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53.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42.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Default Extension="wmf" ContentType="image/x-wmf"/>
  <Default Extension="rels" ContentType="application/vnd.openxmlformats-package.relationships+xml"/>
  <Default Extension="xml" ContentType="application/xml"/>
  <Override PartName="/xl/worksheets/sheet5.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externalLinks/externalLink3.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worksheets/sheet49.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05" yWindow="-105" windowWidth="20730" windowHeight="11760" tabRatio="753" firstSheet="34" activeTab="52"/>
  </bookViews>
  <sheets>
    <sheet name="0000000000000" sheetId="27" state="veryHidden" r:id="rId1"/>
    <sheet name="COVER" sheetId="131" r:id="rId2"/>
    <sheet name="SPE" sheetId="141" r:id="rId3"/>
    <sheet name="Genetic" sheetId="307" r:id="rId4"/>
    <sheet name="NIC" sheetId="305" state="hidden" r:id="rId5"/>
    <sheet name="INPUT" sheetId="139" r:id="rId6"/>
    <sheet name="abstract" sheetId="303" state="hidden" r:id="rId7"/>
    <sheet name="WORK" sheetId="132" r:id="rId8"/>
    <sheet name="FF" sheetId="192" state="hidden" r:id="rId9"/>
    <sheet name="SF" sheetId="194" state="hidden" r:id="rId10"/>
    <sheet name="Water &amp; Electrical" sheetId="304" state="hidden" r:id="rId11"/>
    <sheet name="3.60 lakhs" sheetId="306" state="hidden" r:id="rId12"/>
    <sheet name="SEIG P-B" sheetId="264" state="hidden" r:id="rId13"/>
    <sheet name="steel cal" sheetId="198" state="hidden" r:id="rId14"/>
    <sheet name="SEIG P-A " sheetId="211" r:id="rId15"/>
    <sheet name="Differ- Material" sheetId="165" r:id="rId16"/>
    <sheet name="lead 19-20" sheetId="212" r:id="rId17"/>
    <sheet name="lead 20-21" sheetId="226" state="hidden" r:id="rId18"/>
    <sheet name="lead 21-22" sheetId="240" state="hidden" r:id="rId19"/>
    <sheet name="lead 22-23" sheetId="250" state="hidden" r:id="rId20"/>
    <sheet name="data" sheetId="214" r:id="rId21"/>
    <sheet name="D&amp;W data" sheetId="216" r:id="rId22"/>
    <sheet name="SANITATION DTA" sheetId="218" state="hidden" r:id="rId23"/>
    <sheet name="Ele Data" sheetId="215" r:id="rId24"/>
    <sheet name="con 2019-20" sheetId="213" state="hidden" r:id="rId25"/>
    <sheet name="MINI SSR 19-20" sheetId="217" state="hidden" r:id="rId26"/>
    <sheet name="lead 22-23 P-B" sheetId="269" state="hidden" r:id="rId27"/>
    <sheet name="data 2022-23" sheetId="270" state="hidden" r:id="rId28"/>
    <sheet name="SANI 2022-23" sheetId="273" state="hidden" r:id="rId29"/>
    <sheet name="Ele 2022-23" sheetId="271" state="hidden" r:id="rId30"/>
    <sheet name="door 2022-23" sheetId="272" state="hidden" r:id="rId31"/>
    <sheet name="MINI SSR 2020-21" sheetId="232" state="hidden" r:id="rId32"/>
    <sheet name="MINI SSR 21-22" sheetId="246" state="hidden" r:id="rId33"/>
    <sheet name="MINI SSR 2022-23" sheetId="252" state="hidden" r:id="rId34"/>
    <sheet name="CS" sheetId="140" r:id="rId35"/>
    <sheet name="CR" sheetId="309" r:id="rId36"/>
    <sheet name="R-1" sheetId="195" r:id="rId37"/>
    <sheet name="con 2020-21" sheetId="231" state="hidden" r:id="rId38"/>
    <sheet name="R-2" sheetId="196" r:id="rId39"/>
    <sheet name="C-1" sheetId="170" r:id="rId40"/>
    <sheet name="CC f -2" sheetId="171" r:id="rId41"/>
    <sheet name="ccbc " sheetId="172" r:id="rId42"/>
    <sheet name="SEIG P-A  (2)" sheetId="310" r:id="rId43"/>
    <sheet name="CERTI " sheetId="174" r:id="rId44"/>
    <sheet name="RE-DE" sheetId="175" r:id="rId45"/>
    <sheet name="Proforma-I" sheetId="302" r:id="rId46"/>
    <sheet name="voucer part (2)" sheetId="176" r:id="rId47"/>
    <sheet name="1 (2)" sheetId="177" r:id="rId48"/>
    <sheet name="2 (2)" sheetId="178" r:id="rId49"/>
    <sheet name="3 (2)" sheetId="179" r:id="rId50"/>
    <sheet name="4 (2)" sheetId="180" state="hidden" r:id="rId51"/>
    <sheet name="5 (2)" sheetId="181" r:id="rId52"/>
    <sheet name="M-1 (2)" sheetId="182" r:id="rId53"/>
    <sheet name="M-3 (2)" sheetId="183" r:id="rId54"/>
    <sheet name="con 2021-22" sheetId="245" state="hidden" r:id="rId55"/>
    <sheet name="con 2022-23" sheetId="251" state="hidden" r:id="rId56"/>
    <sheet name="con 2022-23 (2)" sheetId="298" state="hidden" r:id="rId57"/>
    <sheet name="MINI SSR 2022-23 (2)" sheetId="299" state="hidden" r:id="rId58"/>
  </sheets>
  <externalReferences>
    <externalReference r:id="rId59"/>
    <externalReference r:id="rId60"/>
    <externalReference r:id="rId61"/>
    <externalReference r:id="rId62"/>
  </externalReferences>
  <definedNames>
    <definedName name="__can435">43.3</definedName>
    <definedName name="_3" localSheetId="47" hidden="1">'[1]final abstract'!#REF!</definedName>
    <definedName name="_3" localSheetId="48" hidden="1">'[1]final abstract'!#REF!</definedName>
    <definedName name="_3" localSheetId="49" hidden="1">'[1]final abstract'!#REF!</definedName>
    <definedName name="_3" localSheetId="11" hidden="1">'[1]final abstract'!#REF!</definedName>
    <definedName name="_3" localSheetId="50" hidden="1">'[1]final abstract'!#REF!</definedName>
    <definedName name="_3" localSheetId="51" hidden="1">'[1]final abstract'!#REF!</definedName>
    <definedName name="_3" localSheetId="6" hidden="1">'[1]final abstract'!#REF!</definedName>
    <definedName name="_3" localSheetId="35" hidden="1">'[1]final abstract'!#REF!</definedName>
    <definedName name="_3" localSheetId="34" hidden="1">'[1]final abstract'!#REF!</definedName>
    <definedName name="_3" localSheetId="21" hidden="1">'[1]final abstract'!#REF!</definedName>
    <definedName name="_3" localSheetId="15" hidden="1">'[1]final abstract'!#REF!</definedName>
    <definedName name="_3" localSheetId="30" hidden="1">'[1]final abstract'!#REF!</definedName>
    <definedName name="_3" localSheetId="8" hidden="1">'[1]final abstract'!#REF!</definedName>
    <definedName name="_3" localSheetId="53" hidden="1">'[1]final abstract'!#REF!</definedName>
    <definedName name="_3" localSheetId="4" hidden="1">'[1]final abstract'!#REF!</definedName>
    <definedName name="_3" localSheetId="45" hidden="1">'[1]final abstract'!#REF!</definedName>
    <definedName name="_3" localSheetId="36" hidden="1">'[1]final abstract'!#REF!</definedName>
    <definedName name="_3" localSheetId="38" hidden="1">'[1]final abstract'!#REF!</definedName>
    <definedName name="_3" localSheetId="9" hidden="1">'[1]final abstract'!#REF!</definedName>
    <definedName name="_3" localSheetId="2" hidden="1">'[1]final abstract'!#REF!</definedName>
    <definedName name="_3" localSheetId="10" hidden="1">'[1]final abstract'!#REF!</definedName>
    <definedName name="_3" localSheetId="7" hidden="1">'[1]final abstract'!#REF!</definedName>
    <definedName name="_can430">40.73</definedName>
    <definedName name="_can435">43.3</definedName>
    <definedName name="_Fill" localSheetId="48" hidden="1">'[1]final abstract'!#REF!</definedName>
    <definedName name="_Fill" localSheetId="49" hidden="1">'[1]final abstract'!#REF!</definedName>
    <definedName name="_Fill" localSheetId="11" hidden="1">'[1]final abstract'!#REF!</definedName>
    <definedName name="_Fill" localSheetId="50" hidden="1">'[1]final abstract'!#REF!</definedName>
    <definedName name="_Fill" localSheetId="51" hidden="1">'[1]final abstract'!#REF!</definedName>
    <definedName name="_Fill" localSheetId="6" hidden="1">'[1]final abstract'!#REF!</definedName>
    <definedName name="_Fill" localSheetId="35" hidden="1">'[1]final abstract'!#REF!</definedName>
    <definedName name="_Fill" localSheetId="34" hidden="1">'[1]final abstract'!#REF!</definedName>
    <definedName name="_Fill" localSheetId="21" hidden="1">'[1]final abstract'!#REF!</definedName>
    <definedName name="_Fill" localSheetId="15" hidden="1">'[1]final abstract'!#REF!</definedName>
    <definedName name="_Fill" localSheetId="30" hidden="1">'[1]final abstract'!#REF!</definedName>
    <definedName name="_Fill" localSheetId="8" hidden="1">'[1]final abstract'!#REF!</definedName>
    <definedName name="_Fill" localSheetId="53" hidden="1">'[1]final abstract'!#REF!</definedName>
    <definedName name="_Fill" localSheetId="4" hidden="1">'[1]final abstract'!#REF!</definedName>
    <definedName name="_Fill" localSheetId="45" hidden="1">'[1]final abstract'!#REF!</definedName>
    <definedName name="_Fill" localSheetId="36" hidden="1">'[1]final abstract'!#REF!</definedName>
    <definedName name="_Fill" localSheetId="38" hidden="1">'[1]final abstract'!#REF!</definedName>
    <definedName name="_Fill" localSheetId="9" hidden="1">'[1]final abstract'!#REF!</definedName>
    <definedName name="_Fill" localSheetId="2" hidden="1">'[1]final abstract'!#REF!</definedName>
    <definedName name="_Fill" localSheetId="10" hidden="1">'[1]final abstract'!#REF!</definedName>
    <definedName name="_Fill" localSheetId="7" hidden="1">'[1]final abstract'!#REF!</definedName>
    <definedName name="_xlnm._FilterDatabase" localSheetId="11" hidden="1">'3.60 lakhs'!$A$6:$N$1463</definedName>
    <definedName name="_xlnm._FilterDatabase" localSheetId="6" hidden="1">abstract!$A$7:$G$20</definedName>
    <definedName name="_xlnm._FilterDatabase" localSheetId="40" hidden="1">'CC f -2'!$A$15:$J$42</definedName>
    <definedName name="_xlnm._FilterDatabase" localSheetId="35" hidden="1">CR!$A$6:$O$1149</definedName>
    <definedName name="_xlnm._FilterDatabase" localSheetId="34" hidden="1">CS!$A$6:$O$1157</definedName>
    <definedName name="_xlnm._FilterDatabase" localSheetId="21" hidden="1">'D&amp;W data'!$A$5:$H$945</definedName>
    <definedName name="_xlnm._FilterDatabase" localSheetId="20" hidden="1">data!$A$6:$H$3673</definedName>
    <definedName name="_xlnm._FilterDatabase" localSheetId="27" hidden="1">'data 2022-23'!$A$4:$H$920</definedName>
    <definedName name="_xlnm._FilterDatabase" localSheetId="30" hidden="1">'door 2022-23'!$A$5:$H$249</definedName>
    <definedName name="_xlnm._FilterDatabase" localSheetId="29" hidden="1">'Ele 2022-23'!$A$3:$I$286</definedName>
    <definedName name="_xlnm._FilterDatabase" localSheetId="23" hidden="1">'Ele Data'!$A$3:$I$1129</definedName>
    <definedName name="_xlnm._FilterDatabase" localSheetId="8" hidden="1">FF!$A$7:$M$1543</definedName>
    <definedName name="_xlnm._FilterDatabase" localSheetId="5" hidden="1">INPUT!$A$4:$H$110</definedName>
    <definedName name="_xlnm._FilterDatabase" localSheetId="4" hidden="1">NIC!$A$5:$G$1136</definedName>
    <definedName name="_xlnm._FilterDatabase" localSheetId="36" hidden="1">'R-1'!$A$5:$J$1131</definedName>
    <definedName name="_xlnm._FilterDatabase" localSheetId="38" hidden="1">'R-2'!$A$3:$R$176</definedName>
    <definedName name="_xlnm._FilterDatabase" localSheetId="28" hidden="1">'SANI 2022-23'!$A$3:$G$146</definedName>
    <definedName name="_xlnm._FilterDatabase" localSheetId="22" hidden="1">'SANITATION DTA'!$A$3:$G$590</definedName>
    <definedName name="_xlnm._FilterDatabase" localSheetId="14" hidden="1">'SEIG P-A '!$A$3:$U$229</definedName>
    <definedName name="_xlnm._FilterDatabase" localSheetId="42" hidden="1">'SEIG P-A  (2)'!$A$3:$U$229</definedName>
    <definedName name="_xlnm._FilterDatabase" localSheetId="12" hidden="1">'SEIG P-B'!$A$3:$U$3</definedName>
    <definedName name="_xlnm._FilterDatabase" localSheetId="9" hidden="1">SF!$A$7:$M$961</definedName>
    <definedName name="_xlnm._FilterDatabase" localSheetId="46" hidden="1">'voucer part (2)'!$A$9:$L$29</definedName>
    <definedName name="_xlnm._FilterDatabase" localSheetId="10" hidden="1">'Water &amp; Electrical'!$A$7:$N$7</definedName>
    <definedName name="_xlnm._FilterDatabase" localSheetId="7" hidden="1">WORK!$A$6:$N$4017</definedName>
    <definedName name="aa" localSheetId="48" hidden="1">'[1]final abstract'!#REF!</definedName>
    <definedName name="aa" localSheetId="49" hidden="1">'[1]final abstract'!#REF!</definedName>
    <definedName name="aa" localSheetId="11" hidden="1">'[1]final abstract'!#REF!</definedName>
    <definedName name="aa" localSheetId="50" hidden="1">'[1]final abstract'!#REF!</definedName>
    <definedName name="aa" localSheetId="51" hidden="1">'[1]final abstract'!#REF!</definedName>
    <definedName name="aa" localSheetId="6" hidden="1">'[1]final abstract'!#REF!</definedName>
    <definedName name="aa" localSheetId="1" hidden="1">'[1]final abstract'!#REF!</definedName>
    <definedName name="aa" localSheetId="35" hidden="1">'[1]final abstract'!#REF!</definedName>
    <definedName name="aa" localSheetId="34" hidden="1">'[1]final abstract'!#REF!</definedName>
    <definedName name="aa" localSheetId="21" hidden="1">'[1]final abstract'!#REF!</definedName>
    <definedName name="aa" localSheetId="15" hidden="1">'[1]final abstract'!#REF!</definedName>
    <definedName name="aa" localSheetId="30" hidden="1">'[1]final abstract'!#REF!</definedName>
    <definedName name="aa" localSheetId="8" hidden="1">'[1]final abstract'!#REF!</definedName>
    <definedName name="aa" localSheetId="4" hidden="1">'[1]final abstract'!#REF!</definedName>
    <definedName name="aa" localSheetId="36" hidden="1">'[1]final abstract'!#REF!</definedName>
    <definedName name="aa" localSheetId="38" hidden="1">'[1]final abstract'!#REF!</definedName>
    <definedName name="aa" localSheetId="9" hidden="1">'[1]final abstract'!#REF!</definedName>
    <definedName name="aa" localSheetId="2" hidden="1">'[1]final abstract'!#REF!</definedName>
    <definedName name="aa" localSheetId="10" hidden="1">'[1]final abstract'!#REF!</definedName>
    <definedName name="aa" localSheetId="7" hidden="1">'[1]final abstract'!#REF!</definedName>
    <definedName name="academic" localSheetId="48" hidden="1">'[1]final abstract'!#REF!</definedName>
    <definedName name="academic" localSheetId="49" hidden="1">'[1]final abstract'!#REF!</definedName>
    <definedName name="academic" localSheetId="11" hidden="1">'[1]final abstract'!#REF!</definedName>
    <definedName name="academic" localSheetId="50" hidden="1">'[1]final abstract'!#REF!</definedName>
    <definedName name="academic" localSheetId="51" hidden="1">'[1]final abstract'!#REF!</definedName>
    <definedName name="academic" localSheetId="6" hidden="1">'[1]final abstract'!#REF!</definedName>
    <definedName name="academic" localSheetId="35" hidden="1">'[1]final abstract'!#REF!</definedName>
    <definedName name="academic" localSheetId="34" hidden="1">'[1]final abstract'!#REF!</definedName>
    <definedName name="academic" localSheetId="21" hidden="1">'[1]final abstract'!#REF!</definedName>
    <definedName name="academic" localSheetId="15" hidden="1">'[1]final abstract'!#REF!</definedName>
    <definedName name="academic" localSheetId="30" hidden="1">'[1]final abstract'!#REF!</definedName>
    <definedName name="academic" localSheetId="8" hidden="1">'[1]final abstract'!#REF!</definedName>
    <definedName name="academic" localSheetId="4" hidden="1">'[1]final abstract'!#REF!</definedName>
    <definedName name="academic" localSheetId="36" hidden="1">'[1]final abstract'!#REF!</definedName>
    <definedName name="academic" localSheetId="38" hidden="1">'[1]final abstract'!#REF!</definedName>
    <definedName name="academic" localSheetId="9" hidden="1">'[1]final abstract'!#REF!</definedName>
    <definedName name="academic" localSheetId="2" hidden="1">'[1]final abstract'!#REF!</definedName>
    <definedName name="academic" localSheetId="10" hidden="1">'[1]final abstract'!#REF!</definedName>
    <definedName name="academic" localSheetId="7" hidden="1">'[1]final abstract'!#REF!</definedName>
    <definedName name="anscount" hidden="1">1</definedName>
    <definedName name="ASDF" localSheetId="3" hidden="1">{"'ridftotal'!$A$4:$S$27"}</definedName>
    <definedName name="ASDF" localSheetId="25" hidden="1">{"'ridftotal'!$A$4:$S$27"}</definedName>
    <definedName name="ASDF" localSheetId="31" hidden="1">{"'ridftotal'!$A$4:$S$27"}</definedName>
    <definedName name="ASDF" localSheetId="33" hidden="1">{"'ridftotal'!$A$4:$S$27"}</definedName>
    <definedName name="ASDF" localSheetId="57" hidden="1">{"'ridftotal'!$A$4:$S$27"}</definedName>
    <definedName name="ASDF" localSheetId="32" hidden="1">{"'ridftotal'!$A$4:$S$27"}</definedName>
    <definedName name="ASDF" localSheetId="45" hidden="1">{"'ridftotal'!$A$4:$S$27"}</definedName>
    <definedName name="ASFDA" localSheetId="11" hidden="1">{"'ridftotal'!$A$4:$S$27"}</definedName>
    <definedName name="ASFDA" localSheetId="6" hidden="1">{"'ridftotal'!$A$4:$S$27"}</definedName>
    <definedName name="ASFDA" localSheetId="35" hidden="1">{"'ridftotal'!$A$4:$S$27"}</definedName>
    <definedName name="ASFDA" localSheetId="34" hidden="1">{"'ridftotal'!$A$4:$S$27"}</definedName>
    <definedName name="ASFDA" localSheetId="15" hidden="1">{"'ridftotal'!$A$4:$S$27"}</definedName>
    <definedName name="ASFDA" localSheetId="8" hidden="1">{"'ridftotal'!$A$4:$S$27"}</definedName>
    <definedName name="ASFDA" localSheetId="3" hidden="1">{"'ridftotal'!$A$4:$S$27"}</definedName>
    <definedName name="ASFDA" localSheetId="25" hidden="1">{"'ridftotal'!$A$4:$S$27"}</definedName>
    <definedName name="ASFDA" localSheetId="31" hidden="1">{"'ridftotal'!$A$4:$S$27"}</definedName>
    <definedName name="ASFDA" localSheetId="33" hidden="1">{"'ridftotal'!$A$4:$S$27"}</definedName>
    <definedName name="ASFDA" localSheetId="57" hidden="1">{"'ridftotal'!$A$4:$S$27"}</definedName>
    <definedName name="ASFDA" localSheetId="32" hidden="1">{"'ridftotal'!$A$4:$S$27"}</definedName>
    <definedName name="ASFDA" localSheetId="4" hidden="1">{"'ridftotal'!$A$4:$S$27"}</definedName>
    <definedName name="ASFDA" localSheetId="45" hidden="1">{"'ridftotal'!$A$4:$S$27"}</definedName>
    <definedName name="ASFDA" localSheetId="36" hidden="1">{"'ridftotal'!$A$4:$S$27"}</definedName>
    <definedName name="ASFDA" localSheetId="9" hidden="1">{"'ridftotal'!$A$4:$S$27"}</definedName>
    <definedName name="ASFDA" localSheetId="2" hidden="1">{"'ridftotal'!$A$4:$S$27"}</definedName>
    <definedName name="ASFDA" localSheetId="10" hidden="1">{"'ridftotal'!$A$4:$S$27"}</definedName>
    <definedName name="ASFDA" localSheetId="7" hidden="1">{"'ridftotal'!$A$4:$S$27"}</definedName>
    <definedName name="data1" localSheetId="48" hidden="1">#REF!</definedName>
    <definedName name="data1" localSheetId="49" hidden="1">#REF!</definedName>
    <definedName name="data1" localSheetId="11" hidden="1">#REF!</definedName>
    <definedName name="data1" localSheetId="50" hidden="1">#REF!</definedName>
    <definedName name="data1" localSheetId="51" hidden="1">#REF!</definedName>
    <definedName name="data1" localSheetId="6" hidden="1">#REF!</definedName>
    <definedName name="data1" localSheetId="35" hidden="1">#REF!</definedName>
    <definedName name="data1" localSheetId="34" hidden="1">#REF!</definedName>
    <definedName name="data1" localSheetId="21" hidden="1">#REF!</definedName>
    <definedName name="data1" localSheetId="15" hidden="1">#REF!</definedName>
    <definedName name="data1" localSheetId="30" hidden="1">#REF!</definedName>
    <definedName name="data1" localSheetId="8" hidden="1">#REF!</definedName>
    <definedName name="data1" localSheetId="25" hidden="1">#REF!</definedName>
    <definedName name="data1" localSheetId="31" hidden="1">#REF!</definedName>
    <definedName name="data1" localSheetId="33" hidden="1">#REF!</definedName>
    <definedName name="data1" localSheetId="57" hidden="1">#REF!</definedName>
    <definedName name="data1" localSheetId="32" hidden="1">#REF!</definedName>
    <definedName name="data1" localSheetId="4" hidden="1">#REF!</definedName>
    <definedName name="data1" localSheetId="45" hidden="1">#REF!</definedName>
    <definedName name="data1" localSheetId="36" hidden="1">#REF!</definedName>
    <definedName name="data1" localSheetId="38" hidden="1">#REF!</definedName>
    <definedName name="data1" localSheetId="9" hidden="1">#REF!</definedName>
    <definedName name="data1" localSheetId="2" hidden="1">#REF!</definedName>
    <definedName name="data1" localSheetId="10" hidden="1">#REF!</definedName>
    <definedName name="data1" localSheetId="7" hidden="1">#REF!</definedName>
    <definedName name="data2" localSheetId="48" hidden="1">#REF!</definedName>
    <definedName name="data2" localSheetId="49" hidden="1">#REF!</definedName>
    <definedName name="data2" localSheetId="11" hidden="1">#REF!</definedName>
    <definedName name="data2" localSheetId="50" hidden="1">#REF!</definedName>
    <definedName name="data2" localSheetId="51" hidden="1">#REF!</definedName>
    <definedName name="data2" localSheetId="6" hidden="1">#REF!</definedName>
    <definedName name="data2" localSheetId="35" hidden="1">#REF!</definedName>
    <definedName name="data2" localSheetId="34" hidden="1">#REF!</definedName>
    <definedName name="data2" localSheetId="21" hidden="1">#REF!</definedName>
    <definedName name="data2" localSheetId="15" hidden="1">#REF!</definedName>
    <definedName name="data2" localSheetId="30" hidden="1">#REF!</definedName>
    <definedName name="data2" localSheetId="8" hidden="1">#REF!</definedName>
    <definedName name="data2" localSheetId="25" hidden="1">#REF!</definedName>
    <definedName name="data2" localSheetId="31" hidden="1">#REF!</definedName>
    <definedName name="data2" localSheetId="33" hidden="1">#REF!</definedName>
    <definedName name="data2" localSheetId="57" hidden="1">#REF!</definedName>
    <definedName name="data2" localSheetId="32" hidden="1">#REF!</definedName>
    <definedName name="data2" localSheetId="4" hidden="1">#REF!</definedName>
    <definedName name="data2" localSheetId="45" hidden="1">#REF!</definedName>
    <definedName name="data2" localSheetId="36" hidden="1">#REF!</definedName>
    <definedName name="data2" localSheetId="38" hidden="1">#REF!</definedName>
    <definedName name="data2" localSheetId="9" hidden="1">#REF!</definedName>
    <definedName name="data2" localSheetId="2" hidden="1">#REF!</definedName>
    <definedName name="data2" localSheetId="10" hidden="1">#REF!</definedName>
    <definedName name="data2" localSheetId="7" hidden="1">#REF!</definedName>
    <definedName name="data3" localSheetId="48" hidden="1">#REF!</definedName>
    <definedName name="data3" localSheetId="49" hidden="1">#REF!</definedName>
    <definedName name="data3" localSheetId="11" hidden="1">#REF!</definedName>
    <definedName name="data3" localSheetId="50" hidden="1">#REF!</definedName>
    <definedName name="data3" localSheetId="51" hidden="1">#REF!</definedName>
    <definedName name="data3" localSheetId="6" hidden="1">#REF!</definedName>
    <definedName name="data3" localSheetId="35" hidden="1">#REF!</definedName>
    <definedName name="data3" localSheetId="34" hidden="1">#REF!</definedName>
    <definedName name="data3" localSheetId="21" hidden="1">#REF!</definedName>
    <definedName name="data3" localSheetId="15" hidden="1">#REF!</definedName>
    <definedName name="data3" localSheetId="30" hidden="1">#REF!</definedName>
    <definedName name="data3" localSheetId="8" hidden="1">#REF!</definedName>
    <definedName name="data3" localSheetId="25" hidden="1">#REF!</definedName>
    <definedName name="data3" localSheetId="31" hidden="1">#REF!</definedName>
    <definedName name="data3" localSheetId="33" hidden="1">#REF!</definedName>
    <definedName name="data3" localSheetId="57" hidden="1">#REF!</definedName>
    <definedName name="data3" localSheetId="32" hidden="1">#REF!</definedName>
    <definedName name="data3" localSheetId="4" hidden="1">#REF!</definedName>
    <definedName name="data3" localSheetId="45" hidden="1">#REF!</definedName>
    <definedName name="data3" localSheetId="36" hidden="1">#REF!</definedName>
    <definedName name="data3" localSheetId="38" hidden="1">#REF!</definedName>
    <definedName name="data3" localSheetId="9" hidden="1">#REF!</definedName>
    <definedName name="data3" localSheetId="2" hidden="1">#REF!</definedName>
    <definedName name="data3" localSheetId="10" hidden="1">#REF!</definedName>
    <definedName name="data3" localSheetId="7" hidden="1">#REF!</definedName>
    <definedName name="ddd" localSheetId="48" hidden="1">'[1]final abstract'!#REF!</definedName>
    <definedName name="ddd" localSheetId="49" hidden="1">'[1]final abstract'!#REF!</definedName>
    <definedName name="ddd" localSheetId="11" hidden="1">'[1]final abstract'!#REF!</definedName>
    <definedName name="ddd" localSheetId="50" hidden="1">'[1]final abstract'!#REF!</definedName>
    <definedName name="ddd" localSheetId="51" hidden="1">'[1]final abstract'!#REF!</definedName>
    <definedName name="ddd" localSheetId="6" hidden="1">'[1]final abstract'!#REF!</definedName>
    <definedName name="ddd" localSheetId="35" hidden="1">'[1]final abstract'!#REF!</definedName>
    <definedName name="ddd" localSheetId="34" hidden="1">'[1]final abstract'!#REF!</definedName>
    <definedName name="ddd" localSheetId="21" hidden="1">'[1]final abstract'!#REF!</definedName>
    <definedName name="ddd" localSheetId="15" hidden="1">'[1]final abstract'!#REF!</definedName>
    <definedName name="ddd" localSheetId="30" hidden="1">'[1]final abstract'!#REF!</definedName>
    <definedName name="ddd" localSheetId="8" hidden="1">'[1]final abstract'!#REF!</definedName>
    <definedName name="ddd" localSheetId="4" hidden="1">'[1]final abstract'!#REF!</definedName>
    <definedName name="ddd" localSheetId="36" hidden="1">'[1]final abstract'!#REF!</definedName>
    <definedName name="ddd" localSheetId="38" hidden="1">'[1]final abstract'!#REF!</definedName>
    <definedName name="ddd" localSheetId="9" hidden="1">'[1]final abstract'!#REF!</definedName>
    <definedName name="ddd" localSheetId="2" hidden="1">'[1]final abstract'!#REF!</definedName>
    <definedName name="ddd" localSheetId="10" hidden="1">'[1]final abstract'!#REF!</definedName>
    <definedName name="ddd" localSheetId="7" hidden="1">'[1]final abstract'!#REF!</definedName>
    <definedName name="dfas" localSheetId="48" hidden="1">'[1]final abstract'!#REF!</definedName>
    <definedName name="dfas" localSheetId="49" hidden="1">'[1]final abstract'!#REF!</definedName>
    <definedName name="dfas" localSheetId="11" hidden="1">'[1]final abstract'!#REF!</definedName>
    <definedName name="dfas" localSheetId="50" hidden="1">'[1]final abstract'!#REF!</definedName>
    <definedName name="dfas" localSheetId="51" hidden="1">'[1]final abstract'!#REF!</definedName>
    <definedName name="dfas" localSheetId="6" hidden="1">'[1]final abstract'!#REF!</definedName>
    <definedName name="dfas" localSheetId="35" hidden="1">'[1]final abstract'!#REF!</definedName>
    <definedName name="dfas" localSheetId="34" hidden="1">'[1]final abstract'!#REF!</definedName>
    <definedName name="dfas" localSheetId="21" hidden="1">'[1]final abstract'!#REF!</definedName>
    <definedName name="dfas" localSheetId="15" hidden="1">'[1]final abstract'!#REF!</definedName>
    <definedName name="dfas" localSheetId="30" hidden="1">'[1]final abstract'!#REF!</definedName>
    <definedName name="dfas" localSheetId="4" hidden="1">'[1]final abstract'!#REF!</definedName>
    <definedName name="dfas" localSheetId="36" hidden="1">'[1]final abstract'!#REF!</definedName>
    <definedName name="dfas" localSheetId="38" hidden="1">'[1]final abstract'!#REF!</definedName>
    <definedName name="dfas" localSheetId="2" hidden="1">'[1]final abstract'!#REF!</definedName>
    <definedName name="dfas" localSheetId="10" hidden="1">'[1]final abstract'!#REF!</definedName>
    <definedName name="Discount" localSheetId="48" hidden="1">#REF!</definedName>
    <definedName name="Discount" localSheetId="49" hidden="1">#REF!</definedName>
    <definedName name="Discount" localSheetId="11" hidden="1">#REF!</definedName>
    <definedName name="Discount" localSheetId="50" hidden="1">#REF!</definedName>
    <definedName name="Discount" localSheetId="51" hidden="1">#REF!</definedName>
    <definedName name="Discount" localSheetId="6" hidden="1">#REF!</definedName>
    <definedName name="Discount" localSheetId="35" hidden="1">#REF!</definedName>
    <definedName name="Discount" localSheetId="34" hidden="1">#REF!</definedName>
    <definedName name="Discount" localSheetId="21" hidden="1">#REF!</definedName>
    <definedName name="Discount" localSheetId="15" hidden="1">#REF!</definedName>
    <definedName name="Discount" localSheetId="30" hidden="1">#REF!</definedName>
    <definedName name="Discount" localSheetId="8" hidden="1">#REF!</definedName>
    <definedName name="Discount" localSheetId="25" hidden="1">#REF!</definedName>
    <definedName name="Discount" localSheetId="31" hidden="1">#REF!</definedName>
    <definedName name="Discount" localSheetId="33" hidden="1">#REF!</definedName>
    <definedName name="Discount" localSheetId="57" hidden="1">#REF!</definedName>
    <definedName name="Discount" localSheetId="32" hidden="1">#REF!</definedName>
    <definedName name="Discount" localSheetId="4" hidden="1">#REF!</definedName>
    <definedName name="Discount" localSheetId="45" hidden="1">#REF!</definedName>
    <definedName name="Discount" localSheetId="36" hidden="1">#REF!</definedName>
    <definedName name="Discount" localSheetId="38" hidden="1">#REF!</definedName>
    <definedName name="Discount" localSheetId="9" hidden="1">#REF!</definedName>
    <definedName name="Discount" localSheetId="2" hidden="1">#REF!</definedName>
    <definedName name="Discount" localSheetId="10" hidden="1">#REF!</definedName>
    <definedName name="Discount" localSheetId="7" hidden="1">#REF!</definedName>
    <definedName name="display_area_2" localSheetId="48" hidden="1">#REF!</definedName>
    <definedName name="display_area_2" localSheetId="49" hidden="1">#REF!</definedName>
    <definedName name="display_area_2" localSheetId="11" hidden="1">#REF!</definedName>
    <definedName name="display_area_2" localSheetId="50" hidden="1">#REF!</definedName>
    <definedName name="display_area_2" localSheetId="51" hidden="1">#REF!</definedName>
    <definedName name="display_area_2" localSheetId="6" hidden="1">#REF!</definedName>
    <definedName name="display_area_2" localSheetId="35" hidden="1">#REF!</definedName>
    <definedName name="display_area_2" localSheetId="34" hidden="1">#REF!</definedName>
    <definedName name="display_area_2" localSheetId="21" hidden="1">#REF!</definedName>
    <definedName name="display_area_2" localSheetId="15" hidden="1">#REF!</definedName>
    <definedName name="display_area_2" localSheetId="30" hidden="1">#REF!</definedName>
    <definedName name="display_area_2" localSheetId="8" hidden="1">#REF!</definedName>
    <definedName name="display_area_2" localSheetId="25" hidden="1">#REF!</definedName>
    <definedName name="display_area_2" localSheetId="31" hidden="1">#REF!</definedName>
    <definedName name="display_area_2" localSheetId="33" hidden="1">#REF!</definedName>
    <definedName name="display_area_2" localSheetId="57" hidden="1">#REF!</definedName>
    <definedName name="display_area_2" localSheetId="32" hidden="1">#REF!</definedName>
    <definedName name="display_area_2" localSheetId="4" hidden="1">#REF!</definedName>
    <definedName name="display_area_2" localSheetId="45" hidden="1">#REF!</definedName>
    <definedName name="display_area_2" localSheetId="36" hidden="1">#REF!</definedName>
    <definedName name="display_area_2" localSheetId="38" hidden="1">#REF!</definedName>
    <definedName name="display_area_2" localSheetId="9" hidden="1">#REF!</definedName>
    <definedName name="display_area_2" localSheetId="2" hidden="1">#REF!</definedName>
    <definedName name="display_area_2" localSheetId="10" hidden="1">#REF!</definedName>
    <definedName name="display_area_2" localSheetId="7" hidden="1">#REF!</definedName>
    <definedName name="FCode" localSheetId="48" hidden="1">#REF!</definedName>
    <definedName name="FCode" localSheetId="49" hidden="1">#REF!</definedName>
    <definedName name="FCode" localSheetId="11" hidden="1">#REF!</definedName>
    <definedName name="FCode" localSheetId="50" hidden="1">#REF!</definedName>
    <definedName name="FCode" localSheetId="51" hidden="1">#REF!</definedName>
    <definedName name="FCode" localSheetId="6" hidden="1">#REF!</definedName>
    <definedName name="FCode" localSheetId="35" hidden="1">#REF!</definedName>
    <definedName name="FCode" localSheetId="34" hidden="1">#REF!</definedName>
    <definedName name="FCode" localSheetId="21" hidden="1">#REF!</definedName>
    <definedName name="FCode" localSheetId="15" hidden="1">#REF!</definedName>
    <definedName name="FCode" localSheetId="30" hidden="1">#REF!</definedName>
    <definedName name="FCode" localSheetId="8" hidden="1">#REF!</definedName>
    <definedName name="FCode" localSheetId="25" hidden="1">#REF!</definedName>
    <definedName name="FCode" localSheetId="31" hidden="1">#REF!</definedName>
    <definedName name="FCode" localSheetId="33" hidden="1">#REF!</definedName>
    <definedName name="FCode" localSheetId="57" hidden="1">#REF!</definedName>
    <definedName name="FCode" localSheetId="32" hidden="1">#REF!</definedName>
    <definedName name="FCode" localSheetId="4" hidden="1">#REF!</definedName>
    <definedName name="FCode" localSheetId="45" hidden="1">#REF!</definedName>
    <definedName name="FCode" localSheetId="36" hidden="1">#REF!</definedName>
    <definedName name="FCode" localSheetId="38" hidden="1">#REF!</definedName>
    <definedName name="FCode" localSheetId="9" hidden="1">#REF!</definedName>
    <definedName name="FCode" localSheetId="2" hidden="1">#REF!</definedName>
    <definedName name="FCode" localSheetId="10" hidden="1">#REF!</definedName>
    <definedName name="FCode" localSheetId="7" hidden="1">#REF!</definedName>
    <definedName name="FGD" localSheetId="11" hidden="1">{"'ridftotal'!$A$4:$S$27"}</definedName>
    <definedName name="FGD" localSheetId="6" hidden="1">{"'ridftotal'!$A$4:$S$27"}</definedName>
    <definedName name="FGD" localSheetId="35" hidden="1">{"'ridftotal'!$A$4:$S$27"}</definedName>
    <definedName name="FGD" localSheetId="34" hidden="1">{"'ridftotal'!$A$4:$S$27"}</definedName>
    <definedName name="FGD" localSheetId="15" hidden="1">{"'ridftotal'!$A$4:$S$27"}</definedName>
    <definedName name="FGD" localSheetId="8" hidden="1">{"'ridftotal'!$A$4:$S$27"}</definedName>
    <definedName name="FGD" localSheetId="3" hidden="1">{"'ridftotal'!$A$4:$S$27"}</definedName>
    <definedName name="FGD" localSheetId="25" hidden="1">{"'ridftotal'!$A$4:$S$27"}</definedName>
    <definedName name="FGD" localSheetId="31" hidden="1">{"'ridftotal'!$A$4:$S$27"}</definedName>
    <definedName name="FGD" localSheetId="33" hidden="1">{"'ridftotal'!$A$4:$S$27"}</definedName>
    <definedName name="FGD" localSheetId="57" hidden="1">{"'ridftotal'!$A$4:$S$27"}</definedName>
    <definedName name="FGD" localSheetId="32" hidden="1">{"'ridftotal'!$A$4:$S$27"}</definedName>
    <definedName name="FGD" localSheetId="4" hidden="1">{"'ridftotal'!$A$4:$S$27"}</definedName>
    <definedName name="FGD" localSheetId="45" hidden="1">{"'ridftotal'!$A$4:$S$27"}</definedName>
    <definedName name="FGD" localSheetId="36" hidden="1">{"'ridftotal'!$A$4:$S$27"}</definedName>
    <definedName name="FGD" localSheetId="9" hidden="1">{"'ridftotal'!$A$4:$S$27"}</definedName>
    <definedName name="FGD" localSheetId="2" hidden="1">{"'ridftotal'!$A$4:$S$27"}</definedName>
    <definedName name="FGD" localSheetId="10" hidden="1">{"'ridftotal'!$A$4:$S$27"}</definedName>
    <definedName name="FGD" localSheetId="7" hidden="1">{"'ridftotal'!$A$4:$S$27"}</definedName>
    <definedName name="FGHH" localSheetId="11" hidden="1">{"'ridftotal'!$A$4:$S$27"}</definedName>
    <definedName name="FGHH" localSheetId="6" hidden="1">{"'ridftotal'!$A$4:$S$27"}</definedName>
    <definedName name="FGHH" localSheetId="35" hidden="1">{"'ridftotal'!$A$4:$S$27"}</definedName>
    <definedName name="FGHH" localSheetId="34" hidden="1">{"'ridftotal'!$A$4:$S$27"}</definedName>
    <definedName name="FGHH" localSheetId="15" hidden="1">{"'ridftotal'!$A$4:$S$27"}</definedName>
    <definedName name="FGHH" localSheetId="8" hidden="1">{"'ridftotal'!$A$4:$S$27"}</definedName>
    <definedName name="FGHH" localSheetId="3" hidden="1">{"'ridftotal'!$A$4:$S$27"}</definedName>
    <definedName name="FGHH" localSheetId="25" hidden="1">{"'ridftotal'!$A$4:$S$27"}</definedName>
    <definedName name="FGHH" localSheetId="31" hidden="1">{"'ridftotal'!$A$4:$S$27"}</definedName>
    <definedName name="FGHH" localSheetId="33" hidden="1">{"'ridftotal'!$A$4:$S$27"}</definedName>
    <definedName name="FGHH" localSheetId="57" hidden="1">{"'ridftotal'!$A$4:$S$27"}</definedName>
    <definedName name="FGHH" localSheetId="32" hidden="1">{"'ridftotal'!$A$4:$S$27"}</definedName>
    <definedName name="FGHH" localSheetId="4" hidden="1">{"'ridftotal'!$A$4:$S$27"}</definedName>
    <definedName name="FGHH" localSheetId="45" hidden="1">{"'ridftotal'!$A$4:$S$27"}</definedName>
    <definedName name="FGHH" localSheetId="36" hidden="1">{"'ridftotal'!$A$4:$S$27"}</definedName>
    <definedName name="FGHH" localSheetId="9" hidden="1">{"'ridftotal'!$A$4:$S$27"}</definedName>
    <definedName name="FGHH" localSheetId="2" hidden="1">{"'ridftotal'!$A$4:$S$27"}</definedName>
    <definedName name="FGHH" localSheetId="10" hidden="1">{"'ridftotal'!$A$4:$S$27"}</definedName>
    <definedName name="FGHH" localSheetId="7" hidden="1">{"'ridftotal'!$A$4:$S$27"}</definedName>
    <definedName name="GHJK" localSheetId="11" hidden="1">{"'ridftotal'!$A$4:$S$27"}</definedName>
    <definedName name="GHJK" localSheetId="6" hidden="1">{"'ridftotal'!$A$4:$S$27"}</definedName>
    <definedName name="GHJK" localSheetId="35" hidden="1">{"'ridftotal'!$A$4:$S$27"}</definedName>
    <definedName name="GHJK" localSheetId="34" hidden="1">{"'ridftotal'!$A$4:$S$27"}</definedName>
    <definedName name="GHJK" localSheetId="15" hidden="1">{"'ridftotal'!$A$4:$S$27"}</definedName>
    <definedName name="GHJK" localSheetId="8" hidden="1">{"'ridftotal'!$A$4:$S$27"}</definedName>
    <definedName name="GHJK" localSheetId="3" hidden="1">{"'ridftotal'!$A$4:$S$27"}</definedName>
    <definedName name="GHJK" localSheetId="25" hidden="1">{"'ridftotal'!$A$4:$S$27"}</definedName>
    <definedName name="GHJK" localSheetId="31" hidden="1">{"'ridftotal'!$A$4:$S$27"}</definedName>
    <definedName name="GHJK" localSheetId="33" hidden="1">{"'ridftotal'!$A$4:$S$27"}</definedName>
    <definedName name="GHJK" localSheetId="57" hidden="1">{"'ridftotal'!$A$4:$S$27"}</definedName>
    <definedName name="GHJK" localSheetId="32" hidden="1">{"'ridftotal'!$A$4:$S$27"}</definedName>
    <definedName name="GHJK" localSheetId="4" hidden="1">{"'ridftotal'!$A$4:$S$27"}</definedName>
    <definedName name="GHJK" localSheetId="45" hidden="1">{"'ridftotal'!$A$4:$S$27"}</definedName>
    <definedName name="GHJK" localSheetId="36" hidden="1">{"'ridftotal'!$A$4:$S$27"}</definedName>
    <definedName name="GHJK" localSheetId="9" hidden="1">{"'ridftotal'!$A$4:$S$27"}</definedName>
    <definedName name="GHJK" localSheetId="2" hidden="1">{"'ridftotal'!$A$4:$S$27"}</definedName>
    <definedName name="GHJK" localSheetId="10" hidden="1">{"'ridftotal'!$A$4:$S$27"}</definedName>
    <definedName name="GHJK" localSheetId="7" hidden="1">{"'ridftotal'!$A$4:$S$27"}</definedName>
    <definedName name="GHJKJK" localSheetId="11" hidden="1">{"'ridftotal'!$A$4:$S$27"}</definedName>
    <definedName name="GHJKJK" localSheetId="6" hidden="1">{"'ridftotal'!$A$4:$S$27"}</definedName>
    <definedName name="GHJKJK" localSheetId="35" hidden="1">{"'ridftotal'!$A$4:$S$27"}</definedName>
    <definedName name="GHJKJK" localSheetId="34" hidden="1">{"'ridftotal'!$A$4:$S$27"}</definedName>
    <definedName name="GHJKJK" localSheetId="15" hidden="1">{"'ridftotal'!$A$4:$S$27"}</definedName>
    <definedName name="GHJKJK" localSheetId="8" hidden="1">{"'ridftotal'!$A$4:$S$27"}</definedName>
    <definedName name="GHJKJK" localSheetId="3" hidden="1">{"'ridftotal'!$A$4:$S$27"}</definedName>
    <definedName name="GHJKJK" localSheetId="25" hidden="1">{"'ridftotal'!$A$4:$S$27"}</definedName>
    <definedName name="GHJKJK" localSheetId="31" hidden="1">{"'ridftotal'!$A$4:$S$27"}</definedName>
    <definedName name="GHJKJK" localSheetId="33" hidden="1">{"'ridftotal'!$A$4:$S$27"}</definedName>
    <definedName name="GHJKJK" localSheetId="57" hidden="1">{"'ridftotal'!$A$4:$S$27"}</definedName>
    <definedName name="GHJKJK" localSheetId="32" hidden="1">{"'ridftotal'!$A$4:$S$27"}</definedName>
    <definedName name="GHJKJK" localSheetId="4" hidden="1">{"'ridftotal'!$A$4:$S$27"}</definedName>
    <definedName name="GHJKJK" localSheetId="45" hidden="1">{"'ridftotal'!$A$4:$S$27"}</definedName>
    <definedName name="GHJKJK" localSheetId="36" hidden="1">{"'ridftotal'!$A$4:$S$27"}</definedName>
    <definedName name="GHJKJK" localSheetId="9" hidden="1">{"'ridftotal'!$A$4:$S$27"}</definedName>
    <definedName name="GHJKJK" localSheetId="2" hidden="1">{"'ridftotal'!$A$4:$S$27"}</definedName>
    <definedName name="GHJKJK" localSheetId="10" hidden="1">{"'ridftotal'!$A$4:$S$27"}</definedName>
    <definedName name="GHJKJK" localSheetId="7" hidden="1">{"'ridftotal'!$A$4:$S$27"}</definedName>
    <definedName name="GN" localSheetId="3" hidden="1">{"'ridftotal'!$A$4:$S$27"}</definedName>
    <definedName name="GN" localSheetId="25" hidden="1">{"'ridftotal'!$A$4:$S$27"}</definedName>
    <definedName name="GN" localSheetId="31" hidden="1">{"'ridftotal'!$A$4:$S$27"}</definedName>
    <definedName name="GN" localSheetId="33" hidden="1">{"'ridftotal'!$A$4:$S$27"}</definedName>
    <definedName name="GN" localSheetId="57" hidden="1">{"'ridftotal'!$A$4:$S$27"}</definedName>
    <definedName name="GN" localSheetId="32" hidden="1">{"'ridftotal'!$A$4:$S$27"}</definedName>
    <definedName name="GN" localSheetId="45" hidden="1">{"'ridftotal'!$A$4:$S$27"}</definedName>
    <definedName name="Header_Row" localSheetId="48">ROW(#REF!)</definedName>
    <definedName name="Header_Row" localSheetId="49">ROW(#REF!)</definedName>
    <definedName name="Header_Row" localSheetId="11">ROW(#REF!)</definedName>
    <definedName name="Header_Row" localSheetId="50">ROW(#REF!)</definedName>
    <definedName name="Header_Row" localSheetId="51">ROW(#REF!)</definedName>
    <definedName name="Header_Row" localSheetId="6">ROW(#REF!)</definedName>
    <definedName name="Header_Row" localSheetId="35">ROW(#REF!)</definedName>
    <definedName name="Header_Row" localSheetId="21">ROW(#REF!)</definedName>
    <definedName name="Header_Row" localSheetId="30">ROW(#REF!)</definedName>
    <definedName name="Header_Row" localSheetId="4">ROW(#REF!)</definedName>
    <definedName name="Header_Row" localSheetId="36">ROW(#REF!)</definedName>
    <definedName name="Header_Row" localSheetId="38">ROW(#REF!)</definedName>
    <definedName name="Header_Row" localSheetId="42">ROW(#REF!)</definedName>
    <definedName name="Header_Row" localSheetId="10">ROW(#REF!)</definedName>
    <definedName name="Header_Row">ROW(#REF!)</definedName>
    <definedName name="HiddenRows" localSheetId="48" hidden="1">#REF!</definedName>
    <definedName name="HiddenRows" localSheetId="49" hidden="1">#REF!</definedName>
    <definedName name="HiddenRows" localSheetId="11" hidden="1">#REF!</definedName>
    <definedName name="HiddenRows" localSheetId="50" hidden="1">#REF!</definedName>
    <definedName name="HiddenRows" localSheetId="51" hidden="1">#REF!</definedName>
    <definedName name="HiddenRows" localSheetId="6" hidden="1">#REF!</definedName>
    <definedName name="HiddenRows" localSheetId="35" hidden="1">#REF!</definedName>
    <definedName name="HiddenRows" localSheetId="34" hidden="1">#REF!</definedName>
    <definedName name="HiddenRows" localSheetId="21" hidden="1">#REF!</definedName>
    <definedName name="HiddenRows" localSheetId="15" hidden="1">#REF!</definedName>
    <definedName name="HiddenRows" localSheetId="30" hidden="1">#REF!</definedName>
    <definedName name="HiddenRows" localSheetId="8" hidden="1">#REF!</definedName>
    <definedName name="HiddenRows" localSheetId="25" hidden="1">#REF!</definedName>
    <definedName name="HiddenRows" localSheetId="31" hidden="1">#REF!</definedName>
    <definedName name="HiddenRows" localSheetId="33" hidden="1">#REF!</definedName>
    <definedName name="HiddenRows" localSheetId="57" hidden="1">#REF!</definedName>
    <definedName name="HiddenRows" localSheetId="32" hidden="1">#REF!</definedName>
    <definedName name="HiddenRows" localSheetId="4" hidden="1">#REF!</definedName>
    <definedName name="HiddenRows" localSheetId="45" hidden="1">#REF!</definedName>
    <definedName name="HiddenRows" localSheetId="36" hidden="1">#REF!</definedName>
    <definedName name="HiddenRows" localSheetId="38" hidden="1">#REF!</definedName>
    <definedName name="HiddenRows" localSheetId="9" hidden="1">#REF!</definedName>
    <definedName name="HiddenRows" localSheetId="2" hidden="1">#REF!</definedName>
    <definedName name="HiddenRows" localSheetId="10" hidden="1">#REF!</definedName>
    <definedName name="HiddenRows" localSheetId="7" hidden="1">#REF!</definedName>
    <definedName name="HJ" localSheetId="11" hidden="1">{"'ridftotal'!$A$4:$S$27"}</definedName>
    <definedName name="HJ" localSheetId="6" hidden="1">{"'ridftotal'!$A$4:$S$27"}</definedName>
    <definedName name="HJ" localSheetId="35" hidden="1">{"'ridftotal'!$A$4:$S$27"}</definedName>
    <definedName name="HJ" localSheetId="34" hidden="1">{"'ridftotal'!$A$4:$S$27"}</definedName>
    <definedName name="HJ" localSheetId="15" hidden="1">{"'ridftotal'!$A$4:$S$27"}</definedName>
    <definedName name="HJ" localSheetId="8" hidden="1">{"'ridftotal'!$A$4:$S$27"}</definedName>
    <definedName name="HJ" localSheetId="3" hidden="1">{"'ridftotal'!$A$4:$S$27"}</definedName>
    <definedName name="HJ" localSheetId="25" hidden="1">{"'ridftotal'!$A$4:$S$27"}</definedName>
    <definedName name="HJ" localSheetId="31" hidden="1">{"'ridftotal'!$A$4:$S$27"}</definedName>
    <definedName name="HJ" localSheetId="33" hidden="1">{"'ridftotal'!$A$4:$S$27"}</definedName>
    <definedName name="HJ" localSheetId="57" hidden="1">{"'ridftotal'!$A$4:$S$27"}</definedName>
    <definedName name="HJ" localSheetId="32" hidden="1">{"'ridftotal'!$A$4:$S$27"}</definedName>
    <definedName name="HJ" localSheetId="4" hidden="1">{"'ridftotal'!$A$4:$S$27"}</definedName>
    <definedName name="HJ" localSheetId="45" hidden="1">{"'ridftotal'!$A$4:$S$27"}</definedName>
    <definedName name="HJ" localSheetId="36" hidden="1">{"'ridftotal'!$A$4:$S$27"}</definedName>
    <definedName name="HJ" localSheetId="9" hidden="1">{"'ridftotal'!$A$4:$S$27"}</definedName>
    <definedName name="HJ" localSheetId="2" hidden="1">{"'ridftotal'!$A$4:$S$27"}</definedName>
    <definedName name="HJ" localSheetId="10" hidden="1">{"'ridftotal'!$A$4:$S$27"}</definedName>
    <definedName name="HJ" localSheetId="7" hidden="1">{"'ridftotal'!$A$4:$S$27"}</definedName>
    <definedName name="HTML_CodePage" hidden="1">1252</definedName>
    <definedName name="HTML_Control" localSheetId="11" hidden="1">{"'ridftotal'!$A$4:$S$27"}</definedName>
    <definedName name="HTML_Control" localSheetId="6" hidden="1">{"'ridftotal'!$A$4:$S$27"}</definedName>
    <definedName name="HTML_Control" localSheetId="35" hidden="1">{"'ridftotal'!$A$4:$S$27"}</definedName>
    <definedName name="HTML_Control" localSheetId="34" hidden="1">{"'ridftotal'!$A$4:$S$27"}</definedName>
    <definedName name="HTML_Control" localSheetId="15" hidden="1">{"'ridftotal'!$A$4:$S$27"}</definedName>
    <definedName name="HTML_Control" localSheetId="8" hidden="1">{"'ridftotal'!$A$4:$S$27"}</definedName>
    <definedName name="HTML_Control" localSheetId="3" hidden="1">{"'ridftotal'!$A$4:$S$27"}</definedName>
    <definedName name="HTML_Control" localSheetId="25" hidden="1">{"'ridftotal'!$A$4:$S$27"}</definedName>
    <definedName name="HTML_Control" localSheetId="31" hidden="1">{"'ridftotal'!$A$4:$S$27"}</definedName>
    <definedName name="HTML_Control" localSheetId="33" hidden="1">{"'ridftotal'!$A$4:$S$27"}</definedName>
    <definedName name="HTML_Control" localSheetId="57" hidden="1">{"'ridftotal'!$A$4:$S$27"}</definedName>
    <definedName name="HTML_Control" localSheetId="32" hidden="1">{"'ridftotal'!$A$4:$S$27"}</definedName>
    <definedName name="HTML_Control" localSheetId="4" hidden="1">{"'ridftotal'!$A$4:$S$27"}</definedName>
    <definedName name="HTML_Control" localSheetId="45" hidden="1">{"'ridftotal'!$A$4:$S$27"}</definedName>
    <definedName name="HTML_Control" localSheetId="36" hidden="1">{"'ridftotal'!$A$4:$S$27"}</definedName>
    <definedName name="HTML_Control" localSheetId="9" hidden="1">{"'ridftotal'!$A$4:$S$27"}</definedName>
    <definedName name="HTML_Control" localSheetId="2" hidden="1">{"'ridftotal'!$A$4:$S$27"}</definedName>
    <definedName name="HTML_Control" localSheetId="10" hidden="1">{"'ridftotal'!$A$4:$S$27"}</definedName>
    <definedName name="HTML_Control" localSheetId="7"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11" hidden="1">{"'ridftotal'!$A$4:$S$27"}</definedName>
    <definedName name="IK" localSheetId="6" hidden="1">{"'ridftotal'!$A$4:$S$27"}</definedName>
    <definedName name="IK" localSheetId="35" hidden="1">{"'ridftotal'!$A$4:$S$27"}</definedName>
    <definedName name="IK" localSheetId="34" hidden="1">{"'ridftotal'!$A$4:$S$27"}</definedName>
    <definedName name="IK" localSheetId="15" hidden="1">{"'ridftotal'!$A$4:$S$27"}</definedName>
    <definedName name="IK" localSheetId="8" hidden="1">{"'ridftotal'!$A$4:$S$27"}</definedName>
    <definedName name="IK" localSheetId="3" hidden="1">{"'ridftotal'!$A$4:$S$27"}</definedName>
    <definedName name="IK" localSheetId="25" hidden="1">{"'ridftotal'!$A$4:$S$27"}</definedName>
    <definedName name="IK" localSheetId="31" hidden="1">{"'ridftotal'!$A$4:$S$27"}</definedName>
    <definedName name="IK" localSheetId="33" hidden="1">{"'ridftotal'!$A$4:$S$27"}</definedName>
    <definedName name="IK" localSheetId="57" hidden="1">{"'ridftotal'!$A$4:$S$27"}</definedName>
    <definedName name="IK" localSheetId="32" hidden="1">{"'ridftotal'!$A$4:$S$27"}</definedName>
    <definedName name="IK" localSheetId="4" hidden="1">{"'ridftotal'!$A$4:$S$27"}</definedName>
    <definedName name="IK" localSheetId="45" hidden="1">{"'ridftotal'!$A$4:$S$27"}</definedName>
    <definedName name="IK" localSheetId="36" hidden="1">{"'ridftotal'!$A$4:$S$27"}</definedName>
    <definedName name="IK" localSheetId="9" hidden="1">{"'ridftotal'!$A$4:$S$27"}</definedName>
    <definedName name="IK" localSheetId="2" hidden="1">{"'ridftotal'!$A$4:$S$27"}</definedName>
    <definedName name="IK" localSheetId="10" hidden="1">{"'ridftotal'!$A$4:$S$27"}</definedName>
    <definedName name="IK" localSheetId="7" hidden="1">{"'ridftotal'!$A$4:$S$27"}</definedName>
    <definedName name="Index" localSheetId="11" hidden="1">{"'ridftotal'!$A$4:$S$27"}</definedName>
    <definedName name="Index" localSheetId="6" hidden="1">{"'ridftotal'!$A$4:$S$27"}</definedName>
    <definedName name="Index" localSheetId="35" hidden="1">{"'ridftotal'!$A$4:$S$27"}</definedName>
    <definedName name="Index" localSheetId="34" hidden="1">{"'ridftotal'!$A$4:$S$27"}</definedName>
    <definedName name="Index" localSheetId="15" hidden="1">{"'ridftotal'!$A$4:$S$27"}</definedName>
    <definedName name="Index" localSheetId="8" hidden="1">{"'ridftotal'!$A$4:$S$27"}</definedName>
    <definedName name="Index" localSheetId="3" hidden="1">{"'ridftotal'!$A$4:$S$27"}</definedName>
    <definedName name="Index" localSheetId="25" hidden="1">{"'ridftotal'!$A$4:$S$27"}</definedName>
    <definedName name="Index" localSheetId="31" hidden="1">{"'ridftotal'!$A$4:$S$27"}</definedName>
    <definedName name="Index" localSheetId="33" hidden="1">{"'ridftotal'!$A$4:$S$27"}</definedName>
    <definedName name="Index" localSheetId="57" hidden="1">{"'ridftotal'!$A$4:$S$27"}</definedName>
    <definedName name="Index" localSheetId="32" hidden="1">{"'ridftotal'!$A$4:$S$27"}</definedName>
    <definedName name="Index" localSheetId="4" hidden="1">{"'ridftotal'!$A$4:$S$27"}</definedName>
    <definedName name="Index" localSheetId="45" hidden="1">{"'ridftotal'!$A$4:$S$27"}</definedName>
    <definedName name="Index" localSheetId="36" hidden="1">{"'ridftotal'!$A$4:$S$27"}</definedName>
    <definedName name="Index" localSheetId="9" hidden="1">{"'ridftotal'!$A$4:$S$27"}</definedName>
    <definedName name="Index" localSheetId="2" hidden="1">{"'ridftotal'!$A$4:$S$27"}</definedName>
    <definedName name="Index" localSheetId="10" hidden="1">{"'ridftotal'!$A$4:$S$27"}</definedName>
    <definedName name="Index" localSheetId="7" hidden="1">{"'ridftotal'!$A$4:$S$27"}</definedName>
    <definedName name="io" localSheetId="11">DATE(YEAR([0]!Loan_Start),MONTH([0]!Loan_Start)+Payment_Number,DAY([0]!Loan_Start))</definedName>
    <definedName name="io" localSheetId="6">DATE(YEAR([0]!Loan_Start),MONTH([0]!Loan_Start)+Payment_Number,DAY([0]!Loan_Start))</definedName>
    <definedName name="io" localSheetId="21">DATE(YEAR([0]!Loan_Start),MONTH([0]!Loan_Start)+Payment_Number,DAY([0]!Loan_Start))</definedName>
    <definedName name="io" localSheetId="15">DATE(YEAR([0]!Loan_Start),MONTH([0]!Loan_Start)+Payment_Number,DAY([0]!Loan_Start))</definedName>
    <definedName name="io" localSheetId="30">DATE(YEAR([0]!Loan_Start),MONTH([0]!Loan_Start)+Payment_Number,DAY([0]!Loan_Start))</definedName>
    <definedName name="io" localSheetId="3">DATE(YEAR([0]!Loan_Start),MONTH([0]!Loan_Start)+Payment_Number,DAY([0]!Loan_Start))</definedName>
    <definedName name="io" localSheetId="25">DATE(YEAR([0]!Loan_Start),MONTH([0]!Loan_Start)+Payment_Number,DAY([0]!Loan_Start))</definedName>
    <definedName name="io" localSheetId="31">DATE(YEAR([0]!Loan_Start),MONTH([0]!Loan_Start)+Payment_Number,DAY([0]!Loan_Start))</definedName>
    <definedName name="io" localSheetId="33">DATE(YEAR([0]!Loan_Start),MONTH([0]!Loan_Start)+Payment_Number,DAY([0]!Loan_Start))</definedName>
    <definedName name="io" localSheetId="57">DATE(YEAR([0]!Loan_Start),MONTH([0]!Loan_Start)+Payment_Number,DAY([0]!Loan_Start))</definedName>
    <definedName name="io" localSheetId="32">DATE(YEAR([0]!Loan_Start),MONTH([0]!Loan_Start)+Payment_Number,DAY([0]!Loan_Start))</definedName>
    <definedName name="io" localSheetId="4">DATE(YEAR([0]!Loan_Start),MONTH([0]!Loan_Start)+Payment_Number,DAY([0]!Loan_Start))</definedName>
    <definedName name="io" localSheetId="45">DATE(YEAR([0]!Loan_Start),MONTH([0]!Loan_Start)+Payment_Number,DAY([0]!Loan_Start))</definedName>
    <definedName name="io" localSheetId="36">DATE(YEAR([0]!Loan_Start),MONTH([0]!Loan_Start)+Payment_Number,DAY([0]!Loan_Start))</definedName>
    <definedName name="io" localSheetId="38">DATE(YEAR([0]!Loan_Start),MONTH([0]!Loan_Start)+Payment_Number,DAY([0]!Loan_Start))</definedName>
    <definedName name="io" localSheetId="10">DATE(YEAR([0]!Loan_Start),MONTH([0]!Loan_Start)+Payment_Number,DAY([0]!Loan_Start))</definedName>
    <definedName name="jk" localSheetId="11" hidden="1">{"'ridftotal'!$A$4:$S$27"}</definedName>
    <definedName name="jk" localSheetId="6" hidden="1">{"'ridftotal'!$A$4:$S$27"}</definedName>
    <definedName name="jk" localSheetId="35" hidden="1">{"'ridftotal'!$A$4:$S$27"}</definedName>
    <definedName name="jk" localSheetId="34" hidden="1">{"'ridftotal'!$A$4:$S$27"}</definedName>
    <definedName name="jk" localSheetId="15" hidden="1">{"'ridftotal'!$A$4:$S$27"}</definedName>
    <definedName name="jk" localSheetId="8" hidden="1">{"'ridftotal'!$A$4:$S$27"}</definedName>
    <definedName name="jk" localSheetId="3" hidden="1">{"'ridftotal'!$A$4:$S$27"}</definedName>
    <definedName name="jk" localSheetId="25" hidden="1">{"'ridftotal'!$A$4:$S$27"}</definedName>
    <definedName name="jk" localSheetId="31" hidden="1">{"'ridftotal'!$A$4:$S$27"}</definedName>
    <definedName name="jk" localSheetId="33" hidden="1">{"'ridftotal'!$A$4:$S$27"}</definedName>
    <definedName name="jk" localSheetId="57" hidden="1">{"'ridftotal'!$A$4:$S$27"}</definedName>
    <definedName name="jk" localSheetId="32" hidden="1">{"'ridftotal'!$A$4:$S$27"}</definedName>
    <definedName name="jk" localSheetId="4" hidden="1">{"'ridftotal'!$A$4:$S$27"}</definedName>
    <definedName name="jk" localSheetId="45" hidden="1">{"'ridftotal'!$A$4:$S$27"}</definedName>
    <definedName name="jk" localSheetId="36" hidden="1">{"'ridftotal'!$A$4:$S$27"}</definedName>
    <definedName name="jk" localSheetId="9" hidden="1">{"'ridftotal'!$A$4:$S$27"}</definedName>
    <definedName name="jk" localSheetId="2" hidden="1">{"'ridftotal'!$A$4:$S$27"}</definedName>
    <definedName name="jk" localSheetId="10" hidden="1">{"'ridftotal'!$A$4:$S$27"}</definedName>
    <definedName name="jk" localSheetId="7" hidden="1">{"'ridftotal'!$A$4:$S$27"}</definedName>
    <definedName name="KADA" localSheetId="11" hidden="1">{"'ridftotal'!$A$4:$S$27"}</definedName>
    <definedName name="KADA" localSheetId="6" hidden="1">{"'ridftotal'!$A$4:$S$27"}</definedName>
    <definedName name="KADA" localSheetId="35" hidden="1">{"'ridftotal'!$A$4:$S$27"}</definedName>
    <definedName name="KADA" localSheetId="34" hidden="1">{"'ridftotal'!$A$4:$S$27"}</definedName>
    <definedName name="KADA" localSheetId="15" hidden="1">{"'ridftotal'!$A$4:$S$27"}</definedName>
    <definedName name="KADA" localSheetId="8" hidden="1">{"'ridftotal'!$A$4:$S$27"}</definedName>
    <definedName name="KADA" localSheetId="3" hidden="1">{"'ridftotal'!$A$4:$S$27"}</definedName>
    <definedName name="KADA" localSheetId="25" hidden="1">{"'ridftotal'!$A$4:$S$27"}</definedName>
    <definedName name="KADA" localSheetId="31" hidden="1">{"'ridftotal'!$A$4:$S$27"}</definedName>
    <definedName name="KADA" localSheetId="33" hidden="1">{"'ridftotal'!$A$4:$S$27"}</definedName>
    <definedName name="KADA" localSheetId="57" hidden="1">{"'ridftotal'!$A$4:$S$27"}</definedName>
    <definedName name="KADA" localSheetId="32" hidden="1">{"'ridftotal'!$A$4:$S$27"}</definedName>
    <definedName name="KADA" localSheetId="4" hidden="1">{"'ridftotal'!$A$4:$S$27"}</definedName>
    <definedName name="KADA" localSheetId="45" hidden="1">{"'ridftotal'!$A$4:$S$27"}</definedName>
    <definedName name="KADA" localSheetId="36" hidden="1">{"'ridftotal'!$A$4:$S$27"}</definedName>
    <definedName name="KADA" localSheetId="9" hidden="1">{"'ridftotal'!$A$4:$S$27"}</definedName>
    <definedName name="KADA" localSheetId="2" hidden="1">{"'ridftotal'!$A$4:$S$27"}</definedName>
    <definedName name="KADA" localSheetId="10" hidden="1">{"'ridftotal'!$A$4:$S$27"}</definedName>
    <definedName name="KADA" localSheetId="7" hidden="1">{"'ridftotal'!$A$4:$S$27"}</definedName>
    <definedName name="kADAPA" localSheetId="11" hidden="1">{"'ridftotal'!$A$4:$S$27"}</definedName>
    <definedName name="kADAPA" localSheetId="6" hidden="1">{"'ridftotal'!$A$4:$S$27"}</definedName>
    <definedName name="kADAPA" localSheetId="35" hidden="1">{"'ridftotal'!$A$4:$S$27"}</definedName>
    <definedName name="kADAPA" localSheetId="34" hidden="1">{"'ridftotal'!$A$4:$S$27"}</definedName>
    <definedName name="kADAPA" localSheetId="15" hidden="1">{"'ridftotal'!$A$4:$S$27"}</definedName>
    <definedName name="kADAPA" localSheetId="8" hidden="1">{"'ridftotal'!$A$4:$S$27"}</definedName>
    <definedName name="kADAPA" localSheetId="3" hidden="1">{"'ridftotal'!$A$4:$S$27"}</definedName>
    <definedName name="kADAPA" localSheetId="25" hidden="1">{"'ridftotal'!$A$4:$S$27"}</definedName>
    <definedName name="kADAPA" localSheetId="31" hidden="1">{"'ridftotal'!$A$4:$S$27"}</definedName>
    <definedName name="kADAPA" localSheetId="33" hidden="1">{"'ridftotal'!$A$4:$S$27"}</definedName>
    <definedName name="kADAPA" localSheetId="57" hidden="1">{"'ridftotal'!$A$4:$S$27"}</definedName>
    <definedName name="kADAPA" localSheetId="32" hidden="1">{"'ridftotal'!$A$4:$S$27"}</definedName>
    <definedName name="kADAPA" localSheetId="4" hidden="1">{"'ridftotal'!$A$4:$S$27"}</definedName>
    <definedName name="kADAPA" localSheetId="45" hidden="1">{"'ridftotal'!$A$4:$S$27"}</definedName>
    <definedName name="kADAPA" localSheetId="36" hidden="1">{"'ridftotal'!$A$4:$S$27"}</definedName>
    <definedName name="kADAPA" localSheetId="9" hidden="1">{"'ridftotal'!$A$4:$S$27"}</definedName>
    <definedName name="kADAPA" localSheetId="2" hidden="1">{"'ridftotal'!$A$4:$S$27"}</definedName>
    <definedName name="kADAPA" localSheetId="10" hidden="1">{"'ridftotal'!$A$4:$S$27"}</definedName>
    <definedName name="kADAPA" localSheetId="7" hidden="1">{"'ridftotal'!$A$4:$S$27"}</definedName>
    <definedName name="KJ" localSheetId="3" hidden="1">{"'ridftotal'!$A$4:$S$27"}</definedName>
    <definedName name="KJ" localSheetId="25" hidden="1">{"'ridftotal'!$A$4:$S$27"}</definedName>
    <definedName name="KJ" localSheetId="31" hidden="1">{"'ridftotal'!$A$4:$S$27"}</definedName>
    <definedName name="KJ" localSheetId="33" hidden="1">{"'ridftotal'!$A$4:$S$27"}</definedName>
    <definedName name="KJ" localSheetId="57" hidden="1">{"'ridftotal'!$A$4:$S$27"}</definedName>
    <definedName name="KJ" localSheetId="32" hidden="1">{"'ridftotal'!$A$4:$S$27"}</definedName>
    <definedName name="KJ" localSheetId="45" hidden="1">{"'ridftotal'!$A$4:$S$27"}</definedName>
    <definedName name="kjghd" localSheetId="11">#N/A</definedName>
    <definedName name="kjghd" localSheetId="3">OFFSET([0]!Full_Print,0,0,[2]CR!Last_Row)</definedName>
    <definedName name="kjghd" localSheetId="25">OFFSET([0]!Full_Print,0,0,[2]CR!Last_Row)</definedName>
    <definedName name="kjghd" localSheetId="31">#N/A</definedName>
    <definedName name="kjghd" localSheetId="33">#N/A</definedName>
    <definedName name="kjghd" localSheetId="57">#N/A</definedName>
    <definedName name="kjghd" localSheetId="32">#N/A</definedName>
    <definedName name="kjghd" localSheetId="45">OFFSET([0]!Full_Print,0,0,[2]CR!Last_Row)</definedName>
    <definedName name="Last_Row" localSheetId="11">#N/A</definedName>
    <definedName name="Last_Row" localSheetId="35">#N/A</definedName>
    <definedName name="Last_Row" localSheetId="3">IF([2]CR!Values_Entered,[0]!Header_Row+[2]CR!Number_of_Payments,[0]!Header_Row)</definedName>
    <definedName name="Last_Row" localSheetId="25">IF([2]CR!Values_Entered,[0]!Header_Row+[2]CR!Number_of_Payments,[0]!Header_Row)</definedName>
    <definedName name="Last_Row" localSheetId="31">#N/A</definedName>
    <definedName name="Last_Row" localSheetId="33">#N/A</definedName>
    <definedName name="Last_Row" localSheetId="57">#N/A</definedName>
    <definedName name="Last_Row" localSheetId="32">#N/A</definedName>
    <definedName name="Last_Row" localSheetId="42">#N/A</definedName>
    <definedName name="Last_Row">IF([2]CR!Values_Entered,[0]!Header_Row+[2]CR!Number_of_Payments,[0]!Header_Row)</definedName>
    <definedName name="MK" localSheetId="11" hidden="1">{"'ridftotal'!$A$4:$S$27"}</definedName>
    <definedName name="MK" localSheetId="6" hidden="1">{"'ridftotal'!$A$4:$S$27"}</definedName>
    <definedName name="MK" localSheetId="35" hidden="1">{"'ridftotal'!$A$4:$S$27"}</definedName>
    <definedName name="MK" localSheetId="34" hidden="1">{"'ridftotal'!$A$4:$S$27"}</definedName>
    <definedName name="MK" localSheetId="15" hidden="1">{"'ridftotal'!$A$4:$S$27"}</definedName>
    <definedName name="MK" localSheetId="8" hidden="1">{"'ridftotal'!$A$4:$S$27"}</definedName>
    <definedName name="MK" localSheetId="3" hidden="1">{"'ridftotal'!$A$4:$S$27"}</definedName>
    <definedName name="MK" localSheetId="25" hidden="1">{"'ridftotal'!$A$4:$S$27"}</definedName>
    <definedName name="MK" localSheetId="31" hidden="1">{"'ridftotal'!$A$4:$S$27"}</definedName>
    <definedName name="MK" localSheetId="33" hidden="1">{"'ridftotal'!$A$4:$S$27"}</definedName>
    <definedName name="MK" localSheetId="57" hidden="1">{"'ridftotal'!$A$4:$S$27"}</definedName>
    <definedName name="MK" localSheetId="32" hidden="1">{"'ridftotal'!$A$4:$S$27"}</definedName>
    <definedName name="MK" localSheetId="4" hidden="1">{"'ridftotal'!$A$4:$S$27"}</definedName>
    <definedName name="MK" localSheetId="45" hidden="1">{"'ridftotal'!$A$4:$S$27"}</definedName>
    <definedName name="MK" localSheetId="36" hidden="1">{"'ridftotal'!$A$4:$S$27"}</definedName>
    <definedName name="MK" localSheetId="9" hidden="1">{"'ridftotal'!$A$4:$S$27"}</definedName>
    <definedName name="MK" localSheetId="2" hidden="1">{"'ridftotal'!$A$4:$S$27"}</definedName>
    <definedName name="MK" localSheetId="10" hidden="1">{"'ridftotal'!$A$4:$S$27"}</definedName>
    <definedName name="MK" localSheetId="7" hidden="1">{"'ridftotal'!$A$4:$S$27"}</definedName>
    <definedName name="NM" localSheetId="11" hidden="1">{"'ridftotal'!$A$4:$S$27"}</definedName>
    <definedName name="NM" localSheetId="6" hidden="1">{"'ridftotal'!$A$4:$S$27"}</definedName>
    <definedName name="NM" localSheetId="35" hidden="1">{"'ridftotal'!$A$4:$S$27"}</definedName>
    <definedName name="NM" localSheetId="34" hidden="1">{"'ridftotal'!$A$4:$S$27"}</definedName>
    <definedName name="NM" localSheetId="15" hidden="1">{"'ridftotal'!$A$4:$S$27"}</definedName>
    <definedName name="NM" localSheetId="8" hidden="1">{"'ridftotal'!$A$4:$S$27"}</definedName>
    <definedName name="NM" localSheetId="3" hidden="1">{"'ridftotal'!$A$4:$S$27"}</definedName>
    <definedName name="NM" localSheetId="25" hidden="1">{"'ridftotal'!$A$4:$S$27"}</definedName>
    <definedName name="NM" localSheetId="31" hidden="1">{"'ridftotal'!$A$4:$S$27"}</definedName>
    <definedName name="NM" localSheetId="33" hidden="1">{"'ridftotal'!$A$4:$S$27"}</definedName>
    <definedName name="NM" localSheetId="57" hidden="1">{"'ridftotal'!$A$4:$S$27"}</definedName>
    <definedName name="NM" localSheetId="32" hidden="1">{"'ridftotal'!$A$4:$S$27"}</definedName>
    <definedName name="NM" localSheetId="4" hidden="1">{"'ridftotal'!$A$4:$S$27"}</definedName>
    <definedName name="NM" localSheetId="45" hidden="1">{"'ridftotal'!$A$4:$S$27"}</definedName>
    <definedName name="NM" localSheetId="36" hidden="1">{"'ridftotal'!$A$4:$S$27"}</definedName>
    <definedName name="NM" localSheetId="9" hidden="1">{"'ridftotal'!$A$4:$S$27"}</definedName>
    <definedName name="NM" localSheetId="2" hidden="1">{"'ridftotal'!$A$4:$S$27"}</definedName>
    <definedName name="NM" localSheetId="10" hidden="1">{"'ridftotal'!$A$4:$S$27"}</definedName>
    <definedName name="NM" localSheetId="7" hidden="1">{"'ridftotal'!$A$4:$S$27"}</definedName>
    <definedName name="nn" localSheetId="3" hidden="1">{"'ridftotal'!$A$4:$S$27"}</definedName>
    <definedName name="nn" localSheetId="25" hidden="1">{"'ridftotal'!$A$4:$S$27"}</definedName>
    <definedName name="nn" localSheetId="31" hidden="1">{"'ridftotal'!$A$4:$S$27"}</definedName>
    <definedName name="nn" localSheetId="33" hidden="1">{"'ridftotal'!$A$4:$S$27"}</definedName>
    <definedName name="nn" localSheetId="57" hidden="1">{"'ridftotal'!$A$4:$S$27"}</definedName>
    <definedName name="nn" localSheetId="32" hidden="1">{"'ridftotal'!$A$4:$S$27"}</definedName>
    <definedName name="nn" localSheetId="45" hidden="1">{"'ridftotal'!$A$4:$S$27"}</definedName>
    <definedName name="Number_of_Payments" localSheetId="11">MATCH(0.01,[0]!End_Bal,-1)+1</definedName>
    <definedName name="Number_of_Payments" localSheetId="6">MATCH(0.01,[0]!End_Bal,-1)+1</definedName>
    <definedName name="Number_of_Payments" localSheetId="21">MATCH(0.01,[0]!End_Bal,-1)+1</definedName>
    <definedName name="Number_of_Payments" localSheetId="15">MATCH(0.01,[0]!End_Bal,-1)+1</definedName>
    <definedName name="Number_of_Payments" localSheetId="30">MATCH(0.01,[0]!End_Bal,-1)+1</definedName>
    <definedName name="Number_of_Payments" localSheetId="3">MATCH(0.01,[0]!End_Bal,-1)+1</definedName>
    <definedName name="Number_of_Payments" localSheetId="25">MATCH(0.01,[0]!End_Bal,-1)+1</definedName>
    <definedName name="Number_of_Payments" localSheetId="31">MATCH(0.01,[0]!End_Bal,-1)+1</definedName>
    <definedName name="Number_of_Payments" localSheetId="33">MATCH(0.01,[0]!End_Bal,-1)+1</definedName>
    <definedName name="Number_of_Payments" localSheetId="57">MATCH(0.01,[0]!End_Bal,-1)+1</definedName>
    <definedName name="Number_of_Payments" localSheetId="32">MATCH(0.01,[0]!End_Bal,-1)+1</definedName>
    <definedName name="Number_of_Payments" localSheetId="4">MATCH(0.01,[0]!End_Bal,-1)+1</definedName>
    <definedName name="Number_of_Payments" localSheetId="45">MATCH(0.01,[0]!End_Bal,-1)+1</definedName>
    <definedName name="Number_of_Payments" localSheetId="36">MATCH(0.01,[0]!End_Bal,-1)+1</definedName>
    <definedName name="Number_of_Payments" localSheetId="38">MATCH(0.01,[0]!End_Bal,-1)+1</definedName>
    <definedName name="Number_of_Payments" localSheetId="10">MATCH(0.01,[0]!End_Bal,-1)+1</definedName>
    <definedName name="OrderTable" localSheetId="48" hidden="1">#REF!</definedName>
    <definedName name="OrderTable" localSheetId="49" hidden="1">#REF!</definedName>
    <definedName name="OrderTable" localSheetId="11" hidden="1">#REF!</definedName>
    <definedName name="OrderTable" localSheetId="50" hidden="1">#REF!</definedName>
    <definedName name="OrderTable" localSheetId="51" hidden="1">#REF!</definedName>
    <definedName name="OrderTable" localSheetId="6" hidden="1">#REF!</definedName>
    <definedName name="OrderTable" localSheetId="35" hidden="1">#REF!</definedName>
    <definedName name="OrderTable" localSheetId="34" hidden="1">#REF!</definedName>
    <definedName name="OrderTable" localSheetId="21" hidden="1">#REF!</definedName>
    <definedName name="OrderTable" localSheetId="15" hidden="1">#REF!</definedName>
    <definedName name="OrderTable" localSheetId="30" hidden="1">#REF!</definedName>
    <definedName name="OrderTable" localSheetId="8" hidden="1">#REF!</definedName>
    <definedName name="OrderTable" localSheetId="25" hidden="1">#REF!</definedName>
    <definedName name="OrderTable" localSheetId="31" hidden="1">#REF!</definedName>
    <definedName name="OrderTable" localSheetId="33" hidden="1">#REF!</definedName>
    <definedName name="OrderTable" localSheetId="57" hidden="1">#REF!</definedName>
    <definedName name="OrderTable" localSheetId="32" hidden="1">#REF!</definedName>
    <definedName name="OrderTable" localSheetId="4" hidden="1">#REF!</definedName>
    <definedName name="OrderTable" localSheetId="45" hidden="1">#REF!</definedName>
    <definedName name="OrderTable" localSheetId="36" hidden="1">#REF!</definedName>
    <definedName name="OrderTable" localSheetId="38" hidden="1">#REF!</definedName>
    <definedName name="OrderTable" localSheetId="9" hidden="1">#REF!</definedName>
    <definedName name="OrderTable" localSheetId="2" hidden="1">#REF!</definedName>
    <definedName name="OrderTable" localSheetId="10" hidden="1">#REF!</definedName>
    <definedName name="OrderTable" localSheetId="7" hidden="1">#REF!</definedName>
    <definedName name="Payment_Date" localSheetId="11">DATE(YEAR([0]!Loan_Start),MONTH([0]!Loan_Start)+Payment_Number,DAY([0]!Loan_Start))</definedName>
    <definedName name="Payment_Date" localSheetId="6">DATE(YEAR([0]!Loan_Start),MONTH([0]!Loan_Start)+Payment_Number,DAY([0]!Loan_Start))</definedName>
    <definedName name="Payment_Date" localSheetId="21">DATE(YEAR([0]!Loan_Start),MONTH([0]!Loan_Start)+Payment_Number,DAY([0]!Loan_Start))</definedName>
    <definedName name="Payment_Date" localSheetId="15">DATE(YEAR([0]!Loan_Start),MONTH([0]!Loan_Start)+Payment_Number,DAY([0]!Loan_Start))</definedName>
    <definedName name="Payment_Date" localSheetId="30">DATE(YEAR([0]!Loan_Start),MONTH([0]!Loan_Start)+Payment_Number,DAY([0]!Loan_Start))</definedName>
    <definedName name="Payment_Date" localSheetId="3">DATE(YEAR([0]!Loan_Start),MONTH([0]!Loan_Start)+Payment_Number,DAY([0]!Loan_Start))</definedName>
    <definedName name="Payment_Date" localSheetId="25">DATE(YEAR([0]!Loan_Start),MONTH([0]!Loan_Start)+Payment_Number,DAY([0]!Loan_Start))</definedName>
    <definedName name="Payment_Date" localSheetId="31">DATE(YEAR([0]!Loan_Start),MONTH([0]!Loan_Start)+Payment_Number,DAY([0]!Loan_Start))</definedName>
    <definedName name="Payment_Date" localSheetId="33">DATE(YEAR([0]!Loan_Start),MONTH([0]!Loan_Start)+Payment_Number,DAY([0]!Loan_Start))</definedName>
    <definedName name="Payment_Date" localSheetId="57">DATE(YEAR([0]!Loan_Start),MONTH([0]!Loan_Start)+Payment_Number,DAY([0]!Loan_Start))</definedName>
    <definedName name="Payment_Date" localSheetId="32">DATE(YEAR([0]!Loan_Start),MONTH([0]!Loan_Start)+Payment_Number,DAY([0]!Loan_Start))</definedName>
    <definedName name="Payment_Date" localSheetId="4">DATE(YEAR([0]!Loan_Start),MONTH([0]!Loan_Start)+Payment_Number,DAY([0]!Loan_Start))</definedName>
    <definedName name="Payment_Date" localSheetId="45">DATE(YEAR([0]!Loan_Start),MONTH([0]!Loan_Start)+Payment_Number,DAY([0]!Loan_Start))</definedName>
    <definedName name="Payment_Date" localSheetId="36">DATE(YEAR([0]!Loan_Start),MONTH([0]!Loan_Start)+Payment_Number,DAY([0]!Loan_Start))</definedName>
    <definedName name="Payment_Date" localSheetId="38">DATE(YEAR([0]!Loan_Start),MONTH([0]!Loan_Start)+Payment_Number,DAY([0]!Loan_Start))</definedName>
    <definedName name="Payment_Date" localSheetId="10">DATE(YEAR([0]!Loan_Start),MONTH([0]!Loan_Start)+Payment_Number,DAY([0]!Loan_Start))</definedName>
    <definedName name="pi">3.1415</definedName>
    <definedName name="_xlnm.Print_Area" localSheetId="47">'1 (2)'!$A$1:$I$20</definedName>
    <definedName name="_xlnm.Print_Area" localSheetId="48">'2 (2)'!$A$1:$I$20</definedName>
    <definedName name="_xlnm.Print_Area" localSheetId="49">'3 (2)'!$A$1:$I$20</definedName>
    <definedName name="_xlnm.Print_Area" localSheetId="11">'3.60 lakhs'!$A$1:$M$1472</definedName>
    <definedName name="_xlnm.Print_Area" localSheetId="50">'4 (2)'!$A$1:$I$20</definedName>
    <definedName name="_xlnm.Print_Area" localSheetId="51">'5 (2)'!$A$1:$I$20</definedName>
    <definedName name="_xlnm.Print_Area" localSheetId="6">abstract!$A$1:$G$29</definedName>
    <definedName name="_xlnm.Print_Area" localSheetId="39">'C-1'!$A$1:$G$57</definedName>
    <definedName name="_xlnm.Print_Area" localSheetId="40">'CC f -2'!$A$1:$J$56</definedName>
    <definedName name="_xlnm.Print_Area" localSheetId="35">CR!$A$1:$M$1159</definedName>
    <definedName name="_xlnm.Print_Area" localSheetId="34">CS!$A$1:$M$1166</definedName>
    <definedName name="_xlnm.Print_Area" localSheetId="21">'D&amp;W data'!$A$1:$H$950</definedName>
    <definedName name="_xlnm.Print_Area" localSheetId="20">data!$A$1:$G$3678</definedName>
    <definedName name="_xlnm.Print_Area" localSheetId="27">'data 2022-23'!$A$1:$G$925</definedName>
    <definedName name="_xlnm.Print_Area" localSheetId="15">'Differ- Material'!$A$1:$F$125</definedName>
    <definedName name="_xlnm.Print_Area" localSheetId="30">'door 2022-23'!$A$1:$H$254</definedName>
    <definedName name="_xlnm.Print_Area" localSheetId="29">'Ele 2022-23'!$A$1:$I$292</definedName>
    <definedName name="_xlnm.Print_Area" localSheetId="23">'Ele Data'!$A$1:$I$1134</definedName>
    <definedName name="_xlnm.Print_Area" localSheetId="8">FF!$A$1:$M$1551</definedName>
    <definedName name="_xlnm.Print_Area" localSheetId="3">Genetic!$A$1:$E$40</definedName>
    <definedName name="_xlnm.Print_Area" localSheetId="5">INPUT!$A$1:$H$128</definedName>
    <definedName name="_xlnm.Print_Area" localSheetId="16">'lead 19-20'!$A$1:$L$33</definedName>
    <definedName name="_xlnm.Print_Area" localSheetId="17">'lead 20-21'!$A$1:$L$33</definedName>
    <definedName name="_xlnm.Print_Area" localSheetId="18">'lead 21-22'!$A$1:$L$33</definedName>
    <definedName name="_xlnm.Print_Area" localSheetId="19">'lead 22-23'!$A$1:$L$33</definedName>
    <definedName name="_xlnm.Print_Area" localSheetId="26">'lead 22-23 P-B'!$A$1:$L$33</definedName>
    <definedName name="_xlnm.Print_Area" localSheetId="4">NIC!$A$1:$G$1143</definedName>
    <definedName name="_xlnm.Print_Area" localSheetId="36">'R-1'!$A$1:$J$1131</definedName>
    <definedName name="_xlnm.Print_Area" localSheetId="38">'R-2'!$A$1:$P$186</definedName>
    <definedName name="_xlnm.Print_Area" localSheetId="28">'SANI 2022-23'!$A$1:$G$151</definedName>
    <definedName name="_xlnm.Print_Area" localSheetId="22">'SANITATION DTA'!$A$1:$G$595</definedName>
    <definedName name="_xlnm.Print_Area" localSheetId="14">'SEIG P-A '!$A$1:$U$238</definedName>
    <definedName name="_xlnm.Print_Area" localSheetId="42">'SEIG P-A  (2)'!$A$1:$U$237</definedName>
    <definedName name="_xlnm.Print_Area" localSheetId="12">'SEIG P-B'!$A$1:$U$56</definedName>
    <definedName name="_xlnm.Print_Area" localSheetId="9">SF!$A$1:$M$970</definedName>
    <definedName name="_xlnm.Print_Area" localSheetId="2">SPE!$A$1:$I$14</definedName>
    <definedName name="_xlnm.Print_Area" localSheetId="46">'voucer part (2)'!$A$1:$L$36</definedName>
    <definedName name="_xlnm.Print_Area" localSheetId="10">'Water &amp; Electrical'!$A$1:$M$2048</definedName>
    <definedName name="_xlnm.Print_Area" localSheetId="7">WORK!$A$1:$M$4031</definedName>
    <definedName name="Print_Area_Reset" localSheetId="11">OFFSET([0]!Full_Print,0,0,'3.60 lakhs'!Last_Row)</definedName>
    <definedName name="Print_Area_Reset" localSheetId="6">OFFSET([0]!Full_Print,0,0,[0]!Last_Row)</definedName>
    <definedName name="Print_Area_Reset" localSheetId="21">OFFSET([0]!Full_Print,0,0,[0]!Last_Row)</definedName>
    <definedName name="Print_Area_Reset" localSheetId="15">OFFSET([0]!Full_Print,0,0,[0]!Last_Row)</definedName>
    <definedName name="Print_Area_Reset" localSheetId="30">OFFSET([0]!Full_Print,0,0,[0]!Last_Row)</definedName>
    <definedName name="Print_Area_Reset" localSheetId="3">OFFSET([0]!Full_Print,0,0,Genetic!Last_Row)</definedName>
    <definedName name="Print_Area_Reset" localSheetId="25">OFFSET([0]!Full_Print,0,0,'MINI SSR 19-20'!Last_Row)</definedName>
    <definedName name="Print_Area_Reset" localSheetId="31">OFFSET([0]!Full_Print,0,0,'MINI SSR 2020-21'!Last_Row)</definedName>
    <definedName name="Print_Area_Reset" localSheetId="33">OFFSET([0]!Full_Print,0,0,'MINI SSR 2022-23'!Last_Row)</definedName>
    <definedName name="Print_Area_Reset" localSheetId="57">OFFSET([0]!Full_Print,0,0,'MINI SSR 2022-23 (2)'!Last_Row)</definedName>
    <definedName name="Print_Area_Reset" localSheetId="32">OFFSET([0]!Full_Print,0,0,'MINI SSR 21-22'!Last_Row)</definedName>
    <definedName name="Print_Area_Reset" localSheetId="4">OFFSET([0]!Full_Print,0,0,[0]!Last_Row)</definedName>
    <definedName name="Print_Area_Reset" localSheetId="45">OFFSET([0]!Full_Print,0,0,[0]!Last_Row)</definedName>
    <definedName name="Print_Area_Reset" localSheetId="36">OFFSET([0]!Full_Print,0,0,[0]!Last_Row)</definedName>
    <definedName name="Print_Area_Reset" localSheetId="38">OFFSET([0]!Full_Print,0,0,[0]!Last_Row)</definedName>
    <definedName name="Print_Area_Reset" localSheetId="10">OFFSET([0]!Full_Print,0,0,[0]!Last_Row)</definedName>
    <definedName name="_xlnm.Print_Titles" localSheetId="11">'3.60 lakhs'!$4:$6</definedName>
    <definedName name="_xlnm.Print_Titles" localSheetId="6">abstract!$5:$7</definedName>
    <definedName name="_xlnm.Print_Titles" localSheetId="24">'con 2019-20'!$3:$4</definedName>
    <definedName name="_xlnm.Print_Titles" localSheetId="37">'con 2020-21'!$3:$4</definedName>
    <definedName name="_xlnm.Print_Titles" localSheetId="54">'con 2021-22'!$3:$4</definedName>
    <definedName name="_xlnm.Print_Titles" localSheetId="55">'con 2022-23'!$3:$4</definedName>
    <definedName name="_xlnm.Print_Titles" localSheetId="56">'con 2022-23 (2)'!$3:$4</definedName>
    <definedName name="_xlnm.Print_Titles" localSheetId="35">CR!$4:$6</definedName>
    <definedName name="_xlnm.Print_Titles" localSheetId="34">CS!$4:$6</definedName>
    <definedName name="_xlnm.Print_Titles" localSheetId="21">'D&amp;W data'!$5:$5</definedName>
    <definedName name="_xlnm.Print_Titles" localSheetId="20">data!$6:$6</definedName>
    <definedName name="_xlnm.Print_Titles" localSheetId="27">'data 2022-23'!$4:$4</definedName>
    <definedName name="_xlnm.Print_Titles" localSheetId="15">'Differ- Material'!$4:$5</definedName>
    <definedName name="_xlnm.Print_Titles" localSheetId="30">'door 2022-23'!$5:$5</definedName>
    <definedName name="_xlnm.Print_Titles" localSheetId="29">'Ele 2022-23'!$2:$3</definedName>
    <definedName name="_xlnm.Print_Titles" localSheetId="23">'Ele Data'!$2:$3</definedName>
    <definedName name="_xlnm.Print_Titles" localSheetId="8">FF!$5:$7</definedName>
    <definedName name="_xlnm.Print_Titles" localSheetId="5">INPUT!$4:$4</definedName>
    <definedName name="_xlnm.Print_Titles" localSheetId="16">'lead 19-20'!$5:$7</definedName>
    <definedName name="_xlnm.Print_Titles" localSheetId="17">'lead 20-21'!$5:$7</definedName>
    <definedName name="_xlnm.Print_Titles" localSheetId="18">'lead 21-22'!$5:$7</definedName>
    <definedName name="_xlnm.Print_Titles" localSheetId="19">'lead 22-23'!$5:$7</definedName>
    <definedName name="_xlnm.Print_Titles" localSheetId="26">'lead 22-23 P-B'!$5:$7</definedName>
    <definedName name="_xlnm.Print_Titles" localSheetId="4">NIC!$4:$5</definedName>
    <definedName name="_xlnm.Print_Titles" localSheetId="45">'Proforma-I'!$C:$E</definedName>
    <definedName name="_xlnm.Print_Titles" localSheetId="36">'R-1'!$4:$5</definedName>
    <definedName name="_xlnm.Print_Titles" localSheetId="38">'R-2'!$3:$3</definedName>
    <definedName name="_xlnm.Print_Titles" localSheetId="28">'SANI 2022-23'!$2:$3</definedName>
    <definedName name="_xlnm.Print_Titles" localSheetId="22">'SANITATION DTA'!$2:$3</definedName>
    <definedName name="_xlnm.Print_Titles" localSheetId="14">'SEIG P-A '!$3:$3</definedName>
    <definedName name="_xlnm.Print_Titles" localSheetId="42">'SEIG P-A  (2)'!$3:$3</definedName>
    <definedName name="_xlnm.Print_Titles" localSheetId="12">'SEIG P-B'!$3:$3</definedName>
    <definedName name="_xlnm.Print_Titles" localSheetId="9">SF!$5:$7</definedName>
    <definedName name="_xlnm.Print_Titles" localSheetId="10">'Water &amp; Electrical'!$5:$7</definedName>
    <definedName name="_xlnm.Print_Titles" localSheetId="7">WORK!$4:$6</definedName>
    <definedName name="ProdForm" localSheetId="48" hidden="1">#REF!</definedName>
    <definedName name="ProdForm" localSheetId="49" hidden="1">#REF!</definedName>
    <definedName name="ProdForm" localSheetId="11" hidden="1">#REF!</definedName>
    <definedName name="ProdForm" localSheetId="50" hidden="1">#REF!</definedName>
    <definedName name="ProdForm" localSheetId="51" hidden="1">#REF!</definedName>
    <definedName name="ProdForm" localSheetId="6" hidden="1">#REF!</definedName>
    <definedName name="ProdForm" localSheetId="35" hidden="1">#REF!</definedName>
    <definedName name="ProdForm" localSheetId="34" hidden="1">#REF!</definedName>
    <definedName name="ProdForm" localSheetId="21" hidden="1">#REF!</definedName>
    <definedName name="ProdForm" localSheetId="15" hidden="1">#REF!</definedName>
    <definedName name="ProdForm" localSheetId="30" hidden="1">#REF!</definedName>
    <definedName name="ProdForm" localSheetId="8" hidden="1">#REF!</definedName>
    <definedName name="ProdForm" localSheetId="25" hidden="1">#REF!</definedName>
    <definedName name="ProdForm" localSheetId="31" hidden="1">#REF!</definedName>
    <definedName name="ProdForm" localSheetId="33" hidden="1">#REF!</definedName>
    <definedName name="ProdForm" localSheetId="57" hidden="1">#REF!</definedName>
    <definedName name="ProdForm" localSheetId="32" hidden="1">#REF!</definedName>
    <definedName name="ProdForm" localSheetId="4" hidden="1">#REF!</definedName>
    <definedName name="ProdForm" localSheetId="45" hidden="1">#REF!</definedName>
    <definedName name="ProdForm" localSheetId="36" hidden="1">#REF!</definedName>
    <definedName name="ProdForm" localSheetId="38" hidden="1">#REF!</definedName>
    <definedName name="ProdForm" localSheetId="9" hidden="1">#REF!</definedName>
    <definedName name="ProdForm" localSheetId="2" hidden="1">#REF!</definedName>
    <definedName name="ProdForm" localSheetId="10" hidden="1">#REF!</definedName>
    <definedName name="ProdForm" localSheetId="7" hidden="1">#REF!</definedName>
    <definedName name="Product" localSheetId="48" hidden="1">#REF!</definedName>
    <definedName name="Product" localSheetId="49" hidden="1">#REF!</definedName>
    <definedName name="Product" localSheetId="11" hidden="1">#REF!</definedName>
    <definedName name="Product" localSheetId="50" hidden="1">#REF!</definedName>
    <definedName name="Product" localSheetId="51" hidden="1">#REF!</definedName>
    <definedName name="Product" localSheetId="6" hidden="1">#REF!</definedName>
    <definedName name="Product" localSheetId="35" hidden="1">#REF!</definedName>
    <definedName name="Product" localSheetId="34" hidden="1">#REF!</definedName>
    <definedName name="Product" localSheetId="21" hidden="1">#REF!</definedName>
    <definedName name="Product" localSheetId="15" hidden="1">#REF!</definedName>
    <definedName name="Product" localSheetId="30" hidden="1">#REF!</definedName>
    <definedName name="Product" localSheetId="8" hidden="1">#REF!</definedName>
    <definedName name="Product" localSheetId="25" hidden="1">#REF!</definedName>
    <definedName name="Product" localSheetId="31" hidden="1">#REF!</definedName>
    <definedName name="Product" localSheetId="33" hidden="1">#REF!</definedName>
    <definedName name="Product" localSheetId="57" hidden="1">#REF!</definedName>
    <definedName name="Product" localSheetId="32" hidden="1">#REF!</definedName>
    <definedName name="Product" localSheetId="4" hidden="1">#REF!</definedName>
    <definedName name="Product" localSheetId="45" hidden="1">#REF!</definedName>
    <definedName name="Product" localSheetId="36" hidden="1">#REF!</definedName>
    <definedName name="Product" localSheetId="38" hidden="1">#REF!</definedName>
    <definedName name="Product" localSheetId="9" hidden="1">#REF!</definedName>
    <definedName name="Product" localSheetId="2" hidden="1">#REF!</definedName>
    <definedName name="Product" localSheetId="10" hidden="1">#REF!</definedName>
    <definedName name="Product" localSheetId="7" hidden="1">#REF!</definedName>
    <definedName name="RCArea" localSheetId="48" hidden="1">#REF!</definedName>
    <definedName name="RCArea" localSheetId="49" hidden="1">#REF!</definedName>
    <definedName name="RCArea" localSheetId="11" hidden="1">#REF!</definedName>
    <definedName name="RCArea" localSheetId="50" hidden="1">#REF!</definedName>
    <definedName name="RCArea" localSheetId="51" hidden="1">#REF!</definedName>
    <definedName name="RCArea" localSheetId="6" hidden="1">#REF!</definedName>
    <definedName name="RCArea" localSheetId="35" hidden="1">#REF!</definedName>
    <definedName name="RCArea" localSheetId="34" hidden="1">#REF!</definedName>
    <definedName name="RCArea" localSheetId="21" hidden="1">#REF!</definedName>
    <definedName name="RCArea" localSheetId="15" hidden="1">#REF!</definedName>
    <definedName name="RCArea" localSheetId="30" hidden="1">#REF!</definedName>
    <definedName name="RCArea" localSheetId="8" hidden="1">#REF!</definedName>
    <definedName name="RCArea" localSheetId="25" hidden="1">#REF!</definedName>
    <definedName name="RCArea" localSheetId="31" hidden="1">#REF!</definedName>
    <definedName name="RCArea" localSheetId="33" hidden="1">#REF!</definedName>
    <definedName name="RCArea" localSheetId="57" hidden="1">#REF!</definedName>
    <definedName name="RCArea" localSheetId="32" hidden="1">#REF!</definedName>
    <definedName name="RCArea" localSheetId="4" hidden="1">#REF!</definedName>
    <definedName name="RCArea" localSheetId="45" hidden="1">#REF!</definedName>
    <definedName name="RCArea" localSheetId="36" hidden="1">#REF!</definedName>
    <definedName name="RCArea" localSheetId="38" hidden="1">#REF!</definedName>
    <definedName name="RCArea" localSheetId="9" hidden="1">#REF!</definedName>
    <definedName name="RCArea" localSheetId="2" hidden="1">#REF!</definedName>
    <definedName name="RCArea" localSheetId="10" hidden="1">#REF!</definedName>
    <definedName name="RCArea" localSheetId="7" hidden="1">#REF!</definedName>
    <definedName name="S.F" localSheetId="48" hidden="1">'[1]final abstract'!#REF!</definedName>
    <definedName name="S.F" localSheetId="49" hidden="1">'[1]final abstract'!#REF!</definedName>
    <definedName name="S.F" localSheetId="11" hidden="1">'[1]final abstract'!#REF!</definedName>
    <definedName name="S.F" localSheetId="50" hidden="1">'[1]final abstract'!#REF!</definedName>
    <definedName name="S.F" localSheetId="51" hidden="1">'[1]final abstract'!#REF!</definedName>
    <definedName name="S.F" localSheetId="6" hidden="1">'[1]final abstract'!#REF!</definedName>
    <definedName name="S.F" localSheetId="35" hidden="1">'[1]final abstract'!#REF!</definedName>
    <definedName name="S.F" localSheetId="34" hidden="1">'[1]final abstract'!#REF!</definedName>
    <definedName name="S.F" localSheetId="21" hidden="1">'[1]final abstract'!#REF!</definedName>
    <definedName name="S.F" localSheetId="15" hidden="1">'[1]final abstract'!#REF!</definedName>
    <definedName name="S.F" localSheetId="30" hidden="1">'[1]final abstract'!#REF!</definedName>
    <definedName name="S.F" localSheetId="8" hidden="1">'[1]final abstract'!#REF!</definedName>
    <definedName name="S.F" localSheetId="4" hidden="1">'[1]final abstract'!#REF!</definedName>
    <definedName name="S.F" localSheetId="36" hidden="1">'[1]final abstract'!#REF!</definedName>
    <definedName name="S.F" localSheetId="38" hidden="1">'[1]final abstract'!#REF!</definedName>
    <definedName name="S.F" localSheetId="9" hidden="1">'[1]final abstract'!#REF!</definedName>
    <definedName name="S.F" localSheetId="2" hidden="1">'[1]final abstract'!#REF!</definedName>
    <definedName name="S.F" localSheetId="10" hidden="1">'[1]final abstract'!#REF!</definedName>
    <definedName name="S.F" localSheetId="7" hidden="1">'[1]final abstract'!#REF!</definedName>
    <definedName name="SKDIRD" localSheetId="11" hidden="1">{"'ridftotal'!$A$4:$S$27"}</definedName>
    <definedName name="SKDIRD" localSheetId="6" hidden="1">{"'ridftotal'!$A$4:$S$27"}</definedName>
    <definedName name="SKDIRD" localSheetId="35" hidden="1">{"'ridftotal'!$A$4:$S$27"}</definedName>
    <definedName name="SKDIRD" localSheetId="34" hidden="1">{"'ridftotal'!$A$4:$S$27"}</definedName>
    <definedName name="SKDIRD" localSheetId="15" hidden="1">{"'ridftotal'!$A$4:$S$27"}</definedName>
    <definedName name="SKDIRD" localSheetId="8" hidden="1">{"'ridftotal'!$A$4:$S$27"}</definedName>
    <definedName name="SKDIRD" localSheetId="3" hidden="1">{"'ridftotal'!$A$4:$S$27"}</definedName>
    <definedName name="SKDIRD" localSheetId="25" hidden="1">{"'ridftotal'!$A$4:$S$27"}</definedName>
    <definedName name="SKDIRD" localSheetId="31" hidden="1">{"'ridftotal'!$A$4:$S$27"}</definedName>
    <definedName name="SKDIRD" localSheetId="33" hidden="1">{"'ridftotal'!$A$4:$S$27"}</definedName>
    <definedName name="SKDIRD" localSheetId="57" hidden="1">{"'ridftotal'!$A$4:$S$27"}</definedName>
    <definedName name="SKDIRD" localSheetId="32" hidden="1">{"'ridftotal'!$A$4:$S$27"}</definedName>
    <definedName name="SKDIRD" localSheetId="4" hidden="1">{"'ridftotal'!$A$4:$S$27"}</definedName>
    <definedName name="SKDIRD" localSheetId="45" hidden="1">{"'ridftotal'!$A$4:$S$27"}</definedName>
    <definedName name="SKDIRD" localSheetId="36" hidden="1">{"'ridftotal'!$A$4:$S$27"}</definedName>
    <definedName name="SKDIRD" localSheetId="9" hidden="1">{"'ridftotal'!$A$4:$S$27"}</definedName>
    <definedName name="SKDIRD" localSheetId="2" hidden="1">{"'ridftotal'!$A$4:$S$27"}</definedName>
    <definedName name="SKDIRD" localSheetId="10" hidden="1">{"'ridftotal'!$A$4:$S$27"}</definedName>
    <definedName name="SKDIRD" localSheetId="7" hidden="1">{"'ridftotal'!$A$4:$S$27"}</definedName>
    <definedName name="SpecialPrice" localSheetId="48" hidden="1">#REF!</definedName>
    <definedName name="SpecialPrice" localSheetId="49" hidden="1">#REF!</definedName>
    <definedName name="SpecialPrice" localSheetId="11" hidden="1">#REF!</definedName>
    <definedName name="SpecialPrice" localSheetId="50" hidden="1">#REF!</definedName>
    <definedName name="SpecialPrice" localSheetId="51" hidden="1">#REF!</definedName>
    <definedName name="SpecialPrice" localSheetId="6" hidden="1">#REF!</definedName>
    <definedName name="SpecialPrice" localSheetId="35" hidden="1">#REF!</definedName>
    <definedName name="SpecialPrice" localSheetId="34" hidden="1">#REF!</definedName>
    <definedName name="SpecialPrice" localSheetId="21" hidden="1">#REF!</definedName>
    <definedName name="SpecialPrice" localSheetId="15" hidden="1">#REF!</definedName>
    <definedName name="SpecialPrice" localSheetId="30" hidden="1">#REF!</definedName>
    <definedName name="SpecialPrice" localSheetId="8" hidden="1">#REF!</definedName>
    <definedName name="SpecialPrice" localSheetId="25" hidden="1">#REF!</definedName>
    <definedName name="SpecialPrice" localSheetId="31" hidden="1">#REF!</definedName>
    <definedName name="SpecialPrice" localSheetId="33" hidden="1">#REF!</definedName>
    <definedName name="SpecialPrice" localSheetId="57" hidden="1">#REF!</definedName>
    <definedName name="SpecialPrice" localSheetId="32" hidden="1">#REF!</definedName>
    <definedName name="SpecialPrice" localSheetId="4" hidden="1">#REF!</definedName>
    <definedName name="SpecialPrice" localSheetId="45" hidden="1">#REF!</definedName>
    <definedName name="SpecialPrice" localSheetId="36" hidden="1">#REF!</definedName>
    <definedName name="SpecialPrice" localSheetId="38" hidden="1">#REF!</definedName>
    <definedName name="SpecialPrice" localSheetId="9" hidden="1">#REF!</definedName>
    <definedName name="SpecialPrice" localSheetId="2" hidden="1">#REF!</definedName>
    <definedName name="SpecialPrice" localSheetId="10" hidden="1">#REF!</definedName>
    <definedName name="SpecialPrice" localSheetId="7" hidden="1">#REF!</definedName>
    <definedName name="tbl_ProdInfo" localSheetId="48" hidden="1">#REF!</definedName>
    <definedName name="tbl_ProdInfo" localSheetId="49" hidden="1">#REF!</definedName>
    <definedName name="tbl_ProdInfo" localSheetId="11" hidden="1">#REF!</definedName>
    <definedName name="tbl_ProdInfo" localSheetId="50" hidden="1">#REF!</definedName>
    <definedName name="tbl_ProdInfo" localSheetId="51" hidden="1">#REF!</definedName>
    <definedName name="tbl_ProdInfo" localSheetId="6" hidden="1">#REF!</definedName>
    <definedName name="tbl_ProdInfo" localSheetId="35" hidden="1">#REF!</definedName>
    <definedName name="tbl_ProdInfo" localSheetId="34" hidden="1">#REF!</definedName>
    <definedName name="tbl_ProdInfo" localSheetId="21" hidden="1">#REF!</definedName>
    <definedName name="tbl_ProdInfo" localSheetId="15" hidden="1">#REF!</definedName>
    <definedName name="tbl_ProdInfo" localSheetId="30" hidden="1">#REF!</definedName>
    <definedName name="tbl_ProdInfo" localSheetId="8" hidden="1">#REF!</definedName>
    <definedName name="tbl_ProdInfo" localSheetId="25" hidden="1">#REF!</definedName>
    <definedName name="tbl_ProdInfo" localSheetId="31" hidden="1">#REF!</definedName>
    <definedName name="tbl_ProdInfo" localSheetId="33" hidden="1">#REF!</definedName>
    <definedName name="tbl_ProdInfo" localSheetId="57" hidden="1">#REF!</definedName>
    <definedName name="tbl_ProdInfo" localSheetId="32" hidden="1">#REF!</definedName>
    <definedName name="tbl_ProdInfo" localSheetId="4" hidden="1">#REF!</definedName>
    <definedName name="tbl_ProdInfo" localSheetId="45" hidden="1">#REF!</definedName>
    <definedName name="tbl_ProdInfo" localSheetId="36" hidden="1">#REF!</definedName>
    <definedName name="tbl_ProdInfo" localSheetId="38" hidden="1">#REF!</definedName>
    <definedName name="tbl_ProdInfo" localSheetId="9" hidden="1">#REF!</definedName>
    <definedName name="tbl_ProdInfo" localSheetId="2" hidden="1">#REF!</definedName>
    <definedName name="tbl_ProdInfo" localSheetId="10" hidden="1">#REF!</definedName>
    <definedName name="tbl_ProdInfo" localSheetId="7" hidden="1">#REF!</definedName>
    <definedName name="Values_Entered" localSheetId="11">IF([0]!Loan_Amount*[0]!Interest_Rate*[0]!Loan_Years*[0]!Loan_Start&gt;0,1,0)</definedName>
    <definedName name="Values_Entered" localSheetId="6">IF([0]!Loan_Amount*[0]!Interest_Rate*[0]!Loan_Years*[0]!Loan_Start&gt;0,1,0)</definedName>
    <definedName name="Values_Entered" localSheetId="21">IF([0]!Loan_Amount*[0]!Interest_Rate*[0]!Loan_Years*[0]!Loan_Start&gt;0,1,0)</definedName>
    <definedName name="Values_Entered" localSheetId="15">IF([0]!Loan_Amount*[0]!Interest_Rate*[0]!Loan_Years*[0]!Loan_Start&gt;0,1,0)</definedName>
    <definedName name="Values_Entered" localSheetId="30">IF([0]!Loan_Amount*[0]!Interest_Rate*[0]!Loan_Years*[0]!Loan_Start&gt;0,1,0)</definedName>
    <definedName name="Values_Entered" localSheetId="3">IF([0]!Loan_Amount*[0]!Interest_Rate*[0]!Loan_Years*[0]!Loan_Start&gt;0,1,0)</definedName>
    <definedName name="Values_Entered" localSheetId="25">IF([0]!Loan_Amount*[0]!Interest_Rate*[0]!Loan_Years*[0]!Loan_Start&gt;0,1,0)</definedName>
    <definedName name="Values_Entered" localSheetId="31">IF([0]!Loan_Amount*[0]!Interest_Rate*[0]!Loan_Years*[0]!Loan_Start&gt;0,1,0)</definedName>
    <definedName name="Values_Entered" localSheetId="33">IF([0]!Loan_Amount*[0]!Interest_Rate*[0]!Loan_Years*[0]!Loan_Start&gt;0,1,0)</definedName>
    <definedName name="Values_Entered" localSheetId="57">IF([0]!Loan_Amount*[0]!Interest_Rate*[0]!Loan_Years*[0]!Loan_Start&gt;0,1,0)</definedName>
    <definedName name="Values_Entered" localSheetId="32">IF([0]!Loan_Amount*[0]!Interest_Rate*[0]!Loan_Years*[0]!Loan_Start&gt;0,1,0)</definedName>
    <definedName name="Values_Entered" localSheetId="4">IF([0]!Loan_Amount*[0]!Interest_Rate*[0]!Loan_Years*[0]!Loan_Start&gt;0,1,0)</definedName>
    <definedName name="Values_Entered" localSheetId="45">IF([0]!Loan_Amount*[0]!Interest_Rate*[0]!Loan_Years*[0]!Loan_Start&gt;0,1,0)</definedName>
    <definedName name="Values_Entered" localSheetId="36">IF([0]!Loan_Amount*[0]!Interest_Rate*[0]!Loan_Years*[0]!Loan_Start&gt;0,1,0)</definedName>
    <definedName name="Values_Entered" localSheetId="38">IF([0]!Loan_Amount*[0]!Interest_Rate*[0]!Loan_Years*[0]!Loan_Start&gt;0,1,0)</definedName>
    <definedName name="Values_Entered" localSheetId="10">IF([0]!Loan_Amount*[0]!Interest_Rate*[0]!Loan_Years*[0]!Loan_Start&gt;0,1,0)</definedName>
    <definedName name="VB" localSheetId="11" hidden="1">{"'ridftotal'!$A$4:$S$27"}</definedName>
    <definedName name="VB" localSheetId="6" hidden="1">{"'ridftotal'!$A$4:$S$27"}</definedName>
    <definedName name="VB" localSheetId="35" hidden="1">{"'ridftotal'!$A$4:$S$27"}</definedName>
    <definedName name="VB" localSheetId="34" hidden="1">{"'ridftotal'!$A$4:$S$27"}</definedName>
    <definedName name="VB" localSheetId="15" hidden="1">{"'ridftotal'!$A$4:$S$27"}</definedName>
    <definedName name="VB" localSheetId="8" hidden="1">{"'ridftotal'!$A$4:$S$27"}</definedName>
    <definedName name="VB" localSheetId="3" hidden="1">{"'ridftotal'!$A$4:$S$27"}</definedName>
    <definedName name="VB" localSheetId="25" hidden="1">{"'ridftotal'!$A$4:$S$27"}</definedName>
    <definedName name="VB" localSheetId="31" hidden="1">{"'ridftotal'!$A$4:$S$27"}</definedName>
    <definedName name="VB" localSheetId="33" hidden="1">{"'ridftotal'!$A$4:$S$27"}</definedName>
    <definedName name="VB" localSheetId="57" hidden="1">{"'ridftotal'!$A$4:$S$27"}</definedName>
    <definedName name="VB" localSheetId="32" hidden="1">{"'ridftotal'!$A$4:$S$27"}</definedName>
    <definedName name="VB" localSheetId="4" hidden="1">{"'ridftotal'!$A$4:$S$27"}</definedName>
    <definedName name="VB" localSheetId="45" hidden="1">{"'ridftotal'!$A$4:$S$27"}</definedName>
    <definedName name="VB" localSheetId="36" hidden="1">{"'ridftotal'!$A$4:$S$27"}</definedName>
    <definedName name="VB" localSheetId="9" hidden="1">{"'ridftotal'!$A$4:$S$27"}</definedName>
    <definedName name="VB" localSheetId="2" hidden="1">{"'ridftotal'!$A$4:$S$27"}</definedName>
    <definedName name="VB" localSheetId="10" hidden="1">{"'ridftotal'!$A$4:$S$27"}</definedName>
    <definedName name="VB" localSheetId="7" hidden="1">{"'ridftotal'!$A$4:$S$27"}</definedName>
    <definedName name="wgl" localSheetId="11" hidden="1">{"'ridftotal'!$A$4:$S$27"}</definedName>
    <definedName name="wgl" localSheetId="6" hidden="1">{"'ridftotal'!$A$4:$S$27"}</definedName>
    <definedName name="wgl" localSheetId="35" hidden="1">{"'ridftotal'!$A$4:$S$27"}</definedName>
    <definedName name="wgl" localSheetId="34" hidden="1">{"'ridftotal'!$A$4:$S$27"}</definedName>
    <definedName name="wgl" localSheetId="15" hidden="1">{"'ridftotal'!$A$4:$S$27"}</definedName>
    <definedName name="wgl" localSheetId="8" hidden="1">{"'ridftotal'!$A$4:$S$27"}</definedName>
    <definedName name="wgl" localSheetId="3" hidden="1">{"'ridftotal'!$A$4:$S$27"}</definedName>
    <definedName name="wgl" localSheetId="25" hidden="1">{"'ridftotal'!$A$4:$S$27"}</definedName>
    <definedName name="wgl" localSheetId="31" hidden="1">{"'ridftotal'!$A$4:$S$27"}</definedName>
    <definedName name="wgl" localSheetId="33" hidden="1">{"'ridftotal'!$A$4:$S$27"}</definedName>
    <definedName name="wgl" localSheetId="57" hidden="1">{"'ridftotal'!$A$4:$S$27"}</definedName>
    <definedName name="wgl" localSheetId="32" hidden="1">{"'ridftotal'!$A$4:$S$27"}</definedName>
    <definedName name="wgl" localSheetId="4" hidden="1">{"'ridftotal'!$A$4:$S$27"}</definedName>
    <definedName name="wgl" localSheetId="45" hidden="1">{"'ridftotal'!$A$4:$S$27"}</definedName>
    <definedName name="wgl" localSheetId="36" hidden="1">{"'ridftotal'!$A$4:$S$27"}</definedName>
    <definedName name="wgl" localSheetId="9" hidden="1">{"'ridftotal'!$A$4:$S$27"}</definedName>
    <definedName name="wgl" localSheetId="2" hidden="1">{"'ridftotal'!$A$4:$S$27"}</definedName>
    <definedName name="wgl" localSheetId="10" hidden="1">{"'ridftotal'!$A$4:$S$27"}</definedName>
    <definedName name="wgl" localSheetId="7" hidden="1">{"'ridftotal'!$A$4:$S$27"}</definedName>
    <definedName name="x" localSheetId="48" hidden="1">'[1]final abstract'!#REF!</definedName>
    <definedName name="x" localSheetId="49" hidden="1">'[1]final abstract'!#REF!</definedName>
    <definedName name="x" localSheetId="11" hidden="1">'[1]final abstract'!#REF!</definedName>
    <definedName name="x" localSheetId="50" hidden="1">'[1]final abstract'!#REF!</definedName>
    <definedName name="x" localSheetId="51" hidden="1">'[1]final abstract'!#REF!</definedName>
    <definedName name="x" localSheetId="6" hidden="1">'[1]final abstract'!#REF!</definedName>
    <definedName name="x" localSheetId="35" hidden="1">'[1]final abstract'!#REF!</definedName>
    <definedName name="x" localSheetId="34" hidden="1">'[1]final abstract'!#REF!</definedName>
    <definedName name="x" localSheetId="21" hidden="1">'[1]final abstract'!#REF!</definedName>
    <definedName name="x" localSheetId="15" hidden="1">'[1]final abstract'!#REF!</definedName>
    <definedName name="x" localSheetId="30" hidden="1">'[1]final abstract'!#REF!</definedName>
    <definedName name="x" localSheetId="8" hidden="1">'[1]final abstract'!#REF!</definedName>
    <definedName name="x" localSheetId="53" hidden="1">'[1]final abstract'!#REF!</definedName>
    <definedName name="x" localSheetId="4" hidden="1">'[1]final abstract'!#REF!</definedName>
    <definedName name="x" localSheetId="36" hidden="1">'[1]final abstract'!#REF!</definedName>
    <definedName name="x" localSheetId="38" hidden="1">'[1]final abstract'!#REF!</definedName>
    <definedName name="x" localSheetId="9" hidden="1">'[1]final abstract'!#REF!</definedName>
    <definedName name="x" localSheetId="2" hidden="1">'[1]final abstract'!#REF!</definedName>
    <definedName name="x" localSheetId="10" hidden="1">'[1]final abstract'!#REF!</definedName>
    <definedName name="x" localSheetId="7" hidden="1">'[1]final abstract'!#REF!</definedName>
    <definedName name="xx" localSheetId="11" hidden="1">{"'ridftotal'!$A$4:$S$27"}</definedName>
    <definedName name="xx" localSheetId="6" hidden="1">{"'ridftotal'!$A$4:$S$27"}</definedName>
    <definedName name="xx" localSheetId="35" hidden="1">{"'ridftotal'!$A$4:$S$27"}</definedName>
    <definedName name="xx" localSheetId="34" hidden="1">{"'ridftotal'!$A$4:$S$27"}</definedName>
    <definedName name="xx" localSheetId="15" hidden="1">{"'ridftotal'!$A$4:$S$27"}</definedName>
    <definedName name="xx" localSheetId="8" hidden="1">{"'ridftotal'!$A$4:$S$27"}</definedName>
    <definedName name="xx" localSheetId="3" hidden="1">{"'ridftotal'!$A$4:$S$27"}</definedName>
    <definedName name="xx" localSheetId="25" hidden="1">{"'ridftotal'!$A$4:$S$27"}</definedName>
    <definedName name="xx" localSheetId="31" hidden="1">{"'ridftotal'!$A$4:$S$27"}</definedName>
    <definedName name="xx" localSheetId="33" hidden="1">{"'ridftotal'!$A$4:$S$27"}</definedName>
    <definedName name="xx" localSheetId="57" hidden="1">{"'ridftotal'!$A$4:$S$27"}</definedName>
    <definedName name="xx" localSheetId="32" hidden="1">{"'ridftotal'!$A$4:$S$27"}</definedName>
    <definedName name="xx" localSheetId="4" hidden="1">{"'ridftotal'!$A$4:$S$27"}</definedName>
    <definedName name="xx" localSheetId="45" hidden="1">{"'ridftotal'!$A$4:$S$27"}</definedName>
    <definedName name="xx" localSheetId="36" hidden="1">{"'ridftotal'!$A$4:$S$27"}</definedName>
    <definedName name="xx" localSheetId="9" hidden="1">{"'ridftotal'!$A$4:$S$27"}</definedName>
    <definedName name="xx" localSheetId="2" hidden="1">{"'ridftotal'!$A$4:$S$27"}</definedName>
    <definedName name="xx" localSheetId="10" hidden="1">{"'ridftotal'!$A$4:$S$27"}</definedName>
    <definedName name="xx" localSheetId="7" hidden="1">{"'ridftotal'!$A$4:$S$27"}</definedName>
    <definedName name="xxxx" localSheetId="11" hidden="1">{"'ridftotal'!$A$4:$S$27"}</definedName>
    <definedName name="xxxx" localSheetId="6" hidden="1">{"'ridftotal'!$A$4:$S$27"}</definedName>
    <definedName name="xxxx" localSheetId="35" hidden="1">{"'ridftotal'!$A$4:$S$27"}</definedName>
    <definedName name="xxxx" localSheetId="34" hidden="1">{"'ridftotal'!$A$4:$S$27"}</definedName>
    <definedName name="xxxx" localSheetId="15" hidden="1">{"'ridftotal'!$A$4:$S$27"}</definedName>
    <definedName name="xxxx" localSheetId="8" hidden="1">{"'ridftotal'!$A$4:$S$27"}</definedName>
    <definedName name="xxxx" localSheetId="3" hidden="1">{"'ridftotal'!$A$4:$S$27"}</definedName>
    <definedName name="xxxx" localSheetId="25" hidden="1">{"'ridftotal'!$A$4:$S$27"}</definedName>
    <definedName name="xxxx" localSheetId="31" hidden="1">{"'ridftotal'!$A$4:$S$27"}</definedName>
    <definedName name="xxxx" localSheetId="33" hidden="1">{"'ridftotal'!$A$4:$S$27"}</definedName>
    <definedName name="xxxx" localSheetId="57" hidden="1">{"'ridftotal'!$A$4:$S$27"}</definedName>
    <definedName name="xxxx" localSheetId="32" hidden="1">{"'ridftotal'!$A$4:$S$27"}</definedName>
    <definedName name="xxxx" localSheetId="4" hidden="1">{"'ridftotal'!$A$4:$S$27"}</definedName>
    <definedName name="xxxx" localSheetId="45" hidden="1">{"'ridftotal'!$A$4:$S$27"}</definedName>
    <definedName name="xxxx" localSheetId="36" hidden="1">{"'ridftotal'!$A$4:$S$27"}</definedName>
    <definedName name="xxxx" localSheetId="9" hidden="1">{"'ridftotal'!$A$4:$S$27"}</definedName>
    <definedName name="xxxx" localSheetId="2" hidden="1">{"'ridftotal'!$A$4:$S$27"}</definedName>
    <definedName name="xxxx" localSheetId="10" hidden="1">{"'ridftotal'!$A$4:$S$27"}</definedName>
    <definedName name="xxxx" localSheetId="7" hidden="1">{"'ridftotal'!$A$4:$S$27"}</definedName>
  </definedNames>
  <calcPr calcId="124519"/>
</workbook>
</file>

<file path=xl/calcChain.xml><?xml version="1.0" encoding="utf-8"?>
<calcChain xmlns="http://schemas.openxmlformats.org/spreadsheetml/2006/main">
  <c r="K18" i="171"/>
  <c r="N6" i="302"/>
  <c r="L18" i="171" l="1"/>
  <c r="L23"/>
  <c r="K23"/>
  <c r="I751" i="132" l="1"/>
  <c r="I3325" l="1"/>
  <c r="I3327" s="1"/>
  <c r="I3320"/>
  <c r="I3322" s="1"/>
  <c r="I3300"/>
  <c r="I3302" s="1"/>
  <c r="I3268"/>
  <c r="I3270" s="1"/>
  <c r="I3263"/>
  <c r="I3265" s="1"/>
  <c r="I3248"/>
  <c r="I3250" s="1"/>
  <c r="I3218"/>
  <c r="I3220" s="1"/>
  <c r="I3213"/>
  <c r="I3215" s="1"/>
  <c r="I3198"/>
  <c r="I3197"/>
  <c r="I3196"/>
  <c r="I3180"/>
  <c r="I3182" s="1"/>
  <c r="I3175"/>
  <c r="I3174"/>
  <c r="I3141"/>
  <c r="I3143" s="1"/>
  <c r="I3136"/>
  <c r="I3138" s="1"/>
  <c r="I3123"/>
  <c r="I3122"/>
  <c r="I3121"/>
  <c r="I3116"/>
  <c r="I3115"/>
  <c r="I3114"/>
  <c r="I2136"/>
  <c r="I2138" s="1"/>
  <c r="I2118"/>
  <c r="I2117"/>
  <c r="I2116"/>
  <c r="I2099"/>
  <c r="I2101" s="1"/>
  <c r="I2094"/>
  <c r="I2096" s="1"/>
  <c r="I2075"/>
  <c r="I2077" s="1"/>
  <c r="I2008"/>
  <c r="I2010" s="1"/>
  <c r="I1783"/>
  <c r="I1782"/>
  <c r="I1781"/>
  <c r="I1780"/>
  <c r="I1779"/>
  <c r="I1778"/>
  <c r="I1777"/>
  <c r="H1776"/>
  <c r="I1776" s="1"/>
  <c r="I1775"/>
  <c r="I1774"/>
  <c r="I1773"/>
  <c r="I1772"/>
  <c r="I1771"/>
  <c r="I1770"/>
  <c r="I1769"/>
  <c r="I1768"/>
  <c r="I1767"/>
  <c r="I1766"/>
  <c r="I1765"/>
  <c r="I1764"/>
  <c r="I1763"/>
  <c r="I1762"/>
  <c r="I1761"/>
  <c r="I1760"/>
  <c r="I1759"/>
  <c r="I1708"/>
  <c r="I1707"/>
  <c r="I1706"/>
  <c r="I1705"/>
  <c r="I1704"/>
  <c r="I1703"/>
  <c r="I1702"/>
  <c r="I1701"/>
  <c r="I1700"/>
  <c r="I1699"/>
  <c r="I1698"/>
  <c r="I1697"/>
  <c r="I1696"/>
  <c r="I1695"/>
  <c r="I1694"/>
  <c r="I1693"/>
  <c r="I1692"/>
  <c r="I1691"/>
  <c r="I1624"/>
  <c r="I1623"/>
  <c r="I1622"/>
  <c r="I1621"/>
  <c r="I1620"/>
  <c r="I1619"/>
  <c r="I1618"/>
  <c r="I1617"/>
  <c r="I1616"/>
  <c r="I1615"/>
  <c r="I1614"/>
  <c r="I1613"/>
  <c r="I1612"/>
  <c r="I1611"/>
  <c r="I1610"/>
  <c r="I1609"/>
  <c r="I1608"/>
  <c r="I1607"/>
  <c r="I1355"/>
  <c r="I1354"/>
  <c r="I1353"/>
  <c r="I1352"/>
  <c r="I1351"/>
  <c r="I1350"/>
  <c r="I1349"/>
  <c r="I1348"/>
  <c r="I1347"/>
  <c r="I1310"/>
  <c r="I1309"/>
  <c r="I1308"/>
  <c r="I1307"/>
  <c r="I1306"/>
  <c r="I1305"/>
  <c r="I1304"/>
  <c r="I1303"/>
  <c r="I1302"/>
  <c r="I1499"/>
  <c r="I1498"/>
  <c r="I1497"/>
  <c r="I1165"/>
  <c r="I1164"/>
  <c r="I1163"/>
  <c r="I1162"/>
  <c r="I1161"/>
  <c r="I1159"/>
  <c r="I1158"/>
  <c r="I1098"/>
  <c r="I1097"/>
  <c r="I1096"/>
  <c r="H1095"/>
  <c r="I1095" s="1"/>
  <c r="I1093"/>
  <c r="I1092"/>
  <c r="I1091"/>
  <c r="I1090"/>
  <c r="I1089"/>
  <c r="I1088"/>
  <c r="I1087"/>
  <c r="I1086"/>
  <c r="I1085"/>
  <c r="I1084"/>
  <c r="I1083"/>
  <c r="I1082"/>
  <c r="I1081"/>
  <c r="I978"/>
  <c r="I977"/>
  <c r="I976"/>
  <c r="I975"/>
  <c r="I974"/>
  <c r="I973"/>
  <c r="I972"/>
  <c r="I971"/>
  <c r="I970"/>
  <c r="I969"/>
  <c r="I968"/>
  <c r="I967"/>
  <c r="I945"/>
  <c r="I944"/>
  <c r="I943"/>
  <c r="I870"/>
  <c r="I869"/>
  <c r="I867"/>
  <c r="I866"/>
  <c r="I865"/>
  <c r="I864"/>
  <c r="I863"/>
  <c r="I818"/>
  <c r="I817"/>
  <c r="I816"/>
  <c r="H815"/>
  <c r="I815" s="1"/>
  <c r="I814"/>
  <c r="I813"/>
  <c r="I812"/>
  <c r="I810"/>
  <c r="I809"/>
  <c r="I808"/>
  <c r="I807"/>
  <c r="I805"/>
  <c r="I804"/>
  <c r="I803"/>
  <c r="I802"/>
  <c r="I801"/>
  <c r="I750"/>
  <c r="I749"/>
  <c r="I748"/>
  <c r="I747"/>
  <c r="I745"/>
  <c r="I744"/>
  <c r="I743"/>
  <c r="I742"/>
  <c r="I741"/>
  <c r="I740"/>
  <c r="I739"/>
  <c r="I738"/>
  <c r="I664"/>
  <c r="I663"/>
  <c r="I642"/>
  <c r="I644" s="1"/>
  <c r="I607"/>
  <c r="I606"/>
  <c r="I605"/>
  <c r="I604"/>
  <c r="I603"/>
  <c r="I602"/>
  <c r="I504"/>
  <c r="I503"/>
  <c r="I426"/>
  <c r="I425"/>
  <c r="I424"/>
  <c r="I423"/>
  <c r="I422"/>
  <c r="I421"/>
  <c r="I420"/>
  <c r="I419"/>
  <c r="I418"/>
  <c r="I417"/>
  <c r="I416"/>
  <c r="I415"/>
  <c r="I414"/>
  <c r="I413"/>
  <c r="I412"/>
  <c r="I411"/>
  <c r="I410"/>
  <c r="I409"/>
  <c r="I382"/>
  <c r="I381"/>
  <c r="I380"/>
  <c r="I379"/>
  <c r="I377"/>
  <c r="I376"/>
  <c r="I375"/>
  <c r="I374"/>
  <c r="I373"/>
  <c r="I372"/>
  <c r="I371"/>
  <c r="I370"/>
  <c r="I369"/>
  <c r="I340"/>
  <c r="I338"/>
  <c r="I336"/>
  <c r="I335"/>
  <c r="I334"/>
  <c r="I332"/>
  <c r="I331"/>
  <c r="I330"/>
  <c r="I329"/>
  <c r="I309"/>
  <c r="I311" s="1"/>
  <c r="I289"/>
  <c r="I287"/>
  <c r="I286"/>
  <c r="I259"/>
  <c r="I258"/>
  <c r="I257"/>
  <c r="I256"/>
  <c r="I255"/>
  <c r="I254"/>
  <c r="I252"/>
  <c r="I251"/>
  <c r="I221"/>
  <c r="I220"/>
  <c r="I219"/>
  <c r="I218"/>
  <c r="I216"/>
  <c r="I215"/>
  <c r="I168"/>
  <c r="I167"/>
  <c r="I94"/>
  <c r="I93"/>
  <c r="I92"/>
  <c r="I90"/>
  <c r="I89"/>
  <c r="I88"/>
  <c r="I87"/>
  <c r="I86"/>
  <c r="I84"/>
  <c r="I83"/>
  <c r="I82"/>
  <c r="I81"/>
  <c r="I79"/>
  <c r="I78"/>
  <c r="I76"/>
  <c r="I75"/>
  <c r="I74"/>
  <c r="I72"/>
  <c r="I71"/>
  <c r="I46"/>
  <c r="I45"/>
  <c r="I44"/>
  <c r="I43"/>
  <c r="I42"/>
  <c r="I41"/>
  <c r="I39"/>
  <c r="I38"/>
  <c r="I37"/>
  <c r="I35"/>
  <c r="I34"/>
  <c r="C16" i="302"/>
  <c r="N7"/>
  <c r="I3125" i="132" l="1"/>
  <c r="I3200"/>
  <c r="I3177"/>
  <c r="I3118"/>
  <c r="I1785"/>
  <c r="I2120"/>
  <c r="I1312"/>
  <c r="I1626"/>
  <c r="I1710"/>
  <c r="I1357"/>
  <c r="I1501"/>
  <c r="I1167"/>
  <c r="I947"/>
  <c r="I1100"/>
  <c r="I609"/>
  <c r="I820"/>
  <c r="I872"/>
  <c r="I980"/>
  <c r="I753"/>
  <c r="I384"/>
  <c r="I666"/>
  <c r="I170"/>
  <c r="I223"/>
  <c r="I428"/>
  <c r="I506"/>
  <c r="I261"/>
  <c r="I342"/>
  <c r="I291"/>
  <c r="I96"/>
  <c r="I48"/>
  <c r="I4008"/>
  <c r="I4003"/>
  <c r="I3983"/>
  <c r="I3930"/>
  <c r="I3925"/>
  <c r="I3910"/>
  <c r="I3880"/>
  <c r="I3875"/>
  <c r="I3860"/>
  <c r="I3859"/>
  <c r="I3858"/>
  <c r="I3839"/>
  <c r="I3834"/>
  <c r="I3833"/>
  <c r="I3800"/>
  <c r="I3795"/>
  <c r="I3782"/>
  <c r="I3781"/>
  <c r="I3780"/>
  <c r="I2392"/>
  <c r="I2391"/>
  <c r="I2390"/>
  <c r="I2375"/>
  <c r="I2485"/>
  <c r="I2469"/>
  <c r="I2468"/>
  <c r="I2351"/>
  <c r="I2334"/>
  <c r="I2333"/>
  <c r="I2284"/>
  <c r="I1998"/>
  <c r="I1819"/>
  <c r="I1818"/>
  <c r="I1817"/>
  <c r="I1816"/>
  <c r="I1815"/>
  <c r="I1814"/>
  <c r="I1813"/>
  <c r="I1812"/>
  <c r="I1811"/>
  <c r="I1810"/>
  <c r="I1809"/>
  <c r="I1808"/>
  <c r="I1807"/>
  <c r="I1806"/>
  <c r="I1805"/>
  <c r="I1804"/>
  <c r="I1803"/>
  <c r="I1802"/>
  <c r="I1801"/>
  <c r="I1800"/>
  <c r="I1799"/>
  <c r="I1747"/>
  <c r="I1746"/>
  <c r="I1745"/>
  <c r="I1744"/>
  <c r="I1743"/>
  <c r="I1742"/>
  <c r="I1741"/>
  <c r="I1740"/>
  <c r="I1739"/>
  <c r="I1738"/>
  <c r="I1737"/>
  <c r="I1736"/>
  <c r="I1735"/>
  <c r="I1734"/>
  <c r="I1663"/>
  <c r="I1662"/>
  <c r="I1661"/>
  <c r="I1660"/>
  <c r="I1659"/>
  <c r="I1658"/>
  <c r="I1657"/>
  <c r="I1656"/>
  <c r="I1655"/>
  <c r="I1654"/>
  <c r="I1653"/>
  <c r="I1652"/>
  <c r="I1651"/>
  <c r="I1650"/>
  <c r="I1486"/>
  <c r="I1462"/>
  <c r="I1461"/>
  <c r="I1460"/>
  <c r="I1370"/>
  <c r="I1326"/>
  <c r="I1287"/>
  <c r="I1286"/>
  <c r="I1285"/>
  <c r="I1284"/>
  <c r="I1283"/>
  <c r="I1282"/>
  <c r="I1281"/>
  <c r="I1248"/>
  <c r="I1247"/>
  <c r="I1246"/>
  <c r="I1245"/>
  <c r="I1511"/>
  <c r="I1510"/>
  <c r="I1184"/>
  <c r="I1183"/>
  <c r="I1181"/>
  <c r="I1180"/>
  <c r="I1143"/>
  <c r="I1142"/>
  <c r="I1141"/>
  <c r="I1140"/>
  <c r="I1139"/>
  <c r="I1138"/>
  <c r="I1137"/>
  <c r="I1136"/>
  <c r="I1135"/>
  <c r="I1134"/>
  <c r="I1133"/>
  <c r="I1132"/>
  <c r="I1131"/>
  <c r="I1129"/>
  <c r="I1128"/>
  <c r="I1127"/>
  <c r="I1126"/>
  <c r="I1125"/>
  <c r="I1124"/>
  <c r="I1123"/>
  <c r="I1122"/>
  <c r="I1121"/>
  <c r="I1007"/>
  <c r="I1006"/>
  <c r="I1005"/>
  <c r="I1004"/>
  <c r="I1003"/>
  <c r="I1002"/>
  <c r="I1001"/>
  <c r="I1000"/>
  <c r="I999"/>
  <c r="I956"/>
  <c r="I955"/>
  <c r="I883"/>
  <c r="I882"/>
  <c r="I881"/>
  <c r="I880"/>
  <c r="I878"/>
  <c r="I877"/>
  <c r="I876"/>
  <c r="I875"/>
  <c r="I850"/>
  <c r="I849"/>
  <c r="I848"/>
  <c r="I847"/>
  <c r="I846"/>
  <c r="I845"/>
  <c r="I844"/>
  <c r="I843"/>
  <c r="I842"/>
  <c r="I841"/>
  <c r="I840"/>
  <c r="I839"/>
  <c r="I838"/>
  <c r="I837"/>
  <c r="I836"/>
  <c r="I831"/>
  <c r="I830"/>
  <c r="I829"/>
  <c r="I828"/>
  <c r="I826"/>
  <c r="I825"/>
  <c r="I824"/>
  <c r="I823"/>
  <c r="I778"/>
  <c r="I777"/>
  <c r="I776"/>
  <c r="I775"/>
  <c r="I682"/>
  <c r="I681"/>
  <c r="I647"/>
  <c r="I617"/>
  <c r="I616"/>
  <c r="I615"/>
  <c r="I614"/>
  <c r="I613"/>
  <c r="I612"/>
  <c r="I398"/>
  <c r="I397"/>
  <c r="I396"/>
  <c r="I395"/>
  <c r="I352"/>
  <c r="I294"/>
  <c r="I180"/>
  <c r="I179"/>
  <c r="I118"/>
  <c r="I117"/>
  <c r="I116"/>
  <c r="I114"/>
  <c r="I113"/>
  <c r="I52"/>
  <c r="I51"/>
  <c r="I938" l="1"/>
  <c r="I937"/>
  <c r="I936"/>
  <c r="I935"/>
  <c r="I1826"/>
  <c r="I1825"/>
  <c r="I1824"/>
  <c r="I1754"/>
  <c r="I1753"/>
  <c r="I1752"/>
  <c r="I1152"/>
  <c r="I1149"/>
  <c r="I1153"/>
  <c r="I1151"/>
  <c r="I126"/>
  <c r="I66"/>
  <c r="I125"/>
  <c r="I856"/>
  <c r="I855"/>
  <c r="I733"/>
  <c r="I732"/>
  <c r="I124"/>
  <c r="I123"/>
  <c r="I65"/>
  <c r="I99"/>
  <c r="I3769" l="1"/>
  <c r="I3764"/>
  <c r="I3759"/>
  <c r="I3739"/>
  <c r="I3707"/>
  <c r="I3702"/>
  <c r="I3687"/>
  <c r="I3652"/>
  <c r="I3647"/>
  <c r="I3637"/>
  <c r="I3636"/>
  <c r="I3635"/>
  <c r="I3619"/>
  <c r="I3614"/>
  <c r="I3613"/>
  <c r="I3575"/>
  <c r="I3562"/>
  <c r="I3561"/>
  <c r="I3560"/>
  <c r="I2413"/>
  <c r="I2412"/>
  <c r="I2411"/>
  <c r="I2410"/>
  <c r="I2240"/>
  <c r="I2370"/>
  <c r="I2347"/>
  <c r="I2142"/>
  <c r="I1794"/>
  <c r="I1793"/>
  <c r="I1792"/>
  <c r="I1791"/>
  <c r="I1790"/>
  <c r="I1789"/>
  <c r="I1788"/>
  <c r="I1729"/>
  <c r="I1728"/>
  <c r="I1727"/>
  <c r="I1726"/>
  <c r="I1725"/>
  <c r="I1724"/>
  <c r="I1723"/>
  <c r="I1722"/>
  <c r="I1721"/>
  <c r="I1720"/>
  <c r="I1719"/>
  <c r="I1718"/>
  <c r="I1717"/>
  <c r="I1716"/>
  <c r="I1715"/>
  <c r="I1714"/>
  <c r="I1713"/>
  <c r="I1645"/>
  <c r="I1644"/>
  <c r="I1643"/>
  <c r="I1642"/>
  <c r="I1641"/>
  <c r="I1640"/>
  <c r="I1639"/>
  <c r="I1638"/>
  <c r="I1637"/>
  <c r="I1636"/>
  <c r="I1635"/>
  <c r="I1634"/>
  <c r="I1633"/>
  <c r="I1632"/>
  <c r="I1631"/>
  <c r="I1630"/>
  <c r="I1629"/>
  <c r="I1516"/>
  <c r="I1517"/>
  <c r="I1518"/>
  <c r="I1175"/>
  <c r="I1174"/>
  <c r="I1173"/>
  <c r="I1172"/>
  <c r="I1171"/>
  <c r="I1170"/>
  <c r="I1116"/>
  <c r="I1115"/>
  <c r="I1114"/>
  <c r="I1113"/>
  <c r="I1112"/>
  <c r="I1111"/>
  <c r="I1110"/>
  <c r="I1109"/>
  <c r="I1108"/>
  <c r="I1107"/>
  <c r="I1106"/>
  <c r="I1105"/>
  <c r="I1104"/>
  <c r="I1103"/>
  <c r="I994"/>
  <c r="I993"/>
  <c r="I992"/>
  <c r="I991"/>
  <c r="I990"/>
  <c r="I989"/>
  <c r="I988"/>
  <c r="I987"/>
  <c r="I986"/>
  <c r="I985"/>
  <c r="I984"/>
  <c r="I983"/>
  <c r="I770"/>
  <c r="I769"/>
  <c r="I768"/>
  <c r="I767"/>
  <c r="I766"/>
  <c r="I765"/>
  <c r="I764"/>
  <c r="I762"/>
  <c r="I761"/>
  <c r="I760"/>
  <c r="I759"/>
  <c r="I758"/>
  <c r="I757"/>
  <c r="I756"/>
  <c r="I670"/>
  <c r="I669"/>
  <c r="I390"/>
  <c r="I389"/>
  <c r="I388"/>
  <c r="I387"/>
  <c r="I347"/>
  <c r="I345"/>
  <c r="I267"/>
  <c r="I266"/>
  <c r="I265"/>
  <c r="I264"/>
  <c r="I174"/>
  <c r="I173"/>
  <c r="I108"/>
  <c r="I107"/>
  <c r="I105"/>
  <c r="I104"/>
  <c r="I103"/>
  <c r="I102"/>
  <c r="I101"/>
  <c r="E16" i="302" l="1"/>
  <c r="I1320" i="132"/>
  <c r="F18" i="198"/>
  <c r="E18"/>
  <c r="D18"/>
  <c r="C18"/>
  <c r="B18"/>
  <c r="H18" l="1"/>
  <c r="I1686" i="132"/>
  <c r="I1685"/>
  <c r="I1684"/>
  <c r="I1683"/>
  <c r="I1682"/>
  <c r="I1681"/>
  <c r="I1680"/>
  <c r="I1679"/>
  <c r="I1678"/>
  <c r="I1677"/>
  <c r="I1676"/>
  <c r="I1675"/>
  <c r="I1674"/>
  <c r="I1673"/>
  <c r="I1672"/>
  <c r="I1671"/>
  <c r="I1670"/>
  <c r="I1669"/>
  <c r="I1668"/>
  <c r="I1297"/>
  <c r="I1296"/>
  <c r="I1295"/>
  <c r="I1294"/>
  <c r="I1293"/>
  <c r="I1292"/>
  <c r="I1257"/>
  <c r="I1256"/>
  <c r="I1255"/>
  <c r="I1254"/>
  <c r="I1253"/>
  <c r="I1199"/>
  <c r="I1198"/>
  <c r="I1197"/>
  <c r="I1196"/>
  <c r="I1195"/>
  <c r="I1194"/>
  <c r="I1193"/>
  <c r="I1192"/>
  <c r="I1191"/>
  <c r="I1190"/>
  <c r="I1189"/>
  <c r="I1150"/>
  <c r="I1148"/>
  <c r="I1024"/>
  <c r="I1023"/>
  <c r="I1022"/>
  <c r="I1021"/>
  <c r="I1020"/>
  <c r="I1019"/>
  <c r="I1018"/>
  <c r="I1017"/>
  <c r="I1016"/>
  <c r="I1015"/>
  <c r="I1014"/>
  <c r="I1013"/>
  <c r="I1012"/>
  <c r="I906"/>
  <c r="I905"/>
  <c r="I904"/>
  <c r="I903"/>
  <c r="I902"/>
  <c r="I901"/>
  <c r="I899"/>
  <c r="I898"/>
  <c r="I897"/>
  <c r="I896"/>
  <c r="I895"/>
  <c r="I858"/>
  <c r="I857"/>
  <c r="I658"/>
  <c r="I637"/>
  <c r="I636"/>
  <c r="I635"/>
  <c r="I634"/>
  <c r="I633"/>
  <c r="I632"/>
  <c r="I631"/>
  <c r="I694"/>
  <c r="I693"/>
  <c r="I233"/>
  <c r="I227"/>
  <c r="I230"/>
  <c r="I229"/>
  <c r="I228"/>
  <c r="I226"/>
  <c r="I314"/>
  <c r="I1993"/>
  <c r="I232" l="1"/>
  <c r="I1364" l="1"/>
  <c r="I1363"/>
  <c r="I1365"/>
  <c r="I1321"/>
  <c r="I1316"/>
  <c r="I1317"/>
  <c r="I1318"/>
  <c r="I1319"/>
  <c r="I2197"/>
  <c r="I2195"/>
  <c r="I688"/>
  <c r="I687"/>
  <c r="N3" i="269"/>
  <c r="I1853" i="132"/>
  <c r="I1467"/>
  <c r="I962"/>
  <c r="I961"/>
  <c r="I64"/>
  <c r="I438" l="1"/>
  <c r="I437"/>
  <c r="I432"/>
  <c r="I433"/>
  <c r="I434"/>
  <c r="I435"/>
  <c r="I436"/>
  <c r="C3" i="170" l="1"/>
  <c r="G2" i="171" s="1"/>
  <c r="F90" i="140"/>
  <c r="J1157"/>
  <c r="L1157" s="1"/>
  <c r="J1156"/>
  <c r="L1156" s="1"/>
  <c r="O1155"/>
  <c r="L1155"/>
  <c r="K1155"/>
  <c r="F1154"/>
  <c r="F1153"/>
  <c r="F1152"/>
  <c r="J1151"/>
  <c r="F1151"/>
  <c r="F915"/>
  <c r="F234"/>
  <c r="F174"/>
  <c r="F170"/>
  <c r="F74"/>
  <c r="L3" i="132"/>
  <c r="I2013"/>
  <c r="I2018"/>
  <c r="I2023"/>
  <c r="I2028"/>
  <c r="I2033"/>
  <c r="I2038"/>
  <c r="I2043"/>
  <c r="I2045"/>
  <c r="I2050"/>
  <c r="I2052"/>
  <c r="I2057"/>
  <c r="I2062"/>
  <c r="I2063"/>
  <c r="I2064"/>
  <c r="I2069"/>
  <c r="I2070"/>
  <c r="I2071"/>
  <c r="I2079"/>
  <c r="I2084"/>
  <c r="I2089"/>
  <c r="I2104"/>
  <c r="I2105"/>
  <c r="I2106"/>
  <c r="I2111"/>
  <c r="I2123"/>
  <c r="I2124"/>
  <c r="I2125"/>
  <c r="I2126"/>
  <c r="I2131"/>
  <c r="I2147"/>
  <c r="I2152"/>
  <c r="I2157"/>
  <c r="I2162"/>
  <c r="I2167"/>
  <c r="I2172"/>
  <c r="I2177"/>
  <c r="I2178"/>
  <c r="I2180"/>
  <c r="I2185"/>
  <c r="I2186"/>
  <c r="I2188"/>
  <c r="I2193"/>
  <c r="I2202"/>
  <c r="I2203"/>
  <c r="I2204"/>
  <c r="I2210"/>
  <c r="I2214"/>
  <c r="I2218"/>
  <c r="I2219"/>
  <c r="I2220"/>
  <c r="I2225"/>
  <c r="I2230"/>
  <c r="I2235"/>
  <c r="I2245"/>
  <c r="I2250"/>
  <c r="I2255"/>
  <c r="I2256"/>
  <c r="I2257"/>
  <c r="I2262"/>
  <c r="I2263"/>
  <c r="I2264"/>
  <c r="I2265"/>
  <c r="I2270"/>
  <c r="I2275"/>
  <c r="I2276"/>
  <c r="I2278"/>
  <c r="I2289"/>
  <c r="I2294"/>
  <c r="I2299"/>
  <c r="I2304"/>
  <c r="I2309"/>
  <c r="I2314"/>
  <c r="I2319"/>
  <c r="I2321"/>
  <c r="I2326"/>
  <c r="I2328"/>
  <c r="I2339"/>
  <c r="I2340"/>
  <c r="I2341"/>
  <c r="I2355"/>
  <c r="I2360"/>
  <c r="I2365"/>
  <c r="I2380"/>
  <c r="I2385"/>
  <c r="I2397"/>
  <c r="I2398"/>
  <c r="I2399"/>
  <c r="I2400"/>
  <c r="I2405"/>
  <c r="I2419"/>
  <c r="I2424"/>
  <c r="I2429"/>
  <c r="I2434"/>
  <c r="I2439"/>
  <c r="I2444"/>
  <c r="I2449"/>
  <c r="I2454"/>
  <c r="I2456"/>
  <c r="I2461"/>
  <c r="I2463"/>
  <c r="I2473"/>
  <c r="I2474"/>
  <c r="I2475"/>
  <c r="I2481"/>
  <c r="I2489"/>
  <c r="I2494"/>
  <c r="I2499"/>
  <c r="I2504"/>
  <c r="I2509"/>
  <c r="I2514"/>
  <c r="I2515"/>
  <c r="I2516"/>
  <c r="I2521"/>
  <c r="I2526"/>
  <c r="I2527"/>
  <c r="I2528"/>
  <c r="I2529"/>
  <c r="I2530"/>
  <c r="I2531"/>
  <c r="I2536"/>
  <c r="I2537"/>
  <c r="I2538"/>
  <c r="I2539"/>
  <c r="I2544"/>
  <c r="I2549"/>
  <c r="I2550"/>
  <c r="I2552"/>
  <c r="I2558"/>
  <c r="I2563"/>
  <c r="I2568"/>
  <c r="I2573"/>
  <c r="F2578"/>
  <c r="I2578" s="1"/>
  <c r="F2583"/>
  <c r="I2583" s="1"/>
  <c r="F2588"/>
  <c r="I2588" s="1"/>
  <c r="I2593"/>
  <c r="I2598"/>
  <c r="I2603"/>
  <c r="F2608"/>
  <c r="I2608" s="1"/>
  <c r="F2609"/>
  <c r="I2609" s="1"/>
  <c r="I2614"/>
  <c r="I2619"/>
  <c r="I2624"/>
  <c r="I2629"/>
  <c r="I2634"/>
  <c r="I2639"/>
  <c r="I2650"/>
  <c r="I2655"/>
  <c r="I2660"/>
  <c r="I2665"/>
  <c r="I2670"/>
  <c r="I2675"/>
  <c r="I2680"/>
  <c r="I2685"/>
  <c r="I2690"/>
  <c r="I2696"/>
  <c r="I2701"/>
  <c r="I2706"/>
  <c r="I2711"/>
  <c r="I2716"/>
  <c r="F2721"/>
  <c r="I2721" s="1"/>
  <c r="F2726"/>
  <c r="I2726" s="1"/>
  <c r="I2731"/>
  <c r="I2736"/>
  <c r="I2741"/>
  <c r="I2746"/>
  <c r="I2747"/>
  <c r="I2752"/>
  <c r="I2757"/>
  <c r="I2762"/>
  <c r="I2767"/>
  <c r="I2772"/>
  <c r="I2777"/>
  <c r="I2782"/>
  <c r="I2783"/>
  <c r="I2788"/>
  <c r="I2790" s="1"/>
  <c r="I2793"/>
  <c r="I2795" s="1"/>
  <c r="I2798"/>
  <c r="I2800" s="1"/>
  <c r="I2803"/>
  <c r="I2805" s="1"/>
  <c r="I2808"/>
  <c r="I2810" s="1"/>
  <c r="I2813"/>
  <c r="I2815" s="1"/>
  <c r="I2818"/>
  <c r="I2820" s="1"/>
  <c r="I2823"/>
  <c r="I2825" s="1"/>
  <c r="I2828"/>
  <c r="I2830" s="1"/>
  <c r="I2834"/>
  <c r="I2839"/>
  <c r="I2844"/>
  <c r="I2845"/>
  <c r="I2850"/>
  <c r="I2855"/>
  <c r="I2856"/>
  <c r="F2861"/>
  <c r="I2861" s="1"/>
  <c r="F2866"/>
  <c r="I2866" s="1"/>
  <c r="I2871"/>
  <c r="I2872"/>
  <c r="I2877"/>
  <c r="I2882"/>
  <c r="I2883"/>
  <c r="F2888"/>
  <c r="I2888" s="1"/>
  <c r="F2889"/>
  <c r="I2889" s="1"/>
  <c r="I2894"/>
  <c r="I2899"/>
  <c r="I2904"/>
  <c r="I2909"/>
  <c r="I2914"/>
  <c r="I2919"/>
  <c r="I2930"/>
  <c r="I2935"/>
  <c r="I2940"/>
  <c r="I2945"/>
  <c r="I2950"/>
  <c r="I2955"/>
  <c r="I2960"/>
  <c r="I2965"/>
  <c r="I2970"/>
  <c r="I2976"/>
  <c r="I2981"/>
  <c r="I2986"/>
  <c r="I2991"/>
  <c r="I2996"/>
  <c r="I2997"/>
  <c r="F3001"/>
  <c r="I3001" s="1"/>
  <c r="F3006"/>
  <c r="I3006" s="1"/>
  <c r="I3011"/>
  <c r="I3016"/>
  <c r="I3021"/>
  <c r="I3026"/>
  <c r="I3027"/>
  <c r="I3032"/>
  <c r="I3037"/>
  <c r="I3042"/>
  <c r="I3047"/>
  <c r="I3052"/>
  <c r="I3057"/>
  <c r="I3068"/>
  <c r="I3073"/>
  <c r="I3078"/>
  <c r="I3083"/>
  <c r="I3088"/>
  <c r="I3093"/>
  <c r="I3098"/>
  <c r="I3103"/>
  <c r="I3108"/>
  <c r="I3129"/>
  <c r="I3130"/>
  <c r="I3131"/>
  <c r="I3146"/>
  <c r="I3151"/>
  <c r="I3152"/>
  <c r="I3153"/>
  <c r="I3154"/>
  <c r="I3159"/>
  <c r="I3164"/>
  <c r="I3169"/>
  <c r="I3186"/>
  <c r="I3191"/>
  <c r="I3203"/>
  <c r="I3208"/>
  <c r="I3223"/>
  <c r="I3228"/>
  <c r="I3233"/>
  <c r="I3238"/>
  <c r="I3243"/>
  <c r="I3253"/>
  <c r="I3258"/>
  <c r="I3273"/>
  <c r="I3278"/>
  <c r="I3283"/>
  <c r="I3288"/>
  <c r="I3293"/>
  <c r="I3294"/>
  <c r="I3295"/>
  <c r="I3305"/>
  <c r="I3310"/>
  <c r="I3315"/>
  <c r="I3330"/>
  <c r="I3336"/>
  <c r="I3341"/>
  <c r="I3342"/>
  <c r="I3348"/>
  <c r="I3349"/>
  <c r="I3350"/>
  <c r="I3355"/>
  <c r="I3360"/>
  <c r="I3365"/>
  <c r="I3370"/>
  <c r="I3371"/>
  <c r="I3372"/>
  <c r="I3373"/>
  <c r="I3378"/>
  <c r="I3383"/>
  <c r="I3388"/>
  <c r="I3393"/>
  <c r="I3398"/>
  <c r="I3399"/>
  <c r="I3400"/>
  <c r="I3406"/>
  <c r="I3411"/>
  <c r="I3416"/>
  <c r="I3421"/>
  <c r="I3426"/>
  <c r="I3431"/>
  <c r="I3436"/>
  <c r="I3441"/>
  <c r="I3446"/>
  <c r="I3451"/>
  <c r="I3456"/>
  <c r="I3461"/>
  <c r="I3466"/>
  <c r="I3471"/>
  <c r="I3476"/>
  <c r="I3481"/>
  <c r="I3486"/>
  <c r="I3487"/>
  <c r="I3492"/>
  <c r="I3497"/>
  <c r="I3502"/>
  <c r="I3507"/>
  <c r="I3512"/>
  <c r="I3513"/>
  <c r="I3514"/>
  <c r="I3519"/>
  <c r="I3524"/>
  <c r="I3529"/>
  <c r="I3534"/>
  <c r="I3539"/>
  <c r="I3544"/>
  <c r="I3549"/>
  <c r="I3555"/>
  <c r="I3568"/>
  <c r="I3569"/>
  <c r="I3570"/>
  <c r="I3580"/>
  <c r="I3585"/>
  <c r="I3590"/>
  <c r="I3591"/>
  <c r="I3592"/>
  <c r="I3593"/>
  <c r="I3598"/>
  <c r="I3603"/>
  <c r="I3608"/>
  <c r="I3625"/>
  <c r="I3630"/>
  <c r="I3642"/>
  <c r="I3657"/>
  <c r="I3662"/>
  <c r="I3667"/>
  <c r="I3672"/>
  <c r="I3677"/>
  <c r="I3682"/>
  <c r="I3692"/>
  <c r="I3697"/>
  <c r="I3712"/>
  <c r="I3717"/>
  <c r="I3722"/>
  <c r="I3727"/>
  <c r="I3732"/>
  <c r="I3733"/>
  <c r="I3734"/>
  <c r="I3744"/>
  <c r="I3749"/>
  <c r="I3754"/>
  <c r="I3775"/>
  <c r="I3788"/>
  <c r="I3789"/>
  <c r="I3790"/>
  <c r="I3805"/>
  <c r="I3810"/>
  <c r="I3811"/>
  <c r="I3812"/>
  <c r="I3813"/>
  <c r="I3818"/>
  <c r="I3823"/>
  <c r="I3828"/>
  <c r="I3844"/>
  <c r="I3849"/>
  <c r="I3850"/>
  <c r="I3851"/>
  <c r="I3852"/>
  <c r="I3853"/>
  <c r="I3865"/>
  <c r="I3870"/>
  <c r="I3885"/>
  <c r="I3890"/>
  <c r="I3895"/>
  <c r="I3900"/>
  <c r="I3905"/>
  <c r="I3915"/>
  <c r="I3920"/>
  <c r="I3935"/>
  <c r="I3940"/>
  <c r="I3941"/>
  <c r="I3942"/>
  <c r="I3943"/>
  <c r="I3944"/>
  <c r="I3945"/>
  <c r="I3946"/>
  <c r="I3947"/>
  <c r="I3952"/>
  <c r="I3953"/>
  <c r="I3954"/>
  <c r="I3955"/>
  <c r="I3956"/>
  <c r="I3957"/>
  <c r="I3958"/>
  <c r="I3959"/>
  <c r="I3964"/>
  <c r="I3965"/>
  <c r="I3966"/>
  <c r="I3967"/>
  <c r="I3968"/>
  <c r="I3969"/>
  <c r="I3970"/>
  <c r="I3971"/>
  <c r="I3976"/>
  <c r="I3977"/>
  <c r="I3978"/>
  <c r="I3988"/>
  <c r="I3993"/>
  <c r="I3998"/>
  <c r="I4013"/>
  <c r="I1988"/>
  <c r="I1989" s="1"/>
  <c r="K1157" i="140" l="1"/>
  <c r="O1157"/>
  <c r="J1154"/>
  <c r="O1154" s="1"/>
  <c r="K1156"/>
  <c r="O1156"/>
  <c r="J1153"/>
  <c r="O1153" s="1"/>
  <c r="J1152"/>
  <c r="O1152" s="1"/>
  <c r="O1151"/>
  <c r="L1151"/>
  <c r="K1151"/>
  <c r="L1154" l="1"/>
  <c r="L1153"/>
  <c r="K1154"/>
  <c r="L1152"/>
  <c r="K1153"/>
  <c r="K1152"/>
  <c r="I513" i="194" l="1"/>
  <c r="I512"/>
  <c r="I511"/>
  <c r="I902" i="192"/>
  <c r="I901"/>
  <c r="I900"/>
  <c r="I537" i="194"/>
  <c r="I536"/>
  <c r="I535"/>
  <c r="I861"/>
  <c r="I860"/>
  <c r="I859"/>
  <c r="I858"/>
  <c r="I1367" i="192"/>
  <c r="I1366"/>
  <c r="I1365"/>
  <c r="I1364"/>
  <c r="I1363"/>
  <c r="I1362"/>
  <c r="I1361"/>
  <c r="I1360"/>
  <c r="I1359"/>
  <c r="I1358"/>
  <c r="I1357"/>
  <c r="I1356"/>
  <c r="I1355"/>
  <c r="I1354"/>
  <c r="I1353"/>
  <c r="I1352"/>
  <c r="I1351"/>
  <c r="I1350"/>
  <c r="I1349"/>
  <c r="I1348"/>
  <c r="I1347"/>
  <c r="G218" i="270" l="1"/>
  <c r="F218"/>
  <c r="E218"/>
  <c r="G210"/>
  <c r="F210"/>
  <c r="E210"/>
  <c r="R237" i="310"/>
  <c r="M237"/>
  <c r="R236"/>
  <c r="M236"/>
  <c r="R235"/>
  <c r="M235"/>
  <c r="J228"/>
  <c r="C226"/>
  <c r="F226" s="1"/>
  <c r="E225"/>
  <c r="D225"/>
  <c r="C225"/>
  <c r="E224"/>
  <c r="D224"/>
  <c r="C224"/>
  <c r="F224" s="1"/>
  <c r="E223"/>
  <c r="D223"/>
  <c r="C223"/>
  <c r="E222"/>
  <c r="D222"/>
  <c r="C222"/>
  <c r="E221"/>
  <c r="D221"/>
  <c r="C221"/>
  <c r="E220"/>
  <c r="D220"/>
  <c r="C220"/>
  <c r="F220" s="1"/>
  <c r="E219"/>
  <c r="D219"/>
  <c r="C219"/>
  <c r="E218"/>
  <c r="D218"/>
  <c r="C218"/>
  <c r="E217"/>
  <c r="D217"/>
  <c r="C217"/>
  <c r="E216"/>
  <c r="D216"/>
  <c r="C216"/>
  <c r="F216" s="1"/>
  <c r="E215"/>
  <c r="D215"/>
  <c r="C215"/>
  <c r="E214"/>
  <c r="D214"/>
  <c r="C214"/>
  <c r="E213"/>
  <c r="D213"/>
  <c r="C213"/>
  <c r="E212"/>
  <c r="D212"/>
  <c r="C212"/>
  <c r="F212" s="1"/>
  <c r="E211"/>
  <c r="D211"/>
  <c r="C211"/>
  <c r="D210"/>
  <c r="C210"/>
  <c r="E209"/>
  <c r="D209"/>
  <c r="C209"/>
  <c r="F209" s="1"/>
  <c r="E208"/>
  <c r="D208"/>
  <c r="C208"/>
  <c r="E207"/>
  <c r="D207"/>
  <c r="C207"/>
  <c r="E206"/>
  <c r="D206"/>
  <c r="C206"/>
  <c r="C205"/>
  <c r="F205" s="1"/>
  <c r="E204"/>
  <c r="D204"/>
  <c r="C204"/>
  <c r="E203"/>
  <c r="D203"/>
  <c r="C203"/>
  <c r="F203" s="1"/>
  <c r="E202"/>
  <c r="D202"/>
  <c r="C202"/>
  <c r="E201"/>
  <c r="D201"/>
  <c r="C201"/>
  <c r="E200"/>
  <c r="D200"/>
  <c r="C200"/>
  <c r="E199"/>
  <c r="D199"/>
  <c r="C199"/>
  <c r="F199" s="1"/>
  <c r="E198"/>
  <c r="D198"/>
  <c r="C198"/>
  <c r="E197"/>
  <c r="D197"/>
  <c r="C197"/>
  <c r="E196"/>
  <c r="D196"/>
  <c r="C196"/>
  <c r="E195"/>
  <c r="D195"/>
  <c r="C195"/>
  <c r="F195" s="1"/>
  <c r="C194"/>
  <c r="F194" s="1"/>
  <c r="E193"/>
  <c r="D193"/>
  <c r="C193"/>
  <c r="C192"/>
  <c r="F192" s="1"/>
  <c r="T191"/>
  <c r="T216" s="1"/>
  <c r="C191"/>
  <c r="F191" s="1"/>
  <c r="C190"/>
  <c r="F190" s="1"/>
  <c r="L190" s="1"/>
  <c r="C189"/>
  <c r="F189" s="1"/>
  <c r="C188"/>
  <c r="F188" s="1"/>
  <c r="R188" s="1"/>
  <c r="C187"/>
  <c r="F187" s="1"/>
  <c r="P187" s="1"/>
  <c r="P228" s="1"/>
  <c r="C186"/>
  <c r="F186" s="1"/>
  <c r="O186" s="1"/>
  <c r="O228" s="1"/>
  <c r="F185"/>
  <c r="R185" s="1"/>
  <c r="J183"/>
  <c r="C181"/>
  <c r="F181" s="1"/>
  <c r="E180"/>
  <c r="D180"/>
  <c r="C180"/>
  <c r="E179"/>
  <c r="D179"/>
  <c r="E178"/>
  <c r="D178"/>
  <c r="C178"/>
  <c r="E177"/>
  <c r="D177"/>
  <c r="C177"/>
  <c r="E176"/>
  <c r="D176"/>
  <c r="C176"/>
  <c r="E175"/>
  <c r="E174"/>
  <c r="E173"/>
  <c r="D173"/>
  <c r="C173"/>
  <c r="E172"/>
  <c r="D172"/>
  <c r="C172"/>
  <c r="E171"/>
  <c r="D171"/>
  <c r="C171"/>
  <c r="E170"/>
  <c r="D170"/>
  <c r="C170"/>
  <c r="E169"/>
  <c r="D169"/>
  <c r="E168"/>
  <c r="D168"/>
  <c r="C168"/>
  <c r="E167"/>
  <c r="D167"/>
  <c r="C167"/>
  <c r="E166"/>
  <c r="D166"/>
  <c r="D165"/>
  <c r="C165"/>
  <c r="E164"/>
  <c r="D164"/>
  <c r="C164"/>
  <c r="E163"/>
  <c r="D163"/>
  <c r="E162"/>
  <c r="D162"/>
  <c r="E161"/>
  <c r="D161"/>
  <c r="C161"/>
  <c r="C160"/>
  <c r="F160" s="1"/>
  <c r="E159"/>
  <c r="D159"/>
  <c r="C159"/>
  <c r="E158"/>
  <c r="D158"/>
  <c r="C158"/>
  <c r="E157"/>
  <c r="D157"/>
  <c r="E156"/>
  <c r="D156"/>
  <c r="E155"/>
  <c r="D155"/>
  <c r="C155"/>
  <c r="E154"/>
  <c r="D154"/>
  <c r="C154"/>
  <c r="E153"/>
  <c r="D153"/>
  <c r="E152"/>
  <c r="D152"/>
  <c r="C152"/>
  <c r="E151"/>
  <c r="D151"/>
  <c r="C151"/>
  <c r="E150"/>
  <c r="D150"/>
  <c r="C150"/>
  <c r="C149"/>
  <c r="F149" s="1"/>
  <c r="E148"/>
  <c r="D148"/>
  <c r="C148"/>
  <c r="C147"/>
  <c r="F147" s="1"/>
  <c r="T146"/>
  <c r="T171" s="1"/>
  <c r="C146"/>
  <c r="F146" s="1"/>
  <c r="C145"/>
  <c r="F145" s="1"/>
  <c r="L145" s="1"/>
  <c r="C144"/>
  <c r="F144" s="1"/>
  <c r="C143"/>
  <c r="F143" s="1"/>
  <c r="R143" s="1"/>
  <c r="C142"/>
  <c r="F142" s="1"/>
  <c r="P142" s="1"/>
  <c r="P183" s="1"/>
  <c r="C141"/>
  <c r="F141" s="1"/>
  <c r="O141" s="1"/>
  <c r="O183" s="1"/>
  <c r="F140"/>
  <c r="R140" s="1"/>
  <c r="J138"/>
  <c r="C136"/>
  <c r="F136" s="1"/>
  <c r="E135"/>
  <c r="D135"/>
  <c r="C135"/>
  <c r="E134"/>
  <c r="D134"/>
  <c r="C134"/>
  <c r="E133"/>
  <c r="D133"/>
  <c r="C133"/>
  <c r="E132"/>
  <c r="D132"/>
  <c r="C132"/>
  <c r="E131"/>
  <c r="D131"/>
  <c r="C131"/>
  <c r="E130"/>
  <c r="D130"/>
  <c r="C130"/>
  <c r="E129"/>
  <c r="D129"/>
  <c r="C129"/>
  <c r="E128"/>
  <c r="D128"/>
  <c r="C128"/>
  <c r="E127"/>
  <c r="D127"/>
  <c r="C127"/>
  <c r="E126"/>
  <c r="D126"/>
  <c r="C126"/>
  <c r="E125"/>
  <c r="D125"/>
  <c r="C125"/>
  <c r="E124"/>
  <c r="D124"/>
  <c r="C124"/>
  <c r="E123"/>
  <c r="D123"/>
  <c r="C123"/>
  <c r="E122"/>
  <c r="D122"/>
  <c r="C122"/>
  <c r="E121"/>
  <c r="D121"/>
  <c r="C121"/>
  <c r="D120"/>
  <c r="C120"/>
  <c r="E119"/>
  <c r="D119"/>
  <c r="C119"/>
  <c r="E118"/>
  <c r="D118"/>
  <c r="C118"/>
  <c r="E117"/>
  <c r="D117"/>
  <c r="C117"/>
  <c r="E116"/>
  <c r="D116"/>
  <c r="C116"/>
  <c r="C115"/>
  <c r="F115" s="1"/>
  <c r="M115" s="1"/>
  <c r="E114"/>
  <c r="D114"/>
  <c r="C114"/>
  <c r="E113"/>
  <c r="D113"/>
  <c r="C113"/>
  <c r="E112"/>
  <c r="D112"/>
  <c r="C112"/>
  <c r="E111"/>
  <c r="D111"/>
  <c r="C111"/>
  <c r="E110"/>
  <c r="D110"/>
  <c r="C110"/>
  <c r="E109"/>
  <c r="D109"/>
  <c r="C109"/>
  <c r="E108"/>
  <c r="D108"/>
  <c r="C108"/>
  <c r="E107"/>
  <c r="D107"/>
  <c r="C107"/>
  <c r="E106"/>
  <c r="D106"/>
  <c r="C106"/>
  <c r="E105"/>
  <c r="D105"/>
  <c r="C105"/>
  <c r="C104"/>
  <c r="F104" s="1"/>
  <c r="E103"/>
  <c r="D103"/>
  <c r="C103"/>
  <c r="C102"/>
  <c r="F102" s="1"/>
  <c r="T101"/>
  <c r="T126" s="1"/>
  <c r="C101"/>
  <c r="F101" s="1"/>
  <c r="C100"/>
  <c r="F100" s="1"/>
  <c r="C99"/>
  <c r="F99" s="1"/>
  <c r="S99" s="1"/>
  <c r="C98"/>
  <c r="F98" s="1"/>
  <c r="R98" s="1"/>
  <c r="C97"/>
  <c r="F97" s="1"/>
  <c r="P97" s="1"/>
  <c r="P138" s="1"/>
  <c r="C96"/>
  <c r="F96" s="1"/>
  <c r="O96" s="1"/>
  <c r="O138" s="1"/>
  <c r="F95"/>
  <c r="R95" s="1"/>
  <c r="J93"/>
  <c r="C91"/>
  <c r="F91" s="1"/>
  <c r="S91" s="1"/>
  <c r="E90"/>
  <c r="D90"/>
  <c r="E89"/>
  <c r="D89"/>
  <c r="C89"/>
  <c r="E88"/>
  <c r="D88"/>
  <c r="C88"/>
  <c r="E87"/>
  <c r="D87"/>
  <c r="C87"/>
  <c r="E86"/>
  <c r="D86"/>
  <c r="C86"/>
  <c r="E85"/>
  <c r="D85"/>
  <c r="E84"/>
  <c r="D84"/>
  <c r="E83"/>
  <c r="D83"/>
  <c r="C83"/>
  <c r="E82"/>
  <c r="D82"/>
  <c r="C82"/>
  <c r="E81"/>
  <c r="D81"/>
  <c r="C81"/>
  <c r="E80"/>
  <c r="D80"/>
  <c r="E79"/>
  <c r="D79"/>
  <c r="E78"/>
  <c r="D78"/>
  <c r="C78"/>
  <c r="E77"/>
  <c r="D77"/>
  <c r="C77"/>
  <c r="E76"/>
  <c r="D76"/>
  <c r="D75"/>
  <c r="E74"/>
  <c r="D74"/>
  <c r="C74"/>
  <c r="E73"/>
  <c r="D73"/>
  <c r="E72"/>
  <c r="D72"/>
  <c r="C72"/>
  <c r="E71"/>
  <c r="D71"/>
  <c r="C71"/>
  <c r="F71" s="1"/>
  <c r="C70"/>
  <c r="F70" s="1"/>
  <c r="E69"/>
  <c r="D69"/>
  <c r="E68"/>
  <c r="D68"/>
  <c r="C68"/>
  <c r="E67"/>
  <c r="D67"/>
  <c r="E66"/>
  <c r="D66"/>
  <c r="E65"/>
  <c r="D65"/>
  <c r="C65"/>
  <c r="E64"/>
  <c r="D64"/>
  <c r="C64"/>
  <c r="E63"/>
  <c r="D63"/>
  <c r="C63"/>
  <c r="E62"/>
  <c r="D62"/>
  <c r="E61"/>
  <c r="D61"/>
  <c r="C61"/>
  <c r="E60"/>
  <c r="D60"/>
  <c r="E58"/>
  <c r="D58"/>
  <c r="T56"/>
  <c r="T81" s="1"/>
  <c r="C55"/>
  <c r="F55" s="1"/>
  <c r="L55" s="1"/>
  <c r="C54"/>
  <c r="F54" s="1"/>
  <c r="C53"/>
  <c r="F53" s="1"/>
  <c r="R53" s="1"/>
  <c r="F50"/>
  <c r="R50" s="1"/>
  <c r="J48"/>
  <c r="C46"/>
  <c r="F46" s="1"/>
  <c r="E45"/>
  <c r="D45"/>
  <c r="C45"/>
  <c r="E44"/>
  <c r="D44"/>
  <c r="C44"/>
  <c r="E43"/>
  <c r="D43"/>
  <c r="C43"/>
  <c r="E42"/>
  <c r="D42"/>
  <c r="C42"/>
  <c r="E41"/>
  <c r="D41"/>
  <c r="C41"/>
  <c r="E40"/>
  <c r="D40"/>
  <c r="C40"/>
  <c r="E39"/>
  <c r="D39"/>
  <c r="C39"/>
  <c r="E38"/>
  <c r="D38"/>
  <c r="C38"/>
  <c r="E37"/>
  <c r="D37"/>
  <c r="C37"/>
  <c r="E36"/>
  <c r="D36"/>
  <c r="E33"/>
  <c r="D33"/>
  <c r="E32"/>
  <c r="D32"/>
  <c r="C32"/>
  <c r="D30"/>
  <c r="C30"/>
  <c r="E29"/>
  <c r="D29"/>
  <c r="C29"/>
  <c r="E26"/>
  <c r="D26"/>
  <c r="C25"/>
  <c r="F25" s="1"/>
  <c r="S25" s="1"/>
  <c r="E24"/>
  <c r="D24"/>
  <c r="C24"/>
  <c r="E23"/>
  <c r="D23"/>
  <c r="C23"/>
  <c r="E22"/>
  <c r="E21"/>
  <c r="E20"/>
  <c r="D20"/>
  <c r="C20"/>
  <c r="E19"/>
  <c r="D19"/>
  <c r="C19"/>
  <c r="D18"/>
  <c r="C18"/>
  <c r="E17"/>
  <c r="E16"/>
  <c r="T11"/>
  <c r="T36" s="1"/>
  <c r="C10"/>
  <c r="F10" s="1"/>
  <c r="L10" s="1"/>
  <c r="C8"/>
  <c r="F8" s="1"/>
  <c r="R8" s="1"/>
  <c r="F5"/>
  <c r="R5" s="1"/>
  <c r="A2"/>
  <c r="H856" i="215"/>
  <c r="H580"/>
  <c r="H296"/>
  <c r="H12"/>
  <c r="J229" i="310" l="1"/>
  <c r="J231" s="1"/>
  <c r="F193"/>
  <c r="F37"/>
  <c r="M37" s="1"/>
  <c r="F41"/>
  <c r="S41" s="1"/>
  <c r="F45"/>
  <c r="M45" s="1"/>
  <c r="F63"/>
  <c r="I63" s="1"/>
  <c r="F198"/>
  <c r="I198" s="1"/>
  <c r="F202"/>
  <c r="F208"/>
  <c r="Q208" s="1"/>
  <c r="F78"/>
  <c r="N78" s="1"/>
  <c r="F197"/>
  <c r="I197" s="1"/>
  <c r="F201"/>
  <c r="L201" s="1"/>
  <c r="F207"/>
  <c r="S207" s="1"/>
  <c r="F214"/>
  <c r="S214" s="1"/>
  <c r="F218"/>
  <c r="M218" s="1"/>
  <c r="F222"/>
  <c r="F43"/>
  <c r="M43" s="1"/>
  <c r="F65"/>
  <c r="L65" s="1"/>
  <c r="F196"/>
  <c r="I196" s="1"/>
  <c r="F200"/>
  <c r="I200" s="1"/>
  <c r="F204"/>
  <c r="S204" s="1"/>
  <c r="F206"/>
  <c r="F106"/>
  <c r="I106" s="1"/>
  <c r="F108"/>
  <c r="L108" s="1"/>
  <c r="F110"/>
  <c r="L110" s="1"/>
  <c r="F112"/>
  <c r="L112" s="1"/>
  <c r="F114"/>
  <c r="N114" s="1"/>
  <c r="F82"/>
  <c r="S82" s="1"/>
  <c r="F116"/>
  <c r="S116" s="1"/>
  <c r="R228"/>
  <c r="F210"/>
  <c r="N210" s="1"/>
  <c r="F211"/>
  <c r="N211" s="1"/>
  <c r="F213"/>
  <c r="S213" s="1"/>
  <c r="F215"/>
  <c r="F217"/>
  <c r="M217" s="1"/>
  <c r="F219"/>
  <c r="M219" s="1"/>
  <c r="F221"/>
  <c r="M221" s="1"/>
  <c r="F223"/>
  <c r="F225"/>
  <c r="M225" s="1"/>
  <c r="F39"/>
  <c r="M39" s="1"/>
  <c r="F148"/>
  <c r="L148" s="1"/>
  <c r="F150"/>
  <c r="L150" s="1"/>
  <c r="F152"/>
  <c r="I152" s="1"/>
  <c r="F154"/>
  <c r="L154" s="1"/>
  <c r="F158"/>
  <c r="S158" s="1"/>
  <c r="F164"/>
  <c r="M164" s="1"/>
  <c r="F167"/>
  <c r="S167" s="1"/>
  <c r="F171"/>
  <c r="I171" s="1"/>
  <c r="F177"/>
  <c r="S177" s="1"/>
  <c r="S101"/>
  <c r="F20"/>
  <c r="I20" s="1"/>
  <c r="F24"/>
  <c r="S24" s="1"/>
  <c r="F29"/>
  <c r="M29" s="1"/>
  <c r="F120"/>
  <c r="N120" s="1"/>
  <c r="F121"/>
  <c r="N121" s="1"/>
  <c r="F123"/>
  <c r="N123" s="1"/>
  <c r="F125"/>
  <c r="N125" s="1"/>
  <c r="F127"/>
  <c r="M127" s="1"/>
  <c r="F129"/>
  <c r="M129" s="1"/>
  <c r="F131"/>
  <c r="M131" s="1"/>
  <c r="F133"/>
  <c r="M133" s="1"/>
  <c r="F135"/>
  <c r="M135" s="1"/>
  <c r="F19"/>
  <c r="I19" s="1"/>
  <c r="F23"/>
  <c r="N23" s="1"/>
  <c r="F30"/>
  <c r="N30" s="1"/>
  <c r="F32"/>
  <c r="N32" s="1"/>
  <c r="F38"/>
  <c r="S38" s="1"/>
  <c r="F40"/>
  <c r="M40" s="1"/>
  <c r="F42"/>
  <c r="S42" s="1"/>
  <c r="F44"/>
  <c r="M44" s="1"/>
  <c r="F64"/>
  <c r="L64" s="1"/>
  <c r="F68"/>
  <c r="S68" s="1"/>
  <c r="F72"/>
  <c r="S72" s="1"/>
  <c r="F74"/>
  <c r="M74" s="1"/>
  <c r="F77"/>
  <c r="S77" s="1"/>
  <c r="F81"/>
  <c r="I81" s="1"/>
  <c r="F83"/>
  <c r="S83" s="1"/>
  <c r="F89"/>
  <c r="M89" s="1"/>
  <c r="F151"/>
  <c r="L151" s="1"/>
  <c r="F155"/>
  <c r="L155" s="1"/>
  <c r="F159"/>
  <c r="S159" s="1"/>
  <c r="F165"/>
  <c r="N165" s="1"/>
  <c r="F168"/>
  <c r="N168" s="1"/>
  <c r="F170"/>
  <c r="S170" s="1"/>
  <c r="F172"/>
  <c r="S172" s="1"/>
  <c r="F176"/>
  <c r="S176" s="1"/>
  <c r="F178"/>
  <c r="S178" s="1"/>
  <c r="F180"/>
  <c r="S180" s="1"/>
  <c r="F61"/>
  <c r="L61" s="1"/>
  <c r="F117"/>
  <c r="M117" s="1"/>
  <c r="F119"/>
  <c r="S119" s="1"/>
  <c r="F122"/>
  <c r="N122" s="1"/>
  <c r="F124"/>
  <c r="S124" s="1"/>
  <c r="F126"/>
  <c r="S126" s="1"/>
  <c r="F128"/>
  <c r="S128" s="1"/>
  <c r="F130"/>
  <c r="S130" s="1"/>
  <c r="F132"/>
  <c r="S132" s="1"/>
  <c r="F134"/>
  <c r="S134" s="1"/>
  <c r="F173"/>
  <c r="M173" s="1"/>
  <c r="F118"/>
  <c r="Q118" s="1"/>
  <c r="F87"/>
  <c r="S87" s="1"/>
  <c r="R138"/>
  <c r="F103"/>
  <c r="L103" s="1"/>
  <c r="R183"/>
  <c r="F161"/>
  <c r="Q161" s="1"/>
  <c r="F86"/>
  <c r="M86" s="1"/>
  <c r="F88"/>
  <c r="S88" s="1"/>
  <c r="F105"/>
  <c r="I105" s="1"/>
  <c r="F107"/>
  <c r="I107" s="1"/>
  <c r="F109"/>
  <c r="L109" s="1"/>
  <c r="F111"/>
  <c r="I111" s="1"/>
  <c r="F113"/>
  <c r="N113" s="1"/>
  <c r="S46"/>
  <c r="I46"/>
  <c r="L46"/>
  <c r="Q71"/>
  <c r="S71"/>
  <c r="M71"/>
  <c r="S54"/>
  <c r="H54"/>
  <c r="L54"/>
  <c r="S70"/>
  <c r="K70"/>
  <c r="K93" s="1"/>
  <c r="M70"/>
  <c r="L100"/>
  <c r="S100"/>
  <c r="H100"/>
  <c r="R48"/>
  <c r="R93"/>
  <c r="S144"/>
  <c r="H144"/>
  <c r="L144"/>
  <c r="S160"/>
  <c r="K160"/>
  <c r="K183" s="1"/>
  <c r="M160"/>
  <c r="S181"/>
  <c r="I181"/>
  <c r="L181"/>
  <c r="S191"/>
  <c r="I191"/>
  <c r="L191"/>
  <c r="I192"/>
  <c r="L192"/>
  <c r="I194"/>
  <c r="L194"/>
  <c r="L196"/>
  <c r="L198"/>
  <c r="I202"/>
  <c r="L202"/>
  <c r="Q206"/>
  <c r="S206"/>
  <c r="M206"/>
  <c r="N213"/>
  <c r="N215"/>
  <c r="S215"/>
  <c r="M223"/>
  <c r="S223"/>
  <c r="H10"/>
  <c r="S10"/>
  <c r="T12"/>
  <c r="T13"/>
  <c r="T14"/>
  <c r="T15"/>
  <c r="T21"/>
  <c r="T22" s="1"/>
  <c r="M25"/>
  <c r="H55"/>
  <c r="S55"/>
  <c r="T57"/>
  <c r="T58"/>
  <c r="T59"/>
  <c r="T60"/>
  <c r="T66"/>
  <c r="T67" s="1"/>
  <c r="L91"/>
  <c r="L99"/>
  <c r="L101"/>
  <c r="L102"/>
  <c r="T102"/>
  <c r="S102" s="1"/>
  <c r="T103"/>
  <c r="L104"/>
  <c r="T104"/>
  <c r="S104" s="1"/>
  <c r="T105"/>
  <c r="T111"/>
  <c r="T112" s="1"/>
  <c r="S115"/>
  <c r="S136"/>
  <c r="I136"/>
  <c r="L136"/>
  <c r="S146"/>
  <c r="I146"/>
  <c r="L146"/>
  <c r="I147"/>
  <c r="L147"/>
  <c r="I149"/>
  <c r="L149"/>
  <c r="S189"/>
  <c r="H189"/>
  <c r="L189"/>
  <c r="I193"/>
  <c r="L193"/>
  <c r="I195"/>
  <c r="L195"/>
  <c r="L197"/>
  <c r="I199"/>
  <c r="L199"/>
  <c r="I201"/>
  <c r="N203"/>
  <c r="S203"/>
  <c r="S205"/>
  <c r="K205"/>
  <c r="K228" s="1"/>
  <c r="M205"/>
  <c r="S209"/>
  <c r="M209"/>
  <c r="Q209"/>
  <c r="N212"/>
  <c r="S212"/>
  <c r="S216"/>
  <c r="I216"/>
  <c r="L216"/>
  <c r="S218"/>
  <c r="M220"/>
  <c r="S220"/>
  <c r="M222"/>
  <c r="S222"/>
  <c r="M224"/>
  <c r="S224"/>
  <c r="S226"/>
  <c r="I226"/>
  <c r="L226"/>
  <c r="K25"/>
  <c r="K48" s="1"/>
  <c r="I91"/>
  <c r="H99"/>
  <c r="I101"/>
  <c r="I102"/>
  <c r="I104"/>
  <c r="K115"/>
  <c r="K138" s="1"/>
  <c r="H145"/>
  <c r="S145"/>
  <c r="T147"/>
  <c r="S147" s="1"/>
  <c r="T148"/>
  <c r="T149"/>
  <c r="S149" s="1"/>
  <c r="T150"/>
  <c r="T156"/>
  <c r="T157" s="1"/>
  <c r="H190"/>
  <c r="S190"/>
  <c r="T192"/>
  <c r="S192" s="1"/>
  <c r="T193"/>
  <c r="S193" s="1"/>
  <c r="T194"/>
  <c r="S194" s="1"/>
  <c r="T195"/>
  <c r="T201"/>
  <c r="T202" s="1"/>
  <c r="F122" i="218"/>
  <c r="H231" i="271"/>
  <c r="H224"/>
  <c r="H218"/>
  <c r="H178"/>
  <c r="H169"/>
  <c r="H150"/>
  <c r="H139"/>
  <c r="H129"/>
  <c r="H120"/>
  <c r="H9"/>
  <c r="H265"/>
  <c r="H260"/>
  <c r="H246"/>
  <c r="H236"/>
  <c r="H199"/>
  <c r="H189"/>
  <c r="H159"/>
  <c r="H112"/>
  <c r="H102"/>
  <c r="H90"/>
  <c r="H21"/>
  <c r="H1108" i="215"/>
  <c r="H1103"/>
  <c r="H1089"/>
  <c r="H1067"/>
  <c r="H1061"/>
  <c r="H1042"/>
  <c r="H1034"/>
  <c r="H1023"/>
  <c r="H1014"/>
  <c r="H1004"/>
  <c r="H995"/>
  <c r="H984"/>
  <c r="H974"/>
  <c r="H965"/>
  <c r="H957"/>
  <c r="H947"/>
  <c r="H935"/>
  <c r="H866"/>
  <c r="H854"/>
  <c r="H826"/>
  <c r="H807"/>
  <c r="H792"/>
  <c r="H760"/>
  <c r="H752"/>
  <c r="H742"/>
  <c r="H733"/>
  <c r="H723"/>
  <c r="H715"/>
  <c r="H704"/>
  <c r="H694"/>
  <c r="H685"/>
  <c r="H677"/>
  <c r="H667"/>
  <c r="H657"/>
  <c r="H590"/>
  <c r="H578"/>
  <c r="H550"/>
  <c r="H545"/>
  <c r="H531"/>
  <c r="H516"/>
  <c r="H509"/>
  <c r="H503"/>
  <c r="H484"/>
  <c r="H474"/>
  <c r="H463"/>
  <c r="H454"/>
  <c r="H444"/>
  <c r="H435"/>
  <c r="H424"/>
  <c r="H414"/>
  <c r="H405"/>
  <c r="H397"/>
  <c r="H387"/>
  <c r="H375"/>
  <c r="H306"/>
  <c r="H294"/>
  <c r="H266"/>
  <c r="H261"/>
  <c r="H247"/>
  <c r="H232"/>
  <c r="H225"/>
  <c r="H219"/>
  <c r="H200"/>
  <c r="H190"/>
  <c r="H179"/>
  <c r="H170"/>
  <c r="H160"/>
  <c r="H151"/>
  <c r="H140"/>
  <c r="H130"/>
  <c r="H121"/>
  <c r="H113"/>
  <c r="H103"/>
  <c r="H91"/>
  <c r="H22"/>
  <c r="H10"/>
  <c r="G24" i="212"/>
  <c r="F729" i="216"/>
  <c r="G2972" i="214"/>
  <c r="F2972"/>
  <c r="E2972"/>
  <c r="G2964"/>
  <c r="F2964"/>
  <c r="E2964"/>
  <c r="G2971"/>
  <c r="F2971"/>
  <c r="E2971"/>
  <c r="G2963"/>
  <c r="F2963"/>
  <c r="E2963"/>
  <c r="G2055"/>
  <c r="F2055"/>
  <c r="E2055"/>
  <c r="G2047"/>
  <c r="F2047"/>
  <c r="E2047"/>
  <c r="G2054"/>
  <c r="F2054"/>
  <c r="E2054"/>
  <c r="G2046"/>
  <c r="F2046"/>
  <c r="E2046"/>
  <c r="G1138"/>
  <c r="F1138"/>
  <c r="E1138"/>
  <c r="G1137"/>
  <c r="F1137"/>
  <c r="E1137"/>
  <c r="G1130"/>
  <c r="F1130"/>
  <c r="E1130"/>
  <c r="E1129"/>
  <c r="F1129" s="1"/>
  <c r="G1129" s="1"/>
  <c r="G222"/>
  <c r="F222"/>
  <c r="E222"/>
  <c r="G221"/>
  <c r="F221"/>
  <c r="E221"/>
  <c r="G214"/>
  <c r="F214"/>
  <c r="E214"/>
  <c r="E213"/>
  <c r="F213" s="1"/>
  <c r="G213" s="1"/>
  <c r="S217" i="310" l="1"/>
  <c r="S202"/>
  <c r="S221"/>
  <c r="M41"/>
  <c r="Q207"/>
  <c r="L200"/>
  <c r="M208"/>
  <c r="S208"/>
  <c r="M207"/>
  <c r="S225"/>
  <c r="S210"/>
  <c r="N204"/>
  <c r="N214"/>
  <c r="S37"/>
  <c r="S43"/>
  <c r="S45"/>
  <c r="S78"/>
  <c r="I65"/>
  <c r="S219"/>
  <c r="S211"/>
  <c r="L63"/>
  <c r="S32"/>
  <c r="N24"/>
  <c r="S114"/>
  <c r="M38"/>
  <c r="Q29"/>
  <c r="S173"/>
  <c r="L152"/>
  <c r="S148"/>
  <c r="M128"/>
  <c r="I148"/>
  <c r="S133"/>
  <c r="S81"/>
  <c r="S30"/>
  <c r="N170"/>
  <c r="I151"/>
  <c r="S112"/>
  <c r="Q164"/>
  <c r="N158"/>
  <c r="I150"/>
  <c r="S120"/>
  <c r="I108"/>
  <c r="M172"/>
  <c r="S168"/>
  <c r="M119"/>
  <c r="S171"/>
  <c r="S125"/>
  <c r="M72"/>
  <c r="M116"/>
  <c r="I61"/>
  <c r="H138"/>
  <c r="M88"/>
  <c r="M178"/>
  <c r="S165"/>
  <c r="M132"/>
  <c r="N124"/>
  <c r="N138" s="1"/>
  <c r="L171"/>
  <c r="N167"/>
  <c r="S129"/>
  <c r="S121"/>
  <c r="L107"/>
  <c r="S89"/>
  <c r="L81"/>
  <c r="N77"/>
  <c r="L19"/>
  <c r="Q116"/>
  <c r="I110"/>
  <c r="L106"/>
  <c r="M82"/>
  <c r="M42"/>
  <c r="S29"/>
  <c r="L20"/>
  <c r="Q119"/>
  <c r="L111"/>
  <c r="Q72"/>
  <c r="S161"/>
  <c r="N68"/>
  <c r="S122"/>
  <c r="S118"/>
  <c r="S127"/>
  <c r="S113"/>
  <c r="I109"/>
  <c r="L105"/>
  <c r="I112"/>
  <c r="M180"/>
  <c r="N159"/>
  <c r="M130"/>
  <c r="S117"/>
  <c r="S103"/>
  <c r="S135"/>
  <c r="Q74"/>
  <c r="S39"/>
  <c r="M87"/>
  <c r="S44"/>
  <c r="M176"/>
  <c r="I155"/>
  <c r="M134"/>
  <c r="I126"/>
  <c r="Q117"/>
  <c r="M177"/>
  <c r="S164"/>
  <c r="I154"/>
  <c r="S131"/>
  <c r="S123"/>
  <c r="S86"/>
  <c r="M83"/>
  <c r="S74"/>
  <c r="I64"/>
  <c r="S23"/>
  <c r="I103"/>
  <c r="S40"/>
  <c r="L126"/>
  <c r="M118"/>
  <c r="M161"/>
  <c r="H93"/>
  <c r="R229"/>
  <c r="R231" s="1"/>
  <c r="T197"/>
  <c r="T196"/>
  <c r="S196" s="1"/>
  <c r="T107"/>
  <c r="T106"/>
  <c r="S106" s="1"/>
  <c r="T62"/>
  <c r="T61"/>
  <c r="S61" s="1"/>
  <c r="T17"/>
  <c r="T16"/>
  <c r="T152"/>
  <c r="T151"/>
  <c r="S151" s="1"/>
  <c r="M228"/>
  <c r="S195"/>
  <c r="L228"/>
  <c r="H183"/>
  <c r="S105"/>
  <c r="K229"/>
  <c r="K231" s="1"/>
  <c r="S201"/>
  <c r="H228"/>
  <c r="Q228"/>
  <c r="I228"/>
  <c r="S150"/>
  <c r="S111"/>
  <c r="G664" i="309"/>
  <c r="G910"/>
  <c r="G906"/>
  <c r="G898"/>
  <c r="G818"/>
  <c r="G806"/>
  <c r="C806" s="1"/>
  <c r="G794"/>
  <c r="G790"/>
  <c r="G766"/>
  <c r="G762"/>
  <c r="G694"/>
  <c r="G689"/>
  <c r="G673"/>
  <c r="G668"/>
  <c r="G660"/>
  <c r="G656"/>
  <c r="G644"/>
  <c r="G631"/>
  <c r="G627"/>
  <c r="J917"/>
  <c r="J916"/>
  <c r="J915"/>
  <c r="J914"/>
  <c r="J913"/>
  <c r="J912"/>
  <c r="J911"/>
  <c r="J746"/>
  <c r="J745"/>
  <c r="J696"/>
  <c r="J695"/>
  <c r="J690"/>
  <c r="J669"/>
  <c r="J640"/>
  <c r="J623"/>
  <c r="J570"/>
  <c r="J525"/>
  <c r="J384"/>
  <c r="J239"/>
  <c r="J238"/>
  <c r="J37"/>
  <c r="E384"/>
  <c r="E525"/>
  <c r="E570"/>
  <c r="E623"/>
  <c r="E640"/>
  <c r="E669"/>
  <c r="E690"/>
  <c r="E695"/>
  <c r="E696"/>
  <c r="E745"/>
  <c r="E746"/>
  <c r="E911"/>
  <c r="E912"/>
  <c r="E913"/>
  <c r="E914"/>
  <c r="E915"/>
  <c r="F1144"/>
  <c r="L1144" s="1"/>
  <c r="C1140"/>
  <c r="C1141"/>
  <c r="C1142"/>
  <c r="C1143"/>
  <c r="C384"/>
  <c r="C525"/>
  <c r="C570"/>
  <c r="C623"/>
  <c r="C640"/>
  <c r="C669"/>
  <c r="C690"/>
  <c r="C695"/>
  <c r="C696"/>
  <c r="C745"/>
  <c r="C746"/>
  <c r="C911"/>
  <c r="C912"/>
  <c r="C913"/>
  <c r="C914"/>
  <c r="C915"/>
  <c r="C916"/>
  <c r="F916" s="1"/>
  <c r="E37"/>
  <c r="E238"/>
  <c r="C37"/>
  <c r="C238"/>
  <c r="K1159"/>
  <c r="H1159"/>
  <c r="K1158"/>
  <c r="H1158"/>
  <c r="K1157"/>
  <c r="H1157"/>
  <c r="J1148"/>
  <c r="J1147"/>
  <c r="O1144"/>
  <c r="J1143"/>
  <c r="J1140"/>
  <c r="O1140" s="1"/>
  <c r="G1139"/>
  <c r="C1139" s="1"/>
  <c r="F1139" s="1"/>
  <c r="G1138"/>
  <c r="G1137"/>
  <c r="G1136"/>
  <c r="C1136" s="1"/>
  <c r="G1135"/>
  <c r="G1134"/>
  <c r="C1134" s="1"/>
  <c r="G1133"/>
  <c r="C1133" s="1"/>
  <c r="G1132"/>
  <c r="G1131"/>
  <c r="C1131" s="1"/>
  <c r="G1130"/>
  <c r="C1130" s="1"/>
  <c r="G1129"/>
  <c r="C1129" s="1"/>
  <c r="G1128"/>
  <c r="C1128" s="1"/>
  <c r="G1127"/>
  <c r="C1127" s="1"/>
  <c r="G1126"/>
  <c r="G1125"/>
  <c r="G1124"/>
  <c r="C1124" s="1"/>
  <c r="G1123"/>
  <c r="C1123" s="1"/>
  <c r="G1122"/>
  <c r="C1122" s="1"/>
  <c r="G1121"/>
  <c r="G1120"/>
  <c r="C1120" s="1"/>
  <c r="G1119"/>
  <c r="C1119" s="1"/>
  <c r="G1118"/>
  <c r="C1118" s="1"/>
  <c r="G1117"/>
  <c r="C1117" s="1"/>
  <c r="G1116"/>
  <c r="G1115"/>
  <c r="G1114"/>
  <c r="C1114" s="1"/>
  <c r="G1113"/>
  <c r="C1113" s="1"/>
  <c r="G1112"/>
  <c r="G1111"/>
  <c r="C1111" s="1"/>
  <c r="G1110"/>
  <c r="C1110" s="1"/>
  <c r="G1109"/>
  <c r="G1108"/>
  <c r="G1107"/>
  <c r="C1107" s="1"/>
  <c r="G1106"/>
  <c r="C1106" s="1"/>
  <c r="G1105"/>
  <c r="C1105" s="1"/>
  <c r="G1104"/>
  <c r="C1104" s="1"/>
  <c r="G1103"/>
  <c r="C1103" s="1"/>
  <c r="G1102"/>
  <c r="G1101"/>
  <c r="G1100"/>
  <c r="C1100" s="1"/>
  <c r="G1099"/>
  <c r="C1099" s="1"/>
  <c r="G1098"/>
  <c r="C1098" s="1"/>
  <c r="G1097"/>
  <c r="C1097" s="1"/>
  <c r="G1096"/>
  <c r="C1096" s="1"/>
  <c r="G1095"/>
  <c r="C1095" s="1"/>
  <c r="G1094"/>
  <c r="C1094" s="1"/>
  <c r="G1093"/>
  <c r="C1093" s="1"/>
  <c r="G1092"/>
  <c r="C1092" s="1"/>
  <c r="G1091"/>
  <c r="C1091" s="1"/>
  <c r="G1090"/>
  <c r="C1090" s="1"/>
  <c r="G1089"/>
  <c r="C1089" s="1"/>
  <c r="G1088"/>
  <c r="C1088" s="1"/>
  <c r="G1087"/>
  <c r="C1087" s="1"/>
  <c r="G1086"/>
  <c r="C1086" s="1"/>
  <c r="G1085"/>
  <c r="G1084"/>
  <c r="G1083"/>
  <c r="C1083" s="1"/>
  <c r="G1082"/>
  <c r="C1082" s="1"/>
  <c r="G1081"/>
  <c r="C1081" s="1"/>
  <c r="G1080"/>
  <c r="C1080" s="1"/>
  <c r="G1079"/>
  <c r="C1079" s="1"/>
  <c r="G1078"/>
  <c r="C1078" s="1"/>
  <c r="G1077"/>
  <c r="C1077" s="1"/>
  <c r="G1076"/>
  <c r="G1075"/>
  <c r="C1075" s="1"/>
  <c r="G1074"/>
  <c r="C1074" s="1"/>
  <c r="G1073"/>
  <c r="G1072"/>
  <c r="C1072" s="1"/>
  <c r="G1071"/>
  <c r="C1071" s="1"/>
  <c r="G1070"/>
  <c r="G1069"/>
  <c r="G1068"/>
  <c r="C1068" s="1"/>
  <c r="G1067"/>
  <c r="C1067" s="1"/>
  <c r="G1066"/>
  <c r="C1066" s="1"/>
  <c r="G1065"/>
  <c r="G1064"/>
  <c r="C1064" s="1"/>
  <c r="G1063"/>
  <c r="C1063" s="1"/>
  <c r="G1062"/>
  <c r="C1062" s="1"/>
  <c r="G1061"/>
  <c r="C1061" s="1"/>
  <c r="G1060"/>
  <c r="G1059"/>
  <c r="C1059" s="1"/>
  <c r="G1058"/>
  <c r="G1057"/>
  <c r="C1057" s="1"/>
  <c r="G1056"/>
  <c r="G1055"/>
  <c r="G1054"/>
  <c r="C1054" s="1"/>
  <c r="G1053"/>
  <c r="G1052"/>
  <c r="C1052" s="1"/>
  <c r="G1051"/>
  <c r="G1050"/>
  <c r="C1050" s="1"/>
  <c r="G1049"/>
  <c r="G1048"/>
  <c r="C1048" s="1"/>
  <c r="G1047"/>
  <c r="G1046"/>
  <c r="C1046" s="1"/>
  <c r="G1045"/>
  <c r="G1043"/>
  <c r="C1043" s="1"/>
  <c r="G1042"/>
  <c r="C1042" s="1"/>
  <c r="G1041"/>
  <c r="C1041" s="1"/>
  <c r="G1040"/>
  <c r="C1040" s="1"/>
  <c r="G1039"/>
  <c r="C1039" s="1"/>
  <c r="G1038"/>
  <c r="C1038" s="1"/>
  <c r="G1037"/>
  <c r="C1037" s="1"/>
  <c r="G1036"/>
  <c r="C1036" s="1"/>
  <c r="G1035"/>
  <c r="C1035" s="1"/>
  <c r="G1034"/>
  <c r="C1034" s="1"/>
  <c r="G1033"/>
  <c r="C1033" s="1"/>
  <c r="G1032"/>
  <c r="C1032" s="1"/>
  <c r="G1031"/>
  <c r="C1031" s="1"/>
  <c r="G1030"/>
  <c r="C1030" s="1"/>
  <c r="G1029"/>
  <c r="C1029" s="1"/>
  <c r="G1028"/>
  <c r="C1028" s="1"/>
  <c r="G1027"/>
  <c r="C1027" s="1"/>
  <c r="G1026"/>
  <c r="C1026" s="1"/>
  <c r="G1025"/>
  <c r="C1025" s="1"/>
  <c r="G1024"/>
  <c r="C1024" s="1"/>
  <c r="G1023"/>
  <c r="C1023" s="1"/>
  <c r="G1022"/>
  <c r="C1022" s="1"/>
  <c r="G1021"/>
  <c r="C1021" s="1"/>
  <c r="G1020"/>
  <c r="C1020" s="1"/>
  <c r="G1019"/>
  <c r="C1019" s="1"/>
  <c r="G1018"/>
  <c r="C1018" s="1"/>
  <c r="G1017"/>
  <c r="C1017" s="1"/>
  <c r="G1016"/>
  <c r="C1016" s="1"/>
  <c r="G1015"/>
  <c r="C1015" s="1"/>
  <c r="G1014"/>
  <c r="C1014" s="1"/>
  <c r="G1013"/>
  <c r="C1013" s="1"/>
  <c r="G1012"/>
  <c r="C1012" s="1"/>
  <c r="G1011"/>
  <c r="C1011" s="1"/>
  <c r="G1010"/>
  <c r="C1010" s="1"/>
  <c r="G1008"/>
  <c r="C1008" s="1"/>
  <c r="G1007"/>
  <c r="C1007" s="1"/>
  <c r="G1006"/>
  <c r="C1006" s="1"/>
  <c r="G1005"/>
  <c r="C1005" s="1"/>
  <c r="G1004"/>
  <c r="C1004" s="1"/>
  <c r="G1003"/>
  <c r="C1003" s="1"/>
  <c r="G1002"/>
  <c r="C1002" s="1"/>
  <c r="G1001"/>
  <c r="C1001" s="1"/>
  <c r="G1000"/>
  <c r="C1000" s="1"/>
  <c r="G999"/>
  <c r="C999" s="1"/>
  <c r="G998"/>
  <c r="C998" s="1"/>
  <c r="G997"/>
  <c r="C997" s="1"/>
  <c r="G996"/>
  <c r="C996" s="1"/>
  <c r="G995"/>
  <c r="C995" s="1"/>
  <c r="G994"/>
  <c r="C994" s="1"/>
  <c r="G993"/>
  <c r="C993" s="1"/>
  <c r="G992"/>
  <c r="C992" s="1"/>
  <c r="G991"/>
  <c r="C991" s="1"/>
  <c r="G990"/>
  <c r="C990" s="1"/>
  <c r="G989"/>
  <c r="C989" s="1"/>
  <c r="G988"/>
  <c r="C988" s="1"/>
  <c r="G987"/>
  <c r="C987" s="1"/>
  <c r="G986"/>
  <c r="C986" s="1"/>
  <c r="G985"/>
  <c r="C985" s="1"/>
  <c r="G984"/>
  <c r="C984" s="1"/>
  <c r="G983"/>
  <c r="C983" s="1"/>
  <c r="G982"/>
  <c r="C982" s="1"/>
  <c r="G981"/>
  <c r="C981" s="1"/>
  <c r="G980"/>
  <c r="C980" s="1"/>
  <c r="G979"/>
  <c r="C979" s="1"/>
  <c r="G978"/>
  <c r="C978" s="1"/>
  <c r="G977"/>
  <c r="C977" s="1"/>
  <c r="G976"/>
  <c r="C976" s="1"/>
  <c r="G975"/>
  <c r="C975" s="1"/>
  <c r="G974"/>
  <c r="C974" s="1"/>
  <c r="G972"/>
  <c r="C972" s="1"/>
  <c r="G971"/>
  <c r="C971" s="1"/>
  <c r="G970"/>
  <c r="C970" s="1"/>
  <c r="G969"/>
  <c r="C969" s="1"/>
  <c r="G968"/>
  <c r="C968" s="1"/>
  <c r="G967"/>
  <c r="C967" s="1"/>
  <c r="G966"/>
  <c r="C966" s="1"/>
  <c r="G965"/>
  <c r="C965" s="1"/>
  <c r="G964"/>
  <c r="C964" s="1"/>
  <c r="G963"/>
  <c r="C963" s="1"/>
  <c r="G962"/>
  <c r="C962" s="1"/>
  <c r="G961"/>
  <c r="C961" s="1"/>
  <c r="G960"/>
  <c r="C960" s="1"/>
  <c r="G959"/>
  <c r="C959" s="1"/>
  <c r="G958"/>
  <c r="C958" s="1"/>
  <c r="G957"/>
  <c r="C957" s="1"/>
  <c r="G956"/>
  <c r="C956" s="1"/>
  <c r="G955"/>
  <c r="C955" s="1"/>
  <c r="G954"/>
  <c r="C954" s="1"/>
  <c r="G953"/>
  <c r="C953" s="1"/>
  <c r="G952"/>
  <c r="C952" s="1"/>
  <c r="G951"/>
  <c r="C951" s="1"/>
  <c r="G950"/>
  <c r="C950" s="1"/>
  <c r="G949"/>
  <c r="C949" s="1"/>
  <c r="G948"/>
  <c r="C948" s="1"/>
  <c r="G947"/>
  <c r="C947" s="1"/>
  <c r="G946"/>
  <c r="C946" s="1"/>
  <c r="G945"/>
  <c r="C945" s="1"/>
  <c r="G944"/>
  <c r="C944" s="1"/>
  <c r="G943"/>
  <c r="C943" s="1"/>
  <c r="G942"/>
  <c r="C942" s="1"/>
  <c r="G941"/>
  <c r="C941" s="1"/>
  <c r="G940"/>
  <c r="C940" s="1"/>
  <c r="G939"/>
  <c r="C939" s="1"/>
  <c r="G938"/>
  <c r="C938" s="1"/>
  <c r="G937"/>
  <c r="C937" s="1"/>
  <c r="G936"/>
  <c r="C936" s="1"/>
  <c r="G935"/>
  <c r="C935" s="1"/>
  <c r="G934"/>
  <c r="C934" s="1"/>
  <c r="G933"/>
  <c r="C933" s="1"/>
  <c r="G932"/>
  <c r="C932" s="1"/>
  <c r="G931"/>
  <c r="C931" s="1"/>
  <c r="G930"/>
  <c r="C930" s="1"/>
  <c r="G929"/>
  <c r="C929" s="1"/>
  <c r="G928"/>
  <c r="C928" s="1"/>
  <c r="G927"/>
  <c r="C927" s="1"/>
  <c r="G926"/>
  <c r="C926" s="1"/>
  <c r="G925"/>
  <c r="C925" s="1"/>
  <c r="G924"/>
  <c r="C924" s="1"/>
  <c r="G923"/>
  <c r="C923" s="1"/>
  <c r="G922"/>
  <c r="C922" s="1"/>
  <c r="G921"/>
  <c r="C921" s="1"/>
  <c r="G920"/>
  <c r="C920" s="1"/>
  <c r="G919"/>
  <c r="C919" s="1"/>
  <c r="G918"/>
  <c r="C918" s="1"/>
  <c r="G909"/>
  <c r="G908"/>
  <c r="G907"/>
  <c r="G905"/>
  <c r="G904"/>
  <c r="G903"/>
  <c r="G902"/>
  <c r="G901"/>
  <c r="G900"/>
  <c r="G899"/>
  <c r="G897"/>
  <c r="G896"/>
  <c r="G895"/>
  <c r="G894"/>
  <c r="G893"/>
  <c r="G892"/>
  <c r="G891"/>
  <c r="G890"/>
  <c r="G889"/>
  <c r="G888"/>
  <c r="G887"/>
  <c r="G885"/>
  <c r="G884"/>
  <c r="G883"/>
  <c r="G882"/>
  <c r="G881"/>
  <c r="G880"/>
  <c r="G879"/>
  <c r="G878"/>
  <c r="G877"/>
  <c r="G876"/>
  <c r="G875"/>
  <c r="G874"/>
  <c r="G873"/>
  <c r="G872"/>
  <c r="G871"/>
  <c r="G870"/>
  <c r="C870" s="1"/>
  <c r="G869"/>
  <c r="G868"/>
  <c r="C868" s="1"/>
  <c r="G867"/>
  <c r="G866"/>
  <c r="C866" s="1"/>
  <c r="G865"/>
  <c r="G864"/>
  <c r="C864" s="1"/>
  <c r="G863"/>
  <c r="G861"/>
  <c r="G860"/>
  <c r="C860" s="1"/>
  <c r="G859"/>
  <c r="G857"/>
  <c r="G856"/>
  <c r="C856" s="1"/>
  <c r="G855"/>
  <c r="G854"/>
  <c r="C854" s="1"/>
  <c r="G853"/>
  <c r="G852"/>
  <c r="C852" s="1"/>
  <c r="G851"/>
  <c r="G850"/>
  <c r="C850" s="1"/>
  <c r="G849"/>
  <c r="G848"/>
  <c r="C848" s="1"/>
  <c r="G847"/>
  <c r="G846"/>
  <c r="C846" s="1"/>
  <c r="G845"/>
  <c r="G844"/>
  <c r="C844" s="1"/>
  <c r="G843"/>
  <c r="G841"/>
  <c r="G840"/>
  <c r="C840" s="1"/>
  <c r="G839"/>
  <c r="G838"/>
  <c r="C838" s="1"/>
  <c r="G837"/>
  <c r="G836"/>
  <c r="C836" s="1"/>
  <c r="G835"/>
  <c r="G834"/>
  <c r="C834" s="1"/>
  <c r="G833"/>
  <c r="G832"/>
  <c r="C832" s="1"/>
  <c r="G831"/>
  <c r="G830"/>
  <c r="G829"/>
  <c r="G828"/>
  <c r="G827"/>
  <c r="G826"/>
  <c r="G825"/>
  <c r="G824"/>
  <c r="G823"/>
  <c r="G821"/>
  <c r="G820"/>
  <c r="G819"/>
  <c r="G817"/>
  <c r="G816"/>
  <c r="G815"/>
  <c r="G814"/>
  <c r="G813"/>
  <c r="G812"/>
  <c r="G811"/>
  <c r="G810"/>
  <c r="G809"/>
  <c r="G808"/>
  <c r="G807"/>
  <c r="G805"/>
  <c r="G804"/>
  <c r="G803"/>
  <c r="G802"/>
  <c r="G801"/>
  <c r="G800"/>
  <c r="G799"/>
  <c r="G798"/>
  <c r="G797"/>
  <c r="G796"/>
  <c r="G795"/>
  <c r="G793"/>
  <c r="G792"/>
  <c r="G791"/>
  <c r="G789"/>
  <c r="G788"/>
  <c r="G787"/>
  <c r="G786"/>
  <c r="G785"/>
  <c r="G784"/>
  <c r="G783"/>
  <c r="G782"/>
  <c r="G781"/>
  <c r="G780"/>
  <c r="G779"/>
  <c r="G778"/>
  <c r="G777"/>
  <c r="G776"/>
  <c r="G775"/>
  <c r="G774"/>
  <c r="G773"/>
  <c r="G772"/>
  <c r="G771"/>
  <c r="G770"/>
  <c r="G769"/>
  <c r="G768"/>
  <c r="G767"/>
  <c r="G765"/>
  <c r="G764"/>
  <c r="G763"/>
  <c r="G761"/>
  <c r="G760"/>
  <c r="G759"/>
  <c r="G758"/>
  <c r="G757"/>
  <c r="G756"/>
  <c r="G755"/>
  <c r="G753"/>
  <c r="G752"/>
  <c r="G751"/>
  <c r="G750"/>
  <c r="G749"/>
  <c r="G748"/>
  <c r="G744"/>
  <c r="G743"/>
  <c r="G740"/>
  <c r="G739"/>
  <c r="G736"/>
  <c r="G735"/>
  <c r="G732"/>
  <c r="G731"/>
  <c r="G728"/>
  <c r="G727"/>
  <c r="G724"/>
  <c r="G723"/>
  <c r="G720"/>
  <c r="G719"/>
  <c r="G716"/>
  <c r="G715"/>
  <c r="G712"/>
  <c r="G711"/>
  <c r="G708"/>
  <c r="G707"/>
  <c r="G706"/>
  <c r="G705"/>
  <c r="G704"/>
  <c r="G703"/>
  <c r="G700"/>
  <c r="G699"/>
  <c r="G693"/>
  <c r="G692"/>
  <c r="G691"/>
  <c r="G688"/>
  <c r="G687"/>
  <c r="G686"/>
  <c r="G685"/>
  <c r="G684"/>
  <c r="G683"/>
  <c r="G682"/>
  <c r="G681"/>
  <c r="G680"/>
  <c r="G679"/>
  <c r="G678"/>
  <c r="G677"/>
  <c r="G676"/>
  <c r="G675"/>
  <c r="G674"/>
  <c r="G672"/>
  <c r="G671"/>
  <c r="G670"/>
  <c r="G667"/>
  <c r="G666"/>
  <c r="G665"/>
  <c r="G663"/>
  <c r="G662"/>
  <c r="G661"/>
  <c r="G659"/>
  <c r="G658"/>
  <c r="G657"/>
  <c r="G655"/>
  <c r="G654"/>
  <c r="G653"/>
  <c r="G652"/>
  <c r="G651"/>
  <c r="G650"/>
  <c r="G649"/>
  <c r="G648"/>
  <c r="G647"/>
  <c r="G646"/>
  <c r="G645"/>
  <c r="G643"/>
  <c r="G642"/>
  <c r="G641"/>
  <c r="G639"/>
  <c r="G638"/>
  <c r="G637"/>
  <c r="G636"/>
  <c r="G635"/>
  <c r="G634"/>
  <c r="G633"/>
  <c r="G632"/>
  <c r="G630"/>
  <c r="G629"/>
  <c r="G628"/>
  <c r="G626"/>
  <c r="G625"/>
  <c r="G624"/>
  <c r="G622"/>
  <c r="G621"/>
  <c r="G620"/>
  <c r="G619"/>
  <c r="G618"/>
  <c r="G617"/>
  <c r="G616"/>
  <c r="G615"/>
  <c r="G614"/>
  <c r="G613"/>
  <c r="G612"/>
  <c r="G611"/>
  <c r="G609"/>
  <c r="G608"/>
  <c r="G607"/>
  <c r="G606"/>
  <c r="G605"/>
  <c r="G604"/>
  <c r="G603"/>
  <c r="G602"/>
  <c r="G601"/>
  <c r="G600"/>
  <c r="G599"/>
  <c r="G597"/>
  <c r="G596"/>
  <c r="G594"/>
  <c r="G593"/>
  <c r="G592"/>
  <c r="G591"/>
  <c r="G590"/>
  <c r="G589"/>
  <c r="G588"/>
  <c r="G587"/>
  <c r="G586"/>
  <c r="G585"/>
  <c r="G584"/>
  <c r="G583"/>
  <c r="G582"/>
  <c r="G581"/>
  <c r="G580"/>
  <c r="G579"/>
  <c r="G578"/>
  <c r="G577"/>
  <c r="G576"/>
  <c r="G575"/>
  <c r="G573"/>
  <c r="G572"/>
  <c r="G571"/>
  <c r="G569"/>
  <c r="G568"/>
  <c r="G567"/>
  <c r="G566"/>
  <c r="G565"/>
  <c r="G564"/>
  <c r="G563"/>
  <c r="G562"/>
  <c r="G561"/>
  <c r="G560"/>
  <c r="G559"/>
  <c r="G558"/>
  <c r="G557"/>
  <c r="G556"/>
  <c r="G555"/>
  <c r="G554"/>
  <c r="G553"/>
  <c r="G552"/>
  <c r="G551"/>
  <c r="G550"/>
  <c r="G548"/>
  <c r="G547"/>
  <c r="G546"/>
  <c r="G545"/>
  <c r="G544"/>
  <c r="G543"/>
  <c r="G542"/>
  <c r="G541"/>
  <c r="G540"/>
  <c r="G539"/>
  <c r="G538"/>
  <c r="G537"/>
  <c r="G536"/>
  <c r="G535"/>
  <c r="G534"/>
  <c r="G533"/>
  <c r="G532"/>
  <c r="G531"/>
  <c r="G530"/>
  <c r="G528"/>
  <c r="G527"/>
  <c r="G526"/>
  <c r="G522"/>
  <c r="C522" s="1"/>
  <c r="G519"/>
  <c r="C519" s="1"/>
  <c r="G518"/>
  <c r="C518" s="1"/>
  <c r="G517"/>
  <c r="C517" s="1"/>
  <c r="G515"/>
  <c r="C515" s="1"/>
  <c r="G514"/>
  <c r="C514" s="1"/>
  <c r="G513"/>
  <c r="C513" s="1"/>
  <c r="G512"/>
  <c r="C512" s="1"/>
  <c r="G511"/>
  <c r="C511" s="1"/>
  <c r="G510"/>
  <c r="C510" s="1"/>
  <c r="G508"/>
  <c r="C508" s="1"/>
  <c r="G507"/>
  <c r="C507" s="1"/>
  <c r="G506"/>
  <c r="C506" s="1"/>
  <c r="G505"/>
  <c r="C505" s="1"/>
  <c r="G504"/>
  <c r="C504" s="1"/>
  <c r="G503"/>
  <c r="C503" s="1"/>
  <c r="G502"/>
  <c r="C502" s="1"/>
  <c r="G501"/>
  <c r="C501" s="1"/>
  <c r="G500"/>
  <c r="C500" s="1"/>
  <c r="G499"/>
  <c r="C499" s="1"/>
  <c r="G498"/>
  <c r="C498" s="1"/>
  <c r="G497"/>
  <c r="C497" s="1"/>
  <c r="G496"/>
  <c r="C496" s="1"/>
  <c r="G495"/>
  <c r="C495" s="1"/>
  <c r="G494"/>
  <c r="C494" s="1"/>
  <c r="G493"/>
  <c r="C493" s="1"/>
  <c r="G492"/>
  <c r="C492" s="1"/>
  <c r="G491"/>
  <c r="C491" s="1"/>
  <c r="G490"/>
  <c r="C490" s="1"/>
  <c r="G489"/>
  <c r="C489" s="1"/>
  <c r="G488"/>
  <c r="C488" s="1"/>
  <c r="G487"/>
  <c r="C487" s="1"/>
  <c r="G486"/>
  <c r="C486" s="1"/>
  <c r="G485"/>
  <c r="C485" s="1"/>
  <c r="G484"/>
  <c r="C484" s="1"/>
  <c r="G483"/>
  <c r="C483" s="1"/>
  <c r="G482"/>
  <c r="C482" s="1"/>
  <c r="G481"/>
  <c r="C481" s="1"/>
  <c r="G480"/>
  <c r="C480" s="1"/>
  <c r="G479"/>
  <c r="C479" s="1"/>
  <c r="G478"/>
  <c r="C478" s="1"/>
  <c r="G477"/>
  <c r="C477" s="1"/>
  <c r="G476"/>
  <c r="C476" s="1"/>
  <c r="G475"/>
  <c r="C475" s="1"/>
  <c r="G474"/>
  <c r="C474" s="1"/>
  <c r="G473"/>
  <c r="C473" s="1"/>
  <c r="G472"/>
  <c r="C472" s="1"/>
  <c r="G471"/>
  <c r="C471" s="1"/>
  <c r="G470"/>
  <c r="C470" s="1"/>
  <c r="G469"/>
  <c r="C469" s="1"/>
  <c r="G468"/>
  <c r="C468" s="1"/>
  <c r="G467"/>
  <c r="C467" s="1"/>
  <c r="G466"/>
  <c r="C466" s="1"/>
  <c r="G465"/>
  <c r="C465" s="1"/>
  <c r="G464"/>
  <c r="C464" s="1"/>
  <c r="G463"/>
  <c r="C463" s="1"/>
  <c r="G462"/>
  <c r="C462" s="1"/>
  <c r="G460"/>
  <c r="C460" s="1"/>
  <c r="G459"/>
  <c r="C459" s="1"/>
  <c r="G458"/>
  <c r="C458" s="1"/>
  <c r="G456"/>
  <c r="C456" s="1"/>
  <c r="G455"/>
  <c r="C455" s="1"/>
  <c r="G454"/>
  <c r="C454" s="1"/>
  <c r="G453"/>
  <c r="C453" s="1"/>
  <c r="G452"/>
  <c r="C452" s="1"/>
  <c r="G451"/>
  <c r="C451" s="1"/>
  <c r="G450"/>
  <c r="C450" s="1"/>
  <c r="G449"/>
  <c r="C449" s="1"/>
  <c r="G448"/>
  <c r="C448" s="1"/>
  <c r="G447"/>
  <c r="C447" s="1"/>
  <c r="G446"/>
  <c r="C446" s="1"/>
  <c r="G444"/>
  <c r="C444" s="1"/>
  <c r="G443"/>
  <c r="C443" s="1"/>
  <c r="G442"/>
  <c r="C442" s="1"/>
  <c r="G441"/>
  <c r="C441" s="1"/>
  <c r="G440"/>
  <c r="C440" s="1"/>
  <c r="G439"/>
  <c r="C439" s="1"/>
  <c r="G438"/>
  <c r="C438" s="1"/>
  <c r="G436"/>
  <c r="C436" s="1"/>
  <c r="G435"/>
  <c r="C435" s="1"/>
  <c r="G434"/>
  <c r="C434" s="1"/>
  <c r="G433"/>
  <c r="C433" s="1"/>
  <c r="G432"/>
  <c r="C432" s="1"/>
  <c r="G431"/>
  <c r="C431" s="1"/>
  <c r="G430"/>
  <c r="C430" s="1"/>
  <c r="G428"/>
  <c r="C428" s="1"/>
  <c r="G427"/>
  <c r="C427" s="1"/>
  <c r="G426"/>
  <c r="C426" s="1"/>
  <c r="G425"/>
  <c r="C425" s="1"/>
  <c r="G424"/>
  <c r="C424" s="1"/>
  <c r="G423"/>
  <c r="C423" s="1"/>
  <c r="G422"/>
  <c r="C422" s="1"/>
  <c r="G421"/>
  <c r="C421" s="1"/>
  <c r="G420"/>
  <c r="C420" s="1"/>
  <c r="G419"/>
  <c r="C419" s="1"/>
  <c r="G418"/>
  <c r="C418" s="1"/>
  <c r="G417"/>
  <c r="C417" s="1"/>
  <c r="G416"/>
  <c r="C416" s="1"/>
  <c r="G415"/>
  <c r="C415" s="1"/>
  <c r="G414"/>
  <c r="C414" s="1"/>
  <c r="G413"/>
  <c r="C413" s="1"/>
  <c r="G412"/>
  <c r="C412" s="1"/>
  <c r="G411"/>
  <c r="C411" s="1"/>
  <c r="G410"/>
  <c r="C410" s="1"/>
  <c r="G409"/>
  <c r="C409" s="1"/>
  <c r="G408"/>
  <c r="C408" s="1"/>
  <c r="G407"/>
  <c r="C407" s="1"/>
  <c r="G406"/>
  <c r="C406" s="1"/>
  <c r="G405"/>
  <c r="C405" s="1"/>
  <c r="G404"/>
  <c r="C404" s="1"/>
  <c r="G403"/>
  <c r="C403" s="1"/>
  <c r="G402"/>
  <c r="C402" s="1"/>
  <c r="G401"/>
  <c r="C401" s="1"/>
  <c r="G400"/>
  <c r="C400" s="1"/>
  <c r="G399"/>
  <c r="C399" s="1"/>
  <c r="G398"/>
  <c r="C398" s="1"/>
  <c r="G396"/>
  <c r="C396" s="1"/>
  <c r="G395"/>
  <c r="C395" s="1"/>
  <c r="G394"/>
  <c r="C394" s="1"/>
  <c r="G393"/>
  <c r="C393" s="1"/>
  <c r="G392"/>
  <c r="C392" s="1"/>
  <c r="G391"/>
  <c r="C391" s="1"/>
  <c r="G390"/>
  <c r="C390" s="1"/>
  <c r="G388"/>
  <c r="C388" s="1"/>
  <c r="G387"/>
  <c r="C387" s="1"/>
  <c r="G386"/>
  <c r="C386" s="1"/>
  <c r="G381"/>
  <c r="C381" s="1"/>
  <c r="G378"/>
  <c r="C378" s="1"/>
  <c r="G377"/>
  <c r="C377" s="1"/>
  <c r="G376"/>
  <c r="C376" s="1"/>
  <c r="G374"/>
  <c r="C374" s="1"/>
  <c r="G373"/>
  <c r="C373" s="1"/>
  <c r="G372"/>
  <c r="C372" s="1"/>
  <c r="G371"/>
  <c r="C371" s="1"/>
  <c r="G370"/>
  <c r="C370" s="1"/>
  <c r="G369"/>
  <c r="C369" s="1"/>
  <c r="G367"/>
  <c r="C367" s="1"/>
  <c r="G366"/>
  <c r="C366" s="1"/>
  <c r="G365"/>
  <c r="C365" s="1"/>
  <c r="G364"/>
  <c r="C364" s="1"/>
  <c r="G363"/>
  <c r="C363" s="1"/>
  <c r="G362"/>
  <c r="C362" s="1"/>
  <c r="G361"/>
  <c r="C361" s="1"/>
  <c r="G360"/>
  <c r="C360" s="1"/>
  <c r="G359"/>
  <c r="C359" s="1"/>
  <c r="G358"/>
  <c r="C358" s="1"/>
  <c r="G357"/>
  <c r="C357" s="1"/>
  <c r="G356"/>
  <c r="C356" s="1"/>
  <c r="G355"/>
  <c r="C355" s="1"/>
  <c r="G354"/>
  <c r="C354" s="1"/>
  <c r="G353"/>
  <c r="C353" s="1"/>
  <c r="G352"/>
  <c r="C352" s="1"/>
  <c r="G351"/>
  <c r="C351" s="1"/>
  <c r="G350"/>
  <c r="C350" s="1"/>
  <c r="G349"/>
  <c r="C349" s="1"/>
  <c r="G348"/>
  <c r="C348" s="1"/>
  <c r="G347"/>
  <c r="C347" s="1"/>
  <c r="G346"/>
  <c r="C346" s="1"/>
  <c r="G345"/>
  <c r="C345" s="1"/>
  <c r="G344"/>
  <c r="C344" s="1"/>
  <c r="G342"/>
  <c r="C342" s="1"/>
  <c r="G341"/>
  <c r="C341" s="1"/>
  <c r="G340"/>
  <c r="C340" s="1"/>
  <c r="G338"/>
  <c r="C338" s="1"/>
  <c r="G337"/>
  <c r="C337" s="1"/>
  <c r="G336"/>
  <c r="C336" s="1"/>
  <c r="G335"/>
  <c r="C335" s="1"/>
  <c r="G334"/>
  <c r="C334" s="1"/>
  <c r="G333"/>
  <c r="C333" s="1"/>
  <c r="G332"/>
  <c r="C332" s="1"/>
  <c r="G331"/>
  <c r="C331" s="1"/>
  <c r="G330"/>
  <c r="C330" s="1"/>
  <c r="G329"/>
  <c r="C329" s="1"/>
  <c r="G328"/>
  <c r="C328" s="1"/>
  <c r="G327"/>
  <c r="C327" s="1"/>
  <c r="G326"/>
  <c r="C326" s="1"/>
  <c r="G325"/>
  <c r="C325" s="1"/>
  <c r="G324"/>
  <c r="C324" s="1"/>
  <c r="G323"/>
  <c r="C323" s="1"/>
  <c r="G322"/>
  <c r="C322" s="1"/>
  <c r="G321"/>
  <c r="C321" s="1"/>
  <c r="G319"/>
  <c r="C319" s="1"/>
  <c r="G318"/>
  <c r="C318" s="1"/>
  <c r="G317"/>
  <c r="C317" s="1"/>
  <c r="G315"/>
  <c r="C315" s="1"/>
  <c r="G314"/>
  <c r="C314" s="1"/>
  <c r="G313"/>
  <c r="C313" s="1"/>
  <c r="G312"/>
  <c r="C312" s="1"/>
  <c r="G311"/>
  <c r="C311" s="1"/>
  <c r="G310"/>
  <c r="C310" s="1"/>
  <c r="G309"/>
  <c r="C309" s="1"/>
  <c r="G308"/>
  <c r="C308" s="1"/>
  <c r="G307"/>
  <c r="C307" s="1"/>
  <c r="G306"/>
  <c r="C306" s="1"/>
  <c r="G305"/>
  <c r="C305" s="1"/>
  <c r="G303"/>
  <c r="C303" s="1"/>
  <c r="G302"/>
  <c r="C302" s="1"/>
  <c r="G301"/>
  <c r="C301" s="1"/>
  <c r="G300"/>
  <c r="C300" s="1"/>
  <c r="G299"/>
  <c r="C299" s="1"/>
  <c r="G298"/>
  <c r="C298" s="1"/>
  <c r="G297"/>
  <c r="C297" s="1"/>
  <c r="G296"/>
  <c r="C296" s="1"/>
  <c r="G295"/>
  <c r="C295" s="1"/>
  <c r="G294"/>
  <c r="C294" s="1"/>
  <c r="G293"/>
  <c r="C293" s="1"/>
  <c r="G291"/>
  <c r="C291" s="1"/>
  <c r="G290"/>
  <c r="C290" s="1"/>
  <c r="G289"/>
  <c r="C289" s="1"/>
  <c r="G288"/>
  <c r="C288" s="1"/>
  <c r="G287"/>
  <c r="C287" s="1"/>
  <c r="G286"/>
  <c r="C286" s="1"/>
  <c r="G285"/>
  <c r="C285" s="1"/>
  <c r="G283"/>
  <c r="C283" s="1"/>
  <c r="G282"/>
  <c r="C282" s="1"/>
  <c r="G281"/>
  <c r="C281" s="1"/>
  <c r="G280"/>
  <c r="C280" s="1"/>
  <c r="G279"/>
  <c r="C279" s="1"/>
  <c r="G278"/>
  <c r="C278" s="1"/>
  <c r="G277"/>
  <c r="C277" s="1"/>
  <c r="G276"/>
  <c r="C276" s="1"/>
  <c r="G275"/>
  <c r="C275" s="1"/>
  <c r="G274"/>
  <c r="C274" s="1"/>
  <c r="G273"/>
  <c r="C273" s="1"/>
  <c r="G271"/>
  <c r="C271" s="1"/>
  <c r="G270"/>
  <c r="C270" s="1"/>
  <c r="G269"/>
  <c r="C269" s="1"/>
  <c r="G267"/>
  <c r="C267" s="1"/>
  <c r="G266"/>
  <c r="C266" s="1"/>
  <c r="G265"/>
  <c r="C265" s="1"/>
  <c r="G264"/>
  <c r="C264" s="1"/>
  <c r="G263"/>
  <c r="C263" s="1"/>
  <c r="G262"/>
  <c r="C262" s="1"/>
  <c r="G261"/>
  <c r="C261" s="1"/>
  <c r="G260"/>
  <c r="C260" s="1"/>
  <c r="G259"/>
  <c r="C259" s="1"/>
  <c r="G258"/>
  <c r="C258" s="1"/>
  <c r="G257"/>
  <c r="C257" s="1"/>
  <c r="G255"/>
  <c r="C255" s="1"/>
  <c r="G254"/>
  <c r="C254" s="1"/>
  <c r="G253"/>
  <c r="C253" s="1"/>
  <c r="G252"/>
  <c r="C252" s="1"/>
  <c r="G251"/>
  <c r="C251" s="1"/>
  <c r="G250"/>
  <c r="C250" s="1"/>
  <c r="G249"/>
  <c r="C249" s="1"/>
  <c r="G247"/>
  <c r="C247" s="1"/>
  <c r="G246"/>
  <c r="C246" s="1"/>
  <c r="G245"/>
  <c r="C245" s="1"/>
  <c r="G243"/>
  <c r="C243" s="1"/>
  <c r="G242"/>
  <c r="C242" s="1"/>
  <c r="G241"/>
  <c r="C241" s="1"/>
  <c r="G232"/>
  <c r="C232" s="1"/>
  <c r="G231"/>
  <c r="C231" s="1"/>
  <c r="G230"/>
  <c r="C230" s="1"/>
  <c r="G229"/>
  <c r="C229" s="1"/>
  <c r="G228"/>
  <c r="C228" s="1"/>
  <c r="G227"/>
  <c r="C227" s="1"/>
  <c r="G226"/>
  <c r="C226" s="1"/>
  <c r="G224"/>
  <c r="C224" s="1"/>
  <c r="G223"/>
  <c r="C223" s="1"/>
  <c r="G222"/>
  <c r="C222" s="1"/>
  <c r="G221"/>
  <c r="C221" s="1"/>
  <c r="G220"/>
  <c r="C220" s="1"/>
  <c r="G219"/>
  <c r="C219" s="1"/>
  <c r="G218"/>
  <c r="C218" s="1"/>
  <c r="G216"/>
  <c r="C216" s="1"/>
  <c r="G215"/>
  <c r="C215" s="1"/>
  <c r="G214"/>
  <c r="C214" s="1"/>
  <c r="G212"/>
  <c r="C212" s="1"/>
  <c r="G211"/>
  <c r="C211" s="1"/>
  <c r="G210"/>
  <c r="C210" s="1"/>
  <c r="G208"/>
  <c r="C208" s="1"/>
  <c r="G207"/>
  <c r="C207" s="1"/>
  <c r="G206"/>
  <c r="C206" s="1"/>
  <c r="G204"/>
  <c r="C204" s="1"/>
  <c r="G203"/>
  <c r="C203" s="1"/>
  <c r="G202"/>
  <c r="C202" s="1"/>
  <c r="G200"/>
  <c r="C200" s="1"/>
  <c r="G199"/>
  <c r="C199" s="1"/>
  <c r="G198"/>
  <c r="C198" s="1"/>
  <c r="G197"/>
  <c r="C197" s="1"/>
  <c r="G196"/>
  <c r="C196" s="1"/>
  <c r="G193"/>
  <c r="C193" s="1"/>
  <c r="G192"/>
  <c r="C192" s="1"/>
  <c r="G191"/>
  <c r="C191" s="1"/>
  <c r="G190"/>
  <c r="C190" s="1"/>
  <c r="G189"/>
  <c r="C189" s="1"/>
  <c r="G188"/>
  <c r="C188" s="1"/>
  <c r="G187"/>
  <c r="C187" s="1"/>
  <c r="G186"/>
  <c r="C186" s="1"/>
  <c r="G185"/>
  <c r="C185" s="1"/>
  <c r="G184"/>
  <c r="C184" s="1"/>
  <c r="G183"/>
  <c r="C183" s="1"/>
  <c r="G182"/>
  <c r="C182" s="1"/>
  <c r="G181"/>
  <c r="C181" s="1"/>
  <c r="G180"/>
  <c r="C180" s="1"/>
  <c r="G178"/>
  <c r="C178" s="1"/>
  <c r="G176"/>
  <c r="C176" s="1"/>
  <c r="G175"/>
  <c r="C175" s="1"/>
  <c r="G174"/>
  <c r="C174" s="1"/>
  <c r="G173"/>
  <c r="C173" s="1"/>
  <c r="G172"/>
  <c r="C172" s="1"/>
  <c r="G171"/>
  <c r="C171" s="1"/>
  <c r="G170"/>
  <c r="C170" s="1"/>
  <c r="G169"/>
  <c r="C169" s="1"/>
  <c r="G168"/>
  <c r="C168" s="1"/>
  <c r="G167"/>
  <c r="C167" s="1"/>
  <c r="G166"/>
  <c r="C166" s="1"/>
  <c r="G165"/>
  <c r="C165" s="1"/>
  <c r="G164"/>
  <c r="C164" s="1"/>
  <c r="G163"/>
  <c r="C163" s="1"/>
  <c r="G162"/>
  <c r="C162" s="1"/>
  <c r="G160"/>
  <c r="C160" s="1"/>
  <c r="G158"/>
  <c r="C158" s="1"/>
  <c r="G156"/>
  <c r="C156" s="1"/>
  <c r="G154"/>
  <c r="C154" s="1"/>
  <c r="G153"/>
  <c r="C153" s="1"/>
  <c r="G152"/>
  <c r="C152" s="1"/>
  <c r="G151"/>
  <c r="C151" s="1"/>
  <c r="G150"/>
  <c r="C150" s="1"/>
  <c r="G149"/>
  <c r="C149" s="1"/>
  <c r="G148"/>
  <c r="C148" s="1"/>
  <c r="G147"/>
  <c r="C147" s="1"/>
  <c r="G146"/>
  <c r="C146" s="1"/>
  <c r="G145"/>
  <c r="C145" s="1"/>
  <c r="G144"/>
  <c r="C144" s="1"/>
  <c r="G140"/>
  <c r="C140" s="1"/>
  <c r="G137"/>
  <c r="C137" s="1"/>
  <c r="G136"/>
  <c r="C136" s="1"/>
  <c r="G135"/>
  <c r="C135" s="1"/>
  <c r="G133"/>
  <c r="C133" s="1"/>
  <c r="G132"/>
  <c r="C132" s="1"/>
  <c r="G131"/>
  <c r="C131" s="1"/>
  <c r="G130"/>
  <c r="C130" s="1"/>
  <c r="G128"/>
  <c r="C128" s="1"/>
  <c r="G125"/>
  <c r="C125" s="1"/>
  <c r="G124"/>
  <c r="C124" s="1"/>
  <c r="G122"/>
  <c r="C122" s="1"/>
  <c r="G121"/>
  <c r="C121" s="1"/>
  <c r="G120"/>
  <c r="C120" s="1"/>
  <c r="G119"/>
  <c r="C119" s="1"/>
  <c r="G118"/>
  <c r="C118" s="1"/>
  <c r="G116"/>
  <c r="C116" s="1"/>
  <c r="G112"/>
  <c r="C112" s="1"/>
  <c r="G111"/>
  <c r="C111" s="1"/>
  <c r="G109"/>
  <c r="C109" s="1"/>
  <c r="G108"/>
  <c r="C108" s="1"/>
  <c r="G107"/>
  <c r="C107" s="1"/>
  <c r="G105"/>
  <c r="C105" s="1"/>
  <c r="G104"/>
  <c r="C104" s="1"/>
  <c r="G103"/>
  <c r="C103" s="1"/>
  <c r="G102"/>
  <c r="C102" s="1"/>
  <c r="G101"/>
  <c r="C101" s="1"/>
  <c r="G100"/>
  <c r="C100" s="1"/>
  <c r="G99"/>
  <c r="C99" s="1"/>
  <c r="G97"/>
  <c r="C97" s="1"/>
  <c r="G96"/>
  <c r="C96" s="1"/>
  <c r="G94"/>
  <c r="C94" s="1"/>
  <c r="G93"/>
  <c r="C93" s="1"/>
  <c r="G92"/>
  <c r="C92" s="1"/>
  <c r="G91"/>
  <c r="C91" s="1"/>
  <c r="G90"/>
  <c r="C90" s="1"/>
  <c r="G88"/>
  <c r="C88" s="1"/>
  <c r="G84"/>
  <c r="C84" s="1"/>
  <c r="G81"/>
  <c r="C81" s="1"/>
  <c r="G80"/>
  <c r="C80" s="1"/>
  <c r="G79"/>
  <c r="C79" s="1"/>
  <c r="G78"/>
  <c r="C78" s="1"/>
  <c r="G77"/>
  <c r="C77" s="1"/>
  <c r="G76"/>
  <c r="C76" s="1"/>
  <c r="G75"/>
  <c r="C75" s="1"/>
  <c r="G74"/>
  <c r="C74" s="1"/>
  <c r="G72"/>
  <c r="C72" s="1"/>
  <c r="G71"/>
  <c r="C71" s="1"/>
  <c r="G70"/>
  <c r="C70" s="1"/>
  <c r="G69"/>
  <c r="C69" s="1"/>
  <c r="G68"/>
  <c r="C68" s="1"/>
  <c r="G67"/>
  <c r="C67" s="1"/>
  <c r="G65"/>
  <c r="C65" s="1"/>
  <c r="G64"/>
  <c r="C64" s="1"/>
  <c r="G61"/>
  <c r="C61" s="1"/>
  <c r="G60"/>
  <c r="C60" s="1"/>
  <c r="G57"/>
  <c r="C57" s="1"/>
  <c r="G56"/>
  <c r="C56" s="1"/>
  <c r="G53"/>
  <c r="C53" s="1"/>
  <c r="G52"/>
  <c r="C52" s="1"/>
  <c r="G49"/>
  <c r="C49" s="1"/>
  <c r="G48"/>
  <c r="C48" s="1"/>
  <c r="G45"/>
  <c r="C45" s="1"/>
  <c r="G44"/>
  <c r="C44" s="1"/>
  <c r="G41"/>
  <c r="C41" s="1"/>
  <c r="G40"/>
  <c r="C40" s="1"/>
  <c r="G36"/>
  <c r="C36" s="1"/>
  <c r="G35"/>
  <c r="C35" s="1"/>
  <c r="G32"/>
  <c r="C32" s="1"/>
  <c r="G31"/>
  <c r="C31" s="1"/>
  <c r="G30"/>
  <c r="C30" s="1"/>
  <c r="G29"/>
  <c r="C29" s="1"/>
  <c r="G28"/>
  <c r="C28" s="1"/>
  <c r="G27"/>
  <c r="C27" s="1"/>
  <c r="G24"/>
  <c r="C24" s="1"/>
  <c r="G23"/>
  <c r="C23" s="1"/>
  <c r="G22"/>
  <c r="C22" s="1"/>
  <c r="G21"/>
  <c r="C21" s="1"/>
  <c r="G20"/>
  <c r="C20" s="1"/>
  <c r="G19"/>
  <c r="C19" s="1"/>
  <c r="G18"/>
  <c r="C18" s="1"/>
  <c r="G16"/>
  <c r="C16" s="1"/>
  <c r="G15"/>
  <c r="C15" s="1"/>
  <c r="G12"/>
  <c r="C12" s="1"/>
  <c r="G11"/>
  <c r="C11" s="1"/>
  <c r="G10"/>
  <c r="C10" s="1"/>
  <c r="L8"/>
  <c r="K8"/>
  <c r="K3"/>
  <c r="A2"/>
  <c r="N228" i="310" l="1"/>
  <c r="F37" i="309"/>
  <c r="L37" s="1"/>
  <c r="L138" i="310"/>
  <c r="K1144" i="309"/>
  <c r="F915"/>
  <c r="K915" s="1"/>
  <c r="F913"/>
  <c r="L913" s="1"/>
  <c r="F911"/>
  <c r="L911" s="1"/>
  <c r="F745"/>
  <c r="L745" s="1"/>
  <c r="F695"/>
  <c r="O695" s="1"/>
  <c r="F669"/>
  <c r="O669" s="1"/>
  <c r="Q138" i="310"/>
  <c r="I138"/>
  <c r="M138"/>
  <c r="C1060" i="309"/>
  <c r="C1058"/>
  <c r="C1055"/>
  <c r="C1053"/>
  <c r="C1051"/>
  <c r="C1049"/>
  <c r="C1047"/>
  <c r="C1045"/>
  <c r="G886"/>
  <c r="C886" s="1"/>
  <c r="T153" i="310"/>
  <c r="S152"/>
  <c r="T18"/>
  <c r="T63"/>
  <c r="T108"/>
  <c r="S107"/>
  <c r="T198"/>
  <c r="S197"/>
  <c r="F914" i="309"/>
  <c r="L914" s="1"/>
  <c r="F912"/>
  <c r="O912" s="1"/>
  <c r="F690"/>
  <c r="L690" s="1"/>
  <c r="F640"/>
  <c r="L640" s="1"/>
  <c r="F570"/>
  <c r="L570" s="1"/>
  <c r="C1069"/>
  <c r="C1070"/>
  <c r="C1073"/>
  <c r="C1076"/>
  <c r="C1084"/>
  <c r="C1085"/>
  <c r="C1101"/>
  <c r="C1102"/>
  <c r="C1108"/>
  <c r="C1109"/>
  <c r="C1112"/>
  <c r="C1115"/>
  <c r="C1116"/>
  <c r="C1121"/>
  <c r="C1125"/>
  <c r="C1126"/>
  <c r="C1132"/>
  <c r="C1135"/>
  <c r="C1137"/>
  <c r="C1138"/>
  <c r="G822"/>
  <c r="C822" s="1"/>
  <c r="G842"/>
  <c r="C842" s="1"/>
  <c r="G858"/>
  <c r="C858" s="1"/>
  <c r="G862"/>
  <c r="C862" s="1"/>
  <c r="G610"/>
  <c r="G754"/>
  <c r="C754" s="1"/>
  <c r="C1065"/>
  <c r="C1056"/>
  <c r="C554"/>
  <c r="C555"/>
  <c r="C556"/>
  <c r="C557"/>
  <c r="C558"/>
  <c r="C559"/>
  <c r="C560"/>
  <c r="C561"/>
  <c r="C562"/>
  <c r="C563"/>
  <c r="C564"/>
  <c r="C565"/>
  <c r="C566"/>
  <c r="C567"/>
  <c r="C568"/>
  <c r="C569"/>
  <c r="C571"/>
  <c r="C572"/>
  <c r="C573"/>
  <c r="C575"/>
  <c r="C576"/>
  <c r="C577"/>
  <c r="C578"/>
  <c r="C579"/>
  <c r="C580"/>
  <c r="C581"/>
  <c r="C582"/>
  <c r="C583"/>
  <c r="C584"/>
  <c r="C585"/>
  <c r="C586"/>
  <c r="C587"/>
  <c r="C588"/>
  <c r="C589"/>
  <c r="C590"/>
  <c r="C591"/>
  <c r="C592"/>
  <c r="C593"/>
  <c r="C594"/>
  <c r="C596"/>
  <c r="C597"/>
  <c r="C599"/>
  <c r="C600"/>
  <c r="C601"/>
  <c r="C602"/>
  <c r="C603"/>
  <c r="C604"/>
  <c r="C605"/>
  <c r="C606"/>
  <c r="C607"/>
  <c r="C608"/>
  <c r="C609"/>
  <c r="C610"/>
  <c r="C611"/>
  <c r="C612"/>
  <c r="C613"/>
  <c r="C614"/>
  <c r="C615"/>
  <c r="C616"/>
  <c r="C617"/>
  <c r="C618"/>
  <c r="C619"/>
  <c r="C620"/>
  <c r="C621"/>
  <c r="C622"/>
  <c r="C624"/>
  <c r="C625"/>
  <c r="C626"/>
  <c r="C627"/>
  <c r="C628"/>
  <c r="C629"/>
  <c r="C630"/>
  <c r="C631"/>
  <c r="C632"/>
  <c r="C633"/>
  <c r="C634"/>
  <c r="C635"/>
  <c r="C636"/>
  <c r="C637"/>
  <c r="C638"/>
  <c r="C639"/>
  <c r="C691"/>
  <c r="C692"/>
  <c r="C693"/>
  <c r="C694"/>
  <c r="C699"/>
  <c r="C700"/>
  <c r="C703"/>
  <c r="C704"/>
  <c r="C705"/>
  <c r="C706"/>
  <c r="C707"/>
  <c r="C708"/>
  <c r="C711"/>
  <c r="C712"/>
  <c r="C715"/>
  <c r="C716"/>
  <c r="C719"/>
  <c r="C720"/>
  <c r="C723"/>
  <c r="C724"/>
  <c r="C727"/>
  <c r="C728"/>
  <c r="C731"/>
  <c r="C732"/>
  <c r="C735"/>
  <c r="C736"/>
  <c r="C739"/>
  <c r="C740"/>
  <c r="C743"/>
  <c r="C744"/>
  <c r="C748"/>
  <c r="C749"/>
  <c r="C750"/>
  <c r="C751"/>
  <c r="C752"/>
  <c r="C753"/>
  <c r="C755"/>
  <c r="C756"/>
  <c r="C757"/>
  <c r="C758"/>
  <c r="C759"/>
  <c r="C760"/>
  <c r="C761"/>
  <c r="C762"/>
  <c r="C763"/>
  <c r="C764"/>
  <c r="C765"/>
  <c r="C766"/>
  <c r="C767"/>
  <c r="C768"/>
  <c r="C769"/>
  <c r="C770"/>
  <c r="C771"/>
  <c r="C772"/>
  <c r="C773"/>
  <c r="C774"/>
  <c r="C775"/>
  <c r="C776"/>
  <c r="C777"/>
  <c r="C778"/>
  <c r="C779"/>
  <c r="C780"/>
  <c r="C781"/>
  <c r="C782"/>
  <c r="C783"/>
  <c r="C784"/>
  <c r="C785"/>
  <c r="C786"/>
  <c r="C910"/>
  <c r="C908"/>
  <c r="C906"/>
  <c r="C904"/>
  <c r="C902"/>
  <c r="C900"/>
  <c r="C898"/>
  <c r="C896"/>
  <c r="C894"/>
  <c r="C892"/>
  <c r="C890"/>
  <c r="C888"/>
  <c r="C884"/>
  <c r="C882"/>
  <c r="C880"/>
  <c r="C878"/>
  <c r="C876"/>
  <c r="C874"/>
  <c r="C872"/>
  <c r="C830"/>
  <c r="C828"/>
  <c r="C826"/>
  <c r="C824"/>
  <c r="C820"/>
  <c r="C818"/>
  <c r="C816"/>
  <c r="C814"/>
  <c r="C812"/>
  <c r="C810"/>
  <c r="C808"/>
  <c r="C526"/>
  <c r="C527"/>
  <c r="C528"/>
  <c r="C530"/>
  <c r="C531"/>
  <c r="C532"/>
  <c r="C533"/>
  <c r="C534"/>
  <c r="C535"/>
  <c r="C536"/>
  <c r="C537"/>
  <c r="C538"/>
  <c r="C539"/>
  <c r="C540"/>
  <c r="C541"/>
  <c r="C542"/>
  <c r="C543"/>
  <c r="C544"/>
  <c r="C545"/>
  <c r="C546"/>
  <c r="C547"/>
  <c r="C548"/>
  <c r="C550"/>
  <c r="C551"/>
  <c r="C552"/>
  <c r="C553"/>
  <c r="C641"/>
  <c r="C642"/>
  <c r="C643"/>
  <c r="C644"/>
  <c r="C645"/>
  <c r="C646"/>
  <c r="C647"/>
  <c r="C648"/>
  <c r="C649"/>
  <c r="C650"/>
  <c r="C651"/>
  <c r="C652"/>
  <c r="C653"/>
  <c r="C654"/>
  <c r="C655"/>
  <c r="C656"/>
  <c r="C657"/>
  <c r="C658"/>
  <c r="C659"/>
  <c r="C660"/>
  <c r="C661"/>
  <c r="C662"/>
  <c r="C663"/>
  <c r="C664"/>
  <c r="C665"/>
  <c r="C666"/>
  <c r="C667"/>
  <c r="C668"/>
  <c r="C670"/>
  <c r="C671"/>
  <c r="C672"/>
  <c r="C673"/>
  <c r="C674"/>
  <c r="C675"/>
  <c r="C676"/>
  <c r="C677"/>
  <c r="C678"/>
  <c r="C679"/>
  <c r="C680"/>
  <c r="C681"/>
  <c r="C682"/>
  <c r="C683"/>
  <c r="C684"/>
  <c r="C685"/>
  <c r="C686"/>
  <c r="C687"/>
  <c r="C688"/>
  <c r="C689"/>
  <c r="C787"/>
  <c r="C788"/>
  <c r="C789"/>
  <c r="C790"/>
  <c r="C791"/>
  <c r="C792"/>
  <c r="C793"/>
  <c r="C794"/>
  <c r="C795"/>
  <c r="C796"/>
  <c r="C797"/>
  <c r="C798"/>
  <c r="C799"/>
  <c r="C800"/>
  <c r="C801"/>
  <c r="C802"/>
  <c r="C803"/>
  <c r="C805"/>
  <c r="C909"/>
  <c r="C907"/>
  <c r="C905"/>
  <c r="C903"/>
  <c r="C901"/>
  <c r="C899"/>
  <c r="C897"/>
  <c r="C895"/>
  <c r="C893"/>
  <c r="C891"/>
  <c r="C889"/>
  <c r="C887"/>
  <c r="C885"/>
  <c r="C883"/>
  <c r="C881"/>
  <c r="C879"/>
  <c r="C877"/>
  <c r="C875"/>
  <c r="C873"/>
  <c r="C871"/>
  <c r="C869"/>
  <c r="C867"/>
  <c r="C865"/>
  <c r="C863"/>
  <c r="C861"/>
  <c r="C859"/>
  <c r="C857"/>
  <c r="C855"/>
  <c r="C853"/>
  <c r="C851"/>
  <c r="C849"/>
  <c r="C847"/>
  <c r="C845"/>
  <c r="C843"/>
  <c r="C841"/>
  <c r="C839"/>
  <c r="C837"/>
  <c r="C835"/>
  <c r="C833"/>
  <c r="C831"/>
  <c r="C829"/>
  <c r="C827"/>
  <c r="C825"/>
  <c r="C823"/>
  <c r="C821"/>
  <c r="C819"/>
  <c r="C817"/>
  <c r="C815"/>
  <c r="C813"/>
  <c r="C811"/>
  <c r="C809"/>
  <c r="C807"/>
  <c r="C804"/>
  <c r="F238"/>
  <c r="O238" s="1"/>
  <c r="L916"/>
  <c r="F696"/>
  <c r="O696" s="1"/>
  <c r="O916"/>
  <c r="K916"/>
  <c r="L1140"/>
  <c r="K1140"/>
  <c r="D3" i="307"/>
  <c r="A1"/>
  <c r="C27" i="303"/>
  <c r="C26"/>
  <c r="C25"/>
  <c r="F27"/>
  <c r="F26"/>
  <c r="F25"/>
  <c r="K37" i="309" l="1"/>
  <c r="O37"/>
  <c r="K669"/>
  <c r="K640"/>
  <c r="K912"/>
  <c r="L695"/>
  <c r="K911"/>
  <c r="O913"/>
  <c r="O640"/>
  <c r="O745"/>
  <c r="L912"/>
  <c r="K745"/>
  <c r="K696"/>
  <c r="K913"/>
  <c r="L669"/>
  <c r="K695"/>
  <c r="O914"/>
  <c r="L696"/>
  <c r="O690"/>
  <c r="O911"/>
  <c r="O570"/>
  <c r="L915"/>
  <c r="O915"/>
  <c r="K914"/>
  <c r="K690"/>
  <c r="K570"/>
  <c r="K238"/>
  <c r="L238"/>
  <c r="T199" i="310"/>
  <c r="S198"/>
  <c r="T109"/>
  <c r="S108"/>
  <c r="T64"/>
  <c r="S63"/>
  <c r="T19"/>
  <c r="T154"/>
  <c r="T155" l="1"/>
  <c r="S155" s="1"/>
  <c r="S154"/>
  <c r="T20"/>
  <c r="S20" s="1"/>
  <c r="S19"/>
  <c r="T65"/>
  <c r="S65" s="1"/>
  <c r="S64"/>
  <c r="T110"/>
  <c r="S110" s="1"/>
  <c r="S109"/>
  <c r="T200"/>
  <c r="S200" s="1"/>
  <c r="S199"/>
  <c r="S228" l="1"/>
  <c r="S138"/>
  <c r="J916" i="140" l="1"/>
  <c r="L916" l="1"/>
  <c r="O916"/>
  <c r="K916"/>
  <c r="K33" i="269" l="1"/>
  <c r="K32"/>
  <c r="K31"/>
  <c r="N6"/>
  <c r="N5"/>
  <c r="N4"/>
  <c r="G123" i="218" l="1"/>
  <c r="G122"/>
  <c r="G121"/>
  <c r="G119"/>
  <c r="G737" i="216"/>
  <c r="I837" i="194"/>
  <c r="I836"/>
  <c r="I835"/>
  <c r="I834"/>
  <c r="I1300" i="192"/>
  <c r="I1299"/>
  <c r="I1298"/>
  <c r="I1297"/>
  <c r="I1296"/>
  <c r="I1295"/>
  <c r="I1294"/>
  <c r="I1293"/>
  <c r="I1292"/>
  <c r="I1291"/>
  <c r="I1290"/>
  <c r="I1289"/>
  <c r="I1288"/>
  <c r="I1287"/>
  <c r="I1286"/>
  <c r="I1285"/>
  <c r="I1284"/>
  <c r="I1283"/>
  <c r="I1282"/>
  <c r="I1281"/>
  <c r="I1280"/>
  <c r="I863"/>
  <c r="I862"/>
  <c r="I861"/>
  <c r="I478" i="194"/>
  <c r="I477"/>
  <c r="I476"/>
  <c r="I475"/>
  <c r="I474"/>
  <c r="I473"/>
  <c r="I472"/>
  <c r="I471"/>
  <c r="I768" i="192"/>
  <c r="I767"/>
  <c r="I766"/>
  <c r="I765"/>
  <c r="I764"/>
  <c r="I763"/>
  <c r="I762"/>
  <c r="I761"/>
  <c r="I760"/>
  <c r="I759"/>
  <c r="I758"/>
  <c r="I757"/>
  <c r="I756"/>
  <c r="I755"/>
  <c r="I754"/>
  <c r="I753"/>
  <c r="I752"/>
  <c r="I751"/>
  <c r="I750"/>
  <c r="I749"/>
  <c r="I748"/>
  <c r="I747"/>
  <c r="I746"/>
  <c r="I745"/>
  <c r="I380" i="194"/>
  <c r="I379"/>
  <c r="I378"/>
  <c r="I619" i="192"/>
  <c r="I618"/>
  <c r="I617"/>
  <c r="I616"/>
  <c r="I615"/>
  <c r="I614"/>
  <c r="I613"/>
  <c r="I612"/>
  <c r="I611"/>
  <c r="I610"/>
  <c r="I609"/>
  <c r="I608"/>
  <c r="I607"/>
  <c r="I606"/>
  <c r="I605"/>
  <c r="I1057" i="132"/>
  <c r="I1204"/>
  <c r="I326" i="194"/>
  <c r="I325"/>
  <c r="I324"/>
  <c r="I323"/>
  <c r="I485" i="192"/>
  <c r="I484"/>
  <c r="I483"/>
  <c r="I482"/>
  <c r="I481"/>
  <c r="I296" i="194"/>
  <c r="I295"/>
  <c r="I294"/>
  <c r="I293"/>
  <c r="I394" i="192"/>
  <c r="I393"/>
  <c r="I280"/>
  <c r="I279"/>
  <c r="I236"/>
  <c r="I235"/>
  <c r="I234"/>
  <c r="I233"/>
  <c r="I232"/>
  <c r="I231"/>
  <c r="I230"/>
  <c r="I479"/>
  <c r="I478"/>
  <c r="I477"/>
  <c r="I476"/>
  <c r="I475"/>
  <c r="I474"/>
  <c r="I472"/>
  <c r="I471"/>
  <c r="I470"/>
  <c r="I469"/>
  <c r="I468"/>
  <c r="I467"/>
  <c r="I466"/>
  <c r="I465"/>
  <c r="I464"/>
  <c r="I463"/>
  <c r="I391"/>
  <c r="I390"/>
  <c r="I389"/>
  <c r="I388"/>
  <c r="I387"/>
  <c r="I386"/>
  <c r="I384"/>
  <c r="I383"/>
  <c r="I382"/>
  <c r="I381"/>
  <c r="I380"/>
  <c r="I379"/>
  <c r="I378"/>
  <c r="I377"/>
  <c r="I104" i="194"/>
  <c r="I37"/>
  <c r="I36"/>
  <c r="I12"/>
  <c r="I11"/>
  <c r="I10"/>
  <c r="I138" i="192"/>
  <c r="I137"/>
  <c r="I136"/>
  <c r="I110"/>
  <c r="I108"/>
  <c r="I107"/>
  <c r="I57"/>
  <c r="I56"/>
  <c r="I55"/>
  <c r="I54"/>
  <c r="I53"/>
  <c r="I52"/>
  <c r="I51"/>
  <c r="I50"/>
  <c r="I49"/>
  <c r="I48"/>
  <c r="I47"/>
  <c r="I46"/>
  <c r="I45"/>
  <c r="I44"/>
  <c r="I43"/>
  <c r="I42"/>
  <c r="I41"/>
  <c r="I39"/>
  <c r="I38"/>
  <c r="I14"/>
  <c r="I12"/>
  <c r="I11"/>
  <c r="I10"/>
  <c r="I1521"/>
  <c r="G380" i="309" s="1"/>
  <c r="C380" s="1"/>
  <c r="I481" i="132"/>
  <c r="G747" i="309"/>
  <c r="I479" i="132"/>
  <c r="I478"/>
  <c r="G737" i="309"/>
  <c r="G733"/>
  <c r="G729"/>
  <c r="G725"/>
  <c r="G721"/>
  <c r="G717"/>
  <c r="G713"/>
  <c r="G709"/>
  <c r="G701"/>
  <c r="G697"/>
  <c r="I1391" i="306"/>
  <c r="I1424"/>
  <c r="I1385"/>
  <c r="I1369"/>
  <c r="I1338"/>
  <c r="I1332"/>
  <c r="I1316"/>
  <c r="I1299"/>
  <c r="I1293"/>
  <c r="I1292"/>
  <c r="I1257"/>
  <c r="I1251"/>
  <c r="I1226"/>
  <c r="I1227"/>
  <c r="I1228"/>
  <c r="I1229"/>
  <c r="I1230"/>
  <c r="I1231"/>
  <c r="I1232"/>
  <c r="I1233"/>
  <c r="I1234"/>
  <c r="I1235"/>
  <c r="I1236"/>
  <c r="I1237"/>
  <c r="G368" i="309" l="1"/>
  <c r="C368" s="1"/>
  <c r="G194"/>
  <c r="C194" s="1"/>
  <c r="E18" i="310"/>
  <c r="F18" s="1"/>
  <c r="G397" i="309"/>
  <c r="C397" s="1"/>
  <c r="G46"/>
  <c r="C46" s="1"/>
  <c r="C12" i="310"/>
  <c r="F12" s="1"/>
  <c r="G134" i="309"/>
  <c r="C134" s="1"/>
  <c r="C33" i="310"/>
  <c r="F33" s="1"/>
  <c r="G86" i="309"/>
  <c r="C86" s="1"/>
  <c r="C22" i="310"/>
  <c r="G98" i="309"/>
  <c r="C98" s="1"/>
  <c r="C36" i="310"/>
  <c r="F36" s="1"/>
  <c r="G595" i="309"/>
  <c r="C697"/>
  <c r="C709"/>
  <c r="C717"/>
  <c r="C725"/>
  <c r="C733"/>
  <c r="C701"/>
  <c r="C713"/>
  <c r="C721"/>
  <c r="C729"/>
  <c r="C737"/>
  <c r="C747"/>
  <c r="C595"/>
  <c r="G509"/>
  <c r="C509" s="1"/>
  <c r="G38"/>
  <c r="C38" s="1"/>
  <c r="I1045" i="306"/>
  <c r="I1046"/>
  <c r="I1047"/>
  <c r="I1048"/>
  <c r="I1049"/>
  <c r="I1535" i="192"/>
  <c r="G382" i="309" s="1"/>
  <c r="C382" s="1"/>
  <c r="G742"/>
  <c r="G738"/>
  <c r="G734"/>
  <c r="G730"/>
  <c r="G726"/>
  <c r="G722"/>
  <c r="G718"/>
  <c r="G714"/>
  <c r="G710"/>
  <c r="G702"/>
  <c r="G698"/>
  <c r="G598"/>
  <c r="G549"/>
  <c r="G529"/>
  <c r="I935" i="194"/>
  <c r="I934"/>
  <c r="I933"/>
  <c r="I932"/>
  <c r="I931"/>
  <c r="I930"/>
  <c r="I929"/>
  <c r="I928"/>
  <c r="I927"/>
  <c r="I925"/>
  <c r="I924"/>
  <c r="I897"/>
  <c r="I896"/>
  <c r="I895"/>
  <c r="I894"/>
  <c r="I506"/>
  <c r="I505"/>
  <c r="I504"/>
  <c r="I503"/>
  <c r="I502"/>
  <c r="I501"/>
  <c r="I500"/>
  <c r="I499"/>
  <c r="I402"/>
  <c r="I401"/>
  <c r="I400"/>
  <c r="I345"/>
  <c r="I344"/>
  <c r="I343"/>
  <c r="I342"/>
  <c r="I318"/>
  <c r="I317"/>
  <c r="I316"/>
  <c r="I315"/>
  <c r="I114"/>
  <c r="I49"/>
  <c r="I48"/>
  <c r="I26"/>
  <c r="I25"/>
  <c r="I24"/>
  <c r="I1512" i="192"/>
  <c r="I1511"/>
  <c r="I1510"/>
  <c r="I1508"/>
  <c r="I1507"/>
  <c r="I1506"/>
  <c r="I1505"/>
  <c r="I1504"/>
  <c r="I1503"/>
  <c r="I1452"/>
  <c r="I1451"/>
  <c r="I1450"/>
  <c r="I1449"/>
  <c r="I1448"/>
  <c r="I1447"/>
  <c r="I1446"/>
  <c r="I1445"/>
  <c r="I1444"/>
  <c r="I1443"/>
  <c r="I1442"/>
  <c r="I1441"/>
  <c r="I1440"/>
  <c r="I1439"/>
  <c r="I1438"/>
  <c r="I1437"/>
  <c r="I1436"/>
  <c r="I1435"/>
  <c r="I1434"/>
  <c r="I1433"/>
  <c r="I1432"/>
  <c r="I1079"/>
  <c r="I1078"/>
  <c r="I1077"/>
  <c r="I1076"/>
  <c r="I1075"/>
  <c r="I1074"/>
  <c r="I1073"/>
  <c r="I1072"/>
  <c r="I1071"/>
  <c r="I1070"/>
  <c r="I1069"/>
  <c r="I1068"/>
  <c r="I1067"/>
  <c r="I1039"/>
  <c r="I1038"/>
  <c r="I1037"/>
  <c r="I1036"/>
  <c r="I1035"/>
  <c r="I1034"/>
  <c r="I1033"/>
  <c r="I1032"/>
  <c r="I1031"/>
  <c r="I1030"/>
  <c r="I1029"/>
  <c r="I1028"/>
  <c r="I1027"/>
  <c r="I856"/>
  <c r="I855"/>
  <c r="I854"/>
  <c r="I853"/>
  <c r="I852"/>
  <c r="I851"/>
  <c r="I850"/>
  <c r="I849"/>
  <c r="I848"/>
  <c r="I847"/>
  <c r="I846"/>
  <c r="I845"/>
  <c r="I844"/>
  <c r="I843"/>
  <c r="I842"/>
  <c r="I841"/>
  <c r="I840"/>
  <c r="I839"/>
  <c r="I838"/>
  <c r="I837"/>
  <c r="I836"/>
  <c r="I835"/>
  <c r="I834"/>
  <c r="I833"/>
  <c r="I676"/>
  <c r="I675"/>
  <c r="I674"/>
  <c r="I673"/>
  <c r="I672"/>
  <c r="I671"/>
  <c r="I670"/>
  <c r="I669"/>
  <c r="I668"/>
  <c r="I667"/>
  <c r="I666"/>
  <c r="I665"/>
  <c r="I664"/>
  <c r="I663"/>
  <c r="I662"/>
  <c r="I548"/>
  <c r="I547"/>
  <c r="I546"/>
  <c r="I545"/>
  <c r="I544"/>
  <c r="I539"/>
  <c r="I538"/>
  <c r="I537"/>
  <c r="I536"/>
  <c r="I535"/>
  <c r="I534"/>
  <c r="I532"/>
  <c r="I531"/>
  <c r="I530"/>
  <c r="I529"/>
  <c r="I528"/>
  <c r="I527"/>
  <c r="I526"/>
  <c r="I525"/>
  <c r="I524"/>
  <c r="I523"/>
  <c r="I458"/>
  <c r="I457"/>
  <c r="I452"/>
  <c r="I451"/>
  <c r="I450"/>
  <c r="I449"/>
  <c r="I448"/>
  <c r="I447"/>
  <c r="I445"/>
  <c r="I444"/>
  <c r="I443"/>
  <c r="I442"/>
  <c r="I441"/>
  <c r="I440"/>
  <c r="I439"/>
  <c r="I438"/>
  <c r="I293"/>
  <c r="I292"/>
  <c r="I291"/>
  <c r="I268"/>
  <c r="I267"/>
  <c r="I266"/>
  <c r="I265"/>
  <c r="I264"/>
  <c r="I263"/>
  <c r="I262"/>
  <c r="I151"/>
  <c r="I150"/>
  <c r="I149"/>
  <c r="I126"/>
  <c r="I124"/>
  <c r="I123"/>
  <c r="I96"/>
  <c r="I95"/>
  <c r="I94"/>
  <c r="I93"/>
  <c r="I92"/>
  <c r="I91"/>
  <c r="I90"/>
  <c r="I89"/>
  <c r="I88"/>
  <c r="I87"/>
  <c r="I86"/>
  <c r="I85"/>
  <c r="I84"/>
  <c r="I83"/>
  <c r="I82"/>
  <c r="I81"/>
  <c r="I80"/>
  <c r="I78"/>
  <c r="I77"/>
  <c r="I28"/>
  <c r="I26"/>
  <c r="I25"/>
  <c r="I24"/>
  <c r="I1917" i="132"/>
  <c r="G213" i="309" s="1"/>
  <c r="C213" s="1"/>
  <c r="I1384" i="132"/>
  <c r="I1383"/>
  <c r="I1382"/>
  <c r="I1381"/>
  <c r="I1380"/>
  <c r="I1379"/>
  <c r="I1378"/>
  <c r="I1377"/>
  <c r="I1376"/>
  <c r="I1375"/>
  <c r="I1342"/>
  <c r="I1341"/>
  <c r="I1340"/>
  <c r="I1339"/>
  <c r="I1338"/>
  <c r="I1337"/>
  <c r="I1336"/>
  <c r="I1335"/>
  <c r="I1334"/>
  <c r="I1333"/>
  <c r="I1332"/>
  <c r="I1331"/>
  <c r="I1223"/>
  <c r="I1076"/>
  <c r="I796"/>
  <c r="I795"/>
  <c r="I794"/>
  <c r="I793"/>
  <c r="I792"/>
  <c r="I791"/>
  <c r="I790"/>
  <c r="I789"/>
  <c r="I788"/>
  <c r="I787"/>
  <c r="I786"/>
  <c r="I785"/>
  <c r="I784"/>
  <c r="I783"/>
  <c r="I517"/>
  <c r="I516"/>
  <c r="I515"/>
  <c r="I492"/>
  <c r="I487"/>
  <c r="I486"/>
  <c r="I465"/>
  <c r="I464"/>
  <c r="I463"/>
  <c r="I462"/>
  <c r="I461"/>
  <c r="I460"/>
  <c r="I459"/>
  <c r="I458"/>
  <c r="I457"/>
  <c r="I456"/>
  <c r="I455"/>
  <c r="I454"/>
  <c r="I453"/>
  <c r="I452"/>
  <c r="I451"/>
  <c r="I450"/>
  <c r="I449"/>
  <c r="I448"/>
  <c r="I447"/>
  <c r="I446"/>
  <c r="I445"/>
  <c r="I444"/>
  <c r="I443"/>
  <c r="I431"/>
  <c r="I186"/>
  <c r="I185"/>
  <c r="C73" i="310" l="1"/>
  <c r="F73" s="1"/>
  <c r="C67"/>
  <c r="F67" s="1"/>
  <c r="G87" i="309"/>
  <c r="C87" s="1"/>
  <c r="C66" i="310"/>
  <c r="F66" s="1"/>
  <c r="C169"/>
  <c r="F169" s="1"/>
  <c r="G141" i="309"/>
  <c r="C141" s="1"/>
  <c r="C166" i="310"/>
  <c r="F166" s="1"/>
  <c r="G129" i="309"/>
  <c r="C129" s="1"/>
  <c r="C162" i="310"/>
  <c r="F162" s="1"/>
  <c r="G113" i="309"/>
  <c r="C113" s="1"/>
  <c r="C163" i="310"/>
  <c r="F163" s="1"/>
  <c r="G117" i="309"/>
  <c r="C117" s="1"/>
  <c r="C60" i="310"/>
  <c r="F60" s="1"/>
  <c r="G59" i="309"/>
  <c r="C59" s="1"/>
  <c r="C57" i="310"/>
  <c r="F57" s="1"/>
  <c r="G47" i="309"/>
  <c r="C47" s="1"/>
  <c r="G205"/>
  <c r="C205" s="1"/>
  <c r="D13" i="310"/>
  <c r="G240" i="309"/>
  <c r="C240" s="1"/>
  <c r="E13" i="310"/>
  <c r="G385" i="309"/>
  <c r="C385" s="1"/>
  <c r="E15" i="310"/>
  <c r="G389" i="309"/>
  <c r="C389" s="1"/>
  <c r="E28" i="310"/>
  <c r="G437" i="309"/>
  <c r="C437" s="1"/>
  <c r="E35" i="310"/>
  <c r="G461" i="309"/>
  <c r="C461" s="1"/>
  <c r="L18" i="310"/>
  <c r="I18"/>
  <c r="S18"/>
  <c r="E31"/>
  <c r="G445" i="309"/>
  <c r="C445" s="1"/>
  <c r="E27" i="310"/>
  <c r="G429" i="309"/>
  <c r="C429" s="1"/>
  <c r="E34" i="310"/>
  <c r="G457" i="309"/>
  <c r="C457" s="1"/>
  <c r="D27" i="310"/>
  <c r="G284" i="309"/>
  <c r="C284" s="1"/>
  <c r="D16" i="310"/>
  <c r="G256" i="309"/>
  <c r="C256" s="1"/>
  <c r="D22" i="310"/>
  <c r="G272" i="309"/>
  <c r="C272" s="1"/>
  <c r="D34" i="310"/>
  <c r="G316" i="309"/>
  <c r="C316" s="1"/>
  <c r="D35" i="310"/>
  <c r="G320" i="309"/>
  <c r="C320" s="1"/>
  <c r="D15" i="310"/>
  <c r="G244" i="309"/>
  <c r="C244" s="1"/>
  <c r="D17" i="310"/>
  <c r="G248" i="309"/>
  <c r="C248" s="1"/>
  <c r="D28" i="310"/>
  <c r="G292" i="309"/>
  <c r="C292" s="1"/>
  <c r="D21" i="310"/>
  <c r="G268" i="309"/>
  <c r="C268" s="1"/>
  <c r="D31" i="310"/>
  <c r="G304" i="309"/>
  <c r="C304" s="1"/>
  <c r="F22" i="310"/>
  <c r="I22" s="1"/>
  <c r="G17" i="309"/>
  <c r="C17" s="1"/>
  <c r="C9" i="310"/>
  <c r="F9" s="1"/>
  <c r="G66" i="309"/>
  <c r="C66" s="1"/>
  <c r="C16" i="310"/>
  <c r="F16" s="1"/>
  <c r="G106" i="309"/>
  <c r="C106" s="1"/>
  <c r="C26" i="310"/>
  <c r="F26" s="1"/>
  <c r="G50" i="309"/>
  <c r="C50" s="1"/>
  <c r="C13" i="310"/>
  <c r="G110" i="309"/>
  <c r="C110" s="1"/>
  <c r="C27" i="310"/>
  <c r="G82" i="309"/>
  <c r="C82" s="1"/>
  <c r="C21" i="310"/>
  <c r="F21" s="1"/>
  <c r="G126" i="309"/>
  <c r="C126" s="1"/>
  <c r="C31" i="310"/>
  <c r="F31" s="1"/>
  <c r="G138" i="309"/>
  <c r="C138" s="1"/>
  <c r="C34" i="310"/>
  <c r="F34" s="1"/>
  <c r="G42" i="309"/>
  <c r="C42" s="1"/>
  <c r="C11" i="310"/>
  <c r="F11" s="1"/>
  <c r="G54" i="309"/>
  <c r="C54" s="1"/>
  <c r="C14" i="310"/>
  <c r="F14" s="1"/>
  <c r="G33" i="309"/>
  <c r="C33" s="1"/>
  <c r="C6" i="310"/>
  <c r="F6" s="1"/>
  <c r="O6" s="1"/>
  <c r="O48" s="1"/>
  <c r="G114" i="309"/>
  <c r="C114" s="1"/>
  <c r="C28" i="310"/>
  <c r="G58" i="309"/>
  <c r="C58" s="1"/>
  <c r="C15" i="310"/>
  <c r="F15" s="1"/>
  <c r="G25" i="309"/>
  <c r="C25" s="1"/>
  <c r="C7" i="310"/>
  <c r="F7" s="1"/>
  <c r="P7" s="1"/>
  <c r="P48" s="1"/>
  <c r="G62" i="309"/>
  <c r="C62" s="1"/>
  <c r="C17" i="310"/>
  <c r="F17" s="1"/>
  <c r="G142" i="309"/>
  <c r="C142" s="1"/>
  <c r="C35" i="310"/>
  <c r="F35" s="1"/>
  <c r="I36"/>
  <c r="S36"/>
  <c r="L36"/>
  <c r="N33"/>
  <c r="S33"/>
  <c r="L12"/>
  <c r="I12"/>
  <c r="S12"/>
  <c r="C529" i="309"/>
  <c r="C698"/>
  <c r="C710"/>
  <c r="C718"/>
  <c r="C726"/>
  <c r="C734"/>
  <c r="C742"/>
  <c r="C549"/>
  <c r="C598"/>
  <c r="C702"/>
  <c r="C714"/>
  <c r="C722"/>
  <c r="C730"/>
  <c r="C738"/>
  <c r="G516"/>
  <c r="C516" s="1"/>
  <c r="G520"/>
  <c r="C520" s="1"/>
  <c r="G13"/>
  <c r="C13" s="1"/>
  <c r="G375"/>
  <c r="C375" s="1"/>
  <c r="G379"/>
  <c r="C379" s="1"/>
  <c r="G574"/>
  <c r="G201"/>
  <c r="C201" s="1"/>
  <c r="L22" i="310" l="1"/>
  <c r="F27"/>
  <c r="Q27" s="1"/>
  <c r="F28"/>
  <c r="Q28" s="1"/>
  <c r="G115" i="309"/>
  <c r="C115" s="1"/>
  <c r="G83"/>
  <c r="C83" s="1"/>
  <c r="S73" i="310"/>
  <c r="Q73"/>
  <c r="Q93" s="1"/>
  <c r="M73"/>
  <c r="I67"/>
  <c r="L67"/>
  <c r="S67"/>
  <c r="L66"/>
  <c r="S66"/>
  <c r="I66"/>
  <c r="C56"/>
  <c r="F56" s="1"/>
  <c r="I56" s="1"/>
  <c r="G39" i="309"/>
  <c r="C39" s="1"/>
  <c r="C59" i="310"/>
  <c r="F59" s="1"/>
  <c r="I59" s="1"/>
  <c r="G14" i="309"/>
  <c r="C14" s="1"/>
  <c r="C51" i="310"/>
  <c r="F51" s="1"/>
  <c r="O51" s="1"/>
  <c r="O93" s="1"/>
  <c r="O229" s="1"/>
  <c r="O231" s="1"/>
  <c r="C58"/>
  <c r="F58" s="1"/>
  <c r="I58" s="1"/>
  <c r="N169"/>
  <c r="S169"/>
  <c r="S166"/>
  <c r="N166"/>
  <c r="S162"/>
  <c r="M162"/>
  <c r="Q162"/>
  <c r="Q163"/>
  <c r="S163"/>
  <c r="M163"/>
  <c r="G51" i="309"/>
  <c r="C51" s="1"/>
  <c r="L60" i="310"/>
  <c r="I60"/>
  <c r="S60"/>
  <c r="G55" i="309"/>
  <c r="C55" s="1"/>
  <c r="G34"/>
  <c r="C34" s="1"/>
  <c r="G43"/>
  <c r="C43" s="1"/>
  <c r="L57" i="310"/>
  <c r="I57"/>
  <c r="S57"/>
  <c r="F13"/>
  <c r="I13" s="1"/>
  <c r="S22"/>
  <c r="D175"/>
  <c r="G343" i="309"/>
  <c r="C343" s="1"/>
  <c r="D174" i="310"/>
  <c r="G339" i="309"/>
  <c r="C339" s="1"/>
  <c r="G161"/>
  <c r="C161" s="1"/>
  <c r="C175" i="310"/>
  <c r="G157" i="309"/>
  <c r="C157" s="1"/>
  <c r="C174" i="310"/>
  <c r="N35"/>
  <c r="S35"/>
  <c r="I17"/>
  <c r="L17"/>
  <c r="S17"/>
  <c r="I15"/>
  <c r="L15"/>
  <c r="S15"/>
  <c r="S28"/>
  <c r="L14"/>
  <c r="I14"/>
  <c r="S14"/>
  <c r="S11"/>
  <c r="L11"/>
  <c r="I11"/>
  <c r="S34"/>
  <c r="N34"/>
  <c r="N31"/>
  <c r="S31"/>
  <c r="I21"/>
  <c r="L21"/>
  <c r="S21"/>
  <c r="Q26"/>
  <c r="M26"/>
  <c r="S26"/>
  <c r="L16"/>
  <c r="I16"/>
  <c r="S16"/>
  <c r="H9"/>
  <c r="H48" s="1"/>
  <c r="H229" s="1"/>
  <c r="H231" s="1"/>
  <c r="S9"/>
  <c r="L9"/>
  <c r="C574" i="309"/>
  <c r="N3" i="250"/>
  <c r="K33"/>
  <c r="K32"/>
  <c r="K31"/>
  <c r="K33" i="240"/>
  <c r="K32"/>
  <c r="K31"/>
  <c r="K33" i="226"/>
  <c r="K32"/>
  <c r="K31"/>
  <c r="S27" i="310" l="1"/>
  <c r="M27"/>
  <c r="M28"/>
  <c r="S59"/>
  <c r="S56"/>
  <c r="L59"/>
  <c r="S58"/>
  <c r="L58"/>
  <c r="L56"/>
  <c r="N183"/>
  <c r="Q183"/>
  <c r="L13"/>
  <c r="L48" s="1"/>
  <c r="S13"/>
  <c r="F174"/>
  <c r="S174" s="1"/>
  <c r="F175"/>
  <c r="S175" s="1"/>
  <c r="N48"/>
  <c r="Q48"/>
  <c r="I48"/>
  <c r="I1101" i="306"/>
  <c r="I1102"/>
  <c r="I1091"/>
  <c r="I1093" s="1"/>
  <c r="M1093" s="1"/>
  <c r="S48" i="310" l="1"/>
  <c r="M48"/>
  <c r="Q229"/>
  <c r="Q231" s="1"/>
  <c r="M175"/>
  <c r="M174"/>
  <c r="I1207" i="192"/>
  <c r="I1206"/>
  <c r="I1204"/>
  <c r="I1203"/>
  <c r="I1201"/>
  <c r="I1202"/>
  <c r="I1205"/>
  <c r="I1179"/>
  <c r="I1180"/>
  <c r="I912" i="194"/>
  <c r="I911"/>
  <c r="I910"/>
  <c r="I909"/>
  <c r="I1491" i="192"/>
  <c r="I1490"/>
  <c r="I1489"/>
  <c r="I1488"/>
  <c r="I1487"/>
  <c r="I1486"/>
  <c r="I1485"/>
  <c r="I1484"/>
  <c r="I1483"/>
  <c r="I1482"/>
  <c r="I1481"/>
  <c r="I1480"/>
  <c r="I1479"/>
  <c r="I1478"/>
  <c r="I1477"/>
  <c r="I1476"/>
  <c r="I1475"/>
  <c r="I1474"/>
  <c r="I1473"/>
  <c r="I1472"/>
  <c r="I1471"/>
  <c r="I1470"/>
  <c r="I1469"/>
  <c r="I1468"/>
  <c r="I1467"/>
  <c r="I1466"/>
  <c r="I1465"/>
  <c r="I1464"/>
  <c r="I878" i="194"/>
  <c r="I877"/>
  <c r="I876"/>
  <c r="I875"/>
  <c r="I874"/>
  <c r="I1409" i="192"/>
  <c r="I1418"/>
  <c r="I1417"/>
  <c r="I1416"/>
  <c r="I1415"/>
  <c r="I1414"/>
  <c r="I1413"/>
  <c r="I1412"/>
  <c r="I1411"/>
  <c r="I1410"/>
  <c r="I1388"/>
  <c r="I1408"/>
  <c r="I1407"/>
  <c r="I1406"/>
  <c r="I1405"/>
  <c r="I1404"/>
  <c r="I1403"/>
  <c r="I1402"/>
  <c r="I1401"/>
  <c r="I1400"/>
  <c r="I1399"/>
  <c r="I1398"/>
  <c r="I1397"/>
  <c r="I1396"/>
  <c r="I1395"/>
  <c r="I1394"/>
  <c r="I1393"/>
  <c r="I1392"/>
  <c r="I1391"/>
  <c r="I1390"/>
  <c r="I1389"/>
  <c r="I1387"/>
  <c r="I1386"/>
  <c r="I1385"/>
  <c r="I1384"/>
  <c r="I1383"/>
  <c r="I1382"/>
  <c r="I1381"/>
  <c r="I1842" i="132"/>
  <c r="I1841"/>
  <c r="I1840"/>
  <c r="I1838"/>
  <c r="I1330" i="192"/>
  <c r="I1329"/>
  <c r="I1328"/>
  <c r="I1327"/>
  <c r="I1326"/>
  <c r="I1325"/>
  <c r="I1321"/>
  <c r="I1320"/>
  <c r="I1315"/>
  <c r="I1314"/>
  <c r="I1313"/>
  <c r="I1308"/>
  <c r="I1307"/>
  <c r="I1306"/>
  <c r="I1309"/>
  <c r="I1310"/>
  <c r="I1311"/>
  <c r="I1312"/>
  <c r="I1316"/>
  <c r="I1317"/>
  <c r="I1318"/>
  <c r="I1319"/>
  <c r="I1322"/>
  <c r="I1323"/>
  <c r="I1324"/>
  <c r="I1331"/>
  <c r="I1332"/>
  <c r="G195" i="309"/>
  <c r="C195" s="1"/>
  <c r="I1128" i="192"/>
  <c r="I1127"/>
  <c r="I1132"/>
  <c r="I1129"/>
  <c r="I1130"/>
  <c r="I1131"/>
  <c r="I1428" i="132"/>
  <c r="I1429"/>
  <c r="I1095" i="192"/>
  <c r="I1093"/>
  <c r="I1094"/>
  <c r="I1096"/>
  <c r="I1097"/>
  <c r="I1098"/>
  <c r="I1397" i="132"/>
  <c r="I1398"/>
  <c r="I1399"/>
  <c r="I1400"/>
  <c r="I1401"/>
  <c r="I986" i="192"/>
  <c r="I985"/>
  <c r="I984"/>
  <c r="I982"/>
  <c r="I981"/>
  <c r="I980"/>
  <c r="I978"/>
  <c r="I974"/>
  <c r="I975"/>
  <c r="I976"/>
  <c r="I977"/>
  <c r="I979"/>
  <c r="I983"/>
  <c r="I1275" i="132"/>
  <c r="I1272"/>
  <c r="I1271"/>
  <c r="I1270"/>
  <c r="I1273"/>
  <c r="I1274"/>
  <c r="I1276"/>
  <c r="I1239"/>
  <c r="I523" i="194"/>
  <c r="I888" i="192"/>
  <c r="I887"/>
  <c r="I520" i="194"/>
  <c r="I519"/>
  <c r="I521"/>
  <c r="I881" i="192"/>
  <c r="I880"/>
  <c r="I872"/>
  <c r="I879"/>
  <c r="I878"/>
  <c r="I877"/>
  <c r="I876"/>
  <c r="I874"/>
  <c r="I875"/>
  <c r="I882"/>
  <c r="I869"/>
  <c r="I870"/>
  <c r="I871"/>
  <c r="I873"/>
  <c r="I883"/>
  <c r="I884"/>
  <c r="I885"/>
  <c r="I487" i="194"/>
  <c r="I485"/>
  <c r="I484"/>
  <c r="I812" i="192"/>
  <c r="I808"/>
  <c r="I806"/>
  <c r="I802"/>
  <c r="I800"/>
  <c r="I799"/>
  <c r="I794"/>
  <c r="I793"/>
  <c r="I792"/>
  <c r="I790"/>
  <c r="I789"/>
  <c r="I788"/>
  <c r="I786"/>
  <c r="I785"/>
  <c r="I784"/>
  <c r="I782"/>
  <c r="I781"/>
  <c r="I780"/>
  <c r="I779"/>
  <c r="I778"/>
  <c r="I776"/>
  <c r="I775"/>
  <c r="I774"/>
  <c r="I821"/>
  <c r="I820"/>
  <c r="I819"/>
  <c r="I818"/>
  <c r="I813"/>
  <c r="I814"/>
  <c r="I815"/>
  <c r="I816"/>
  <c r="I817"/>
  <c r="I809"/>
  <c r="I810"/>
  <c r="I811"/>
  <c r="I807"/>
  <c r="I783"/>
  <c r="I787"/>
  <c r="I777"/>
  <c r="I791"/>
  <c r="I795"/>
  <c r="I796"/>
  <c r="I797"/>
  <c r="I798"/>
  <c r="I801"/>
  <c r="I803"/>
  <c r="I804"/>
  <c r="I805"/>
  <c r="I650"/>
  <c r="I649"/>
  <c r="I628"/>
  <c r="I629"/>
  <c r="I630"/>
  <c r="I631"/>
  <c r="I632"/>
  <c r="I633"/>
  <c r="I634"/>
  <c r="I635"/>
  <c r="I625"/>
  <c r="I626"/>
  <c r="I627"/>
  <c r="I636"/>
  <c r="I637"/>
  <c r="I638"/>
  <c r="I639"/>
  <c r="I640"/>
  <c r="I641"/>
  <c r="I642"/>
  <c r="I643"/>
  <c r="I644"/>
  <c r="I645"/>
  <c r="I646"/>
  <c r="I647"/>
  <c r="I311"/>
  <c r="I312"/>
  <c r="I19" i="194"/>
  <c r="I305"/>
  <c r="I304"/>
  <c r="I303"/>
  <c r="I302"/>
  <c r="I512" i="192"/>
  <c r="I510"/>
  <c r="I508"/>
  <c r="I509"/>
  <c r="I511"/>
  <c r="I513"/>
  <c r="I514"/>
  <c r="I515"/>
  <c r="I516"/>
  <c r="I517"/>
  <c r="I518"/>
  <c r="I433"/>
  <c r="I432"/>
  <c r="I427"/>
  <c r="I430"/>
  <c r="I429"/>
  <c r="I426"/>
  <c r="I422"/>
  <c r="I420"/>
  <c r="I419" l="1"/>
  <c r="I421"/>
  <c r="I423"/>
  <c r="I424"/>
  <c r="I425"/>
  <c r="I428"/>
  <c r="I247"/>
  <c r="I246"/>
  <c r="I244"/>
  <c r="I242"/>
  <c r="I257"/>
  <c r="I256"/>
  <c r="I243"/>
  <c r="I245"/>
  <c r="I248"/>
  <c r="I249"/>
  <c r="I250"/>
  <c r="I251"/>
  <c r="I252"/>
  <c r="I253"/>
  <c r="I254"/>
  <c r="I255"/>
  <c r="I503"/>
  <c r="I500"/>
  <c r="I499"/>
  <c r="I497"/>
  <c r="I496"/>
  <c r="I493"/>
  <c r="I492"/>
  <c r="I491"/>
  <c r="I495"/>
  <c r="I498"/>
  <c r="I501"/>
  <c r="I494"/>
  <c r="I502"/>
  <c r="I504"/>
  <c r="I505"/>
  <c r="I416"/>
  <c r="I412"/>
  <c r="I409"/>
  <c r="I408"/>
  <c r="I406"/>
  <c r="I405"/>
  <c r="I403"/>
  <c r="I402"/>
  <c r="I401"/>
  <c r="I400"/>
  <c r="I404"/>
  <c r="I407"/>
  <c r="I410"/>
  <c r="I411"/>
  <c r="I413"/>
  <c r="I414"/>
  <c r="I415"/>
  <c r="F12" i="198"/>
  <c r="E12"/>
  <c r="D12"/>
  <c r="C12"/>
  <c r="B12"/>
  <c r="F15"/>
  <c r="E15"/>
  <c r="D15"/>
  <c r="C15"/>
  <c r="B15"/>
  <c r="F9"/>
  <c r="E9"/>
  <c r="D9"/>
  <c r="C9"/>
  <c r="B9"/>
  <c r="F6"/>
  <c r="E6"/>
  <c r="D6"/>
  <c r="C6"/>
  <c r="B6"/>
  <c r="F3"/>
  <c r="E3"/>
  <c r="D3"/>
  <c r="C3"/>
  <c r="F32" i="272" l="1"/>
  <c r="F33" s="1"/>
  <c r="F164"/>
  <c r="I999" i="306" l="1"/>
  <c r="K4" i="226"/>
  <c r="G25" i="131" l="1"/>
  <c r="F185" i="211"/>
  <c r="R185" s="1"/>
  <c r="C186"/>
  <c r="F186" s="1"/>
  <c r="O186" s="1"/>
  <c r="O228" s="1"/>
  <c r="C187"/>
  <c r="F187" s="1"/>
  <c r="P187" s="1"/>
  <c r="P228" s="1"/>
  <c r="C188"/>
  <c r="F188" s="1"/>
  <c r="R188" s="1"/>
  <c r="C189"/>
  <c r="F189" s="1"/>
  <c r="C190"/>
  <c r="F190" s="1"/>
  <c r="C191"/>
  <c r="F191" s="1"/>
  <c r="T191"/>
  <c r="T201" s="1"/>
  <c r="T202" s="1"/>
  <c r="C192"/>
  <c r="F192" s="1"/>
  <c r="T192"/>
  <c r="C193"/>
  <c r="D193"/>
  <c r="E193"/>
  <c r="T193"/>
  <c r="C194"/>
  <c r="F194" s="1"/>
  <c r="T194"/>
  <c r="C195"/>
  <c r="D195"/>
  <c r="E195"/>
  <c r="T195"/>
  <c r="C196"/>
  <c r="D196"/>
  <c r="E196"/>
  <c r="T196"/>
  <c r="C197"/>
  <c r="D197"/>
  <c r="E197"/>
  <c r="T197"/>
  <c r="T198" s="1"/>
  <c r="T199" s="1"/>
  <c r="T200" s="1"/>
  <c r="C198"/>
  <c r="D198"/>
  <c r="E198"/>
  <c r="C199"/>
  <c r="D199"/>
  <c r="E199"/>
  <c r="C200"/>
  <c r="D200"/>
  <c r="E200"/>
  <c r="C201"/>
  <c r="D201"/>
  <c r="E201"/>
  <c r="C202"/>
  <c r="D202"/>
  <c r="E202"/>
  <c r="C203"/>
  <c r="D203"/>
  <c r="E203"/>
  <c r="C204"/>
  <c r="D204"/>
  <c r="E204"/>
  <c r="C205"/>
  <c r="F205" s="1"/>
  <c r="C206"/>
  <c r="D206"/>
  <c r="E206"/>
  <c r="C207"/>
  <c r="D207"/>
  <c r="E207"/>
  <c r="C208"/>
  <c r="D208"/>
  <c r="E208"/>
  <c r="C209"/>
  <c r="D209"/>
  <c r="E209"/>
  <c r="C210"/>
  <c r="D210"/>
  <c r="C211"/>
  <c r="D211"/>
  <c r="E211"/>
  <c r="C212"/>
  <c r="D212"/>
  <c r="E212"/>
  <c r="C213"/>
  <c r="D213"/>
  <c r="E213"/>
  <c r="C214"/>
  <c r="D214"/>
  <c r="E214"/>
  <c r="C215"/>
  <c r="D215"/>
  <c r="E215"/>
  <c r="C216"/>
  <c r="D216"/>
  <c r="E216"/>
  <c r="C217"/>
  <c r="D217"/>
  <c r="E217"/>
  <c r="C218"/>
  <c r="D218"/>
  <c r="E218"/>
  <c r="C219"/>
  <c r="D219"/>
  <c r="E219"/>
  <c r="C220"/>
  <c r="D220"/>
  <c r="E220"/>
  <c r="C221"/>
  <c r="D221"/>
  <c r="E221"/>
  <c r="C222"/>
  <c r="D222"/>
  <c r="E222"/>
  <c r="C223"/>
  <c r="D223"/>
  <c r="E223"/>
  <c r="C224"/>
  <c r="D224"/>
  <c r="E224"/>
  <c r="C225"/>
  <c r="D225"/>
  <c r="E225"/>
  <c r="C226"/>
  <c r="F226" s="1"/>
  <c r="J228"/>
  <c r="T216" l="1"/>
  <c r="F204"/>
  <c r="N204" s="1"/>
  <c r="F211"/>
  <c r="N211" s="1"/>
  <c r="F210"/>
  <c r="N210" s="1"/>
  <c r="F209"/>
  <c r="M209" s="1"/>
  <c r="F207"/>
  <c r="M207" s="1"/>
  <c r="F203"/>
  <c r="F202"/>
  <c r="I202" s="1"/>
  <c r="F201"/>
  <c r="L201" s="1"/>
  <c r="F200"/>
  <c r="L200" s="1"/>
  <c r="F199"/>
  <c r="L199" s="1"/>
  <c r="F198"/>
  <c r="L198" s="1"/>
  <c r="F197"/>
  <c r="L197" s="1"/>
  <c r="F196"/>
  <c r="I196" s="1"/>
  <c r="F195"/>
  <c r="L195" s="1"/>
  <c r="F193"/>
  <c r="I193" s="1"/>
  <c r="K205"/>
  <c r="K228" s="1"/>
  <c r="M205"/>
  <c r="I201"/>
  <c r="I200"/>
  <c r="I194"/>
  <c r="L194"/>
  <c r="I192"/>
  <c r="L192"/>
  <c r="I191"/>
  <c r="L191"/>
  <c r="H189"/>
  <c r="L189"/>
  <c r="F224"/>
  <c r="S224" s="1"/>
  <c r="F222"/>
  <c r="M222" s="1"/>
  <c r="F220"/>
  <c r="S220" s="1"/>
  <c r="F218"/>
  <c r="S218" s="1"/>
  <c r="F215"/>
  <c r="S215" s="1"/>
  <c r="F213"/>
  <c r="F225"/>
  <c r="M225" s="1"/>
  <c r="F223"/>
  <c r="S223" s="1"/>
  <c r="F221"/>
  <c r="M221" s="1"/>
  <c r="F219"/>
  <c r="S219" s="1"/>
  <c r="F217"/>
  <c r="M217" s="1"/>
  <c r="F216"/>
  <c r="F214"/>
  <c r="N214" s="1"/>
  <c r="F212"/>
  <c r="N212" s="1"/>
  <c r="F208"/>
  <c r="M208" s="1"/>
  <c r="F206"/>
  <c r="M206" s="1"/>
  <c r="S204"/>
  <c r="L190"/>
  <c r="H190"/>
  <c r="S190"/>
  <c r="R228"/>
  <c r="I226"/>
  <c r="S226"/>
  <c r="L226"/>
  <c r="S222"/>
  <c r="S205"/>
  <c r="S199"/>
  <c r="S194"/>
  <c r="S192"/>
  <c r="S191"/>
  <c r="S189"/>
  <c r="I1459" i="306"/>
  <c r="I1454"/>
  <c r="I1449"/>
  <c r="I1444"/>
  <c r="I1439"/>
  <c r="I1434"/>
  <c r="I1429"/>
  <c r="I1423"/>
  <c r="I1418"/>
  <c r="I1417"/>
  <c r="I1416"/>
  <c r="I1411"/>
  <c r="I1406"/>
  <c r="I1401"/>
  <c r="I1396"/>
  <c r="I1390"/>
  <c r="I1384"/>
  <c r="I1379"/>
  <c r="I1374"/>
  <c r="I1368"/>
  <c r="I1363"/>
  <c r="I1358"/>
  <c r="I1353"/>
  <c r="I1348"/>
  <c r="I1343"/>
  <c r="I1337"/>
  <c r="I1331"/>
  <c r="I1326"/>
  <c r="I1321"/>
  <c r="I1315"/>
  <c r="I1310"/>
  <c r="I1305"/>
  <c r="I1298"/>
  <c r="I1291"/>
  <c r="I1290"/>
  <c r="I1285"/>
  <c r="I1280"/>
  <c r="I1275"/>
  <c r="I1270"/>
  <c r="I1269"/>
  <c r="I1268"/>
  <c r="I1267"/>
  <c r="I1262"/>
  <c r="I1256"/>
  <c r="I1250"/>
  <c r="I1245"/>
  <c r="I1244"/>
  <c r="I1243"/>
  <c r="I1225"/>
  <c r="I1220"/>
  <c r="I1214"/>
  <c r="I1209"/>
  <c r="I1204"/>
  <c r="I1199"/>
  <c r="I1194"/>
  <c r="I1189"/>
  <c r="I1184"/>
  <c r="I1179"/>
  <c r="I1174"/>
  <c r="I1163"/>
  <c r="I1158"/>
  <c r="I1153"/>
  <c r="I1148"/>
  <c r="I1143"/>
  <c r="I1138"/>
  <c r="I1133"/>
  <c r="I1132"/>
  <c r="I1127"/>
  <c r="I1122"/>
  <c r="I1117"/>
  <c r="F1112"/>
  <c r="I1112" s="1"/>
  <c r="F1107"/>
  <c r="I1107" s="1"/>
  <c r="I1096"/>
  <c r="I1086"/>
  <c r="I1081"/>
  <c r="I1076"/>
  <c r="I1070"/>
  <c r="I1068"/>
  <c r="I1067"/>
  <c r="I1062"/>
  <c r="I1057"/>
  <c r="I1056"/>
  <c r="I1055"/>
  <c r="I1054"/>
  <c r="I1044"/>
  <c r="I1039"/>
  <c r="I1034"/>
  <c r="I1033"/>
  <c r="I1032"/>
  <c r="I1027"/>
  <c r="I1022"/>
  <c r="I1017"/>
  <c r="I1012"/>
  <c r="I1007"/>
  <c r="I1003"/>
  <c r="I994"/>
  <c r="I993"/>
  <c r="I988"/>
  <c r="I987"/>
  <c r="I982"/>
  <c r="I977"/>
  <c r="I972"/>
  <c r="I970"/>
  <c r="I965"/>
  <c r="I960"/>
  <c r="I955"/>
  <c r="I950"/>
  <c r="I945"/>
  <c r="I940"/>
  <c r="I935"/>
  <c r="I930"/>
  <c r="I931" s="1"/>
  <c r="G1044" i="309" s="1"/>
  <c r="C1044" s="1"/>
  <c r="I923" i="306"/>
  <c r="I922"/>
  <c r="I921"/>
  <c r="I916"/>
  <c r="I915"/>
  <c r="I914"/>
  <c r="I913"/>
  <c r="I908"/>
  <c r="I907"/>
  <c r="I906"/>
  <c r="I905"/>
  <c r="I900"/>
  <c r="I899"/>
  <c r="I898"/>
  <c r="I897"/>
  <c r="I892"/>
  <c r="I891"/>
  <c r="I886"/>
  <c r="I885"/>
  <c r="I880"/>
  <c r="I879"/>
  <c r="I878"/>
  <c r="I873"/>
  <c r="I872"/>
  <c r="I871"/>
  <c r="I866"/>
  <c r="I865"/>
  <c r="I864"/>
  <c r="I859"/>
  <c r="I858"/>
  <c r="I857"/>
  <c r="I852"/>
  <c r="I851"/>
  <c r="I850"/>
  <c r="I845"/>
  <c r="I844"/>
  <c r="I843"/>
  <c r="I838"/>
  <c r="I837"/>
  <c r="I832"/>
  <c r="I827"/>
  <c r="I826"/>
  <c r="I825"/>
  <c r="I820"/>
  <c r="I819"/>
  <c r="I818"/>
  <c r="I813"/>
  <c r="I812"/>
  <c r="I811"/>
  <c r="I810"/>
  <c r="I805"/>
  <c r="I804"/>
  <c r="I803"/>
  <c r="I802"/>
  <c r="I797"/>
  <c r="I796"/>
  <c r="I795"/>
  <c r="I790"/>
  <c r="I789"/>
  <c r="I788"/>
  <c r="I783"/>
  <c r="I782"/>
  <c r="I777"/>
  <c r="I772"/>
  <c r="I771"/>
  <c r="I770"/>
  <c r="I769"/>
  <c r="I764"/>
  <c r="I763"/>
  <c r="I758"/>
  <c r="I753"/>
  <c r="I748"/>
  <c r="I747"/>
  <c r="I746"/>
  <c r="I741"/>
  <c r="I740"/>
  <c r="I735"/>
  <c r="I734"/>
  <c r="I729"/>
  <c r="I724"/>
  <c r="I719"/>
  <c r="I718"/>
  <c r="I713"/>
  <c r="I712"/>
  <c r="I707"/>
  <c r="I702"/>
  <c r="I703" s="1"/>
  <c r="G1009" i="309" s="1"/>
  <c r="C1009" s="1"/>
  <c r="I694" i="306"/>
  <c r="I693"/>
  <c r="I692"/>
  <c r="I687"/>
  <c r="I686"/>
  <c r="I685"/>
  <c r="I684"/>
  <c r="I683"/>
  <c r="I678"/>
  <c r="I677"/>
  <c r="I676"/>
  <c r="I675"/>
  <c r="I674"/>
  <c r="I673"/>
  <c r="I668"/>
  <c r="I667"/>
  <c r="I666"/>
  <c r="I665"/>
  <c r="I664"/>
  <c r="I659"/>
  <c r="I658"/>
  <c r="I657"/>
  <c r="I656"/>
  <c r="I651"/>
  <c r="I650"/>
  <c r="I649"/>
  <c r="I644"/>
  <c r="I643"/>
  <c r="I642"/>
  <c r="I637"/>
  <c r="I636"/>
  <c r="I635"/>
  <c r="I630"/>
  <c r="I629"/>
  <c r="I628"/>
  <c r="I627"/>
  <c r="I622"/>
  <c r="I621"/>
  <c r="I620"/>
  <c r="I615"/>
  <c r="I614"/>
  <c r="I613"/>
  <c r="I608"/>
  <c r="I607"/>
  <c r="I606"/>
  <c r="I601"/>
  <c r="I600"/>
  <c r="I599"/>
  <c r="I594"/>
  <c r="I593"/>
  <c r="I592"/>
  <c r="I587"/>
  <c r="I586"/>
  <c r="I585"/>
  <c r="I580"/>
  <c r="I579"/>
  <c r="I578"/>
  <c r="I573"/>
  <c r="I572"/>
  <c r="I571"/>
  <c r="I570"/>
  <c r="I565"/>
  <c r="I564"/>
  <c r="I563"/>
  <c r="I562"/>
  <c r="I557"/>
  <c r="I556"/>
  <c r="I555"/>
  <c r="I550"/>
  <c r="I549"/>
  <c r="I544"/>
  <c r="I543"/>
  <c r="I542"/>
  <c r="I537"/>
  <c r="I536"/>
  <c r="I535"/>
  <c r="I530"/>
  <c r="I529"/>
  <c r="I524"/>
  <c r="I523"/>
  <c r="I518"/>
  <c r="I517"/>
  <c r="I512"/>
  <c r="I511"/>
  <c r="I506"/>
  <c r="I505"/>
  <c r="I500"/>
  <c r="I499"/>
  <c r="I494"/>
  <c r="I493"/>
  <c r="I488"/>
  <c r="I487"/>
  <c r="I482"/>
  <c r="I477"/>
  <c r="I476"/>
  <c r="I471"/>
  <c r="I466"/>
  <c r="I465"/>
  <c r="I460"/>
  <c r="I455"/>
  <c r="I456" s="1"/>
  <c r="G973" i="309" s="1"/>
  <c r="C973" s="1"/>
  <c r="I447" i="306"/>
  <c r="I442"/>
  <c r="I437"/>
  <c r="I432"/>
  <c r="I427"/>
  <c r="I422"/>
  <c r="I421"/>
  <c r="I416"/>
  <c r="I415"/>
  <c r="I414"/>
  <c r="I413"/>
  <c r="I412"/>
  <c r="I411"/>
  <c r="I410"/>
  <c r="I409"/>
  <c r="I408"/>
  <c r="I407"/>
  <c r="I406"/>
  <c r="I405"/>
  <c r="I404"/>
  <c r="I403"/>
  <c r="I402"/>
  <c r="I401"/>
  <c r="I400"/>
  <c r="I399"/>
  <c r="I398"/>
  <c r="I397"/>
  <c r="I396"/>
  <c r="I395"/>
  <c r="I394"/>
  <c r="I393"/>
  <c r="I392"/>
  <c r="I391"/>
  <c r="I390"/>
  <c r="I389"/>
  <c r="I388"/>
  <c r="I387"/>
  <c r="I386"/>
  <c r="I381"/>
  <c r="I380"/>
  <c r="I379"/>
  <c r="I374"/>
  <c r="I373"/>
  <c r="I372"/>
  <c r="I367"/>
  <c r="I366"/>
  <c r="I365"/>
  <c r="I360"/>
  <c r="I359"/>
  <c r="I358"/>
  <c r="I353"/>
  <c r="I352"/>
  <c r="I351"/>
  <c r="I346"/>
  <c r="I345"/>
  <c r="I344"/>
  <c r="I339"/>
  <c r="I338"/>
  <c r="I337"/>
  <c r="I336"/>
  <c r="I331"/>
  <c r="I330"/>
  <c r="I329"/>
  <c r="I328"/>
  <c r="I327"/>
  <c r="I326"/>
  <c r="I325"/>
  <c r="I324"/>
  <c r="I323"/>
  <c r="I318"/>
  <c r="I317"/>
  <c r="I316"/>
  <c r="I311"/>
  <c r="I310"/>
  <c r="I309"/>
  <c r="I308"/>
  <c r="I304"/>
  <c r="I303"/>
  <c r="I302"/>
  <c r="I301"/>
  <c r="I296"/>
  <c r="I295"/>
  <c r="I294"/>
  <c r="I289"/>
  <c r="I288"/>
  <c r="I287"/>
  <c r="I286"/>
  <c r="I285"/>
  <c r="I284"/>
  <c r="I283"/>
  <c r="I282"/>
  <c r="I281"/>
  <c r="I280"/>
  <c r="I279"/>
  <c r="I278"/>
  <c r="I277"/>
  <c r="I276"/>
  <c r="I275"/>
  <c r="I274"/>
  <c r="I273"/>
  <c r="I272"/>
  <c r="I271"/>
  <c r="I266"/>
  <c r="I265"/>
  <c r="I264"/>
  <c r="I263"/>
  <c r="I262"/>
  <c r="I261"/>
  <c r="I260"/>
  <c r="I259"/>
  <c r="I254"/>
  <c r="I253"/>
  <c r="I252"/>
  <c r="I247"/>
  <c r="I246"/>
  <c r="I245"/>
  <c r="I242"/>
  <c r="I241"/>
  <c r="I240"/>
  <c r="I239"/>
  <c r="I238"/>
  <c r="I237"/>
  <c r="I236"/>
  <c r="I235"/>
  <c r="I234"/>
  <c r="I231"/>
  <c r="I230"/>
  <c r="I229"/>
  <c r="I224"/>
  <c r="I223"/>
  <c r="I222"/>
  <c r="I217"/>
  <c r="I216"/>
  <c r="I215"/>
  <c r="I214"/>
  <c r="I213"/>
  <c r="I212"/>
  <c r="I207"/>
  <c r="I206"/>
  <c r="I205"/>
  <c r="I204"/>
  <c r="I203"/>
  <c r="I198"/>
  <c r="I197"/>
  <c r="I196"/>
  <c r="I191"/>
  <c r="I190"/>
  <c r="I189"/>
  <c r="I188"/>
  <c r="I183"/>
  <c r="I182"/>
  <c r="I181"/>
  <c r="I176"/>
  <c r="I175"/>
  <c r="I174"/>
  <c r="I173"/>
  <c r="I168"/>
  <c r="I167"/>
  <c r="I166"/>
  <c r="I165"/>
  <c r="I160"/>
  <c r="I159"/>
  <c r="I158"/>
  <c r="I153"/>
  <c r="I152"/>
  <c r="I147"/>
  <c r="I146"/>
  <c r="I141"/>
  <c r="I140"/>
  <c r="I135"/>
  <c r="I134"/>
  <c r="I133"/>
  <c r="I132"/>
  <c r="I131"/>
  <c r="I126"/>
  <c r="I125"/>
  <c r="I124"/>
  <c r="I119"/>
  <c r="I118"/>
  <c r="F113"/>
  <c r="I113" s="1"/>
  <c r="F112"/>
  <c r="I112" s="1"/>
  <c r="I107"/>
  <c r="I106"/>
  <c r="I101"/>
  <c r="I100"/>
  <c r="I95"/>
  <c r="I94"/>
  <c r="I93"/>
  <c r="I92"/>
  <c r="I87"/>
  <c r="H86"/>
  <c r="I86" s="1"/>
  <c r="I83"/>
  <c r="I82"/>
  <c r="I79"/>
  <c r="I78"/>
  <c r="I77"/>
  <c r="I76"/>
  <c r="I75"/>
  <c r="I74"/>
  <c r="I73"/>
  <c r="I72"/>
  <c r="I67"/>
  <c r="I62"/>
  <c r="I56"/>
  <c r="I55"/>
  <c r="I50"/>
  <c r="I49"/>
  <c r="H44"/>
  <c r="I44" s="1"/>
  <c r="I43"/>
  <c r="I38"/>
  <c r="I37"/>
  <c r="I32"/>
  <c r="I31"/>
  <c r="I30"/>
  <c r="I29"/>
  <c r="I28"/>
  <c r="I23"/>
  <c r="I18"/>
  <c r="I17"/>
  <c r="I11"/>
  <c r="I12" s="1"/>
  <c r="I13" s="1"/>
  <c r="L1472"/>
  <c r="H1472"/>
  <c r="L1471"/>
  <c r="H1471"/>
  <c r="L1470"/>
  <c r="H1470"/>
  <c r="C2"/>
  <c r="G268" i="218"/>
  <c r="G270"/>
  <c r="G271"/>
  <c r="G272"/>
  <c r="S216" i="211" l="1"/>
  <c r="M220"/>
  <c r="S195"/>
  <c r="Q208"/>
  <c r="L196"/>
  <c r="L202"/>
  <c r="I198"/>
  <c r="S193"/>
  <c r="M223"/>
  <c r="M218"/>
  <c r="Q207"/>
  <c r="L193"/>
  <c r="S213"/>
  <c r="N213"/>
  <c r="S203"/>
  <c r="N203"/>
  <c r="S197"/>
  <c r="S201"/>
  <c r="S209"/>
  <c r="S225"/>
  <c r="I197"/>
  <c r="Q206"/>
  <c r="S212"/>
  <c r="I216"/>
  <c r="S206"/>
  <c r="L216"/>
  <c r="M219"/>
  <c r="S196"/>
  <c r="S198"/>
  <c r="S200"/>
  <c r="S202"/>
  <c r="S207"/>
  <c r="S210"/>
  <c r="S211"/>
  <c r="S217"/>
  <c r="N215"/>
  <c r="M224"/>
  <c r="M228" s="1"/>
  <c r="S214"/>
  <c r="S221"/>
  <c r="I195"/>
  <c r="I199"/>
  <c r="Q209"/>
  <c r="H228"/>
  <c r="S208"/>
  <c r="I417" i="306"/>
  <c r="Q228" i="211" l="1"/>
  <c r="N228"/>
  <c r="L228"/>
  <c r="I228"/>
  <c r="S228"/>
  <c r="I879" i="194"/>
  <c r="I880"/>
  <c r="I881"/>
  <c r="I1014" i="192"/>
  <c r="I943"/>
  <c r="I944"/>
  <c r="I945"/>
  <c r="I946"/>
  <c r="I947"/>
  <c r="I1240" i="132"/>
  <c r="I518" i="194"/>
  <c r="I486"/>
  <c r="I386"/>
  <c r="I387"/>
  <c r="I388"/>
  <c r="I331"/>
  <c r="I507" i="192"/>
  <c r="I418"/>
  <c r="I1526"/>
  <c r="I490"/>
  <c r="I399"/>
  <c r="I17" i="194" l="1"/>
  <c r="I310" i="192"/>
  <c r="I144"/>
  <c r="I143"/>
  <c r="I118"/>
  <c r="I116"/>
  <c r="I115"/>
  <c r="I72"/>
  <c r="I70"/>
  <c r="I69"/>
  <c r="I68"/>
  <c r="I67"/>
  <c r="I66"/>
  <c r="I64"/>
  <c r="I63"/>
  <c r="I62"/>
  <c r="H12" i="198"/>
  <c r="H9"/>
  <c r="H6"/>
  <c r="B3"/>
  <c r="F1143" i="305"/>
  <c r="F1142"/>
  <c r="F1141"/>
  <c r="H3" i="198" l="1"/>
  <c r="H15"/>
  <c r="G3" i="305"/>
  <c r="C1143" l="1"/>
  <c r="C1142"/>
  <c r="C1141"/>
  <c r="G1127"/>
  <c r="D1126"/>
  <c r="D1125"/>
  <c r="D1124"/>
  <c r="D1123"/>
  <c r="D1122"/>
  <c r="D1121"/>
  <c r="D1120"/>
  <c r="D1119"/>
  <c r="D1118"/>
  <c r="D1117"/>
  <c r="D1116"/>
  <c r="D1115"/>
  <c r="D1114"/>
  <c r="D1113"/>
  <c r="D1112"/>
  <c r="D1111"/>
  <c r="D1110"/>
  <c r="D1109"/>
  <c r="D1108"/>
  <c r="D1107"/>
  <c r="D1106"/>
  <c r="D1105"/>
  <c r="D1104"/>
  <c r="D1103"/>
  <c r="D1102"/>
  <c r="D1101"/>
  <c r="D1100"/>
  <c r="D1099"/>
  <c r="D1098"/>
  <c r="D1097"/>
  <c r="D1096"/>
  <c r="D1095"/>
  <c r="D1094"/>
  <c r="D1093"/>
  <c r="D1092"/>
  <c r="D1091"/>
  <c r="D1090"/>
  <c r="D1089"/>
  <c r="D1088"/>
  <c r="D1087"/>
  <c r="D1086"/>
  <c r="D1085"/>
  <c r="D1084"/>
  <c r="D1083"/>
  <c r="D1082"/>
  <c r="D1081"/>
  <c r="D1080"/>
  <c r="D1079"/>
  <c r="D1078"/>
  <c r="D1077"/>
  <c r="D1076"/>
  <c r="D1075"/>
  <c r="D1074"/>
  <c r="D1073"/>
  <c r="D1072"/>
  <c r="D1071"/>
  <c r="D1070"/>
  <c r="D1069"/>
  <c r="D1068"/>
  <c r="D1067"/>
  <c r="D1066"/>
  <c r="D1065"/>
  <c r="D1064"/>
  <c r="D1063"/>
  <c r="D1062"/>
  <c r="D1061"/>
  <c r="D1060"/>
  <c r="D1059"/>
  <c r="D1058"/>
  <c r="D1057"/>
  <c r="D1056"/>
  <c r="D1055"/>
  <c r="D1054"/>
  <c r="D1053"/>
  <c r="D1052"/>
  <c r="D1051"/>
  <c r="D1050"/>
  <c r="D1049"/>
  <c r="D1048"/>
  <c r="D1047"/>
  <c r="D1046"/>
  <c r="D1045"/>
  <c r="D1044"/>
  <c r="D1043"/>
  <c r="D1042"/>
  <c r="D1041"/>
  <c r="D1040"/>
  <c r="D1039"/>
  <c r="D1038"/>
  <c r="D1037"/>
  <c r="D1036"/>
  <c r="D1035"/>
  <c r="D1034"/>
  <c r="D1033"/>
  <c r="D1032"/>
  <c r="D1030"/>
  <c r="D1029"/>
  <c r="D1028"/>
  <c r="D1027"/>
  <c r="D1026"/>
  <c r="D1025"/>
  <c r="D1024"/>
  <c r="D1023"/>
  <c r="D1022"/>
  <c r="D1021"/>
  <c r="D1020"/>
  <c r="D1019"/>
  <c r="D1018"/>
  <c r="D1017"/>
  <c r="D1016"/>
  <c r="D1015"/>
  <c r="D1014"/>
  <c r="D1013"/>
  <c r="D1012"/>
  <c r="D1011"/>
  <c r="D1010"/>
  <c r="D1009"/>
  <c r="D1008"/>
  <c r="D1007"/>
  <c r="D1006"/>
  <c r="D1005"/>
  <c r="D1004"/>
  <c r="D1003"/>
  <c r="D1002"/>
  <c r="D1001"/>
  <c r="D1000"/>
  <c r="D999"/>
  <c r="D998"/>
  <c r="D997"/>
  <c r="D995"/>
  <c r="D994"/>
  <c r="D993"/>
  <c r="D992"/>
  <c r="D991"/>
  <c r="D990"/>
  <c r="D989"/>
  <c r="D988"/>
  <c r="D987"/>
  <c r="D986"/>
  <c r="D985"/>
  <c r="D984"/>
  <c r="D983"/>
  <c r="D982"/>
  <c r="D981"/>
  <c r="D980"/>
  <c r="D979"/>
  <c r="D978"/>
  <c r="D977"/>
  <c r="D976"/>
  <c r="D975"/>
  <c r="D974"/>
  <c r="D973"/>
  <c r="D972"/>
  <c r="D971"/>
  <c r="D970"/>
  <c r="D969"/>
  <c r="D968"/>
  <c r="D967"/>
  <c r="D966"/>
  <c r="D965"/>
  <c r="D964"/>
  <c r="D963"/>
  <c r="D962"/>
  <c r="D961"/>
  <c r="D959"/>
  <c r="D958"/>
  <c r="D957"/>
  <c r="D956"/>
  <c r="D955"/>
  <c r="D954"/>
  <c r="D953"/>
  <c r="D952"/>
  <c r="D951"/>
  <c r="D950"/>
  <c r="D949"/>
  <c r="D948"/>
  <c r="D947"/>
  <c r="D946"/>
  <c r="D945"/>
  <c r="D944"/>
  <c r="D943"/>
  <c r="D942"/>
  <c r="D941"/>
  <c r="D940"/>
  <c r="D939"/>
  <c r="D938"/>
  <c r="D937"/>
  <c r="D936"/>
  <c r="D935"/>
  <c r="D934"/>
  <c r="D933"/>
  <c r="D932"/>
  <c r="D931"/>
  <c r="D930"/>
  <c r="D929"/>
  <c r="D928"/>
  <c r="D927"/>
  <c r="D926"/>
  <c r="D925"/>
  <c r="D924"/>
  <c r="D923"/>
  <c r="D922"/>
  <c r="D921"/>
  <c r="D920"/>
  <c r="D919"/>
  <c r="D918"/>
  <c r="D917"/>
  <c r="D916"/>
  <c r="D915"/>
  <c r="D914"/>
  <c r="D913"/>
  <c r="D912"/>
  <c r="D911"/>
  <c r="D910"/>
  <c r="D909"/>
  <c r="D908"/>
  <c r="D907"/>
  <c r="D906"/>
  <c r="D905"/>
  <c r="G1135"/>
  <c r="G1134"/>
  <c r="J1130"/>
  <c r="D902"/>
  <c r="D900"/>
  <c r="D898"/>
  <c r="D896"/>
  <c r="D895"/>
  <c r="D894"/>
  <c r="D893"/>
  <c r="D892"/>
  <c r="D890"/>
  <c r="D888"/>
  <c r="D887"/>
  <c r="D886"/>
  <c r="D885"/>
  <c r="D884"/>
  <c r="D882"/>
  <c r="D881"/>
  <c r="D880"/>
  <c r="D878"/>
  <c r="D876"/>
  <c r="D875"/>
  <c r="D874"/>
  <c r="D872"/>
  <c r="D871"/>
  <c r="D870"/>
  <c r="D869"/>
  <c r="D868"/>
  <c r="D867"/>
  <c r="D866"/>
  <c r="D864"/>
  <c r="D863"/>
  <c r="D862"/>
  <c r="D860"/>
  <c r="D858"/>
  <c r="D856"/>
  <c r="D855"/>
  <c r="D854"/>
  <c r="D853"/>
  <c r="D852"/>
  <c r="D850"/>
  <c r="D848"/>
  <c r="D847"/>
  <c r="D846"/>
  <c r="D844"/>
  <c r="D843"/>
  <c r="D842"/>
  <c r="D841"/>
  <c r="D840"/>
  <c r="D839"/>
  <c r="D838"/>
  <c r="D836"/>
  <c r="D835"/>
  <c r="D834"/>
  <c r="D832"/>
  <c r="D831"/>
  <c r="D830"/>
  <c r="D828"/>
  <c r="D827"/>
  <c r="D826"/>
  <c r="D825"/>
  <c r="D824"/>
  <c r="D823"/>
  <c r="D822"/>
  <c r="D820"/>
  <c r="D819"/>
  <c r="D818"/>
  <c r="D816"/>
  <c r="D815"/>
  <c r="D814"/>
  <c r="D812"/>
  <c r="D811"/>
  <c r="D810"/>
  <c r="D808"/>
  <c r="D806"/>
  <c r="D804"/>
  <c r="D802"/>
  <c r="D800"/>
  <c r="D798"/>
  <c r="D796"/>
  <c r="D795"/>
  <c r="D794"/>
  <c r="D793"/>
  <c r="D792"/>
  <c r="D791"/>
  <c r="D790"/>
  <c r="D788"/>
  <c r="D787"/>
  <c r="D786"/>
  <c r="D785"/>
  <c r="D784"/>
  <c r="D783"/>
  <c r="D782"/>
  <c r="D780"/>
  <c r="D779"/>
  <c r="D778"/>
  <c r="D776"/>
  <c r="D775"/>
  <c r="D774"/>
  <c r="D773"/>
  <c r="D772"/>
  <c r="D771"/>
  <c r="D770"/>
  <c r="D769"/>
  <c r="D768"/>
  <c r="D767"/>
  <c r="D766"/>
  <c r="D764"/>
  <c r="D763"/>
  <c r="D762"/>
  <c r="D760"/>
  <c r="D759"/>
  <c r="D758"/>
  <c r="D756"/>
  <c r="D755"/>
  <c r="D754"/>
  <c r="D752"/>
  <c r="D751"/>
  <c r="D750"/>
  <c r="D749"/>
  <c r="D748"/>
  <c r="D746"/>
  <c r="D744"/>
  <c r="D743"/>
  <c r="D742"/>
  <c r="D738"/>
  <c r="D737"/>
  <c r="D734"/>
  <c r="D733"/>
  <c r="D731"/>
  <c r="D730"/>
  <c r="D729"/>
  <c r="D727"/>
  <c r="D726"/>
  <c r="D725"/>
  <c r="D723"/>
  <c r="D722"/>
  <c r="D721"/>
  <c r="D719"/>
  <c r="D718"/>
  <c r="D717"/>
  <c r="D715"/>
  <c r="D714"/>
  <c r="D713"/>
  <c r="D711"/>
  <c r="D710"/>
  <c r="D709"/>
  <c r="D707"/>
  <c r="D706"/>
  <c r="D705"/>
  <c r="D703"/>
  <c r="D702"/>
  <c r="D701"/>
  <c r="D700"/>
  <c r="D699"/>
  <c r="D698"/>
  <c r="D697"/>
  <c r="D696"/>
  <c r="D695"/>
  <c r="D694"/>
  <c r="D693"/>
  <c r="D692"/>
  <c r="D691"/>
  <c r="D690"/>
  <c r="D689"/>
  <c r="D687"/>
  <c r="D686"/>
  <c r="D685"/>
  <c r="D683"/>
  <c r="D682"/>
  <c r="D681"/>
  <c r="D679"/>
  <c r="D678"/>
  <c r="D677"/>
  <c r="D675"/>
  <c r="D674"/>
  <c r="D673"/>
  <c r="D672"/>
  <c r="D671"/>
  <c r="D670"/>
  <c r="D669"/>
  <c r="D667"/>
  <c r="D665"/>
  <c r="D664"/>
  <c r="D662"/>
  <c r="D661"/>
  <c r="D660"/>
  <c r="D658"/>
  <c r="D657"/>
  <c r="D656"/>
  <c r="D655"/>
  <c r="D654"/>
  <c r="D653"/>
  <c r="D652"/>
  <c r="D650"/>
  <c r="D649"/>
  <c r="D648"/>
  <c r="D646"/>
  <c r="D645"/>
  <c r="D644"/>
  <c r="D642"/>
  <c r="D641"/>
  <c r="D640"/>
  <c r="D638"/>
  <c r="D637"/>
  <c r="D636"/>
  <c r="D635"/>
  <c r="D634"/>
  <c r="D633"/>
  <c r="D632"/>
  <c r="D630"/>
  <c r="D629"/>
  <c r="D628"/>
  <c r="D626"/>
  <c r="D625"/>
  <c r="D624"/>
  <c r="D623"/>
  <c r="D622"/>
  <c r="G621"/>
  <c r="D620"/>
  <c r="D619"/>
  <c r="D618"/>
  <c r="D617"/>
  <c r="D616"/>
  <c r="D615"/>
  <c r="D614"/>
  <c r="D613"/>
  <c r="D612"/>
  <c r="D611"/>
  <c r="D610"/>
  <c r="D609"/>
  <c r="D608"/>
  <c r="D607"/>
  <c r="D605"/>
  <c r="D604"/>
  <c r="D603"/>
  <c r="D602"/>
  <c r="D601"/>
  <c r="D600"/>
  <c r="D599"/>
  <c r="D597"/>
  <c r="D596"/>
  <c r="D595"/>
  <c r="D593"/>
  <c r="D592"/>
  <c r="D591"/>
  <c r="D590"/>
  <c r="D589"/>
  <c r="D588"/>
  <c r="D587"/>
  <c r="D586"/>
  <c r="D585"/>
  <c r="D584"/>
  <c r="D583"/>
  <c r="D582"/>
  <c r="D581"/>
  <c r="D580"/>
  <c r="D579"/>
  <c r="D577"/>
  <c r="D576"/>
  <c r="D575"/>
  <c r="D573"/>
  <c r="D572"/>
  <c r="D569"/>
  <c r="G568"/>
  <c r="D567"/>
  <c r="D566"/>
  <c r="D565"/>
  <c r="D564"/>
  <c r="D562"/>
  <c r="D561"/>
  <c r="D560"/>
  <c r="D559"/>
  <c r="D558"/>
  <c r="D556"/>
  <c r="D555"/>
  <c r="D554"/>
  <c r="D552"/>
  <c r="D551"/>
  <c r="D550"/>
  <c r="D548"/>
  <c r="D547"/>
  <c r="D546"/>
  <c r="D544"/>
  <c r="D543"/>
  <c r="D542"/>
  <c r="D541"/>
  <c r="D540"/>
  <c r="D539"/>
  <c r="D538"/>
  <c r="D537"/>
  <c r="D536"/>
  <c r="D535"/>
  <c r="D534"/>
  <c r="D533"/>
  <c r="D532"/>
  <c r="D531"/>
  <c r="D530"/>
  <c r="D529"/>
  <c r="D528"/>
  <c r="D527"/>
  <c r="D526"/>
  <c r="D524"/>
  <c r="D518"/>
  <c r="D517"/>
  <c r="D515"/>
  <c r="D514"/>
  <c r="D513"/>
  <c r="D511"/>
  <c r="D510"/>
  <c r="D509"/>
  <c r="D508"/>
  <c r="D507"/>
  <c r="D506"/>
  <c r="D505"/>
  <c r="D504"/>
  <c r="D503"/>
  <c r="D502"/>
  <c r="D501"/>
  <c r="D500"/>
  <c r="D499"/>
  <c r="D498"/>
  <c r="D497"/>
  <c r="D496"/>
  <c r="D495"/>
  <c r="D494"/>
  <c r="D493"/>
  <c r="D492"/>
  <c r="D491"/>
  <c r="D490"/>
  <c r="D489"/>
  <c r="D488"/>
  <c r="D487"/>
  <c r="D486"/>
  <c r="D485"/>
  <c r="D484"/>
  <c r="D483"/>
  <c r="D482"/>
  <c r="D481"/>
  <c r="D480"/>
  <c r="D479"/>
  <c r="D478"/>
  <c r="D477"/>
  <c r="D476"/>
  <c r="D475"/>
  <c r="D474"/>
  <c r="D473"/>
  <c r="D472"/>
  <c r="D471"/>
  <c r="D470"/>
  <c r="D469"/>
  <c r="D468"/>
  <c r="D467"/>
  <c r="D466"/>
  <c r="D465"/>
  <c r="D464"/>
  <c r="D463"/>
  <c r="D462"/>
  <c r="D461"/>
  <c r="D459"/>
  <c r="D458"/>
  <c r="D457"/>
  <c r="D455"/>
  <c r="D454"/>
  <c r="D453"/>
  <c r="D452"/>
  <c r="D451"/>
  <c r="D450"/>
  <c r="D449"/>
  <c r="D448"/>
  <c r="D447"/>
  <c r="D446"/>
  <c r="D445"/>
  <c r="D443"/>
  <c r="D442"/>
  <c r="D441"/>
  <c r="D440"/>
  <c r="D439"/>
  <c r="D438"/>
  <c r="D437"/>
  <c r="D436"/>
  <c r="D434"/>
  <c r="D433"/>
  <c r="D431"/>
  <c r="D430"/>
  <c r="D429"/>
  <c r="D426"/>
  <c r="D425"/>
  <c r="D424"/>
  <c r="D423"/>
  <c r="D422"/>
  <c r="D421"/>
  <c r="D419"/>
  <c r="D418"/>
  <c r="D417"/>
  <c r="D416"/>
  <c r="D415"/>
  <c r="D414"/>
  <c r="D413"/>
  <c r="D412"/>
  <c r="D411"/>
  <c r="D410"/>
  <c r="D409"/>
  <c r="D408"/>
  <c r="D407"/>
  <c r="D406"/>
  <c r="D405"/>
  <c r="D404"/>
  <c r="D403"/>
  <c r="D402"/>
  <c r="D401"/>
  <c r="D400"/>
  <c r="D399"/>
  <c r="D398"/>
  <c r="D397"/>
  <c r="D396"/>
  <c r="D395"/>
  <c r="D394"/>
  <c r="D393"/>
  <c r="D390"/>
  <c r="D389"/>
  <c r="D386"/>
  <c r="D385"/>
  <c r="D384"/>
  <c r="G382"/>
  <c r="D377"/>
  <c r="D376"/>
  <c r="D374"/>
  <c r="D373"/>
  <c r="D372"/>
  <c r="D370"/>
  <c r="D369"/>
  <c r="D368"/>
  <c r="D366"/>
  <c r="D365"/>
  <c r="D364"/>
  <c r="D363"/>
  <c r="D362"/>
  <c r="D361"/>
  <c r="D360"/>
  <c r="D359"/>
  <c r="D358"/>
  <c r="D356"/>
  <c r="D354"/>
  <c r="D352"/>
  <c r="D350"/>
  <c r="D349"/>
  <c r="D348"/>
  <c r="D346"/>
  <c r="D345"/>
  <c r="D344"/>
  <c r="D342"/>
  <c r="D341"/>
  <c r="D340"/>
  <c r="D338"/>
  <c r="D337"/>
  <c r="D336"/>
  <c r="D334"/>
  <c r="D333"/>
  <c r="D332"/>
  <c r="D330"/>
  <c r="D329"/>
  <c r="D328"/>
  <c r="D326"/>
  <c r="D325"/>
  <c r="D324"/>
  <c r="D323"/>
  <c r="D322"/>
  <c r="D321"/>
  <c r="D320"/>
  <c r="D318"/>
  <c r="D317"/>
  <c r="D316"/>
  <c r="D314"/>
  <c r="D313"/>
  <c r="D312"/>
  <c r="D311"/>
  <c r="D310"/>
  <c r="D309"/>
  <c r="D308"/>
  <c r="D307"/>
  <c r="D306"/>
  <c r="D305"/>
  <c r="D304"/>
  <c r="D302"/>
  <c r="D301"/>
  <c r="D300"/>
  <c r="D299"/>
  <c r="D298"/>
  <c r="D297"/>
  <c r="D296"/>
  <c r="D295"/>
  <c r="D294"/>
  <c r="D293"/>
  <c r="D292"/>
  <c r="D291"/>
  <c r="D289"/>
  <c r="D288"/>
  <c r="D287"/>
  <c r="D286"/>
  <c r="D285"/>
  <c r="D284"/>
  <c r="D283"/>
  <c r="D281"/>
  <c r="D280"/>
  <c r="D279"/>
  <c r="D278"/>
  <c r="D277"/>
  <c r="D276"/>
  <c r="D275"/>
  <c r="D273"/>
  <c r="D272"/>
  <c r="D269"/>
  <c r="D268"/>
  <c r="D265"/>
  <c r="D264"/>
  <c r="D263"/>
  <c r="D262"/>
  <c r="D261"/>
  <c r="D260"/>
  <c r="D259"/>
  <c r="D258"/>
  <c r="D257"/>
  <c r="D256"/>
  <c r="D255"/>
  <c r="D253"/>
  <c r="D252"/>
  <c r="D251"/>
  <c r="D250"/>
  <c r="D249"/>
  <c r="D248"/>
  <c r="D247"/>
  <c r="D245"/>
  <c r="D244"/>
  <c r="D243"/>
  <c r="D241"/>
  <c r="D240"/>
  <c r="D239"/>
  <c r="G237"/>
  <c r="D231"/>
  <c r="D230"/>
  <c r="D229"/>
  <c r="D228"/>
  <c r="D227"/>
  <c r="D226"/>
  <c r="D225"/>
  <c r="D223"/>
  <c r="D222"/>
  <c r="D221"/>
  <c r="D219"/>
  <c r="D218"/>
  <c r="D217"/>
  <c r="D215"/>
  <c r="D213"/>
  <c r="D211"/>
  <c r="D209"/>
  <c r="D207"/>
  <c r="D206"/>
  <c r="D205"/>
  <c r="D204"/>
  <c r="D203"/>
  <c r="D201"/>
  <c r="D200"/>
  <c r="D199"/>
  <c r="D197"/>
  <c r="D196"/>
  <c r="D195"/>
  <c r="D193"/>
  <c r="D192"/>
  <c r="D191"/>
  <c r="D190"/>
  <c r="D189"/>
  <c r="D188"/>
  <c r="D187"/>
  <c r="D186"/>
  <c r="D185"/>
  <c r="D184"/>
  <c r="D183"/>
  <c r="D182"/>
  <c r="D181"/>
  <c r="D180"/>
  <c r="D179"/>
  <c r="D177"/>
  <c r="D175"/>
  <c r="D174"/>
  <c r="D173"/>
  <c r="D172"/>
  <c r="D171"/>
  <c r="D169"/>
  <c r="D168"/>
  <c r="D167"/>
  <c r="D165"/>
  <c r="D164"/>
  <c r="D163"/>
  <c r="D161"/>
  <c r="D160"/>
  <c r="D159"/>
  <c r="D157"/>
  <c r="D156"/>
  <c r="D155"/>
  <c r="D153"/>
  <c r="D152"/>
  <c r="D151"/>
  <c r="D149"/>
  <c r="D148"/>
  <c r="D147"/>
  <c r="D145"/>
  <c r="D144"/>
  <c r="D143"/>
  <c r="D141"/>
  <c r="D140"/>
  <c r="D139"/>
  <c r="D137"/>
  <c r="D136"/>
  <c r="D135"/>
  <c r="D134"/>
  <c r="D133"/>
  <c r="D132"/>
  <c r="D131"/>
  <c r="D130"/>
  <c r="D129"/>
  <c r="D128"/>
  <c r="D127"/>
  <c r="D125"/>
  <c r="D124"/>
  <c r="D123"/>
  <c r="D121"/>
  <c r="D120"/>
  <c r="D119"/>
  <c r="D118"/>
  <c r="D117"/>
  <c r="D116"/>
  <c r="D115"/>
  <c r="D114"/>
  <c r="D112"/>
  <c r="D111"/>
  <c r="D108"/>
  <c r="D107"/>
  <c r="D104"/>
  <c r="D103"/>
  <c r="D102"/>
  <c r="D101"/>
  <c r="D100"/>
  <c r="D99"/>
  <c r="D98"/>
  <c r="D97"/>
  <c r="D96"/>
  <c r="D95"/>
  <c r="D93"/>
  <c r="D92"/>
  <c r="D91"/>
  <c r="D89"/>
  <c r="D87"/>
  <c r="D83"/>
  <c r="D82"/>
  <c r="D80"/>
  <c r="D79"/>
  <c r="D78"/>
  <c r="D77"/>
  <c r="D76"/>
  <c r="D75"/>
  <c r="D74"/>
  <c r="D73"/>
  <c r="D71"/>
  <c r="D70"/>
  <c r="D69"/>
  <c r="D68"/>
  <c r="D67"/>
  <c r="D66"/>
  <c r="D64"/>
  <c r="D63"/>
  <c r="D60"/>
  <c r="D59"/>
  <c r="D58"/>
  <c r="D56"/>
  <c r="D55"/>
  <c r="D54"/>
  <c r="D52"/>
  <c r="D51"/>
  <c r="D50"/>
  <c r="D48"/>
  <c r="D47"/>
  <c r="D46"/>
  <c r="D44"/>
  <c r="D43"/>
  <c r="D42"/>
  <c r="D40"/>
  <c r="D39"/>
  <c r="D38"/>
  <c r="D36"/>
  <c r="D35"/>
  <c r="D34"/>
  <c r="D32"/>
  <c r="D31"/>
  <c r="D30"/>
  <c r="D29"/>
  <c r="D28"/>
  <c r="D27"/>
  <c r="D25"/>
  <c r="D24"/>
  <c r="D23"/>
  <c r="D22"/>
  <c r="D21"/>
  <c r="D20"/>
  <c r="D19"/>
  <c r="D15"/>
  <c r="D14"/>
  <c r="D11"/>
  <c r="D10"/>
  <c r="D9"/>
  <c r="A2"/>
  <c r="H117" i="139"/>
  <c r="F116"/>
  <c r="F39" i="171"/>
  <c r="D32" i="307" l="1"/>
  <c r="E32" s="1"/>
  <c r="F1129" i="195"/>
  <c r="F1128"/>
  <c r="F238" i="140"/>
  <c r="J238"/>
  <c r="F912"/>
  <c r="J912"/>
  <c r="F745"/>
  <c r="J745"/>
  <c r="F570"/>
  <c r="J570"/>
  <c r="F914"/>
  <c r="F913"/>
  <c r="F907"/>
  <c r="F911"/>
  <c r="F899"/>
  <c r="F883"/>
  <c r="F875"/>
  <c r="F871"/>
  <c r="F867"/>
  <c r="F859"/>
  <c r="F855"/>
  <c r="F839"/>
  <c r="F811"/>
  <c r="F807"/>
  <c r="F803"/>
  <c r="F799"/>
  <c r="F791"/>
  <c r="F787"/>
  <c r="F755"/>
  <c r="F751"/>
  <c r="F747"/>
  <c r="F741"/>
  <c r="F737"/>
  <c r="F733"/>
  <c r="F729"/>
  <c r="F725"/>
  <c r="F721"/>
  <c r="F717"/>
  <c r="F713"/>
  <c r="F709"/>
  <c r="F697"/>
  <c r="F696"/>
  <c r="F695"/>
  <c r="F691"/>
  <c r="F690"/>
  <c r="F686"/>
  <c r="F678"/>
  <c r="F670"/>
  <c r="F669"/>
  <c r="F665"/>
  <c r="F661"/>
  <c r="F657"/>
  <c r="F653"/>
  <c r="F649"/>
  <c r="F645"/>
  <c r="F636"/>
  <c r="F641"/>
  <c r="F640"/>
  <c r="F628"/>
  <c r="F624"/>
  <c r="F571"/>
  <c r="F562"/>
  <c r="F558"/>
  <c r="F554"/>
  <c r="F526"/>
  <c r="F380"/>
  <c r="F376"/>
  <c r="F372"/>
  <c r="F356"/>
  <c r="F352"/>
  <c r="F332"/>
  <c r="F328"/>
  <c r="F316"/>
  <c r="F320"/>
  <c r="F304"/>
  <c r="F292"/>
  <c r="F284"/>
  <c r="F280"/>
  <c r="F272"/>
  <c r="F268"/>
  <c r="F256"/>
  <c r="F248"/>
  <c r="F244"/>
  <c r="F240"/>
  <c r="F194"/>
  <c r="F214"/>
  <c r="F210"/>
  <c r="F202"/>
  <c r="F198"/>
  <c r="F186"/>
  <c r="F150"/>
  <c r="F146"/>
  <c r="F142"/>
  <c r="F138"/>
  <c r="F126"/>
  <c r="F114"/>
  <c r="F110"/>
  <c r="F106"/>
  <c r="F86"/>
  <c r="F82"/>
  <c r="F66"/>
  <c r="F62"/>
  <c r="F58"/>
  <c r="F54"/>
  <c r="F50"/>
  <c r="F46"/>
  <c r="F42"/>
  <c r="F38"/>
  <c r="F37"/>
  <c r="F33"/>
  <c r="F17"/>
  <c r="F13"/>
  <c r="O912" l="1"/>
  <c r="L745"/>
  <c r="L238"/>
  <c r="O745"/>
  <c r="O238"/>
  <c r="L912"/>
  <c r="K238"/>
  <c r="K912"/>
  <c r="K745"/>
  <c r="L570"/>
  <c r="O570"/>
  <c r="K570"/>
  <c r="D903" i="305" l="1"/>
  <c r="D899"/>
  <c r="D883"/>
  <c r="D879"/>
  <c r="D859"/>
  <c r="D851"/>
  <c r="D807"/>
  <c r="D803"/>
  <c r="D799"/>
  <c r="D837"/>
  <c r="D829"/>
  <c r="D821"/>
  <c r="D801"/>
  <c r="D777"/>
  <c r="D765"/>
  <c r="D736"/>
  <c r="D732"/>
  <c r="D728"/>
  <c r="D724"/>
  <c r="D720"/>
  <c r="D716"/>
  <c r="D712"/>
  <c r="D708"/>
  <c r="D704"/>
  <c r="D676"/>
  <c r="D631"/>
  <c r="D627"/>
  <c r="D563"/>
  <c r="D571"/>
  <c r="D594"/>
  <c r="D578"/>
  <c r="D553"/>
  <c r="D549"/>
  <c r="L2048" i="304"/>
  <c r="H2048"/>
  <c r="L2047"/>
  <c r="H2047"/>
  <c r="L2046"/>
  <c r="H2046"/>
  <c r="C2"/>
  <c r="J1148" i="140"/>
  <c r="F1148" i="309" s="1"/>
  <c r="J1147" i="140"/>
  <c r="F1147" i="309" l="1"/>
  <c r="K1147" s="1"/>
  <c r="O1147" i="140"/>
  <c r="L1148" i="309"/>
  <c r="K1148"/>
  <c r="D735" i="305"/>
  <c r="G741" i="309"/>
  <c r="D891" i="305"/>
  <c r="D747"/>
  <c r="D574"/>
  <c r="D741"/>
  <c r="D684"/>
  <c r="D809"/>
  <c r="D817"/>
  <c r="D753"/>
  <c r="D789"/>
  <c r="D805"/>
  <c r="D813"/>
  <c r="D897"/>
  <c r="D639"/>
  <c r="D688"/>
  <c r="D873"/>
  <c r="D861"/>
  <c r="D901"/>
  <c r="D659"/>
  <c r="D668"/>
  <c r="D865"/>
  <c r="D797"/>
  <c r="D849"/>
  <c r="D877"/>
  <c r="D545"/>
  <c r="D525"/>
  <c r="D606"/>
  <c r="D757"/>
  <c r="D761"/>
  <c r="D643"/>
  <c r="D647"/>
  <c r="D651"/>
  <c r="D680"/>
  <c r="D570"/>
  <c r="D781"/>
  <c r="C2" i="303"/>
  <c r="F4"/>
  <c r="L1147" i="309" l="1"/>
  <c r="C741"/>
  <c r="D745" i="305"/>
  <c r="D557"/>
  <c r="D663"/>
  <c r="D833"/>
  <c r="D857"/>
  <c r="D845"/>
  <c r="D598"/>
  <c r="D889"/>
  <c r="D740"/>
  <c r="N3" i="240"/>
  <c r="N3" i="226"/>
  <c r="I483" i="194" l="1"/>
  <c r="I385"/>
  <c r="D427" i="305"/>
  <c r="I84" i="194"/>
  <c r="D391" i="305" s="1"/>
  <c r="D383"/>
  <c r="I1423" i="192"/>
  <c r="I1424"/>
  <c r="I1425"/>
  <c r="I1426"/>
  <c r="I1427"/>
  <c r="I1305"/>
  <c r="I1188"/>
  <c r="I1187"/>
  <c r="I1186"/>
  <c r="I1185"/>
  <c r="I1161"/>
  <c r="I1160"/>
  <c r="I1159"/>
  <c r="I1158"/>
  <c r="I1055"/>
  <c r="I1054"/>
  <c r="I1052"/>
  <c r="I1051"/>
  <c r="I1015"/>
  <c r="I1013"/>
  <c r="I1012"/>
  <c r="I973"/>
  <c r="I942"/>
  <c r="I868"/>
  <c r="I773"/>
  <c r="I624"/>
  <c r="I305"/>
  <c r="I304"/>
  <c r="D270" i="305"/>
  <c r="I1907" i="132"/>
  <c r="I1362"/>
  <c r="I1361"/>
  <c r="I1360"/>
  <c r="I1315"/>
  <c r="I1269"/>
  <c r="I1238"/>
  <c r="I1237"/>
  <c r="I1236"/>
  <c r="I1235"/>
  <c r="D45" i="305"/>
  <c r="D158" l="1"/>
  <c r="C84" i="310"/>
  <c r="F84" s="1"/>
  <c r="G155" i="309"/>
  <c r="C155" s="1"/>
  <c r="C76" i="310"/>
  <c r="F76" s="1"/>
  <c r="G127" i="309"/>
  <c r="C127" s="1"/>
  <c r="C80" i="310"/>
  <c r="F80" s="1"/>
  <c r="G143" i="309"/>
  <c r="C143" s="1"/>
  <c r="G139"/>
  <c r="C139" s="1"/>
  <c r="C79" i="310"/>
  <c r="F79" s="1"/>
  <c r="D146" i="305"/>
  <c r="D242"/>
  <c r="D254"/>
  <c r="D246"/>
  <c r="D210"/>
  <c r="D516"/>
  <c r="D375"/>
  <c r="D512"/>
  <c r="D367"/>
  <c r="D335"/>
  <c r="D331"/>
  <c r="D150"/>
  <c r="D106"/>
  <c r="D142"/>
  <c r="D13"/>
  <c r="D198"/>
  <c r="D202"/>
  <c r="D460"/>
  <c r="D444"/>
  <c r="D456"/>
  <c r="D435"/>
  <c r="D387"/>
  <c r="D371"/>
  <c r="D355"/>
  <c r="D351"/>
  <c r="D339"/>
  <c r="D327"/>
  <c r="D319"/>
  <c r="D315"/>
  <c r="D290"/>
  <c r="D303"/>
  <c r="D282"/>
  <c r="D274"/>
  <c r="D266"/>
  <c r="D238"/>
  <c r="D194"/>
  <c r="D154"/>
  <c r="D138"/>
  <c r="D126"/>
  <c r="D110"/>
  <c r="D18"/>
  <c r="D81"/>
  <c r="D85"/>
  <c r="D105"/>
  <c r="D113"/>
  <c r="D109"/>
  <c r="D61"/>
  <c r="D65"/>
  <c r="D57"/>
  <c r="D37"/>
  <c r="D49"/>
  <c r="D53"/>
  <c r="D41"/>
  <c r="D12"/>
  <c r="D17"/>
  <c r="D33"/>
  <c r="C85" i="310" l="1"/>
  <c r="F85" s="1"/>
  <c r="G159" i="309"/>
  <c r="C159" s="1"/>
  <c r="S84" i="310"/>
  <c r="M84"/>
  <c r="N76"/>
  <c r="S76"/>
  <c r="S80"/>
  <c r="N80"/>
  <c r="S79"/>
  <c r="N79"/>
  <c r="N9" i="302"/>
  <c r="M9"/>
  <c r="F25"/>
  <c r="E25"/>
  <c r="D25"/>
  <c r="C25"/>
  <c r="B25"/>
  <c r="C15"/>
  <c r="S85" i="310" l="1"/>
  <c r="M85"/>
  <c r="E15" i="302"/>
  <c r="E17" s="1"/>
  <c r="C17"/>
  <c r="E56" i="171"/>
  <c r="E55"/>
  <c r="E54"/>
  <c r="F1125" i="195" l="1"/>
  <c r="J1125" s="1"/>
  <c r="I1125"/>
  <c r="J1143" i="140"/>
  <c r="L1143" l="1"/>
  <c r="F1143" i="309"/>
  <c r="O1143" i="140"/>
  <c r="K1143"/>
  <c r="K1143" i="309" l="1"/>
  <c r="O1143"/>
  <c r="L1143"/>
  <c r="D960" i="305"/>
  <c r="D996"/>
  <c r="D1031"/>
  <c r="D90"/>
  <c r="I534" i="132"/>
  <c r="I510"/>
  <c r="I509"/>
  <c r="C52" i="310" l="1"/>
  <c r="F52" s="1"/>
  <c r="P52" s="1"/>
  <c r="P93" s="1"/>
  <c r="P229" s="1"/>
  <c r="P231" s="1"/>
  <c r="G26" i="309"/>
  <c r="C26" s="1"/>
  <c r="D26" i="305"/>
  <c r="D86"/>
  <c r="C902" i="195"/>
  <c r="I902" s="1"/>
  <c r="C904"/>
  <c r="I904" s="1"/>
  <c r="C905"/>
  <c r="I905" s="1"/>
  <c r="C906"/>
  <c r="I906" s="1"/>
  <c r="C907"/>
  <c r="I907" s="1"/>
  <c r="C908"/>
  <c r="I908" s="1"/>
  <c r="C909"/>
  <c r="I909" s="1"/>
  <c r="C910"/>
  <c r="I910" s="1"/>
  <c r="C911"/>
  <c r="I911" s="1"/>
  <c r="C912"/>
  <c r="I912" s="1"/>
  <c r="C913"/>
  <c r="I913" s="1"/>
  <c r="C914"/>
  <c r="I914" s="1"/>
  <c r="C915"/>
  <c r="I915" s="1"/>
  <c r="C916"/>
  <c r="I916" s="1"/>
  <c r="C917"/>
  <c r="I917" s="1"/>
  <c r="C918"/>
  <c r="I918" s="1"/>
  <c r="C919"/>
  <c r="I919" s="1"/>
  <c r="C920"/>
  <c r="I920" s="1"/>
  <c r="C921"/>
  <c r="I921" s="1"/>
  <c r="C922"/>
  <c r="I922" s="1"/>
  <c r="C923"/>
  <c r="I923" s="1"/>
  <c r="C924"/>
  <c r="I924" s="1"/>
  <c r="C925"/>
  <c r="I925" s="1"/>
  <c r="C926"/>
  <c r="I926" s="1"/>
  <c r="C927"/>
  <c r="I927" s="1"/>
  <c r="C928"/>
  <c r="I928" s="1"/>
  <c r="C929"/>
  <c r="I929" s="1"/>
  <c r="C930"/>
  <c r="I930" s="1"/>
  <c r="C931"/>
  <c r="I931" s="1"/>
  <c r="C932"/>
  <c r="I932" s="1"/>
  <c r="C933"/>
  <c r="I933" s="1"/>
  <c r="C934"/>
  <c r="I934" s="1"/>
  <c r="C935"/>
  <c r="I935" s="1"/>
  <c r="C938"/>
  <c r="I938" s="1"/>
  <c r="C939"/>
  <c r="I939" s="1"/>
  <c r="C940"/>
  <c r="I940" s="1"/>
  <c r="C941"/>
  <c r="I941" s="1"/>
  <c r="C944"/>
  <c r="I944" s="1"/>
  <c r="C945"/>
  <c r="I945" s="1"/>
  <c r="C946"/>
  <c r="I946" s="1"/>
  <c r="C947"/>
  <c r="I947" s="1"/>
  <c r="C948"/>
  <c r="I948" s="1"/>
  <c r="C949"/>
  <c r="I949" s="1"/>
  <c r="C950"/>
  <c r="I950" s="1"/>
  <c r="C951"/>
  <c r="I951" s="1"/>
  <c r="C952"/>
  <c r="I952" s="1"/>
  <c r="C953"/>
  <c r="I953" s="1"/>
  <c r="C954"/>
  <c r="I954" s="1"/>
  <c r="C958"/>
  <c r="I958" s="1"/>
  <c r="C959"/>
  <c r="I959" s="1"/>
  <c r="C960"/>
  <c r="I960" s="1"/>
  <c r="C961"/>
  <c r="I961" s="1"/>
  <c r="C962"/>
  <c r="I962" s="1"/>
  <c r="C963"/>
  <c r="I963" s="1"/>
  <c r="C964"/>
  <c r="I964" s="1"/>
  <c r="C965"/>
  <c r="I965" s="1"/>
  <c r="C966"/>
  <c r="I966" s="1"/>
  <c r="C967"/>
  <c r="I967" s="1"/>
  <c r="C968"/>
  <c r="I968" s="1"/>
  <c r="C969"/>
  <c r="I969" s="1"/>
  <c r="C970"/>
  <c r="I970" s="1"/>
  <c r="C971"/>
  <c r="I971" s="1"/>
  <c r="C972"/>
  <c r="I972" s="1"/>
  <c r="C973"/>
  <c r="I973" s="1"/>
  <c r="C974"/>
  <c r="I974" s="1"/>
  <c r="C975"/>
  <c r="I975" s="1"/>
  <c r="C976"/>
  <c r="I976" s="1"/>
  <c r="C977"/>
  <c r="I977" s="1"/>
  <c r="C978"/>
  <c r="I978" s="1"/>
  <c r="C979"/>
  <c r="I979" s="1"/>
  <c r="C980"/>
  <c r="I980" s="1"/>
  <c r="C981"/>
  <c r="I981" s="1"/>
  <c r="C982"/>
  <c r="I982" s="1"/>
  <c r="C983"/>
  <c r="I983" s="1"/>
  <c r="C984"/>
  <c r="I984" s="1"/>
  <c r="C985"/>
  <c r="I985" s="1"/>
  <c r="C986"/>
  <c r="I986" s="1"/>
  <c r="C987"/>
  <c r="I987" s="1"/>
  <c r="C988"/>
  <c r="I988" s="1"/>
  <c r="C989"/>
  <c r="I989" s="1"/>
  <c r="C990"/>
  <c r="I990" s="1"/>
  <c r="C991"/>
  <c r="I991" s="1"/>
  <c r="C992"/>
  <c r="I992" s="1"/>
  <c r="C994"/>
  <c r="I994" s="1"/>
  <c r="C995"/>
  <c r="I995" s="1"/>
  <c r="C996"/>
  <c r="I996" s="1"/>
  <c r="C997"/>
  <c r="I997" s="1"/>
  <c r="C998"/>
  <c r="I998" s="1"/>
  <c r="C999"/>
  <c r="I999" s="1"/>
  <c r="C1000"/>
  <c r="I1000" s="1"/>
  <c r="C1001"/>
  <c r="I1001" s="1"/>
  <c r="C1002"/>
  <c r="I1002" s="1"/>
  <c r="C1003"/>
  <c r="I1003" s="1"/>
  <c r="C1004"/>
  <c r="I1004" s="1"/>
  <c r="C1005"/>
  <c r="I1005" s="1"/>
  <c r="C1006"/>
  <c r="I1006" s="1"/>
  <c r="C1007"/>
  <c r="I1007" s="1"/>
  <c r="C1008"/>
  <c r="I1008" s="1"/>
  <c r="C1009"/>
  <c r="I1009" s="1"/>
  <c r="C1010"/>
  <c r="I1010" s="1"/>
  <c r="C1011"/>
  <c r="I1011" s="1"/>
  <c r="C1012"/>
  <c r="I1012" s="1"/>
  <c r="C1013"/>
  <c r="I1013" s="1"/>
  <c r="C1014"/>
  <c r="I1014" s="1"/>
  <c r="C1015"/>
  <c r="I1015" s="1"/>
  <c r="C1016"/>
  <c r="I1016" s="1"/>
  <c r="C1017"/>
  <c r="I1017" s="1"/>
  <c r="C1018"/>
  <c r="I1018" s="1"/>
  <c r="C1019"/>
  <c r="I1019" s="1"/>
  <c r="C1020"/>
  <c r="I1020" s="1"/>
  <c r="C1021"/>
  <c r="I1021" s="1"/>
  <c r="C1022"/>
  <c r="I1022" s="1"/>
  <c r="C1023"/>
  <c r="I1023" s="1"/>
  <c r="C1024"/>
  <c r="I1024" s="1"/>
  <c r="C1025"/>
  <c r="I1025" s="1"/>
  <c r="C1026"/>
  <c r="I1026" s="1"/>
  <c r="C1027"/>
  <c r="I1027" s="1"/>
  <c r="C1029"/>
  <c r="I1029" s="1"/>
  <c r="C1030"/>
  <c r="I1030" s="1"/>
  <c r="C1031"/>
  <c r="I1031" s="1"/>
  <c r="C1032"/>
  <c r="I1032" s="1"/>
  <c r="C1033"/>
  <c r="I1033" s="1"/>
  <c r="C1034"/>
  <c r="I1034" s="1"/>
  <c r="C1035"/>
  <c r="I1035" s="1"/>
  <c r="C1036"/>
  <c r="I1036" s="1"/>
  <c r="C1037"/>
  <c r="I1037" s="1"/>
  <c r="C1039"/>
  <c r="I1039" s="1"/>
  <c r="C1041"/>
  <c r="I1041" s="1"/>
  <c r="C1042"/>
  <c r="I1042" s="1"/>
  <c r="C1043"/>
  <c r="I1043" s="1"/>
  <c r="C1044"/>
  <c r="I1044" s="1"/>
  <c r="C1045"/>
  <c r="I1045" s="1"/>
  <c r="C1046"/>
  <c r="I1046" s="1"/>
  <c r="C1047"/>
  <c r="I1047" s="1"/>
  <c r="C1048"/>
  <c r="I1048" s="1"/>
  <c r="C1049"/>
  <c r="I1049" s="1"/>
  <c r="C1050"/>
  <c r="I1050" s="1"/>
  <c r="C1051"/>
  <c r="I1051" s="1"/>
  <c r="C1052"/>
  <c r="I1052" s="1"/>
  <c r="C1053"/>
  <c r="I1053" s="1"/>
  <c r="C1055"/>
  <c r="I1055" s="1"/>
  <c r="C1056"/>
  <c r="I1056" s="1"/>
  <c r="C1058"/>
  <c r="I1058" s="1"/>
  <c r="C1059"/>
  <c r="I1059" s="1"/>
  <c r="C1061"/>
  <c r="I1061" s="1"/>
  <c r="C1065"/>
  <c r="I1065" s="1"/>
  <c r="C1067"/>
  <c r="I1067" s="1"/>
  <c r="C1068"/>
  <c r="I1068" s="1"/>
  <c r="C1070"/>
  <c r="I1070" s="1"/>
  <c r="C1071"/>
  <c r="I1071" s="1"/>
  <c r="C1072"/>
  <c r="I1072" s="1"/>
  <c r="C1073"/>
  <c r="I1073" s="1"/>
  <c r="C1074"/>
  <c r="I1074" s="1"/>
  <c r="C1075"/>
  <c r="I1075" s="1"/>
  <c r="C1076"/>
  <c r="I1076" s="1"/>
  <c r="C1077"/>
  <c r="I1077" s="1"/>
  <c r="C1078"/>
  <c r="I1078" s="1"/>
  <c r="C1079"/>
  <c r="I1079" s="1"/>
  <c r="C1080"/>
  <c r="I1080" s="1"/>
  <c r="C1081"/>
  <c r="I1081" s="1"/>
  <c r="C1082"/>
  <c r="I1082" s="1"/>
  <c r="C1083"/>
  <c r="I1083" s="1"/>
  <c r="C1084"/>
  <c r="I1084" s="1"/>
  <c r="C1086"/>
  <c r="I1086" s="1"/>
  <c r="C1087"/>
  <c r="I1087" s="1"/>
  <c r="C1088"/>
  <c r="I1088" s="1"/>
  <c r="C1089"/>
  <c r="I1089" s="1"/>
  <c r="C1093"/>
  <c r="I1093" s="1"/>
  <c r="C1094"/>
  <c r="I1094" s="1"/>
  <c r="C1096"/>
  <c r="I1096" s="1"/>
  <c r="C1097"/>
  <c r="I1097" s="1"/>
  <c r="C1099"/>
  <c r="I1099" s="1"/>
  <c r="C1100"/>
  <c r="I1100" s="1"/>
  <c r="C1101"/>
  <c r="I1101" s="1"/>
  <c r="C1102"/>
  <c r="I1102" s="1"/>
  <c r="C1103"/>
  <c r="I1103" s="1"/>
  <c r="C1106"/>
  <c r="I1106" s="1"/>
  <c r="C1107"/>
  <c r="I1107" s="1"/>
  <c r="C1108"/>
  <c r="I1108" s="1"/>
  <c r="C1111"/>
  <c r="I1111" s="1"/>
  <c r="C1112"/>
  <c r="I1112" s="1"/>
  <c r="C1113"/>
  <c r="I1113" s="1"/>
  <c r="C1114"/>
  <c r="I1114" s="1"/>
  <c r="C1115"/>
  <c r="I1115" s="1"/>
  <c r="C1117"/>
  <c r="I1117" s="1"/>
  <c r="C1118"/>
  <c r="I1118" s="1"/>
  <c r="C1120"/>
  <c r="I1120" s="1"/>
  <c r="C1122"/>
  <c r="I1122" s="1"/>
  <c r="C1123"/>
  <c r="I1123" s="1"/>
  <c r="C1124"/>
  <c r="I1124" s="1"/>
  <c r="E1124"/>
  <c r="J1124"/>
  <c r="G918" i="140"/>
  <c r="G920"/>
  <c r="G921"/>
  <c r="G922"/>
  <c r="G923"/>
  <c r="G924"/>
  <c r="G925"/>
  <c r="G926"/>
  <c r="G927"/>
  <c r="G928"/>
  <c r="G929"/>
  <c r="G930"/>
  <c r="G931"/>
  <c r="G932"/>
  <c r="G933"/>
  <c r="G934"/>
  <c r="G935"/>
  <c r="G936"/>
  <c r="G937"/>
  <c r="G938"/>
  <c r="G939"/>
  <c r="G940"/>
  <c r="G941"/>
  <c r="G942"/>
  <c r="G943"/>
  <c r="G944"/>
  <c r="G945"/>
  <c r="G946"/>
  <c r="G947"/>
  <c r="G948"/>
  <c r="G949"/>
  <c r="G950"/>
  <c r="G951"/>
  <c r="G954"/>
  <c r="G955"/>
  <c r="G956"/>
  <c r="G957"/>
  <c r="G960"/>
  <c r="G961"/>
  <c r="G962"/>
  <c r="G963"/>
  <c r="G964"/>
  <c r="G965"/>
  <c r="G966"/>
  <c r="G967"/>
  <c r="G968"/>
  <c r="G969"/>
  <c r="G970"/>
  <c r="G974"/>
  <c r="G975"/>
  <c r="G976"/>
  <c r="G977"/>
  <c r="G978"/>
  <c r="G979"/>
  <c r="G980"/>
  <c r="G981"/>
  <c r="G982"/>
  <c r="G983"/>
  <c r="G984"/>
  <c r="G985"/>
  <c r="G986"/>
  <c r="G987"/>
  <c r="G988"/>
  <c r="G989"/>
  <c r="G990"/>
  <c r="G991"/>
  <c r="G992"/>
  <c r="G993"/>
  <c r="G994"/>
  <c r="G995"/>
  <c r="G996"/>
  <c r="G997"/>
  <c r="G998"/>
  <c r="G999"/>
  <c r="G1000"/>
  <c r="G1001"/>
  <c r="G1002"/>
  <c r="G1003"/>
  <c r="G1004"/>
  <c r="G1005"/>
  <c r="G1006"/>
  <c r="G1007"/>
  <c r="G1008"/>
  <c r="G1010"/>
  <c r="G1011"/>
  <c r="G1012"/>
  <c r="G1013"/>
  <c r="G1014"/>
  <c r="G1015"/>
  <c r="G1016"/>
  <c r="G1017"/>
  <c r="G1018"/>
  <c r="G1019"/>
  <c r="G1020"/>
  <c r="G1021"/>
  <c r="G1022"/>
  <c r="G1023"/>
  <c r="G1024"/>
  <c r="G1025"/>
  <c r="G1026"/>
  <c r="G1027"/>
  <c r="G1028"/>
  <c r="G1029"/>
  <c r="G1030"/>
  <c r="G1031"/>
  <c r="G1032"/>
  <c r="G1033"/>
  <c r="G1034"/>
  <c r="G1035"/>
  <c r="G1036"/>
  <c r="G1037"/>
  <c r="G1038"/>
  <c r="G1039"/>
  <c r="G1040"/>
  <c r="G1041"/>
  <c r="G1042"/>
  <c r="G1043"/>
  <c r="G1045"/>
  <c r="G1046"/>
  <c r="G1047"/>
  <c r="G1048"/>
  <c r="G1049"/>
  <c r="G1050"/>
  <c r="G1051"/>
  <c r="G1052"/>
  <c r="G1053"/>
  <c r="G1055"/>
  <c r="G1057"/>
  <c r="G1058"/>
  <c r="G1059"/>
  <c r="G1060"/>
  <c r="G1061"/>
  <c r="G1062"/>
  <c r="G1063"/>
  <c r="G1064"/>
  <c r="G1065"/>
  <c r="G1066"/>
  <c r="G1067"/>
  <c r="G1068"/>
  <c r="G1069"/>
  <c r="G1071"/>
  <c r="G1072"/>
  <c r="G1074"/>
  <c r="G1075"/>
  <c r="G1077"/>
  <c r="G1081"/>
  <c r="G1083"/>
  <c r="G1084"/>
  <c r="G1086"/>
  <c r="G1087"/>
  <c r="G1088"/>
  <c r="G1089"/>
  <c r="G1090"/>
  <c r="G1091"/>
  <c r="G1092"/>
  <c r="G1093"/>
  <c r="G1094"/>
  <c r="G1095"/>
  <c r="G1096"/>
  <c r="G1097"/>
  <c r="G1098"/>
  <c r="G1099"/>
  <c r="G1100"/>
  <c r="G1102"/>
  <c r="G1103"/>
  <c r="G1104"/>
  <c r="G1105"/>
  <c r="G1106"/>
  <c r="G1110"/>
  <c r="G1111"/>
  <c r="G1113"/>
  <c r="G1114"/>
  <c r="G1116"/>
  <c r="G1117"/>
  <c r="G1118"/>
  <c r="G1119"/>
  <c r="G1122"/>
  <c r="G1123"/>
  <c r="G1124"/>
  <c r="G1127"/>
  <c r="G1128"/>
  <c r="G1129"/>
  <c r="G1130"/>
  <c r="G1131"/>
  <c r="G1133"/>
  <c r="G1134"/>
  <c r="G1136"/>
  <c r="G1138"/>
  <c r="G1139"/>
  <c r="J1140"/>
  <c r="K1140" s="1"/>
  <c r="C1038" i="195"/>
  <c r="F232" i="272"/>
  <c r="C62" i="310" l="1"/>
  <c r="F62" s="1"/>
  <c r="I62" s="1"/>
  <c r="I93" s="1"/>
  <c r="G63" i="309"/>
  <c r="C63" s="1"/>
  <c r="D62" i="305"/>
  <c r="I1038" i="195"/>
  <c r="G1054" i="140"/>
  <c r="O1140"/>
  <c r="L1140"/>
  <c r="S62" i="310" l="1"/>
  <c r="L62"/>
  <c r="L93" s="1"/>
  <c r="G86" i="140"/>
  <c r="G88"/>
  <c r="K1144" l="1"/>
  <c r="L915"/>
  <c r="K914"/>
  <c r="L913"/>
  <c r="K911"/>
  <c r="L696"/>
  <c r="K695"/>
  <c r="L690"/>
  <c r="K669"/>
  <c r="K640"/>
  <c r="K37"/>
  <c r="A19" i="177"/>
  <c r="A19" i="178" s="1"/>
  <c r="A19" i="179" s="1"/>
  <c r="A19" i="180" s="1"/>
  <c r="A19" i="181" s="1"/>
  <c r="A3" i="177"/>
  <c r="A3" i="178" s="1"/>
  <c r="A3" i="179" s="1"/>
  <c r="A3" i="180" s="1"/>
  <c r="A3" i="181" s="1"/>
  <c r="D36" i="176"/>
  <c r="D35"/>
  <c r="D34"/>
  <c r="K5"/>
  <c r="L1144" i="140" l="1"/>
  <c r="O1144"/>
  <c r="K696"/>
  <c r="K915"/>
  <c r="O690"/>
  <c r="K690"/>
  <c r="K913"/>
  <c r="O37"/>
  <c r="O640"/>
  <c r="O669"/>
  <c r="O696"/>
  <c r="O913"/>
  <c r="O915"/>
  <c r="L37"/>
  <c r="L695"/>
  <c r="L911"/>
  <c r="L914"/>
  <c r="L640"/>
  <c r="L669"/>
  <c r="O695"/>
  <c r="O911"/>
  <c r="O914"/>
  <c r="F25" i="174"/>
  <c r="F24"/>
  <c r="F23"/>
  <c r="H25"/>
  <c r="H24"/>
  <c r="H23"/>
  <c r="C2"/>
  <c r="D3" i="175" s="1"/>
  <c r="C1" i="174"/>
  <c r="D2" i="175" s="1"/>
  <c r="H40" i="171"/>
  <c r="I40" s="1"/>
  <c r="M56" i="264"/>
  <c r="M55"/>
  <c r="M54"/>
  <c r="R56"/>
  <c r="R55"/>
  <c r="R54"/>
  <c r="C151" i="273" l="1"/>
  <c r="C150"/>
  <c r="C149"/>
  <c r="F151"/>
  <c r="F150"/>
  <c r="F149"/>
  <c r="D254" i="272"/>
  <c r="D253"/>
  <c r="D252"/>
  <c r="G254"/>
  <c r="G253"/>
  <c r="G252"/>
  <c r="C292" i="271"/>
  <c r="C291"/>
  <c r="C290"/>
  <c r="G292"/>
  <c r="G291"/>
  <c r="G290"/>
  <c r="C925" i="270"/>
  <c r="C924"/>
  <c r="C923"/>
  <c r="E925"/>
  <c r="E924"/>
  <c r="E923"/>
  <c r="F3" i="272"/>
  <c r="A2"/>
  <c r="F3" i="270"/>
  <c r="A2"/>
  <c r="C4" i="269"/>
  <c r="C2"/>
  <c r="E111" i="299"/>
  <c r="C111"/>
  <c r="E110"/>
  <c r="C110"/>
  <c r="E11" i="298"/>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179" s="1"/>
  <c r="E180" s="1"/>
  <c r="E181" s="1"/>
  <c r="E182" s="1"/>
  <c r="E183" s="1"/>
  <c r="E184" s="1"/>
  <c r="E185" s="1"/>
  <c r="E186" s="1"/>
  <c r="E187" s="1"/>
  <c r="E188" s="1"/>
  <c r="E189" s="1"/>
  <c r="E190" s="1"/>
  <c r="E191" s="1"/>
  <c r="E192" s="1"/>
  <c r="E193" s="1"/>
  <c r="E194" s="1"/>
  <c r="E195" s="1"/>
  <c r="E196" s="1"/>
  <c r="E197" s="1"/>
  <c r="E198" s="1"/>
  <c r="E199" s="1"/>
  <c r="E200" s="1"/>
  <c r="E201" s="1"/>
  <c r="E202" s="1"/>
  <c r="E203" s="1"/>
  <c r="E204" s="1"/>
  <c r="E205" s="1"/>
  <c r="E206" s="1"/>
  <c r="E207" s="1"/>
  <c r="E208" s="1"/>
  <c r="E209" s="1"/>
  <c r="E210" s="1"/>
  <c r="E211" s="1"/>
  <c r="E212" s="1"/>
  <c r="E213" s="1"/>
  <c r="E214" s="1"/>
  <c r="E215" s="1"/>
  <c r="E216" s="1"/>
  <c r="E217" s="1"/>
  <c r="E218" s="1"/>
  <c r="E219" s="1"/>
  <c r="E220" s="1"/>
  <c r="E221" s="1"/>
  <c r="E222" s="1"/>
  <c r="E223" s="1"/>
  <c r="E224" s="1"/>
  <c r="E225" s="1"/>
  <c r="E226" s="1"/>
  <c r="E227" s="1"/>
  <c r="E228" s="1"/>
  <c r="E229" s="1"/>
  <c r="E230" s="1"/>
  <c r="E231" s="1"/>
  <c r="E232" s="1"/>
  <c r="E233" s="1"/>
  <c r="E234" s="1"/>
  <c r="E235" s="1"/>
  <c r="E236" s="1"/>
  <c r="E237" s="1"/>
  <c r="E238" s="1"/>
  <c r="E239" s="1"/>
  <c r="E240" s="1"/>
  <c r="E241" s="1"/>
  <c r="E242" s="1"/>
  <c r="E243" s="1"/>
  <c r="E244" s="1"/>
  <c r="E245" s="1"/>
  <c r="E246" s="1"/>
  <c r="E247" s="1"/>
  <c r="E248" s="1"/>
  <c r="E249" s="1"/>
  <c r="E250" s="1"/>
  <c r="E251" s="1"/>
  <c r="E252" s="1"/>
  <c r="E253" s="1"/>
  <c r="E254" s="1"/>
  <c r="E255" s="1"/>
  <c r="E256" s="1"/>
  <c r="E257" s="1"/>
  <c r="E258" s="1"/>
  <c r="E259" s="1"/>
  <c r="E260" s="1"/>
  <c r="E261" s="1"/>
  <c r="E262" s="1"/>
  <c r="E263" s="1"/>
  <c r="E264" s="1"/>
  <c r="E265" s="1"/>
  <c r="E266" s="1"/>
  <c r="E267" s="1"/>
  <c r="E268" s="1"/>
  <c r="E269" s="1"/>
  <c r="E270" s="1"/>
  <c r="E271" s="1"/>
  <c r="E272" s="1"/>
  <c r="E273" s="1"/>
  <c r="E274" s="1"/>
  <c r="E275" s="1"/>
  <c r="E276" s="1"/>
  <c r="E277" s="1"/>
  <c r="E278" s="1"/>
  <c r="E279" s="1"/>
  <c r="E280" s="1"/>
  <c r="E281" s="1"/>
  <c r="E282" s="1"/>
  <c r="E283" s="1"/>
  <c r="E284" s="1"/>
  <c r="E285" s="1"/>
  <c r="E286" s="1"/>
  <c r="E287" s="1"/>
  <c r="E288" s="1"/>
  <c r="E289" s="1"/>
  <c r="E290" s="1"/>
  <c r="E291" s="1"/>
  <c r="E292" s="1"/>
  <c r="E293" s="1"/>
  <c r="E294" s="1"/>
  <c r="E295" s="1"/>
  <c r="E296" s="1"/>
  <c r="E297" s="1"/>
  <c r="E298" s="1"/>
  <c r="E299" s="1"/>
  <c r="E300" s="1"/>
  <c r="E301" s="1"/>
  <c r="E302" s="1"/>
  <c r="E303" s="1"/>
  <c r="E304" s="1"/>
  <c r="E305" s="1"/>
  <c r="D1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D154" s="1"/>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37" s="1"/>
  <c r="D238" s="1"/>
  <c r="D239" s="1"/>
  <c r="D240" s="1"/>
  <c r="D241" s="1"/>
  <c r="D242" s="1"/>
  <c r="D243" s="1"/>
  <c r="D244" s="1"/>
  <c r="D245" s="1"/>
  <c r="D246" s="1"/>
  <c r="D247" s="1"/>
  <c r="D248" s="1"/>
  <c r="D249" s="1"/>
  <c r="D250" s="1"/>
  <c r="D251"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D288" s="1"/>
  <c r="D289" s="1"/>
  <c r="D290" s="1"/>
  <c r="D291" s="1"/>
  <c r="D292" s="1"/>
  <c r="D293" s="1"/>
  <c r="D294" s="1"/>
  <c r="D295" s="1"/>
  <c r="D296" s="1"/>
  <c r="D297" s="1"/>
  <c r="D298" s="1"/>
  <c r="D299" s="1"/>
  <c r="D300" s="1"/>
  <c r="D301" s="1"/>
  <c r="D302" s="1"/>
  <c r="D303" s="1"/>
  <c r="D304" s="1"/>
  <c r="D305" s="1"/>
  <c r="C11"/>
  <c r="C12" s="1"/>
  <c r="C13" s="1"/>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C51" s="1"/>
  <c r="C52" s="1"/>
  <c r="C53" s="1"/>
  <c r="C54" s="1"/>
  <c r="C55" s="1"/>
  <c r="C56" s="1"/>
  <c r="C57" s="1"/>
  <c r="C58" s="1"/>
  <c r="C59" s="1"/>
  <c r="C60" s="1"/>
  <c r="C61" s="1"/>
  <c r="C62" s="1"/>
  <c r="C63" s="1"/>
  <c r="C64" s="1"/>
  <c r="C65" s="1"/>
  <c r="C66" s="1"/>
  <c r="C67" s="1"/>
  <c r="C68" s="1"/>
  <c r="C69" s="1"/>
  <c r="C70" s="1"/>
  <c r="C71" s="1"/>
  <c r="C72" s="1"/>
  <c r="C73" s="1"/>
  <c r="C74" s="1"/>
  <c r="C75" s="1"/>
  <c r="C76" s="1"/>
  <c r="C77" s="1"/>
  <c r="C78" s="1"/>
  <c r="C79" s="1"/>
  <c r="C80" s="1"/>
  <c r="C81" s="1"/>
  <c r="C82" s="1"/>
  <c r="C83" s="1"/>
  <c r="C84" s="1"/>
  <c r="C85" s="1"/>
  <c r="C86" s="1"/>
  <c r="C87" s="1"/>
  <c r="C88" s="1"/>
  <c r="C89" s="1"/>
  <c r="C90" s="1"/>
  <c r="C91" s="1"/>
  <c r="C92" s="1"/>
  <c r="C93" s="1"/>
  <c r="C94" s="1"/>
  <c r="C95" s="1"/>
  <c r="C96" s="1"/>
  <c r="C97" s="1"/>
  <c r="C98" s="1"/>
  <c r="C99" s="1"/>
  <c r="C100" s="1"/>
  <c r="C101" s="1"/>
  <c r="C102" s="1"/>
  <c r="C103" s="1"/>
  <c r="C104" s="1"/>
  <c r="C105" s="1"/>
  <c r="C106" s="1"/>
  <c r="C107" s="1"/>
  <c r="C108" s="1"/>
  <c r="C109" s="1"/>
  <c r="C110" s="1"/>
  <c r="C111" s="1"/>
  <c r="C112" s="1"/>
  <c r="C113" s="1"/>
  <c r="C114" s="1"/>
  <c r="C115" s="1"/>
  <c r="C116" s="1"/>
  <c r="C117" s="1"/>
  <c r="C118" s="1"/>
  <c r="C119" s="1"/>
  <c r="C120" s="1"/>
  <c r="C121" s="1"/>
  <c r="C122" s="1"/>
  <c r="C123" s="1"/>
  <c r="C124" s="1"/>
  <c r="C125" s="1"/>
  <c r="C126" s="1"/>
  <c r="C127" s="1"/>
  <c r="C128" s="1"/>
  <c r="C129" s="1"/>
  <c r="C130" s="1"/>
  <c r="C131" s="1"/>
  <c r="C132" s="1"/>
  <c r="C133" s="1"/>
  <c r="C134" s="1"/>
  <c r="C135" s="1"/>
  <c r="C136" s="1"/>
  <c r="C137" s="1"/>
  <c r="C138" s="1"/>
  <c r="C139" s="1"/>
  <c r="C140" s="1"/>
  <c r="C141" s="1"/>
  <c r="C142" s="1"/>
  <c r="C143" s="1"/>
  <c r="C144" s="1"/>
  <c r="C145" s="1"/>
  <c r="C146" s="1"/>
  <c r="C147" s="1"/>
  <c r="C148" s="1"/>
  <c r="C149" s="1"/>
  <c r="C150" s="1"/>
  <c r="C151" s="1"/>
  <c r="C152" s="1"/>
  <c r="C153" s="1"/>
  <c r="C154" s="1"/>
  <c r="C155" s="1"/>
  <c r="C156" s="1"/>
  <c r="C157" s="1"/>
  <c r="C158" s="1"/>
  <c r="C159" s="1"/>
  <c r="C160" s="1"/>
  <c r="C161" s="1"/>
  <c r="C162" s="1"/>
  <c r="C163" s="1"/>
  <c r="C164" s="1"/>
  <c r="C165" s="1"/>
  <c r="C166" s="1"/>
  <c r="C167" s="1"/>
  <c r="C168" s="1"/>
  <c r="C169" s="1"/>
  <c r="C170" s="1"/>
  <c r="C171" s="1"/>
  <c r="C172" s="1"/>
  <c r="C173" s="1"/>
  <c r="C174" s="1"/>
  <c r="C175" s="1"/>
  <c r="C176" s="1"/>
  <c r="C177" s="1"/>
  <c r="C178" s="1"/>
  <c r="C179" s="1"/>
  <c r="C180" s="1"/>
  <c r="C181" s="1"/>
  <c r="C182" s="1"/>
  <c r="C183" s="1"/>
  <c r="C184" s="1"/>
  <c r="C185" s="1"/>
  <c r="C186" s="1"/>
  <c r="C187" s="1"/>
  <c r="C188" s="1"/>
  <c r="C189" s="1"/>
  <c r="C190" s="1"/>
  <c r="C191" s="1"/>
  <c r="C192" s="1"/>
  <c r="C193" s="1"/>
  <c r="C194" s="1"/>
  <c r="C195" s="1"/>
  <c r="C196" s="1"/>
  <c r="C197" s="1"/>
  <c r="C198" s="1"/>
  <c r="C199" s="1"/>
  <c r="C200" s="1"/>
  <c r="C201" s="1"/>
  <c r="C202" s="1"/>
  <c r="C203" s="1"/>
  <c r="C204" s="1"/>
  <c r="C205" s="1"/>
  <c r="C206" s="1"/>
  <c r="C207" s="1"/>
  <c r="C208" s="1"/>
  <c r="C209" s="1"/>
  <c r="C210" s="1"/>
  <c r="C211" s="1"/>
  <c r="C212" s="1"/>
  <c r="C213" s="1"/>
  <c r="C214" s="1"/>
  <c r="C215" s="1"/>
  <c r="C216" s="1"/>
  <c r="C217" s="1"/>
  <c r="C218" s="1"/>
  <c r="C219" s="1"/>
  <c r="C220" s="1"/>
  <c r="C221" s="1"/>
  <c r="C222" s="1"/>
  <c r="C223" s="1"/>
  <c r="C224" s="1"/>
  <c r="C225" s="1"/>
  <c r="C226" s="1"/>
  <c r="C227" s="1"/>
  <c r="C228" s="1"/>
  <c r="C229" s="1"/>
  <c r="C230" s="1"/>
  <c r="C231" s="1"/>
  <c r="C232" s="1"/>
  <c r="C233" s="1"/>
  <c r="C234" s="1"/>
  <c r="C235" s="1"/>
  <c r="C236" s="1"/>
  <c r="C237" s="1"/>
  <c r="C238" s="1"/>
  <c r="C239" s="1"/>
  <c r="C240" s="1"/>
  <c r="C241" s="1"/>
  <c r="C242" s="1"/>
  <c r="C243" s="1"/>
  <c r="C244" s="1"/>
  <c r="C245" s="1"/>
  <c r="C246" s="1"/>
  <c r="C247" s="1"/>
  <c r="C248" s="1"/>
  <c r="C249" s="1"/>
  <c r="C250" s="1"/>
  <c r="C251" s="1"/>
  <c r="C252" s="1"/>
  <c r="C253" s="1"/>
  <c r="C254" s="1"/>
  <c r="C255" s="1"/>
  <c r="C256" s="1"/>
  <c r="C257" s="1"/>
  <c r="C258" s="1"/>
  <c r="C259" s="1"/>
  <c r="C260" s="1"/>
  <c r="C261" s="1"/>
  <c r="C262" s="1"/>
  <c r="C263" s="1"/>
  <c r="C264" s="1"/>
  <c r="C265" s="1"/>
  <c r="C266" s="1"/>
  <c r="C267" s="1"/>
  <c r="C268" s="1"/>
  <c r="C269" s="1"/>
  <c r="C270" s="1"/>
  <c r="C271" s="1"/>
  <c r="C272" s="1"/>
  <c r="C273" s="1"/>
  <c r="C274" s="1"/>
  <c r="C275" s="1"/>
  <c r="C276" s="1"/>
  <c r="C277" s="1"/>
  <c r="C278" s="1"/>
  <c r="C279" s="1"/>
  <c r="C280" s="1"/>
  <c r="C281" s="1"/>
  <c r="C282" s="1"/>
  <c r="C283" s="1"/>
  <c r="C284" s="1"/>
  <c r="C285" s="1"/>
  <c r="C286" s="1"/>
  <c r="C287" s="1"/>
  <c r="C288" s="1"/>
  <c r="C289" s="1"/>
  <c r="C290" s="1"/>
  <c r="C291" s="1"/>
  <c r="C292" s="1"/>
  <c r="C293" s="1"/>
  <c r="C294" s="1"/>
  <c r="C295" s="1"/>
  <c r="C296" s="1"/>
  <c r="C297" s="1"/>
  <c r="C298" s="1"/>
  <c r="C299" s="1"/>
  <c r="C300" s="1"/>
  <c r="C301" s="1"/>
  <c r="C302" s="1"/>
  <c r="C303" s="1"/>
  <c r="C304" s="1"/>
  <c r="C305" s="1"/>
  <c r="B1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2" s="1"/>
  <c r="B143" s="1"/>
  <c r="B144" s="1"/>
  <c r="B145" s="1"/>
  <c r="B146" s="1"/>
  <c r="B147" s="1"/>
  <c r="B148" s="1"/>
  <c r="B149" s="1"/>
  <c r="B150" s="1"/>
  <c r="B151" s="1"/>
  <c r="B152" s="1"/>
  <c r="B153" s="1"/>
  <c r="B154" s="1"/>
  <c r="B155" s="1"/>
  <c r="B156" s="1"/>
  <c r="B157" s="1"/>
  <c r="B158" s="1"/>
  <c r="B159" s="1"/>
  <c r="B160" s="1"/>
  <c r="B161" s="1"/>
  <c r="B162" s="1"/>
  <c r="B163" s="1"/>
  <c r="B164" s="1"/>
  <c r="B165" s="1"/>
  <c r="B166" s="1"/>
  <c r="B167" s="1"/>
  <c r="B168" s="1"/>
  <c r="B169" s="1"/>
  <c r="B170" s="1"/>
  <c r="B171" s="1"/>
  <c r="B172" s="1"/>
  <c r="B173" s="1"/>
  <c r="B174" s="1"/>
  <c r="B175" s="1"/>
  <c r="B176" s="1"/>
  <c r="B177" s="1"/>
  <c r="B178" s="1"/>
  <c r="B179" s="1"/>
  <c r="B180" s="1"/>
  <c r="B181" s="1"/>
  <c r="B182" s="1"/>
  <c r="B183" s="1"/>
  <c r="B184" s="1"/>
  <c r="B185" s="1"/>
  <c r="B186" s="1"/>
  <c r="B187" s="1"/>
  <c r="B188" s="1"/>
  <c r="B189" s="1"/>
  <c r="B190" s="1"/>
  <c r="B191" s="1"/>
  <c r="B192" s="1"/>
  <c r="B193" s="1"/>
  <c r="B194" s="1"/>
  <c r="B195" s="1"/>
  <c r="B196" s="1"/>
  <c r="B197" s="1"/>
  <c r="B198" s="1"/>
  <c r="B199" s="1"/>
  <c r="B200" s="1"/>
  <c r="B201" s="1"/>
  <c r="B202" s="1"/>
  <c r="B203" s="1"/>
  <c r="B204" s="1"/>
  <c r="B205" s="1"/>
  <c r="B206" s="1"/>
  <c r="B207" s="1"/>
  <c r="B208" s="1"/>
  <c r="B209" s="1"/>
  <c r="B210" s="1"/>
  <c r="B211" s="1"/>
  <c r="B212" s="1"/>
  <c r="B213" s="1"/>
  <c r="B214" s="1"/>
  <c r="B215" s="1"/>
  <c r="B216" s="1"/>
  <c r="B217" s="1"/>
  <c r="B218" s="1"/>
  <c r="B219" s="1"/>
  <c r="B220" s="1"/>
  <c r="B221" s="1"/>
  <c r="B222" s="1"/>
  <c r="B223" s="1"/>
  <c r="B224" s="1"/>
  <c r="B225" s="1"/>
  <c r="B226" s="1"/>
  <c r="B227" s="1"/>
  <c r="B228" s="1"/>
  <c r="B229" s="1"/>
  <c r="B230" s="1"/>
  <c r="B231" s="1"/>
  <c r="B232" s="1"/>
  <c r="B233" s="1"/>
  <c r="B234" s="1"/>
  <c r="B235" s="1"/>
  <c r="B236" s="1"/>
  <c r="B237" s="1"/>
  <c r="B238" s="1"/>
  <c r="B239" s="1"/>
  <c r="B240" s="1"/>
  <c r="B241" s="1"/>
  <c r="B242" s="1"/>
  <c r="B243" s="1"/>
  <c r="B244" s="1"/>
  <c r="B245" s="1"/>
  <c r="B246" s="1"/>
  <c r="B247" s="1"/>
  <c r="B248" s="1"/>
  <c r="B249" s="1"/>
  <c r="B250" s="1"/>
  <c r="B251" s="1"/>
  <c r="B252" s="1"/>
  <c r="B253" s="1"/>
  <c r="B254" s="1"/>
  <c r="B255" s="1"/>
  <c r="B256" s="1"/>
  <c r="B257" s="1"/>
  <c r="B258" s="1"/>
  <c r="B259" s="1"/>
  <c r="B260" s="1"/>
  <c r="B261" s="1"/>
  <c r="B262" s="1"/>
  <c r="B263" s="1"/>
  <c r="B264" s="1"/>
  <c r="B265" s="1"/>
  <c r="B266" s="1"/>
  <c r="B267" s="1"/>
  <c r="B268" s="1"/>
  <c r="B269" s="1"/>
  <c r="B270" s="1"/>
  <c r="B271" s="1"/>
  <c r="B272" s="1"/>
  <c r="B273" s="1"/>
  <c r="B274" s="1"/>
  <c r="B275" s="1"/>
  <c r="B276" s="1"/>
  <c r="B277" s="1"/>
  <c r="B278" s="1"/>
  <c r="B279" s="1"/>
  <c r="B280" s="1"/>
  <c r="B281" s="1"/>
  <c r="B282" s="1"/>
  <c r="B283" s="1"/>
  <c r="B284" s="1"/>
  <c r="B285" s="1"/>
  <c r="B286" s="1"/>
  <c r="B287" s="1"/>
  <c r="B288" s="1"/>
  <c r="B289" s="1"/>
  <c r="B290" s="1"/>
  <c r="B291" s="1"/>
  <c r="B292" s="1"/>
  <c r="B293" s="1"/>
  <c r="B294" s="1"/>
  <c r="B295" s="1"/>
  <c r="B296" s="1"/>
  <c r="B297" s="1"/>
  <c r="B298" s="1"/>
  <c r="B299" s="1"/>
  <c r="B300" s="1"/>
  <c r="B301" s="1"/>
  <c r="B302" s="1"/>
  <c r="B303" s="1"/>
  <c r="B304" s="1"/>
  <c r="B305" s="1"/>
  <c r="F145" i="273"/>
  <c r="G145" s="1"/>
  <c r="G146" s="1"/>
  <c r="K1160" i="306" s="1"/>
  <c r="F141" i="273"/>
  <c r="G141" s="1"/>
  <c r="G142" s="1"/>
  <c r="K1216" i="306" s="1"/>
  <c r="F138" i="273"/>
  <c r="G138" s="1"/>
  <c r="G139" s="1"/>
  <c r="K1211" i="306" s="1"/>
  <c r="F135" i="273"/>
  <c r="G135" s="1"/>
  <c r="G136" s="1"/>
  <c r="K1201" i="306" s="1"/>
  <c r="F132" i="273"/>
  <c r="G132" s="1"/>
  <c r="G133" s="1"/>
  <c r="K1196" i="306" s="1"/>
  <c r="F129" i="273"/>
  <c r="G129" s="1"/>
  <c r="G130" s="1"/>
  <c r="K1191" i="306" s="1"/>
  <c r="F126" i="273"/>
  <c r="G126" s="1"/>
  <c r="G127" s="1"/>
  <c r="K1206" i="306" s="1"/>
  <c r="F123" i="273"/>
  <c r="G123" s="1"/>
  <c r="G124" s="1"/>
  <c r="K1186" i="306" s="1"/>
  <c r="F120" i="273"/>
  <c r="G120" s="1"/>
  <c r="G121" s="1"/>
  <c r="K1176" i="306" s="1"/>
  <c r="F117" i="273"/>
  <c r="G117" s="1"/>
  <c r="G118" s="1"/>
  <c r="K1181" i="306" s="1"/>
  <c r="F114" i="273"/>
  <c r="G114" s="1"/>
  <c r="G115" s="1"/>
  <c r="F111"/>
  <c r="G111" s="1"/>
  <c r="K1170" i="306" s="1"/>
  <c r="F109" i="273"/>
  <c r="G109" s="1"/>
  <c r="K1169" i="306" s="1"/>
  <c r="F107" i="273"/>
  <c r="G107" s="1"/>
  <c r="K1168" i="306" s="1"/>
  <c r="F101" i="273"/>
  <c r="G101" s="1"/>
  <c r="F100"/>
  <c r="G100" s="1"/>
  <c r="F99"/>
  <c r="G99" s="1"/>
  <c r="F98"/>
  <c r="G98" s="1"/>
  <c r="F97"/>
  <c r="G97" s="1"/>
  <c r="F96"/>
  <c r="G96" s="1"/>
  <c r="F91"/>
  <c r="G91" s="1"/>
  <c r="G93" s="1"/>
  <c r="F87"/>
  <c r="G87" s="1"/>
  <c r="G89" s="1"/>
  <c r="K1104" i="306" s="1"/>
  <c r="F83" i="273"/>
  <c r="G83" s="1"/>
  <c r="G85" s="1"/>
  <c r="K1098" i="306" s="1"/>
  <c r="F79" i="273"/>
  <c r="G79" s="1"/>
  <c r="G81" s="1"/>
  <c r="K1078" i="306" s="1"/>
  <c r="F76" i="273"/>
  <c r="G76" s="1"/>
  <c r="G78" s="1"/>
  <c r="K1083" i="306" s="1"/>
  <c r="F73" i="273"/>
  <c r="G73" s="1"/>
  <c r="G75" s="1"/>
  <c r="K1088" i="306" s="1"/>
  <c r="F70" i="273"/>
  <c r="G70" s="1"/>
  <c r="G72" s="1"/>
  <c r="F65"/>
  <c r="G65" s="1"/>
  <c r="F64"/>
  <c r="G64" s="1"/>
  <c r="F60"/>
  <c r="G60" s="1"/>
  <c r="G62" s="1"/>
  <c r="F56"/>
  <c r="G56" s="1"/>
  <c r="G58" s="1"/>
  <c r="K1109" i="306" s="1"/>
  <c r="F52" i="273"/>
  <c r="G52" s="1"/>
  <c r="G54" s="1"/>
  <c r="K1114" i="306" s="1"/>
  <c r="F48" i="273"/>
  <c r="G48" s="1"/>
  <c r="G50" s="1"/>
  <c r="K1135" i="306" s="1"/>
  <c r="F43" i="273"/>
  <c r="G43" s="1"/>
  <c r="G45" s="1"/>
  <c r="G46" s="1"/>
  <c r="K1129" i="306" s="1"/>
  <c r="F37" i="273"/>
  <c r="G37" s="1"/>
  <c r="G39" s="1"/>
  <c r="G40" s="1"/>
  <c r="K1124" i="306" s="1"/>
  <c r="F31" i="273"/>
  <c r="G31" s="1"/>
  <c r="G33" s="1"/>
  <c r="G34" s="1"/>
  <c r="K1119" i="306" s="1"/>
  <c r="F26" i="273"/>
  <c r="G26" s="1"/>
  <c r="G28" s="1"/>
  <c r="F21"/>
  <c r="G21" s="1"/>
  <c r="F20"/>
  <c r="G20" s="1"/>
  <c r="F19"/>
  <c r="G19" s="1"/>
  <c r="F18"/>
  <c r="G18" s="1"/>
  <c r="F15"/>
  <c r="G15" s="1"/>
  <c r="G16" s="1"/>
  <c r="K1150" i="306" s="1"/>
  <c r="F12" i="273"/>
  <c r="G12" s="1"/>
  <c r="G13" s="1"/>
  <c r="K1145" i="306" s="1"/>
  <c r="F7" i="273"/>
  <c r="G7" s="1"/>
  <c r="F6"/>
  <c r="G6" s="1"/>
  <c r="F5"/>
  <c r="G5" s="1"/>
  <c r="F248" i="272"/>
  <c r="H248" s="1"/>
  <c r="H249" s="1"/>
  <c r="K1014" i="306" s="1"/>
  <c r="F245" i="272"/>
  <c r="H245" s="1"/>
  <c r="H246" s="1"/>
  <c r="K1009" i="306" s="1"/>
  <c r="F243" i="272"/>
  <c r="H243" s="1"/>
  <c r="H244" s="1"/>
  <c r="K1001" i="306" s="1"/>
  <c r="F241" i="272"/>
  <c r="H241" s="1"/>
  <c r="H242" s="1"/>
  <c r="K1005" i="306" s="1"/>
  <c r="F222" i="272"/>
  <c r="G215"/>
  <c r="G227" s="1"/>
  <c r="G214"/>
  <c r="G226" s="1"/>
  <c r="G213"/>
  <c r="G225" s="1"/>
  <c r="G212"/>
  <c r="G224" s="1"/>
  <c r="G211"/>
  <c r="G223" s="1"/>
  <c r="G210"/>
  <c r="G222" s="1"/>
  <c r="G232" s="1"/>
  <c r="H232" s="1"/>
  <c r="F210"/>
  <c r="G209"/>
  <c r="G221" s="1"/>
  <c r="G208"/>
  <c r="G220" s="1"/>
  <c r="F204"/>
  <c r="H204" s="1"/>
  <c r="F203"/>
  <c r="H203" s="1"/>
  <c r="F202"/>
  <c r="H202" s="1"/>
  <c r="F201"/>
  <c r="H201" s="1"/>
  <c r="L199"/>
  <c r="G197"/>
  <c r="H197" s="1"/>
  <c r="G195"/>
  <c r="H195" s="1"/>
  <c r="L193"/>
  <c r="G192"/>
  <c r="F192"/>
  <c r="G190"/>
  <c r="H190" s="1"/>
  <c r="G189"/>
  <c r="H189" s="1"/>
  <c r="G188"/>
  <c r="H188" s="1"/>
  <c r="G187"/>
  <c r="H187" s="1"/>
  <c r="G186"/>
  <c r="H186" s="1"/>
  <c r="G185"/>
  <c r="H185" s="1"/>
  <c r="G184"/>
  <c r="G183"/>
  <c r="F183"/>
  <c r="G182"/>
  <c r="H180"/>
  <c r="H179"/>
  <c r="L174"/>
  <c r="G173"/>
  <c r="F173"/>
  <c r="G171"/>
  <c r="G170"/>
  <c r="H170" s="1"/>
  <c r="G169"/>
  <c r="H169" s="1"/>
  <c r="G168"/>
  <c r="H168" s="1"/>
  <c r="G167"/>
  <c r="H167" s="1"/>
  <c r="G166"/>
  <c r="H166" s="1"/>
  <c r="G165"/>
  <c r="K164"/>
  <c r="G164"/>
  <c r="F165"/>
  <c r="G163"/>
  <c r="H161"/>
  <c r="H160"/>
  <c r="F154"/>
  <c r="G146"/>
  <c r="G145"/>
  <c r="H143"/>
  <c r="H144" s="1"/>
  <c r="F146" s="1"/>
  <c r="H146" s="1"/>
  <c r="H141"/>
  <c r="H140"/>
  <c r="F135"/>
  <c r="G127"/>
  <c r="G126"/>
  <c r="H124"/>
  <c r="H125" s="1"/>
  <c r="F127" s="1"/>
  <c r="H122"/>
  <c r="H121"/>
  <c r="H123" s="1"/>
  <c r="F126" s="1"/>
  <c r="G116"/>
  <c r="G135" s="1"/>
  <c r="F116"/>
  <c r="G114"/>
  <c r="G133" s="1"/>
  <c r="H133" s="1"/>
  <c r="G113"/>
  <c r="G132" s="1"/>
  <c r="H132" s="1"/>
  <c r="G112"/>
  <c r="G131" s="1"/>
  <c r="H131" s="1"/>
  <c r="G111"/>
  <c r="G130" s="1"/>
  <c r="H130" s="1"/>
  <c r="G110"/>
  <c r="G129" s="1"/>
  <c r="H129" s="1"/>
  <c r="G109"/>
  <c r="G128" s="1"/>
  <c r="H128" s="1"/>
  <c r="G108"/>
  <c r="G107"/>
  <c r="H105"/>
  <c r="H106" s="1"/>
  <c r="F108" s="1"/>
  <c r="H108" s="1"/>
  <c r="H103"/>
  <c r="H102"/>
  <c r="F97"/>
  <c r="H86"/>
  <c r="H87" s="1"/>
  <c r="F89" s="1"/>
  <c r="H84"/>
  <c r="H83"/>
  <c r="F78"/>
  <c r="G70"/>
  <c r="G89" s="1"/>
  <c r="G69"/>
  <c r="G88" s="1"/>
  <c r="H67"/>
  <c r="H68" s="1"/>
  <c r="F70" s="1"/>
  <c r="H65"/>
  <c r="H64"/>
  <c r="G59"/>
  <c r="F59"/>
  <c r="G57"/>
  <c r="H57" s="1"/>
  <c r="G56"/>
  <c r="H56" s="1"/>
  <c r="G55"/>
  <c r="H55" s="1"/>
  <c r="G54"/>
  <c r="H54" s="1"/>
  <c r="G53"/>
  <c r="H53" s="1"/>
  <c r="G52"/>
  <c r="H52" s="1"/>
  <c r="G51"/>
  <c r="F51"/>
  <c r="G50"/>
  <c r="F50"/>
  <c r="G49"/>
  <c r="H47"/>
  <c r="H46"/>
  <c r="G41"/>
  <c r="F41"/>
  <c r="G39"/>
  <c r="G38"/>
  <c r="H38" s="1"/>
  <c r="G37"/>
  <c r="H37" s="1"/>
  <c r="G36"/>
  <c r="H36" s="1"/>
  <c r="G35"/>
  <c r="H35" s="1"/>
  <c r="G34"/>
  <c r="H34" s="1"/>
  <c r="G33"/>
  <c r="G32"/>
  <c r="G31"/>
  <c r="H29"/>
  <c r="H28"/>
  <c r="G23"/>
  <c r="G154" s="1"/>
  <c r="G21"/>
  <c r="G152" s="1"/>
  <c r="H152" s="1"/>
  <c r="G20"/>
  <c r="G151" s="1"/>
  <c r="H151" s="1"/>
  <c r="G19"/>
  <c r="G150" s="1"/>
  <c r="H150" s="1"/>
  <c r="G18"/>
  <c r="G149" s="1"/>
  <c r="H149" s="1"/>
  <c r="G17"/>
  <c r="G148" s="1"/>
  <c r="H148" s="1"/>
  <c r="G16"/>
  <c r="G147" s="1"/>
  <c r="H147" s="1"/>
  <c r="G15"/>
  <c r="G14"/>
  <c r="H12"/>
  <c r="H13" s="1"/>
  <c r="F15" s="1"/>
  <c r="H15" s="1"/>
  <c r="H10"/>
  <c r="H9"/>
  <c r="H11" s="1"/>
  <c r="F14" s="1"/>
  <c r="H285" i="271"/>
  <c r="I285" s="1"/>
  <c r="I286" s="1"/>
  <c r="K1436" i="306" s="1"/>
  <c r="H282" i="271"/>
  <c r="I282" s="1"/>
  <c r="I283" s="1"/>
  <c r="K1431" i="306" s="1"/>
  <c r="H277" i="271"/>
  <c r="I277" s="1"/>
  <c r="H276"/>
  <c r="I276" s="1"/>
  <c r="H275"/>
  <c r="I275" s="1"/>
  <c r="H274"/>
  <c r="I274" s="1"/>
  <c r="H273"/>
  <c r="I273" s="1"/>
  <c r="H272"/>
  <c r="I272" s="1"/>
  <c r="H271"/>
  <c r="I271" s="1"/>
  <c r="H270"/>
  <c r="I270" s="1"/>
  <c r="H269"/>
  <c r="I269" s="1"/>
  <c r="H268"/>
  <c r="I268" s="1"/>
  <c r="H267"/>
  <c r="I267" s="1"/>
  <c r="I265"/>
  <c r="H264"/>
  <c r="I264" s="1"/>
  <c r="I260"/>
  <c r="H259"/>
  <c r="I259" s="1"/>
  <c r="H258"/>
  <c r="I258" s="1"/>
  <c r="H256"/>
  <c r="I256" s="1"/>
  <c r="H255"/>
  <c r="I255" s="1"/>
  <c r="H254"/>
  <c r="I254" s="1"/>
  <c r="H250"/>
  <c r="I250" s="1"/>
  <c r="H249"/>
  <c r="I249" s="1"/>
  <c r="H248"/>
  <c r="I248" s="1"/>
  <c r="I246"/>
  <c r="H245"/>
  <c r="I245" s="1"/>
  <c r="H244"/>
  <c r="I244" s="1"/>
  <c r="H239"/>
  <c r="I239" s="1"/>
  <c r="H238"/>
  <c r="I238" s="1"/>
  <c r="I236"/>
  <c r="H235"/>
  <c r="I235" s="1"/>
  <c r="I231"/>
  <c r="H230"/>
  <c r="I230" s="1"/>
  <c r="H229"/>
  <c r="I229" s="1"/>
  <c r="H226"/>
  <c r="I226" s="1"/>
  <c r="I224"/>
  <c r="H220"/>
  <c r="I220" s="1"/>
  <c r="I218"/>
  <c r="H217"/>
  <c r="I217" s="1"/>
  <c r="H212"/>
  <c r="I212" s="1"/>
  <c r="H211"/>
  <c r="I211" s="1"/>
  <c r="H207"/>
  <c r="I207" s="1"/>
  <c r="H203"/>
  <c r="I203" s="1"/>
  <c r="I204" s="1"/>
  <c r="H202"/>
  <c r="I202" s="1"/>
  <c r="H201"/>
  <c r="I201" s="1"/>
  <c r="I199"/>
  <c r="H198"/>
  <c r="I198" s="1"/>
  <c r="H192"/>
  <c r="I192" s="1"/>
  <c r="H191"/>
  <c r="I191" s="1"/>
  <c r="I189"/>
  <c r="H188"/>
  <c r="I188" s="1"/>
  <c r="H182"/>
  <c r="I182" s="1"/>
  <c r="H181"/>
  <c r="I181" s="1"/>
  <c r="H180"/>
  <c r="I180" s="1"/>
  <c r="I178"/>
  <c r="H177"/>
  <c r="I177" s="1"/>
  <c r="H176"/>
  <c r="I176" s="1"/>
  <c r="H171"/>
  <c r="I171" s="1"/>
  <c r="I169"/>
  <c r="H168"/>
  <c r="I168" s="1"/>
  <c r="H167"/>
  <c r="I167" s="1"/>
  <c r="H161"/>
  <c r="I161" s="1"/>
  <c r="I159"/>
  <c r="H158"/>
  <c r="I158" s="1"/>
  <c r="H157"/>
  <c r="I157" s="1"/>
  <c r="H151"/>
  <c r="I151" s="1"/>
  <c r="I150"/>
  <c r="H149"/>
  <c r="I149" s="1"/>
  <c r="H148"/>
  <c r="I148" s="1"/>
  <c r="H141"/>
  <c r="I141" s="1"/>
  <c r="I139"/>
  <c r="H138"/>
  <c r="I138" s="1"/>
  <c r="H137"/>
  <c r="I137" s="1"/>
  <c r="H132"/>
  <c r="I132" s="1"/>
  <c r="H131"/>
  <c r="I131" s="1"/>
  <c r="I129"/>
  <c r="H128"/>
  <c r="I128" s="1"/>
  <c r="H124"/>
  <c r="I124" s="1"/>
  <c r="H123"/>
  <c r="I123" s="1"/>
  <c r="H122"/>
  <c r="I122" s="1"/>
  <c r="I120"/>
  <c r="H119"/>
  <c r="I119" s="1"/>
  <c r="H115"/>
  <c r="I115" s="1"/>
  <c r="H114"/>
  <c r="I114" s="1"/>
  <c r="I112"/>
  <c r="H111"/>
  <c r="I111" s="1"/>
  <c r="H106"/>
  <c r="I106" s="1"/>
  <c r="H105"/>
  <c r="I105" s="1"/>
  <c r="H104"/>
  <c r="I104" s="1"/>
  <c r="I102"/>
  <c r="H101"/>
  <c r="I101" s="1"/>
  <c r="H100"/>
  <c r="I100" s="1"/>
  <c r="H93"/>
  <c r="I93" s="1"/>
  <c r="H92"/>
  <c r="I92" s="1"/>
  <c r="I90"/>
  <c r="H89"/>
  <c r="I89" s="1"/>
  <c r="H88"/>
  <c r="I88" s="1"/>
  <c r="H82"/>
  <c r="I82" s="1"/>
  <c r="I83" s="1"/>
  <c r="K1441" i="306" s="1"/>
  <c r="H79" i="271"/>
  <c r="I79" s="1"/>
  <c r="I80" s="1"/>
  <c r="K1381" i="306" s="1"/>
  <c r="H75" i="271"/>
  <c r="I75" s="1"/>
  <c r="I76" s="1"/>
  <c r="K1360" i="306" s="1"/>
  <c r="H72" i="271"/>
  <c r="I72" s="1"/>
  <c r="H71"/>
  <c r="I71" s="1"/>
  <c r="H68"/>
  <c r="I68" s="1"/>
  <c r="I69" s="1"/>
  <c r="K1355" i="306" s="1"/>
  <c r="H65" i="271"/>
  <c r="I65" s="1"/>
  <c r="I66" s="1"/>
  <c r="K1345" i="306" s="1"/>
  <c r="H62" i="271"/>
  <c r="I62" s="1"/>
  <c r="I63" s="1"/>
  <c r="K1340" i="306" s="1"/>
  <c r="H59" i="271"/>
  <c r="I59" s="1"/>
  <c r="I60" s="1"/>
  <c r="K1334" i="306" s="1"/>
  <c r="H56" i="271"/>
  <c r="I56" s="1"/>
  <c r="I57" s="1"/>
  <c r="K1287" i="306" s="1"/>
  <c r="H53" i="271"/>
  <c r="I53" s="1"/>
  <c r="H45"/>
  <c r="I45" s="1"/>
  <c r="I46" s="1"/>
  <c r="K1282" i="306" s="1"/>
  <c r="H42" i="271"/>
  <c r="H49" s="1"/>
  <c r="I49" s="1"/>
  <c r="H39"/>
  <c r="I39" s="1"/>
  <c r="I40" s="1"/>
  <c r="K1259" i="306" s="1"/>
  <c r="H36" i="271"/>
  <c r="H48" s="1"/>
  <c r="I48" s="1"/>
  <c r="H33"/>
  <c r="I33" s="1"/>
  <c r="I34" s="1"/>
  <c r="K1247" i="306" s="1"/>
  <c r="H27" i="271"/>
  <c r="I27" s="1"/>
  <c r="H26"/>
  <c r="I26" s="1"/>
  <c r="H25"/>
  <c r="I25" s="1"/>
  <c r="H24"/>
  <c r="I24" s="1"/>
  <c r="H22"/>
  <c r="I22" s="1"/>
  <c r="I21"/>
  <c r="H20"/>
  <c r="I20" s="1"/>
  <c r="H19"/>
  <c r="I19" s="1"/>
  <c r="H13"/>
  <c r="I13" s="1"/>
  <c r="H12"/>
  <c r="I12" s="1"/>
  <c r="H11"/>
  <c r="I11" s="1"/>
  <c r="I9"/>
  <c r="H8"/>
  <c r="I8" s="1"/>
  <c r="H7"/>
  <c r="I7" s="1"/>
  <c r="F919" i="270"/>
  <c r="G919" s="1"/>
  <c r="F918"/>
  <c r="G918" s="1"/>
  <c r="F917"/>
  <c r="G917" s="1"/>
  <c r="F916"/>
  <c r="G916" s="1"/>
  <c r="G912"/>
  <c r="G914" s="1"/>
  <c r="K449" i="306" s="1"/>
  <c r="G908" i="270"/>
  <c r="G910" s="1"/>
  <c r="K444" i="306" s="1"/>
  <c r="G903" i="270"/>
  <c r="G899"/>
  <c r="G901" s="1"/>
  <c r="K439" i="306" s="1"/>
  <c r="G894" i="270"/>
  <c r="F891"/>
  <c r="G891" s="1"/>
  <c r="G892" s="1"/>
  <c r="K434" i="306" s="1"/>
  <c r="G888" i="270"/>
  <c r="G889" s="1"/>
  <c r="K1461" i="306" s="1"/>
  <c r="F885" i="270"/>
  <c r="G885" s="1"/>
  <c r="F884"/>
  <c r="G884" s="1"/>
  <c r="F883"/>
  <c r="G883" s="1"/>
  <c r="F882"/>
  <c r="G882" s="1"/>
  <c r="F881"/>
  <c r="G881" s="1"/>
  <c r="G877"/>
  <c r="G878" s="1"/>
  <c r="F873"/>
  <c r="G873" s="1"/>
  <c r="F872"/>
  <c r="G872" s="1"/>
  <c r="F870"/>
  <c r="G870" s="1"/>
  <c r="F866"/>
  <c r="G866" s="1"/>
  <c r="F865"/>
  <c r="G865" s="1"/>
  <c r="F863"/>
  <c r="G863" s="1"/>
  <c r="F852"/>
  <c r="G852" s="1"/>
  <c r="F851"/>
  <c r="G851" s="1"/>
  <c r="F850"/>
  <c r="G850" s="1"/>
  <c r="F848"/>
  <c r="G848" s="1"/>
  <c r="F838"/>
  <c r="G838" s="1"/>
  <c r="F837"/>
  <c r="G837" s="1"/>
  <c r="F835"/>
  <c r="G835" s="1"/>
  <c r="F826"/>
  <c r="G826" s="1"/>
  <c r="F825"/>
  <c r="G825" s="1"/>
  <c r="F823"/>
  <c r="G823" s="1"/>
  <c r="F816"/>
  <c r="G816" s="1"/>
  <c r="F815"/>
  <c r="G815" s="1"/>
  <c r="F813"/>
  <c r="G813" s="1"/>
  <c r="F802"/>
  <c r="G802" s="1"/>
  <c r="F801"/>
  <c r="G801" s="1"/>
  <c r="F800"/>
  <c r="G800" s="1"/>
  <c r="F798"/>
  <c r="G798" s="1"/>
  <c r="F787"/>
  <c r="G787" s="1"/>
  <c r="F786"/>
  <c r="G786" s="1"/>
  <c r="G792" s="1"/>
  <c r="F784"/>
  <c r="G784" s="1"/>
  <c r="F774"/>
  <c r="G774" s="1"/>
  <c r="F773"/>
  <c r="G773" s="1"/>
  <c r="F772"/>
  <c r="G772" s="1"/>
  <c r="F763"/>
  <c r="G763" s="1"/>
  <c r="F762"/>
  <c r="G762" s="1"/>
  <c r="F753"/>
  <c r="G753" s="1"/>
  <c r="F752"/>
  <c r="G752" s="1"/>
  <c r="F751"/>
  <c r="G751" s="1"/>
  <c r="F739"/>
  <c r="G739" s="1"/>
  <c r="F738"/>
  <c r="G738" s="1"/>
  <c r="F725"/>
  <c r="G725" s="1"/>
  <c r="F724"/>
  <c r="G724" s="1"/>
  <c r="F718"/>
  <c r="G718" s="1"/>
  <c r="F708"/>
  <c r="G708" s="1"/>
  <c r="F707"/>
  <c r="G707" s="1"/>
  <c r="F706"/>
  <c r="G706" s="1"/>
  <c r="F700"/>
  <c r="G700" s="1"/>
  <c r="F690"/>
  <c r="G690" s="1"/>
  <c r="F689"/>
  <c r="G689" s="1"/>
  <c r="F688"/>
  <c r="G688" s="1"/>
  <c r="F686"/>
  <c r="F722" s="1"/>
  <c r="G722" s="1"/>
  <c r="F682"/>
  <c r="G682" s="1"/>
  <c r="F671"/>
  <c r="G671" s="1"/>
  <c r="F670"/>
  <c r="G670" s="1"/>
  <c r="F669"/>
  <c r="G669" s="1"/>
  <c r="F662"/>
  <c r="G662" s="1"/>
  <c r="F652"/>
  <c r="G652" s="1"/>
  <c r="F651"/>
  <c r="G651" s="1"/>
  <c r="F650"/>
  <c r="G650" s="1"/>
  <c r="F648"/>
  <c r="G648" s="1"/>
  <c r="F644"/>
  <c r="G644" s="1"/>
  <c r="F634"/>
  <c r="G634" s="1"/>
  <c r="F633"/>
  <c r="G633" s="1"/>
  <c r="F632"/>
  <c r="G632" s="1"/>
  <c r="F626"/>
  <c r="G626" s="1"/>
  <c r="F621"/>
  <c r="G621" s="1"/>
  <c r="G622" s="1"/>
  <c r="K1072" i="306" s="1"/>
  <c r="F612" i="270"/>
  <c r="G612" s="1"/>
  <c r="F611"/>
  <c r="G611" s="1"/>
  <c r="F610"/>
  <c r="G610" s="1"/>
  <c r="F608"/>
  <c r="G608" s="1"/>
  <c r="F593"/>
  <c r="G593" s="1"/>
  <c r="F592"/>
  <c r="G592" s="1"/>
  <c r="F591"/>
  <c r="G591" s="1"/>
  <c r="F575"/>
  <c r="G575" s="1"/>
  <c r="F574"/>
  <c r="G574" s="1"/>
  <c r="F573"/>
  <c r="G573" s="1"/>
  <c r="F571"/>
  <c r="G571" s="1"/>
  <c r="F560"/>
  <c r="G560" s="1"/>
  <c r="F559"/>
  <c r="G559" s="1"/>
  <c r="F558"/>
  <c r="G558" s="1"/>
  <c r="F556"/>
  <c r="G556" s="1"/>
  <c r="F548"/>
  <c r="E548"/>
  <c r="F547"/>
  <c r="E547"/>
  <c r="F543"/>
  <c r="G543" s="1"/>
  <c r="F541"/>
  <c r="G541" s="1"/>
  <c r="F540"/>
  <c r="G540" s="1"/>
  <c r="F539"/>
  <c r="G539" s="1"/>
  <c r="F534"/>
  <c r="G534" s="1"/>
  <c r="G527"/>
  <c r="F527"/>
  <c r="E527"/>
  <c r="E526"/>
  <c r="F526" s="1"/>
  <c r="G526" s="1"/>
  <c r="F522"/>
  <c r="G522" s="1"/>
  <c r="F521"/>
  <c r="G521" s="1"/>
  <c r="F520"/>
  <c r="G520" s="1"/>
  <c r="G528" s="1"/>
  <c r="G507"/>
  <c r="F507"/>
  <c r="E507"/>
  <c r="E506"/>
  <c r="F506" s="1"/>
  <c r="G506" s="1"/>
  <c r="F502"/>
  <c r="G502" s="1"/>
  <c r="F501"/>
  <c r="G501" s="1"/>
  <c r="F500"/>
  <c r="G500" s="1"/>
  <c r="G508" s="1"/>
  <c r="G487"/>
  <c r="F487"/>
  <c r="E487"/>
  <c r="E486"/>
  <c r="G486" s="1"/>
  <c r="F482"/>
  <c r="G482" s="1"/>
  <c r="F481"/>
  <c r="G481" s="1"/>
  <c r="F480"/>
  <c r="G480" s="1"/>
  <c r="G471"/>
  <c r="F471"/>
  <c r="E471"/>
  <c r="E470"/>
  <c r="G470" s="1"/>
  <c r="F466"/>
  <c r="G466" s="1"/>
  <c r="F465"/>
  <c r="G465" s="1"/>
  <c r="F464"/>
  <c r="G464" s="1"/>
  <c r="G455"/>
  <c r="F455"/>
  <c r="E455"/>
  <c r="E454"/>
  <c r="G454" s="1"/>
  <c r="F450"/>
  <c r="G450" s="1"/>
  <c r="F449"/>
  <c r="G449" s="1"/>
  <c r="F448"/>
  <c r="G448" s="1"/>
  <c r="G439"/>
  <c r="F439"/>
  <c r="E439"/>
  <c r="E438"/>
  <c r="G438" s="1"/>
  <c r="F434"/>
  <c r="G434" s="1"/>
  <c r="F433"/>
  <c r="G433" s="1"/>
  <c r="F432"/>
  <c r="G432" s="1"/>
  <c r="G424"/>
  <c r="F424"/>
  <c r="E424"/>
  <c r="E423"/>
  <c r="F423" s="1"/>
  <c r="G423" s="1"/>
  <c r="F419"/>
  <c r="G419" s="1"/>
  <c r="F418"/>
  <c r="G418" s="1"/>
  <c r="F417"/>
  <c r="G417" s="1"/>
  <c r="F416"/>
  <c r="G416" s="1"/>
  <c r="F413"/>
  <c r="G413" s="1"/>
  <c r="G406"/>
  <c r="F406"/>
  <c r="E406"/>
  <c r="E405"/>
  <c r="F405" s="1"/>
  <c r="G405" s="1"/>
  <c r="F401"/>
  <c r="G401" s="1"/>
  <c r="F400"/>
  <c r="G400" s="1"/>
  <c r="F399"/>
  <c r="G399" s="1"/>
  <c r="G389"/>
  <c r="F389"/>
  <c r="E389"/>
  <c r="E388"/>
  <c r="F388" s="1"/>
  <c r="G388" s="1"/>
  <c r="F384"/>
  <c r="G384" s="1"/>
  <c r="F383"/>
  <c r="G383" s="1"/>
  <c r="F382"/>
  <c r="G382" s="1"/>
  <c r="G372"/>
  <c r="F372"/>
  <c r="E372"/>
  <c r="E371"/>
  <c r="F371" s="1"/>
  <c r="F367"/>
  <c r="G367" s="1"/>
  <c r="F366"/>
  <c r="G366" s="1"/>
  <c r="F365"/>
  <c r="G365" s="1"/>
  <c r="F356"/>
  <c r="G356" s="1"/>
  <c r="F355"/>
  <c r="G355" s="1"/>
  <c r="F346"/>
  <c r="G346" s="1"/>
  <c r="F345"/>
  <c r="G345" s="1"/>
  <c r="G341"/>
  <c r="F340"/>
  <c r="G340" s="1"/>
  <c r="F339"/>
  <c r="F338"/>
  <c r="F336"/>
  <c r="F335"/>
  <c r="G329"/>
  <c r="G328"/>
  <c r="G327"/>
  <c r="F326"/>
  <c r="G326" s="1"/>
  <c r="F325"/>
  <c r="F324"/>
  <c r="F322"/>
  <c r="F321"/>
  <c r="F317"/>
  <c r="G317" s="1"/>
  <c r="F316"/>
  <c r="G316" s="1"/>
  <c r="F315"/>
  <c r="G315" s="1"/>
  <c r="F309"/>
  <c r="F308"/>
  <c r="F302"/>
  <c r="G302" s="1"/>
  <c r="F301"/>
  <c r="G301" s="1"/>
  <c r="F294"/>
  <c r="G294" s="1"/>
  <c r="F293"/>
  <c r="G293" s="1"/>
  <c r="F292"/>
  <c r="G292" s="1"/>
  <c r="F291"/>
  <c r="G291" s="1"/>
  <c r="F289"/>
  <c r="G289" s="1"/>
  <c r="F288"/>
  <c r="G288" s="1"/>
  <c r="F278"/>
  <c r="G278" s="1"/>
  <c r="F277"/>
  <c r="G277" s="1"/>
  <c r="F275"/>
  <c r="G275" s="1"/>
  <c r="E267"/>
  <c r="F267" s="1"/>
  <c r="G267" s="1"/>
  <c r="E266"/>
  <c r="F266" s="1"/>
  <c r="G266" s="1"/>
  <c r="F262"/>
  <c r="G262" s="1"/>
  <c r="F261"/>
  <c r="G261" s="1"/>
  <c r="F260"/>
  <c r="G260" s="1"/>
  <c r="F258"/>
  <c r="G258" s="1"/>
  <c r="F257"/>
  <c r="G257" s="1"/>
  <c r="F234"/>
  <c r="G234" s="1"/>
  <c r="F233"/>
  <c r="G233" s="1"/>
  <c r="F231"/>
  <c r="G231" s="1"/>
  <c r="F230"/>
  <c r="G230" s="1"/>
  <c r="F229"/>
  <c r="G229" s="1"/>
  <c r="G211"/>
  <c r="G219" s="1"/>
  <c r="F211"/>
  <c r="F219" s="1"/>
  <c r="E211"/>
  <c r="E219" s="1"/>
  <c r="G204"/>
  <c r="F204"/>
  <c r="E204"/>
  <c r="E203"/>
  <c r="F203" s="1"/>
  <c r="G191"/>
  <c r="G247" s="1"/>
  <c r="F191"/>
  <c r="F198" s="1"/>
  <c r="E191"/>
  <c r="E247" s="1"/>
  <c r="E190"/>
  <c r="E197" s="1"/>
  <c r="G184"/>
  <c r="G240" s="1"/>
  <c r="F184"/>
  <c r="F240" s="1"/>
  <c r="E184"/>
  <c r="E240" s="1"/>
  <c r="E183"/>
  <c r="E239" s="1"/>
  <c r="G177"/>
  <c r="F177"/>
  <c r="E177"/>
  <c r="E176"/>
  <c r="F176" s="1"/>
  <c r="F172"/>
  <c r="G172" s="1"/>
  <c r="F171"/>
  <c r="G171" s="1"/>
  <c r="F170"/>
  <c r="G170" s="1"/>
  <c r="F168"/>
  <c r="G168" s="1"/>
  <c r="F167"/>
  <c r="G167" s="1"/>
  <c r="F166"/>
  <c r="G166" s="1"/>
  <c r="G156"/>
  <c r="F156"/>
  <c r="E156"/>
  <c r="E155"/>
  <c r="F155" s="1"/>
  <c r="G150"/>
  <c r="F150"/>
  <c r="E150"/>
  <c r="E149"/>
  <c r="F149" s="1"/>
  <c r="F145"/>
  <c r="G145" s="1"/>
  <c r="F144"/>
  <c r="G144" s="1"/>
  <c r="F143"/>
  <c r="G143" s="1"/>
  <c r="F141"/>
  <c r="G141" s="1"/>
  <c r="F140"/>
  <c r="G140" s="1"/>
  <c r="F139"/>
  <c r="G139" s="1"/>
  <c r="E137"/>
  <c r="E164" s="1"/>
  <c r="F130"/>
  <c r="G130" s="1"/>
  <c r="F129"/>
  <c r="G129" s="1"/>
  <c r="F125"/>
  <c r="G125" s="1"/>
  <c r="F124"/>
  <c r="G124" s="1"/>
  <c r="F120"/>
  <c r="G120" s="1"/>
  <c r="F119"/>
  <c r="G119" s="1"/>
  <c r="F115"/>
  <c r="G115" s="1"/>
  <c r="F114"/>
  <c r="G114" s="1"/>
  <c r="F113"/>
  <c r="G113" s="1"/>
  <c r="F111"/>
  <c r="G111" s="1"/>
  <c r="F110"/>
  <c r="G110" s="1"/>
  <c r="F109"/>
  <c r="G109" s="1"/>
  <c r="F100"/>
  <c r="G100" s="1"/>
  <c r="F99"/>
  <c r="G99" s="1"/>
  <c r="F97"/>
  <c r="G97" s="1"/>
  <c r="F95"/>
  <c r="G95" s="1"/>
  <c r="F88"/>
  <c r="G88" s="1"/>
  <c r="F87"/>
  <c r="G87" s="1"/>
  <c r="F85"/>
  <c r="G85" s="1"/>
  <c r="F83"/>
  <c r="G83" s="1"/>
  <c r="F75"/>
  <c r="G75" s="1"/>
  <c r="F74"/>
  <c r="G74" s="1"/>
  <c r="F67"/>
  <c r="G67" s="1"/>
  <c r="F59"/>
  <c r="G59" s="1"/>
  <c r="F51"/>
  <c r="G51" s="1"/>
  <c r="G45"/>
  <c r="G46" s="1"/>
  <c r="K20" i="306" s="1"/>
  <c r="G40" i="270"/>
  <c r="G41" s="1"/>
  <c r="K14" i="306" s="1"/>
  <c r="F28" i="270"/>
  <c r="G28" s="1"/>
  <c r="E26"/>
  <c r="F23"/>
  <c r="G23" s="1"/>
  <c r="E21"/>
  <c r="F18"/>
  <c r="G18" s="1"/>
  <c r="E16"/>
  <c r="F13"/>
  <c r="G13" s="1"/>
  <c r="E11"/>
  <c r="F8"/>
  <c r="G8" s="1"/>
  <c r="E6"/>
  <c r="G25" i="269"/>
  <c r="F25"/>
  <c r="G24"/>
  <c r="F24"/>
  <c r="G23"/>
  <c r="G22"/>
  <c r="G21"/>
  <c r="G20"/>
  <c r="I20" s="1"/>
  <c r="G19"/>
  <c r="I19" s="1"/>
  <c r="G18"/>
  <c r="I18" s="1"/>
  <c r="G17"/>
  <c r="I17" s="1"/>
  <c r="D17"/>
  <c r="D18" s="1"/>
  <c r="D19" s="1"/>
  <c r="D20" s="1"/>
  <c r="D21" s="1"/>
  <c r="D22" s="1"/>
  <c r="G16"/>
  <c r="I16" s="1"/>
  <c r="K15"/>
  <c r="J15"/>
  <c r="G15"/>
  <c r="G14"/>
  <c r="G13"/>
  <c r="D13"/>
  <c r="D14" s="1"/>
  <c r="G12"/>
  <c r="G11"/>
  <c r="L11" s="1"/>
  <c r="G10"/>
  <c r="G9"/>
  <c r="I9" s="1"/>
  <c r="G8"/>
  <c r="L8" s="1"/>
  <c r="E23"/>
  <c r="F23" s="1"/>
  <c r="E15"/>
  <c r="F15" s="1"/>
  <c r="E16"/>
  <c r="E12"/>
  <c r="J49" i="264"/>
  <c r="P49"/>
  <c r="O49"/>
  <c r="C2" i="250"/>
  <c r="E17" i="139"/>
  <c r="E16"/>
  <c r="E13"/>
  <c r="E11"/>
  <c r="E10"/>
  <c r="B4" i="171"/>
  <c r="E9" i="170"/>
  <c r="E16" s="1"/>
  <c r="E7"/>
  <c r="I50" i="271" l="1"/>
  <c r="K1277" i="306" s="1"/>
  <c r="F425" i="270"/>
  <c r="G268"/>
  <c r="F817"/>
  <c r="H127" i="272"/>
  <c r="H142"/>
  <c r="F145" s="1"/>
  <c r="G373" i="270"/>
  <c r="H70" i="272"/>
  <c r="F390" i="270"/>
  <c r="G390"/>
  <c r="M1005" i="306"/>
  <c r="I1057" i="309"/>
  <c r="M1009" i="306"/>
  <c r="I1058" i="309"/>
  <c r="M1001" i="306"/>
  <c r="I1056" i="309"/>
  <c r="M1014" i="306"/>
  <c r="I1059" i="309"/>
  <c r="F827" i="270"/>
  <c r="M1150" i="306"/>
  <c r="I1083" i="309"/>
  <c r="M1119" i="306"/>
  <c r="I1076" i="309"/>
  <c r="M1129" i="306"/>
  <c r="I1078" i="309"/>
  <c r="M1114" i="306"/>
  <c r="I1075" i="309"/>
  <c r="M1088" i="306"/>
  <c r="I1071" i="309"/>
  <c r="M1078" i="306"/>
  <c r="I1069" i="309"/>
  <c r="M1104" i="306"/>
  <c r="I1073" i="309"/>
  <c r="M1168" i="306"/>
  <c r="I1086" i="309"/>
  <c r="M1170" i="306"/>
  <c r="I1088" i="309"/>
  <c r="M1181" i="306"/>
  <c r="I1090" i="309"/>
  <c r="M1176" i="306"/>
  <c r="I1089" i="309"/>
  <c r="M1206" i="306"/>
  <c r="I1095" i="309"/>
  <c r="M1196" i="306"/>
  <c r="I1093" i="309"/>
  <c r="M1211" i="306"/>
  <c r="I1096" i="309"/>
  <c r="M1160" i="306"/>
  <c r="I1084" i="309"/>
  <c r="M1145" i="306"/>
  <c r="I1081" i="309"/>
  <c r="M1124" i="306"/>
  <c r="I1077" i="309"/>
  <c r="M1135" i="306"/>
  <c r="I1079" i="309"/>
  <c r="M1109" i="306"/>
  <c r="I1074" i="309"/>
  <c r="M1083" i="306"/>
  <c r="I1070" i="309"/>
  <c r="M1098" i="306"/>
  <c r="I1072" i="309"/>
  <c r="M1169" i="306"/>
  <c r="I1087" i="309"/>
  <c r="M1186" i="306"/>
  <c r="I1091" i="309"/>
  <c r="M1191" i="306"/>
  <c r="I1092" i="309"/>
  <c r="M1201" i="306"/>
  <c r="I1094" i="309"/>
  <c r="M1216" i="306"/>
  <c r="I1097" i="309"/>
  <c r="F220" i="270"/>
  <c r="G212"/>
  <c r="F205"/>
  <c r="F199"/>
  <c r="G185"/>
  <c r="G220"/>
  <c r="G205"/>
  <c r="G192"/>
  <c r="G248"/>
  <c r="M14" i="306"/>
  <c r="I918" i="309"/>
  <c r="M434" i="306"/>
  <c r="I968" i="309"/>
  <c r="M439" i="306"/>
  <c r="I970" i="309"/>
  <c r="M444" i="306"/>
  <c r="I971" i="309"/>
  <c r="M20" i="306"/>
  <c r="I919" i="309"/>
  <c r="M1072" i="306"/>
  <c r="I1068" i="309"/>
  <c r="M1461" i="306"/>
  <c r="I1139" i="309"/>
  <c r="J1139" s="1"/>
  <c r="M449" i="306"/>
  <c r="I972" i="309"/>
  <c r="M1247" i="306"/>
  <c r="I1100" i="309"/>
  <c r="M1259" i="306"/>
  <c r="I1102" i="309"/>
  <c r="M1282" i="306"/>
  <c r="I1104" i="309"/>
  <c r="M1287" i="306"/>
  <c r="I1107" i="309"/>
  <c r="M1340" i="306"/>
  <c r="I1116" i="309"/>
  <c r="M1355" i="306"/>
  <c r="I1118" i="309"/>
  <c r="M1381" i="306"/>
  <c r="I1124" i="309"/>
  <c r="M1436" i="306"/>
  <c r="I1134" i="309"/>
  <c r="M1277" i="306"/>
  <c r="I1105" i="309"/>
  <c r="M1334" i="306"/>
  <c r="I1115" i="309"/>
  <c r="M1345" i="306"/>
  <c r="I1117" i="309"/>
  <c r="M1360" i="306"/>
  <c r="I1120" i="309"/>
  <c r="M1441" i="306"/>
  <c r="I1136" i="309"/>
  <c r="M1431" i="306"/>
  <c r="I1133" i="309"/>
  <c r="G778" i="270"/>
  <c r="G856"/>
  <c r="L15" i="269"/>
  <c r="F379" i="270" s="1"/>
  <c r="G379" s="1"/>
  <c r="I42" i="271"/>
  <c r="I43" s="1"/>
  <c r="K1264" i="306" s="1"/>
  <c r="H162" i="272"/>
  <c r="F163" s="1"/>
  <c r="F906" i="305"/>
  <c r="G906" s="1"/>
  <c r="F1055"/>
  <c r="G1055" s="1"/>
  <c r="F955"/>
  <c r="G955" s="1"/>
  <c r="F957"/>
  <c r="G957" s="1"/>
  <c r="F958"/>
  <c r="G958" s="1"/>
  <c r="F1087"/>
  <c r="G1087" s="1"/>
  <c r="F1089"/>
  <c r="J1089" s="1"/>
  <c r="F1102"/>
  <c r="J1102" s="1"/>
  <c r="F1103"/>
  <c r="J1103" s="1"/>
  <c r="F1105"/>
  <c r="G1105" s="1"/>
  <c r="F1111"/>
  <c r="G1111" s="1"/>
  <c r="F1123"/>
  <c r="G1123" s="1"/>
  <c r="F1120"/>
  <c r="G1120" s="1"/>
  <c r="F1043"/>
  <c r="G1043" s="1"/>
  <c r="F1046"/>
  <c r="G1046" s="1"/>
  <c r="F1068"/>
  <c r="G1068" s="1"/>
  <c r="F1064"/>
  <c r="G1064" s="1"/>
  <c r="F1066"/>
  <c r="G1066" s="1"/>
  <c r="F1061"/>
  <c r="G1061" s="1"/>
  <c r="F1057"/>
  <c r="G1057" s="1"/>
  <c r="F1059"/>
  <c r="G1059" s="1"/>
  <c r="F1074"/>
  <c r="G1074" s="1"/>
  <c r="F1078"/>
  <c r="G1078" s="1"/>
  <c r="F1079"/>
  <c r="G1079" s="1"/>
  <c r="F1081"/>
  <c r="G1081" s="1"/>
  <c r="F1084"/>
  <c r="G1084" s="1"/>
  <c r="F905"/>
  <c r="G905" s="1"/>
  <c r="F1126"/>
  <c r="J1126" s="1"/>
  <c r="F959"/>
  <c r="G959" s="1"/>
  <c r="F1092"/>
  <c r="G1092" s="1"/>
  <c r="F1091"/>
  <c r="G1091" s="1"/>
  <c r="F1094"/>
  <c r="G1094" s="1"/>
  <c r="F1104"/>
  <c r="G1104" s="1"/>
  <c r="F1107"/>
  <c r="G1107" s="1"/>
  <c r="F1121"/>
  <c r="G1121" s="1"/>
  <c r="F1044"/>
  <c r="G1044" s="1"/>
  <c r="F1045"/>
  <c r="G1045" s="1"/>
  <c r="F1070"/>
  <c r="G1070" s="1"/>
  <c r="F1063"/>
  <c r="G1063" s="1"/>
  <c r="F1065"/>
  <c r="G1065" s="1"/>
  <c r="F1062"/>
  <c r="G1062" s="1"/>
  <c r="F1058"/>
  <c r="G1058" s="1"/>
  <c r="F1056"/>
  <c r="G1056" s="1"/>
  <c r="F1060"/>
  <c r="G1060" s="1"/>
  <c r="F1073"/>
  <c r="G1073" s="1"/>
  <c r="F1075"/>
  <c r="G1075" s="1"/>
  <c r="F1077"/>
  <c r="G1077" s="1"/>
  <c r="F1076"/>
  <c r="G1076" s="1"/>
  <c r="F1082"/>
  <c r="G1082" s="1"/>
  <c r="F1080"/>
  <c r="G1080" s="1"/>
  <c r="F1083"/>
  <c r="G1083" s="1"/>
  <c r="F1071"/>
  <c r="G1071" s="1"/>
  <c r="F807" i="270"/>
  <c r="G807" s="1"/>
  <c r="G842"/>
  <c r="L23" i="269"/>
  <c r="F744" i="270" s="1"/>
  <c r="G744" s="1"/>
  <c r="L24" i="269"/>
  <c r="F61" i="270" s="1"/>
  <c r="G61" s="1"/>
  <c r="G62" s="1"/>
  <c r="G63" s="1"/>
  <c r="K40" i="306" s="1"/>
  <c r="L25" i="269"/>
  <c r="F69" i="270" s="1"/>
  <c r="G69" s="1"/>
  <c r="G425"/>
  <c r="F656"/>
  <c r="G694"/>
  <c r="G712"/>
  <c r="G729"/>
  <c r="I73" i="271"/>
  <c r="I133"/>
  <c r="K1376" i="306" s="1"/>
  <c r="I152" i="271"/>
  <c r="I153" s="1"/>
  <c r="K1307" i="306" s="1"/>
  <c r="E1093" i="195" s="1"/>
  <c r="F1093" s="1"/>
  <c r="J1093" s="1"/>
  <c r="I162" i="271"/>
  <c r="I163" s="1"/>
  <c r="K1318" i="306" s="1"/>
  <c r="I172" i="271"/>
  <c r="I173" s="1"/>
  <c r="K1323" i="306" s="1"/>
  <c r="I183" i="271"/>
  <c r="I184" s="1"/>
  <c r="K1328" i="306" s="1"/>
  <c r="I193" i="271"/>
  <c r="I205"/>
  <c r="K1393" i="306" s="1"/>
  <c r="I214" i="271"/>
  <c r="K1408" i="306" s="1"/>
  <c r="I1128" i="140" s="1"/>
  <c r="J1128" s="1"/>
  <c r="I221" i="271"/>
  <c r="K1413" i="306" s="1"/>
  <c r="I240" i="271"/>
  <c r="K1426" i="306" s="1"/>
  <c r="I251" i="271"/>
  <c r="K1446" i="306" s="1"/>
  <c r="I261" i="271"/>
  <c r="H116" i="272"/>
  <c r="H126"/>
  <c r="H145"/>
  <c r="G22" i="273"/>
  <c r="G24" s="1"/>
  <c r="K1155" i="306" s="1"/>
  <c r="G66" i="273"/>
  <c r="G68" s="1"/>
  <c r="K1165" i="306" s="1"/>
  <c r="G76" i="270"/>
  <c r="G77" s="1"/>
  <c r="K59" i="306" s="1"/>
  <c r="E909" i="195" s="1"/>
  <c r="F909" s="1"/>
  <c r="J909" s="1"/>
  <c r="G8" i="273"/>
  <c r="G10" s="1"/>
  <c r="K1140" i="306" s="1"/>
  <c r="I107" i="271"/>
  <c r="I108" s="1"/>
  <c r="K1301" i="306" s="1"/>
  <c r="I116" i="271"/>
  <c r="K1371" i="306" s="1"/>
  <c r="I227" i="271"/>
  <c r="G1137" i="140"/>
  <c r="C1121" i="195"/>
  <c r="I1121" s="1"/>
  <c r="L9" i="269"/>
  <c r="G196" i="272" s="1"/>
  <c r="H196" s="1"/>
  <c r="H199" s="1"/>
  <c r="K1019" i="306" s="1"/>
  <c r="E902" i="195"/>
  <c r="F902" s="1"/>
  <c r="J902" s="1"/>
  <c r="I918" i="140"/>
  <c r="J918" s="1"/>
  <c r="I919"/>
  <c r="E903" i="195"/>
  <c r="E950"/>
  <c r="F950" s="1"/>
  <c r="J950" s="1"/>
  <c r="I968" i="140"/>
  <c r="J968" s="1"/>
  <c r="I970"/>
  <c r="J970" s="1"/>
  <c r="E954" i="195"/>
  <c r="F954" s="1"/>
  <c r="J954" s="1"/>
  <c r="E955"/>
  <c r="I971" i="140"/>
  <c r="E1052" i="195"/>
  <c r="F1052" s="1"/>
  <c r="J1052" s="1"/>
  <c r="I1068" i="140"/>
  <c r="J1068" s="1"/>
  <c r="E956" i="195"/>
  <c r="I972" i="140"/>
  <c r="E1089" i="195"/>
  <c r="F1089" s="1"/>
  <c r="J1089" s="1"/>
  <c r="I1105" i="140"/>
  <c r="J1105" s="1"/>
  <c r="E1088" i="195"/>
  <c r="F1088" s="1"/>
  <c r="J1088" s="1"/>
  <c r="I1104" i="140"/>
  <c r="J1104" s="1"/>
  <c r="E1090" i="195"/>
  <c r="I1107" i="140"/>
  <c r="I1117"/>
  <c r="J1117" s="1"/>
  <c r="E1100" i="195"/>
  <c r="F1100" s="1"/>
  <c r="J1100" s="1"/>
  <c r="E1104"/>
  <c r="I1120" i="140"/>
  <c r="E1118" i="195"/>
  <c r="F1118" s="1"/>
  <c r="J1118" s="1"/>
  <c r="I1134" i="140"/>
  <c r="J1134" s="1"/>
  <c r="E1040" i="195"/>
  <c r="I1056" i="140"/>
  <c r="E1043" i="195"/>
  <c r="F1043" s="1"/>
  <c r="J1043" s="1"/>
  <c r="I1059" i="140"/>
  <c r="J1059" s="1"/>
  <c r="E1065" i="195"/>
  <c r="F1065" s="1"/>
  <c r="J1065" s="1"/>
  <c r="I1081" i="140"/>
  <c r="J1081" s="1"/>
  <c r="E1061" i="195"/>
  <c r="F1061" s="1"/>
  <c r="J1061" s="1"/>
  <c r="I1077" i="140"/>
  <c r="J1077" s="1"/>
  <c r="E1063" i="195"/>
  <c r="I1079" i="140"/>
  <c r="I1074"/>
  <c r="J1074" s="1"/>
  <c r="E1058" i="195"/>
  <c r="F1058" s="1"/>
  <c r="J1058" s="1"/>
  <c r="E1054"/>
  <c r="I1070" i="140"/>
  <c r="E1056" i="195"/>
  <c r="F1056" s="1"/>
  <c r="J1056" s="1"/>
  <c r="I1072" i="140"/>
  <c r="J1072" s="1"/>
  <c r="E1071" i="195"/>
  <c r="F1071" s="1"/>
  <c r="J1071" s="1"/>
  <c r="I1087" i="140"/>
  <c r="J1087" s="1"/>
  <c r="I1091"/>
  <c r="J1091" s="1"/>
  <c r="E1075" i="195"/>
  <c r="F1075" s="1"/>
  <c r="J1075" s="1"/>
  <c r="I1092" i="140"/>
  <c r="J1092" s="1"/>
  <c r="E1076" i="195"/>
  <c r="F1076" s="1"/>
  <c r="J1076" s="1"/>
  <c r="E1077"/>
  <c r="F1077" s="1"/>
  <c r="J1077" s="1"/>
  <c r="I1093" i="140"/>
  <c r="J1093" s="1"/>
  <c r="E1080" i="195"/>
  <c r="F1080" s="1"/>
  <c r="J1080" s="1"/>
  <c r="I1096" i="140"/>
  <c r="J1096" s="1"/>
  <c r="I1084"/>
  <c r="J1084" s="1"/>
  <c r="E1068" i="195"/>
  <c r="F1068" s="1"/>
  <c r="J1068" s="1"/>
  <c r="E1123"/>
  <c r="F1123" s="1"/>
  <c r="J1123" s="1"/>
  <c r="I1139" i="140"/>
  <c r="J1139" s="1"/>
  <c r="E1084" i="195"/>
  <c r="F1084" s="1"/>
  <c r="J1084" s="1"/>
  <c r="I1100" i="140"/>
  <c r="J1100" s="1"/>
  <c r="E1086" i="195"/>
  <c r="F1086" s="1"/>
  <c r="J1086" s="1"/>
  <c r="I1102" i="140"/>
  <c r="J1102" s="1"/>
  <c r="E1087" i="195"/>
  <c r="F1087" s="1"/>
  <c r="J1087" s="1"/>
  <c r="I1103" i="140"/>
  <c r="J1103" s="1"/>
  <c r="I1115"/>
  <c r="E1098" i="195"/>
  <c r="I1116" i="140"/>
  <c r="J1116" s="1"/>
  <c r="E1099" i="195"/>
  <c r="F1099" s="1"/>
  <c r="J1099" s="1"/>
  <c r="E1101"/>
  <c r="F1101" s="1"/>
  <c r="J1101" s="1"/>
  <c r="I1118" i="140"/>
  <c r="J1118" s="1"/>
  <c r="I1124"/>
  <c r="J1124" s="1"/>
  <c r="E1108" i="195"/>
  <c r="F1108" s="1"/>
  <c r="J1108" s="1"/>
  <c r="E1120"/>
  <c r="F1120" s="1"/>
  <c r="J1120" s="1"/>
  <c r="I1136" i="140"/>
  <c r="J1136" s="1"/>
  <c r="I1109"/>
  <c r="E1117" i="195"/>
  <c r="F1117" s="1"/>
  <c r="J1117" s="1"/>
  <c r="I1133" i="140"/>
  <c r="J1133" s="1"/>
  <c r="E1041" i="195"/>
  <c r="F1041" s="1"/>
  <c r="J1041" s="1"/>
  <c r="I1057" i="140"/>
  <c r="J1057" s="1"/>
  <c r="I1083"/>
  <c r="J1083" s="1"/>
  <c r="E1067" i="195"/>
  <c r="F1067" s="1"/>
  <c r="J1067" s="1"/>
  <c r="E1060"/>
  <c r="I1076" i="140"/>
  <c r="E1062" i="195"/>
  <c r="I1078" i="140"/>
  <c r="E1059" i="195"/>
  <c r="F1059" s="1"/>
  <c r="J1059" s="1"/>
  <c r="I1075" i="140"/>
  <c r="J1075" s="1"/>
  <c r="E1055" i="195"/>
  <c r="F1055" s="1"/>
  <c r="J1055" s="1"/>
  <c r="I1071" i="140"/>
  <c r="J1071" s="1"/>
  <c r="I1069"/>
  <c r="J1069" s="1"/>
  <c r="E1053" i="195"/>
  <c r="F1053" s="1"/>
  <c r="J1053" s="1"/>
  <c r="I1073" i="140"/>
  <c r="E1057" i="195"/>
  <c r="E1070"/>
  <c r="F1070" s="1"/>
  <c r="J1070" s="1"/>
  <c r="I1086" i="140"/>
  <c r="J1086" s="1"/>
  <c r="E1072" i="195"/>
  <c r="F1072" s="1"/>
  <c r="J1072" s="1"/>
  <c r="I1088" i="140"/>
  <c r="J1088" s="1"/>
  <c r="E1074" i="195"/>
  <c r="F1074" s="1"/>
  <c r="J1074" s="1"/>
  <c r="I1090" i="140"/>
  <c r="J1090" s="1"/>
  <c r="E1073" i="195"/>
  <c r="F1073" s="1"/>
  <c r="J1073" s="1"/>
  <c r="I1089" i="140"/>
  <c r="J1089" s="1"/>
  <c r="I1095"/>
  <c r="J1095" s="1"/>
  <c r="E1079" i="195"/>
  <c r="F1079" s="1"/>
  <c r="J1079" s="1"/>
  <c r="E1078"/>
  <c r="F1078" s="1"/>
  <c r="J1078" s="1"/>
  <c r="I1094" i="140"/>
  <c r="J1094" s="1"/>
  <c r="I1097"/>
  <c r="J1097" s="1"/>
  <c r="E1081" i="195"/>
  <c r="F1081" s="1"/>
  <c r="J1081" s="1"/>
  <c r="C936"/>
  <c r="G952" i="140"/>
  <c r="G958"/>
  <c r="C942" i="195"/>
  <c r="C957"/>
  <c r="G973" i="140"/>
  <c r="G1009"/>
  <c r="C993" i="195"/>
  <c r="C1028"/>
  <c r="G1044" i="140"/>
  <c r="C1064" i="195"/>
  <c r="G1080" i="140"/>
  <c r="C1054" i="195"/>
  <c r="G1070" i="140"/>
  <c r="C1119" i="195"/>
  <c r="G1135" i="140"/>
  <c r="G1132"/>
  <c r="C1116" i="195"/>
  <c r="C1110"/>
  <c r="G1126" i="140"/>
  <c r="C1105" i="195"/>
  <c r="G1121" i="140"/>
  <c r="C1104" i="195"/>
  <c r="G1120" i="140"/>
  <c r="C1095" i="195"/>
  <c r="G1112" i="140"/>
  <c r="C1090" i="195"/>
  <c r="G1107" i="140"/>
  <c r="G953"/>
  <c r="C937" i="195"/>
  <c r="C943"/>
  <c r="G959" i="140"/>
  <c r="G971"/>
  <c r="C955" i="195"/>
  <c r="G972" i="140"/>
  <c r="C956" i="195"/>
  <c r="G1056" i="140"/>
  <c r="C1040" i="195"/>
  <c r="C1069"/>
  <c r="G1085" i="140"/>
  <c r="G1082"/>
  <c r="C1066" i="195"/>
  <c r="C1062"/>
  <c r="G1078" i="140"/>
  <c r="J1078" s="1"/>
  <c r="C1060" i="195"/>
  <c r="G1076" i="140"/>
  <c r="C1109" i="195"/>
  <c r="G1125" i="140"/>
  <c r="C1098" i="195"/>
  <c r="G1115" i="140"/>
  <c r="G1109"/>
  <c r="C1092" i="195"/>
  <c r="C1085"/>
  <c r="G1101" i="140"/>
  <c r="H32" i="272"/>
  <c r="H33"/>
  <c r="H48"/>
  <c r="F49" s="1"/>
  <c r="H49" s="1"/>
  <c r="H181"/>
  <c r="F182" s="1"/>
  <c r="H182" s="1"/>
  <c r="H220"/>
  <c r="H223"/>
  <c r="G233"/>
  <c r="H233" s="1"/>
  <c r="H225"/>
  <c r="G235"/>
  <c r="H235" s="1"/>
  <c r="G237"/>
  <c r="H237" s="1"/>
  <c r="H14"/>
  <c r="H192"/>
  <c r="H210"/>
  <c r="H221"/>
  <c r="H224"/>
  <c r="G234"/>
  <c r="H234" s="1"/>
  <c r="G236"/>
  <c r="H236" s="1"/>
  <c r="H89"/>
  <c r="G102" i="273"/>
  <c r="G104" s="1"/>
  <c r="G105" s="1"/>
  <c r="H205" i="272"/>
  <c r="K1024" i="306" s="1"/>
  <c r="G920" i="270"/>
  <c r="H30" i="272"/>
  <c r="F31" s="1"/>
  <c r="H50"/>
  <c r="H51"/>
  <c r="H59"/>
  <c r="H66"/>
  <c r="F69" s="1"/>
  <c r="H69" s="1"/>
  <c r="H85"/>
  <c r="F88" s="1"/>
  <c r="H88" s="1"/>
  <c r="H104"/>
  <c r="F107" s="1"/>
  <c r="H107" s="1"/>
  <c r="H165"/>
  <c r="H183"/>
  <c r="H211"/>
  <c r="H212"/>
  <c r="H213"/>
  <c r="H214"/>
  <c r="H135"/>
  <c r="H136" s="1"/>
  <c r="K967" i="306" s="1"/>
  <c r="H222" i="272"/>
  <c r="I125" i="271"/>
  <c r="K1365" i="306" s="1"/>
  <c r="I232" i="271"/>
  <c r="K1398" i="306" s="1"/>
  <c r="H278" i="271"/>
  <c r="I278" s="1"/>
  <c r="I280" s="1"/>
  <c r="K1456" i="306" s="1"/>
  <c r="H52" i="271"/>
  <c r="I52" s="1"/>
  <c r="I54" s="1"/>
  <c r="K1272" i="306" s="1"/>
  <c r="I36" i="271"/>
  <c r="I37" s="1"/>
  <c r="K1253" i="306" s="1"/>
  <c r="G886" i="270"/>
  <c r="K429" i="306" s="1"/>
  <c r="F323" i="270"/>
  <c r="E324" s="1"/>
  <c r="E325" s="1"/>
  <c r="G325" s="1"/>
  <c r="F337"/>
  <c r="E338" s="1"/>
  <c r="F282"/>
  <c r="F638"/>
  <c r="G656"/>
  <c r="G676"/>
  <c r="G638"/>
  <c r="F183"/>
  <c r="G686"/>
  <c r="K49" i="264"/>
  <c r="E13" i="269"/>
  <c r="F12"/>
  <c r="L12" s="1"/>
  <c r="F362" i="270"/>
  <c r="G362" s="1"/>
  <c r="F307"/>
  <c r="G307" s="1"/>
  <c r="R49" i="264"/>
  <c r="F16" i="269"/>
  <c r="L16" s="1"/>
  <c r="F81" i="270" s="1"/>
  <c r="E17" i="269"/>
  <c r="E227" i="270"/>
  <c r="G197"/>
  <c r="F197"/>
  <c r="F241"/>
  <c r="G241"/>
  <c r="F373"/>
  <c r="F440"/>
  <c r="G440"/>
  <c r="F472"/>
  <c r="G472"/>
  <c r="F508"/>
  <c r="F564"/>
  <c r="G564"/>
  <c r="F579"/>
  <c r="G579"/>
  <c r="F757"/>
  <c r="G757"/>
  <c r="I208" i="271"/>
  <c r="I209" s="1"/>
  <c r="K1403" i="306" s="1"/>
  <c r="I10" i="269"/>
  <c r="L10" s="1"/>
  <c r="G318" i="270"/>
  <c r="K1041" i="306" s="1"/>
  <c r="G347" i="270"/>
  <c r="K1064" i="306" s="1"/>
  <c r="F407" i="270"/>
  <c r="F549"/>
  <c r="G764"/>
  <c r="K355" i="306" s="1"/>
  <c r="I14" i="271"/>
  <c r="I15" s="1"/>
  <c r="K1222" i="306" s="1"/>
  <c r="I94" i="271"/>
  <c r="I95" s="1"/>
  <c r="K1295" i="306" s="1"/>
  <c r="H154" i="272"/>
  <c r="H155" s="1"/>
  <c r="K974" i="306" s="1"/>
  <c r="H28" i="271"/>
  <c r="I28" s="1"/>
  <c r="I29" s="1"/>
  <c r="I30" s="1"/>
  <c r="K1239" i="306" s="1"/>
  <c r="F745" i="270"/>
  <c r="F586"/>
  <c r="F536"/>
  <c r="G536" s="1"/>
  <c r="F494"/>
  <c r="F378"/>
  <c r="G378" s="1"/>
  <c r="F351"/>
  <c r="G351" s="1"/>
  <c r="F107"/>
  <c r="G107" s="1"/>
  <c r="F80"/>
  <c r="F26"/>
  <c r="G26" s="1"/>
  <c r="F21"/>
  <c r="G21" s="1"/>
  <c r="F16"/>
  <c r="G16" s="1"/>
  <c r="F11"/>
  <c r="G11" s="1"/>
  <c r="F6"/>
  <c r="F769"/>
  <c r="G769" s="1"/>
  <c r="F735"/>
  <c r="G735" s="1"/>
  <c r="F720"/>
  <c r="F701"/>
  <c r="F684"/>
  <c r="F663"/>
  <c r="F395"/>
  <c r="G395" s="1"/>
  <c r="F361"/>
  <c r="G361" s="1"/>
  <c r="F227"/>
  <c r="F164"/>
  <c r="F255" s="1"/>
  <c r="F137"/>
  <c r="G137" s="1"/>
  <c r="G157"/>
  <c r="G151"/>
  <c r="F157"/>
  <c r="F151"/>
  <c r="F212"/>
  <c r="F185"/>
  <c r="G178"/>
  <c r="F192"/>
  <c r="F178"/>
  <c r="G239"/>
  <c r="F239"/>
  <c r="F268"/>
  <c r="G324"/>
  <c r="G338"/>
  <c r="E339"/>
  <c r="G339" s="1"/>
  <c r="F456"/>
  <c r="G456"/>
  <c r="F488"/>
  <c r="G488"/>
  <c r="F528"/>
  <c r="F598"/>
  <c r="G598"/>
  <c r="F617"/>
  <c r="G617"/>
  <c r="G6"/>
  <c r="G70"/>
  <c r="G71" s="1"/>
  <c r="K46" i="306" s="1"/>
  <c r="G407" i="270"/>
  <c r="G149"/>
  <c r="G155"/>
  <c r="G176"/>
  <c r="G190"/>
  <c r="E198"/>
  <c r="G198"/>
  <c r="G199" s="1"/>
  <c r="G203"/>
  <c r="E246"/>
  <c r="F247"/>
  <c r="F248" s="1"/>
  <c r="G282"/>
  <c r="G371"/>
  <c r="F438"/>
  <c r="F454"/>
  <c r="F470"/>
  <c r="F486"/>
  <c r="F676"/>
  <c r="F694"/>
  <c r="F703"/>
  <c r="G703" s="1"/>
  <c r="F712"/>
  <c r="F729"/>
  <c r="F778"/>
  <c r="F788"/>
  <c r="G788" s="1"/>
  <c r="G789" s="1"/>
  <c r="E791" s="1"/>
  <c r="F792"/>
  <c r="F803"/>
  <c r="G803" s="1"/>
  <c r="G804" s="1"/>
  <c r="E806" s="1"/>
  <c r="G817"/>
  <c r="G818" s="1"/>
  <c r="G819" s="1"/>
  <c r="F832" s="1"/>
  <c r="G832" s="1"/>
  <c r="G839" s="1"/>
  <c r="G827"/>
  <c r="G828" s="1"/>
  <c r="G829" s="1"/>
  <c r="F846" s="1"/>
  <c r="G846" s="1"/>
  <c r="G853" s="1"/>
  <c r="F842"/>
  <c r="F856"/>
  <c r="F867"/>
  <c r="G867" s="1"/>
  <c r="G874" s="1"/>
  <c r="G875" s="1"/>
  <c r="K424" i="306" s="1"/>
  <c r="I142" i="271"/>
  <c r="I143" s="1"/>
  <c r="H16" i="272"/>
  <c r="H17"/>
  <c r="H18"/>
  <c r="H19"/>
  <c r="H20"/>
  <c r="H21"/>
  <c r="H23"/>
  <c r="L23" s="1"/>
  <c r="L24" s="1"/>
  <c r="G78"/>
  <c r="G97" s="1"/>
  <c r="H97" s="1"/>
  <c r="H109"/>
  <c r="H110"/>
  <c r="H111"/>
  <c r="H112"/>
  <c r="H113"/>
  <c r="H114"/>
  <c r="F184"/>
  <c r="H184" s="1"/>
  <c r="G183" i="270"/>
  <c r="F190"/>
  <c r="G71" i="272"/>
  <c r="G72"/>
  <c r="G73"/>
  <c r="G74"/>
  <c r="G75"/>
  <c r="G76"/>
  <c r="H164"/>
  <c r="F396" i="270" l="1"/>
  <c r="G396" s="1"/>
  <c r="F274"/>
  <c r="G274" s="1"/>
  <c r="G279" s="1"/>
  <c r="E281" s="1"/>
  <c r="J1076" i="140"/>
  <c r="L1076" s="1"/>
  <c r="M974" i="306"/>
  <c r="I1052" i="309"/>
  <c r="M967" i="306"/>
  <c r="I1049" i="309"/>
  <c r="M1019" i="306"/>
  <c r="I1060" i="309"/>
  <c r="M1024" i="306"/>
  <c r="I1061" i="309"/>
  <c r="E1059"/>
  <c r="F1059" s="1"/>
  <c r="J1059"/>
  <c r="E1056"/>
  <c r="F1056" s="1"/>
  <c r="J1056"/>
  <c r="E1058"/>
  <c r="F1058" s="1"/>
  <c r="J1058"/>
  <c r="E1057"/>
  <c r="F1057" s="1"/>
  <c r="J1057"/>
  <c r="M1155" i="306"/>
  <c r="I1082" i="309"/>
  <c r="M1140" i="306"/>
  <c r="I1080" i="309"/>
  <c r="M1165" i="306"/>
  <c r="I1085" i="309"/>
  <c r="E1097"/>
  <c r="F1097" s="1"/>
  <c r="J1097"/>
  <c r="J1094"/>
  <c r="E1094"/>
  <c r="F1094" s="1"/>
  <c r="J1092"/>
  <c r="E1092"/>
  <c r="F1092" s="1"/>
  <c r="E1091"/>
  <c r="F1091" s="1"/>
  <c r="J1091"/>
  <c r="E1087"/>
  <c r="F1087" s="1"/>
  <c r="J1087"/>
  <c r="J1072"/>
  <c r="E1072"/>
  <c r="F1072" s="1"/>
  <c r="E1070"/>
  <c r="F1070" s="1"/>
  <c r="J1070"/>
  <c r="J1074"/>
  <c r="E1074"/>
  <c r="F1074" s="1"/>
  <c r="E1079"/>
  <c r="F1079" s="1"/>
  <c r="J1079"/>
  <c r="J1077"/>
  <c r="E1077"/>
  <c r="F1077" s="1"/>
  <c r="E1081"/>
  <c r="F1081" s="1"/>
  <c r="J1081"/>
  <c r="E1084"/>
  <c r="F1084" s="1"/>
  <c r="J1084"/>
  <c r="J1096"/>
  <c r="E1096"/>
  <c r="F1096" s="1"/>
  <c r="E1093"/>
  <c r="F1093" s="1"/>
  <c r="J1093"/>
  <c r="E1095"/>
  <c r="F1095" s="1"/>
  <c r="J1095"/>
  <c r="E1089"/>
  <c r="F1089" s="1"/>
  <c r="J1089"/>
  <c r="J1090"/>
  <c r="E1090"/>
  <c r="F1090" s="1"/>
  <c r="J1088"/>
  <c r="E1088"/>
  <c r="F1088" s="1"/>
  <c r="J1086"/>
  <c r="E1086"/>
  <c r="F1086" s="1"/>
  <c r="E1073"/>
  <c r="F1073" s="1"/>
  <c r="J1073"/>
  <c r="E1069"/>
  <c r="F1069" s="1"/>
  <c r="J1069"/>
  <c r="J1071"/>
  <c r="E1071"/>
  <c r="F1071" s="1"/>
  <c r="E1075"/>
  <c r="F1075" s="1"/>
  <c r="J1075"/>
  <c r="E1078"/>
  <c r="F1078" s="1"/>
  <c r="J1078"/>
  <c r="E1076"/>
  <c r="F1076" s="1"/>
  <c r="J1076"/>
  <c r="E1083"/>
  <c r="F1083" s="1"/>
  <c r="J1083"/>
  <c r="M40" i="306"/>
  <c r="I922" i="309"/>
  <c r="M424" i="306"/>
  <c r="I969" i="309"/>
  <c r="M46" i="306"/>
  <c r="I923" i="309"/>
  <c r="M355" i="306"/>
  <c r="I961" i="309"/>
  <c r="M1064" i="306"/>
  <c r="I1067" i="309"/>
  <c r="M429" i="306"/>
  <c r="I967" i="309"/>
  <c r="M59" i="306"/>
  <c r="I925" i="309"/>
  <c r="M1041" i="306"/>
  <c r="I1064" i="309"/>
  <c r="J972"/>
  <c r="E972"/>
  <c r="F972" s="1"/>
  <c r="K1139"/>
  <c r="O1139"/>
  <c r="L1139"/>
  <c r="J1068"/>
  <c r="E1068"/>
  <c r="F1068" s="1"/>
  <c r="J919"/>
  <c r="E919"/>
  <c r="F919" s="1"/>
  <c r="J971"/>
  <c r="E971"/>
  <c r="F971" s="1"/>
  <c r="J970"/>
  <c r="E970"/>
  <c r="F970" s="1"/>
  <c r="J968"/>
  <c r="E968"/>
  <c r="F968" s="1"/>
  <c r="E918"/>
  <c r="F918" s="1"/>
  <c r="J918"/>
  <c r="M1272" i="306"/>
  <c r="I1106" i="309"/>
  <c r="M1398" i="306"/>
  <c r="I1131" i="309"/>
  <c r="M1264" i="306"/>
  <c r="I1103" i="309"/>
  <c r="M1403" i="306"/>
  <c r="I1127" i="309"/>
  <c r="M1253" i="306"/>
  <c r="I1101" i="309"/>
  <c r="J1133"/>
  <c r="E1133"/>
  <c r="F1133" s="1"/>
  <c r="J1136"/>
  <c r="E1136"/>
  <c r="F1136" s="1"/>
  <c r="J1120"/>
  <c r="E1120"/>
  <c r="F1120" s="1"/>
  <c r="E1117"/>
  <c r="F1117" s="1"/>
  <c r="J1117"/>
  <c r="E1115"/>
  <c r="F1115" s="1"/>
  <c r="J1115"/>
  <c r="E1105"/>
  <c r="F1105" s="1"/>
  <c r="J1105"/>
  <c r="E1134"/>
  <c r="F1134" s="1"/>
  <c r="J1134"/>
  <c r="E1124"/>
  <c r="F1124" s="1"/>
  <c r="J1124"/>
  <c r="J1118"/>
  <c r="E1118"/>
  <c r="F1118" s="1"/>
  <c r="E1116"/>
  <c r="F1116" s="1"/>
  <c r="J1116"/>
  <c r="E1107"/>
  <c r="F1107" s="1"/>
  <c r="J1107"/>
  <c r="J1104"/>
  <c r="E1104"/>
  <c r="F1104" s="1"/>
  <c r="E1102"/>
  <c r="F1102" s="1"/>
  <c r="J1102"/>
  <c r="J1100"/>
  <c r="E1100"/>
  <c r="F1100" s="1"/>
  <c r="F1090" i="305"/>
  <c r="G1090" s="1"/>
  <c r="M1295" i="306"/>
  <c r="I1108" i="309"/>
  <c r="M1371" i="306"/>
  <c r="I1121" i="309"/>
  <c r="M1446" i="306"/>
  <c r="I1135" i="309"/>
  <c r="M1413" i="306"/>
  <c r="I1129" i="309"/>
  <c r="M1393" i="306"/>
  <c r="I1126" i="309"/>
  <c r="M1328" i="306"/>
  <c r="I1114" i="309"/>
  <c r="M1318" i="306"/>
  <c r="I1112" i="309"/>
  <c r="M1376" i="306"/>
  <c r="I1123" i="309"/>
  <c r="M1222" i="306"/>
  <c r="I1098" i="309"/>
  <c r="M1456" i="306"/>
  <c r="I1138" i="309"/>
  <c r="M1365" i="306"/>
  <c r="I1122" i="309"/>
  <c r="M1301" i="306"/>
  <c r="I1109" i="309"/>
  <c r="M1426" i="306"/>
  <c r="I1132" i="309"/>
  <c r="M1408" i="306"/>
  <c r="I1128" i="309"/>
  <c r="M1323" i="306"/>
  <c r="I1113" i="309"/>
  <c r="M1307" i="306"/>
  <c r="I1110" i="309"/>
  <c r="M1239" i="306"/>
  <c r="I1099" i="309"/>
  <c r="K1420" i="306"/>
  <c r="K1451"/>
  <c r="E1121" i="195" s="1"/>
  <c r="F1121" s="1"/>
  <c r="J1121" s="1"/>
  <c r="K1387" i="306"/>
  <c r="F1112" i="305" s="1"/>
  <c r="G1112" s="1"/>
  <c r="K1350" i="306"/>
  <c r="F956" i="305"/>
  <c r="G956" s="1"/>
  <c r="F910"/>
  <c r="G910" s="1"/>
  <c r="F1086"/>
  <c r="G1086" s="1"/>
  <c r="F1095"/>
  <c r="G1095" s="1"/>
  <c r="F948"/>
  <c r="G948" s="1"/>
  <c r="F1054"/>
  <c r="G1054" s="1"/>
  <c r="F954"/>
  <c r="G954" s="1"/>
  <c r="F1093"/>
  <c r="G1093" s="1"/>
  <c r="F1118"/>
  <c r="G1118" s="1"/>
  <c r="F1048"/>
  <c r="G1048" s="1"/>
  <c r="F1117"/>
  <c r="G1117" s="1"/>
  <c r="F1096"/>
  <c r="J1096" s="1"/>
  <c r="F912"/>
  <c r="G912" s="1"/>
  <c r="F1069"/>
  <c r="G1069" s="1"/>
  <c r="F1119"/>
  <c r="G1119" s="1"/>
  <c r="F1115"/>
  <c r="G1115" s="1"/>
  <c r="F1100"/>
  <c r="G1100" s="1"/>
  <c r="F1097"/>
  <c r="G1097" s="1"/>
  <c r="F909"/>
  <c r="G909" s="1"/>
  <c r="F1039"/>
  <c r="G1039" s="1"/>
  <c r="F1085"/>
  <c r="G1085" s="1"/>
  <c r="F1051"/>
  <c r="G1051" s="1"/>
  <c r="F1114"/>
  <c r="G1114" s="1"/>
  <c r="F1088"/>
  <c r="J1088" s="1"/>
  <c r="F1125"/>
  <c r="G1125" s="1"/>
  <c r="F1109"/>
  <c r="G1109" s="1"/>
  <c r="F1036"/>
  <c r="G1036" s="1"/>
  <c r="F1047"/>
  <c r="G1047" s="1"/>
  <c r="F1108"/>
  <c r="G1108" s="1"/>
  <c r="F1067"/>
  <c r="G1067" s="1"/>
  <c r="F1072"/>
  <c r="G1072" s="1"/>
  <c r="F1122"/>
  <c r="G1122" s="1"/>
  <c r="F1116"/>
  <c r="G1116" s="1"/>
  <c r="F1113"/>
  <c r="G1113" s="1"/>
  <c r="F1101"/>
  <c r="G1101" s="1"/>
  <c r="F1099"/>
  <c r="G1099" s="1"/>
  <c r="F1110"/>
  <c r="G1110" s="1"/>
  <c r="I1121" i="140"/>
  <c r="J1121" s="1"/>
  <c r="I1126"/>
  <c r="J1126" s="1"/>
  <c r="K1126" s="1"/>
  <c r="E1066" i="195"/>
  <c r="F1066" s="1"/>
  <c r="J1066" s="1"/>
  <c r="I1132" i="140"/>
  <c r="J1132" s="1"/>
  <c r="K1132" s="1"/>
  <c r="E1096" i="195"/>
  <c r="F1096" s="1"/>
  <c r="J1096" s="1"/>
  <c r="I1130" i="140"/>
  <c r="J1130" s="1"/>
  <c r="L1130" s="1"/>
  <c r="E1092" i="195"/>
  <c r="F1092" s="1"/>
  <c r="J1092" s="1"/>
  <c r="I1082" i="140"/>
  <c r="J1082" s="1"/>
  <c r="E1116" i="195"/>
  <c r="F1116" s="1"/>
  <c r="J1116" s="1"/>
  <c r="E1112"/>
  <c r="F1112" s="1"/>
  <c r="J1112" s="1"/>
  <c r="I1125" i="140"/>
  <c r="J1125" s="1"/>
  <c r="I1113"/>
  <c r="J1113" s="1"/>
  <c r="O1113" s="1"/>
  <c r="I1110"/>
  <c r="J1110" s="1"/>
  <c r="K1110" s="1"/>
  <c r="I1119"/>
  <c r="J1119" s="1"/>
  <c r="L1119" s="1"/>
  <c r="I925"/>
  <c r="J925" s="1"/>
  <c r="L925" s="1"/>
  <c r="I1135"/>
  <c r="J1135" s="1"/>
  <c r="I1112"/>
  <c r="J1112" s="1"/>
  <c r="I1080"/>
  <c r="J1080" s="1"/>
  <c r="K1080" s="1"/>
  <c r="I1085"/>
  <c r="J1085" s="1"/>
  <c r="O1085" s="1"/>
  <c r="I1129"/>
  <c r="J1129" s="1"/>
  <c r="O1129" s="1"/>
  <c r="I1114"/>
  <c r="J1114" s="1"/>
  <c r="L1114" s="1"/>
  <c r="I1123"/>
  <c r="J1123" s="1"/>
  <c r="O1123" s="1"/>
  <c r="E1064" i="195"/>
  <c r="F1064" s="1"/>
  <c r="J1064" s="1"/>
  <c r="E1105"/>
  <c r="F1105" s="1"/>
  <c r="J1105" s="1"/>
  <c r="E1069"/>
  <c r="F1069" s="1"/>
  <c r="J1069" s="1"/>
  <c r="E1119"/>
  <c r="F1119" s="1"/>
  <c r="J1119" s="1"/>
  <c r="E1113"/>
  <c r="F1113" s="1"/>
  <c r="J1113" s="1"/>
  <c r="E1110"/>
  <c r="F1110" s="1"/>
  <c r="J1110" s="1"/>
  <c r="E1097"/>
  <c r="F1097" s="1"/>
  <c r="J1097" s="1"/>
  <c r="E1095"/>
  <c r="F1095" s="1"/>
  <c r="J1095" s="1"/>
  <c r="E1107"/>
  <c r="F1107" s="1"/>
  <c r="J1107" s="1"/>
  <c r="J972" i="140"/>
  <c r="L972" s="1"/>
  <c r="J971"/>
  <c r="L971" s="1"/>
  <c r="H42" i="272"/>
  <c r="K942" i="306" s="1"/>
  <c r="E308" i="270"/>
  <c r="E309" s="1"/>
  <c r="G309" s="1"/>
  <c r="H174" i="272"/>
  <c r="K979" i="306" s="1"/>
  <c r="H60" i="272"/>
  <c r="K947" i="306" s="1"/>
  <c r="J1109" i="140"/>
  <c r="K1109" s="1"/>
  <c r="J1056"/>
  <c r="L1056" s="1"/>
  <c r="J1107"/>
  <c r="O1107" s="1"/>
  <c r="J1120"/>
  <c r="K1120" s="1"/>
  <c r="J1070"/>
  <c r="K1070" s="1"/>
  <c r="H228" i="272"/>
  <c r="H229" s="1"/>
  <c r="K990" i="306" s="1"/>
  <c r="I969" i="140"/>
  <c r="J969" s="1"/>
  <c r="E951" i="195"/>
  <c r="F951" s="1"/>
  <c r="J951" s="1"/>
  <c r="E1034"/>
  <c r="F1034" s="1"/>
  <c r="J1034" s="1"/>
  <c r="I1049" i="140"/>
  <c r="J1049" s="1"/>
  <c r="E1048" i="195"/>
  <c r="F1048" s="1"/>
  <c r="J1048" s="1"/>
  <c r="I1064" i="140"/>
  <c r="J1064" s="1"/>
  <c r="E1111" i="195"/>
  <c r="F1111" s="1"/>
  <c r="J1111" s="1"/>
  <c r="I1127" i="140"/>
  <c r="J1127" s="1"/>
  <c r="E949" i="195"/>
  <c r="F949" s="1"/>
  <c r="J949" s="1"/>
  <c r="I967" i="140"/>
  <c r="J967" s="1"/>
  <c r="E1103" i="195"/>
  <c r="F1103" s="1"/>
  <c r="J1103" s="1"/>
  <c r="I1106" i="140"/>
  <c r="J1106" s="1"/>
  <c r="E1045" i="195"/>
  <c r="F1045" s="1"/>
  <c r="J1045" s="1"/>
  <c r="I1061" i="140"/>
  <c r="J1061" s="1"/>
  <c r="E1044" i="195"/>
  <c r="F1044" s="1"/>
  <c r="J1044" s="1"/>
  <c r="I1060" i="140"/>
  <c r="J1060" s="1"/>
  <c r="I922"/>
  <c r="J922" s="1"/>
  <c r="E906" i="195"/>
  <c r="F906" s="1"/>
  <c r="J906" s="1"/>
  <c r="E1036"/>
  <c r="F1036" s="1"/>
  <c r="J1036" s="1"/>
  <c r="I1052" i="140"/>
  <c r="J1052" s="1"/>
  <c r="E1091" i="195"/>
  <c r="I1108" i="140"/>
  <c r="I961"/>
  <c r="J961" s="1"/>
  <c r="E952" i="195"/>
  <c r="F952" s="1"/>
  <c r="J952" s="1"/>
  <c r="E1051"/>
  <c r="F1051" s="1"/>
  <c r="J1051" s="1"/>
  <c r="I1067" i="140"/>
  <c r="J1067" s="1"/>
  <c r="E1085" i="195"/>
  <c r="F1085" s="1"/>
  <c r="J1085" s="1"/>
  <c r="I1101" i="140"/>
  <c r="J1101" s="1"/>
  <c r="E1122" i="195"/>
  <c r="F1122" s="1"/>
  <c r="J1122" s="1"/>
  <c r="I1138" i="140"/>
  <c r="J1138" s="1"/>
  <c r="E1106" i="195"/>
  <c r="F1106" s="1"/>
  <c r="J1106" s="1"/>
  <c r="I1122" i="140"/>
  <c r="J1122" s="1"/>
  <c r="K1097"/>
  <c r="L1097"/>
  <c r="O1097"/>
  <c r="L1094"/>
  <c r="O1094"/>
  <c r="K1094"/>
  <c r="O1095"/>
  <c r="L1095"/>
  <c r="K1095"/>
  <c r="O1089"/>
  <c r="L1089"/>
  <c r="K1089"/>
  <c r="K1088"/>
  <c r="O1088"/>
  <c r="L1088"/>
  <c r="O1075"/>
  <c r="K1075"/>
  <c r="L1075"/>
  <c r="O1083"/>
  <c r="K1083"/>
  <c r="L1083"/>
  <c r="O1133"/>
  <c r="K1133"/>
  <c r="L1133"/>
  <c r="L1136"/>
  <c r="O1136"/>
  <c r="K1136"/>
  <c r="K1124"/>
  <c r="L1124"/>
  <c r="O1124"/>
  <c r="L1118"/>
  <c r="O1118"/>
  <c r="K1118"/>
  <c r="L1116"/>
  <c r="K1116"/>
  <c r="O1116"/>
  <c r="K1102"/>
  <c r="L1102"/>
  <c r="O1102"/>
  <c r="O1139"/>
  <c r="K1139"/>
  <c r="L1139"/>
  <c r="L1084"/>
  <c r="K1084"/>
  <c r="O1084"/>
  <c r="L1096"/>
  <c r="K1096"/>
  <c r="O1096"/>
  <c r="O1091"/>
  <c r="L1091"/>
  <c r="K1091"/>
  <c r="O1087"/>
  <c r="L1087"/>
  <c r="K1087"/>
  <c r="O1059"/>
  <c r="L1059"/>
  <c r="K1059"/>
  <c r="K1134"/>
  <c r="L1134"/>
  <c r="O1134"/>
  <c r="O1117"/>
  <c r="L1117"/>
  <c r="K1117"/>
  <c r="K1105"/>
  <c r="L1105"/>
  <c r="O1105"/>
  <c r="K970"/>
  <c r="L970"/>
  <c r="O970"/>
  <c r="K968"/>
  <c r="L968"/>
  <c r="O968"/>
  <c r="J1115"/>
  <c r="K1115" s="1"/>
  <c r="I923"/>
  <c r="J923" s="1"/>
  <c r="E907" i="195"/>
  <c r="F907" s="1"/>
  <c r="J907" s="1"/>
  <c r="I1099" i="140"/>
  <c r="J1099" s="1"/>
  <c r="E1083" i="195"/>
  <c r="F1083" s="1"/>
  <c r="J1083" s="1"/>
  <c r="E1082"/>
  <c r="F1082" s="1"/>
  <c r="J1082" s="1"/>
  <c r="I1098" i="140"/>
  <c r="J1098" s="1"/>
  <c r="E1114" i="195"/>
  <c r="F1114" s="1"/>
  <c r="J1114" s="1"/>
  <c r="I1131" i="140"/>
  <c r="J1131" s="1"/>
  <c r="E1042" i="195"/>
  <c r="F1042" s="1"/>
  <c r="J1042" s="1"/>
  <c r="I1058" i="140"/>
  <c r="J1058" s="1"/>
  <c r="K1090"/>
  <c r="L1090"/>
  <c r="O1090"/>
  <c r="K1086"/>
  <c r="L1086"/>
  <c r="O1086"/>
  <c r="O1069"/>
  <c r="L1069"/>
  <c r="K1069"/>
  <c r="O1071"/>
  <c r="L1071"/>
  <c r="K1071"/>
  <c r="O1057"/>
  <c r="K1057"/>
  <c r="L1057"/>
  <c r="K1103"/>
  <c r="L1103"/>
  <c r="O1103"/>
  <c r="O1100"/>
  <c r="L1100"/>
  <c r="K1100"/>
  <c r="O1093"/>
  <c r="K1093"/>
  <c r="L1093"/>
  <c r="K1092"/>
  <c r="L1092"/>
  <c r="O1092"/>
  <c r="O1072"/>
  <c r="L1072"/>
  <c r="K1072"/>
  <c r="K1074"/>
  <c r="L1074"/>
  <c r="O1074"/>
  <c r="O1077"/>
  <c r="L1077"/>
  <c r="K1077"/>
  <c r="O1081"/>
  <c r="L1081"/>
  <c r="K1081"/>
  <c r="K1128"/>
  <c r="L1128"/>
  <c r="O1128"/>
  <c r="O1110"/>
  <c r="L1104"/>
  <c r="K1104"/>
  <c r="O1104"/>
  <c r="K1068"/>
  <c r="L1068"/>
  <c r="O1068"/>
  <c r="K918"/>
  <c r="O918"/>
  <c r="L918"/>
  <c r="C1063" i="195"/>
  <c r="G1079" i="140"/>
  <c r="J1079" s="1"/>
  <c r="G1108"/>
  <c r="C1091" i="195"/>
  <c r="I1092"/>
  <c r="I1062"/>
  <c r="F1062"/>
  <c r="J1062" s="1"/>
  <c r="I1066"/>
  <c r="I1040"/>
  <c r="F1040"/>
  <c r="J1040" s="1"/>
  <c r="I956"/>
  <c r="F956"/>
  <c r="J956" s="1"/>
  <c r="I955"/>
  <c r="F955"/>
  <c r="J955" s="1"/>
  <c r="I937"/>
  <c r="I1090"/>
  <c r="F1090"/>
  <c r="J1090" s="1"/>
  <c r="I1095"/>
  <c r="I1104"/>
  <c r="F1104"/>
  <c r="J1104" s="1"/>
  <c r="I1105"/>
  <c r="I1110"/>
  <c r="I1119"/>
  <c r="I1054"/>
  <c r="F1054"/>
  <c r="J1054" s="1"/>
  <c r="I993"/>
  <c r="I942"/>
  <c r="C903"/>
  <c r="G919" i="140"/>
  <c r="J919" s="1"/>
  <c r="I1085" i="195"/>
  <c r="I1098"/>
  <c r="F1098"/>
  <c r="J1098" s="1"/>
  <c r="I1109"/>
  <c r="I1060"/>
  <c r="F1060"/>
  <c r="J1060" s="1"/>
  <c r="K1078" i="140"/>
  <c r="O1078"/>
  <c r="L1078"/>
  <c r="I1069" i="195"/>
  <c r="I943"/>
  <c r="I1116"/>
  <c r="C1057"/>
  <c r="G1073" i="140"/>
  <c r="J1073" s="1"/>
  <c r="I1064" i="195"/>
  <c r="I1028"/>
  <c r="I957"/>
  <c r="I936"/>
  <c r="H193" i="272"/>
  <c r="K962" i="306" s="1"/>
  <c r="H238" i="272"/>
  <c r="H239" s="1"/>
  <c r="K996" i="306" s="1"/>
  <c r="M996" s="1"/>
  <c r="H117" i="272"/>
  <c r="H24"/>
  <c r="K937" i="306" s="1"/>
  <c r="G330" i="270"/>
  <c r="G331" s="1"/>
  <c r="G332" s="1"/>
  <c r="K1051" i="306" s="1"/>
  <c r="G855" i="270"/>
  <c r="G857" s="1"/>
  <c r="G858" s="1"/>
  <c r="K925" i="306" s="1"/>
  <c r="E855" i="270"/>
  <c r="E857" s="1"/>
  <c r="E858" s="1"/>
  <c r="K418" i="306" s="1"/>
  <c r="F855" i="270"/>
  <c r="F857" s="1"/>
  <c r="F858" s="1"/>
  <c r="K696" i="306" s="1"/>
  <c r="E808" i="270"/>
  <c r="E809" s="1"/>
  <c r="K376" i="306" s="1"/>
  <c r="F806" i="270"/>
  <c r="E793"/>
  <c r="E794" s="1"/>
  <c r="K369" i="306" s="1"/>
  <c r="F791" i="270"/>
  <c r="G841"/>
  <c r="G843" s="1"/>
  <c r="G844" s="1"/>
  <c r="K918" i="306" s="1"/>
  <c r="E841" i="270"/>
  <c r="E843" s="1"/>
  <c r="E844" s="1"/>
  <c r="K383" i="306" s="1"/>
  <c r="F841" i="270"/>
  <c r="F843" s="1"/>
  <c r="F844" s="1"/>
  <c r="K689" i="306" s="1"/>
  <c r="F306" i="270"/>
  <c r="G306" s="1"/>
  <c r="F300"/>
  <c r="G300" s="1"/>
  <c r="G303" s="1"/>
  <c r="K1029" i="306" s="1"/>
  <c r="F287" i="270"/>
  <c r="G287" s="1"/>
  <c r="G295" s="1"/>
  <c r="G296" s="1"/>
  <c r="G95" i="272"/>
  <c r="H95" s="1"/>
  <c r="H76"/>
  <c r="G93"/>
  <c r="H93" s="1"/>
  <c r="H74"/>
  <c r="G91"/>
  <c r="H91" s="1"/>
  <c r="H72"/>
  <c r="F246" i="270"/>
  <c r="G246"/>
  <c r="G663"/>
  <c r="F664"/>
  <c r="G701"/>
  <c r="F702"/>
  <c r="G702" s="1"/>
  <c r="F746"/>
  <c r="G746" s="1"/>
  <c r="G745"/>
  <c r="G308"/>
  <c r="E255"/>
  <c r="G255" s="1"/>
  <c r="G227"/>
  <c r="F17" i="269"/>
  <c r="L17" s="1"/>
  <c r="E31" i="270" s="1"/>
  <c r="F31" s="1"/>
  <c r="E18" i="269"/>
  <c r="E14"/>
  <c r="F14" s="1"/>
  <c r="L14" s="1"/>
  <c r="F13"/>
  <c r="L13" s="1"/>
  <c r="H216" i="272"/>
  <c r="H217" s="1"/>
  <c r="K984" i="306" s="1"/>
  <c r="H78" i="272"/>
  <c r="G342" i="270"/>
  <c r="G343" s="1"/>
  <c r="K1059" i="306" s="1"/>
  <c r="H49" i="264"/>
  <c r="G94" i="272"/>
  <c r="H94" s="1"/>
  <c r="H75"/>
  <c r="G92"/>
  <c r="H92" s="1"/>
  <c r="H73"/>
  <c r="G90"/>
  <c r="H90" s="1"/>
  <c r="H71"/>
  <c r="G684" i="270"/>
  <c r="F685"/>
  <c r="G685" s="1"/>
  <c r="G720"/>
  <c r="F721"/>
  <c r="G721" s="1"/>
  <c r="F92"/>
  <c r="G92" s="1"/>
  <c r="G80"/>
  <c r="F514"/>
  <c r="F497"/>
  <c r="G497" s="1"/>
  <c r="G494"/>
  <c r="F606"/>
  <c r="F587"/>
  <c r="G586"/>
  <c r="F93"/>
  <c r="G93" s="1"/>
  <c r="G81"/>
  <c r="E283"/>
  <c r="K456" i="306" s="1"/>
  <c r="F281" i="270"/>
  <c r="F748"/>
  <c r="F589"/>
  <c r="F495"/>
  <c r="F380"/>
  <c r="G380" s="1"/>
  <c r="G385" s="1"/>
  <c r="E387" s="1"/>
  <c r="F353"/>
  <c r="G353" s="1"/>
  <c r="F27"/>
  <c r="G27" s="1"/>
  <c r="G29" s="1"/>
  <c r="F22"/>
  <c r="G22" s="1"/>
  <c r="G24" s="1"/>
  <c r="F17"/>
  <c r="G17" s="1"/>
  <c r="G19" s="1"/>
  <c r="F12"/>
  <c r="G12" s="1"/>
  <c r="G14" s="1"/>
  <c r="F7"/>
  <c r="G7" s="1"/>
  <c r="G9" s="1"/>
  <c r="F736"/>
  <c r="G736" s="1"/>
  <c r="G740" s="1"/>
  <c r="F747" s="1"/>
  <c r="G747" s="1"/>
  <c r="F719"/>
  <c r="G719" s="1"/>
  <c r="F704"/>
  <c r="G704" s="1"/>
  <c r="F683"/>
  <c r="G683" s="1"/>
  <c r="F666"/>
  <c r="F630"/>
  <c r="F397"/>
  <c r="G397" s="1"/>
  <c r="G402" s="1"/>
  <c r="F363"/>
  <c r="G363" s="1"/>
  <c r="G368" s="1"/>
  <c r="E370" s="1"/>
  <c r="I144" i="271"/>
  <c r="I145" s="1"/>
  <c r="K1312" i="306" s="1"/>
  <c r="G164" i="270"/>
  <c r="K1076" i="140" l="1"/>
  <c r="O1076"/>
  <c r="O972" i="309"/>
  <c r="O1071"/>
  <c r="O1086"/>
  <c r="O1088"/>
  <c r="O1090"/>
  <c r="O1096"/>
  <c r="O1077"/>
  <c r="O1074"/>
  <c r="O1072"/>
  <c r="O1092"/>
  <c r="M984" i="306"/>
  <c r="I1054" i="309"/>
  <c r="M962" i="306"/>
  <c r="I1048" i="309"/>
  <c r="M990" i="306"/>
  <c r="I1055" i="309"/>
  <c r="M947" i="306"/>
  <c r="I1051" i="309"/>
  <c r="O1057"/>
  <c r="O1058"/>
  <c r="O1056"/>
  <c r="O1059"/>
  <c r="M937" i="306"/>
  <c r="I1045" i="309"/>
  <c r="M979" i="306"/>
  <c r="I1053" i="309"/>
  <c r="M942" i="306"/>
  <c r="I1050" i="309"/>
  <c r="L1057"/>
  <c r="K1057"/>
  <c r="K1058"/>
  <c r="L1058"/>
  <c r="K1056"/>
  <c r="L1056"/>
  <c r="L1059"/>
  <c r="K1059"/>
  <c r="E1061"/>
  <c r="F1061" s="1"/>
  <c r="J1061"/>
  <c r="E1060"/>
  <c r="F1060" s="1"/>
  <c r="J1060"/>
  <c r="E1049"/>
  <c r="F1049" s="1"/>
  <c r="J1049"/>
  <c r="E1052"/>
  <c r="F1052" s="1"/>
  <c r="J1052"/>
  <c r="O1094"/>
  <c r="O1100"/>
  <c r="O1104"/>
  <c r="O1118"/>
  <c r="O1120"/>
  <c r="L1113" i="140"/>
  <c r="O1136" i="309"/>
  <c r="O1133"/>
  <c r="K1071"/>
  <c r="L1071"/>
  <c r="L1086"/>
  <c r="K1086"/>
  <c r="L1088"/>
  <c r="K1088"/>
  <c r="L1090"/>
  <c r="K1090"/>
  <c r="L1096"/>
  <c r="K1096"/>
  <c r="K1077"/>
  <c r="L1077"/>
  <c r="L1074"/>
  <c r="K1074"/>
  <c r="L1072"/>
  <c r="K1072"/>
  <c r="L1092"/>
  <c r="K1092"/>
  <c r="L1094"/>
  <c r="K1094"/>
  <c r="O1083"/>
  <c r="O1076"/>
  <c r="O1078"/>
  <c r="O1075"/>
  <c r="O1069"/>
  <c r="O1073"/>
  <c r="O1089"/>
  <c r="O1095"/>
  <c r="O1093"/>
  <c r="O1084"/>
  <c r="O1081"/>
  <c r="O1079"/>
  <c r="O1070"/>
  <c r="O1087"/>
  <c r="O1091"/>
  <c r="O1097"/>
  <c r="K1083"/>
  <c r="L1083"/>
  <c r="L1076"/>
  <c r="K1076"/>
  <c r="L1078"/>
  <c r="K1078"/>
  <c r="K1075"/>
  <c r="L1075"/>
  <c r="K1069"/>
  <c r="L1069"/>
  <c r="K1073"/>
  <c r="L1073"/>
  <c r="K1089"/>
  <c r="L1089"/>
  <c r="K1095"/>
  <c r="L1095"/>
  <c r="K1093"/>
  <c r="L1093"/>
  <c r="L1084"/>
  <c r="K1084"/>
  <c r="K1081"/>
  <c r="L1081"/>
  <c r="K1079"/>
  <c r="L1079"/>
  <c r="L1070"/>
  <c r="K1070"/>
  <c r="K1087"/>
  <c r="L1087"/>
  <c r="K1091"/>
  <c r="L1091"/>
  <c r="K1097"/>
  <c r="L1097"/>
  <c r="E1085"/>
  <c r="F1085" s="1"/>
  <c r="J1085"/>
  <c r="E1080"/>
  <c r="F1080" s="1"/>
  <c r="J1080"/>
  <c r="J1082"/>
  <c r="E1082"/>
  <c r="F1082" s="1"/>
  <c r="O968"/>
  <c r="O970"/>
  <c r="O971"/>
  <c r="O919"/>
  <c r="O1068"/>
  <c r="M383" i="306"/>
  <c r="I965" i="309"/>
  <c r="M696" i="306"/>
  <c r="I1008" i="309"/>
  <c r="M925" i="306"/>
  <c r="I1043" i="309"/>
  <c r="K918"/>
  <c r="L918"/>
  <c r="L972"/>
  <c r="K972"/>
  <c r="M456" i="306"/>
  <c r="I973" i="309"/>
  <c r="M1059" i="306"/>
  <c r="I1066" i="309"/>
  <c r="M1029" i="306"/>
  <c r="I1062" i="309"/>
  <c r="M689" i="306"/>
  <c r="I1007" i="309"/>
  <c r="M918" i="306"/>
  <c r="I1042" i="309"/>
  <c r="M369" i="306"/>
  <c r="I963" i="309"/>
  <c r="M376" i="306"/>
  <c r="I964" i="309"/>
  <c r="M418" i="306"/>
  <c r="I966" i="309"/>
  <c r="M1051" i="306"/>
  <c r="I1065" i="309"/>
  <c r="L968"/>
  <c r="K968"/>
  <c r="L970"/>
  <c r="K970"/>
  <c r="L971"/>
  <c r="K971"/>
  <c r="L919"/>
  <c r="K919"/>
  <c r="K1068"/>
  <c r="L1068"/>
  <c r="E1064"/>
  <c r="F1064" s="1"/>
  <c r="J1064"/>
  <c r="J925"/>
  <c r="E925"/>
  <c r="F925" s="1"/>
  <c r="J967"/>
  <c r="E967"/>
  <c r="F967" s="1"/>
  <c r="J1067"/>
  <c r="E1067"/>
  <c r="F1067" s="1"/>
  <c r="J961"/>
  <c r="E961"/>
  <c r="F961" s="1"/>
  <c r="J923"/>
  <c r="E923"/>
  <c r="F923" s="1"/>
  <c r="J969"/>
  <c r="E969"/>
  <c r="F969" s="1"/>
  <c r="J922"/>
  <c r="E922"/>
  <c r="F922" s="1"/>
  <c r="O918"/>
  <c r="M1312" i="306"/>
  <c r="I1111" i="309"/>
  <c r="M1350" i="306"/>
  <c r="I1119" i="309"/>
  <c r="L1100"/>
  <c r="K1100"/>
  <c r="L1104"/>
  <c r="K1104"/>
  <c r="L1118"/>
  <c r="K1118"/>
  <c r="L1120"/>
  <c r="K1120"/>
  <c r="L1136"/>
  <c r="K1136"/>
  <c r="L1133"/>
  <c r="K1133"/>
  <c r="O1102"/>
  <c r="O1107"/>
  <c r="O1116"/>
  <c r="O1124"/>
  <c r="O1134"/>
  <c r="O1105"/>
  <c r="O1115"/>
  <c r="O1117"/>
  <c r="L1102"/>
  <c r="K1102"/>
  <c r="K1107"/>
  <c r="L1107"/>
  <c r="L1116"/>
  <c r="K1116"/>
  <c r="K1124"/>
  <c r="L1124"/>
  <c r="K1134"/>
  <c r="L1134"/>
  <c r="K1105"/>
  <c r="L1105"/>
  <c r="K1115"/>
  <c r="L1115"/>
  <c r="K1117"/>
  <c r="L1117"/>
  <c r="E1101"/>
  <c r="F1101" s="1"/>
  <c r="J1101"/>
  <c r="J1127"/>
  <c r="E1127"/>
  <c r="F1127" s="1"/>
  <c r="E1103"/>
  <c r="F1103" s="1"/>
  <c r="J1103"/>
  <c r="E1131"/>
  <c r="F1131" s="1"/>
  <c r="J1131"/>
  <c r="J1106"/>
  <c r="E1106"/>
  <c r="F1106" s="1"/>
  <c r="M1387" i="306"/>
  <c r="I1125" i="309"/>
  <c r="M1420" i="306"/>
  <c r="I1130" i="309"/>
  <c r="M1451" i="306"/>
  <c r="I1137" i="309"/>
  <c r="J1110"/>
  <c r="E1110"/>
  <c r="F1110" s="1"/>
  <c r="J1113"/>
  <c r="E1113"/>
  <c r="F1113" s="1"/>
  <c r="J1128"/>
  <c r="E1128"/>
  <c r="F1128" s="1"/>
  <c r="E1132"/>
  <c r="F1132" s="1"/>
  <c r="J1132"/>
  <c r="E1109"/>
  <c r="F1109" s="1"/>
  <c r="J1109"/>
  <c r="J1122"/>
  <c r="E1122"/>
  <c r="F1122" s="1"/>
  <c r="E1138"/>
  <c r="F1138" s="1"/>
  <c r="J1138"/>
  <c r="E1098"/>
  <c r="F1098" s="1"/>
  <c r="J1098"/>
  <c r="E1123"/>
  <c r="F1123" s="1"/>
  <c r="J1123"/>
  <c r="E1112"/>
  <c r="F1112" s="1"/>
  <c r="J1112"/>
  <c r="J1114"/>
  <c r="E1114"/>
  <c r="F1114" s="1"/>
  <c r="E1126"/>
  <c r="F1126" s="1"/>
  <c r="J1126"/>
  <c r="E1129"/>
  <c r="F1129" s="1"/>
  <c r="J1129"/>
  <c r="E1135"/>
  <c r="F1135" s="1"/>
  <c r="J1135"/>
  <c r="E1121"/>
  <c r="F1121" s="1"/>
  <c r="J1121"/>
  <c r="E1108"/>
  <c r="F1108" s="1"/>
  <c r="J1108"/>
  <c r="J1099"/>
  <c r="E1099"/>
  <c r="F1099" s="1"/>
  <c r="G691" i="270"/>
  <c r="G693" s="1"/>
  <c r="G695" s="1"/>
  <c r="G696" s="1"/>
  <c r="K847" i="306" s="1"/>
  <c r="G726" i="270"/>
  <c r="E728" s="1"/>
  <c r="E730" s="1"/>
  <c r="E731" s="1"/>
  <c r="K341" i="306" s="1"/>
  <c r="F1106" i="305"/>
  <c r="G1106" s="1"/>
  <c r="F1124"/>
  <c r="G1124" s="1"/>
  <c r="E1102" i="195"/>
  <c r="F1102" s="1"/>
  <c r="J1102" s="1"/>
  <c r="E1109"/>
  <c r="F1109" s="1"/>
  <c r="J1109" s="1"/>
  <c r="I1137" i="140"/>
  <c r="J1137" s="1"/>
  <c r="K1137" s="1"/>
  <c r="E1115" i="195"/>
  <c r="F1115" s="1"/>
  <c r="J1115" s="1"/>
  <c r="K1119" i="140"/>
  <c r="K1056"/>
  <c r="F1041" i="305"/>
  <c r="J1041" s="1"/>
  <c r="F1049"/>
  <c r="G1049" s="1"/>
  <c r="F1029"/>
  <c r="G1029" s="1"/>
  <c r="F950"/>
  <c r="G950" s="1"/>
  <c r="F953"/>
  <c r="G953" s="1"/>
  <c r="F1098"/>
  <c r="G1098" s="1"/>
  <c r="F960"/>
  <c r="G960" s="1"/>
  <c r="F952"/>
  <c r="G952" s="1"/>
  <c r="F995"/>
  <c r="G995" s="1"/>
  <c r="F1030"/>
  <c r="G1030" s="1"/>
  <c r="F1052"/>
  <c r="J1052" s="1"/>
  <c r="F1032"/>
  <c r="G1032" s="1"/>
  <c r="F1042"/>
  <c r="G1042" s="1"/>
  <c r="F1038"/>
  <c r="G1038" s="1"/>
  <c r="F1053"/>
  <c r="G1053" s="1"/>
  <c r="F994"/>
  <c r="G994" s="1"/>
  <c r="F951"/>
  <c r="G951" s="1"/>
  <c r="F1035"/>
  <c r="G1035" s="1"/>
  <c r="F1040"/>
  <c r="G1040" s="1"/>
  <c r="F1037"/>
  <c r="G1037" s="1"/>
  <c r="O1070" i="140"/>
  <c r="K972"/>
  <c r="L1132"/>
  <c r="O972"/>
  <c r="L1109"/>
  <c r="O1132"/>
  <c r="K1113"/>
  <c r="O1121"/>
  <c r="K1121"/>
  <c r="K971"/>
  <c r="O1130"/>
  <c r="O1119"/>
  <c r="K1114"/>
  <c r="I1053"/>
  <c r="J1053" s="1"/>
  <c r="L1053" s="1"/>
  <c r="O1126"/>
  <c r="L1120"/>
  <c r="O971"/>
  <c r="L1080"/>
  <c r="K1123"/>
  <c r="L1129"/>
  <c r="I1051"/>
  <c r="J1051" s="1"/>
  <c r="L1051" s="1"/>
  <c r="K925"/>
  <c r="L1123"/>
  <c r="K1129"/>
  <c r="O1135"/>
  <c r="K1135"/>
  <c r="O1125"/>
  <c r="L1125"/>
  <c r="K1125"/>
  <c r="O1082"/>
  <c r="K1082"/>
  <c r="L1082"/>
  <c r="L1135"/>
  <c r="L1121"/>
  <c r="K1107"/>
  <c r="O1080"/>
  <c r="L1110"/>
  <c r="K1130"/>
  <c r="O925"/>
  <c r="O1114"/>
  <c r="O1112"/>
  <c r="L1112"/>
  <c r="K1112"/>
  <c r="E1037" i="195"/>
  <c r="F1037" s="1"/>
  <c r="J1037" s="1"/>
  <c r="I1050" i="140"/>
  <c r="J1050" s="1"/>
  <c r="L1050" s="1"/>
  <c r="E1035" i="195"/>
  <c r="F1035" s="1"/>
  <c r="J1035" s="1"/>
  <c r="O1056" i="140"/>
  <c r="O1109"/>
  <c r="K1085"/>
  <c r="E1039" i="195"/>
  <c r="F1039" s="1"/>
  <c r="J1039" s="1"/>
  <c r="H98" i="272"/>
  <c r="K957" i="306" s="1"/>
  <c r="E1030" i="195"/>
  <c r="F1030" s="1"/>
  <c r="J1030" s="1"/>
  <c r="L1070" i="140"/>
  <c r="L1126"/>
  <c r="O1120"/>
  <c r="L1107"/>
  <c r="O1115"/>
  <c r="O1101"/>
  <c r="K1101"/>
  <c r="I49" i="264"/>
  <c r="L1115" i="140"/>
  <c r="I1055"/>
  <c r="J1055" s="1"/>
  <c r="L1055" s="1"/>
  <c r="E1038" i="195"/>
  <c r="F1038" s="1"/>
  <c r="J1038" s="1"/>
  <c r="I1054" i="140"/>
  <c r="J1054" s="1"/>
  <c r="I965"/>
  <c r="J965" s="1"/>
  <c r="E947" i="195"/>
  <c r="F947" s="1"/>
  <c r="J947" s="1"/>
  <c r="I963" i="140"/>
  <c r="J963" s="1"/>
  <c r="E945" i="195"/>
  <c r="F945" s="1"/>
  <c r="J945" s="1"/>
  <c r="E946"/>
  <c r="F946" s="1"/>
  <c r="J946" s="1"/>
  <c r="I964" i="140"/>
  <c r="J964" s="1"/>
  <c r="E1029" i="195"/>
  <c r="F1029" s="1"/>
  <c r="J1029" s="1"/>
  <c r="I1045" i="140"/>
  <c r="J1045" s="1"/>
  <c r="E957" i="195"/>
  <c r="F957" s="1"/>
  <c r="J957" s="1"/>
  <c r="I973" i="140"/>
  <c r="J973" s="1"/>
  <c r="E1032" i="195"/>
  <c r="F1032" s="1"/>
  <c r="J1032" s="1"/>
  <c r="E1046"/>
  <c r="F1046" s="1"/>
  <c r="J1046" s="1"/>
  <c r="I1062" i="140"/>
  <c r="J1062" s="1"/>
  <c r="E991" i="195"/>
  <c r="F991" s="1"/>
  <c r="J991" s="1"/>
  <c r="I1007" i="140"/>
  <c r="J1007" s="1"/>
  <c r="E1026" i="195"/>
  <c r="F1026" s="1"/>
  <c r="J1026" s="1"/>
  <c r="I1042" i="140"/>
  <c r="J1042" s="1"/>
  <c r="E992" i="195"/>
  <c r="F992" s="1"/>
  <c r="J992" s="1"/>
  <c r="I1008" i="140"/>
  <c r="J1008" s="1"/>
  <c r="I1043"/>
  <c r="J1043" s="1"/>
  <c r="E1027" i="195"/>
  <c r="F1027" s="1"/>
  <c r="J1027" s="1"/>
  <c r="E1049"/>
  <c r="F1049" s="1"/>
  <c r="J1049" s="1"/>
  <c r="I1065" i="140"/>
  <c r="J1065" s="1"/>
  <c r="E1033" i="195"/>
  <c r="F1033" s="1"/>
  <c r="J1033" s="1"/>
  <c r="I1048" i="140"/>
  <c r="J1048" s="1"/>
  <c r="K1058"/>
  <c r="L1058"/>
  <c r="O1058"/>
  <c r="O1131"/>
  <c r="L1131"/>
  <c r="K1131"/>
  <c r="L923"/>
  <c r="K923"/>
  <c r="O923"/>
  <c r="K1122"/>
  <c r="L1122"/>
  <c r="O1122"/>
  <c r="O1067"/>
  <c r="L1067"/>
  <c r="K1067"/>
  <c r="L961"/>
  <c r="K961"/>
  <c r="O961"/>
  <c r="K1052"/>
  <c r="L1052"/>
  <c r="O1052"/>
  <c r="K922"/>
  <c r="L922"/>
  <c r="O922"/>
  <c r="K1053"/>
  <c r="L967"/>
  <c r="O967"/>
  <c r="K967"/>
  <c r="K1064"/>
  <c r="L1064"/>
  <c r="O1064"/>
  <c r="K1049"/>
  <c r="L1049"/>
  <c r="O1049"/>
  <c r="L969"/>
  <c r="K969"/>
  <c r="O969"/>
  <c r="N49" i="264"/>
  <c r="L1085" i="140"/>
  <c r="L1101"/>
  <c r="J1108"/>
  <c r="K1108" s="1"/>
  <c r="E1094" i="195"/>
  <c r="F1094" s="1"/>
  <c r="J1094" s="1"/>
  <c r="I1111" i="140"/>
  <c r="J1111" s="1"/>
  <c r="E1050" i="195"/>
  <c r="F1050" s="1"/>
  <c r="J1050" s="1"/>
  <c r="I1066" i="140"/>
  <c r="J1066" s="1"/>
  <c r="I966"/>
  <c r="J966" s="1"/>
  <c r="E948" i="195"/>
  <c r="F948" s="1"/>
  <c r="J948" s="1"/>
  <c r="K1098" i="140"/>
  <c r="L1098"/>
  <c r="O1098"/>
  <c r="O1099"/>
  <c r="K1099"/>
  <c r="L1099"/>
  <c r="K1138"/>
  <c r="L1138"/>
  <c r="O1138"/>
  <c r="K1060"/>
  <c r="L1060"/>
  <c r="O1060"/>
  <c r="O1061"/>
  <c r="L1061"/>
  <c r="K1061"/>
  <c r="L1106"/>
  <c r="O1106"/>
  <c r="K1106"/>
  <c r="O1127"/>
  <c r="L1127"/>
  <c r="K1127"/>
  <c r="K1073"/>
  <c r="O1073"/>
  <c r="L1073"/>
  <c r="L919"/>
  <c r="K919"/>
  <c r="O919"/>
  <c r="I1091" i="195"/>
  <c r="F1091"/>
  <c r="J1091" s="1"/>
  <c r="K1079" i="140"/>
  <c r="L1079"/>
  <c r="O1079"/>
  <c r="I1057" i="195"/>
  <c r="F1057"/>
  <c r="J1057" s="1"/>
  <c r="I903"/>
  <c r="F903"/>
  <c r="J903" s="1"/>
  <c r="I1063"/>
  <c r="F1063"/>
  <c r="J1063" s="1"/>
  <c r="H79" i="272"/>
  <c r="K952" i="306" s="1"/>
  <c r="M49" i="264"/>
  <c r="Q49"/>
  <c r="L49"/>
  <c r="E374" i="270"/>
  <c r="K178" i="306" s="1"/>
  <c r="F370" i="270"/>
  <c r="F555"/>
  <c r="G555" s="1"/>
  <c r="G561" s="1"/>
  <c r="F535"/>
  <c r="G535" s="1"/>
  <c r="F478"/>
  <c r="G478" s="1"/>
  <c r="G483" s="1"/>
  <c r="F430"/>
  <c r="G430" s="1"/>
  <c r="G435" s="1"/>
  <c r="E391"/>
  <c r="K170" i="306" s="1"/>
  <c r="F387" i="270"/>
  <c r="F570"/>
  <c r="G570" s="1"/>
  <c r="G576" s="1"/>
  <c r="F414"/>
  <c r="G414" s="1"/>
  <c r="G420" s="1"/>
  <c r="G404"/>
  <c r="G408" s="1"/>
  <c r="G409" s="1"/>
  <c r="K785" i="306" s="1"/>
  <c r="E404" i="270"/>
  <c r="E408" s="1"/>
  <c r="E409" s="1"/>
  <c r="K185" i="306" s="1"/>
  <c r="F404" i="270"/>
  <c r="F408" s="1"/>
  <c r="F409" s="1"/>
  <c r="K539" i="306" s="1"/>
  <c r="F462" i="270"/>
  <c r="G462" s="1"/>
  <c r="G467" s="1"/>
  <c r="F446"/>
  <c r="G446" s="1"/>
  <c r="G451" s="1"/>
  <c r="G666"/>
  <c r="F667"/>
  <c r="G667" s="1"/>
  <c r="F515"/>
  <c r="F498"/>
  <c r="G498" s="1"/>
  <c r="G495"/>
  <c r="F749"/>
  <c r="G749" s="1"/>
  <c r="G748"/>
  <c r="F627"/>
  <c r="G606"/>
  <c r="F226"/>
  <c r="G226" s="1"/>
  <c r="F163"/>
  <c r="F136"/>
  <c r="G136" s="1"/>
  <c r="F106"/>
  <c r="G106" s="1"/>
  <c r="F82"/>
  <c r="F770"/>
  <c r="G770" s="1"/>
  <c r="G709"/>
  <c r="G630"/>
  <c r="F645"/>
  <c r="G645" s="1"/>
  <c r="G728"/>
  <c r="G730" s="1"/>
  <c r="G731" s="1"/>
  <c r="K888" i="306" s="1"/>
  <c r="F728" i="270"/>
  <c r="F730" s="1"/>
  <c r="F731" s="1"/>
  <c r="K653" i="306" s="1"/>
  <c r="F605" i="270"/>
  <c r="G605" s="1"/>
  <c r="G589"/>
  <c r="F283"/>
  <c r="K703" i="306" s="1"/>
  <c r="G281" i="270"/>
  <c r="G283" s="1"/>
  <c r="K931" i="306" s="1"/>
  <c r="F607" i="270"/>
  <c r="G607" s="1"/>
  <c r="F588"/>
  <c r="G588" s="1"/>
  <c r="G587"/>
  <c r="F517"/>
  <c r="G517" s="1"/>
  <c r="G514"/>
  <c r="F53"/>
  <c r="G53" s="1"/>
  <c r="G54" s="1"/>
  <c r="G55" s="1"/>
  <c r="K52" i="306" s="1"/>
  <c r="F18" i="269"/>
  <c r="L18" s="1"/>
  <c r="E32" i="270" s="1"/>
  <c r="F32" s="1"/>
  <c r="E19" i="269"/>
  <c r="G664" i="270"/>
  <c r="F665"/>
  <c r="G665" s="1"/>
  <c r="F793"/>
  <c r="F794" s="1"/>
  <c r="K670" i="306" s="1"/>
  <c r="G791" i="270"/>
  <c r="G793" s="1"/>
  <c r="G794" s="1"/>
  <c r="K902" i="306" s="1"/>
  <c r="F808" i="270"/>
  <c r="F809" s="1"/>
  <c r="K680" i="306" s="1"/>
  <c r="G806" i="270"/>
  <c r="G808" s="1"/>
  <c r="G809" s="1"/>
  <c r="K910" i="306" s="1"/>
  <c r="G310" i="270"/>
  <c r="G311" s="1"/>
  <c r="K1036" i="306" s="1"/>
  <c r="F693" i="270" l="1"/>
  <c r="F695" s="1"/>
  <c r="F696" s="1"/>
  <c r="K610" i="306" s="1"/>
  <c r="I997" i="309" s="1"/>
  <c r="E693" i="270"/>
  <c r="E695" s="1"/>
  <c r="E696" s="1"/>
  <c r="K291" i="306" s="1"/>
  <c r="O1114" i="309"/>
  <c r="O1099"/>
  <c r="O1128"/>
  <c r="O1082"/>
  <c r="M952" i="306"/>
  <c r="I1046" i="309"/>
  <c r="M957" i="306"/>
  <c r="I1047" i="309"/>
  <c r="G503" i="270"/>
  <c r="E505" s="1"/>
  <c r="E509" s="1"/>
  <c r="E510" s="1"/>
  <c r="K233" i="306" s="1"/>
  <c r="O1052" i="309"/>
  <c r="O1049"/>
  <c r="O1060"/>
  <c r="O1061"/>
  <c r="K1052"/>
  <c r="L1052"/>
  <c r="L1049"/>
  <c r="K1049"/>
  <c r="K1060"/>
  <c r="L1060"/>
  <c r="L1061"/>
  <c r="K1061"/>
  <c r="E1050"/>
  <c r="F1050" s="1"/>
  <c r="J1050"/>
  <c r="E1053"/>
  <c r="F1053" s="1"/>
  <c r="J1053"/>
  <c r="E1045"/>
  <c r="F1045" s="1"/>
  <c r="J1045"/>
  <c r="E1051"/>
  <c r="F1051" s="1"/>
  <c r="J1051"/>
  <c r="E1055"/>
  <c r="F1055" s="1"/>
  <c r="J1055"/>
  <c r="E1048"/>
  <c r="F1048" s="1"/>
  <c r="J1048"/>
  <c r="E1054"/>
  <c r="F1054" s="1"/>
  <c r="J1054"/>
  <c r="O1131"/>
  <c r="O1103"/>
  <c r="O1101"/>
  <c r="O922"/>
  <c r="O969"/>
  <c r="O923"/>
  <c r="O961"/>
  <c r="O1067"/>
  <c r="L1082"/>
  <c r="K1082"/>
  <c r="O1080"/>
  <c r="O1085"/>
  <c r="L1080"/>
  <c r="K1080"/>
  <c r="K1085"/>
  <c r="L1085"/>
  <c r="O967"/>
  <c r="M1036" i="306"/>
  <c r="I1063" i="309"/>
  <c r="M680" i="306"/>
  <c r="I1006" i="309"/>
  <c r="M670" i="306"/>
  <c r="I1005" i="309"/>
  <c r="M703" i="306"/>
  <c r="I1009" i="309"/>
  <c r="K922"/>
  <c r="L922"/>
  <c r="L969"/>
  <c r="K969"/>
  <c r="K923"/>
  <c r="L923"/>
  <c r="L961"/>
  <c r="K961"/>
  <c r="L1067"/>
  <c r="K1067"/>
  <c r="L967"/>
  <c r="K967"/>
  <c r="L925"/>
  <c r="K925"/>
  <c r="O1064"/>
  <c r="M910" i="306"/>
  <c r="I1041" i="309"/>
  <c r="M902" i="306"/>
  <c r="I1040" i="309"/>
  <c r="M52" i="306"/>
  <c r="I924" i="309"/>
  <c r="M931" i="306"/>
  <c r="I1044" i="309"/>
  <c r="K1064"/>
  <c r="L1064"/>
  <c r="E1065"/>
  <c r="F1065" s="1"/>
  <c r="J1065"/>
  <c r="J966"/>
  <c r="E966"/>
  <c r="F966" s="1"/>
  <c r="J964"/>
  <c r="E964"/>
  <c r="F964" s="1"/>
  <c r="J963"/>
  <c r="E963"/>
  <c r="F963" s="1"/>
  <c r="J1042"/>
  <c r="E1042"/>
  <c r="F1042" s="1"/>
  <c r="J1007"/>
  <c r="E1007"/>
  <c r="F1007" s="1"/>
  <c r="E1062"/>
  <c r="F1062" s="1"/>
  <c r="J1062"/>
  <c r="J1066"/>
  <c r="E1066"/>
  <c r="F1066" s="1"/>
  <c r="J973"/>
  <c r="E973"/>
  <c r="F973" s="1"/>
  <c r="J1043"/>
  <c r="E1043"/>
  <c r="F1043" s="1"/>
  <c r="J1008"/>
  <c r="E1008"/>
  <c r="F1008" s="1"/>
  <c r="J965"/>
  <c r="E965"/>
  <c r="F965" s="1"/>
  <c r="O925"/>
  <c r="O1122"/>
  <c r="L1106"/>
  <c r="K1106"/>
  <c r="L1127"/>
  <c r="K1127"/>
  <c r="K1131"/>
  <c r="L1131"/>
  <c r="K1103"/>
  <c r="L1103"/>
  <c r="K1101"/>
  <c r="L1101"/>
  <c r="E1119"/>
  <c r="F1119" s="1"/>
  <c r="J1119"/>
  <c r="J1111"/>
  <c r="E1111"/>
  <c r="F1111" s="1"/>
  <c r="O1113"/>
  <c r="O1110"/>
  <c r="O1106"/>
  <c r="O1127"/>
  <c r="L1114"/>
  <c r="K1114"/>
  <c r="L1122"/>
  <c r="K1122"/>
  <c r="L1128"/>
  <c r="K1128"/>
  <c r="K1113"/>
  <c r="L1113"/>
  <c r="L1110"/>
  <c r="K1110"/>
  <c r="O1108"/>
  <c r="O1121"/>
  <c r="O1135"/>
  <c r="O1129"/>
  <c r="O1126"/>
  <c r="O1112"/>
  <c r="O1123"/>
  <c r="O1098"/>
  <c r="O1138"/>
  <c r="O1109"/>
  <c r="O1132"/>
  <c r="L1108"/>
  <c r="K1108"/>
  <c r="K1121"/>
  <c r="L1121"/>
  <c r="K1135"/>
  <c r="L1135"/>
  <c r="K1129"/>
  <c r="L1129"/>
  <c r="L1126"/>
  <c r="K1126"/>
  <c r="L1112"/>
  <c r="K1112"/>
  <c r="K1123"/>
  <c r="L1123"/>
  <c r="K1098"/>
  <c r="L1098"/>
  <c r="L1138"/>
  <c r="K1138"/>
  <c r="K1109"/>
  <c r="L1109"/>
  <c r="L1132"/>
  <c r="K1132"/>
  <c r="E1137"/>
  <c r="F1137" s="1"/>
  <c r="J1137"/>
  <c r="J1130"/>
  <c r="E1130"/>
  <c r="F1130" s="1"/>
  <c r="E1125"/>
  <c r="F1125" s="1"/>
  <c r="J1125"/>
  <c r="M653" i="306"/>
  <c r="I1003" i="309"/>
  <c r="M610" i="306"/>
  <c r="M847"/>
  <c r="I1032" i="309"/>
  <c r="M185" i="306"/>
  <c r="I944" i="309"/>
  <c r="L1099"/>
  <c r="K1099"/>
  <c r="M888" i="306"/>
  <c r="I1038" i="309"/>
  <c r="M291" i="306"/>
  <c r="I953" i="309"/>
  <c r="M539" i="306"/>
  <c r="I987" i="309"/>
  <c r="M785" i="306"/>
  <c r="I1023" i="309"/>
  <c r="M170" i="306"/>
  <c r="I942" i="309"/>
  <c r="M178" i="306"/>
  <c r="I943" i="309"/>
  <c r="M341" i="306"/>
  <c r="I959" i="309"/>
  <c r="L1137" i="140"/>
  <c r="O1137"/>
  <c r="F1050" i="305"/>
  <c r="G1050" s="1"/>
  <c r="F1028"/>
  <c r="G1028" s="1"/>
  <c r="F911"/>
  <c r="G911" s="1"/>
  <c r="F1031"/>
  <c r="G1031" s="1"/>
  <c r="F1025"/>
  <c r="G1025" s="1"/>
  <c r="F993"/>
  <c r="G993" s="1"/>
  <c r="F992"/>
  <c r="G992" s="1"/>
  <c r="F996"/>
  <c r="G996" s="1"/>
  <c r="F946"/>
  <c r="G946" s="1"/>
  <c r="F1019"/>
  <c r="G1019" s="1"/>
  <c r="F931"/>
  <c r="G931" s="1"/>
  <c r="F1027"/>
  <c r="G1027" s="1"/>
  <c r="F990"/>
  <c r="G990" s="1"/>
  <c r="F940"/>
  <c r="G940" s="1"/>
  <c r="F974"/>
  <c r="G974" s="1"/>
  <c r="F1010"/>
  <c r="G1010" s="1"/>
  <c r="F929"/>
  <c r="G929" s="1"/>
  <c r="F930"/>
  <c r="G930" s="1"/>
  <c r="F1033"/>
  <c r="G1033" s="1"/>
  <c r="F1034"/>
  <c r="G1034" s="1"/>
  <c r="O1053" i="140"/>
  <c r="K1050"/>
  <c r="O1051"/>
  <c r="K1051"/>
  <c r="O1050"/>
  <c r="O1055"/>
  <c r="I1047"/>
  <c r="J1047" s="1"/>
  <c r="L1047" s="1"/>
  <c r="G754" i="270"/>
  <c r="F756" s="1"/>
  <c r="F758" s="1"/>
  <c r="F759" s="1"/>
  <c r="K661" i="306" s="1"/>
  <c r="K1055" i="140"/>
  <c r="L1108"/>
  <c r="F594" i="270"/>
  <c r="G594" s="1"/>
  <c r="O1108" i="140"/>
  <c r="I1040"/>
  <c r="J1040" s="1"/>
  <c r="E1024" i="195"/>
  <c r="F1024" s="1"/>
  <c r="J1024" s="1"/>
  <c r="E993"/>
  <c r="F993" s="1"/>
  <c r="J993" s="1"/>
  <c r="I1009" i="140"/>
  <c r="J1009" s="1"/>
  <c r="I997"/>
  <c r="J997" s="1"/>
  <c r="I944"/>
  <c r="J944" s="1"/>
  <c r="E928" i="195"/>
  <c r="F928" s="1"/>
  <c r="J928" s="1"/>
  <c r="K966" i="140"/>
  <c r="L966"/>
  <c r="O966"/>
  <c r="O1111"/>
  <c r="L1111"/>
  <c r="K1111"/>
  <c r="O1065"/>
  <c r="L1065"/>
  <c r="K1065"/>
  <c r="K1043"/>
  <c r="L1043"/>
  <c r="O1043"/>
  <c r="K1008"/>
  <c r="L1008"/>
  <c r="O1008"/>
  <c r="K1007"/>
  <c r="L1007"/>
  <c r="O1007"/>
  <c r="K964"/>
  <c r="L964"/>
  <c r="O964"/>
  <c r="K1054"/>
  <c r="L1054"/>
  <c r="O1054"/>
  <c r="I1041"/>
  <c r="J1041" s="1"/>
  <c r="E1025" i="195"/>
  <c r="F1025" s="1"/>
  <c r="J1025" s="1"/>
  <c r="E943"/>
  <c r="F943" s="1"/>
  <c r="J943" s="1"/>
  <c r="I959" i="140"/>
  <c r="J959" s="1"/>
  <c r="I1032"/>
  <c r="J1032" s="1"/>
  <c r="E1016" i="195"/>
  <c r="F1016" s="1"/>
  <c r="J1016" s="1"/>
  <c r="E1047"/>
  <c r="F1047" s="1"/>
  <c r="J1047" s="1"/>
  <c r="I1063" i="140"/>
  <c r="J1063" s="1"/>
  <c r="E990" i="195"/>
  <c r="F990" s="1"/>
  <c r="J990" s="1"/>
  <c r="I1006" i="140"/>
  <c r="J1006" s="1"/>
  <c r="E989" i="195"/>
  <c r="F989" s="1"/>
  <c r="J989" s="1"/>
  <c r="I1005" i="140"/>
  <c r="J1005" s="1"/>
  <c r="E908" i="195"/>
  <c r="F908" s="1"/>
  <c r="J908" s="1"/>
  <c r="I924" i="140"/>
  <c r="J924" s="1"/>
  <c r="E1028" i="195"/>
  <c r="F1028" s="1"/>
  <c r="J1028" s="1"/>
  <c r="I1044" i="140"/>
  <c r="J1044" s="1"/>
  <c r="E987" i="195"/>
  <c r="F987" s="1"/>
  <c r="J987" s="1"/>
  <c r="I1003" i="140"/>
  <c r="J1003" s="1"/>
  <c r="I1038"/>
  <c r="J1038" s="1"/>
  <c r="E1022" i="195"/>
  <c r="F1022" s="1"/>
  <c r="J1022" s="1"/>
  <c r="E937"/>
  <c r="F937" s="1"/>
  <c r="J937" s="1"/>
  <c r="I953" i="140"/>
  <c r="J953" s="1"/>
  <c r="E971" i="195"/>
  <c r="F971" s="1"/>
  <c r="J971" s="1"/>
  <c r="I987" i="140"/>
  <c r="J987" s="1"/>
  <c r="E1007" i="195"/>
  <c r="F1007" s="1"/>
  <c r="J1007" s="1"/>
  <c r="I1023" i="140"/>
  <c r="J1023" s="1"/>
  <c r="I942"/>
  <c r="J942" s="1"/>
  <c r="E926" i="195"/>
  <c r="F926" s="1"/>
  <c r="J926" s="1"/>
  <c r="E927"/>
  <c r="F927" s="1"/>
  <c r="J927" s="1"/>
  <c r="I943" i="140"/>
  <c r="J943" s="1"/>
  <c r="E1031" i="195"/>
  <c r="F1031" s="1"/>
  <c r="J1031" s="1"/>
  <c r="I1046" i="140"/>
  <c r="J1046" s="1"/>
  <c r="K1066"/>
  <c r="L1066"/>
  <c r="O1066"/>
  <c r="K1048"/>
  <c r="L1048"/>
  <c r="O1048"/>
  <c r="K1042"/>
  <c r="L1042"/>
  <c r="O1042"/>
  <c r="K1062"/>
  <c r="O1062"/>
  <c r="L1062"/>
  <c r="L973"/>
  <c r="K973"/>
  <c r="O973"/>
  <c r="K1045"/>
  <c r="L1045"/>
  <c r="O1045"/>
  <c r="L963"/>
  <c r="O963"/>
  <c r="K963"/>
  <c r="L965"/>
  <c r="K965"/>
  <c r="O965"/>
  <c r="F505" i="270"/>
  <c r="F19" i="269"/>
  <c r="L19" s="1"/>
  <c r="E33" i="270" s="1"/>
  <c r="F33" s="1"/>
  <c r="E20" i="269"/>
  <c r="F254" i="270"/>
  <c r="G254" s="1"/>
  <c r="G163"/>
  <c r="G627"/>
  <c r="F646"/>
  <c r="F628"/>
  <c r="F469"/>
  <c r="F473" s="1"/>
  <c r="F474" s="1"/>
  <c r="K575" i="306" s="1"/>
  <c r="G469" i="270"/>
  <c r="G473" s="1"/>
  <c r="G474" s="1"/>
  <c r="K815" i="306" s="1"/>
  <c r="E469" i="270"/>
  <c r="E473" s="1"/>
  <c r="E474" s="1"/>
  <c r="K226" i="306" s="1"/>
  <c r="F578" i="270"/>
  <c r="F580" s="1"/>
  <c r="F581" s="1"/>
  <c r="K520" i="306" s="1"/>
  <c r="G578" i="270"/>
  <c r="G580" s="1"/>
  <c r="G581" s="1"/>
  <c r="K766" i="306" s="1"/>
  <c r="E578" i="270"/>
  <c r="E580" s="1"/>
  <c r="E581" s="1"/>
  <c r="K155" i="306" s="1"/>
  <c r="F485" i="270"/>
  <c r="F489" s="1"/>
  <c r="F490" s="1"/>
  <c r="G485"/>
  <c r="G489" s="1"/>
  <c r="G490" s="1"/>
  <c r="E485"/>
  <c r="E489" s="1"/>
  <c r="E490" s="1"/>
  <c r="F563"/>
  <c r="F565" s="1"/>
  <c r="F566" s="1"/>
  <c r="K514" i="306" s="1"/>
  <c r="G563" i="270"/>
  <c r="G565" s="1"/>
  <c r="G566" s="1"/>
  <c r="K760" i="306" s="1"/>
  <c r="E563" i="270"/>
  <c r="E565" s="1"/>
  <c r="E566" s="1"/>
  <c r="K149" i="306" s="1"/>
  <c r="F613" i="270"/>
  <c r="G613" s="1"/>
  <c r="F672"/>
  <c r="G672" s="1"/>
  <c r="G673" s="1"/>
  <c r="G756"/>
  <c r="G758" s="1"/>
  <c r="G759" s="1"/>
  <c r="K894" i="306" s="1"/>
  <c r="G711" i="270"/>
  <c r="G713" s="1"/>
  <c r="G714" s="1"/>
  <c r="K882" i="306" s="1"/>
  <c r="E711" i="270"/>
  <c r="E713" s="1"/>
  <c r="E714" s="1"/>
  <c r="K333" i="306" s="1"/>
  <c r="F711" i="270"/>
  <c r="F713" s="1"/>
  <c r="F714" s="1"/>
  <c r="K646" i="306" s="1"/>
  <c r="F94" i="270"/>
  <c r="G94" s="1"/>
  <c r="G101" s="1"/>
  <c r="K34" i="306" s="1"/>
  <c r="G82" i="270"/>
  <c r="G89" s="1"/>
  <c r="K25" i="306" s="1"/>
  <c r="F518" i="270"/>
  <c r="G518" s="1"/>
  <c r="G515"/>
  <c r="F453"/>
  <c r="F457" s="1"/>
  <c r="F458" s="1"/>
  <c r="K567" i="306" s="1"/>
  <c r="G453" i="270"/>
  <c r="G457" s="1"/>
  <c r="G458" s="1"/>
  <c r="K807" i="306" s="1"/>
  <c r="E453" i="270"/>
  <c r="E457" s="1"/>
  <c r="E458" s="1"/>
  <c r="K219" i="306" s="1"/>
  <c r="G422" i="270"/>
  <c r="G426" s="1"/>
  <c r="K792" i="306" s="1"/>
  <c r="E422" i="270"/>
  <c r="E426" s="1"/>
  <c r="K193" i="306" s="1"/>
  <c r="F422" i="270"/>
  <c r="F426" s="1"/>
  <c r="K546" i="306" s="1"/>
  <c r="F391" i="270"/>
  <c r="K526" i="306" s="1"/>
  <c r="G387" i="270"/>
  <c r="G391" s="1"/>
  <c r="K774" i="306" s="1"/>
  <c r="F437" i="270"/>
  <c r="F441" s="1"/>
  <c r="F442" s="1"/>
  <c r="K559" i="306" s="1"/>
  <c r="G437" i="270"/>
  <c r="G441" s="1"/>
  <c r="G442" s="1"/>
  <c r="K799" i="306" s="1"/>
  <c r="E437" i="270"/>
  <c r="E441" s="1"/>
  <c r="E442" s="1"/>
  <c r="K209" i="306" s="1"/>
  <c r="F374" i="270"/>
  <c r="K532" i="306" s="1"/>
  <c r="G370" i="270"/>
  <c r="G374" s="1"/>
  <c r="K779" i="306" s="1"/>
  <c r="K1047" i="140" l="1"/>
  <c r="E756" i="270"/>
  <c r="E758" s="1"/>
  <c r="E759" s="1"/>
  <c r="K348" i="306" s="1"/>
  <c r="M348" s="1"/>
  <c r="E981" i="195"/>
  <c r="F981" s="1"/>
  <c r="J981" s="1"/>
  <c r="F984" i="305"/>
  <c r="G984" s="1"/>
  <c r="O1054" i="309"/>
  <c r="O1048"/>
  <c r="O1055"/>
  <c r="O1051"/>
  <c r="O1045"/>
  <c r="O1053"/>
  <c r="O1050"/>
  <c r="K1054"/>
  <c r="L1054"/>
  <c r="K1048"/>
  <c r="L1048"/>
  <c r="L1055"/>
  <c r="K1055"/>
  <c r="L1051"/>
  <c r="K1051"/>
  <c r="L1045"/>
  <c r="K1045"/>
  <c r="L1053"/>
  <c r="K1053"/>
  <c r="K1050"/>
  <c r="L1050"/>
  <c r="E1047"/>
  <c r="F1047" s="1"/>
  <c r="J1047"/>
  <c r="E1046"/>
  <c r="F1046" s="1"/>
  <c r="J1046"/>
  <c r="O1125"/>
  <c r="O1137"/>
  <c r="O1111"/>
  <c r="O1062"/>
  <c r="O1065"/>
  <c r="K1062"/>
  <c r="L1062"/>
  <c r="L1065"/>
  <c r="K1065"/>
  <c r="J1044"/>
  <c r="E1044"/>
  <c r="F1044" s="1"/>
  <c r="J924"/>
  <c r="E924"/>
  <c r="F924" s="1"/>
  <c r="J1040"/>
  <c r="E1040"/>
  <c r="F1040" s="1"/>
  <c r="J1041"/>
  <c r="E1041"/>
  <c r="F1041" s="1"/>
  <c r="O965"/>
  <c r="O1008"/>
  <c r="O1043"/>
  <c r="O973"/>
  <c r="O1066"/>
  <c r="O1007"/>
  <c r="O1042"/>
  <c r="O963"/>
  <c r="O964"/>
  <c r="O966"/>
  <c r="L965"/>
  <c r="K965"/>
  <c r="L1008"/>
  <c r="K1008"/>
  <c r="L1043"/>
  <c r="K1043"/>
  <c r="L973"/>
  <c r="K973"/>
  <c r="K1066"/>
  <c r="L1066"/>
  <c r="L1007"/>
  <c r="K1007"/>
  <c r="K1042"/>
  <c r="L1042"/>
  <c r="L963"/>
  <c r="K963"/>
  <c r="L964"/>
  <c r="K964"/>
  <c r="L966"/>
  <c r="K966"/>
  <c r="J1009"/>
  <c r="E1009"/>
  <c r="F1009" s="1"/>
  <c r="J1005"/>
  <c r="E1005"/>
  <c r="F1005" s="1"/>
  <c r="J1006"/>
  <c r="E1006"/>
  <c r="F1006" s="1"/>
  <c r="J1063"/>
  <c r="E1063"/>
  <c r="F1063" s="1"/>
  <c r="L1111"/>
  <c r="K1111"/>
  <c r="O1119"/>
  <c r="K1119"/>
  <c r="L1119"/>
  <c r="K1125"/>
  <c r="L1125"/>
  <c r="K1137"/>
  <c r="L1137"/>
  <c r="O1130"/>
  <c r="L1130"/>
  <c r="K1130"/>
  <c r="M779" i="306"/>
  <c r="I1021" i="309"/>
  <c r="M532" i="306"/>
  <c r="I985" i="309"/>
  <c r="M799" i="306"/>
  <c r="I1025" i="309"/>
  <c r="M774" i="306"/>
  <c r="I1022" i="309"/>
  <c r="M546" i="306"/>
  <c r="I988" i="309"/>
  <c r="M792" i="306"/>
  <c r="I1024" i="309"/>
  <c r="M807" i="306"/>
  <c r="I1026" i="309"/>
  <c r="M25" i="306"/>
  <c r="I920" i="309"/>
  <c r="M646" i="306"/>
  <c r="I1002" i="309"/>
  <c r="M882" i="306"/>
  <c r="I1037" i="309"/>
  <c r="M894" i="306"/>
  <c r="I1039" i="309"/>
  <c r="M149" i="306"/>
  <c r="I938" i="309"/>
  <c r="M514" i="306"/>
  <c r="I983" i="309"/>
  <c r="M155" i="306"/>
  <c r="I939" i="309"/>
  <c r="M520" i="306"/>
  <c r="I984" i="309"/>
  <c r="M815" i="306"/>
  <c r="I1027" i="309"/>
  <c r="M209" i="306"/>
  <c r="I947" i="309"/>
  <c r="M559" i="306"/>
  <c r="I990" i="309"/>
  <c r="M526" i="306"/>
  <c r="I986" i="309"/>
  <c r="M193" i="306"/>
  <c r="I945" i="309"/>
  <c r="M219" i="306"/>
  <c r="I948" i="309"/>
  <c r="M567" i="306"/>
  <c r="I991" i="309"/>
  <c r="M34" i="306"/>
  <c r="I921" i="309"/>
  <c r="M333" i="306"/>
  <c r="I958" i="309"/>
  <c r="I960"/>
  <c r="M661" i="306"/>
  <c r="I1004" i="309"/>
  <c r="M760" i="306"/>
  <c r="I1019" i="309"/>
  <c r="M766" i="306"/>
  <c r="I1020" i="309"/>
  <c r="M226" i="306"/>
  <c r="I949" i="309"/>
  <c r="M575" i="306"/>
  <c r="I992" i="309"/>
  <c r="M233" i="306"/>
  <c r="I950" i="309"/>
  <c r="J959"/>
  <c r="E959"/>
  <c r="F959" s="1"/>
  <c r="J943"/>
  <c r="E943"/>
  <c r="F943" s="1"/>
  <c r="J942"/>
  <c r="E942"/>
  <c r="F942" s="1"/>
  <c r="J1023"/>
  <c r="E1023"/>
  <c r="F1023" s="1"/>
  <c r="J987"/>
  <c r="E987"/>
  <c r="F987" s="1"/>
  <c r="J953"/>
  <c r="E953"/>
  <c r="F953" s="1"/>
  <c r="J1038"/>
  <c r="E1038"/>
  <c r="F1038" s="1"/>
  <c r="J944"/>
  <c r="E944"/>
  <c r="F944" s="1"/>
  <c r="J1032"/>
  <c r="E1032"/>
  <c r="F1032" s="1"/>
  <c r="J997"/>
  <c r="E997"/>
  <c r="F997" s="1"/>
  <c r="J1003"/>
  <c r="E1003"/>
  <c r="F1003" s="1"/>
  <c r="G523" i="270"/>
  <c r="F972" i="305"/>
  <c r="G972" s="1"/>
  <c r="F1009"/>
  <c r="G1009" s="1"/>
  <c r="F1011"/>
  <c r="G1011" s="1"/>
  <c r="F1008"/>
  <c r="G1008" s="1"/>
  <c r="F934"/>
  <c r="G934" s="1"/>
  <c r="F977"/>
  <c r="G977" s="1"/>
  <c r="F973"/>
  <c r="G973" s="1"/>
  <c r="F932"/>
  <c r="G932" s="1"/>
  <c r="F935"/>
  <c r="G935" s="1"/>
  <c r="F978"/>
  <c r="G978" s="1"/>
  <c r="F908"/>
  <c r="G908" s="1"/>
  <c r="F945"/>
  <c r="G945" s="1"/>
  <c r="F947"/>
  <c r="G947" s="1"/>
  <c r="F991"/>
  <c r="G991" s="1"/>
  <c r="F1006"/>
  <c r="G1006" s="1"/>
  <c r="F1007"/>
  <c r="G1007" s="1"/>
  <c r="F936"/>
  <c r="G936" s="1"/>
  <c r="F979"/>
  <c r="G979" s="1"/>
  <c r="F937"/>
  <c r="G937" s="1"/>
  <c r="F1012"/>
  <c r="G1012" s="1"/>
  <c r="F975"/>
  <c r="G975" s="1"/>
  <c r="F1013"/>
  <c r="G1013" s="1"/>
  <c r="F907"/>
  <c r="G907" s="1"/>
  <c r="F989"/>
  <c r="G989" s="1"/>
  <c r="F1024"/>
  <c r="G1024" s="1"/>
  <c r="F1026"/>
  <c r="G1026" s="1"/>
  <c r="F925"/>
  <c r="G925" s="1"/>
  <c r="F970"/>
  <c r="G970" s="1"/>
  <c r="F926"/>
  <c r="G926" s="1"/>
  <c r="F971"/>
  <c r="G971" s="1"/>
  <c r="F1014"/>
  <c r="G1014" s="1"/>
  <c r="O1047" i="140"/>
  <c r="E969" i="195"/>
  <c r="F969" s="1"/>
  <c r="J969" s="1"/>
  <c r="I985" i="140"/>
  <c r="J985" s="1"/>
  <c r="I1022"/>
  <c r="J1022" s="1"/>
  <c r="E1006" i="195"/>
  <c r="F1006" s="1"/>
  <c r="J1006" s="1"/>
  <c r="E972"/>
  <c r="F972" s="1"/>
  <c r="J972" s="1"/>
  <c r="I988" i="140"/>
  <c r="J988" s="1"/>
  <c r="E1010" i="195"/>
  <c r="F1010" s="1"/>
  <c r="J1010" s="1"/>
  <c r="I1026" i="140"/>
  <c r="J1026" s="1"/>
  <c r="E986" i="195"/>
  <c r="F986" s="1"/>
  <c r="J986" s="1"/>
  <c r="I1002" i="140"/>
  <c r="J1002" s="1"/>
  <c r="E1023" i="195"/>
  <c r="F1023" s="1"/>
  <c r="J1023" s="1"/>
  <c r="I1039" i="140"/>
  <c r="J1039" s="1"/>
  <c r="E1003" i="195"/>
  <c r="F1003" s="1"/>
  <c r="J1003" s="1"/>
  <c r="I1019" i="140"/>
  <c r="J1019" s="1"/>
  <c r="I1021"/>
  <c r="J1021" s="1"/>
  <c r="E1005" i="195"/>
  <c r="F1005" s="1"/>
  <c r="J1005" s="1"/>
  <c r="I947" i="140"/>
  <c r="J947" s="1"/>
  <c r="E931" i="195"/>
  <c r="F931" s="1"/>
  <c r="J931" s="1"/>
  <c r="E974"/>
  <c r="F974" s="1"/>
  <c r="J974" s="1"/>
  <c r="I990" i="140"/>
  <c r="J990" s="1"/>
  <c r="E970" i="195"/>
  <c r="F970" s="1"/>
  <c r="J970" s="1"/>
  <c r="I986" i="140"/>
  <c r="J986" s="1"/>
  <c r="E929" i="195"/>
  <c r="F929" s="1"/>
  <c r="J929" s="1"/>
  <c r="I945" i="140"/>
  <c r="J945" s="1"/>
  <c r="I948"/>
  <c r="J948" s="1"/>
  <c r="E932" i="195"/>
  <c r="F932" s="1"/>
  <c r="J932" s="1"/>
  <c r="E975"/>
  <c r="F975" s="1"/>
  <c r="J975" s="1"/>
  <c r="I991" i="140"/>
  <c r="J991" s="1"/>
  <c r="E905" i="195"/>
  <c r="F905" s="1"/>
  <c r="J905" s="1"/>
  <c r="I921" i="140"/>
  <c r="J921" s="1"/>
  <c r="E942" i="195"/>
  <c r="F942" s="1"/>
  <c r="J942" s="1"/>
  <c r="I958" i="140"/>
  <c r="J958" s="1"/>
  <c r="E944" i="195"/>
  <c r="F944" s="1"/>
  <c r="J944" s="1"/>
  <c r="E988"/>
  <c r="F988" s="1"/>
  <c r="J988" s="1"/>
  <c r="I1004" i="140"/>
  <c r="J1004" s="1"/>
  <c r="E922" i="195"/>
  <c r="F922" s="1"/>
  <c r="J922" s="1"/>
  <c r="I938" i="140"/>
  <c r="J938" s="1"/>
  <c r="E967" i="195"/>
  <c r="F967" s="1"/>
  <c r="J967" s="1"/>
  <c r="I983" i="140"/>
  <c r="J983" s="1"/>
  <c r="E1004" i="195"/>
  <c r="F1004" s="1"/>
  <c r="J1004" s="1"/>
  <c r="I1020" i="140"/>
  <c r="J1020" s="1"/>
  <c r="I1027"/>
  <c r="J1027" s="1"/>
  <c r="E1011" i="195"/>
  <c r="F1011" s="1"/>
  <c r="J1011" s="1"/>
  <c r="K1046" i="140"/>
  <c r="L1046"/>
  <c r="O1046"/>
  <c r="K942"/>
  <c r="L942"/>
  <c r="O942"/>
  <c r="K987"/>
  <c r="L987"/>
  <c r="O987"/>
  <c r="K1038"/>
  <c r="L1038"/>
  <c r="O1038"/>
  <c r="K1003"/>
  <c r="L1003"/>
  <c r="O1003"/>
  <c r="K924"/>
  <c r="L924"/>
  <c r="O924"/>
  <c r="K1005"/>
  <c r="L1005"/>
  <c r="O1005"/>
  <c r="K1063"/>
  <c r="L1063"/>
  <c r="O1063"/>
  <c r="K1032"/>
  <c r="L1032"/>
  <c r="O1032"/>
  <c r="L959"/>
  <c r="O959"/>
  <c r="K959"/>
  <c r="K997"/>
  <c r="L997"/>
  <c r="O997"/>
  <c r="I1025"/>
  <c r="J1025" s="1"/>
  <c r="E1009" i="195"/>
  <c r="F1009" s="1"/>
  <c r="J1009" s="1"/>
  <c r="E1008"/>
  <c r="F1008" s="1"/>
  <c r="J1008" s="1"/>
  <c r="I1024" i="140"/>
  <c r="J1024" s="1"/>
  <c r="I920"/>
  <c r="J920" s="1"/>
  <c r="E904" i="195"/>
  <c r="F904" s="1"/>
  <c r="J904" s="1"/>
  <c r="I1037" i="140"/>
  <c r="J1037" s="1"/>
  <c r="E1021" i="195"/>
  <c r="F1021" s="1"/>
  <c r="J1021" s="1"/>
  <c r="I939" i="140"/>
  <c r="J939" s="1"/>
  <c r="E923" i="195"/>
  <c r="F923" s="1"/>
  <c r="J923" s="1"/>
  <c r="E968"/>
  <c r="F968" s="1"/>
  <c r="J968" s="1"/>
  <c r="I984" i="140"/>
  <c r="J984" s="1"/>
  <c r="E933" i="195"/>
  <c r="F933" s="1"/>
  <c r="J933" s="1"/>
  <c r="I949" i="140"/>
  <c r="J949" s="1"/>
  <c r="E976" i="195"/>
  <c r="F976" s="1"/>
  <c r="J976" s="1"/>
  <c r="I992" i="140"/>
  <c r="J992" s="1"/>
  <c r="L943"/>
  <c r="O943"/>
  <c r="K943"/>
  <c r="K1023"/>
  <c r="L1023"/>
  <c r="O1023"/>
  <c r="K953"/>
  <c r="L953"/>
  <c r="O953"/>
  <c r="L1044"/>
  <c r="K1044"/>
  <c r="O1044"/>
  <c r="K1006"/>
  <c r="L1006"/>
  <c r="O1006"/>
  <c r="K1041"/>
  <c r="L1041"/>
  <c r="O1041"/>
  <c r="K944"/>
  <c r="L944"/>
  <c r="O944"/>
  <c r="O1009"/>
  <c r="K1009"/>
  <c r="L1009"/>
  <c r="K1040"/>
  <c r="L1040"/>
  <c r="O1040"/>
  <c r="G675" i="270"/>
  <c r="G677" s="1"/>
  <c r="G678" s="1"/>
  <c r="K840" i="306" s="1"/>
  <c r="E675" i="270"/>
  <c r="E677" s="1"/>
  <c r="E678" s="1"/>
  <c r="K268" i="306" s="1"/>
  <c r="F675" i="270"/>
  <c r="F677" s="1"/>
  <c r="F678" s="1"/>
  <c r="K603" i="306" s="1"/>
  <c r="F525" i="270"/>
  <c r="E525"/>
  <c r="E529" s="1"/>
  <c r="E530" s="1"/>
  <c r="K249" i="306" s="1"/>
  <c r="G628" i="270"/>
  <c r="F629"/>
  <c r="G629" s="1"/>
  <c r="E22" i="269"/>
  <c r="F22" s="1"/>
  <c r="L22" s="1"/>
  <c r="F585" i="270" s="1"/>
  <c r="F20" i="269"/>
  <c r="L20" s="1"/>
  <c r="E34" i="270" s="1"/>
  <c r="F34" s="1"/>
  <c r="F35" s="1"/>
  <c r="E21" i="269"/>
  <c r="F21" s="1"/>
  <c r="L21" s="1"/>
  <c r="F352" i="270" s="1"/>
  <c r="G352" s="1"/>
  <c r="G357" s="1"/>
  <c r="K162" i="306" s="1"/>
  <c r="F509" i="270"/>
  <c r="F510" s="1"/>
  <c r="K582" i="306" s="1"/>
  <c r="G505" i="270"/>
  <c r="G509" s="1"/>
  <c r="G510" s="1"/>
  <c r="K822" i="306" s="1"/>
  <c r="G646" i="270"/>
  <c r="F647"/>
  <c r="G647" s="1"/>
  <c r="F537"/>
  <c r="G537" s="1"/>
  <c r="G544" s="1"/>
  <c r="H50" i="264"/>
  <c r="I960" i="140" l="1"/>
  <c r="J960" s="1"/>
  <c r="K960" s="1"/>
  <c r="O1003" i="309"/>
  <c r="O997"/>
  <c r="O1032"/>
  <c r="O944"/>
  <c r="O1038"/>
  <c r="O953"/>
  <c r="O987"/>
  <c r="O1063"/>
  <c r="O1006"/>
  <c r="O1005"/>
  <c r="O1009"/>
  <c r="O1041"/>
  <c r="O924"/>
  <c r="O1044"/>
  <c r="O1046"/>
  <c r="O1047"/>
  <c r="K1046"/>
  <c r="L1046"/>
  <c r="L1047"/>
  <c r="K1047"/>
  <c r="O1040"/>
  <c r="L1063"/>
  <c r="K1063"/>
  <c r="L1006"/>
  <c r="K1006"/>
  <c r="L1005"/>
  <c r="K1005"/>
  <c r="L1009"/>
  <c r="K1009"/>
  <c r="L1041"/>
  <c r="K1041"/>
  <c r="K1040"/>
  <c r="L1040"/>
  <c r="L924"/>
  <c r="K924"/>
  <c r="K1044"/>
  <c r="L1044"/>
  <c r="M603" i="306"/>
  <c r="I996" i="309"/>
  <c r="M822" i="306"/>
  <c r="I1028" i="309"/>
  <c r="M162" i="306"/>
  <c r="I941" i="309"/>
  <c r="M268" i="306"/>
  <c r="I952" i="309"/>
  <c r="L1003"/>
  <c r="K1003"/>
  <c r="K997"/>
  <c r="L997"/>
  <c r="L1032"/>
  <c r="K1032"/>
  <c r="L944"/>
  <c r="K944"/>
  <c r="K1038"/>
  <c r="L1038"/>
  <c r="L953"/>
  <c r="K953"/>
  <c r="K987"/>
  <c r="L987"/>
  <c r="L1023"/>
  <c r="K1023"/>
  <c r="L942"/>
  <c r="K942"/>
  <c r="L943"/>
  <c r="K943"/>
  <c r="L959"/>
  <c r="K959"/>
  <c r="G635" i="270"/>
  <c r="G637" s="1"/>
  <c r="G639" s="1"/>
  <c r="G640" s="1"/>
  <c r="K868" i="306" s="1"/>
  <c r="M582"/>
  <c r="I993" i="309"/>
  <c r="M249" i="306"/>
  <c r="I951" i="309"/>
  <c r="M840" i="306"/>
  <c r="I1031" i="309"/>
  <c r="J950"/>
  <c r="E950"/>
  <c r="F950" s="1"/>
  <c r="J992"/>
  <c r="E992"/>
  <c r="F992" s="1"/>
  <c r="J949"/>
  <c r="E949"/>
  <c r="F949" s="1"/>
  <c r="J1020"/>
  <c r="E1020"/>
  <c r="F1020" s="1"/>
  <c r="J1019"/>
  <c r="E1019"/>
  <c r="F1019" s="1"/>
  <c r="J1004"/>
  <c r="E1004"/>
  <c r="F1004" s="1"/>
  <c r="J960"/>
  <c r="E960"/>
  <c r="F960" s="1"/>
  <c r="J958"/>
  <c r="E958"/>
  <c r="F958" s="1"/>
  <c r="J921"/>
  <c r="E921"/>
  <c r="F921" s="1"/>
  <c r="J991"/>
  <c r="E991"/>
  <c r="F991" s="1"/>
  <c r="J948"/>
  <c r="E948"/>
  <c r="F948" s="1"/>
  <c r="J945"/>
  <c r="E945"/>
  <c r="F945" s="1"/>
  <c r="J986"/>
  <c r="E986"/>
  <c r="F986" s="1"/>
  <c r="J990"/>
  <c r="E990"/>
  <c r="F990" s="1"/>
  <c r="J947"/>
  <c r="E947"/>
  <c r="F947" s="1"/>
  <c r="J1027"/>
  <c r="E1027"/>
  <c r="F1027" s="1"/>
  <c r="J984"/>
  <c r="E984"/>
  <c r="F984" s="1"/>
  <c r="J939"/>
  <c r="E939"/>
  <c r="F939" s="1"/>
  <c r="J983"/>
  <c r="E983"/>
  <c r="F983" s="1"/>
  <c r="J938"/>
  <c r="E938"/>
  <c r="F938" s="1"/>
  <c r="J1039"/>
  <c r="E1039"/>
  <c r="F1039" s="1"/>
  <c r="J1037"/>
  <c r="E1037"/>
  <c r="F1037" s="1"/>
  <c r="J1002"/>
  <c r="E1002"/>
  <c r="F1002" s="1"/>
  <c r="J920"/>
  <c r="E920"/>
  <c r="F920" s="1"/>
  <c r="J1026"/>
  <c r="E1026"/>
  <c r="F1026" s="1"/>
  <c r="J1024"/>
  <c r="E1024"/>
  <c r="F1024" s="1"/>
  <c r="J988"/>
  <c r="E988"/>
  <c r="F988" s="1"/>
  <c r="J1022"/>
  <c r="E1022"/>
  <c r="F1022" s="1"/>
  <c r="J1025"/>
  <c r="E1025"/>
  <c r="F1025" s="1"/>
  <c r="J985"/>
  <c r="E985"/>
  <c r="F985" s="1"/>
  <c r="J1021"/>
  <c r="E1021"/>
  <c r="F1021" s="1"/>
  <c r="O1023"/>
  <c r="O942"/>
  <c r="O943"/>
  <c r="O959"/>
  <c r="F980" i="305"/>
  <c r="G980" s="1"/>
  <c r="F938"/>
  <c r="G938" s="1"/>
  <c r="F983"/>
  <c r="G983" s="1"/>
  <c r="F1015"/>
  <c r="G1015" s="1"/>
  <c r="F928"/>
  <c r="G928" s="1"/>
  <c r="F939"/>
  <c r="G939" s="1"/>
  <c r="F1018"/>
  <c r="G1018" s="1"/>
  <c r="E977" i="195"/>
  <c r="F977" s="1"/>
  <c r="J977" s="1"/>
  <c r="I993" i="140"/>
  <c r="J993" s="1"/>
  <c r="I951"/>
  <c r="J951" s="1"/>
  <c r="E935" i="195"/>
  <c r="F935" s="1"/>
  <c r="J935" s="1"/>
  <c r="E936"/>
  <c r="F936" s="1"/>
  <c r="J936" s="1"/>
  <c r="I952" i="140"/>
  <c r="J952" s="1"/>
  <c r="E934" i="195"/>
  <c r="F934" s="1"/>
  <c r="J934" s="1"/>
  <c r="I950" i="140"/>
  <c r="J950" s="1"/>
  <c r="I1028"/>
  <c r="J1028" s="1"/>
  <c r="E1012" i="195"/>
  <c r="F1012" s="1"/>
  <c r="J1012" s="1"/>
  <c r="E925"/>
  <c r="F925" s="1"/>
  <c r="J925" s="1"/>
  <c r="I941" i="140"/>
  <c r="J941" s="1"/>
  <c r="E980" i="195"/>
  <c r="F980" s="1"/>
  <c r="J980" s="1"/>
  <c r="I996" i="140"/>
  <c r="J996" s="1"/>
  <c r="I1031"/>
  <c r="J1031" s="1"/>
  <c r="E1015" i="195"/>
  <c r="F1015" s="1"/>
  <c r="J1015" s="1"/>
  <c r="K992" i="140"/>
  <c r="L992"/>
  <c r="O992"/>
  <c r="K920"/>
  <c r="L920"/>
  <c r="O920"/>
  <c r="K983"/>
  <c r="O983"/>
  <c r="L983"/>
  <c r="L960"/>
  <c r="O958"/>
  <c r="L958"/>
  <c r="K958"/>
  <c r="L921"/>
  <c r="K921"/>
  <c r="O921"/>
  <c r="K991"/>
  <c r="L991"/>
  <c r="O991"/>
  <c r="K948"/>
  <c r="L948"/>
  <c r="O948"/>
  <c r="K990"/>
  <c r="L990"/>
  <c r="O990"/>
  <c r="L947"/>
  <c r="O947"/>
  <c r="K947"/>
  <c r="K1021"/>
  <c r="L1021"/>
  <c r="O1021"/>
  <c r="K1019"/>
  <c r="L1019"/>
  <c r="O1019"/>
  <c r="K1002"/>
  <c r="L1002"/>
  <c r="O1002"/>
  <c r="K988"/>
  <c r="L988"/>
  <c r="O988"/>
  <c r="K1022"/>
  <c r="L1022"/>
  <c r="O1022"/>
  <c r="K985"/>
  <c r="O985"/>
  <c r="L985"/>
  <c r="L949"/>
  <c r="K949"/>
  <c r="O949"/>
  <c r="O984"/>
  <c r="K984"/>
  <c r="L984"/>
  <c r="L939"/>
  <c r="O939"/>
  <c r="K939"/>
  <c r="K1037"/>
  <c r="L1037"/>
  <c r="O1037"/>
  <c r="K1024"/>
  <c r="L1024"/>
  <c r="O1024"/>
  <c r="K1025"/>
  <c r="L1025"/>
  <c r="O1025"/>
  <c r="K1027"/>
  <c r="L1027"/>
  <c r="O1027"/>
  <c r="K1020"/>
  <c r="L1020"/>
  <c r="O1020"/>
  <c r="K938"/>
  <c r="L938"/>
  <c r="O938"/>
  <c r="K1004"/>
  <c r="L1004"/>
  <c r="O1004"/>
  <c r="L945"/>
  <c r="K945"/>
  <c r="O945"/>
  <c r="O986"/>
  <c r="L986"/>
  <c r="K986"/>
  <c r="K1039"/>
  <c r="L1039"/>
  <c r="O1039"/>
  <c r="K1026"/>
  <c r="L1026"/>
  <c r="O1026"/>
  <c r="S48" i="264"/>
  <c r="F225" i="270"/>
  <c r="G225" s="1"/>
  <c r="G235" s="1"/>
  <c r="F162"/>
  <c r="F105"/>
  <c r="F768"/>
  <c r="G768" s="1"/>
  <c r="G775" s="1"/>
  <c r="G653"/>
  <c r="F546"/>
  <c r="F550" s="1"/>
  <c r="F551" s="1"/>
  <c r="K552" i="306" s="1"/>
  <c r="E546" i="270"/>
  <c r="E550" s="1"/>
  <c r="E551" s="1"/>
  <c r="K200" i="306" s="1"/>
  <c r="F604" i="270"/>
  <c r="G604" s="1"/>
  <c r="G614" s="1"/>
  <c r="G585"/>
  <c r="G595" s="1"/>
  <c r="F529"/>
  <c r="F530" s="1"/>
  <c r="K589" i="306" s="1"/>
  <c r="G525" i="270"/>
  <c r="G529" s="1"/>
  <c r="G530" s="1"/>
  <c r="K829" i="306" s="1"/>
  <c r="O960" i="140" l="1"/>
  <c r="E637" i="270"/>
  <c r="E639" s="1"/>
  <c r="E640" s="1"/>
  <c r="K313" i="306" s="1"/>
  <c r="O985" i="309"/>
  <c r="O1025"/>
  <c r="O1022"/>
  <c r="O988"/>
  <c r="O1024"/>
  <c r="O1026"/>
  <c r="O1002"/>
  <c r="O1037"/>
  <c r="O1039"/>
  <c r="O938"/>
  <c r="O983"/>
  <c r="O939"/>
  <c r="O984"/>
  <c r="O1027"/>
  <c r="O947"/>
  <c r="O990"/>
  <c r="O986"/>
  <c r="O945"/>
  <c r="O948"/>
  <c r="O991"/>
  <c r="F637" i="270"/>
  <c r="F639" s="1"/>
  <c r="F640" s="1"/>
  <c r="K632" i="306" s="1"/>
  <c r="I1000" i="309" s="1"/>
  <c r="O1021"/>
  <c r="O921"/>
  <c r="O958"/>
  <c r="O960"/>
  <c r="O1004"/>
  <c r="O1019"/>
  <c r="O1020"/>
  <c r="O949"/>
  <c r="O992"/>
  <c r="M313" i="306"/>
  <c r="I956" i="309"/>
  <c r="O920"/>
  <c r="J1031"/>
  <c r="E1031"/>
  <c r="F1031" s="1"/>
  <c r="J951"/>
  <c r="E951"/>
  <c r="F951" s="1"/>
  <c r="J993"/>
  <c r="E993"/>
  <c r="F993" s="1"/>
  <c r="O950"/>
  <c r="M829" i="306"/>
  <c r="I1029" i="309"/>
  <c r="M200" i="306"/>
  <c r="I946" i="309"/>
  <c r="M589" i="306"/>
  <c r="I994" i="309"/>
  <c r="M552" i="306"/>
  <c r="I989" i="309"/>
  <c r="M632" i="306"/>
  <c r="M868"/>
  <c r="I1035" i="309"/>
  <c r="L1021"/>
  <c r="K1021"/>
  <c r="L985"/>
  <c r="K985"/>
  <c r="L1025"/>
  <c r="K1025"/>
  <c r="L1022"/>
  <c r="K1022"/>
  <c r="L988"/>
  <c r="K988"/>
  <c r="L1024"/>
  <c r="K1024"/>
  <c r="L1026"/>
  <c r="K1026"/>
  <c r="L920"/>
  <c r="K920"/>
  <c r="L1002"/>
  <c r="K1002"/>
  <c r="L1037"/>
  <c r="K1037"/>
  <c r="K1039"/>
  <c r="L1039"/>
  <c r="L938"/>
  <c r="K938"/>
  <c r="K983"/>
  <c r="L983"/>
  <c r="L939"/>
  <c r="K939"/>
  <c r="L984"/>
  <c r="K984"/>
  <c r="L1027"/>
  <c r="K1027"/>
  <c r="L947"/>
  <c r="K947"/>
  <c r="L990"/>
  <c r="K990"/>
  <c r="L986"/>
  <c r="K986"/>
  <c r="L945"/>
  <c r="K945"/>
  <c r="L948"/>
  <c r="K948"/>
  <c r="K991"/>
  <c r="L991"/>
  <c r="K921"/>
  <c r="L921"/>
  <c r="L958"/>
  <c r="K958"/>
  <c r="L960"/>
  <c r="K960"/>
  <c r="L1004"/>
  <c r="K1004"/>
  <c r="L1019"/>
  <c r="K1019"/>
  <c r="L1020"/>
  <c r="K1020"/>
  <c r="L949"/>
  <c r="K949"/>
  <c r="L992"/>
  <c r="K992"/>
  <c r="L950"/>
  <c r="K950"/>
  <c r="J952"/>
  <c r="E952"/>
  <c r="F952" s="1"/>
  <c r="J941"/>
  <c r="E941"/>
  <c r="F941" s="1"/>
  <c r="J1028"/>
  <c r="E1028"/>
  <c r="F1028" s="1"/>
  <c r="J996"/>
  <c r="E996"/>
  <c r="F996" s="1"/>
  <c r="F1016" i="305"/>
  <c r="G1016" s="1"/>
  <c r="F933"/>
  <c r="G933" s="1"/>
  <c r="F943"/>
  <c r="G943" s="1"/>
  <c r="F981"/>
  <c r="G981" s="1"/>
  <c r="F976"/>
  <c r="G976" s="1"/>
  <c r="F1022"/>
  <c r="G1022" s="1"/>
  <c r="E930" i="195"/>
  <c r="F930" s="1"/>
  <c r="J930" s="1"/>
  <c r="I946" i="140"/>
  <c r="J946" s="1"/>
  <c r="I1000"/>
  <c r="J1000" s="1"/>
  <c r="E1019" i="195"/>
  <c r="F1019" s="1"/>
  <c r="J1019" s="1"/>
  <c r="I1035" i="140"/>
  <c r="J1035" s="1"/>
  <c r="E1013" i="195"/>
  <c r="F1013" s="1"/>
  <c r="J1013" s="1"/>
  <c r="I1029" i="140"/>
  <c r="J1029" s="1"/>
  <c r="E973" i="195"/>
  <c r="F973" s="1"/>
  <c r="J973" s="1"/>
  <c r="I989" i="140"/>
  <c r="J989" s="1"/>
  <c r="I956"/>
  <c r="J956" s="1"/>
  <c r="E940" i="195"/>
  <c r="F940" s="1"/>
  <c r="J940" s="1"/>
  <c r="K1031" i="140"/>
  <c r="L1031"/>
  <c r="O1031"/>
  <c r="K996"/>
  <c r="L996"/>
  <c r="O996"/>
  <c r="K1028"/>
  <c r="L1028"/>
  <c r="O1028"/>
  <c r="K950"/>
  <c r="L950"/>
  <c r="O950"/>
  <c r="K952"/>
  <c r="O952"/>
  <c r="L952"/>
  <c r="K993"/>
  <c r="L993"/>
  <c r="O993"/>
  <c r="E978" i="195"/>
  <c r="F978" s="1"/>
  <c r="J978" s="1"/>
  <c r="I994" i="140"/>
  <c r="J994" s="1"/>
  <c r="L941"/>
  <c r="K941"/>
  <c r="O941"/>
  <c r="L951"/>
  <c r="O951"/>
  <c r="K951"/>
  <c r="F616" i="270"/>
  <c r="F618" s="1"/>
  <c r="F619" s="1"/>
  <c r="K624" i="306" s="1"/>
  <c r="G616" i="270"/>
  <c r="G618" s="1"/>
  <c r="G619" s="1"/>
  <c r="K861" i="306" s="1"/>
  <c r="E616" i="270"/>
  <c r="E618" s="1"/>
  <c r="E619" s="1"/>
  <c r="K306" i="306" s="1"/>
  <c r="F597" i="270"/>
  <c r="F599" s="1"/>
  <c r="F600" s="1"/>
  <c r="K617" i="306" s="1"/>
  <c r="G597" i="270"/>
  <c r="G599" s="1"/>
  <c r="G600" s="1"/>
  <c r="K854" i="306" s="1"/>
  <c r="E597" i="270"/>
  <c r="E599" s="1"/>
  <c r="E600" s="1"/>
  <c r="K298" i="306" s="1"/>
  <c r="G777" i="270"/>
  <c r="G779" s="1"/>
  <c r="G780" s="1"/>
  <c r="E777"/>
  <c r="E779" s="1"/>
  <c r="E780" s="1"/>
  <c r="K362" i="306" s="1"/>
  <c r="F777" i="270"/>
  <c r="F779" s="1"/>
  <c r="F780" s="1"/>
  <c r="F253"/>
  <c r="G253" s="1"/>
  <c r="G263" s="1"/>
  <c r="G162"/>
  <c r="G173" s="1"/>
  <c r="G655"/>
  <c r="G657" s="1"/>
  <c r="G658" s="1"/>
  <c r="K875" i="306" s="1"/>
  <c r="E655" i="270"/>
  <c r="E657" s="1"/>
  <c r="E658" s="1"/>
  <c r="K320" i="306" s="1"/>
  <c r="F655" i="270"/>
  <c r="F657" s="1"/>
  <c r="F658" s="1"/>
  <c r="K639" i="306" s="1"/>
  <c r="F135" i="270"/>
  <c r="G135" s="1"/>
  <c r="G146" s="1"/>
  <c r="G105"/>
  <c r="G116" s="1"/>
  <c r="G237"/>
  <c r="G238" s="1"/>
  <c r="G242" s="1"/>
  <c r="K737" i="306" s="1"/>
  <c r="E237" i="270"/>
  <c r="E238" s="1"/>
  <c r="E242" s="1"/>
  <c r="K121" i="306" s="1"/>
  <c r="E244" i="270"/>
  <c r="F237"/>
  <c r="F238" s="1"/>
  <c r="F242" s="1"/>
  <c r="K490" i="306" s="1"/>
  <c r="E984" i="195" l="1"/>
  <c r="F984" s="1"/>
  <c r="J984" s="1"/>
  <c r="F987" i="305"/>
  <c r="G987" s="1"/>
  <c r="M121" i="306"/>
  <c r="I934" i="309"/>
  <c r="M639" i="306"/>
  <c r="I1001" i="309"/>
  <c r="M362" i="306"/>
  <c r="I962" i="309"/>
  <c r="M298" i="306"/>
  <c r="I954" i="309"/>
  <c r="M617" i="306"/>
  <c r="I998" i="309"/>
  <c r="M861" i="306"/>
  <c r="I1034" i="309"/>
  <c r="L996"/>
  <c r="K996"/>
  <c r="L1028"/>
  <c r="K1028"/>
  <c r="L941"/>
  <c r="K941"/>
  <c r="L952"/>
  <c r="K952"/>
  <c r="J1035"/>
  <c r="E1035"/>
  <c r="F1035" s="1"/>
  <c r="J1000"/>
  <c r="E1000"/>
  <c r="F1000" s="1"/>
  <c r="J989"/>
  <c r="E989"/>
  <c r="F989" s="1"/>
  <c r="J994"/>
  <c r="E994"/>
  <c r="F994" s="1"/>
  <c r="J946"/>
  <c r="E946"/>
  <c r="F946" s="1"/>
  <c r="J1029"/>
  <c r="E1029"/>
  <c r="F1029" s="1"/>
  <c r="L993"/>
  <c r="K993"/>
  <c r="L951"/>
  <c r="K951"/>
  <c r="L1031"/>
  <c r="K1031"/>
  <c r="M490" i="306"/>
  <c r="I979" i="309"/>
  <c r="M875" i="306"/>
  <c r="I1036" i="309"/>
  <c r="M737" i="306"/>
  <c r="I1015" i="309"/>
  <c r="M320" i="306"/>
  <c r="I957" i="309"/>
  <c r="M854" i="306"/>
  <c r="I1033" i="309"/>
  <c r="M306" i="306"/>
  <c r="I955" i="309"/>
  <c r="M624" i="306"/>
  <c r="I999" i="309"/>
  <c r="J956"/>
  <c r="E956"/>
  <c r="F956" s="1"/>
  <c r="O996"/>
  <c r="O1028"/>
  <c r="O941"/>
  <c r="O952"/>
  <c r="O993"/>
  <c r="O951"/>
  <c r="O1031"/>
  <c r="F944" i="305"/>
  <c r="G944" s="1"/>
  <c r="F1020"/>
  <c r="G1020" s="1"/>
  <c r="F942"/>
  <c r="G942" s="1"/>
  <c r="F966"/>
  <c r="G966" s="1"/>
  <c r="F921"/>
  <c r="G921" s="1"/>
  <c r="F988"/>
  <c r="G988" s="1"/>
  <c r="F1023"/>
  <c r="G1023" s="1"/>
  <c r="F949"/>
  <c r="G949" s="1"/>
  <c r="F941"/>
  <c r="G941" s="1"/>
  <c r="F985"/>
  <c r="G985" s="1"/>
  <c r="F1021"/>
  <c r="G1021" s="1"/>
  <c r="F1002"/>
  <c r="G1002" s="1"/>
  <c r="F986"/>
  <c r="G986" s="1"/>
  <c r="I1015" i="140"/>
  <c r="J1015" s="1"/>
  <c r="E999" i="195"/>
  <c r="F999" s="1"/>
  <c r="J999" s="1"/>
  <c r="E953"/>
  <c r="F953" s="1"/>
  <c r="J953" s="1"/>
  <c r="I962" i="140"/>
  <c r="J962" s="1"/>
  <c r="E963" i="195"/>
  <c r="F963" s="1"/>
  <c r="J963" s="1"/>
  <c r="I979" i="140"/>
  <c r="J979" s="1"/>
  <c r="E918" i="195"/>
  <c r="F918" s="1"/>
  <c r="J918" s="1"/>
  <c r="I934" i="140"/>
  <c r="J934" s="1"/>
  <c r="E985" i="195"/>
  <c r="F985" s="1"/>
  <c r="J985" s="1"/>
  <c r="I1001" i="140"/>
  <c r="J1001" s="1"/>
  <c r="E1020" i="195"/>
  <c r="F1020" s="1"/>
  <c r="J1020" s="1"/>
  <c r="I1036" i="140"/>
  <c r="J1036" s="1"/>
  <c r="E938" i="195"/>
  <c r="F938" s="1"/>
  <c r="J938" s="1"/>
  <c r="I954" i="140"/>
  <c r="J954" s="1"/>
  <c r="E982" i="195"/>
  <c r="F982" s="1"/>
  <c r="J982" s="1"/>
  <c r="I998" i="140"/>
  <c r="J998" s="1"/>
  <c r="I1034"/>
  <c r="J1034" s="1"/>
  <c r="E1018" i="195"/>
  <c r="F1018" s="1"/>
  <c r="J1018" s="1"/>
  <c r="K994" i="140"/>
  <c r="L994"/>
  <c r="O994"/>
  <c r="K956"/>
  <c r="L956"/>
  <c r="O956"/>
  <c r="K1029"/>
  <c r="L1029"/>
  <c r="O1029"/>
  <c r="K1000"/>
  <c r="L1000"/>
  <c r="O1000"/>
  <c r="E941" i="195"/>
  <c r="F941" s="1"/>
  <c r="J941" s="1"/>
  <c r="I957" i="140"/>
  <c r="J957" s="1"/>
  <c r="E1017" i="195"/>
  <c r="F1017" s="1"/>
  <c r="J1017" s="1"/>
  <c r="I1033" i="140"/>
  <c r="J1033" s="1"/>
  <c r="I955"/>
  <c r="J955" s="1"/>
  <c r="E939" i="195"/>
  <c r="F939" s="1"/>
  <c r="J939" s="1"/>
  <c r="E983"/>
  <c r="F983" s="1"/>
  <c r="J983" s="1"/>
  <c r="I999" i="140"/>
  <c r="J999" s="1"/>
  <c r="K989"/>
  <c r="L989"/>
  <c r="O989"/>
  <c r="K1035"/>
  <c r="L1035"/>
  <c r="O1035"/>
  <c r="K946"/>
  <c r="L946"/>
  <c r="O946"/>
  <c r="E245" i="270"/>
  <c r="E249" s="1"/>
  <c r="K128" i="306" s="1"/>
  <c r="F244" i="270"/>
  <c r="G154"/>
  <c r="G158" s="1"/>
  <c r="K750" i="306" s="1"/>
  <c r="E154" i="270"/>
  <c r="E158" s="1"/>
  <c r="K137" i="306" s="1"/>
  <c r="G148" i="270"/>
  <c r="G152" s="1"/>
  <c r="K709" i="306" s="1"/>
  <c r="E148" i="270"/>
  <c r="E152" s="1"/>
  <c r="K81" i="306" s="1"/>
  <c r="F154" i="270"/>
  <c r="F158" s="1"/>
  <c r="K502" i="306" s="1"/>
  <c r="F148" i="270"/>
  <c r="F152" s="1"/>
  <c r="K462" i="306" s="1"/>
  <c r="E208" i="270"/>
  <c r="F201"/>
  <c r="F202" s="1"/>
  <c r="F206" s="1"/>
  <c r="G195"/>
  <c r="G196" s="1"/>
  <c r="G200" s="1"/>
  <c r="K721" i="306" s="1"/>
  <c r="E195" i="270"/>
  <c r="E196" s="1"/>
  <c r="E200" s="1"/>
  <c r="K103" i="306" s="1"/>
  <c r="F188" i="270"/>
  <c r="F189" s="1"/>
  <c r="F193" s="1"/>
  <c r="K479" i="306" s="1"/>
  <c r="G181" i="270"/>
  <c r="G182" s="1"/>
  <c r="G186" s="1"/>
  <c r="K731" i="306" s="1"/>
  <c r="E181" i="270"/>
  <c r="E182" s="1"/>
  <c r="E186" s="1"/>
  <c r="K115" i="306" s="1"/>
  <c r="G175" i="270"/>
  <c r="G179" s="1"/>
  <c r="K715" i="306" s="1"/>
  <c r="E175" i="270"/>
  <c r="E179" s="1"/>
  <c r="K97" i="306" s="1"/>
  <c r="G201" i="270"/>
  <c r="G202" s="1"/>
  <c r="G206" s="1"/>
  <c r="E201"/>
  <c r="E202" s="1"/>
  <c r="E206" s="1"/>
  <c r="F195"/>
  <c r="F196" s="1"/>
  <c r="F200" s="1"/>
  <c r="K473" i="306" s="1"/>
  <c r="G188" i="270"/>
  <c r="G189" s="1"/>
  <c r="G193" s="1"/>
  <c r="K726" i="306" s="1"/>
  <c r="E188" i="270"/>
  <c r="E189" s="1"/>
  <c r="E193" s="1"/>
  <c r="K109" i="306" s="1"/>
  <c r="F181" i="270"/>
  <c r="F182" s="1"/>
  <c r="F186" s="1"/>
  <c r="K484" i="306" s="1"/>
  <c r="F175" i="270"/>
  <c r="F179" s="1"/>
  <c r="K468" i="306" s="1"/>
  <c r="F123" i="270"/>
  <c r="G123" s="1"/>
  <c r="G126" s="1"/>
  <c r="K69" i="306" s="1"/>
  <c r="F128" i="270"/>
  <c r="G128" s="1"/>
  <c r="G131" s="1"/>
  <c r="K89" i="306" s="1"/>
  <c r="F118" i="270"/>
  <c r="G118" s="1"/>
  <c r="G121" s="1"/>
  <c r="K64" i="306" s="1"/>
  <c r="E265" i="270"/>
  <c r="E269" s="1"/>
  <c r="K256" i="306" s="1"/>
  <c r="F265" i="270"/>
  <c r="O1029" i="309" l="1"/>
  <c r="O946"/>
  <c r="O994"/>
  <c r="O989"/>
  <c r="M89" i="306"/>
  <c r="I929" i="309"/>
  <c r="M468" i="306"/>
  <c r="I975" i="309"/>
  <c r="M109" i="306"/>
  <c r="I931" i="309"/>
  <c r="M473" i="306"/>
  <c r="I978" i="309"/>
  <c r="M715" i="306"/>
  <c r="I1011" i="309"/>
  <c r="M731" i="306"/>
  <c r="I1013" i="309"/>
  <c r="M103" i="306"/>
  <c r="I932" i="309"/>
  <c r="M462" i="306"/>
  <c r="I974" i="309"/>
  <c r="M81" i="306"/>
  <c r="I928" i="309"/>
  <c r="M137" i="306"/>
  <c r="I936" i="309"/>
  <c r="L956"/>
  <c r="K956"/>
  <c r="L1029"/>
  <c r="K1029"/>
  <c r="L946"/>
  <c r="K946"/>
  <c r="L994"/>
  <c r="K994"/>
  <c r="L989"/>
  <c r="K989"/>
  <c r="L1000"/>
  <c r="K1000"/>
  <c r="L1035"/>
  <c r="K1035"/>
  <c r="M256" i="306"/>
  <c r="I940" i="309"/>
  <c r="M64" i="306"/>
  <c r="I926" i="309"/>
  <c r="M69" i="306"/>
  <c r="I927" i="309"/>
  <c r="M484" i="306"/>
  <c r="I977" i="309"/>
  <c r="M726" i="306"/>
  <c r="I1012" i="309"/>
  <c r="M97" i="306"/>
  <c r="I930" i="309"/>
  <c r="M115" i="306"/>
  <c r="I933" i="309"/>
  <c r="M479" i="306"/>
  <c r="I976" i="309"/>
  <c r="M721" i="306"/>
  <c r="I1014" i="309"/>
  <c r="M502" i="306"/>
  <c r="I981" i="309"/>
  <c r="M709" i="306"/>
  <c r="I1010" i="309"/>
  <c r="M750" i="306"/>
  <c r="I1017" i="309"/>
  <c r="M128" i="306"/>
  <c r="I935" i="309"/>
  <c r="J999"/>
  <c r="E999"/>
  <c r="F999" s="1"/>
  <c r="J955"/>
  <c r="E955"/>
  <c r="F955" s="1"/>
  <c r="J1033"/>
  <c r="E1033"/>
  <c r="F1033" s="1"/>
  <c r="J957"/>
  <c r="E957"/>
  <c r="F957" s="1"/>
  <c r="J1015"/>
  <c r="E1015"/>
  <c r="F1015" s="1"/>
  <c r="J1036"/>
  <c r="E1036"/>
  <c r="F1036" s="1"/>
  <c r="J979"/>
  <c r="E979"/>
  <c r="F979" s="1"/>
  <c r="J1034"/>
  <c r="E1034"/>
  <c r="F1034" s="1"/>
  <c r="J998"/>
  <c r="E998"/>
  <c r="F998" s="1"/>
  <c r="J954"/>
  <c r="E954"/>
  <c r="F954" s="1"/>
  <c r="J962"/>
  <c r="E962"/>
  <c r="F962" s="1"/>
  <c r="J1001"/>
  <c r="E1001"/>
  <c r="F1001" s="1"/>
  <c r="J934"/>
  <c r="E934"/>
  <c r="F934" s="1"/>
  <c r="O956"/>
  <c r="O1000"/>
  <c r="O1035"/>
  <c r="F927" i="305"/>
  <c r="G927" s="1"/>
  <c r="F962"/>
  <c r="G962" s="1"/>
  <c r="F965"/>
  <c r="G965" s="1"/>
  <c r="F998"/>
  <c r="G998" s="1"/>
  <c r="F919"/>
  <c r="G919" s="1"/>
  <c r="F961"/>
  <c r="G961" s="1"/>
  <c r="F923"/>
  <c r="G923" s="1"/>
  <c r="F913"/>
  <c r="G913" s="1"/>
  <c r="F914"/>
  <c r="G914" s="1"/>
  <c r="F964"/>
  <c r="G964" s="1"/>
  <c r="F999"/>
  <c r="G999" s="1"/>
  <c r="F917"/>
  <c r="G917" s="1"/>
  <c r="F920"/>
  <c r="G920" s="1"/>
  <c r="F963"/>
  <c r="G963" s="1"/>
  <c r="F1001"/>
  <c r="G1001" s="1"/>
  <c r="F968"/>
  <c r="G968" s="1"/>
  <c r="F997"/>
  <c r="G997" s="1"/>
  <c r="F1004"/>
  <c r="G1004" s="1"/>
  <c r="F922"/>
  <c r="G922" s="1"/>
  <c r="F916"/>
  <c r="G916" s="1"/>
  <c r="F918"/>
  <c r="G918" s="1"/>
  <c r="F1000"/>
  <c r="G1000" s="1"/>
  <c r="F915"/>
  <c r="G915" s="1"/>
  <c r="E913" i="195"/>
  <c r="F913" s="1"/>
  <c r="J913" s="1"/>
  <c r="I929" i="140"/>
  <c r="J929" s="1"/>
  <c r="I1012"/>
  <c r="J1012" s="1"/>
  <c r="E996" i="195"/>
  <c r="F996" s="1"/>
  <c r="J996" s="1"/>
  <c r="E914"/>
  <c r="F914" s="1"/>
  <c r="J914" s="1"/>
  <c r="I930" i="140"/>
  <c r="J930" s="1"/>
  <c r="E998" i="195"/>
  <c r="F998" s="1"/>
  <c r="J998" s="1"/>
  <c r="I1014" i="140"/>
  <c r="J1014" s="1"/>
  <c r="E994" i="195"/>
  <c r="F994" s="1"/>
  <c r="J994" s="1"/>
  <c r="I1010" i="140"/>
  <c r="J1010" s="1"/>
  <c r="E1001" i="195"/>
  <c r="F1001" s="1"/>
  <c r="J1001" s="1"/>
  <c r="I1017" i="140"/>
  <c r="J1017" s="1"/>
  <c r="I935"/>
  <c r="J935" s="1"/>
  <c r="E919" i="195"/>
  <c r="F919" s="1"/>
  <c r="J919" s="1"/>
  <c r="K1033" i="140"/>
  <c r="L1033"/>
  <c r="O1033"/>
  <c r="K1034"/>
  <c r="L1034"/>
  <c r="O1034"/>
  <c r="K998"/>
  <c r="L998"/>
  <c r="O998"/>
  <c r="K1001"/>
  <c r="L1001"/>
  <c r="O1001"/>
  <c r="K962"/>
  <c r="L962"/>
  <c r="O962"/>
  <c r="E961" i="195"/>
  <c r="F961" s="1"/>
  <c r="J961" s="1"/>
  <c r="I977" i="140"/>
  <c r="J977" s="1"/>
  <c r="I933"/>
  <c r="J933" s="1"/>
  <c r="E917" i="195"/>
  <c r="F917" s="1"/>
  <c r="J917" s="1"/>
  <c r="E960"/>
  <c r="F960" s="1"/>
  <c r="J960" s="1"/>
  <c r="I976" i="140"/>
  <c r="J976" s="1"/>
  <c r="E965" i="195"/>
  <c r="F965" s="1"/>
  <c r="J965" s="1"/>
  <c r="I981" i="140"/>
  <c r="J981" s="1"/>
  <c r="I940"/>
  <c r="J940" s="1"/>
  <c r="E924" i="195"/>
  <c r="F924" s="1"/>
  <c r="J924" s="1"/>
  <c r="I926" i="140"/>
  <c r="J926" s="1"/>
  <c r="E910" i="195"/>
  <c r="F910" s="1"/>
  <c r="J910" s="1"/>
  <c r="E911"/>
  <c r="F911" s="1"/>
  <c r="J911" s="1"/>
  <c r="I927" i="140"/>
  <c r="J927" s="1"/>
  <c r="E959" i="195"/>
  <c r="F959" s="1"/>
  <c r="J959" s="1"/>
  <c r="I975" i="140"/>
  <c r="J975" s="1"/>
  <c r="I931"/>
  <c r="J931" s="1"/>
  <c r="E915" i="195"/>
  <c r="F915" s="1"/>
  <c r="J915" s="1"/>
  <c r="E962"/>
  <c r="F962" s="1"/>
  <c r="J962" s="1"/>
  <c r="I978" i="140"/>
  <c r="J978" s="1"/>
  <c r="I1011"/>
  <c r="J1011" s="1"/>
  <c r="E995" i="195"/>
  <c r="F995" s="1"/>
  <c r="J995" s="1"/>
  <c r="E997"/>
  <c r="F997" s="1"/>
  <c r="J997" s="1"/>
  <c r="I1013" i="140"/>
  <c r="J1013" s="1"/>
  <c r="E916" i="195"/>
  <c r="F916" s="1"/>
  <c r="J916" s="1"/>
  <c r="I932" i="140"/>
  <c r="J932" s="1"/>
  <c r="E958" i="195"/>
  <c r="F958" s="1"/>
  <c r="J958" s="1"/>
  <c r="I974" i="140"/>
  <c r="J974" s="1"/>
  <c r="I928"/>
  <c r="J928" s="1"/>
  <c r="E912" i="195"/>
  <c r="F912" s="1"/>
  <c r="J912" s="1"/>
  <c r="E920"/>
  <c r="F920" s="1"/>
  <c r="J920" s="1"/>
  <c r="I936" i="140"/>
  <c r="J936" s="1"/>
  <c r="K999"/>
  <c r="L999"/>
  <c r="O999"/>
  <c r="L955"/>
  <c r="K955"/>
  <c r="O955"/>
  <c r="L957"/>
  <c r="O957"/>
  <c r="K957"/>
  <c r="K954"/>
  <c r="L954"/>
  <c r="O954"/>
  <c r="K1036"/>
  <c r="L1036"/>
  <c r="O1036"/>
  <c r="K934"/>
  <c r="L934"/>
  <c r="O934"/>
  <c r="K979"/>
  <c r="O979"/>
  <c r="L979"/>
  <c r="K1015"/>
  <c r="L1015"/>
  <c r="O1015"/>
  <c r="F269" i="270"/>
  <c r="K596" i="306" s="1"/>
  <c r="G265" i="270"/>
  <c r="G269" s="1"/>
  <c r="K834" i="306" s="1"/>
  <c r="F245" i="270"/>
  <c r="F249" s="1"/>
  <c r="K496" i="306" s="1"/>
  <c r="G244" i="270"/>
  <c r="G245" s="1"/>
  <c r="G249" s="1"/>
  <c r="K743" i="306" s="1"/>
  <c r="E216" i="270"/>
  <c r="E217" s="1"/>
  <c r="E221" s="1"/>
  <c r="K143" i="306" s="1"/>
  <c r="E209" i="270"/>
  <c r="E213" s="1"/>
  <c r="F208"/>
  <c r="M743" i="306" l="1"/>
  <c r="I1016" i="309"/>
  <c r="M834" i="306"/>
  <c r="I1030" i="309"/>
  <c r="K934"/>
  <c r="L934"/>
  <c r="K1001"/>
  <c r="L1001"/>
  <c r="L962"/>
  <c r="K962"/>
  <c r="L954"/>
  <c r="K954"/>
  <c r="L998"/>
  <c r="K998"/>
  <c r="L1034"/>
  <c r="K1034"/>
  <c r="L979"/>
  <c r="K979"/>
  <c r="L1036"/>
  <c r="K1036"/>
  <c r="L1015"/>
  <c r="K1015"/>
  <c r="K957"/>
  <c r="L957"/>
  <c r="L1033"/>
  <c r="K1033"/>
  <c r="L955"/>
  <c r="K955"/>
  <c r="L999"/>
  <c r="K999"/>
  <c r="M143" i="306"/>
  <c r="I937" i="309"/>
  <c r="M496" i="306"/>
  <c r="I980" i="309"/>
  <c r="M596" i="306"/>
  <c r="I995" i="309"/>
  <c r="J935"/>
  <c r="E935"/>
  <c r="F935" s="1"/>
  <c r="J1017"/>
  <c r="E1017"/>
  <c r="F1017" s="1"/>
  <c r="J1010"/>
  <c r="E1010"/>
  <c r="F1010" s="1"/>
  <c r="J981"/>
  <c r="E981"/>
  <c r="F981" s="1"/>
  <c r="J1014"/>
  <c r="E1014"/>
  <c r="F1014" s="1"/>
  <c r="J976"/>
  <c r="E976"/>
  <c r="F976" s="1"/>
  <c r="J933"/>
  <c r="E933"/>
  <c r="F933" s="1"/>
  <c r="J930"/>
  <c r="E930"/>
  <c r="F930" s="1"/>
  <c r="J1012"/>
  <c r="E1012"/>
  <c r="F1012" s="1"/>
  <c r="J977"/>
  <c r="E977"/>
  <c r="F977" s="1"/>
  <c r="J927"/>
  <c r="E927"/>
  <c r="F927" s="1"/>
  <c r="J926"/>
  <c r="E926"/>
  <c r="F926" s="1"/>
  <c r="J940"/>
  <c r="E940"/>
  <c r="F940" s="1"/>
  <c r="J936"/>
  <c r="E936"/>
  <c r="F936" s="1"/>
  <c r="J928"/>
  <c r="E928"/>
  <c r="F928" s="1"/>
  <c r="J974"/>
  <c r="E974"/>
  <c r="F974" s="1"/>
  <c r="J932"/>
  <c r="E932"/>
  <c r="F932" s="1"/>
  <c r="J1013"/>
  <c r="E1013"/>
  <c r="F1013" s="1"/>
  <c r="J1011"/>
  <c r="E1011"/>
  <c r="F1011" s="1"/>
  <c r="J978"/>
  <c r="E978"/>
  <c r="F978" s="1"/>
  <c r="J931"/>
  <c r="E931"/>
  <c r="F931" s="1"/>
  <c r="J975"/>
  <c r="E975"/>
  <c r="F975" s="1"/>
  <c r="J929"/>
  <c r="E929"/>
  <c r="F929" s="1"/>
  <c r="O934"/>
  <c r="O1001"/>
  <c r="O962"/>
  <c r="O954"/>
  <c r="O998"/>
  <c r="O1034"/>
  <c r="O979"/>
  <c r="O1036"/>
  <c r="O1015"/>
  <c r="O957"/>
  <c r="O1033"/>
  <c r="O955"/>
  <c r="O999"/>
  <c r="F924" i="305"/>
  <c r="G924" s="1"/>
  <c r="F967"/>
  <c r="G967" s="1"/>
  <c r="F1003"/>
  <c r="G1003" s="1"/>
  <c r="F1017"/>
  <c r="G1017" s="1"/>
  <c r="F982"/>
  <c r="G982" s="1"/>
  <c r="E964" i="195"/>
  <c r="F964" s="1"/>
  <c r="J964" s="1"/>
  <c r="I980" i="140"/>
  <c r="J980" s="1"/>
  <c r="E1014" i="195"/>
  <c r="F1014" s="1"/>
  <c r="J1014" s="1"/>
  <c r="I1030" i="140"/>
  <c r="J1030" s="1"/>
  <c r="K936"/>
  <c r="L936"/>
  <c r="O936"/>
  <c r="O974"/>
  <c r="L974"/>
  <c r="K974"/>
  <c r="K975"/>
  <c r="O975"/>
  <c r="L975"/>
  <c r="K926"/>
  <c r="L926"/>
  <c r="O926"/>
  <c r="K940"/>
  <c r="L940"/>
  <c r="O940"/>
  <c r="O976"/>
  <c r="K976"/>
  <c r="L976"/>
  <c r="L933"/>
  <c r="K933"/>
  <c r="O933"/>
  <c r="L935"/>
  <c r="K935"/>
  <c r="O935"/>
  <c r="K1010"/>
  <c r="L1010"/>
  <c r="O1010"/>
  <c r="K930"/>
  <c r="L930"/>
  <c r="O930"/>
  <c r="I937"/>
  <c r="J937" s="1"/>
  <c r="E921" i="195"/>
  <c r="F921" s="1"/>
  <c r="J921" s="1"/>
  <c r="I1016" i="140"/>
  <c r="J1016" s="1"/>
  <c r="E1000" i="195"/>
  <c r="F1000" s="1"/>
  <c r="J1000" s="1"/>
  <c r="E979"/>
  <c r="F979" s="1"/>
  <c r="J979" s="1"/>
  <c r="I995" i="140"/>
  <c r="J995" s="1"/>
  <c r="K928"/>
  <c r="L928"/>
  <c r="O928"/>
  <c r="K932"/>
  <c r="L932"/>
  <c r="O932"/>
  <c r="K1013"/>
  <c r="L1013"/>
  <c r="O1013"/>
  <c r="K1011"/>
  <c r="L1011"/>
  <c r="O1011"/>
  <c r="O978"/>
  <c r="L978"/>
  <c r="K978"/>
  <c r="L931"/>
  <c r="O931"/>
  <c r="K931"/>
  <c r="L927"/>
  <c r="K927"/>
  <c r="O927"/>
  <c r="K981"/>
  <c r="O981"/>
  <c r="L981"/>
  <c r="K977"/>
  <c r="O977"/>
  <c r="L977"/>
  <c r="K1017"/>
  <c r="L1017"/>
  <c r="O1017"/>
  <c r="K1014"/>
  <c r="L1014"/>
  <c r="O1014"/>
  <c r="K1012"/>
  <c r="L1012"/>
  <c r="O1012"/>
  <c r="L929"/>
  <c r="K929"/>
  <c r="O929"/>
  <c r="F216" i="270"/>
  <c r="F217" s="1"/>
  <c r="F221" s="1"/>
  <c r="K508" i="306" s="1"/>
  <c r="F209" i="270"/>
  <c r="F213" s="1"/>
  <c r="G208"/>
  <c r="O929" i="309" l="1"/>
  <c r="O975"/>
  <c r="O931"/>
  <c r="O978"/>
  <c r="O1011"/>
  <c r="O1013"/>
  <c r="O932"/>
  <c r="O974"/>
  <c r="O928"/>
  <c r="O936"/>
  <c r="O940"/>
  <c r="O927"/>
  <c r="O977"/>
  <c r="O1012"/>
  <c r="O930"/>
  <c r="O933"/>
  <c r="O976"/>
  <c r="O1014"/>
  <c r="O981"/>
  <c r="O1010"/>
  <c r="O1017"/>
  <c r="O935"/>
  <c r="M508" i="306"/>
  <c r="I982" i="309"/>
  <c r="K929"/>
  <c r="L929"/>
  <c r="L975"/>
  <c r="K975"/>
  <c r="L931"/>
  <c r="K931"/>
  <c r="L978"/>
  <c r="K978"/>
  <c r="L1011"/>
  <c r="K1011"/>
  <c r="K1013"/>
  <c r="L1013"/>
  <c r="L932"/>
  <c r="K932"/>
  <c r="L974"/>
  <c r="K974"/>
  <c r="L928"/>
  <c r="K928"/>
  <c r="L936"/>
  <c r="K936"/>
  <c r="L940"/>
  <c r="K940"/>
  <c r="K926"/>
  <c r="L926"/>
  <c r="L927"/>
  <c r="K927"/>
  <c r="L977"/>
  <c r="K977"/>
  <c r="L1012"/>
  <c r="K1012"/>
  <c r="K930"/>
  <c r="L930"/>
  <c r="K933"/>
  <c r="L933"/>
  <c r="L976"/>
  <c r="K976"/>
  <c r="L1014"/>
  <c r="K1014"/>
  <c r="L981"/>
  <c r="K981"/>
  <c r="L1010"/>
  <c r="K1010"/>
  <c r="L1017"/>
  <c r="K1017"/>
  <c r="L935"/>
  <c r="K935"/>
  <c r="O926"/>
  <c r="J995"/>
  <c r="E995"/>
  <c r="F995" s="1"/>
  <c r="J980"/>
  <c r="E980"/>
  <c r="F980" s="1"/>
  <c r="J937"/>
  <c r="E937"/>
  <c r="F937" s="1"/>
  <c r="J1030"/>
  <c r="E1030"/>
  <c r="F1030" s="1"/>
  <c r="J1016"/>
  <c r="E1016"/>
  <c r="F1016" s="1"/>
  <c r="F969" i="305"/>
  <c r="G969" s="1"/>
  <c r="E966" i="195"/>
  <c r="F966" s="1"/>
  <c r="J966" s="1"/>
  <c r="I982" i="140"/>
  <c r="J982" s="1"/>
  <c r="L937"/>
  <c r="K937"/>
  <c r="O937"/>
  <c r="O980"/>
  <c r="K980"/>
  <c r="L980"/>
  <c r="K995"/>
  <c r="L995"/>
  <c r="O995"/>
  <c r="K1016"/>
  <c r="L1016"/>
  <c r="O1016"/>
  <c r="K1030"/>
  <c r="L1030"/>
  <c r="O1030"/>
  <c r="G216" i="270"/>
  <c r="G217" s="1"/>
  <c r="G221" s="1"/>
  <c r="K755" i="306" s="1"/>
  <c r="G209" i="270"/>
  <c r="G213" s="1"/>
  <c r="O1016" i="309" l="1"/>
  <c r="O1030"/>
  <c r="O937"/>
  <c r="O980"/>
  <c r="O995"/>
  <c r="M755" i="306"/>
  <c r="M1465" s="1"/>
  <c r="G12" i="303" s="1"/>
  <c r="I1018" i="309"/>
  <c r="L1016"/>
  <c r="K1016"/>
  <c r="L1030"/>
  <c r="K1030"/>
  <c r="K937"/>
  <c r="L937"/>
  <c r="L980"/>
  <c r="K980"/>
  <c r="L995"/>
  <c r="K995"/>
  <c r="J982"/>
  <c r="E982"/>
  <c r="F982" s="1"/>
  <c r="F1005" i="305"/>
  <c r="G1005" s="1"/>
  <c r="I1018" i="140"/>
  <c r="J1018" s="1"/>
  <c r="E1002" i="195"/>
  <c r="F1002" s="1"/>
  <c r="J1002" s="1"/>
  <c r="O982" i="140"/>
  <c r="L982"/>
  <c r="K982"/>
  <c r="L982" i="309" l="1"/>
  <c r="K982"/>
  <c r="O982"/>
  <c r="J1018"/>
  <c r="E1018"/>
  <c r="F1018" s="1"/>
  <c r="P1000" i="306"/>
  <c r="F41" i="171"/>
  <c r="H41" s="1"/>
  <c r="I41" s="1"/>
  <c r="K1018" i="140"/>
  <c r="L1018"/>
  <c r="O1018"/>
  <c r="O1018" i="309" l="1"/>
  <c r="L1018"/>
  <c r="K1018"/>
  <c r="C10" i="195"/>
  <c r="C900"/>
  <c r="C899"/>
  <c r="C896"/>
  <c r="C895"/>
  <c r="C892"/>
  <c r="C891"/>
  <c r="C888"/>
  <c r="I888" s="1"/>
  <c r="C887"/>
  <c r="C884"/>
  <c r="C883"/>
  <c r="C880"/>
  <c r="C879"/>
  <c r="C876"/>
  <c r="I876" s="1"/>
  <c r="C875"/>
  <c r="C872"/>
  <c r="C871"/>
  <c r="C868"/>
  <c r="C867"/>
  <c r="C864"/>
  <c r="I864" s="1"/>
  <c r="C863"/>
  <c r="C860"/>
  <c r="C859"/>
  <c r="C856"/>
  <c r="C855"/>
  <c r="C852"/>
  <c r="C851"/>
  <c r="C848"/>
  <c r="C847"/>
  <c r="C844"/>
  <c r="C843"/>
  <c r="C840"/>
  <c r="C839"/>
  <c r="C836"/>
  <c r="C835"/>
  <c r="C832"/>
  <c r="C831"/>
  <c r="C828"/>
  <c r="C827"/>
  <c r="C824"/>
  <c r="C823"/>
  <c r="C820"/>
  <c r="C819"/>
  <c r="C816"/>
  <c r="C815"/>
  <c r="C812"/>
  <c r="I812" s="1"/>
  <c r="C811"/>
  <c r="C808"/>
  <c r="I808" s="1"/>
  <c r="C807"/>
  <c r="C804"/>
  <c r="I804" s="1"/>
  <c r="C803"/>
  <c r="C800"/>
  <c r="I800" s="1"/>
  <c r="C799"/>
  <c r="C796"/>
  <c r="C795"/>
  <c r="C792"/>
  <c r="I792" s="1"/>
  <c r="C791"/>
  <c r="C788"/>
  <c r="I788" s="1"/>
  <c r="C787"/>
  <c r="C784"/>
  <c r="I784" s="1"/>
  <c r="C783"/>
  <c r="C780"/>
  <c r="C779"/>
  <c r="C776"/>
  <c r="C775"/>
  <c r="C772"/>
  <c r="C771"/>
  <c r="C768"/>
  <c r="I768" s="1"/>
  <c r="C767"/>
  <c r="C764"/>
  <c r="I764" s="1"/>
  <c r="C763"/>
  <c r="C760"/>
  <c r="I760" s="1"/>
  <c r="C759"/>
  <c r="C756"/>
  <c r="I756" s="1"/>
  <c r="C755"/>
  <c r="C752"/>
  <c r="C751"/>
  <c r="C748"/>
  <c r="C747"/>
  <c r="C744"/>
  <c r="I744" s="1"/>
  <c r="C743"/>
  <c r="C740"/>
  <c r="I740" s="1"/>
  <c r="C739"/>
  <c r="C735"/>
  <c r="I735" s="1"/>
  <c r="C734"/>
  <c r="C731"/>
  <c r="C730"/>
  <c r="C727"/>
  <c r="C726"/>
  <c r="C723"/>
  <c r="C722"/>
  <c r="C719"/>
  <c r="C718"/>
  <c r="C715"/>
  <c r="C714"/>
  <c r="C711"/>
  <c r="I711" s="1"/>
  <c r="C710"/>
  <c r="C707"/>
  <c r="C706"/>
  <c r="C703"/>
  <c r="I703" s="1"/>
  <c r="C702"/>
  <c r="C699"/>
  <c r="C698"/>
  <c r="I698" s="1"/>
  <c r="C695"/>
  <c r="I695" s="1"/>
  <c r="C694"/>
  <c r="C691"/>
  <c r="C690"/>
  <c r="C687"/>
  <c r="C686"/>
  <c r="C683"/>
  <c r="C682"/>
  <c r="C679"/>
  <c r="I679" s="1"/>
  <c r="C678"/>
  <c r="C675"/>
  <c r="I675" s="1"/>
  <c r="C674"/>
  <c r="C671"/>
  <c r="I671" s="1"/>
  <c r="C670"/>
  <c r="C667"/>
  <c r="I667" s="1"/>
  <c r="C666"/>
  <c r="C663"/>
  <c r="I663" s="1"/>
  <c r="C659"/>
  <c r="I659" s="1"/>
  <c r="C658"/>
  <c r="C655"/>
  <c r="C654"/>
  <c r="C651"/>
  <c r="C650"/>
  <c r="C647"/>
  <c r="I647" s="1"/>
  <c r="C646"/>
  <c r="C643"/>
  <c r="I643" s="1"/>
  <c r="C642"/>
  <c r="C639"/>
  <c r="C638"/>
  <c r="C635"/>
  <c r="C634"/>
  <c r="C631"/>
  <c r="C630"/>
  <c r="C627"/>
  <c r="C626"/>
  <c r="C623"/>
  <c r="C622"/>
  <c r="C618"/>
  <c r="I618" s="1"/>
  <c r="C617"/>
  <c r="C614"/>
  <c r="C613"/>
  <c r="C610"/>
  <c r="C609"/>
  <c r="C606"/>
  <c r="C605"/>
  <c r="C602"/>
  <c r="C601"/>
  <c r="C598"/>
  <c r="C594"/>
  <c r="C593"/>
  <c r="C590"/>
  <c r="I590" s="1"/>
  <c r="C589"/>
  <c r="C586"/>
  <c r="C585"/>
  <c r="C582"/>
  <c r="C581"/>
  <c r="C578"/>
  <c r="C577"/>
  <c r="C574"/>
  <c r="I574" s="1"/>
  <c r="C573"/>
  <c r="C570"/>
  <c r="C569"/>
  <c r="C566"/>
  <c r="I566" s="1"/>
  <c r="C565"/>
  <c r="C562"/>
  <c r="I562" s="1"/>
  <c r="C561"/>
  <c r="C558"/>
  <c r="I558" s="1"/>
  <c r="C557"/>
  <c r="C554"/>
  <c r="I554" s="1"/>
  <c r="C553"/>
  <c r="C550"/>
  <c r="C549"/>
  <c r="C546"/>
  <c r="C545"/>
  <c r="C542"/>
  <c r="C541"/>
  <c r="C538"/>
  <c r="C537"/>
  <c r="C534"/>
  <c r="C533"/>
  <c r="C530"/>
  <c r="I530" s="1"/>
  <c r="C529"/>
  <c r="C526"/>
  <c r="I526" s="1"/>
  <c r="C517"/>
  <c r="C516"/>
  <c r="C513"/>
  <c r="C512"/>
  <c r="C509"/>
  <c r="C508"/>
  <c r="C505"/>
  <c r="I505" s="1"/>
  <c r="C504"/>
  <c r="C501"/>
  <c r="C500"/>
  <c r="C497"/>
  <c r="C496"/>
  <c r="C493"/>
  <c r="I493" s="1"/>
  <c r="E157" i="196" s="1"/>
  <c r="C492" i="195"/>
  <c r="C489"/>
  <c r="C488"/>
  <c r="C485"/>
  <c r="C484"/>
  <c r="C481"/>
  <c r="C480"/>
  <c r="C477"/>
  <c r="C476"/>
  <c r="C473"/>
  <c r="C472"/>
  <c r="C469"/>
  <c r="I469" s="1"/>
  <c r="E133" i="196" s="1"/>
  <c r="C468" i="195"/>
  <c r="C465"/>
  <c r="C464"/>
  <c r="C461"/>
  <c r="C460"/>
  <c r="C457"/>
  <c r="I457" s="1"/>
  <c r="E125" i="196" s="1"/>
  <c r="C456" i="195"/>
  <c r="C453"/>
  <c r="I453" s="1"/>
  <c r="E121" i="196" s="1"/>
  <c r="C452" i="195"/>
  <c r="C449"/>
  <c r="C448"/>
  <c r="C445"/>
  <c r="I445" s="1"/>
  <c r="E113" i="196" s="1"/>
  <c r="C444" i="195"/>
  <c r="C441"/>
  <c r="I441" s="1"/>
  <c r="E105" i="196" s="1"/>
  <c r="C440" i="195"/>
  <c r="C437"/>
  <c r="C436"/>
  <c r="C433"/>
  <c r="I433" s="1"/>
  <c r="E93" i="196" s="1"/>
  <c r="C432" i="195"/>
  <c r="C429"/>
  <c r="I429" s="1"/>
  <c r="E97" i="196" s="1"/>
  <c r="C428" i="195"/>
  <c r="C425"/>
  <c r="I425" s="1"/>
  <c r="E85" i="196" s="1"/>
  <c r="C424" i="195"/>
  <c r="C421"/>
  <c r="C420"/>
  <c r="C417"/>
  <c r="C416"/>
  <c r="C413"/>
  <c r="C412"/>
  <c r="C409"/>
  <c r="C408"/>
  <c r="C405"/>
  <c r="I405" s="1"/>
  <c r="E61" i="196" s="1"/>
  <c r="C404" i="195"/>
  <c r="C401"/>
  <c r="I401" s="1"/>
  <c r="E49" i="196" s="1"/>
  <c r="C400" i="195"/>
  <c r="C397"/>
  <c r="C396"/>
  <c r="C393"/>
  <c r="I393" s="1"/>
  <c r="E53" i="196" s="1"/>
  <c r="C392" i="195"/>
  <c r="C389"/>
  <c r="C388"/>
  <c r="C385"/>
  <c r="C384"/>
  <c r="C376"/>
  <c r="C375"/>
  <c r="C372"/>
  <c r="C371"/>
  <c r="C368"/>
  <c r="C367"/>
  <c r="C364"/>
  <c r="I364" s="1"/>
  <c r="C363"/>
  <c r="C360"/>
  <c r="I360" s="1"/>
  <c r="D165" i="196" s="1"/>
  <c r="C359" i="195"/>
  <c r="C355"/>
  <c r="C351"/>
  <c r="C348"/>
  <c r="C347"/>
  <c r="C344"/>
  <c r="I344" s="1"/>
  <c r="D149" i="196" s="1"/>
  <c r="C343" i="195"/>
  <c r="C340"/>
  <c r="C339"/>
  <c r="C336"/>
  <c r="I336" s="1"/>
  <c r="D141" i="196" s="1"/>
  <c r="C335" i="195"/>
  <c r="C332"/>
  <c r="I332" s="1"/>
  <c r="D137" i="196" s="1"/>
  <c r="C331" i="195"/>
  <c r="C328"/>
  <c r="I328" s="1"/>
  <c r="D133" i="196" s="1"/>
  <c r="C327" i="195"/>
  <c r="C324"/>
  <c r="I324" s="1"/>
  <c r="D77" i="196" s="1"/>
  <c r="C323" i="195"/>
  <c r="C320"/>
  <c r="I320" s="1"/>
  <c r="D129" i="196" s="1"/>
  <c r="C319" i="195"/>
  <c r="C316"/>
  <c r="I316" s="1"/>
  <c r="D125" i="196" s="1"/>
  <c r="C315" i="195"/>
  <c r="C312"/>
  <c r="C311"/>
  <c r="C308"/>
  <c r="I308" s="1"/>
  <c r="D117" i="196" s="1"/>
  <c r="C307" i="195"/>
  <c r="C304"/>
  <c r="C303"/>
  <c r="C300"/>
  <c r="C299"/>
  <c r="C296"/>
  <c r="C295"/>
  <c r="C292"/>
  <c r="C291"/>
  <c r="C288"/>
  <c r="C287"/>
  <c r="C284"/>
  <c r="C283"/>
  <c r="C280"/>
  <c r="C279"/>
  <c r="C276"/>
  <c r="I276" s="1"/>
  <c r="D81" i="196" s="1"/>
  <c r="C275" i="195"/>
  <c r="C272"/>
  <c r="I272" s="1"/>
  <c r="D73" i="196" s="1"/>
  <c r="C271" i="195"/>
  <c r="C268"/>
  <c r="C267"/>
  <c r="C264"/>
  <c r="C263"/>
  <c r="C260"/>
  <c r="C259"/>
  <c r="C256"/>
  <c r="I256" s="1"/>
  <c r="D49" i="196" s="1"/>
  <c r="C255" i="195"/>
  <c r="C252"/>
  <c r="I252" s="1"/>
  <c r="D57" i="196" s="1"/>
  <c r="C251" i="195"/>
  <c r="C248"/>
  <c r="I248" s="1"/>
  <c r="D53" i="196" s="1"/>
  <c r="C247" i="195"/>
  <c r="C244"/>
  <c r="I244" s="1"/>
  <c r="D45" i="196" s="1"/>
  <c r="C243" i="195"/>
  <c r="C240"/>
  <c r="I240" s="1"/>
  <c r="D37" i="196" s="1"/>
  <c r="C239" i="195"/>
  <c r="C230"/>
  <c r="C227"/>
  <c r="I227" s="1"/>
  <c r="C226"/>
  <c r="C222"/>
  <c r="C218"/>
  <c r="C215"/>
  <c r="I215" s="1"/>
  <c r="C169" i="196" s="1"/>
  <c r="C214" i="195"/>
  <c r="C211"/>
  <c r="I211" s="1"/>
  <c r="C210"/>
  <c r="C206"/>
  <c r="C202"/>
  <c r="C198"/>
  <c r="C194"/>
  <c r="C191"/>
  <c r="I191" s="1"/>
  <c r="C187"/>
  <c r="I187" s="1"/>
  <c r="C183"/>
  <c r="C182"/>
  <c r="C179"/>
  <c r="C174"/>
  <c r="C171"/>
  <c r="C170"/>
  <c r="C167"/>
  <c r="I167" s="1"/>
  <c r="C153" i="196" s="1"/>
  <c r="C166" i="195"/>
  <c r="C163"/>
  <c r="I163" s="1"/>
  <c r="C149" i="196" s="1"/>
  <c r="C162" i="195"/>
  <c r="C159"/>
  <c r="C158"/>
  <c r="C155"/>
  <c r="C154"/>
  <c r="I154" s="1"/>
  <c r="C140" i="196" s="1"/>
  <c r="C151" i="195"/>
  <c r="I151" s="1"/>
  <c r="C137" i="196" s="1"/>
  <c r="C150" i="195"/>
  <c r="C147"/>
  <c r="C146"/>
  <c r="I146" s="1"/>
  <c r="C132" i="196" s="1"/>
  <c r="C143" i="195"/>
  <c r="C139"/>
  <c r="I139" s="1"/>
  <c r="C125" i="196" s="1"/>
  <c r="C135" i="195"/>
  <c r="I135" s="1"/>
  <c r="C121" i="196" s="1"/>
  <c r="C134" i="195"/>
  <c r="C131"/>
  <c r="C130"/>
  <c r="G910" i="140"/>
  <c r="G909"/>
  <c r="G906"/>
  <c r="G905"/>
  <c r="G902"/>
  <c r="G901"/>
  <c r="G898"/>
  <c r="G897"/>
  <c r="G894"/>
  <c r="G893"/>
  <c r="G890"/>
  <c r="G889"/>
  <c r="G886"/>
  <c r="G885"/>
  <c r="G882"/>
  <c r="G881"/>
  <c r="G878"/>
  <c r="G877"/>
  <c r="G874"/>
  <c r="G873"/>
  <c r="G870"/>
  <c r="G869"/>
  <c r="G866"/>
  <c r="G865"/>
  <c r="G862"/>
  <c r="G861"/>
  <c r="G858"/>
  <c r="G857"/>
  <c r="G854"/>
  <c r="G853"/>
  <c r="G850"/>
  <c r="G849"/>
  <c r="G846"/>
  <c r="G845"/>
  <c r="G842"/>
  <c r="G841"/>
  <c r="G838"/>
  <c r="G837"/>
  <c r="G834"/>
  <c r="G833"/>
  <c r="G830"/>
  <c r="G829"/>
  <c r="G826"/>
  <c r="G825"/>
  <c r="G822"/>
  <c r="G821"/>
  <c r="G818"/>
  <c r="G817"/>
  <c r="G814"/>
  <c r="G813"/>
  <c r="G810"/>
  <c r="G809"/>
  <c r="G806"/>
  <c r="G805"/>
  <c r="G802"/>
  <c r="G801"/>
  <c r="G798"/>
  <c r="G797"/>
  <c r="G794"/>
  <c r="G793"/>
  <c r="G790"/>
  <c r="G789"/>
  <c r="G786"/>
  <c r="G785"/>
  <c r="G782"/>
  <c r="G781"/>
  <c r="G778"/>
  <c r="G777"/>
  <c r="G774"/>
  <c r="G773"/>
  <c r="G770"/>
  <c r="G769"/>
  <c r="G766"/>
  <c r="G765"/>
  <c r="G762"/>
  <c r="G761"/>
  <c r="G758"/>
  <c r="G757"/>
  <c r="G754"/>
  <c r="G753"/>
  <c r="G750"/>
  <c r="G749"/>
  <c r="G744"/>
  <c r="G743"/>
  <c r="G740"/>
  <c r="G739"/>
  <c r="G736"/>
  <c r="G735"/>
  <c r="G732"/>
  <c r="G731"/>
  <c r="G728"/>
  <c r="G727"/>
  <c r="G724"/>
  <c r="G723"/>
  <c r="G720"/>
  <c r="G719"/>
  <c r="G716"/>
  <c r="G715"/>
  <c r="G712"/>
  <c r="G711"/>
  <c r="G708"/>
  <c r="G707"/>
  <c r="G704"/>
  <c r="G703"/>
  <c r="G700"/>
  <c r="G699"/>
  <c r="G694"/>
  <c r="G693"/>
  <c r="G689"/>
  <c r="G688"/>
  <c r="G685"/>
  <c r="G684"/>
  <c r="G681"/>
  <c r="G680"/>
  <c r="G677"/>
  <c r="G676"/>
  <c r="G673"/>
  <c r="G672"/>
  <c r="G668"/>
  <c r="G664"/>
  <c r="G663"/>
  <c r="G660"/>
  <c r="G659"/>
  <c r="G656"/>
  <c r="G655"/>
  <c r="G652"/>
  <c r="G651"/>
  <c r="G648"/>
  <c r="G647"/>
  <c r="G644"/>
  <c r="G643"/>
  <c r="G639"/>
  <c r="G638"/>
  <c r="G635"/>
  <c r="G634"/>
  <c r="G631"/>
  <c r="G630"/>
  <c r="G627"/>
  <c r="G626"/>
  <c r="G622"/>
  <c r="G621"/>
  <c r="G618"/>
  <c r="G617"/>
  <c r="G614"/>
  <c r="G613"/>
  <c r="G610"/>
  <c r="G609"/>
  <c r="G606"/>
  <c r="G605"/>
  <c r="G602"/>
  <c r="G598"/>
  <c r="G597"/>
  <c r="G594"/>
  <c r="G593"/>
  <c r="G590"/>
  <c r="G589"/>
  <c r="G586"/>
  <c r="G585"/>
  <c r="G582"/>
  <c r="G581"/>
  <c r="G578"/>
  <c r="G577"/>
  <c r="G574"/>
  <c r="G573"/>
  <c r="G569"/>
  <c r="G568"/>
  <c r="G565"/>
  <c r="G564"/>
  <c r="G561"/>
  <c r="G560"/>
  <c r="G557"/>
  <c r="G556"/>
  <c r="G553"/>
  <c r="G552"/>
  <c r="G549"/>
  <c r="G548"/>
  <c r="G545"/>
  <c r="G544"/>
  <c r="G541"/>
  <c r="G540"/>
  <c r="G537"/>
  <c r="G536"/>
  <c r="G533"/>
  <c r="G532"/>
  <c r="G529"/>
  <c r="G520"/>
  <c r="G519"/>
  <c r="G516"/>
  <c r="G515"/>
  <c r="G512"/>
  <c r="G511"/>
  <c r="G508"/>
  <c r="G507"/>
  <c r="G509"/>
  <c r="G504"/>
  <c r="G503"/>
  <c r="G500"/>
  <c r="G499"/>
  <c r="G496"/>
  <c r="G495"/>
  <c r="G492"/>
  <c r="G491"/>
  <c r="G488"/>
  <c r="G487"/>
  <c r="G484"/>
  <c r="G483"/>
  <c r="G480"/>
  <c r="G479"/>
  <c r="G476"/>
  <c r="G475"/>
  <c r="G472"/>
  <c r="G471"/>
  <c r="G468"/>
  <c r="G467"/>
  <c r="G464"/>
  <c r="G463"/>
  <c r="G460"/>
  <c r="G459"/>
  <c r="G456"/>
  <c r="G455"/>
  <c r="G452"/>
  <c r="G451"/>
  <c r="G448"/>
  <c r="G447"/>
  <c r="G444"/>
  <c r="G443"/>
  <c r="G440"/>
  <c r="G439"/>
  <c r="G436"/>
  <c r="G435"/>
  <c r="G432"/>
  <c r="G431"/>
  <c r="G428"/>
  <c r="G427"/>
  <c r="G424"/>
  <c r="G423"/>
  <c r="G420"/>
  <c r="G419"/>
  <c r="G416"/>
  <c r="G415"/>
  <c r="G412"/>
  <c r="G411"/>
  <c r="G408"/>
  <c r="G407"/>
  <c r="G404"/>
  <c r="G403"/>
  <c r="G400"/>
  <c r="G399"/>
  <c r="G396"/>
  <c r="G395"/>
  <c r="G392"/>
  <c r="G391"/>
  <c r="G388"/>
  <c r="G387"/>
  <c r="G379"/>
  <c r="G378"/>
  <c r="G375"/>
  <c r="G374"/>
  <c r="G371"/>
  <c r="G370"/>
  <c r="G367"/>
  <c r="G366"/>
  <c r="G363"/>
  <c r="G362"/>
  <c r="G358"/>
  <c r="G354"/>
  <c r="G351"/>
  <c r="G350"/>
  <c r="G347"/>
  <c r="G346"/>
  <c r="G343"/>
  <c r="G342"/>
  <c r="G339"/>
  <c r="G338"/>
  <c r="G335"/>
  <c r="G334"/>
  <c r="G331"/>
  <c r="G330"/>
  <c r="G327"/>
  <c r="G326"/>
  <c r="G323"/>
  <c r="G322"/>
  <c r="G319"/>
  <c r="G318"/>
  <c r="G315"/>
  <c r="G314"/>
  <c r="G311"/>
  <c r="G310"/>
  <c r="G307"/>
  <c r="G306"/>
  <c r="G303"/>
  <c r="G302"/>
  <c r="G299"/>
  <c r="G298"/>
  <c r="G295"/>
  <c r="G294"/>
  <c r="G291"/>
  <c r="G290"/>
  <c r="G287"/>
  <c r="G286"/>
  <c r="G283"/>
  <c r="G282"/>
  <c r="G279"/>
  <c r="G278"/>
  <c r="G275"/>
  <c r="G274"/>
  <c r="G271"/>
  <c r="G270"/>
  <c r="G267"/>
  <c r="G266"/>
  <c r="G263"/>
  <c r="G262"/>
  <c r="G259"/>
  <c r="G258"/>
  <c r="G255"/>
  <c r="G254"/>
  <c r="G251"/>
  <c r="G250"/>
  <c r="G247"/>
  <c r="G246"/>
  <c r="G243"/>
  <c r="G242"/>
  <c r="G232"/>
  <c r="G229"/>
  <c r="G228"/>
  <c r="G224"/>
  <c r="G220"/>
  <c r="G216"/>
  <c r="G212"/>
  <c r="G208"/>
  <c r="G204"/>
  <c r="G201"/>
  <c r="G197"/>
  <c r="G193"/>
  <c r="G192"/>
  <c r="G189"/>
  <c r="G188"/>
  <c r="G185"/>
  <c r="G184"/>
  <c r="G181"/>
  <c r="G176"/>
  <c r="G173"/>
  <c r="G172"/>
  <c r="G169"/>
  <c r="G168"/>
  <c r="G165"/>
  <c r="G164"/>
  <c r="G161"/>
  <c r="G160"/>
  <c r="G157"/>
  <c r="G156"/>
  <c r="G153"/>
  <c r="G152"/>
  <c r="G149"/>
  <c r="G148"/>
  <c r="G145"/>
  <c r="G141"/>
  <c r="G137"/>
  <c r="G136"/>
  <c r="G133"/>
  <c r="G132"/>
  <c r="G129"/>
  <c r="G125"/>
  <c r="G124"/>
  <c r="G121"/>
  <c r="G120"/>
  <c r="G117"/>
  <c r="G116"/>
  <c r="G113"/>
  <c r="G109"/>
  <c r="G105"/>
  <c r="G104"/>
  <c r="G101"/>
  <c r="G100"/>
  <c r="G97"/>
  <c r="G96"/>
  <c r="G93"/>
  <c r="G92"/>
  <c r="G84"/>
  <c r="G81"/>
  <c r="G80"/>
  <c r="G77"/>
  <c r="G76"/>
  <c r="G72"/>
  <c r="G69"/>
  <c r="G68"/>
  <c r="G65"/>
  <c r="G64"/>
  <c r="G61"/>
  <c r="G60"/>
  <c r="G57"/>
  <c r="G56"/>
  <c r="G53"/>
  <c r="G52"/>
  <c r="G49"/>
  <c r="G48"/>
  <c r="G45"/>
  <c r="G44"/>
  <c r="G41"/>
  <c r="G40"/>
  <c r="G36"/>
  <c r="G35"/>
  <c r="G32"/>
  <c r="G31"/>
  <c r="G28"/>
  <c r="G27"/>
  <c r="G24"/>
  <c r="G23"/>
  <c r="G20"/>
  <c r="G16"/>
  <c r="G12"/>
  <c r="G11"/>
  <c r="F1159"/>
  <c r="I900" i="195" l="1"/>
  <c r="I896"/>
  <c r="I899"/>
  <c r="I892"/>
  <c r="I895"/>
  <c r="I891"/>
  <c r="I884"/>
  <c r="I887"/>
  <c r="I880"/>
  <c r="I883"/>
  <c r="I879"/>
  <c r="I872"/>
  <c r="I875"/>
  <c r="I868"/>
  <c r="I871"/>
  <c r="I867"/>
  <c r="I860"/>
  <c r="I863"/>
  <c r="I856"/>
  <c r="I859"/>
  <c r="I852"/>
  <c r="I855"/>
  <c r="I848"/>
  <c r="I851"/>
  <c r="I844"/>
  <c r="I847"/>
  <c r="I840"/>
  <c r="I843"/>
  <c r="I836"/>
  <c r="I839"/>
  <c r="I832"/>
  <c r="I835"/>
  <c r="I831"/>
  <c r="I820"/>
  <c r="I828"/>
  <c r="I816"/>
  <c r="I824"/>
  <c r="I815"/>
  <c r="I819"/>
  <c r="I823"/>
  <c r="I827"/>
  <c r="I803"/>
  <c r="I807"/>
  <c r="I811"/>
  <c r="I796"/>
  <c r="I799"/>
  <c r="I795"/>
  <c r="I791"/>
  <c r="I787"/>
  <c r="I780"/>
  <c r="I783"/>
  <c r="I776"/>
  <c r="I779"/>
  <c r="I772"/>
  <c r="I775"/>
  <c r="I771"/>
  <c r="I767"/>
  <c r="I763"/>
  <c r="I759"/>
  <c r="I752"/>
  <c r="I755"/>
  <c r="I748"/>
  <c r="I751"/>
  <c r="I747"/>
  <c r="I743"/>
  <c r="I739"/>
  <c r="I731"/>
  <c r="I734"/>
  <c r="I727"/>
  <c r="I730"/>
  <c r="I723"/>
  <c r="I726"/>
  <c r="I719"/>
  <c r="I722"/>
  <c r="I715"/>
  <c r="I718"/>
  <c r="I714"/>
  <c r="I707"/>
  <c r="I710"/>
  <c r="I706"/>
  <c r="I699"/>
  <c r="I702"/>
  <c r="I691"/>
  <c r="I694"/>
  <c r="I687"/>
  <c r="I690"/>
  <c r="I683"/>
  <c r="I686"/>
  <c r="I682"/>
  <c r="I670"/>
  <c r="I674"/>
  <c r="I678"/>
  <c r="I666"/>
  <c r="I658"/>
  <c r="I655"/>
  <c r="I651"/>
  <c r="I654"/>
  <c r="I650"/>
  <c r="I646"/>
  <c r="I639"/>
  <c r="I642"/>
  <c r="I635"/>
  <c r="I638"/>
  <c r="I631"/>
  <c r="I634"/>
  <c r="I627"/>
  <c r="I630"/>
  <c r="I623"/>
  <c r="I626"/>
  <c r="I622"/>
  <c r="I614"/>
  <c r="I617"/>
  <c r="I610"/>
  <c r="I613"/>
  <c r="I606"/>
  <c r="I609"/>
  <c r="I602"/>
  <c r="I605"/>
  <c r="I598"/>
  <c r="I601"/>
  <c r="I594"/>
  <c r="I593"/>
  <c r="I586"/>
  <c r="I589"/>
  <c r="I582"/>
  <c r="I585"/>
  <c r="I578"/>
  <c r="I581"/>
  <c r="I577"/>
  <c r="I570"/>
  <c r="I573"/>
  <c r="I569"/>
  <c r="I565"/>
  <c r="I561"/>
  <c r="I557"/>
  <c r="I550"/>
  <c r="I553"/>
  <c r="I546"/>
  <c r="I549"/>
  <c r="I542"/>
  <c r="I545"/>
  <c r="I538"/>
  <c r="I541"/>
  <c r="I534"/>
  <c r="I537"/>
  <c r="I533"/>
  <c r="I529"/>
  <c r="I517"/>
  <c r="I513"/>
  <c r="I516"/>
  <c r="I509"/>
  <c r="I512"/>
  <c r="I508"/>
  <c r="I501"/>
  <c r="E165" i="196" s="1"/>
  <c r="I504" i="195"/>
  <c r="I497"/>
  <c r="E161" i="196" s="1"/>
  <c r="I500" i="195"/>
  <c r="E164" i="196" s="1"/>
  <c r="I496" i="195"/>
  <c r="E160" i="196" s="1"/>
  <c r="I489" i="195"/>
  <c r="E153" i="196" s="1"/>
  <c r="I492" i="195"/>
  <c r="E156" i="196" s="1"/>
  <c r="I485" i="195"/>
  <c r="E149" i="196" s="1"/>
  <c r="I488" i="195"/>
  <c r="E152" i="196" s="1"/>
  <c r="I481" i="195"/>
  <c r="E145" i="196" s="1"/>
  <c r="I484" i="195"/>
  <c r="E148" i="196" s="1"/>
  <c r="I477" i="195"/>
  <c r="E141" i="196" s="1"/>
  <c r="I480" i="195"/>
  <c r="E144" i="196" s="1"/>
  <c r="I473" i="195"/>
  <c r="E137" i="196" s="1"/>
  <c r="I476" i="195"/>
  <c r="E140" i="196" s="1"/>
  <c r="I472" i="195"/>
  <c r="E136" i="196" s="1"/>
  <c r="I465" i="195"/>
  <c r="E77" i="196" s="1"/>
  <c r="I468" i="195"/>
  <c r="E132" i="196" s="1"/>
  <c r="I461" i="195"/>
  <c r="E129" i="196" s="1"/>
  <c r="I464" i="195"/>
  <c r="E76" i="196" s="1"/>
  <c r="I460" i="195"/>
  <c r="E128" i="196" s="1"/>
  <c r="I456" i="195"/>
  <c r="E124" i="196" s="1"/>
  <c r="I449" i="195"/>
  <c r="E117" i="196" s="1"/>
  <c r="I452" i="195"/>
  <c r="E120" i="196" s="1"/>
  <c r="I448" i="195"/>
  <c r="E116" i="196" s="1"/>
  <c r="I444" i="195"/>
  <c r="E112" i="196" s="1"/>
  <c r="I437" i="195"/>
  <c r="E101" i="196" s="1"/>
  <c r="I440" i="195"/>
  <c r="E104" i="196" s="1"/>
  <c r="I436" i="195"/>
  <c r="E100" i="196" s="1"/>
  <c r="I432" i="195"/>
  <c r="E92" i="196" s="1"/>
  <c r="I428" i="195"/>
  <c r="E96" i="196" s="1"/>
  <c r="I421" i="195"/>
  <c r="E81" i="196" s="1"/>
  <c r="I424" i="195"/>
  <c r="E84" i="196" s="1"/>
  <c r="I417" i="195"/>
  <c r="E73" i="196" s="1"/>
  <c r="I420" i="195"/>
  <c r="E80" i="196" s="1"/>
  <c r="I413" i="195"/>
  <c r="E69" i="196" s="1"/>
  <c r="I416" i="195"/>
  <c r="E72" i="196" s="1"/>
  <c r="I409" i="195"/>
  <c r="E65" i="196" s="1"/>
  <c r="I412" i="195"/>
  <c r="E68" i="196" s="1"/>
  <c r="I408" i="195"/>
  <c r="E64" i="196" s="1"/>
  <c r="I404" i="195"/>
  <c r="E60" i="196" s="1"/>
  <c r="I397" i="195"/>
  <c r="E57" i="196" s="1"/>
  <c r="I400" i="195"/>
  <c r="E48" i="196" s="1"/>
  <c r="I396" i="195"/>
  <c r="E56" i="196" s="1"/>
  <c r="I389" i="195"/>
  <c r="E45" i="196" s="1"/>
  <c r="I392" i="195"/>
  <c r="E52" i="196" s="1"/>
  <c r="I385" i="195"/>
  <c r="E37" i="196" s="1"/>
  <c r="I388" i="195"/>
  <c r="E44" i="196" s="1"/>
  <c r="I384" i="195"/>
  <c r="E36" i="196" s="1"/>
  <c r="I376" i="195"/>
  <c r="I372"/>
  <c r="I375"/>
  <c r="I368"/>
  <c r="I371"/>
  <c r="I367"/>
  <c r="I363"/>
  <c r="I359"/>
  <c r="D164" i="196" s="1"/>
  <c r="I355" i="195"/>
  <c r="D160" i="196" s="1"/>
  <c r="I348" i="195"/>
  <c r="D153" i="196" s="1"/>
  <c r="I351" i="195"/>
  <c r="D156" i="196" s="1"/>
  <c r="I347" i="195"/>
  <c r="D152" i="196" s="1"/>
  <c r="I340" i="195"/>
  <c r="D145" i="196" s="1"/>
  <c r="I343" i="195"/>
  <c r="D148" i="196" s="1"/>
  <c r="I339" i="195"/>
  <c r="D144" i="196" s="1"/>
  <c r="I323" i="195"/>
  <c r="D76" i="196" s="1"/>
  <c r="I327" i="195"/>
  <c r="D132" i="196" s="1"/>
  <c r="I331" i="195"/>
  <c r="D136" i="196" s="1"/>
  <c r="I335" i="195"/>
  <c r="D140" i="196" s="1"/>
  <c r="I319" i="195"/>
  <c r="D128" i="196" s="1"/>
  <c r="I312" i="195"/>
  <c r="D121" i="196" s="1"/>
  <c r="I315" i="195"/>
  <c r="D124" i="196" s="1"/>
  <c r="I311" i="195"/>
  <c r="D120" i="196" s="1"/>
  <c r="I307" i="195"/>
  <c r="D116" i="196" s="1"/>
  <c r="I296" i="195"/>
  <c r="D105" i="196" s="1"/>
  <c r="I304" i="195"/>
  <c r="D113" i="196" s="1"/>
  <c r="I300" i="195"/>
  <c r="D109" i="196" s="1"/>
  <c r="I292" i="195"/>
  <c r="D101" i="196" s="1"/>
  <c r="I295" i="195"/>
  <c r="D104" i="196" s="1"/>
  <c r="I299" i="195"/>
  <c r="D108" i="196" s="1"/>
  <c r="I303" i="195"/>
  <c r="D112" i="196" s="1"/>
  <c r="I288" i="195"/>
  <c r="D93" i="196" s="1"/>
  <c r="I291" i="195"/>
  <c r="D100" i="196" s="1"/>
  <c r="I284" i="195"/>
  <c r="D97" i="196" s="1"/>
  <c r="I287" i="195"/>
  <c r="D92" i="196" s="1"/>
  <c r="I280" i="195"/>
  <c r="D85" i="196" s="1"/>
  <c r="I283" i="195"/>
  <c r="D96" i="196" s="1"/>
  <c r="I279" i="195"/>
  <c r="D84" i="196" s="1"/>
  <c r="I275" i="195"/>
  <c r="D80" i="196" s="1"/>
  <c r="I271" i="195"/>
  <c r="D72" i="196" s="1"/>
  <c r="I260" i="195"/>
  <c r="I268"/>
  <c r="D69" i="196" s="1"/>
  <c r="I264" i="195"/>
  <c r="I259"/>
  <c r="I263"/>
  <c r="I267"/>
  <c r="D68" i="196" s="1"/>
  <c r="I239" i="195"/>
  <c r="D36" i="196" s="1"/>
  <c r="I243" i="195"/>
  <c r="D44" i="196" s="1"/>
  <c r="I247" i="195"/>
  <c r="D52" i="196" s="1"/>
  <c r="I251" i="195"/>
  <c r="D56" i="196" s="1"/>
  <c r="I255" i="195"/>
  <c r="D48" i="196" s="1"/>
  <c r="I230" i="195"/>
  <c r="I226"/>
  <c r="I222"/>
  <c r="I218"/>
  <c r="I210"/>
  <c r="I214"/>
  <c r="C168" i="196" s="1"/>
  <c r="I206" i="195"/>
  <c r="I202"/>
  <c r="I198"/>
  <c r="I194"/>
  <c r="I183"/>
  <c r="I179"/>
  <c r="C165" i="196" s="1"/>
  <c r="I182" i="195"/>
  <c r="I171"/>
  <c r="C157" i="196" s="1"/>
  <c r="I170" i="195"/>
  <c r="C156" i="196" s="1"/>
  <c r="I174" i="195"/>
  <c r="C160" i="196" s="1"/>
  <c r="I159" i="195"/>
  <c r="C145" i="196" s="1"/>
  <c r="I162" i="195"/>
  <c r="C148" i="196" s="1"/>
  <c r="I166" i="195"/>
  <c r="C152" i="196" s="1"/>
  <c r="I155" i="195"/>
  <c r="C141" i="196" s="1"/>
  <c r="I158" i="195"/>
  <c r="C144" i="196" s="1"/>
  <c r="I147" i="195"/>
  <c r="C133" i="196" s="1"/>
  <c r="I150" i="195"/>
  <c r="C136" i="196" s="1"/>
  <c r="I143" i="195"/>
  <c r="C129" i="196" s="1"/>
  <c r="I131" i="195"/>
  <c r="C117" i="196" s="1"/>
  <c r="I134" i="195"/>
  <c r="C120" i="196" s="1"/>
  <c r="I130" i="195"/>
  <c r="C116" i="196" s="1"/>
  <c r="D65" l="1"/>
  <c r="D61"/>
  <c r="D64"/>
  <c r="D60"/>
  <c r="G565" i="216"/>
  <c r="G564"/>
  <c r="G562"/>
  <c r="G561"/>
  <c r="G546"/>
  <c r="G545"/>
  <c r="G543"/>
  <c r="G542"/>
  <c r="F568"/>
  <c r="F557"/>
  <c r="G560"/>
  <c r="E557"/>
  <c r="E554"/>
  <c r="G541"/>
  <c r="G579"/>
  <c r="F538"/>
  <c r="E538"/>
  <c r="E535"/>
  <c r="N6" i="250" l="1"/>
  <c r="N5"/>
  <c r="N4"/>
  <c r="K4"/>
  <c r="C4"/>
  <c r="N6" i="240"/>
  <c r="N5"/>
  <c r="N4"/>
  <c r="K4"/>
  <c r="C4"/>
  <c r="C4" i="226"/>
  <c r="C2" i="240"/>
  <c r="N6" i="226"/>
  <c r="N5"/>
  <c r="N4"/>
  <c r="C2"/>
  <c r="F494" i="216"/>
  <c r="F483"/>
  <c r="E483"/>
  <c r="E480"/>
  <c r="I58" i="132"/>
  <c r="I59"/>
  <c r="G19" i="140" l="1"/>
  <c r="C186" i="195"/>
  <c r="G196" i="140"/>
  <c r="F305" i="218"/>
  <c r="G305" s="1"/>
  <c r="F306"/>
  <c r="G306" s="1"/>
  <c r="F307"/>
  <c r="G307" s="1"/>
  <c r="F312"/>
  <c r="G312" s="1"/>
  <c r="G313" s="1"/>
  <c r="F315"/>
  <c r="G315" s="1"/>
  <c r="G316" s="1"/>
  <c r="F318"/>
  <c r="G318" s="1"/>
  <c r="F319"/>
  <c r="G319" s="1"/>
  <c r="F320"/>
  <c r="G320" s="1"/>
  <c r="F321"/>
  <c r="G321" s="1"/>
  <c r="F326"/>
  <c r="G326" s="1"/>
  <c r="G328" s="1"/>
  <c r="F331"/>
  <c r="G331" s="1"/>
  <c r="G333" s="1"/>
  <c r="G334" s="1"/>
  <c r="F337"/>
  <c r="G337" s="1"/>
  <c r="G339" s="1"/>
  <c r="G340" s="1"/>
  <c r="F343"/>
  <c r="G343" s="1"/>
  <c r="G345" s="1"/>
  <c r="G346" s="1"/>
  <c r="F348"/>
  <c r="G348" s="1"/>
  <c r="G350" s="1"/>
  <c r="F352"/>
  <c r="G352" s="1"/>
  <c r="G354" s="1"/>
  <c r="F356"/>
  <c r="G356" s="1"/>
  <c r="G358" s="1"/>
  <c r="F360"/>
  <c r="G360" s="1"/>
  <c r="G362" s="1"/>
  <c r="F364"/>
  <c r="G364" s="1"/>
  <c r="F365"/>
  <c r="G365" s="1"/>
  <c r="F370"/>
  <c r="G370" s="1"/>
  <c r="G372" s="1"/>
  <c r="F373"/>
  <c r="G373" s="1"/>
  <c r="G375" s="1"/>
  <c r="F376"/>
  <c r="G376" s="1"/>
  <c r="G378" s="1"/>
  <c r="F379"/>
  <c r="G379" s="1"/>
  <c r="G381" s="1"/>
  <c r="F383"/>
  <c r="G383" s="1"/>
  <c r="G385" s="1"/>
  <c r="F387"/>
  <c r="G387" s="1"/>
  <c r="G389" s="1"/>
  <c r="F391"/>
  <c r="G391" s="1"/>
  <c r="G393" s="1"/>
  <c r="F396"/>
  <c r="G396" s="1"/>
  <c r="F397"/>
  <c r="G397" s="1"/>
  <c r="F398"/>
  <c r="G398" s="1"/>
  <c r="F399"/>
  <c r="G399" s="1"/>
  <c r="F400"/>
  <c r="G400" s="1"/>
  <c r="F401"/>
  <c r="G401" s="1"/>
  <c r="F407"/>
  <c r="G407" s="1"/>
  <c r="F409"/>
  <c r="G409" s="1"/>
  <c r="F411"/>
  <c r="G411" s="1"/>
  <c r="F414"/>
  <c r="G414" s="1"/>
  <c r="G415" s="1"/>
  <c r="F417"/>
  <c r="G417" s="1"/>
  <c r="G418" s="1"/>
  <c r="F420"/>
  <c r="G420" s="1"/>
  <c r="G421" s="1"/>
  <c r="F423"/>
  <c r="G423" s="1"/>
  <c r="G424" s="1"/>
  <c r="F426"/>
  <c r="G426" s="1"/>
  <c r="G427" s="1"/>
  <c r="F429"/>
  <c r="G429" s="1"/>
  <c r="G430" s="1"/>
  <c r="F432"/>
  <c r="G432" s="1"/>
  <c r="G433" s="1"/>
  <c r="F435"/>
  <c r="G435" s="1"/>
  <c r="G436" s="1"/>
  <c r="F438"/>
  <c r="G438" s="1"/>
  <c r="G439" s="1"/>
  <c r="F441"/>
  <c r="G441" s="1"/>
  <c r="G442" s="1"/>
  <c r="F445"/>
  <c r="G445" s="1"/>
  <c r="G446" s="1"/>
  <c r="F449"/>
  <c r="G449" s="1"/>
  <c r="F450"/>
  <c r="G450" s="1"/>
  <c r="F451"/>
  <c r="G451" s="1"/>
  <c r="F456"/>
  <c r="G456" s="1"/>
  <c r="G457" s="1"/>
  <c r="F459"/>
  <c r="G459" s="1"/>
  <c r="G460" s="1"/>
  <c r="F462"/>
  <c r="G462" s="1"/>
  <c r="F463"/>
  <c r="G463" s="1"/>
  <c r="F464"/>
  <c r="G464" s="1"/>
  <c r="F465"/>
  <c r="G465" s="1"/>
  <c r="F470"/>
  <c r="G470" s="1"/>
  <c r="G472" s="1"/>
  <c r="F475"/>
  <c r="G475" s="1"/>
  <c r="G477" s="1"/>
  <c r="G478" s="1"/>
  <c r="F481"/>
  <c r="G481" s="1"/>
  <c r="G483" s="1"/>
  <c r="G484" s="1"/>
  <c r="F487"/>
  <c r="G487" s="1"/>
  <c r="G489" s="1"/>
  <c r="G490" s="1"/>
  <c r="F492"/>
  <c r="G492" s="1"/>
  <c r="G494" s="1"/>
  <c r="F496"/>
  <c r="G496" s="1"/>
  <c r="G498" s="1"/>
  <c r="F500"/>
  <c r="G500" s="1"/>
  <c r="G502" s="1"/>
  <c r="F504"/>
  <c r="G504" s="1"/>
  <c r="G506" s="1"/>
  <c r="F508"/>
  <c r="G508" s="1"/>
  <c r="F509"/>
  <c r="G509" s="1"/>
  <c r="F514"/>
  <c r="G514" s="1"/>
  <c r="G516" s="1"/>
  <c r="F517"/>
  <c r="G517" s="1"/>
  <c r="G519" s="1"/>
  <c r="F520"/>
  <c r="G520" s="1"/>
  <c r="G522" s="1"/>
  <c r="F523"/>
  <c r="G523" s="1"/>
  <c r="G525" s="1"/>
  <c r="F527"/>
  <c r="G527" s="1"/>
  <c r="G529" s="1"/>
  <c r="F531"/>
  <c r="G531" s="1"/>
  <c r="G533" s="1"/>
  <c r="F535"/>
  <c r="G535" s="1"/>
  <c r="G537" s="1"/>
  <c r="F540"/>
  <c r="G540" s="1"/>
  <c r="F541"/>
  <c r="G541" s="1"/>
  <c r="F542"/>
  <c r="G542" s="1"/>
  <c r="F543"/>
  <c r="G543" s="1"/>
  <c r="F544"/>
  <c r="G544" s="1"/>
  <c r="F545"/>
  <c r="G545" s="1"/>
  <c r="F551"/>
  <c r="G551" s="1"/>
  <c r="F553"/>
  <c r="G553" s="1"/>
  <c r="F555"/>
  <c r="G555" s="1"/>
  <c r="F558"/>
  <c r="G558" s="1"/>
  <c r="G559" s="1"/>
  <c r="F561"/>
  <c r="G561" s="1"/>
  <c r="G562" s="1"/>
  <c r="F564"/>
  <c r="G564" s="1"/>
  <c r="G565" s="1"/>
  <c r="F567"/>
  <c r="G567" s="1"/>
  <c r="G568" s="1"/>
  <c r="F570"/>
  <c r="G570" s="1"/>
  <c r="G571" s="1"/>
  <c r="F573"/>
  <c r="G573" s="1"/>
  <c r="G574" s="1"/>
  <c r="F576"/>
  <c r="G576" s="1"/>
  <c r="G577" s="1"/>
  <c r="F579"/>
  <c r="G579" s="1"/>
  <c r="G580" s="1"/>
  <c r="F582"/>
  <c r="G582" s="1"/>
  <c r="G583" s="1"/>
  <c r="F585"/>
  <c r="G585" s="1"/>
  <c r="G586" s="1"/>
  <c r="F589"/>
  <c r="G589" s="1"/>
  <c r="G590" s="1"/>
  <c r="H480" i="216"/>
  <c r="H481"/>
  <c r="H483"/>
  <c r="H484" s="1"/>
  <c r="F486" s="1"/>
  <c r="G485"/>
  <c r="G486"/>
  <c r="G487"/>
  <c r="H487" s="1"/>
  <c r="G488"/>
  <c r="H488" s="1"/>
  <c r="G489"/>
  <c r="H489" s="1"/>
  <c r="G490"/>
  <c r="H490" s="1"/>
  <c r="G491"/>
  <c r="H491" s="1"/>
  <c r="G492"/>
  <c r="H492" s="1"/>
  <c r="G494"/>
  <c r="H494" s="1"/>
  <c r="L494" s="1"/>
  <c r="L495" s="1"/>
  <c r="H499"/>
  <c r="H500"/>
  <c r="G502"/>
  <c r="F503"/>
  <c r="G503"/>
  <c r="F504"/>
  <c r="G504"/>
  <c r="H504" s="1"/>
  <c r="G505"/>
  <c r="H505" s="1"/>
  <c r="G506"/>
  <c r="H506" s="1"/>
  <c r="G507"/>
  <c r="H507" s="1"/>
  <c r="G508"/>
  <c r="G563" s="1"/>
  <c r="H508"/>
  <c r="G509"/>
  <c r="H509" s="1"/>
  <c r="G510"/>
  <c r="H510" s="1"/>
  <c r="F512"/>
  <c r="G512"/>
  <c r="H517"/>
  <c r="H518"/>
  <c r="G520"/>
  <c r="F521"/>
  <c r="G521"/>
  <c r="F522"/>
  <c r="H522" s="1"/>
  <c r="G522"/>
  <c r="G523"/>
  <c r="H523" s="1"/>
  <c r="G524"/>
  <c r="H524" s="1"/>
  <c r="G525"/>
  <c r="H525" s="1"/>
  <c r="G526"/>
  <c r="H526" s="1"/>
  <c r="G527"/>
  <c r="H527" s="1"/>
  <c r="G528"/>
  <c r="H528" s="1"/>
  <c r="F530"/>
  <c r="G530"/>
  <c r="H530" s="1"/>
  <c r="H535"/>
  <c r="H536"/>
  <c r="H538"/>
  <c r="H539" s="1"/>
  <c r="G540"/>
  <c r="G559" s="1"/>
  <c r="H542"/>
  <c r="H543"/>
  <c r="H545"/>
  <c r="H546"/>
  <c r="G547"/>
  <c r="H547" s="1"/>
  <c r="F549"/>
  <c r="H554"/>
  <c r="H555"/>
  <c r="H557"/>
  <c r="H558" s="1"/>
  <c r="F560" s="1"/>
  <c r="H573"/>
  <c r="H574"/>
  <c r="H576"/>
  <c r="H577" s="1"/>
  <c r="F579" s="1"/>
  <c r="H579" s="1"/>
  <c r="G578"/>
  <c r="G580"/>
  <c r="H580" s="1"/>
  <c r="G581"/>
  <c r="H581" s="1"/>
  <c r="G582"/>
  <c r="H582" s="1"/>
  <c r="G583"/>
  <c r="H583" s="1"/>
  <c r="G584"/>
  <c r="H584" s="1"/>
  <c r="G585"/>
  <c r="H585" s="1"/>
  <c r="F587"/>
  <c r="G587"/>
  <c r="H592"/>
  <c r="H593"/>
  <c r="H595"/>
  <c r="H596" s="1"/>
  <c r="F598" s="1"/>
  <c r="G597"/>
  <c r="G598"/>
  <c r="F606"/>
  <c r="G606"/>
  <c r="H606" s="1"/>
  <c r="H611"/>
  <c r="H612"/>
  <c r="H614"/>
  <c r="H615" s="1"/>
  <c r="F617" s="1"/>
  <c r="G616"/>
  <c r="G617"/>
  <c r="G619"/>
  <c r="H619" s="1"/>
  <c r="G623"/>
  <c r="H623" s="1"/>
  <c r="F625"/>
  <c r="G625"/>
  <c r="H631"/>
  <c r="H632"/>
  <c r="G634"/>
  <c r="F635"/>
  <c r="F636" s="1"/>
  <c r="G635"/>
  <c r="K635"/>
  <c r="G636"/>
  <c r="G637"/>
  <c r="H637" s="1"/>
  <c r="G638"/>
  <c r="H638" s="1"/>
  <c r="G639"/>
  <c r="H639" s="1"/>
  <c r="G640"/>
  <c r="H640" s="1"/>
  <c r="G641"/>
  <c r="H641" s="1"/>
  <c r="G642"/>
  <c r="H642" s="1"/>
  <c r="F644"/>
  <c r="G644"/>
  <c r="H644" s="1"/>
  <c r="L645"/>
  <c r="H650"/>
  <c r="H651"/>
  <c r="G653"/>
  <c r="F654"/>
  <c r="F655" s="1"/>
  <c r="G654"/>
  <c r="G655"/>
  <c r="G656"/>
  <c r="H656" s="1"/>
  <c r="G657"/>
  <c r="H657" s="1"/>
  <c r="G658"/>
  <c r="H658" s="1"/>
  <c r="G659"/>
  <c r="H659" s="1"/>
  <c r="G660"/>
  <c r="H660" s="1"/>
  <c r="G661"/>
  <c r="H661" s="1"/>
  <c r="F663"/>
  <c r="G663"/>
  <c r="L664"/>
  <c r="G666"/>
  <c r="H666" s="1"/>
  <c r="G668"/>
  <c r="H668" s="1"/>
  <c r="L670"/>
  <c r="F672"/>
  <c r="H672" s="1"/>
  <c r="F673"/>
  <c r="H673" s="1"/>
  <c r="F674"/>
  <c r="H674" s="1"/>
  <c r="F675"/>
  <c r="H675" s="1"/>
  <c r="G679"/>
  <c r="H679" s="1"/>
  <c r="G680"/>
  <c r="H680" s="1"/>
  <c r="F681"/>
  <c r="G681"/>
  <c r="G682"/>
  <c r="H682" s="1"/>
  <c r="G683"/>
  <c r="H683" s="1"/>
  <c r="G684"/>
  <c r="H684" s="1"/>
  <c r="G685"/>
  <c r="H685" s="1"/>
  <c r="G686"/>
  <c r="H686" s="1"/>
  <c r="F693"/>
  <c r="G694"/>
  <c r="H694" s="1"/>
  <c r="F702"/>
  <c r="H702" s="1"/>
  <c r="H703" s="1"/>
  <c r="F704"/>
  <c r="H704" s="1"/>
  <c r="H705" s="1"/>
  <c r="F706"/>
  <c r="H706" s="1"/>
  <c r="H707" s="1"/>
  <c r="F709"/>
  <c r="H709" s="1"/>
  <c r="H710" s="1"/>
  <c r="H715"/>
  <c r="H716"/>
  <c r="H718"/>
  <c r="H719" s="1"/>
  <c r="F721" s="1"/>
  <c r="G720"/>
  <c r="G721"/>
  <c r="G722"/>
  <c r="H722" s="1"/>
  <c r="G723"/>
  <c r="H723" s="1"/>
  <c r="G724"/>
  <c r="H724" s="1"/>
  <c r="G725"/>
  <c r="H725"/>
  <c r="G726"/>
  <c r="H726" s="1"/>
  <c r="G727"/>
  <c r="H727" s="1"/>
  <c r="G729"/>
  <c r="H729" s="1"/>
  <c r="L729" s="1"/>
  <c r="L730" s="1"/>
  <c r="H734"/>
  <c r="H735"/>
  <c r="F738"/>
  <c r="G738"/>
  <c r="F739"/>
  <c r="G739"/>
  <c r="H739" s="1"/>
  <c r="G740"/>
  <c r="H740" s="1"/>
  <c r="G741"/>
  <c r="H741" s="1"/>
  <c r="G742"/>
  <c r="H742" s="1"/>
  <c r="G743"/>
  <c r="H743" s="1"/>
  <c r="G744"/>
  <c r="H744" s="1"/>
  <c r="G745"/>
  <c r="H745" s="1"/>
  <c r="F747"/>
  <c r="G747"/>
  <c r="H747" s="1"/>
  <c r="H752"/>
  <c r="H753"/>
  <c r="G755"/>
  <c r="F756"/>
  <c r="G756"/>
  <c r="F757"/>
  <c r="G757"/>
  <c r="G758"/>
  <c r="H758" s="1"/>
  <c r="G759"/>
  <c r="H759" s="1"/>
  <c r="G760"/>
  <c r="H760" s="1"/>
  <c r="G761"/>
  <c r="H761" s="1"/>
  <c r="G762"/>
  <c r="H762" s="1"/>
  <c r="G763"/>
  <c r="H763" s="1"/>
  <c r="F765"/>
  <c r="G765"/>
  <c r="H770"/>
  <c r="H771"/>
  <c r="H773"/>
  <c r="H774" s="1"/>
  <c r="F776" s="1"/>
  <c r="G775"/>
  <c r="G794" s="1"/>
  <c r="G776"/>
  <c r="G795" s="1"/>
  <c r="G777"/>
  <c r="H777" s="1"/>
  <c r="G778"/>
  <c r="H778" s="1"/>
  <c r="G780"/>
  <c r="H780" s="1"/>
  <c r="G781"/>
  <c r="H781" s="1"/>
  <c r="G782"/>
  <c r="H782" s="1"/>
  <c r="F784"/>
  <c r="H789"/>
  <c r="H790"/>
  <c r="H792"/>
  <c r="H793" s="1"/>
  <c r="F795" s="1"/>
  <c r="F803"/>
  <c r="H808"/>
  <c r="H809"/>
  <c r="H811"/>
  <c r="H812" s="1"/>
  <c r="F814" s="1"/>
  <c r="G813"/>
  <c r="G814"/>
  <c r="G815"/>
  <c r="H815" s="1"/>
  <c r="G816"/>
  <c r="H816" s="1"/>
  <c r="G817"/>
  <c r="H817" s="1"/>
  <c r="G818"/>
  <c r="H818" s="1"/>
  <c r="G819"/>
  <c r="H819" s="1"/>
  <c r="G820"/>
  <c r="H820" s="1"/>
  <c r="F822"/>
  <c r="G822"/>
  <c r="H827"/>
  <c r="H828"/>
  <c r="H830"/>
  <c r="H831" s="1"/>
  <c r="F833" s="1"/>
  <c r="G832"/>
  <c r="G833"/>
  <c r="G835"/>
  <c r="H835" s="1"/>
  <c r="F841"/>
  <c r="H846"/>
  <c r="H847"/>
  <c r="H849"/>
  <c r="H850" s="1"/>
  <c r="F852" s="1"/>
  <c r="G851"/>
  <c r="G852"/>
  <c r="G853"/>
  <c r="H853" s="1"/>
  <c r="G854"/>
  <c r="H854" s="1"/>
  <c r="G856"/>
  <c r="H856" s="1"/>
  <c r="G857"/>
  <c r="H857" s="1"/>
  <c r="G858"/>
  <c r="H858" s="1"/>
  <c r="F860"/>
  <c r="H866"/>
  <c r="H867"/>
  <c r="G869"/>
  <c r="F870"/>
  <c r="F871" s="1"/>
  <c r="G870"/>
  <c r="H870" s="1"/>
  <c r="K870"/>
  <c r="G871"/>
  <c r="G872"/>
  <c r="H872" s="1"/>
  <c r="G873"/>
  <c r="H873" s="1"/>
  <c r="G874"/>
  <c r="H874" s="1"/>
  <c r="G875"/>
  <c r="H875" s="1"/>
  <c r="G876"/>
  <c r="H876" s="1"/>
  <c r="G877"/>
  <c r="H877" s="1"/>
  <c r="F879"/>
  <c r="G879"/>
  <c r="L880"/>
  <c r="H885"/>
  <c r="H886"/>
  <c r="G888"/>
  <c r="F889"/>
  <c r="F890" s="1"/>
  <c r="G889"/>
  <c r="G890"/>
  <c r="G891"/>
  <c r="H891" s="1"/>
  <c r="G892"/>
  <c r="H892" s="1"/>
  <c r="G893"/>
  <c r="H893" s="1"/>
  <c r="G894"/>
  <c r="H894" s="1"/>
  <c r="G895"/>
  <c r="H895" s="1"/>
  <c r="G896"/>
  <c r="H896" s="1"/>
  <c r="F898"/>
  <c r="G898"/>
  <c r="L899"/>
  <c r="G901"/>
  <c r="H901" s="1"/>
  <c r="G903"/>
  <c r="H903" s="1"/>
  <c r="L905"/>
  <c r="F907"/>
  <c r="H907" s="1"/>
  <c r="F908"/>
  <c r="H908" s="1"/>
  <c r="F909"/>
  <c r="H909" s="1"/>
  <c r="F910"/>
  <c r="H910" s="1"/>
  <c r="G914"/>
  <c r="H914" s="1"/>
  <c r="G915"/>
  <c r="H915" s="1"/>
  <c r="F916"/>
  <c r="G916"/>
  <c r="G917"/>
  <c r="H917" s="1"/>
  <c r="G918"/>
  <c r="H918" s="1"/>
  <c r="G919"/>
  <c r="H919" s="1"/>
  <c r="G920"/>
  <c r="H920" s="1"/>
  <c r="G921"/>
  <c r="H921" s="1"/>
  <c r="G927"/>
  <c r="H927" s="1"/>
  <c r="F928"/>
  <c r="F937"/>
  <c r="H937" s="1"/>
  <c r="H938" s="1"/>
  <c r="F939"/>
  <c r="H939" s="1"/>
  <c r="H940" s="1"/>
  <c r="F941"/>
  <c r="H941" s="1"/>
  <c r="H942" s="1"/>
  <c r="F944"/>
  <c r="H944" s="1"/>
  <c r="H945" s="1"/>
  <c r="H576" i="215"/>
  <c r="I576" s="1"/>
  <c r="H577"/>
  <c r="I577" s="1"/>
  <c r="I578"/>
  <c r="I580"/>
  <c r="H581"/>
  <c r="I581" s="1"/>
  <c r="H582"/>
  <c r="I582" s="1"/>
  <c r="H588"/>
  <c r="I588" s="1"/>
  <c r="H589"/>
  <c r="I589" s="1"/>
  <c r="I590"/>
  <c r="H591"/>
  <c r="I591" s="1"/>
  <c r="H593"/>
  <c r="I593" s="1"/>
  <c r="H594"/>
  <c r="I594" s="1"/>
  <c r="H595"/>
  <c r="I595" s="1"/>
  <c r="H596"/>
  <c r="I596" s="1"/>
  <c r="H602"/>
  <c r="I602" s="1"/>
  <c r="I603" s="1"/>
  <c r="H605"/>
  <c r="I605" s="1"/>
  <c r="I606" s="1"/>
  <c r="H608"/>
  <c r="I608" s="1"/>
  <c r="I609" s="1"/>
  <c r="H611"/>
  <c r="I611" s="1"/>
  <c r="I612" s="1"/>
  <c r="H614"/>
  <c r="I614" s="1"/>
  <c r="I615" s="1"/>
  <c r="H617"/>
  <c r="I617" s="1"/>
  <c r="H622"/>
  <c r="I622" s="1"/>
  <c r="H625"/>
  <c r="I625" s="1"/>
  <c r="I626" s="1"/>
  <c r="H628"/>
  <c r="I628" s="1"/>
  <c r="I629" s="1"/>
  <c r="H631"/>
  <c r="I631" s="1"/>
  <c r="I632" s="1"/>
  <c r="H634"/>
  <c r="I634" s="1"/>
  <c r="I635" s="1"/>
  <c r="H637"/>
  <c r="I637" s="1"/>
  <c r="I638" s="1"/>
  <c r="H640"/>
  <c r="I640" s="1"/>
  <c r="H641"/>
  <c r="I641" s="1"/>
  <c r="H644"/>
  <c r="I644" s="1"/>
  <c r="I645" s="1"/>
  <c r="H648"/>
  <c r="I648" s="1"/>
  <c r="I649" s="1"/>
  <c r="H651"/>
  <c r="I651" s="1"/>
  <c r="I652" s="1"/>
  <c r="H655"/>
  <c r="I655" s="1"/>
  <c r="H656"/>
  <c r="I656" s="1"/>
  <c r="I657"/>
  <c r="H659"/>
  <c r="I659" s="1"/>
  <c r="H660"/>
  <c r="I660" s="1"/>
  <c r="H665"/>
  <c r="I665" s="1"/>
  <c r="H666"/>
  <c r="I666" s="1"/>
  <c r="I667"/>
  <c r="H669"/>
  <c r="I669" s="1"/>
  <c r="H670"/>
  <c r="I670" s="1"/>
  <c r="H671"/>
  <c r="I671" s="1"/>
  <c r="H676"/>
  <c r="I676" s="1"/>
  <c r="I677"/>
  <c r="H679"/>
  <c r="I679" s="1"/>
  <c r="H680"/>
  <c r="I680" s="1"/>
  <c r="H684"/>
  <c r="I684" s="1"/>
  <c r="I685"/>
  <c r="H687"/>
  <c r="I687" s="1"/>
  <c r="H688"/>
  <c r="I688" s="1"/>
  <c r="H689"/>
  <c r="I689" s="1"/>
  <c r="H693"/>
  <c r="I693" s="1"/>
  <c r="I694"/>
  <c r="H696"/>
  <c r="I696" s="1"/>
  <c r="H697"/>
  <c r="I697" s="1"/>
  <c r="H702"/>
  <c r="I702" s="1"/>
  <c r="H703"/>
  <c r="I703" s="1"/>
  <c r="I704"/>
  <c r="H706"/>
  <c r="I706" s="1"/>
  <c r="H713"/>
  <c r="I713" s="1"/>
  <c r="H714"/>
  <c r="I714" s="1"/>
  <c r="I715"/>
  <c r="H716"/>
  <c r="I716" s="1"/>
  <c r="H721"/>
  <c r="I721" s="1"/>
  <c r="H722"/>
  <c r="I722" s="1"/>
  <c r="I723"/>
  <c r="H725"/>
  <c r="I725" s="1"/>
  <c r="H731"/>
  <c r="I731" s="1"/>
  <c r="H732"/>
  <c r="I732" s="1"/>
  <c r="I733"/>
  <c r="H735"/>
  <c r="I735" s="1"/>
  <c r="H740"/>
  <c r="I740" s="1"/>
  <c r="H741"/>
  <c r="I741" s="1"/>
  <c r="I742"/>
  <c r="H744"/>
  <c r="I744" s="1"/>
  <c r="H745"/>
  <c r="I745" s="1"/>
  <c r="H746"/>
  <c r="I746" s="1"/>
  <c r="H751"/>
  <c r="I751" s="1"/>
  <c r="I752"/>
  <c r="H754"/>
  <c r="I754" s="1"/>
  <c r="H755"/>
  <c r="I755" s="1"/>
  <c r="H759"/>
  <c r="I759" s="1"/>
  <c r="I760"/>
  <c r="H762"/>
  <c r="I762" s="1"/>
  <c r="H763"/>
  <c r="I763" s="1"/>
  <c r="H764"/>
  <c r="I764" s="1"/>
  <c r="I765" s="1"/>
  <c r="H768"/>
  <c r="I768" s="1"/>
  <c r="I769" s="1"/>
  <c r="I770" s="1"/>
  <c r="H772"/>
  <c r="I772" s="1"/>
  <c r="H773"/>
  <c r="I773" s="1"/>
  <c r="H778"/>
  <c r="I778" s="1"/>
  <c r="H779"/>
  <c r="I779" s="1"/>
  <c r="H781"/>
  <c r="I781" s="1"/>
  <c r="H785"/>
  <c r="I785" s="1"/>
  <c r="H787"/>
  <c r="I787" s="1"/>
  <c r="H790"/>
  <c r="I790" s="1"/>
  <c r="H791"/>
  <c r="I791" s="1"/>
  <c r="I792"/>
  <c r="H796"/>
  <c r="I796" s="1"/>
  <c r="H797"/>
  <c r="I797" s="1"/>
  <c r="H799"/>
  <c r="I799" s="1"/>
  <c r="H800"/>
  <c r="I800" s="1"/>
  <c r="H805"/>
  <c r="I805" s="1"/>
  <c r="H806"/>
  <c r="I806" s="1"/>
  <c r="I807"/>
  <c r="H809"/>
  <c r="I809" s="1"/>
  <c r="H810"/>
  <c r="I810" s="1"/>
  <c r="H811"/>
  <c r="I811" s="1"/>
  <c r="H815"/>
  <c r="I815" s="1"/>
  <c r="H816"/>
  <c r="I816" s="1"/>
  <c r="H817"/>
  <c r="I817" s="1"/>
  <c r="H819"/>
  <c r="I819" s="1"/>
  <c r="H820"/>
  <c r="I820" s="1"/>
  <c r="H821"/>
  <c r="I821" s="1"/>
  <c r="H825"/>
  <c r="I825" s="1"/>
  <c r="I826"/>
  <c r="H828"/>
  <c r="I828" s="1"/>
  <c r="H829"/>
  <c r="I829" s="1"/>
  <c r="H830"/>
  <c r="I830" s="1"/>
  <c r="H831"/>
  <c r="I831" s="1"/>
  <c r="H832"/>
  <c r="I832" s="1"/>
  <c r="H833"/>
  <c r="I833" s="1"/>
  <c r="H834"/>
  <c r="I834" s="1"/>
  <c r="H835"/>
  <c r="I835" s="1"/>
  <c r="H836"/>
  <c r="I836" s="1"/>
  <c r="H837"/>
  <c r="I837" s="1"/>
  <c r="H838"/>
  <c r="I838" s="1"/>
  <c r="H843"/>
  <c r="I843" s="1"/>
  <c r="I844" s="1"/>
  <c r="H846"/>
  <c r="I846" s="1"/>
  <c r="I847" s="1"/>
  <c r="H852"/>
  <c r="I852" s="1"/>
  <c r="H853"/>
  <c r="I853" s="1"/>
  <c r="I854"/>
  <c r="I856"/>
  <c r="H857"/>
  <c r="I857" s="1"/>
  <c r="H858"/>
  <c r="I858" s="1"/>
  <c r="H864"/>
  <c r="I864" s="1"/>
  <c r="H865"/>
  <c r="I865" s="1"/>
  <c r="I866"/>
  <c r="H867"/>
  <c r="I867" s="1"/>
  <c r="H869"/>
  <c r="I869" s="1"/>
  <c r="H870"/>
  <c r="I870" s="1"/>
  <c r="H871"/>
  <c r="I871" s="1"/>
  <c r="H872"/>
  <c r="I872" s="1"/>
  <c r="H878"/>
  <c r="I878" s="1"/>
  <c r="I879" s="1"/>
  <c r="H881"/>
  <c r="I881" s="1"/>
  <c r="I882" s="1"/>
  <c r="H884"/>
  <c r="I884" s="1"/>
  <c r="I885" s="1"/>
  <c r="H887"/>
  <c r="I887" s="1"/>
  <c r="I888" s="1"/>
  <c r="H890"/>
  <c r="I890" s="1"/>
  <c r="I891" s="1"/>
  <c r="H893"/>
  <c r="I893" s="1"/>
  <c r="H894"/>
  <c r="I894" s="1"/>
  <c r="H898"/>
  <c r="I898" s="1"/>
  <c r="H901"/>
  <c r="I901" s="1"/>
  <c r="I902" s="1"/>
  <c r="H904"/>
  <c r="I904" s="1"/>
  <c r="I905" s="1"/>
  <c r="H907"/>
  <c r="I907" s="1"/>
  <c r="I908" s="1"/>
  <c r="H910"/>
  <c r="I910" s="1"/>
  <c r="I911" s="1"/>
  <c r="H913"/>
  <c r="I913" s="1"/>
  <c r="I914" s="1"/>
  <c r="H916"/>
  <c r="I916" s="1"/>
  <c r="H917"/>
  <c r="I917" s="1"/>
  <c r="H920"/>
  <c r="I920" s="1"/>
  <c r="I921" s="1"/>
  <c r="H924"/>
  <c r="I924" s="1"/>
  <c r="I925" s="1"/>
  <c r="H927"/>
  <c r="I927" s="1"/>
  <c r="I928" s="1"/>
  <c r="H933"/>
  <c r="I933" s="1"/>
  <c r="H934"/>
  <c r="I934" s="1"/>
  <c r="I935"/>
  <c r="H937"/>
  <c r="I937" s="1"/>
  <c r="H938"/>
  <c r="I938" s="1"/>
  <c r="H945"/>
  <c r="I945" s="1"/>
  <c r="H946"/>
  <c r="I946" s="1"/>
  <c r="I947"/>
  <c r="H949"/>
  <c r="I949" s="1"/>
  <c r="H950"/>
  <c r="I950" s="1"/>
  <c r="H951"/>
  <c r="I951" s="1"/>
  <c r="H956"/>
  <c r="I956" s="1"/>
  <c r="I957"/>
  <c r="H959"/>
  <c r="I959" s="1"/>
  <c r="H960"/>
  <c r="I960" s="1"/>
  <c r="H964"/>
  <c r="I964" s="1"/>
  <c r="I965"/>
  <c r="H967"/>
  <c r="I967" s="1"/>
  <c r="H968"/>
  <c r="I968" s="1"/>
  <c r="H969"/>
  <c r="I969" s="1"/>
  <c r="H973"/>
  <c r="I973" s="1"/>
  <c r="I974"/>
  <c r="H976"/>
  <c r="I976" s="1"/>
  <c r="H977"/>
  <c r="I977" s="1"/>
  <c r="H982"/>
  <c r="I982" s="1"/>
  <c r="H983"/>
  <c r="I983" s="1"/>
  <c r="I984"/>
  <c r="H986"/>
  <c r="I986" s="1"/>
  <c r="H993"/>
  <c r="I993" s="1"/>
  <c r="H994"/>
  <c r="I994" s="1"/>
  <c r="I995"/>
  <c r="H996"/>
  <c r="I996" s="1"/>
  <c r="H1002"/>
  <c r="I1002" s="1"/>
  <c r="H1003"/>
  <c r="I1003" s="1"/>
  <c r="I1004"/>
  <c r="H1006"/>
  <c r="I1006" s="1"/>
  <c r="H1012"/>
  <c r="I1012" s="1"/>
  <c r="H1013"/>
  <c r="I1013" s="1"/>
  <c r="I1014"/>
  <c r="H1016"/>
  <c r="I1016" s="1"/>
  <c r="H1021"/>
  <c r="I1021" s="1"/>
  <c r="H1022"/>
  <c r="I1022" s="1"/>
  <c r="I1023"/>
  <c r="H1025"/>
  <c r="I1025" s="1"/>
  <c r="H1026"/>
  <c r="I1026" s="1"/>
  <c r="H1027"/>
  <c r="I1027" s="1"/>
  <c r="H1033"/>
  <c r="I1033" s="1"/>
  <c r="I1034"/>
  <c r="H1036"/>
  <c r="I1036" s="1"/>
  <c r="H1037"/>
  <c r="I1037" s="1"/>
  <c r="H1041"/>
  <c r="I1041" s="1"/>
  <c r="I1042"/>
  <c r="H1044"/>
  <c r="I1044" s="1"/>
  <c r="H1045"/>
  <c r="I1045" s="1"/>
  <c r="H1046"/>
  <c r="I1046" s="1"/>
  <c r="I1047" s="1"/>
  <c r="H1050"/>
  <c r="I1050" s="1"/>
  <c r="I1051" s="1"/>
  <c r="I1052" s="1"/>
  <c r="H1054"/>
  <c r="I1054" s="1"/>
  <c r="H1055"/>
  <c r="I1055" s="1"/>
  <c r="H1060"/>
  <c r="I1060" s="1"/>
  <c r="I1061"/>
  <c r="H1063"/>
  <c r="I1063" s="1"/>
  <c r="I1067"/>
  <c r="H1069"/>
  <c r="I1069" s="1"/>
  <c r="H1072"/>
  <c r="I1072" s="1"/>
  <c r="H1073"/>
  <c r="I1073" s="1"/>
  <c r="H1074"/>
  <c r="I1074" s="1"/>
  <c r="H1078"/>
  <c r="I1078" s="1"/>
  <c r="H1079"/>
  <c r="I1079" s="1"/>
  <c r="H1081"/>
  <c r="I1081" s="1"/>
  <c r="H1082"/>
  <c r="I1082" s="1"/>
  <c r="H1087"/>
  <c r="I1087" s="1"/>
  <c r="H1088"/>
  <c r="I1088" s="1"/>
  <c r="I1089"/>
  <c r="H1091"/>
  <c r="I1091" s="1"/>
  <c r="H1092"/>
  <c r="I1092" s="1"/>
  <c r="H1093"/>
  <c r="I1093" s="1"/>
  <c r="H1097"/>
  <c r="I1097" s="1"/>
  <c r="H1098"/>
  <c r="I1098" s="1"/>
  <c r="H1099"/>
  <c r="I1099" s="1"/>
  <c r="H1101"/>
  <c r="I1101" s="1"/>
  <c r="H1102"/>
  <c r="I1102" s="1"/>
  <c r="I1103"/>
  <c r="H1107"/>
  <c r="I1107" s="1"/>
  <c r="I1108"/>
  <c r="H1110"/>
  <c r="I1110" s="1"/>
  <c r="H1111"/>
  <c r="I1111" s="1"/>
  <c r="H1112"/>
  <c r="I1112" s="1"/>
  <c r="H1113"/>
  <c r="I1113" s="1"/>
  <c r="H1114"/>
  <c r="I1114" s="1"/>
  <c r="H1115"/>
  <c r="I1115" s="1"/>
  <c r="H1116"/>
  <c r="I1116" s="1"/>
  <c r="H1117"/>
  <c r="I1117" s="1"/>
  <c r="H1118"/>
  <c r="I1118" s="1"/>
  <c r="H1119"/>
  <c r="I1119" s="1"/>
  <c r="H1120"/>
  <c r="I1120" s="1"/>
  <c r="H1125"/>
  <c r="I1125" s="1"/>
  <c r="I1126" s="1"/>
  <c r="H1128"/>
  <c r="I1128" s="1"/>
  <c r="I1129" s="1"/>
  <c r="E1842" i="214"/>
  <c r="F1844"/>
  <c r="G1844" s="1"/>
  <c r="E1847"/>
  <c r="F1849"/>
  <c r="G1849" s="1"/>
  <c r="E1852"/>
  <c r="F1854"/>
  <c r="G1854" s="1"/>
  <c r="E1857"/>
  <c r="F1859"/>
  <c r="G1859" s="1"/>
  <c r="E1862"/>
  <c r="F1864"/>
  <c r="G1864" s="1"/>
  <c r="G1876"/>
  <c r="G1877" s="1"/>
  <c r="K25" i="132" s="1"/>
  <c r="G1881" i="214"/>
  <c r="G1882" s="1"/>
  <c r="F1887"/>
  <c r="G1887" s="1"/>
  <c r="F1895"/>
  <c r="G1895" s="1"/>
  <c r="F1903"/>
  <c r="G1903" s="1"/>
  <c r="F1910"/>
  <c r="G1910" s="1"/>
  <c r="F1911"/>
  <c r="G1911" s="1"/>
  <c r="F1919"/>
  <c r="G1919" s="1"/>
  <c r="F1921"/>
  <c r="G1921" s="1"/>
  <c r="F1923"/>
  <c r="G1923" s="1"/>
  <c r="F1924"/>
  <c r="G1924" s="1"/>
  <c r="F1931"/>
  <c r="G1931" s="1"/>
  <c r="F1933"/>
  <c r="G1933" s="1"/>
  <c r="F1935"/>
  <c r="G1935" s="1"/>
  <c r="F1936"/>
  <c r="G1936" s="1"/>
  <c r="F1945"/>
  <c r="G1945" s="1"/>
  <c r="F1946"/>
  <c r="G1946" s="1"/>
  <c r="F1947"/>
  <c r="G1947" s="1"/>
  <c r="F1949"/>
  <c r="G1949" s="1"/>
  <c r="F1950"/>
  <c r="G1950" s="1"/>
  <c r="F1951"/>
  <c r="G1951" s="1"/>
  <c r="F1955"/>
  <c r="G1955" s="1"/>
  <c r="F1956"/>
  <c r="G1956" s="1"/>
  <c r="F1960"/>
  <c r="G1960" s="1"/>
  <c r="F1961"/>
  <c r="G1961" s="1"/>
  <c r="F1965"/>
  <c r="G1965" s="1"/>
  <c r="F1966"/>
  <c r="G1966" s="1"/>
  <c r="E1973"/>
  <c r="E2000" s="1"/>
  <c r="E2063" s="1"/>
  <c r="E2091" s="1"/>
  <c r="F1975"/>
  <c r="G1975" s="1"/>
  <c r="F1976"/>
  <c r="G1976" s="1"/>
  <c r="F1977"/>
  <c r="G1977" s="1"/>
  <c r="F1979"/>
  <c r="G1979" s="1"/>
  <c r="F1980"/>
  <c r="G1980" s="1"/>
  <c r="F1981"/>
  <c r="G1981" s="1"/>
  <c r="E1985"/>
  <c r="F1985" s="1"/>
  <c r="E1986"/>
  <c r="F1986"/>
  <c r="G1986"/>
  <c r="E1991"/>
  <c r="F1991" s="1"/>
  <c r="E1992"/>
  <c r="F1992"/>
  <c r="G1992"/>
  <c r="F2002"/>
  <c r="G2002" s="1"/>
  <c r="F2003"/>
  <c r="G2003" s="1"/>
  <c r="F2004"/>
  <c r="G2004" s="1"/>
  <c r="F2006"/>
  <c r="G2006" s="1"/>
  <c r="F2007"/>
  <c r="G2007" s="1"/>
  <c r="F2008"/>
  <c r="G2008" s="1"/>
  <c r="E2012"/>
  <c r="F2012" s="1"/>
  <c r="E2013"/>
  <c r="F2013"/>
  <c r="G2013"/>
  <c r="E2019"/>
  <c r="F2019" s="1"/>
  <c r="E2020"/>
  <c r="F2020"/>
  <c r="F2076" s="1"/>
  <c r="G2020"/>
  <c r="E2026"/>
  <c r="F2026" s="1"/>
  <c r="E2027"/>
  <c r="E2034" s="1"/>
  <c r="F2027"/>
  <c r="F2034" s="1"/>
  <c r="G2027"/>
  <c r="G2034" s="1"/>
  <c r="E2039"/>
  <c r="F2039" s="1"/>
  <c r="E2040"/>
  <c r="F2040"/>
  <c r="G2040"/>
  <c r="F2065"/>
  <c r="G2065" s="1"/>
  <c r="F2066"/>
  <c r="G2066" s="1"/>
  <c r="F2067"/>
  <c r="G2067" s="1"/>
  <c r="F2069"/>
  <c r="G2069" s="1"/>
  <c r="F2070"/>
  <c r="G2070" s="1"/>
  <c r="E2076"/>
  <c r="G2076"/>
  <c r="G2083"/>
  <c r="F2093"/>
  <c r="G2093" s="1"/>
  <c r="F2094"/>
  <c r="G2094" s="1"/>
  <c r="F2096"/>
  <c r="G2096" s="1"/>
  <c r="F2097"/>
  <c r="G2097" s="1"/>
  <c r="F2098"/>
  <c r="G2098" s="1"/>
  <c r="E2102"/>
  <c r="F2102" s="1"/>
  <c r="G2102" s="1"/>
  <c r="E2103"/>
  <c r="F2103" s="1"/>
  <c r="G2103" s="1"/>
  <c r="F2111"/>
  <c r="G2111" s="1"/>
  <c r="F2113"/>
  <c r="G2113" s="1"/>
  <c r="F2114"/>
  <c r="G2114" s="1"/>
  <c r="F2124"/>
  <c r="G2124" s="1"/>
  <c r="F2125"/>
  <c r="G2125" s="1"/>
  <c r="F2127"/>
  <c r="G2127" s="1"/>
  <c r="F2128"/>
  <c r="G2128" s="1"/>
  <c r="F2129"/>
  <c r="G2129" s="1"/>
  <c r="F2130"/>
  <c r="G2130" s="1"/>
  <c r="F2137"/>
  <c r="G2137" s="1"/>
  <c r="F2138"/>
  <c r="G2138" s="1"/>
  <c r="F2144"/>
  <c r="F2145"/>
  <c r="F2151"/>
  <c r="G2151" s="1"/>
  <c r="F2152"/>
  <c r="G2152" s="1"/>
  <c r="F2153"/>
  <c r="G2153" s="1"/>
  <c r="F2157"/>
  <c r="F2158"/>
  <c r="F2160"/>
  <c r="F2161"/>
  <c r="F2162"/>
  <c r="G2162" s="1"/>
  <c r="G2163"/>
  <c r="G2164"/>
  <c r="G2165"/>
  <c r="F2171"/>
  <c r="F2172"/>
  <c r="F2174"/>
  <c r="F2175"/>
  <c r="F2176"/>
  <c r="G2176" s="1"/>
  <c r="G2177"/>
  <c r="F2181"/>
  <c r="G2181" s="1"/>
  <c r="F2182"/>
  <c r="G2182" s="1"/>
  <c r="F2191"/>
  <c r="G2191" s="1"/>
  <c r="F2192"/>
  <c r="G2192" s="1"/>
  <c r="F2201"/>
  <c r="G2201" s="1"/>
  <c r="F2202"/>
  <c r="G2202" s="1"/>
  <c r="F2203"/>
  <c r="G2203" s="1"/>
  <c r="E2207"/>
  <c r="F2207" s="1"/>
  <c r="E2208"/>
  <c r="F2208"/>
  <c r="G2208"/>
  <c r="F2218"/>
  <c r="G2218" s="1"/>
  <c r="F2219"/>
  <c r="G2219" s="1"/>
  <c r="F2220"/>
  <c r="G2220" s="1"/>
  <c r="E2224"/>
  <c r="F2224" s="1"/>
  <c r="G2224" s="1"/>
  <c r="E2225"/>
  <c r="F2225"/>
  <c r="G2225"/>
  <c r="F2235"/>
  <c r="G2235" s="1"/>
  <c r="F2236"/>
  <c r="G2236" s="1"/>
  <c r="F2237"/>
  <c r="G2237" s="1"/>
  <c r="E2241"/>
  <c r="F2241" s="1"/>
  <c r="G2241" s="1"/>
  <c r="E2242"/>
  <c r="F2242"/>
  <c r="G2242"/>
  <c r="F2249"/>
  <c r="G2249" s="1"/>
  <c r="F2252"/>
  <c r="G2252" s="1"/>
  <c r="F2253"/>
  <c r="G2253" s="1"/>
  <c r="F2254"/>
  <c r="G2254" s="1"/>
  <c r="F2255"/>
  <c r="G2255" s="1"/>
  <c r="E2259"/>
  <c r="F2259" s="1"/>
  <c r="G2259" s="1"/>
  <c r="E2260"/>
  <c r="F2260"/>
  <c r="G2260"/>
  <c r="F2268"/>
  <c r="G2268" s="1"/>
  <c r="F2269"/>
  <c r="G2269" s="1"/>
  <c r="F2270"/>
  <c r="G2270" s="1"/>
  <c r="E2274"/>
  <c r="F2274" s="1"/>
  <c r="E2275"/>
  <c r="F2275"/>
  <c r="G2275"/>
  <c r="F2284"/>
  <c r="G2284" s="1"/>
  <c r="F2285"/>
  <c r="G2285" s="1"/>
  <c r="F2286"/>
  <c r="G2286" s="1"/>
  <c r="E2290"/>
  <c r="F2290" s="1"/>
  <c r="E2291"/>
  <c r="F2291"/>
  <c r="G2291"/>
  <c r="F2300"/>
  <c r="G2300" s="1"/>
  <c r="F2301"/>
  <c r="G2301" s="1"/>
  <c r="F2302"/>
  <c r="G2302" s="1"/>
  <c r="E2306"/>
  <c r="F2306" s="1"/>
  <c r="E2307"/>
  <c r="F2307"/>
  <c r="G2307"/>
  <c r="F2316"/>
  <c r="G2316" s="1"/>
  <c r="F2317"/>
  <c r="G2317" s="1"/>
  <c r="F2318"/>
  <c r="G2318" s="1"/>
  <c r="E2322"/>
  <c r="F2322" s="1"/>
  <c r="E2323"/>
  <c r="F2323"/>
  <c r="G2323"/>
  <c r="F2336"/>
  <c r="G2336" s="1"/>
  <c r="F2337"/>
  <c r="G2337" s="1"/>
  <c r="F2338"/>
  <c r="G2338" s="1"/>
  <c r="E2342"/>
  <c r="F2342" s="1"/>
  <c r="G2342" s="1"/>
  <c r="E2343"/>
  <c r="F2343"/>
  <c r="G2343"/>
  <c r="F2356"/>
  <c r="G2356" s="1"/>
  <c r="F2357"/>
  <c r="G2357" s="1"/>
  <c r="F2358"/>
  <c r="G2358" s="1"/>
  <c r="E2362"/>
  <c r="F2362" s="1"/>
  <c r="G2362" s="1"/>
  <c r="E2363"/>
  <c r="F2363"/>
  <c r="G2363"/>
  <c r="F2370"/>
  <c r="G2370" s="1"/>
  <c r="F2375"/>
  <c r="G2375" s="1"/>
  <c r="F2376"/>
  <c r="G2376" s="1"/>
  <c r="F2377"/>
  <c r="G2377" s="1"/>
  <c r="F2379"/>
  <c r="G2379" s="1"/>
  <c r="E2383"/>
  <c r="F2383"/>
  <c r="E2384"/>
  <c r="F2384"/>
  <c r="F2392"/>
  <c r="G2392" s="1"/>
  <c r="F2394"/>
  <c r="G2394" s="1"/>
  <c r="F2395"/>
  <c r="G2395" s="1"/>
  <c r="F2396"/>
  <c r="G2396" s="1"/>
  <c r="F2407"/>
  <c r="G2407" s="1"/>
  <c r="F2409"/>
  <c r="G2409" s="1"/>
  <c r="F2410"/>
  <c r="G2410" s="1"/>
  <c r="F2411"/>
  <c r="G2411" s="1"/>
  <c r="F2427"/>
  <c r="G2427" s="1"/>
  <c r="F2428"/>
  <c r="G2428" s="1"/>
  <c r="F2429"/>
  <c r="G2429" s="1"/>
  <c r="F2444"/>
  <c r="G2444" s="1"/>
  <c r="F2446"/>
  <c r="G2446" s="1"/>
  <c r="F2447"/>
  <c r="G2447" s="1"/>
  <c r="F2448"/>
  <c r="G2448" s="1"/>
  <c r="F2457"/>
  <c r="G2457" s="1"/>
  <c r="G2458" s="1"/>
  <c r="F2462"/>
  <c r="G2462" s="1"/>
  <c r="F2468"/>
  <c r="G2468" s="1"/>
  <c r="F2469"/>
  <c r="G2469" s="1"/>
  <c r="F2470"/>
  <c r="G2470" s="1"/>
  <c r="F2480"/>
  <c r="G2480" s="1"/>
  <c r="F2484"/>
  <c r="G2484" s="1"/>
  <c r="F2486"/>
  <c r="G2486" s="1"/>
  <c r="F2487"/>
  <c r="G2487" s="1"/>
  <c r="F2488"/>
  <c r="G2488" s="1"/>
  <c r="F2498"/>
  <c r="G2498" s="1"/>
  <c r="F2505"/>
  <c r="G2505" s="1"/>
  <c r="F2506"/>
  <c r="G2506" s="1"/>
  <c r="F2507"/>
  <c r="G2507" s="1"/>
  <c r="F2518"/>
  <c r="G2518" s="1"/>
  <c r="F2522"/>
  <c r="G2522" s="1"/>
  <c r="F2524"/>
  <c r="G2524" s="1"/>
  <c r="F2525"/>
  <c r="G2525" s="1"/>
  <c r="F2526"/>
  <c r="G2526" s="1"/>
  <c r="F2536"/>
  <c r="G2536" s="1"/>
  <c r="F2542"/>
  <c r="G2542" s="1"/>
  <c r="F2543"/>
  <c r="G2543" s="1"/>
  <c r="F2544"/>
  <c r="G2544" s="1"/>
  <c r="F2554"/>
  <c r="G2554" s="1"/>
  <c r="F2560"/>
  <c r="G2560" s="1"/>
  <c r="F2561"/>
  <c r="G2561" s="1"/>
  <c r="F2574"/>
  <c r="G2574" s="1"/>
  <c r="F2575"/>
  <c r="G2575" s="1"/>
  <c r="F2587"/>
  <c r="G2587" s="1"/>
  <c r="F2588"/>
  <c r="G2588" s="1"/>
  <c r="F2589"/>
  <c r="G2589" s="1"/>
  <c r="F2598"/>
  <c r="G2598" s="1"/>
  <c r="F2599"/>
  <c r="G2599" s="1"/>
  <c r="F2608"/>
  <c r="G2608" s="1"/>
  <c r="F2609"/>
  <c r="G2609" s="1"/>
  <c r="F2610"/>
  <c r="G2610" s="1"/>
  <c r="F2620"/>
  <c r="G2620" s="1"/>
  <c r="F2622"/>
  <c r="G2622" s="1"/>
  <c r="F2623"/>
  <c r="G2623" s="1"/>
  <c r="F2634"/>
  <c r="G2634" s="1"/>
  <c r="F2636"/>
  <c r="G2636" s="1"/>
  <c r="F2637"/>
  <c r="G2637" s="1"/>
  <c r="F2638"/>
  <c r="G2638" s="1"/>
  <c r="F2649"/>
  <c r="G2649" s="1"/>
  <c r="F2651"/>
  <c r="G2651" s="1"/>
  <c r="F2652"/>
  <c r="G2652" s="1"/>
  <c r="F2659"/>
  <c r="G2659" s="1"/>
  <c r="F2661"/>
  <c r="G2661" s="1"/>
  <c r="F2662"/>
  <c r="G2662" s="1"/>
  <c r="F2671"/>
  <c r="G2671" s="1"/>
  <c r="F2673"/>
  <c r="G2673" s="1"/>
  <c r="F2674"/>
  <c r="G2674" s="1"/>
  <c r="F2684"/>
  <c r="G2684" s="1"/>
  <c r="F2686"/>
  <c r="G2686" s="1"/>
  <c r="F2687"/>
  <c r="G2687" s="1"/>
  <c r="F2688"/>
  <c r="G2688" s="1"/>
  <c r="F2699"/>
  <c r="G2699" s="1"/>
  <c r="F2701"/>
  <c r="G2701" s="1"/>
  <c r="F2702"/>
  <c r="G2702" s="1"/>
  <c r="F2706"/>
  <c r="G2706" s="1"/>
  <c r="F2708"/>
  <c r="G2708" s="1"/>
  <c r="F2709"/>
  <c r="G2709" s="1"/>
  <c r="G2713"/>
  <c r="G2714" s="1"/>
  <c r="F2717"/>
  <c r="G2717" s="1"/>
  <c r="F2718"/>
  <c r="G2718" s="1"/>
  <c r="F2719"/>
  <c r="G2719" s="1"/>
  <c r="F2720"/>
  <c r="G2720" s="1"/>
  <c r="F2721"/>
  <c r="G2721" s="1"/>
  <c r="G2724"/>
  <c r="G2725" s="1"/>
  <c r="F2727"/>
  <c r="G2727" s="1"/>
  <c r="G2728" s="1"/>
  <c r="G2730"/>
  <c r="G2735"/>
  <c r="G2737" s="1"/>
  <c r="G2739"/>
  <c r="G2744"/>
  <c r="G2746" s="1"/>
  <c r="G2748"/>
  <c r="G2750" s="1"/>
  <c r="K1974" i="132" s="1"/>
  <c r="F2752" i="214"/>
  <c r="G2752" s="1"/>
  <c r="F2753"/>
  <c r="G2753" s="1"/>
  <c r="F2754"/>
  <c r="G2754" s="1"/>
  <c r="F2755"/>
  <c r="G2755" s="1"/>
  <c r="E2759"/>
  <c r="F2761"/>
  <c r="G2761" s="1"/>
  <c r="E2764"/>
  <c r="F2766"/>
  <c r="G2766" s="1"/>
  <c r="E2769"/>
  <c r="F2771"/>
  <c r="G2771" s="1"/>
  <c r="E2774"/>
  <c r="F2776"/>
  <c r="G2776" s="1"/>
  <c r="E2779"/>
  <c r="F2781"/>
  <c r="G2781" s="1"/>
  <c r="G2793"/>
  <c r="G2794" s="1"/>
  <c r="G2798"/>
  <c r="G2799" s="1"/>
  <c r="K68" i="132" s="1"/>
  <c r="F2804" i="214"/>
  <c r="G2804" s="1"/>
  <c r="F2812"/>
  <c r="G2812" s="1"/>
  <c r="F2820"/>
  <c r="G2820" s="1"/>
  <c r="F2827"/>
  <c r="G2827" s="1"/>
  <c r="F2828"/>
  <c r="G2828" s="1"/>
  <c r="F2836"/>
  <c r="G2836" s="1"/>
  <c r="F2838"/>
  <c r="G2838" s="1"/>
  <c r="F2840"/>
  <c r="G2840" s="1"/>
  <c r="F2841"/>
  <c r="G2841" s="1"/>
  <c r="F2848"/>
  <c r="G2848" s="1"/>
  <c r="F2850"/>
  <c r="G2850" s="1"/>
  <c r="F2852"/>
  <c r="G2852" s="1"/>
  <c r="F2853"/>
  <c r="G2853" s="1"/>
  <c r="F2862"/>
  <c r="G2862" s="1"/>
  <c r="F2863"/>
  <c r="G2863" s="1"/>
  <c r="F2864"/>
  <c r="G2864" s="1"/>
  <c r="F2866"/>
  <c r="G2866" s="1"/>
  <c r="F2867"/>
  <c r="G2867" s="1"/>
  <c r="F2868"/>
  <c r="G2868" s="1"/>
  <c r="F2872"/>
  <c r="G2872" s="1"/>
  <c r="F2873"/>
  <c r="G2873" s="1"/>
  <c r="F2877"/>
  <c r="G2877" s="1"/>
  <c r="F2878"/>
  <c r="G2878" s="1"/>
  <c r="F2882"/>
  <c r="G2882" s="1"/>
  <c r="F2883"/>
  <c r="G2883" s="1"/>
  <c r="E2890"/>
  <c r="E2917" s="1"/>
  <c r="E2980" s="1"/>
  <c r="E3008" s="1"/>
  <c r="F2892"/>
  <c r="G2892" s="1"/>
  <c r="F2893"/>
  <c r="G2893" s="1"/>
  <c r="F2894"/>
  <c r="G2894" s="1"/>
  <c r="F2896"/>
  <c r="G2896" s="1"/>
  <c r="F2897"/>
  <c r="G2897" s="1"/>
  <c r="F2898"/>
  <c r="G2898" s="1"/>
  <c r="E2902"/>
  <c r="F2902" s="1"/>
  <c r="E2903"/>
  <c r="F2903"/>
  <c r="G2903"/>
  <c r="E2908"/>
  <c r="F2908" s="1"/>
  <c r="E2909"/>
  <c r="F2909"/>
  <c r="G2909"/>
  <c r="F2919"/>
  <c r="G2919" s="1"/>
  <c r="F2920"/>
  <c r="G2920" s="1"/>
  <c r="F2921"/>
  <c r="G2921" s="1"/>
  <c r="F2923"/>
  <c r="G2923" s="1"/>
  <c r="F2924"/>
  <c r="G2924" s="1"/>
  <c r="F2925"/>
  <c r="G2925" s="1"/>
  <c r="E2929"/>
  <c r="F2929" s="1"/>
  <c r="E2930"/>
  <c r="F2930"/>
  <c r="G2930"/>
  <c r="E2936"/>
  <c r="F2936" s="1"/>
  <c r="E2937"/>
  <c r="E2993" s="1"/>
  <c r="F2937"/>
  <c r="G2937"/>
  <c r="G2993" s="1"/>
  <c r="E2943"/>
  <c r="F2943" s="1"/>
  <c r="E2944"/>
  <c r="E2951" s="1"/>
  <c r="F2944"/>
  <c r="F2951" s="1"/>
  <c r="G2944"/>
  <c r="G2951" s="1"/>
  <c r="E2956"/>
  <c r="F2956" s="1"/>
  <c r="E2957"/>
  <c r="F2957"/>
  <c r="G2957"/>
  <c r="F2982"/>
  <c r="G2982" s="1"/>
  <c r="F2983"/>
  <c r="G2983" s="1"/>
  <c r="F2984"/>
  <c r="G2984" s="1"/>
  <c r="F2986"/>
  <c r="G2986" s="1"/>
  <c r="F2987"/>
  <c r="G2987" s="1"/>
  <c r="F2993"/>
  <c r="E2999"/>
  <c r="F2999" s="1"/>
  <c r="E3000"/>
  <c r="F3000"/>
  <c r="F3010"/>
  <c r="G3010" s="1"/>
  <c r="F3011"/>
  <c r="G3011" s="1"/>
  <c r="F3013"/>
  <c r="G3013" s="1"/>
  <c r="F3014"/>
  <c r="G3014" s="1"/>
  <c r="F3015"/>
  <c r="G3015" s="1"/>
  <c r="E3019"/>
  <c r="F3019" s="1"/>
  <c r="G3019" s="1"/>
  <c r="E3020"/>
  <c r="F3020" s="1"/>
  <c r="G3020" s="1"/>
  <c r="F3028"/>
  <c r="G3028" s="1"/>
  <c r="F3030"/>
  <c r="G3030" s="1"/>
  <c r="F3031"/>
  <c r="G3031" s="1"/>
  <c r="F3041"/>
  <c r="G3041" s="1"/>
  <c r="F3042"/>
  <c r="G3042" s="1"/>
  <c r="F3044"/>
  <c r="G3044" s="1"/>
  <c r="F3045"/>
  <c r="G3045" s="1"/>
  <c r="F3046"/>
  <c r="G3046" s="1"/>
  <c r="F3047"/>
  <c r="G3047" s="1"/>
  <c r="F3054"/>
  <c r="G3054" s="1"/>
  <c r="F3055"/>
  <c r="G3055" s="1"/>
  <c r="F3061"/>
  <c r="F3062"/>
  <c r="F3068"/>
  <c r="G3068" s="1"/>
  <c r="F3069"/>
  <c r="G3069" s="1"/>
  <c r="F3070"/>
  <c r="G3070" s="1"/>
  <c r="F3074"/>
  <c r="F3075"/>
  <c r="F3077"/>
  <c r="F3078"/>
  <c r="F3079"/>
  <c r="G3079" s="1"/>
  <c r="G3080"/>
  <c r="G3081"/>
  <c r="G3082"/>
  <c r="F3088"/>
  <c r="F3089"/>
  <c r="F3091"/>
  <c r="F3092"/>
  <c r="F3093"/>
  <c r="G3093" s="1"/>
  <c r="G3094"/>
  <c r="F3098"/>
  <c r="G3098" s="1"/>
  <c r="F3099"/>
  <c r="G3099" s="1"/>
  <c r="F3108"/>
  <c r="G3108" s="1"/>
  <c r="F3109"/>
  <c r="G3109" s="1"/>
  <c r="F3118"/>
  <c r="G3118" s="1"/>
  <c r="F3119"/>
  <c r="G3119" s="1"/>
  <c r="F3120"/>
  <c r="G3120" s="1"/>
  <c r="E3124"/>
  <c r="F3124" s="1"/>
  <c r="E3125"/>
  <c r="F3125"/>
  <c r="G3125"/>
  <c r="F3135"/>
  <c r="G3135" s="1"/>
  <c r="F3136"/>
  <c r="G3136" s="1"/>
  <c r="F3137"/>
  <c r="G3137" s="1"/>
  <c r="E3141"/>
  <c r="F3141" s="1"/>
  <c r="G3141" s="1"/>
  <c r="E3142"/>
  <c r="F3142"/>
  <c r="G3142"/>
  <c r="F3152"/>
  <c r="G3152" s="1"/>
  <c r="F3153"/>
  <c r="G3153" s="1"/>
  <c r="F3154"/>
  <c r="G3154" s="1"/>
  <c r="E3158"/>
  <c r="F3158" s="1"/>
  <c r="G3158" s="1"/>
  <c r="E3159"/>
  <c r="F3159"/>
  <c r="G3159"/>
  <c r="F3166"/>
  <c r="G3166" s="1"/>
  <c r="F3169"/>
  <c r="G3169" s="1"/>
  <c r="F3170"/>
  <c r="G3170" s="1"/>
  <c r="F3171"/>
  <c r="G3171" s="1"/>
  <c r="F3172"/>
  <c r="G3172" s="1"/>
  <c r="E3176"/>
  <c r="F3176" s="1"/>
  <c r="G3176" s="1"/>
  <c r="E3177"/>
  <c r="F3177"/>
  <c r="G3177"/>
  <c r="F3185"/>
  <c r="G3185" s="1"/>
  <c r="F3186"/>
  <c r="G3186" s="1"/>
  <c r="F3187"/>
  <c r="G3187" s="1"/>
  <c r="E3191"/>
  <c r="F3191" s="1"/>
  <c r="E3192"/>
  <c r="F3192"/>
  <c r="G3192"/>
  <c r="F3201"/>
  <c r="G3201" s="1"/>
  <c r="F3202"/>
  <c r="G3202" s="1"/>
  <c r="F3203"/>
  <c r="G3203" s="1"/>
  <c r="E3207"/>
  <c r="F3207" s="1"/>
  <c r="E3208"/>
  <c r="F3208"/>
  <c r="G3208"/>
  <c r="F3217"/>
  <c r="G3217" s="1"/>
  <c r="F3218"/>
  <c r="G3218" s="1"/>
  <c r="F3219"/>
  <c r="G3219" s="1"/>
  <c r="E3223"/>
  <c r="F3223" s="1"/>
  <c r="E3224"/>
  <c r="F3224"/>
  <c r="G3224"/>
  <c r="F3233"/>
  <c r="G3233" s="1"/>
  <c r="F3234"/>
  <c r="G3234" s="1"/>
  <c r="F3235"/>
  <c r="G3235" s="1"/>
  <c r="E3239"/>
  <c r="F3239" s="1"/>
  <c r="E3240"/>
  <c r="F3240"/>
  <c r="G3240"/>
  <c r="F3253"/>
  <c r="G3253" s="1"/>
  <c r="F3254"/>
  <c r="G3254" s="1"/>
  <c r="F3255"/>
  <c r="G3255" s="1"/>
  <c r="E3259"/>
  <c r="F3259" s="1"/>
  <c r="G3259" s="1"/>
  <c r="E3260"/>
  <c r="F3260"/>
  <c r="G3260"/>
  <c r="F3273"/>
  <c r="G3273" s="1"/>
  <c r="F3274"/>
  <c r="G3274" s="1"/>
  <c r="F3275"/>
  <c r="G3275" s="1"/>
  <c r="E3279"/>
  <c r="F3279" s="1"/>
  <c r="G3279" s="1"/>
  <c r="E3280"/>
  <c r="F3280"/>
  <c r="G3280"/>
  <c r="F3287"/>
  <c r="G3287" s="1"/>
  <c r="F3292"/>
  <c r="G3292" s="1"/>
  <c r="F3293"/>
  <c r="G3293" s="1"/>
  <c r="F3294"/>
  <c r="G3294" s="1"/>
  <c r="F3296"/>
  <c r="G3296" s="1"/>
  <c r="E3300"/>
  <c r="F3300"/>
  <c r="E3301"/>
  <c r="F3301"/>
  <c r="F3309"/>
  <c r="G3309" s="1"/>
  <c r="F3311"/>
  <c r="G3311" s="1"/>
  <c r="F3312"/>
  <c r="G3312" s="1"/>
  <c r="F3313"/>
  <c r="G3313" s="1"/>
  <c r="F3324"/>
  <c r="G3324" s="1"/>
  <c r="F3326"/>
  <c r="G3326" s="1"/>
  <c r="F3327"/>
  <c r="G3327" s="1"/>
  <c r="F3328"/>
  <c r="G3328" s="1"/>
  <c r="F3344"/>
  <c r="G3344" s="1"/>
  <c r="F3345"/>
  <c r="G3345" s="1"/>
  <c r="F3346"/>
  <c r="G3346" s="1"/>
  <c r="F3361"/>
  <c r="G3361" s="1"/>
  <c r="F3363"/>
  <c r="G3363" s="1"/>
  <c r="F3364"/>
  <c r="G3364" s="1"/>
  <c r="F3365"/>
  <c r="G3365" s="1"/>
  <c r="F3374"/>
  <c r="G3374" s="1"/>
  <c r="G3375" s="1"/>
  <c r="F3379"/>
  <c r="G3379" s="1"/>
  <c r="F3385"/>
  <c r="G3385" s="1"/>
  <c r="F3386"/>
  <c r="G3386" s="1"/>
  <c r="F3387"/>
  <c r="G3387" s="1"/>
  <c r="F3397"/>
  <c r="G3397" s="1"/>
  <c r="F3401"/>
  <c r="G3401" s="1"/>
  <c r="F3403"/>
  <c r="G3403" s="1"/>
  <c r="F3404"/>
  <c r="G3404" s="1"/>
  <c r="F3405"/>
  <c r="G3405" s="1"/>
  <c r="F3415"/>
  <c r="G3415" s="1"/>
  <c r="F3422"/>
  <c r="G3422" s="1"/>
  <c r="F3423"/>
  <c r="G3423" s="1"/>
  <c r="F3424"/>
  <c r="G3424" s="1"/>
  <c r="F3435"/>
  <c r="G3435" s="1"/>
  <c r="F3439"/>
  <c r="G3439" s="1"/>
  <c r="F3441"/>
  <c r="G3441" s="1"/>
  <c r="F3442"/>
  <c r="G3442" s="1"/>
  <c r="F3443"/>
  <c r="G3443" s="1"/>
  <c r="F3453"/>
  <c r="G3453" s="1"/>
  <c r="F3459"/>
  <c r="G3459" s="1"/>
  <c r="F3460"/>
  <c r="G3460" s="1"/>
  <c r="F3461"/>
  <c r="G3461" s="1"/>
  <c r="F3471"/>
  <c r="G3471" s="1"/>
  <c r="F3477"/>
  <c r="G3477" s="1"/>
  <c r="F3478"/>
  <c r="G3478" s="1"/>
  <c r="F3491"/>
  <c r="G3491" s="1"/>
  <c r="F3492"/>
  <c r="G3492" s="1"/>
  <c r="F3504"/>
  <c r="G3504" s="1"/>
  <c r="F3505"/>
  <c r="G3505" s="1"/>
  <c r="F3506"/>
  <c r="G3506" s="1"/>
  <c r="F3515"/>
  <c r="G3515" s="1"/>
  <c r="F3516"/>
  <c r="G3516" s="1"/>
  <c r="F3525"/>
  <c r="G3525" s="1"/>
  <c r="F3526"/>
  <c r="G3526" s="1"/>
  <c r="F3527"/>
  <c r="G3527" s="1"/>
  <c r="F3537"/>
  <c r="G3537" s="1"/>
  <c r="F3539"/>
  <c r="G3539" s="1"/>
  <c r="F3540"/>
  <c r="G3540" s="1"/>
  <c r="F3551"/>
  <c r="G3551" s="1"/>
  <c r="F3553"/>
  <c r="G3553" s="1"/>
  <c r="F3554"/>
  <c r="G3554" s="1"/>
  <c r="F3555"/>
  <c r="G3555" s="1"/>
  <c r="F3566"/>
  <c r="G3566" s="1"/>
  <c r="F3568"/>
  <c r="G3568" s="1"/>
  <c r="F3569"/>
  <c r="G3569" s="1"/>
  <c r="F3576"/>
  <c r="G3576" s="1"/>
  <c r="F3578"/>
  <c r="G3578" s="1"/>
  <c r="F3579"/>
  <c r="G3579" s="1"/>
  <c r="F3588"/>
  <c r="G3588" s="1"/>
  <c r="F3590"/>
  <c r="G3590" s="1"/>
  <c r="F3591"/>
  <c r="G3591" s="1"/>
  <c r="F3601"/>
  <c r="G3601" s="1"/>
  <c r="F3603"/>
  <c r="G3603" s="1"/>
  <c r="F3604"/>
  <c r="G3604" s="1"/>
  <c r="F3605"/>
  <c r="G3605" s="1"/>
  <c r="F3616"/>
  <c r="G3616" s="1"/>
  <c r="F3618"/>
  <c r="G3618" s="1"/>
  <c r="F3619"/>
  <c r="G3619" s="1"/>
  <c r="F3623"/>
  <c r="G3623" s="1"/>
  <c r="F3625"/>
  <c r="G3625" s="1"/>
  <c r="F3626"/>
  <c r="G3626" s="1"/>
  <c r="G3630"/>
  <c r="G3631" s="1"/>
  <c r="F3634"/>
  <c r="G3634" s="1"/>
  <c r="F3635"/>
  <c r="G3635" s="1"/>
  <c r="F3636"/>
  <c r="G3636" s="1"/>
  <c r="F3637"/>
  <c r="G3637" s="1"/>
  <c r="F3638"/>
  <c r="G3638" s="1"/>
  <c r="G3641"/>
  <c r="G3642" s="1"/>
  <c r="F3644"/>
  <c r="G3644" s="1"/>
  <c r="G3645" s="1"/>
  <c r="G3647"/>
  <c r="G3652"/>
  <c r="G3654" s="1"/>
  <c r="G3656"/>
  <c r="G3661"/>
  <c r="G3663" s="1"/>
  <c r="K1959" i="132" s="1"/>
  <c r="G3665" i="214"/>
  <c r="G3667" s="1"/>
  <c r="F3669"/>
  <c r="G3669" s="1"/>
  <c r="F3670"/>
  <c r="G3670" s="1"/>
  <c r="F3671"/>
  <c r="G3671" s="1"/>
  <c r="F3672"/>
  <c r="G3672" s="1"/>
  <c r="F95" i="211"/>
  <c r="R95" s="1"/>
  <c r="T101"/>
  <c r="T102" s="1"/>
  <c r="J138"/>
  <c r="F140"/>
  <c r="R140" s="1"/>
  <c r="T146"/>
  <c r="Q29" i="196" s="1"/>
  <c r="J183" i="211"/>
  <c r="I959" i="194"/>
  <c r="I917"/>
  <c r="I918"/>
  <c r="I919"/>
  <c r="I886"/>
  <c r="I887"/>
  <c r="I888"/>
  <c r="I889"/>
  <c r="I850"/>
  <c r="I851"/>
  <c r="I852"/>
  <c r="I853"/>
  <c r="I818"/>
  <c r="I819"/>
  <c r="I820"/>
  <c r="I821"/>
  <c r="I826"/>
  <c r="I827"/>
  <c r="I828"/>
  <c r="I829"/>
  <c r="I790"/>
  <c r="I791"/>
  <c r="I796"/>
  <c r="I797"/>
  <c r="I766"/>
  <c r="I767"/>
  <c r="I772"/>
  <c r="I773"/>
  <c r="I740"/>
  <c r="I741"/>
  <c r="I742"/>
  <c r="I747"/>
  <c r="I748"/>
  <c r="I749"/>
  <c r="I712"/>
  <c r="I713"/>
  <c r="I714"/>
  <c r="I719"/>
  <c r="I720"/>
  <c r="I721"/>
  <c r="I684"/>
  <c r="I685"/>
  <c r="I686"/>
  <c r="I691"/>
  <c r="I692"/>
  <c r="I693"/>
  <c r="I656"/>
  <c r="I657"/>
  <c r="I658"/>
  <c r="I663"/>
  <c r="I664"/>
  <c r="I665"/>
  <c r="I628"/>
  <c r="I629"/>
  <c r="I630"/>
  <c r="I635"/>
  <c r="I636"/>
  <c r="I637"/>
  <c r="I600"/>
  <c r="I601"/>
  <c r="I602"/>
  <c r="I607"/>
  <c r="I608"/>
  <c r="I609"/>
  <c r="I574"/>
  <c r="I575"/>
  <c r="I580"/>
  <c r="I581"/>
  <c r="I552"/>
  <c r="I557"/>
  <c r="I528"/>
  <c r="I529"/>
  <c r="I530"/>
  <c r="I492"/>
  <c r="I493"/>
  <c r="I494"/>
  <c r="I455"/>
  <c r="I456"/>
  <c r="I457"/>
  <c r="I458"/>
  <c r="I463"/>
  <c r="I464"/>
  <c r="I465"/>
  <c r="I466"/>
  <c r="I423"/>
  <c r="I424"/>
  <c r="I425"/>
  <c r="I426"/>
  <c r="I431"/>
  <c r="I432"/>
  <c r="I433"/>
  <c r="I434"/>
  <c r="I393"/>
  <c r="I394"/>
  <c r="I395"/>
  <c r="I364"/>
  <c r="I365"/>
  <c r="I366"/>
  <c r="I371"/>
  <c r="I372"/>
  <c r="I373"/>
  <c r="I336"/>
  <c r="I337"/>
  <c r="I310"/>
  <c r="I277"/>
  <c r="I278"/>
  <c r="I279"/>
  <c r="I280"/>
  <c r="I285"/>
  <c r="I286"/>
  <c r="I287"/>
  <c r="I288"/>
  <c r="I252"/>
  <c r="I253"/>
  <c r="I258"/>
  <c r="I259"/>
  <c r="I230"/>
  <c r="I235"/>
  <c r="I210"/>
  <c r="I215"/>
  <c r="E157" i="211" s="1"/>
  <c r="I186" i="194"/>
  <c r="I187"/>
  <c r="I188"/>
  <c r="I193"/>
  <c r="I194"/>
  <c r="I195"/>
  <c r="I160"/>
  <c r="I161"/>
  <c r="I166"/>
  <c r="I167"/>
  <c r="E155" i="211" s="1"/>
  <c r="I136" i="194"/>
  <c r="I137"/>
  <c r="I142"/>
  <c r="I143"/>
  <c r="I119"/>
  <c r="I94"/>
  <c r="I99"/>
  <c r="E152" i="211" s="1"/>
  <c r="I72" i="194"/>
  <c r="I73"/>
  <c r="I78"/>
  <c r="I79"/>
  <c r="I54"/>
  <c r="I55"/>
  <c r="I31"/>
  <c r="D380" i="305"/>
  <c r="I1541" i="192"/>
  <c r="I1496"/>
  <c r="I1497"/>
  <c r="I1498"/>
  <c r="I1337"/>
  <c r="I1338"/>
  <c r="I1339"/>
  <c r="I1340"/>
  <c r="I1341"/>
  <c r="I1342"/>
  <c r="I1262"/>
  <c r="I1263"/>
  <c r="I1264"/>
  <c r="I1265"/>
  <c r="I1266"/>
  <c r="I1271"/>
  <c r="I1272"/>
  <c r="I1273"/>
  <c r="I1274"/>
  <c r="I1275"/>
  <c r="I1228"/>
  <c r="I1229"/>
  <c r="I1230"/>
  <c r="I1231"/>
  <c r="I1236"/>
  <c r="I1237"/>
  <c r="I1238"/>
  <c r="I1239"/>
  <c r="I1193"/>
  <c r="I1194"/>
  <c r="I1195"/>
  <c r="I1200"/>
  <c r="I1166"/>
  <c r="I1167"/>
  <c r="I1168"/>
  <c r="I1173"/>
  <c r="I1137"/>
  <c r="I1138"/>
  <c r="I1139"/>
  <c r="I1144"/>
  <c r="I1145"/>
  <c r="I1146"/>
  <c r="I1103"/>
  <c r="I1104"/>
  <c r="I1105"/>
  <c r="I1106"/>
  <c r="I1111"/>
  <c r="I1112"/>
  <c r="I1113"/>
  <c r="I1114"/>
  <c r="I1060"/>
  <c r="I1061"/>
  <c r="I1062"/>
  <c r="I1020"/>
  <c r="I1021"/>
  <c r="I1022"/>
  <c r="I991"/>
  <c r="I992"/>
  <c r="I993"/>
  <c r="I998"/>
  <c r="I999"/>
  <c r="I1000"/>
  <c r="I952"/>
  <c r="I953"/>
  <c r="I954"/>
  <c r="I959"/>
  <c r="I960"/>
  <c r="I961"/>
  <c r="I921"/>
  <c r="I922"/>
  <c r="I923"/>
  <c r="I928"/>
  <c r="I929"/>
  <c r="I930"/>
  <c r="I893"/>
  <c r="I894"/>
  <c r="I895"/>
  <c r="I826"/>
  <c r="I827"/>
  <c r="I828"/>
  <c r="I729"/>
  <c r="I730"/>
  <c r="I731"/>
  <c r="I732"/>
  <c r="I737"/>
  <c r="I738"/>
  <c r="I739"/>
  <c r="I740"/>
  <c r="I697"/>
  <c r="I698"/>
  <c r="I699"/>
  <c r="I700"/>
  <c r="I705"/>
  <c r="I706"/>
  <c r="I707"/>
  <c r="I708"/>
  <c r="I655"/>
  <c r="I656"/>
  <c r="I657"/>
  <c r="I593"/>
  <c r="I594"/>
  <c r="I599"/>
  <c r="I600"/>
  <c r="I567"/>
  <c r="I568"/>
  <c r="I569"/>
  <c r="I574"/>
  <c r="I575"/>
  <c r="I576"/>
  <c r="I365"/>
  <c r="I366"/>
  <c r="I371"/>
  <c r="I372"/>
  <c r="I341"/>
  <c r="I342"/>
  <c r="I347"/>
  <c r="I348"/>
  <c r="I317"/>
  <c r="I318"/>
  <c r="I323"/>
  <c r="I324"/>
  <c r="I298"/>
  <c r="I299"/>
  <c r="I273"/>
  <c r="I274"/>
  <c r="I218"/>
  <c r="I219"/>
  <c r="I224"/>
  <c r="I225"/>
  <c r="I194"/>
  <c r="I195"/>
  <c r="I200"/>
  <c r="I201"/>
  <c r="I172"/>
  <c r="I177"/>
  <c r="I156"/>
  <c r="I157"/>
  <c r="I131"/>
  <c r="I101"/>
  <c r="I102"/>
  <c r="I33"/>
  <c r="I2003" i="132"/>
  <c r="I1972"/>
  <c r="I1977"/>
  <c r="K1979"/>
  <c r="I1952"/>
  <c r="K1954"/>
  <c r="I1957"/>
  <c r="I1932"/>
  <c r="I1937"/>
  <c r="I1912"/>
  <c r="I1892"/>
  <c r="I1897"/>
  <c r="I1870"/>
  <c r="I1871"/>
  <c r="I1876"/>
  <c r="I1877"/>
  <c r="I1847"/>
  <c r="I1848"/>
  <c r="I1593"/>
  <c r="I1594"/>
  <c r="I1595"/>
  <c r="I1600"/>
  <c r="I1601"/>
  <c r="I1602"/>
  <c r="I1565"/>
  <c r="I1566"/>
  <c r="I1567"/>
  <c r="I1572"/>
  <c r="I1573"/>
  <c r="I1574"/>
  <c r="I1537"/>
  <c r="I1538"/>
  <c r="I1539"/>
  <c r="I1544"/>
  <c r="I1545"/>
  <c r="I1546"/>
  <c r="I1491"/>
  <c r="I1492"/>
  <c r="I1435"/>
  <c r="I1436"/>
  <c r="I1437"/>
  <c r="I1442"/>
  <c r="I1443"/>
  <c r="I1444"/>
  <c r="I1405"/>
  <c r="I1406"/>
  <c r="I1407"/>
  <c r="I1408"/>
  <c r="I1412"/>
  <c r="I1413"/>
  <c r="I1414"/>
  <c r="I1415"/>
  <c r="I1216"/>
  <c r="I1217"/>
  <c r="I1218"/>
  <c r="I1069"/>
  <c r="I1070"/>
  <c r="I1071"/>
  <c r="I1043"/>
  <c r="I1044"/>
  <c r="I1045"/>
  <c r="I1050"/>
  <c r="I1051"/>
  <c r="I1052"/>
  <c r="I927"/>
  <c r="I928"/>
  <c r="I929"/>
  <c r="I930"/>
  <c r="I888"/>
  <c r="I889"/>
  <c r="I890"/>
  <c r="I725"/>
  <c r="I726"/>
  <c r="I727"/>
  <c r="I699"/>
  <c r="I700"/>
  <c r="I705"/>
  <c r="I706"/>
  <c r="C95" i="195" s="1"/>
  <c r="I95" s="1"/>
  <c r="C85" i="196" s="1"/>
  <c r="I675" i="132"/>
  <c r="I676"/>
  <c r="I652"/>
  <c r="I653"/>
  <c r="I622"/>
  <c r="I623"/>
  <c r="I624"/>
  <c r="I625"/>
  <c r="I626"/>
  <c r="I588"/>
  <c r="I589"/>
  <c r="I590"/>
  <c r="I595"/>
  <c r="I596"/>
  <c r="I597"/>
  <c r="I562"/>
  <c r="I563"/>
  <c r="I568"/>
  <c r="I569"/>
  <c r="F539"/>
  <c r="I539" s="1"/>
  <c r="F540"/>
  <c r="I540" s="1"/>
  <c r="I545"/>
  <c r="I522"/>
  <c r="I523"/>
  <c r="I497"/>
  <c r="I498"/>
  <c r="I470"/>
  <c r="I471"/>
  <c r="I472"/>
  <c r="I473"/>
  <c r="H403"/>
  <c r="I403" s="1"/>
  <c r="I404"/>
  <c r="I357"/>
  <c r="I358"/>
  <c r="I359"/>
  <c r="I360"/>
  <c r="I361"/>
  <c r="I362"/>
  <c r="I363"/>
  <c r="I364"/>
  <c r="I319"/>
  <c r="C46" i="195" s="1"/>
  <c r="I46" s="1"/>
  <c r="C32" i="196" s="1"/>
  <c r="F32" s="1"/>
  <c r="I324" i="132"/>
  <c r="C47" i="195" s="1"/>
  <c r="I47" s="1"/>
  <c r="C33" i="196" s="1"/>
  <c r="F33" s="1"/>
  <c r="I299" i="132"/>
  <c r="I304"/>
  <c r="C43" i="195" s="1"/>
  <c r="I43" s="1"/>
  <c r="C29" i="196" s="1"/>
  <c r="F29" s="1"/>
  <c r="I272" i="132"/>
  <c r="I273"/>
  <c r="I279"/>
  <c r="I280"/>
  <c r="I239"/>
  <c r="I240"/>
  <c r="I245"/>
  <c r="I246"/>
  <c r="I203"/>
  <c r="H204"/>
  <c r="I204" s="1"/>
  <c r="I209"/>
  <c r="H210"/>
  <c r="I210" s="1"/>
  <c r="I149"/>
  <c r="I150"/>
  <c r="I151"/>
  <c r="I152"/>
  <c r="I153"/>
  <c r="I158"/>
  <c r="I159"/>
  <c r="I160"/>
  <c r="I161"/>
  <c r="I162"/>
  <c r="I57"/>
  <c r="K61"/>
  <c r="C15" i="195"/>
  <c r="I15" s="1"/>
  <c r="C13" i="196" s="1"/>
  <c r="F13" s="1"/>
  <c r="I22" i="132"/>
  <c r="I23" s="1"/>
  <c r="I24" s="1"/>
  <c r="I28"/>
  <c r="I29" s="1"/>
  <c r="I30" s="1"/>
  <c r="C11" i="195" s="1"/>
  <c r="I11" s="1"/>
  <c r="C9" i="196" s="1"/>
  <c r="F9" s="1"/>
  <c r="K31" i="132"/>
  <c r="E111" i="252"/>
  <c r="C111"/>
  <c r="E110"/>
  <c r="C110"/>
  <c r="E11" i="251"/>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179" s="1"/>
  <c r="E180" s="1"/>
  <c r="E181" s="1"/>
  <c r="E182" s="1"/>
  <c r="E183" s="1"/>
  <c r="E184" s="1"/>
  <c r="E185" s="1"/>
  <c r="E186" s="1"/>
  <c r="E187" s="1"/>
  <c r="E188" s="1"/>
  <c r="E189" s="1"/>
  <c r="E190" s="1"/>
  <c r="E191" s="1"/>
  <c r="E192" s="1"/>
  <c r="E193" s="1"/>
  <c r="E194" s="1"/>
  <c r="E195" s="1"/>
  <c r="E196" s="1"/>
  <c r="E197" s="1"/>
  <c r="E198" s="1"/>
  <c r="E199" s="1"/>
  <c r="E200" s="1"/>
  <c r="E201" s="1"/>
  <c r="E202" s="1"/>
  <c r="E203" s="1"/>
  <c r="E204" s="1"/>
  <c r="E205" s="1"/>
  <c r="E206" s="1"/>
  <c r="E207" s="1"/>
  <c r="E208" s="1"/>
  <c r="E209" s="1"/>
  <c r="E210" s="1"/>
  <c r="E211" s="1"/>
  <c r="E212" s="1"/>
  <c r="E213" s="1"/>
  <c r="E214" s="1"/>
  <c r="E215" s="1"/>
  <c r="E216" s="1"/>
  <c r="E217" s="1"/>
  <c r="E218" s="1"/>
  <c r="E219" s="1"/>
  <c r="E220" s="1"/>
  <c r="E221" s="1"/>
  <c r="E222" s="1"/>
  <c r="E223" s="1"/>
  <c r="E224" s="1"/>
  <c r="E225" s="1"/>
  <c r="E226" s="1"/>
  <c r="E227" s="1"/>
  <c r="E228" s="1"/>
  <c r="E229" s="1"/>
  <c r="E230" s="1"/>
  <c r="E231" s="1"/>
  <c r="E232" s="1"/>
  <c r="E233" s="1"/>
  <c r="E234" s="1"/>
  <c r="E235" s="1"/>
  <c r="E236" s="1"/>
  <c r="E237" s="1"/>
  <c r="E238" s="1"/>
  <c r="E239" s="1"/>
  <c r="E240" s="1"/>
  <c r="E241" s="1"/>
  <c r="E242" s="1"/>
  <c r="E243" s="1"/>
  <c r="E244" s="1"/>
  <c r="E245" s="1"/>
  <c r="E246" s="1"/>
  <c r="E247" s="1"/>
  <c r="E248" s="1"/>
  <c r="E249" s="1"/>
  <c r="E250" s="1"/>
  <c r="E251" s="1"/>
  <c r="E252" s="1"/>
  <c r="E253" s="1"/>
  <c r="E254" s="1"/>
  <c r="E255" s="1"/>
  <c r="E256" s="1"/>
  <c r="E257" s="1"/>
  <c r="E258" s="1"/>
  <c r="E259" s="1"/>
  <c r="E260" s="1"/>
  <c r="E261" s="1"/>
  <c r="E262" s="1"/>
  <c r="E263" s="1"/>
  <c r="E264" s="1"/>
  <c r="E265" s="1"/>
  <c r="E266" s="1"/>
  <c r="E267" s="1"/>
  <c r="E268" s="1"/>
  <c r="E269" s="1"/>
  <c r="E270" s="1"/>
  <c r="E271" s="1"/>
  <c r="E272" s="1"/>
  <c r="E273" s="1"/>
  <c r="E274" s="1"/>
  <c r="E275" s="1"/>
  <c r="E276" s="1"/>
  <c r="E277" s="1"/>
  <c r="E278" s="1"/>
  <c r="E279" s="1"/>
  <c r="E280" s="1"/>
  <c r="E281" s="1"/>
  <c r="E282" s="1"/>
  <c r="E283" s="1"/>
  <c r="E284" s="1"/>
  <c r="E285" s="1"/>
  <c r="E286" s="1"/>
  <c r="E287" s="1"/>
  <c r="E288" s="1"/>
  <c r="E289" s="1"/>
  <c r="E290" s="1"/>
  <c r="E291" s="1"/>
  <c r="E292" s="1"/>
  <c r="E293" s="1"/>
  <c r="E294" s="1"/>
  <c r="E295" s="1"/>
  <c r="E296" s="1"/>
  <c r="E297" s="1"/>
  <c r="E298" s="1"/>
  <c r="E299" s="1"/>
  <c r="E300" s="1"/>
  <c r="E301" s="1"/>
  <c r="E302" s="1"/>
  <c r="E303" s="1"/>
  <c r="E304" s="1"/>
  <c r="E305" s="1"/>
  <c r="D1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D154" s="1"/>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37" s="1"/>
  <c r="D238" s="1"/>
  <c r="D239" s="1"/>
  <c r="D240" s="1"/>
  <c r="D241" s="1"/>
  <c r="D242" s="1"/>
  <c r="D243" s="1"/>
  <c r="D244" s="1"/>
  <c r="D245" s="1"/>
  <c r="D246" s="1"/>
  <c r="D247" s="1"/>
  <c r="D248" s="1"/>
  <c r="D249" s="1"/>
  <c r="D250" s="1"/>
  <c r="D251"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D288" s="1"/>
  <c r="D289" s="1"/>
  <c r="D290" s="1"/>
  <c r="D291" s="1"/>
  <c r="D292" s="1"/>
  <c r="D293" s="1"/>
  <c r="D294" s="1"/>
  <c r="D295" s="1"/>
  <c r="D296" s="1"/>
  <c r="D297" s="1"/>
  <c r="D298" s="1"/>
  <c r="D299" s="1"/>
  <c r="D300" s="1"/>
  <c r="D301" s="1"/>
  <c r="D302" s="1"/>
  <c r="D303" s="1"/>
  <c r="D304" s="1"/>
  <c r="D305" s="1"/>
  <c r="C11"/>
  <c r="C12" s="1"/>
  <c r="C13" s="1"/>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C51" s="1"/>
  <c r="C52" s="1"/>
  <c r="C53" s="1"/>
  <c r="C54" s="1"/>
  <c r="C55" s="1"/>
  <c r="C56" s="1"/>
  <c r="C57" s="1"/>
  <c r="C58" s="1"/>
  <c r="C59" s="1"/>
  <c r="C60" s="1"/>
  <c r="C61" s="1"/>
  <c r="C62" s="1"/>
  <c r="C63" s="1"/>
  <c r="C64" s="1"/>
  <c r="C65" s="1"/>
  <c r="C66" s="1"/>
  <c r="C67" s="1"/>
  <c r="C68" s="1"/>
  <c r="C69" s="1"/>
  <c r="C70" s="1"/>
  <c r="C71" s="1"/>
  <c r="C72" s="1"/>
  <c r="C73" s="1"/>
  <c r="C74" s="1"/>
  <c r="C75" s="1"/>
  <c r="C76" s="1"/>
  <c r="C77" s="1"/>
  <c r="C78" s="1"/>
  <c r="C79" s="1"/>
  <c r="C80" s="1"/>
  <c r="C81" s="1"/>
  <c r="C82" s="1"/>
  <c r="C83" s="1"/>
  <c r="C84" s="1"/>
  <c r="C85" s="1"/>
  <c r="C86" s="1"/>
  <c r="C87" s="1"/>
  <c r="C88" s="1"/>
  <c r="C89" s="1"/>
  <c r="C90" s="1"/>
  <c r="C91" s="1"/>
  <c r="C92" s="1"/>
  <c r="C93" s="1"/>
  <c r="C94" s="1"/>
  <c r="C95" s="1"/>
  <c r="C96" s="1"/>
  <c r="C97" s="1"/>
  <c r="C98" s="1"/>
  <c r="C99" s="1"/>
  <c r="C100" s="1"/>
  <c r="C101" s="1"/>
  <c r="C102" s="1"/>
  <c r="C103" s="1"/>
  <c r="C104" s="1"/>
  <c r="C105" s="1"/>
  <c r="C106" s="1"/>
  <c r="C107" s="1"/>
  <c r="C108" s="1"/>
  <c r="C109" s="1"/>
  <c r="C110" s="1"/>
  <c r="C111" s="1"/>
  <c r="C112" s="1"/>
  <c r="C113" s="1"/>
  <c r="C114" s="1"/>
  <c r="C115" s="1"/>
  <c r="C116" s="1"/>
  <c r="C117" s="1"/>
  <c r="C118" s="1"/>
  <c r="C119" s="1"/>
  <c r="C120" s="1"/>
  <c r="C121" s="1"/>
  <c r="C122" s="1"/>
  <c r="C123" s="1"/>
  <c r="C124" s="1"/>
  <c r="C125" s="1"/>
  <c r="C126" s="1"/>
  <c r="C127" s="1"/>
  <c r="C128" s="1"/>
  <c r="C129" s="1"/>
  <c r="C130" s="1"/>
  <c r="C131" s="1"/>
  <c r="C132" s="1"/>
  <c r="C133" s="1"/>
  <c r="C134" s="1"/>
  <c r="C135" s="1"/>
  <c r="C136" s="1"/>
  <c r="C137" s="1"/>
  <c r="C138" s="1"/>
  <c r="C139" s="1"/>
  <c r="C140" s="1"/>
  <c r="C141" s="1"/>
  <c r="C142" s="1"/>
  <c r="C143" s="1"/>
  <c r="C144" s="1"/>
  <c r="C145" s="1"/>
  <c r="C146" s="1"/>
  <c r="C147" s="1"/>
  <c r="C148" s="1"/>
  <c r="C149" s="1"/>
  <c r="C150" s="1"/>
  <c r="C151" s="1"/>
  <c r="C152" s="1"/>
  <c r="C153" s="1"/>
  <c r="C154" s="1"/>
  <c r="C155" s="1"/>
  <c r="C156" s="1"/>
  <c r="C157" s="1"/>
  <c r="C158" s="1"/>
  <c r="C159" s="1"/>
  <c r="C160" s="1"/>
  <c r="C161" s="1"/>
  <c r="C162" s="1"/>
  <c r="C163" s="1"/>
  <c r="C164" s="1"/>
  <c r="C165" s="1"/>
  <c r="C166" s="1"/>
  <c r="C167" s="1"/>
  <c r="C168" s="1"/>
  <c r="C169" s="1"/>
  <c r="C170" s="1"/>
  <c r="C171" s="1"/>
  <c r="C172" s="1"/>
  <c r="C173" s="1"/>
  <c r="C174" s="1"/>
  <c r="C175" s="1"/>
  <c r="C176" s="1"/>
  <c r="C177" s="1"/>
  <c r="C178" s="1"/>
  <c r="C179" s="1"/>
  <c r="C180" s="1"/>
  <c r="C181" s="1"/>
  <c r="C182" s="1"/>
  <c r="C183" s="1"/>
  <c r="C184" s="1"/>
  <c r="C185" s="1"/>
  <c r="C186" s="1"/>
  <c r="C187" s="1"/>
  <c r="C188" s="1"/>
  <c r="C189" s="1"/>
  <c r="C190" s="1"/>
  <c r="C191" s="1"/>
  <c r="C192" s="1"/>
  <c r="C193" s="1"/>
  <c r="C194" s="1"/>
  <c r="C195" s="1"/>
  <c r="C196" s="1"/>
  <c r="C197" s="1"/>
  <c r="C198" s="1"/>
  <c r="C199" s="1"/>
  <c r="C200" s="1"/>
  <c r="C201" s="1"/>
  <c r="C202" s="1"/>
  <c r="C203" s="1"/>
  <c r="C204" s="1"/>
  <c r="C205" s="1"/>
  <c r="C206" s="1"/>
  <c r="C207" s="1"/>
  <c r="C208" s="1"/>
  <c r="C209" s="1"/>
  <c r="C210" s="1"/>
  <c r="C211" s="1"/>
  <c r="C212" s="1"/>
  <c r="C213" s="1"/>
  <c r="C214" s="1"/>
  <c r="C215" s="1"/>
  <c r="C216" s="1"/>
  <c r="C217" s="1"/>
  <c r="C218" s="1"/>
  <c r="C219" s="1"/>
  <c r="C220" s="1"/>
  <c r="C221" s="1"/>
  <c r="C222" s="1"/>
  <c r="C223" s="1"/>
  <c r="C224" s="1"/>
  <c r="C225" s="1"/>
  <c r="C226" s="1"/>
  <c r="C227" s="1"/>
  <c r="C228" s="1"/>
  <c r="C229" s="1"/>
  <c r="C230" s="1"/>
  <c r="C231" s="1"/>
  <c r="C232" s="1"/>
  <c r="C233" s="1"/>
  <c r="C234" s="1"/>
  <c r="C235" s="1"/>
  <c r="C236" s="1"/>
  <c r="C237" s="1"/>
  <c r="C238" s="1"/>
  <c r="C239" s="1"/>
  <c r="C240" s="1"/>
  <c r="C241" s="1"/>
  <c r="C242" s="1"/>
  <c r="C243" s="1"/>
  <c r="C244" s="1"/>
  <c r="C245" s="1"/>
  <c r="C246" s="1"/>
  <c r="C247" s="1"/>
  <c r="C248" s="1"/>
  <c r="C249" s="1"/>
  <c r="C250" s="1"/>
  <c r="C251" s="1"/>
  <c r="C252" s="1"/>
  <c r="C253" s="1"/>
  <c r="C254" s="1"/>
  <c r="C255" s="1"/>
  <c r="C256" s="1"/>
  <c r="C257" s="1"/>
  <c r="C258" s="1"/>
  <c r="C259" s="1"/>
  <c r="C260" s="1"/>
  <c r="C261" s="1"/>
  <c r="C262" s="1"/>
  <c r="C263" s="1"/>
  <c r="C264" s="1"/>
  <c r="C265" s="1"/>
  <c r="C266" s="1"/>
  <c r="C267" s="1"/>
  <c r="C268" s="1"/>
  <c r="C269" s="1"/>
  <c r="C270" s="1"/>
  <c r="C271" s="1"/>
  <c r="C272" s="1"/>
  <c r="C273" s="1"/>
  <c r="C274" s="1"/>
  <c r="C275" s="1"/>
  <c r="C276" s="1"/>
  <c r="C277" s="1"/>
  <c r="C278" s="1"/>
  <c r="C279" s="1"/>
  <c r="C280" s="1"/>
  <c r="C281" s="1"/>
  <c r="C282" s="1"/>
  <c r="C283" s="1"/>
  <c r="C284" s="1"/>
  <c r="C285" s="1"/>
  <c r="C286" s="1"/>
  <c r="C287" s="1"/>
  <c r="C288" s="1"/>
  <c r="C289" s="1"/>
  <c r="C290" s="1"/>
  <c r="C291" s="1"/>
  <c r="C292" s="1"/>
  <c r="C293" s="1"/>
  <c r="C294" s="1"/>
  <c r="C295" s="1"/>
  <c r="C296" s="1"/>
  <c r="C297" s="1"/>
  <c r="C298" s="1"/>
  <c r="C299" s="1"/>
  <c r="C300" s="1"/>
  <c r="C301" s="1"/>
  <c r="C302" s="1"/>
  <c r="C303" s="1"/>
  <c r="C304" s="1"/>
  <c r="C305" s="1"/>
  <c r="B1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2" s="1"/>
  <c r="B143" s="1"/>
  <c r="B144" s="1"/>
  <c r="B145" s="1"/>
  <c r="B146" s="1"/>
  <c r="B147" s="1"/>
  <c r="B148" s="1"/>
  <c r="B149" s="1"/>
  <c r="B150" s="1"/>
  <c r="B151" s="1"/>
  <c r="B152" s="1"/>
  <c r="B153" s="1"/>
  <c r="B154" s="1"/>
  <c r="B155" s="1"/>
  <c r="B156" s="1"/>
  <c r="B157" s="1"/>
  <c r="B158" s="1"/>
  <c r="B159" s="1"/>
  <c r="B160" s="1"/>
  <c r="B161" s="1"/>
  <c r="B162" s="1"/>
  <c r="B163" s="1"/>
  <c r="B164" s="1"/>
  <c r="B165" s="1"/>
  <c r="B166" s="1"/>
  <c r="B167" s="1"/>
  <c r="B168" s="1"/>
  <c r="B169" s="1"/>
  <c r="B170" s="1"/>
  <c r="B171" s="1"/>
  <c r="B172" s="1"/>
  <c r="B173" s="1"/>
  <c r="B174" s="1"/>
  <c r="B175" s="1"/>
  <c r="B176" s="1"/>
  <c r="B177" s="1"/>
  <c r="B178" s="1"/>
  <c r="B179" s="1"/>
  <c r="B180" s="1"/>
  <c r="B181" s="1"/>
  <c r="B182" s="1"/>
  <c r="B183" s="1"/>
  <c r="B184" s="1"/>
  <c r="B185" s="1"/>
  <c r="B186" s="1"/>
  <c r="B187" s="1"/>
  <c r="B188" s="1"/>
  <c r="B189" s="1"/>
  <c r="B190" s="1"/>
  <c r="B191" s="1"/>
  <c r="B192" s="1"/>
  <c r="B193" s="1"/>
  <c r="B194" s="1"/>
  <c r="B195" s="1"/>
  <c r="B196" s="1"/>
  <c r="B197" s="1"/>
  <c r="B198" s="1"/>
  <c r="B199" s="1"/>
  <c r="B200" s="1"/>
  <c r="B201" s="1"/>
  <c r="B202" s="1"/>
  <c r="B203" s="1"/>
  <c r="B204" s="1"/>
  <c r="B205" s="1"/>
  <c r="B206" s="1"/>
  <c r="B207" s="1"/>
  <c r="B208" s="1"/>
  <c r="B209" s="1"/>
  <c r="B210" s="1"/>
  <c r="B211" s="1"/>
  <c r="B212" s="1"/>
  <c r="B213" s="1"/>
  <c r="B214" s="1"/>
  <c r="B215" s="1"/>
  <c r="B216" s="1"/>
  <c r="B217" s="1"/>
  <c r="B218" s="1"/>
  <c r="B219" s="1"/>
  <c r="B220" s="1"/>
  <c r="B221" s="1"/>
  <c r="B222" s="1"/>
  <c r="B223" s="1"/>
  <c r="B224" s="1"/>
  <c r="B225" s="1"/>
  <c r="B226" s="1"/>
  <c r="B227" s="1"/>
  <c r="B228" s="1"/>
  <c r="B229" s="1"/>
  <c r="B230" s="1"/>
  <c r="B231" s="1"/>
  <c r="B232" s="1"/>
  <c r="B233" s="1"/>
  <c r="B234" s="1"/>
  <c r="B235" s="1"/>
  <c r="B236" s="1"/>
  <c r="B237" s="1"/>
  <c r="B238" s="1"/>
  <c r="B239" s="1"/>
  <c r="B240" s="1"/>
  <c r="B241" s="1"/>
  <c r="B242" s="1"/>
  <c r="B243" s="1"/>
  <c r="B244" s="1"/>
  <c r="B245" s="1"/>
  <c r="B246" s="1"/>
  <c r="B247" s="1"/>
  <c r="B248" s="1"/>
  <c r="B249" s="1"/>
  <c r="B250" s="1"/>
  <c r="B251" s="1"/>
  <c r="B252" s="1"/>
  <c r="B253" s="1"/>
  <c r="B254" s="1"/>
  <c r="B255" s="1"/>
  <c r="B256" s="1"/>
  <c r="B257" s="1"/>
  <c r="B258" s="1"/>
  <c r="B259" s="1"/>
  <c r="B260" s="1"/>
  <c r="B261" s="1"/>
  <c r="B262" s="1"/>
  <c r="B263" s="1"/>
  <c r="B264" s="1"/>
  <c r="B265" s="1"/>
  <c r="B266" s="1"/>
  <c r="B267" s="1"/>
  <c r="B268" s="1"/>
  <c r="B269" s="1"/>
  <c r="B270" s="1"/>
  <c r="B271" s="1"/>
  <c r="B272" s="1"/>
  <c r="B273" s="1"/>
  <c r="B274" s="1"/>
  <c r="B275" s="1"/>
  <c r="B276" s="1"/>
  <c r="B277" s="1"/>
  <c r="B278" s="1"/>
  <c r="B279" s="1"/>
  <c r="B280" s="1"/>
  <c r="B281" s="1"/>
  <c r="B282" s="1"/>
  <c r="B283" s="1"/>
  <c r="B284" s="1"/>
  <c r="B285" s="1"/>
  <c r="B286" s="1"/>
  <c r="B287" s="1"/>
  <c r="B288" s="1"/>
  <c r="B289" s="1"/>
  <c r="B290" s="1"/>
  <c r="B291" s="1"/>
  <c r="B292" s="1"/>
  <c r="B293" s="1"/>
  <c r="B294" s="1"/>
  <c r="B295" s="1"/>
  <c r="B296" s="1"/>
  <c r="B297" s="1"/>
  <c r="B298" s="1"/>
  <c r="B299" s="1"/>
  <c r="B300" s="1"/>
  <c r="B301" s="1"/>
  <c r="B302" s="1"/>
  <c r="B303" s="1"/>
  <c r="B304" s="1"/>
  <c r="B305" s="1"/>
  <c r="E111" i="246"/>
  <c r="C111"/>
  <c r="E110"/>
  <c r="C110"/>
  <c r="G225" i="309" l="1"/>
  <c r="C225" s="1"/>
  <c r="D224" i="305"/>
  <c r="C223" i="195"/>
  <c r="I223" s="1"/>
  <c r="G225" i="140"/>
  <c r="G233" i="309"/>
  <c r="C233" s="1"/>
  <c r="D232" i="305"/>
  <c r="C231" i="195"/>
  <c r="I231" s="1"/>
  <c r="G233" i="140"/>
  <c r="C153" i="310"/>
  <c r="F153" s="1"/>
  <c r="G73" i="309"/>
  <c r="C73" s="1"/>
  <c r="D72" i="305"/>
  <c r="G73" i="140"/>
  <c r="G796" i="216"/>
  <c r="H796" s="1"/>
  <c r="H594"/>
  <c r="F597" s="1"/>
  <c r="H879"/>
  <c r="H503"/>
  <c r="H916"/>
  <c r="H898"/>
  <c r="H756"/>
  <c r="H654"/>
  <c r="H635"/>
  <c r="H519"/>
  <c r="F520" s="1"/>
  <c r="H520" s="1"/>
  <c r="H625"/>
  <c r="H587"/>
  <c r="G698"/>
  <c r="H698" s="1"/>
  <c r="G860"/>
  <c r="H860" s="1"/>
  <c r="G784"/>
  <c r="H784" s="1"/>
  <c r="G621"/>
  <c r="H621" s="1"/>
  <c r="G3000" i="214"/>
  <c r="H618" i="215"/>
  <c r="I618" s="1"/>
  <c r="G855" i="216"/>
  <c r="H855" s="1"/>
  <c r="H822"/>
  <c r="G779"/>
  <c r="H779" s="1"/>
  <c r="H765"/>
  <c r="H757"/>
  <c r="H521"/>
  <c r="E2082" i="214"/>
  <c r="F2082" s="1"/>
  <c r="E2075"/>
  <c r="F2075" s="1"/>
  <c r="H889" i="216"/>
  <c r="G839"/>
  <c r="H839" s="1"/>
  <c r="H738"/>
  <c r="G696"/>
  <c r="H696" s="1"/>
  <c r="H681"/>
  <c r="H663"/>
  <c r="H537"/>
  <c r="F540" s="1"/>
  <c r="H512"/>
  <c r="K1939" i="132"/>
  <c r="I225" i="309" s="1"/>
  <c r="K1919" i="132"/>
  <c r="I213" i="309" s="1"/>
  <c r="K1934" i="132"/>
  <c r="F223" i="305" s="1"/>
  <c r="G223" s="1"/>
  <c r="K1914" i="132"/>
  <c r="I212" i="309" s="1"/>
  <c r="K1879" i="132"/>
  <c r="F220" i="305" s="1"/>
  <c r="K1873" i="132"/>
  <c r="I220" i="309" s="1"/>
  <c r="G217"/>
  <c r="C217" s="1"/>
  <c r="D216" i="305"/>
  <c r="C207" i="195"/>
  <c r="I207" s="1"/>
  <c r="G217" i="140"/>
  <c r="G209" i="309"/>
  <c r="C209" s="1"/>
  <c r="D208" i="305"/>
  <c r="C199" i="195"/>
  <c r="I199" s="1"/>
  <c r="G209" i="140"/>
  <c r="C157" i="310"/>
  <c r="F157" s="1"/>
  <c r="G89" i="309"/>
  <c r="C89" s="1"/>
  <c r="D88" i="305"/>
  <c r="G89" i="140"/>
  <c r="C156" i="310"/>
  <c r="F156" s="1"/>
  <c r="G85" i="309"/>
  <c r="C85" s="1"/>
  <c r="D84" i="305"/>
  <c r="G85" i="140"/>
  <c r="K3990" i="132"/>
  <c r="M3990" s="1"/>
  <c r="K3949"/>
  <c r="M3949" s="1"/>
  <c r="K4000"/>
  <c r="M4000" s="1"/>
  <c r="K3897"/>
  <c r="M3897" s="1"/>
  <c r="K3877"/>
  <c r="M3877" s="1"/>
  <c r="K3807"/>
  <c r="M3807" s="1"/>
  <c r="K3797"/>
  <c r="M3797" s="1"/>
  <c r="K3751"/>
  <c r="M3751" s="1"/>
  <c r="K3699"/>
  <c r="M3699" s="1"/>
  <c r="K3674"/>
  <c r="M3674" s="1"/>
  <c r="K3659"/>
  <c r="M3659" s="1"/>
  <c r="K3610"/>
  <c r="M3610" s="1"/>
  <c r="K3605"/>
  <c r="M3605" s="1"/>
  <c r="K3582"/>
  <c r="M3582" s="1"/>
  <c r="K3572"/>
  <c r="M3572" s="1"/>
  <c r="K3995"/>
  <c r="M3995" s="1"/>
  <c r="K3922"/>
  <c r="M3922" s="1"/>
  <c r="K3902"/>
  <c r="M3902" s="1"/>
  <c r="K3887"/>
  <c r="M3887" s="1"/>
  <c r="K3882"/>
  <c r="M3882" s="1"/>
  <c r="K3830"/>
  <c r="M3830" s="1"/>
  <c r="K3825"/>
  <c r="M3825" s="1"/>
  <c r="K3802"/>
  <c r="M3802" s="1"/>
  <c r="K3792"/>
  <c r="M3792" s="1"/>
  <c r="K3746"/>
  <c r="M3746" s="1"/>
  <c r="K3719"/>
  <c r="M3719" s="1"/>
  <c r="K3756"/>
  <c r="M3756" s="1"/>
  <c r="K3679"/>
  <c r="M3679" s="1"/>
  <c r="K3664"/>
  <c r="M3664" s="1"/>
  <c r="K3654"/>
  <c r="M3654" s="1"/>
  <c r="K3587"/>
  <c r="M3587" s="1"/>
  <c r="K3577"/>
  <c r="M3577" s="1"/>
  <c r="K3054"/>
  <c r="M3054" s="1"/>
  <c r="K3105"/>
  <c r="M3105" s="1"/>
  <c r="K3090"/>
  <c r="M3090" s="1"/>
  <c r="K3100"/>
  <c r="M3100" s="1"/>
  <c r="K3070"/>
  <c r="M3070" s="1"/>
  <c r="K3063"/>
  <c r="M3063" s="1"/>
  <c r="K2993"/>
  <c r="M2993" s="1"/>
  <c r="K2983"/>
  <c r="M2983" s="1"/>
  <c r="K3003"/>
  <c r="M3003" s="1"/>
  <c r="K3029"/>
  <c r="M3029" s="1"/>
  <c r="K3018"/>
  <c r="M3018" s="1"/>
  <c r="K3039"/>
  <c r="M3039" s="1"/>
  <c r="K2916"/>
  <c r="M2916" s="1"/>
  <c r="K2967"/>
  <c r="M2967" s="1"/>
  <c r="K2952"/>
  <c r="M2952" s="1"/>
  <c r="K2962"/>
  <c r="M2962" s="1"/>
  <c r="K2932"/>
  <c r="M2932" s="1"/>
  <c r="K2925"/>
  <c r="M2925" s="1"/>
  <c r="K2852"/>
  <c r="M2852" s="1"/>
  <c r="K2841"/>
  <c r="M2841" s="1"/>
  <c r="K2863"/>
  <c r="M2863" s="1"/>
  <c r="K2891"/>
  <c r="M2891" s="1"/>
  <c r="K2879"/>
  <c r="M2879" s="1"/>
  <c r="K2901"/>
  <c r="M2901" s="1"/>
  <c r="K3110"/>
  <c r="M3110" s="1"/>
  <c r="K3095"/>
  <c r="M3095" s="1"/>
  <c r="K3085"/>
  <c r="M3085" s="1"/>
  <c r="K3080"/>
  <c r="M3080" s="1"/>
  <c r="K3075"/>
  <c r="M3075" s="1"/>
  <c r="K3064"/>
  <c r="M3064" s="1"/>
  <c r="K3062"/>
  <c r="M3062" s="1"/>
  <c r="K2998"/>
  <c r="M2998" s="1"/>
  <c r="K2978"/>
  <c r="M2978" s="1"/>
  <c r="K2988"/>
  <c r="M2988" s="1"/>
  <c r="K3008"/>
  <c r="M3008" s="1"/>
  <c r="K3023"/>
  <c r="M3023" s="1"/>
  <c r="K3013"/>
  <c r="M3013" s="1"/>
  <c r="K3044"/>
  <c r="M3044" s="1"/>
  <c r="K2972"/>
  <c r="M2972" s="1"/>
  <c r="K2957"/>
  <c r="M2957" s="1"/>
  <c r="K2947"/>
  <c r="M2947" s="1"/>
  <c r="K2942"/>
  <c r="M2942" s="1"/>
  <c r="K2937"/>
  <c r="M2937" s="1"/>
  <c r="K2926"/>
  <c r="M2926" s="1"/>
  <c r="K2924"/>
  <c r="M2924" s="1"/>
  <c r="K2858"/>
  <c r="M2858" s="1"/>
  <c r="K2836"/>
  <c r="M2836" s="1"/>
  <c r="K2847"/>
  <c r="M2847" s="1"/>
  <c r="K2868"/>
  <c r="M2868" s="1"/>
  <c r="K2885"/>
  <c r="M2885" s="1"/>
  <c r="K2874"/>
  <c r="M2874" s="1"/>
  <c r="K2906"/>
  <c r="M2906" s="1"/>
  <c r="K2491"/>
  <c r="M2491" s="1"/>
  <c r="K2357"/>
  <c r="M2357" s="1"/>
  <c r="K2353"/>
  <c r="M2353" s="1"/>
  <c r="K2487"/>
  <c r="M2487" s="1"/>
  <c r="K2496"/>
  <c r="M2496" s="1"/>
  <c r="K2483"/>
  <c r="M2483" s="1"/>
  <c r="K2362"/>
  <c r="M2362" s="1"/>
  <c r="K2349"/>
  <c r="M2349" s="1"/>
  <c r="H829" i="216"/>
  <c r="F832" s="1"/>
  <c r="K2554" i="132"/>
  <c r="F620" i="305" s="1"/>
  <c r="G620" s="1"/>
  <c r="K2415" i="132"/>
  <c r="G3545" i="214"/>
  <c r="F3570"/>
  <c r="G3281"/>
  <c r="G3143"/>
  <c r="F3580"/>
  <c r="G3580" s="1"/>
  <c r="G3581" s="1"/>
  <c r="G3582" s="1"/>
  <c r="F3599" s="1"/>
  <c r="G3599" s="1"/>
  <c r="G3606" s="1"/>
  <c r="G3261"/>
  <c r="F3178"/>
  <c r="G3126"/>
  <c r="F2663"/>
  <c r="G2344"/>
  <c r="F2261"/>
  <c r="G2209"/>
  <c r="F2973"/>
  <c r="G2958"/>
  <c r="F2952"/>
  <c r="F2945"/>
  <c r="G2973"/>
  <c r="F2958"/>
  <c r="G2952"/>
  <c r="G2945"/>
  <c r="G2938"/>
  <c r="G3021"/>
  <c r="G3001"/>
  <c r="F2653"/>
  <c r="G2628"/>
  <c r="G2364"/>
  <c r="G2226"/>
  <c r="F3475"/>
  <c r="G3475" s="1"/>
  <c r="G3239"/>
  <c r="G3225"/>
  <c r="G2056"/>
  <c r="G2041"/>
  <c r="G2035"/>
  <c r="G2028"/>
  <c r="G2048"/>
  <c r="F2056"/>
  <c r="F2041"/>
  <c r="F2035"/>
  <c r="G2021"/>
  <c r="G2084"/>
  <c r="G2104"/>
  <c r="E2992"/>
  <c r="F2992" s="1"/>
  <c r="G2936"/>
  <c r="F2558"/>
  <c r="G2558" s="1"/>
  <c r="G2183"/>
  <c r="G2019"/>
  <c r="F211" i="305"/>
  <c r="G211" s="1"/>
  <c r="F2173" i="214"/>
  <c r="E2174" s="1"/>
  <c r="F11" i="305"/>
  <c r="G11" s="1"/>
  <c r="I12" i="309"/>
  <c r="F10" i="305"/>
  <c r="G10" s="1"/>
  <c r="I11" i="309"/>
  <c r="F15" i="305"/>
  <c r="G15" s="1"/>
  <c r="I16" i="309"/>
  <c r="F14" i="305"/>
  <c r="G14" s="1"/>
  <c r="I15" i="309"/>
  <c r="F228" i="305"/>
  <c r="G228" s="1"/>
  <c r="I229" i="309"/>
  <c r="F227" i="305"/>
  <c r="G227" s="1"/>
  <c r="I228" i="309"/>
  <c r="F232" i="305"/>
  <c r="G232" s="1"/>
  <c r="I233" i="309"/>
  <c r="F231" i="305"/>
  <c r="G231" s="1"/>
  <c r="I232" i="309"/>
  <c r="F212" i="305"/>
  <c r="H772" i="216"/>
  <c r="F775" s="1"/>
  <c r="H890"/>
  <c r="H636"/>
  <c r="I1542" i="192"/>
  <c r="I960" i="194"/>
  <c r="I954"/>
  <c r="G523" i="140" s="1"/>
  <c r="I1048" i="215"/>
  <c r="I766"/>
  <c r="F3302" i="214"/>
  <c r="G2943"/>
  <c r="G2908"/>
  <c r="F2385"/>
  <c r="E2083"/>
  <c r="G2026"/>
  <c r="G1991"/>
  <c r="G926" i="216"/>
  <c r="H926" s="1"/>
  <c r="G837"/>
  <c r="H837" s="1"/>
  <c r="G697"/>
  <c r="H697" s="1"/>
  <c r="G695"/>
  <c r="H695" s="1"/>
  <c r="G693"/>
  <c r="H693" s="1"/>
  <c r="D212" i="305"/>
  <c r="C203" i="195"/>
  <c r="I203" s="1"/>
  <c r="G213" i="140"/>
  <c r="D357" i="305"/>
  <c r="C356" i="195"/>
  <c r="I356" s="1"/>
  <c r="D161" i="196" s="1"/>
  <c r="G359" i="140"/>
  <c r="D353" i="305"/>
  <c r="G355" i="140"/>
  <c r="C352" i="195"/>
  <c r="I352" s="1"/>
  <c r="D157" i="196" s="1"/>
  <c r="G2306" i="214"/>
  <c r="G2274"/>
  <c r="H736" i="216"/>
  <c r="H848"/>
  <c r="F851" s="1"/>
  <c r="H851" s="1"/>
  <c r="H633"/>
  <c r="F634" s="1"/>
  <c r="H634" s="1"/>
  <c r="H645" s="1"/>
  <c r="G3191" i="214"/>
  <c r="E2144"/>
  <c r="C107" i="165"/>
  <c r="E98" i="139" s="1"/>
  <c r="C102" i="165"/>
  <c r="E94" i="139" s="1"/>
  <c r="C379" i="195"/>
  <c r="I379" s="1"/>
  <c r="D172" i="196" s="1"/>
  <c r="G382" i="140"/>
  <c r="G3351" i="214"/>
  <c r="H852" i="216"/>
  <c r="H833"/>
  <c r="H775"/>
  <c r="H721"/>
  <c r="H617"/>
  <c r="H597"/>
  <c r="H540"/>
  <c r="F3456" i="214"/>
  <c r="G3456" s="1"/>
  <c r="G3207"/>
  <c r="G2956"/>
  <c r="G2929"/>
  <c r="G2902"/>
  <c r="F2539"/>
  <c r="G2539" s="1"/>
  <c r="G2290"/>
  <c r="F2083"/>
  <c r="F2084" s="1"/>
  <c r="G2039"/>
  <c r="G2012"/>
  <c r="G1985"/>
  <c r="G838" i="216"/>
  <c r="H838" s="1"/>
  <c r="G836"/>
  <c r="H836" s="1"/>
  <c r="G834"/>
  <c r="H834" s="1"/>
  <c r="H832"/>
  <c r="H814"/>
  <c r="G800"/>
  <c r="H800" s="1"/>
  <c r="H776"/>
  <c r="H655"/>
  <c r="G622"/>
  <c r="H622" s="1"/>
  <c r="G620"/>
  <c r="H620" s="1"/>
  <c r="G618"/>
  <c r="H618" s="1"/>
  <c r="H598"/>
  <c r="G544"/>
  <c r="H544" s="1"/>
  <c r="H486"/>
  <c r="G366" i="218"/>
  <c r="G368" s="1"/>
  <c r="K2921" i="132" s="1"/>
  <c r="M2921" s="1"/>
  <c r="H810" i="216"/>
  <c r="F813" s="1"/>
  <c r="H813" s="1"/>
  <c r="G798"/>
  <c r="H798" s="1"/>
  <c r="H754"/>
  <c r="F755" s="1"/>
  <c r="H755" s="1"/>
  <c r="H652"/>
  <c r="F653" s="1"/>
  <c r="H653" s="1"/>
  <c r="G2415" i="214"/>
  <c r="G2322"/>
  <c r="G2276"/>
  <c r="T156" i="211"/>
  <c r="T157" s="1"/>
  <c r="G3510" i="214"/>
  <c r="G3317"/>
  <c r="F3090"/>
  <c r="E3091" s="1"/>
  <c r="E3092" s="1"/>
  <c r="G3092" s="1"/>
  <c r="G2453"/>
  <c r="G801" i="216"/>
  <c r="H801" s="1"/>
  <c r="G799"/>
  <c r="H799" s="1"/>
  <c r="G797"/>
  <c r="H797" s="1"/>
  <c r="H791"/>
  <c r="F794" s="1"/>
  <c r="H794" s="1"/>
  <c r="H717"/>
  <c r="F720" s="1"/>
  <c r="H720" s="1"/>
  <c r="G3370" i="214"/>
  <c r="G3223"/>
  <c r="G3100"/>
  <c r="G3035"/>
  <c r="G2308"/>
  <c r="F3409"/>
  <c r="G3332"/>
  <c r="G3193"/>
  <c r="F3160"/>
  <c r="F3126"/>
  <c r="F3076"/>
  <c r="E3077" s="1"/>
  <c r="G3077" s="1"/>
  <c r="G2992"/>
  <c r="F2474"/>
  <c r="G2075"/>
  <c r="G128" i="140"/>
  <c r="I1070" i="215"/>
  <c r="I961"/>
  <c r="I952"/>
  <c r="I953" s="1"/>
  <c r="I939"/>
  <c r="I940" s="1"/>
  <c r="I918"/>
  <c r="I788"/>
  <c r="I681"/>
  <c r="I672"/>
  <c r="I673" s="1"/>
  <c r="I661"/>
  <c r="I662" s="1"/>
  <c r="I642"/>
  <c r="H1121"/>
  <c r="I1121" s="1"/>
  <c r="I1104"/>
  <c r="I1083"/>
  <c r="I1057"/>
  <c r="I978"/>
  <c r="I859"/>
  <c r="I860" s="1"/>
  <c r="H839"/>
  <c r="I839" s="1"/>
  <c r="I841" s="1"/>
  <c r="I822"/>
  <c r="I801"/>
  <c r="I775"/>
  <c r="I698"/>
  <c r="I583"/>
  <c r="I584" s="1"/>
  <c r="G546" i="218"/>
  <c r="G548" s="1"/>
  <c r="G549" s="1"/>
  <c r="G452"/>
  <c r="G454" s="1"/>
  <c r="G322"/>
  <c r="G324" s="1"/>
  <c r="G466"/>
  <c r="G468" s="1"/>
  <c r="G402"/>
  <c r="G404" s="1"/>
  <c r="G405" s="1"/>
  <c r="G308"/>
  <c r="G310" s="1"/>
  <c r="F541" i="216"/>
  <c r="H541" s="1"/>
  <c r="H887"/>
  <c r="F888" s="1"/>
  <c r="H888" s="1"/>
  <c r="H871"/>
  <c r="H868"/>
  <c r="F869" s="1"/>
  <c r="H869" s="1"/>
  <c r="H795"/>
  <c r="H613"/>
  <c r="F616" s="1"/>
  <c r="H616" s="1"/>
  <c r="H575"/>
  <c r="F578" s="1"/>
  <c r="H578" s="1"/>
  <c r="H556"/>
  <c r="F559" s="1"/>
  <c r="H559" s="1"/>
  <c r="H676"/>
  <c r="H501"/>
  <c r="F502" s="1"/>
  <c r="H502" s="1"/>
  <c r="E11" i="195"/>
  <c r="F11" s="1"/>
  <c r="J11" s="1"/>
  <c r="H9" i="196" s="1"/>
  <c r="F16" i="139"/>
  <c r="G16" s="1"/>
  <c r="I12" i="140"/>
  <c r="J12" s="1"/>
  <c r="O12" s="1"/>
  <c r="F13" i="139"/>
  <c r="G13" s="1"/>
  <c r="I11" i="140"/>
  <c r="J11" s="1"/>
  <c r="O11" s="1"/>
  <c r="E15" i="195"/>
  <c r="F15" s="1"/>
  <c r="J15" s="1"/>
  <c r="H13" i="196" s="1"/>
  <c r="F17" i="139"/>
  <c r="G17" s="1"/>
  <c r="I16" i="140"/>
  <c r="J16" s="1"/>
  <c r="O16" s="1"/>
  <c r="F14" i="139"/>
  <c r="I15" i="140"/>
  <c r="I229"/>
  <c r="J229" s="1"/>
  <c r="O229" s="1"/>
  <c r="E227" i="195"/>
  <c r="F227" s="1"/>
  <c r="J227" s="1"/>
  <c r="I228" i="140"/>
  <c r="J228" s="1"/>
  <c r="O228" s="1"/>
  <c r="E226" i="195"/>
  <c r="F226" s="1"/>
  <c r="J226" s="1"/>
  <c r="I233" i="140"/>
  <c r="E231" i="195"/>
  <c r="I232" i="140"/>
  <c r="J232" s="1"/>
  <c r="O232" s="1"/>
  <c r="E230" i="195"/>
  <c r="F230" s="1"/>
  <c r="J230" s="1"/>
  <c r="T150" i="211"/>
  <c r="T151" s="1"/>
  <c r="T111"/>
  <c r="T112" s="1"/>
  <c r="F3510" i="214"/>
  <c r="F3391"/>
  <c r="F3351"/>
  <c r="F3317"/>
  <c r="G3209"/>
  <c r="G3124"/>
  <c r="G2999"/>
  <c r="F2593"/>
  <c r="F2434"/>
  <c r="F2400"/>
  <c r="G2292"/>
  <c r="F2118"/>
  <c r="G1912"/>
  <c r="G1913" s="1"/>
  <c r="G3517"/>
  <c r="F3370"/>
  <c r="F3332"/>
  <c r="F3281"/>
  <c r="F3261"/>
  <c r="G3241"/>
  <c r="G3071"/>
  <c r="E3061"/>
  <c r="E3062" s="1"/>
  <c r="G3062" s="1"/>
  <c r="F3021"/>
  <c r="G2829"/>
  <c r="G2830" s="1"/>
  <c r="G2600"/>
  <c r="G2593"/>
  <c r="F2492"/>
  <c r="F2453"/>
  <c r="G2434"/>
  <c r="F2415"/>
  <c r="G2400"/>
  <c r="F2364"/>
  <c r="F2344"/>
  <c r="G2324"/>
  <c r="F2243"/>
  <c r="G2207"/>
  <c r="F2159"/>
  <c r="E2160" s="1"/>
  <c r="G2160" s="1"/>
  <c r="G2118"/>
  <c r="G2082"/>
  <c r="C138" i="195"/>
  <c r="G140" i="140"/>
  <c r="C142" i="195"/>
  <c r="G144" i="140"/>
  <c r="C178" i="195"/>
  <c r="G180" i="140"/>
  <c r="I186" i="195"/>
  <c r="C190"/>
  <c r="G200" i="140"/>
  <c r="G601"/>
  <c r="C597" i="195"/>
  <c r="G528" i="140"/>
  <c r="C525" i="195"/>
  <c r="G205" i="140"/>
  <c r="C195" i="195"/>
  <c r="H560" i="216"/>
  <c r="T171" i="211"/>
  <c r="T148"/>
  <c r="T105"/>
  <c r="T106" s="1"/>
  <c r="T126"/>
  <c r="T103"/>
  <c r="H482" i="216"/>
  <c r="F485" s="1"/>
  <c r="H485" s="1"/>
  <c r="H495" s="1"/>
  <c r="E14" i="139"/>
  <c r="E14" i="195"/>
  <c r="E10"/>
  <c r="Q33" i="196"/>
  <c r="I33" s="1"/>
  <c r="Q37"/>
  <c r="Q41"/>
  <c r="Q45"/>
  <c r="Q69"/>
  <c r="Q73" s="1"/>
  <c r="Q77"/>
  <c r="Q28"/>
  <c r="T149" i="211"/>
  <c r="T147"/>
  <c r="T104"/>
  <c r="E171"/>
  <c r="E162"/>
  <c r="E148"/>
  <c r="E126"/>
  <c r="E117"/>
  <c r="E103"/>
  <c r="E158"/>
  <c r="E153"/>
  <c r="E113"/>
  <c r="E112"/>
  <c r="E108"/>
  <c r="E107"/>
  <c r="D153"/>
  <c r="D151"/>
  <c r="D103"/>
  <c r="D148"/>
  <c r="D108"/>
  <c r="D106"/>
  <c r="C159"/>
  <c r="C147"/>
  <c r="F147" s="1"/>
  <c r="C146"/>
  <c r="F146" s="1"/>
  <c r="S146" s="1"/>
  <c r="C110" i="195"/>
  <c r="I110" s="1"/>
  <c r="C96" i="196" s="1"/>
  <c r="C42" i="195"/>
  <c r="I42" s="1"/>
  <c r="C28" i="196" s="1"/>
  <c r="F28" s="1"/>
  <c r="I10" i="195"/>
  <c r="C8" i="196" s="1"/>
  <c r="F8" s="1"/>
  <c r="C117" i="211"/>
  <c r="C102"/>
  <c r="F102" s="1"/>
  <c r="I102" s="1"/>
  <c r="C101"/>
  <c r="F101" s="1"/>
  <c r="S101" s="1"/>
  <c r="L32" i="196"/>
  <c r="I29"/>
  <c r="L29"/>
  <c r="L33"/>
  <c r="O33"/>
  <c r="O32"/>
  <c r="O29"/>
  <c r="G510" i="218"/>
  <c r="G512" s="1"/>
  <c r="H911" i="216"/>
  <c r="H687"/>
  <c r="H688" s="1"/>
  <c r="H922"/>
  <c r="H923" s="1"/>
  <c r="G933"/>
  <c r="H933" s="1"/>
  <c r="G932"/>
  <c r="H932" s="1"/>
  <c r="G931"/>
  <c r="H931" s="1"/>
  <c r="G930"/>
  <c r="H930" s="1"/>
  <c r="G929"/>
  <c r="H929" s="1"/>
  <c r="G928"/>
  <c r="H928" s="1"/>
  <c r="G841"/>
  <c r="H841" s="1"/>
  <c r="G803"/>
  <c r="H803" s="1"/>
  <c r="G692"/>
  <c r="H692" s="1"/>
  <c r="G691"/>
  <c r="H691" s="1"/>
  <c r="G604"/>
  <c r="H604" s="1"/>
  <c r="G603"/>
  <c r="H603" s="1"/>
  <c r="G602"/>
  <c r="H602" s="1"/>
  <c r="G601"/>
  <c r="H601" s="1"/>
  <c r="G600"/>
  <c r="H600" s="1"/>
  <c r="G599"/>
  <c r="H599" s="1"/>
  <c r="G566"/>
  <c r="H566" s="1"/>
  <c r="H565"/>
  <c r="H564"/>
  <c r="H563"/>
  <c r="H562"/>
  <c r="H561"/>
  <c r="G549"/>
  <c r="I1123" i="215"/>
  <c r="I1094"/>
  <c r="I1064"/>
  <c r="I1038"/>
  <c r="I1028"/>
  <c r="I1029" s="1"/>
  <c r="I1017"/>
  <c r="I1018" s="1"/>
  <c r="I1007"/>
  <c r="I1008" s="1"/>
  <c r="I997"/>
  <c r="I998" s="1"/>
  <c r="I895"/>
  <c r="I812"/>
  <c r="I782"/>
  <c r="I756"/>
  <c r="I747"/>
  <c r="I748" s="1"/>
  <c r="I736"/>
  <c r="I737" s="1"/>
  <c r="I726"/>
  <c r="I727" s="1"/>
  <c r="I717"/>
  <c r="I718" s="1"/>
  <c r="I619"/>
  <c r="I987"/>
  <c r="I988" s="1"/>
  <c r="I707"/>
  <c r="I708" s="1"/>
  <c r="I1075"/>
  <c r="I970"/>
  <c r="I793"/>
  <c r="I690"/>
  <c r="H897"/>
  <c r="I897" s="1"/>
  <c r="I899" s="1"/>
  <c r="H621"/>
  <c r="I621" s="1"/>
  <c r="I623" s="1"/>
  <c r="F3620" i="214"/>
  <c r="G3620" s="1"/>
  <c r="G3627" s="1"/>
  <c r="G3628" s="1"/>
  <c r="F3595"/>
  <c r="G3595"/>
  <c r="F3541"/>
  <c r="G3541" s="1"/>
  <c r="G3542" s="1"/>
  <c r="E3544" s="1"/>
  <c r="G3673"/>
  <c r="F3560"/>
  <c r="G3560" s="1"/>
  <c r="G3409"/>
  <c r="G3391"/>
  <c r="F3609"/>
  <c r="G3609"/>
  <c r="G3570"/>
  <c r="G3571" s="1"/>
  <c r="G3572" s="1"/>
  <c r="F3585" s="1"/>
  <c r="G3585" s="1"/>
  <c r="G3592" s="1"/>
  <c r="F3556"/>
  <c r="G3556" s="1"/>
  <c r="G3557" s="1"/>
  <c r="E3559" s="1"/>
  <c r="F3545"/>
  <c r="F3531"/>
  <c r="G3531"/>
  <c r="F3482"/>
  <c r="G3482"/>
  <c r="F3465"/>
  <c r="G3465"/>
  <c r="F3447"/>
  <c r="G3447"/>
  <c r="F3429"/>
  <c r="G3429"/>
  <c r="G3639"/>
  <c r="G2994"/>
  <c r="F3001"/>
  <c r="F2994"/>
  <c r="F2703"/>
  <c r="G2703" s="1"/>
  <c r="G2710" s="1"/>
  <c r="G2711" s="1"/>
  <c r="G2663"/>
  <c r="G2664" s="1"/>
  <c r="G2665" s="1"/>
  <c r="F2682" s="1"/>
  <c r="G2682" s="1"/>
  <c r="G2689" s="1"/>
  <c r="F2678"/>
  <c r="G2678"/>
  <c r="F2624"/>
  <c r="G2624" s="1"/>
  <c r="G2625" s="1"/>
  <c r="E2627" s="1"/>
  <c r="F3225"/>
  <c r="F3193"/>
  <c r="G3178"/>
  <c r="G3160"/>
  <c r="F3035"/>
  <c r="G2756"/>
  <c r="F2643"/>
  <c r="G2643" s="1"/>
  <c r="G2492"/>
  <c r="G2474"/>
  <c r="F2931"/>
  <c r="G2965"/>
  <c r="G2931"/>
  <c r="F2938"/>
  <c r="F2965"/>
  <c r="F2904"/>
  <c r="F2910"/>
  <c r="G2904"/>
  <c r="G2910"/>
  <c r="F2692"/>
  <c r="G2692"/>
  <c r="G2653"/>
  <c r="G2654" s="1"/>
  <c r="G2655" s="1"/>
  <c r="F2668" s="1"/>
  <c r="G2668" s="1"/>
  <c r="G2675" s="1"/>
  <c r="F2639"/>
  <c r="G2639" s="1"/>
  <c r="G2640" s="1"/>
  <c r="E2642" s="1"/>
  <c r="F2628"/>
  <c r="F2614"/>
  <c r="G2614"/>
  <c r="F2565"/>
  <c r="G2565"/>
  <c r="F2548"/>
  <c r="G2548"/>
  <c r="F2530"/>
  <c r="G2530"/>
  <c r="F2512"/>
  <c r="G2512"/>
  <c r="F3241"/>
  <c r="F3209"/>
  <c r="F3143"/>
  <c r="G2722"/>
  <c r="F2209"/>
  <c r="F2104"/>
  <c r="G2077"/>
  <c r="F2077"/>
  <c r="E2950"/>
  <c r="F2308"/>
  <c r="F2276"/>
  <c r="G2261"/>
  <c r="G2243"/>
  <c r="G2154"/>
  <c r="E2175"/>
  <c r="G2175" s="1"/>
  <c r="G2174"/>
  <c r="F2014"/>
  <c r="F2028"/>
  <c r="G2014"/>
  <c r="F2021"/>
  <c r="F2048"/>
  <c r="F1987"/>
  <c r="F1993"/>
  <c r="G1987"/>
  <c r="G1993"/>
  <c r="F2324"/>
  <c r="F2292"/>
  <c r="F2226"/>
  <c r="E2033"/>
  <c r="M1959" i="132"/>
  <c r="M1954"/>
  <c r="M1979"/>
  <c r="M1974"/>
  <c r="M31"/>
  <c r="M25"/>
  <c r="M68"/>
  <c r="M61"/>
  <c r="C22" i="195"/>
  <c r="I22" s="1"/>
  <c r="C24" i="196" s="1"/>
  <c r="F24" s="1"/>
  <c r="G25" i="250"/>
  <c r="F25"/>
  <c r="G24"/>
  <c r="F24"/>
  <c r="L24" s="1"/>
  <c r="F2814" i="214" s="1"/>
  <c r="G2814" s="1"/>
  <c r="G2815" s="1"/>
  <c r="G2816" s="1"/>
  <c r="G23" i="250"/>
  <c r="E23"/>
  <c r="F23" s="1"/>
  <c r="G22"/>
  <c r="G21"/>
  <c r="G20"/>
  <c r="I20" s="1"/>
  <c r="G19"/>
  <c r="I19" s="1"/>
  <c r="G18"/>
  <c r="I18" s="1"/>
  <c r="G17"/>
  <c r="I17" s="1"/>
  <c r="D17"/>
  <c r="D18" s="1"/>
  <c r="D19" s="1"/>
  <c r="D20" s="1"/>
  <c r="D21" s="1"/>
  <c r="D22" s="1"/>
  <c r="G16"/>
  <c r="I16" s="1"/>
  <c r="E16"/>
  <c r="E17" s="1"/>
  <c r="K15"/>
  <c r="J15"/>
  <c r="G15"/>
  <c r="E15"/>
  <c r="F15" s="1"/>
  <c r="G14"/>
  <c r="G13"/>
  <c r="D13"/>
  <c r="D14" s="1"/>
  <c r="G12"/>
  <c r="E12"/>
  <c r="F12" s="1"/>
  <c r="G11"/>
  <c r="L11" s="1"/>
  <c r="G10"/>
  <c r="I10" s="1"/>
  <c r="G9"/>
  <c r="I9" s="1"/>
  <c r="G8"/>
  <c r="L8" s="1"/>
  <c r="G25" i="240"/>
  <c r="F25"/>
  <c r="G24"/>
  <c r="F24"/>
  <c r="G23"/>
  <c r="E23"/>
  <c r="F23" s="1"/>
  <c r="G22"/>
  <c r="G21"/>
  <c r="G20"/>
  <c r="I20" s="1"/>
  <c r="G19"/>
  <c r="I19" s="1"/>
  <c r="G18"/>
  <c r="I18" s="1"/>
  <c r="G17"/>
  <c r="I17" s="1"/>
  <c r="D17"/>
  <c r="D18" s="1"/>
  <c r="D19" s="1"/>
  <c r="D20" s="1"/>
  <c r="D21" s="1"/>
  <c r="D22" s="1"/>
  <c r="G16"/>
  <c r="I16" s="1"/>
  <c r="E16"/>
  <c r="E17" s="1"/>
  <c r="K15"/>
  <c r="J15"/>
  <c r="G15"/>
  <c r="E15"/>
  <c r="F15" s="1"/>
  <c r="G14"/>
  <c r="G13"/>
  <c r="D13"/>
  <c r="D14" s="1"/>
  <c r="G12"/>
  <c r="E12"/>
  <c r="E13" s="1"/>
  <c r="G11"/>
  <c r="L11" s="1"/>
  <c r="G10"/>
  <c r="I10" s="1"/>
  <c r="G9"/>
  <c r="G8"/>
  <c r="L8" s="1"/>
  <c r="F155" i="218"/>
  <c r="G155" s="1"/>
  <c r="F156"/>
  <c r="G156" s="1"/>
  <c r="F157"/>
  <c r="G157" s="1"/>
  <c r="F162"/>
  <c r="G162" s="1"/>
  <c r="G163" s="1"/>
  <c r="F165"/>
  <c r="G165" s="1"/>
  <c r="G166" s="1"/>
  <c r="F168"/>
  <c r="G168" s="1"/>
  <c r="F169"/>
  <c r="G169" s="1"/>
  <c r="F170"/>
  <c r="G170" s="1"/>
  <c r="F171"/>
  <c r="G171" s="1"/>
  <c r="F176"/>
  <c r="G176" s="1"/>
  <c r="G178" s="1"/>
  <c r="F181"/>
  <c r="G181" s="1"/>
  <c r="G183" s="1"/>
  <c r="G184" s="1"/>
  <c r="F187"/>
  <c r="G187" s="1"/>
  <c r="G189" s="1"/>
  <c r="G190" s="1"/>
  <c r="F193"/>
  <c r="G193" s="1"/>
  <c r="G195" s="1"/>
  <c r="G196" s="1"/>
  <c r="F198"/>
  <c r="G198" s="1"/>
  <c r="G200" s="1"/>
  <c r="G202"/>
  <c r="G204" s="1"/>
  <c r="F206"/>
  <c r="G206" s="1"/>
  <c r="G208" s="1"/>
  <c r="F210"/>
  <c r="G210" s="1"/>
  <c r="G212" s="1"/>
  <c r="F214"/>
  <c r="G214" s="1"/>
  <c r="F215"/>
  <c r="G215" s="1"/>
  <c r="F220"/>
  <c r="G220" s="1"/>
  <c r="G222" s="1"/>
  <c r="F223"/>
  <c r="G223" s="1"/>
  <c r="G225" s="1"/>
  <c r="F226"/>
  <c r="G226" s="1"/>
  <c r="G228" s="1"/>
  <c r="F229"/>
  <c r="G229" s="1"/>
  <c r="G231" s="1"/>
  <c r="F233"/>
  <c r="G233" s="1"/>
  <c r="G235" s="1"/>
  <c r="F237"/>
  <c r="G237" s="1"/>
  <c r="G239" s="1"/>
  <c r="F241"/>
  <c r="G241" s="1"/>
  <c r="G243" s="1"/>
  <c r="F246"/>
  <c r="G246" s="1"/>
  <c r="F247"/>
  <c r="G247" s="1"/>
  <c r="F248"/>
  <c r="G248" s="1"/>
  <c r="F249"/>
  <c r="G249" s="1"/>
  <c r="F250"/>
  <c r="G250" s="1"/>
  <c r="F251"/>
  <c r="G251" s="1"/>
  <c r="F257"/>
  <c r="G257" s="1"/>
  <c r="F259"/>
  <c r="G259" s="1"/>
  <c r="F261"/>
  <c r="G261" s="1"/>
  <c r="F264"/>
  <c r="G264" s="1"/>
  <c r="G265" s="1"/>
  <c r="F267"/>
  <c r="G267" s="1"/>
  <c r="F276"/>
  <c r="G276" s="1"/>
  <c r="G277" s="1"/>
  <c r="F279"/>
  <c r="G279" s="1"/>
  <c r="G280" s="1"/>
  <c r="F282"/>
  <c r="G282" s="1"/>
  <c r="G283" s="1"/>
  <c r="F285"/>
  <c r="G285" s="1"/>
  <c r="G286" s="1"/>
  <c r="F288"/>
  <c r="G288" s="1"/>
  <c r="G289" s="1"/>
  <c r="F291"/>
  <c r="G291" s="1"/>
  <c r="G292" s="1"/>
  <c r="F294"/>
  <c r="G294" s="1"/>
  <c r="G295" s="1"/>
  <c r="F297"/>
  <c r="G297" s="1"/>
  <c r="G298" s="1"/>
  <c r="F301"/>
  <c r="G301" s="1"/>
  <c r="G302" s="1"/>
  <c r="H245" i="216"/>
  <c r="H246"/>
  <c r="H248"/>
  <c r="H249" s="1"/>
  <c r="F251" s="1"/>
  <c r="G250"/>
  <c r="G251"/>
  <c r="G252"/>
  <c r="H252" s="1"/>
  <c r="G253"/>
  <c r="H253" s="1"/>
  <c r="G254"/>
  <c r="H254" s="1"/>
  <c r="G255"/>
  <c r="H255" s="1"/>
  <c r="G256"/>
  <c r="H256" s="1"/>
  <c r="G257"/>
  <c r="H257" s="1"/>
  <c r="G259"/>
  <c r="H259" s="1"/>
  <c r="L259" s="1"/>
  <c r="L260" s="1"/>
  <c r="H264"/>
  <c r="H265"/>
  <c r="G267"/>
  <c r="F268"/>
  <c r="G268"/>
  <c r="F269"/>
  <c r="G269"/>
  <c r="G270"/>
  <c r="G271"/>
  <c r="G272"/>
  <c r="G273"/>
  <c r="G274"/>
  <c r="G275"/>
  <c r="H275" s="1"/>
  <c r="F277"/>
  <c r="G277"/>
  <c r="H282"/>
  <c r="H283"/>
  <c r="G285"/>
  <c r="F286"/>
  <c r="G286"/>
  <c r="H286" s="1"/>
  <c r="F287"/>
  <c r="G287"/>
  <c r="G288"/>
  <c r="H288" s="1"/>
  <c r="G289"/>
  <c r="H289" s="1"/>
  <c r="G290"/>
  <c r="H290" s="1"/>
  <c r="G291"/>
  <c r="H291" s="1"/>
  <c r="G292"/>
  <c r="H292" s="1"/>
  <c r="G293"/>
  <c r="H293" s="1"/>
  <c r="F295"/>
  <c r="G295"/>
  <c r="H295" s="1"/>
  <c r="H300"/>
  <c r="H301"/>
  <c r="H303"/>
  <c r="H304" s="1"/>
  <c r="F306" s="1"/>
  <c r="G305"/>
  <c r="G324" s="1"/>
  <c r="G306"/>
  <c r="G307"/>
  <c r="H307" s="1"/>
  <c r="G308"/>
  <c r="H308" s="1"/>
  <c r="G310"/>
  <c r="H310" s="1"/>
  <c r="G312"/>
  <c r="H312" s="1"/>
  <c r="F314"/>
  <c r="H319"/>
  <c r="H320"/>
  <c r="H322"/>
  <c r="H323" s="1"/>
  <c r="F325" s="1"/>
  <c r="G325"/>
  <c r="G327"/>
  <c r="H327" s="1"/>
  <c r="F333"/>
  <c r="H338"/>
  <c r="H339"/>
  <c r="H341"/>
  <c r="H342" s="1"/>
  <c r="F344" s="1"/>
  <c r="G343"/>
  <c r="G344"/>
  <c r="G345"/>
  <c r="H345" s="1"/>
  <c r="G346"/>
  <c r="H346" s="1"/>
  <c r="G347"/>
  <c r="H347" s="1"/>
  <c r="G348"/>
  <c r="H348" s="1"/>
  <c r="G349"/>
  <c r="H349" s="1"/>
  <c r="G350"/>
  <c r="H350" s="1"/>
  <c r="F352"/>
  <c r="G352"/>
  <c r="H357"/>
  <c r="H358"/>
  <c r="H360"/>
  <c r="H361" s="1"/>
  <c r="F363" s="1"/>
  <c r="G362"/>
  <c r="G363"/>
  <c r="G365"/>
  <c r="H365" s="1"/>
  <c r="G367"/>
  <c r="H367" s="1"/>
  <c r="F371"/>
  <c r="H376"/>
  <c r="H377"/>
  <c r="H379"/>
  <c r="H380" s="1"/>
  <c r="F382" s="1"/>
  <c r="G381"/>
  <c r="G382"/>
  <c r="G383"/>
  <c r="H383" s="1"/>
  <c r="G384"/>
  <c r="H384" s="1"/>
  <c r="G385"/>
  <c r="H385" s="1"/>
  <c r="G386"/>
  <c r="H386" s="1"/>
  <c r="G387"/>
  <c r="H387" s="1"/>
  <c r="G388"/>
  <c r="H388" s="1"/>
  <c r="F390"/>
  <c r="H396"/>
  <c r="H397"/>
  <c r="G399"/>
  <c r="F400"/>
  <c r="F401" s="1"/>
  <c r="G400"/>
  <c r="K400"/>
  <c r="G401"/>
  <c r="G402"/>
  <c r="G403"/>
  <c r="G404"/>
  <c r="G405"/>
  <c r="G406"/>
  <c r="G407"/>
  <c r="H407" s="1"/>
  <c r="F409"/>
  <c r="G409"/>
  <c r="L410"/>
  <c r="H415"/>
  <c r="H416"/>
  <c r="G418"/>
  <c r="F419"/>
  <c r="F420" s="1"/>
  <c r="G419"/>
  <c r="G420"/>
  <c r="G421"/>
  <c r="H421" s="1"/>
  <c r="G422"/>
  <c r="H422" s="1"/>
  <c r="G423"/>
  <c r="H423" s="1"/>
  <c r="G424"/>
  <c r="H424" s="1"/>
  <c r="G425"/>
  <c r="H425" s="1"/>
  <c r="G426"/>
  <c r="H426" s="1"/>
  <c r="F428"/>
  <c r="G428"/>
  <c r="L429"/>
  <c r="G431"/>
  <c r="H431" s="1"/>
  <c r="G433"/>
  <c r="H433" s="1"/>
  <c r="L435"/>
  <c r="F437"/>
  <c r="H437" s="1"/>
  <c r="F438"/>
  <c r="H438" s="1"/>
  <c r="F439"/>
  <c r="H439" s="1"/>
  <c r="F440"/>
  <c r="H440" s="1"/>
  <c r="G444"/>
  <c r="H444" s="1"/>
  <c r="G445"/>
  <c r="H445" s="1"/>
  <c r="F446"/>
  <c r="G446"/>
  <c r="G447"/>
  <c r="H447" s="1"/>
  <c r="G448"/>
  <c r="H448" s="1"/>
  <c r="G449"/>
  <c r="H449" s="1"/>
  <c r="G450"/>
  <c r="H450" s="1"/>
  <c r="G451"/>
  <c r="H451" s="1"/>
  <c r="G457"/>
  <c r="H457" s="1"/>
  <c r="F458"/>
  <c r="F467"/>
  <c r="H467" s="1"/>
  <c r="H468" s="1"/>
  <c r="F469"/>
  <c r="H469" s="1"/>
  <c r="H470" s="1"/>
  <c r="F471"/>
  <c r="H471" s="1"/>
  <c r="H472" s="1"/>
  <c r="F474"/>
  <c r="H474" s="1"/>
  <c r="H475" s="1"/>
  <c r="H292" i="215"/>
  <c r="I292" s="1"/>
  <c r="H293"/>
  <c r="I293" s="1"/>
  <c r="I294"/>
  <c r="I296"/>
  <c r="H297"/>
  <c r="I297" s="1"/>
  <c r="H298"/>
  <c r="I298" s="1"/>
  <c r="H304"/>
  <c r="I304" s="1"/>
  <c r="H305"/>
  <c r="I305" s="1"/>
  <c r="I306"/>
  <c r="H307"/>
  <c r="I307" s="1"/>
  <c r="H309"/>
  <c r="I309" s="1"/>
  <c r="H310"/>
  <c r="I310" s="1"/>
  <c r="H311"/>
  <c r="I311" s="1"/>
  <c r="H312"/>
  <c r="I312" s="1"/>
  <c r="H318"/>
  <c r="I318" s="1"/>
  <c r="I319" s="1"/>
  <c r="H321"/>
  <c r="I321" s="1"/>
  <c r="I322" s="1"/>
  <c r="H324"/>
  <c r="I324" s="1"/>
  <c r="I325" s="1"/>
  <c r="H327"/>
  <c r="I327" s="1"/>
  <c r="I328" s="1"/>
  <c r="H330"/>
  <c r="I330" s="1"/>
  <c r="I331" s="1"/>
  <c r="H333"/>
  <c r="I333" s="1"/>
  <c r="H338"/>
  <c r="I338" s="1"/>
  <c r="H341"/>
  <c r="I341" s="1"/>
  <c r="I342" s="1"/>
  <c r="H344"/>
  <c r="I344" s="1"/>
  <c r="I345" s="1"/>
  <c r="H347"/>
  <c r="I347" s="1"/>
  <c r="I348" s="1"/>
  <c r="H350"/>
  <c r="I350" s="1"/>
  <c r="I351" s="1"/>
  <c r="H353"/>
  <c r="I353" s="1"/>
  <c r="I354" s="1"/>
  <c r="H356"/>
  <c r="I356" s="1"/>
  <c r="H357"/>
  <c r="I357" s="1"/>
  <c r="H360"/>
  <c r="I360" s="1"/>
  <c r="I361" s="1"/>
  <c r="H364"/>
  <c r="I364" s="1"/>
  <c r="I365" s="1"/>
  <c r="H367"/>
  <c r="I367" s="1"/>
  <c r="I368" s="1"/>
  <c r="H373"/>
  <c r="I373" s="1"/>
  <c r="H374"/>
  <c r="I374" s="1"/>
  <c r="I375"/>
  <c r="H377"/>
  <c r="I377" s="1"/>
  <c r="H378"/>
  <c r="I378" s="1"/>
  <c r="H385"/>
  <c r="I385" s="1"/>
  <c r="H386"/>
  <c r="I386" s="1"/>
  <c r="I387"/>
  <c r="H389"/>
  <c r="I389" s="1"/>
  <c r="H390"/>
  <c r="I390" s="1"/>
  <c r="H391"/>
  <c r="I391" s="1"/>
  <c r="H396"/>
  <c r="I396" s="1"/>
  <c r="I397"/>
  <c r="H399"/>
  <c r="I399" s="1"/>
  <c r="H400"/>
  <c r="I400" s="1"/>
  <c r="H404"/>
  <c r="I404" s="1"/>
  <c r="I405"/>
  <c r="H407"/>
  <c r="I407" s="1"/>
  <c r="H408"/>
  <c r="I408" s="1"/>
  <c r="H409"/>
  <c r="I409" s="1"/>
  <c r="H413"/>
  <c r="I413" s="1"/>
  <c r="I414"/>
  <c r="H416"/>
  <c r="I416" s="1"/>
  <c r="H417"/>
  <c r="I417" s="1"/>
  <c r="H422"/>
  <c r="I422" s="1"/>
  <c r="H423"/>
  <c r="I423" s="1"/>
  <c r="I424"/>
  <c r="H426"/>
  <c r="I426" s="1"/>
  <c r="H433"/>
  <c r="I433" s="1"/>
  <c r="H434"/>
  <c r="I434" s="1"/>
  <c r="I435"/>
  <c r="H436"/>
  <c r="I436" s="1"/>
  <c r="H442"/>
  <c r="I442" s="1"/>
  <c r="H443"/>
  <c r="I443" s="1"/>
  <c r="I444"/>
  <c r="H446"/>
  <c r="I446" s="1"/>
  <c r="H452"/>
  <c r="I452" s="1"/>
  <c r="H453"/>
  <c r="I453" s="1"/>
  <c r="I454"/>
  <c r="H456"/>
  <c r="I456" s="1"/>
  <c r="H461"/>
  <c r="I461" s="1"/>
  <c r="H462"/>
  <c r="I462" s="1"/>
  <c r="I463"/>
  <c r="H465"/>
  <c r="I465" s="1"/>
  <c r="H466"/>
  <c r="I466" s="1"/>
  <c r="H467"/>
  <c r="I467" s="1"/>
  <c r="H473"/>
  <c r="I473" s="1"/>
  <c r="I474"/>
  <c r="H476"/>
  <c r="I476" s="1"/>
  <c r="H477"/>
  <c r="I477" s="1"/>
  <c r="H483"/>
  <c r="I483" s="1"/>
  <c r="I484"/>
  <c r="H486"/>
  <c r="I486" s="1"/>
  <c r="H487"/>
  <c r="I487" s="1"/>
  <c r="H488"/>
  <c r="I488" s="1"/>
  <c r="I489" s="1"/>
  <c r="H492"/>
  <c r="I492" s="1"/>
  <c r="I493" s="1"/>
  <c r="I494" s="1"/>
  <c r="H496"/>
  <c r="I496" s="1"/>
  <c r="H497"/>
  <c r="I497" s="1"/>
  <c r="H502"/>
  <c r="I502" s="1"/>
  <c r="I503"/>
  <c r="H505"/>
  <c r="I505" s="1"/>
  <c r="I509"/>
  <c r="H511"/>
  <c r="I511" s="1"/>
  <c r="H514"/>
  <c r="I514" s="1"/>
  <c r="H515"/>
  <c r="I515" s="1"/>
  <c r="I516"/>
  <c r="H520"/>
  <c r="I520" s="1"/>
  <c r="H521"/>
  <c r="I521" s="1"/>
  <c r="H523"/>
  <c r="I523" s="1"/>
  <c r="H524"/>
  <c r="I524" s="1"/>
  <c r="H529"/>
  <c r="I529" s="1"/>
  <c r="H530"/>
  <c r="I530" s="1"/>
  <c r="I531"/>
  <c r="H533"/>
  <c r="I533" s="1"/>
  <c r="H534"/>
  <c r="I534" s="1"/>
  <c r="H535"/>
  <c r="I535" s="1"/>
  <c r="H539"/>
  <c r="I539" s="1"/>
  <c r="H540"/>
  <c r="I540" s="1"/>
  <c r="H541"/>
  <c r="I541" s="1"/>
  <c r="H543"/>
  <c r="I543" s="1"/>
  <c r="H544"/>
  <c r="I544" s="1"/>
  <c r="I545"/>
  <c r="H549"/>
  <c r="I549" s="1"/>
  <c r="I550"/>
  <c r="H552"/>
  <c r="I552" s="1"/>
  <c r="H553"/>
  <c r="I553" s="1"/>
  <c r="H554"/>
  <c r="I554" s="1"/>
  <c r="H555"/>
  <c r="I555" s="1"/>
  <c r="H556"/>
  <c r="I556" s="1"/>
  <c r="H557"/>
  <c r="I557" s="1"/>
  <c r="H558"/>
  <c r="I558" s="1"/>
  <c r="H559"/>
  <c r="I559" s="1"/>
  <c r="H560"/>
  <c r="I560" s="1"/>
  <c r="H561"/>
  <c r="I561" s="1"/>
  <c r="H562"/>
  <c r="I562" s="1"/>
  <c r="H567"/>
  <c r="I567" s="1"/>
  <c r="I568" s="1"/>
  <c r="H570"/>
  <c r="I570" s="1"/>
  <c r="I571" s="1"/>
  <c r="E925" i="214"/>
  <c r="F927"/>
  <c r="G927" s="1"/>
  <c r="E930"/>
  <c r="F932"/>
  <c r="G932" s="1"/>
  <c r="E935"/>
  <c r="F937"/>
  <c r="G937" s="1"/>
  <c r="E940"/>
  <c r="F942"/>
  <c r="G942" s="1"/>
  <c r="E945"/>
  <c r="F947"/>
  <c r="G947" s="1"/>
  <c r="G959"/>
  <c r="G960" s="1"/>
  <c r="G964"/>
  <c r="G965" s="1"/>
  <c r="F970"/>
  <c r="G970" s="1"/>
  <c r="F978"/>
  <c r="G978" s="1"/>
  <c r="F986"/>
  <c r="G986" s="1"/>
  <c r="F993"/>
  <c r="G993" s="1"/>
  <c r="F994"/>
  <c r="G994" s="1"/>
  <c r="F1002"/>
  <c r="G1002" s="1"/>
  <c r="F1004"/>
  <c r="G1004" s="1"/>
  <c r="F1006"/>
  <c r="G1006" s="1"/>
  <c r="F1007"/>
  <c r="G1007" s="1"/>
  <c r="F1014"/>
  <c r="G1014" s="1"/>
  <c r="F1016"/>
  <c r="G1016" s="1"/>
  <c r="F1018"/>
  <c r="G1018" s="1"/>
  <c r="F1019"/>
  <c r="G1019" s="1"/>
  <c r="F1028"/>
  <c r="G1028" s="1"/>
  <c r="F1029"/>
  <c r="G1029" s="1"/>
  <c r="F1030"/>
  <c r="G1030" s="1"/>
  <c r="F1032"/>
  <c r="G1032" s="1"/>
  <c r="F1033"/>
  <c r="G1033" s="1"/>
  <c r="F1034"/>
  <c r="G1034" s="1"/>
  <c r="F1038"/>
  <c r="G1038" s="1"/>
  <c r="F1039"/>
  <c r="G1039" s="1"/>
  <c r="F1043"/>
  <c r="G1043" s="1"/>
  <c r="F1044"/>
  <c r="G1044" s="1"/>
  <c r="F1048"/>
  <c r="G1048" s="1"/>
  <c r="F1049"/>
  <c r="G1049" s="1"/>
  <c r="E1056"/>
  <c r="E1083" s="1"/>
  <c r="E1146" s="1"/>
  <c r="E1174" s="1"/>
  <c r="F1058"/>
  <c r="G1058" s="1"/>
  <c r="F1059"/>
  <c r="G1059" s="1"/>
  <c r="F1060"/>
  <c r="G1060" s="1"/>
  <c r="F1062"/>
  <c r="G1062" s="1"/>
  <c r="F1063"/>
  <c r="G1063" s="1"/>
  <c r="F1064"/>
  <c r="G1064" s="1"/>
  <c r="E1068"/>
  <c r="F1068" s="1"/>
  <c r="E1069"/>
  <c r="F1069"/>
  <c r="G1069"/>
  <c r="E1074"/>
  <c r="F1074" s="1"/>
  <c r="E1075"/>
  <c r="F1075"/>
  <c r="G1075"/>
  <c r="F1085"/>
  <c r="G1085" s="1"/>
  <c r="F1086"/>
  <c r="G1086" s="1"/>
  <c r="F1087"/>
  <c r="G1087" s="1"/>
  <c r="F1089"/>
  <c r="G1089" s="1"/>
  <c r="F1090"/>
  <c r="G1090" s="1"/>
  <c r="F1091"/>
  <c r="G1091" s="1"/>
  <c r="E1095"/>
  <c r="F1095" s="1"/>
  <c r="E1096"/>
  <c r="F1096"/>
  <c r="G1096"/>
  <c r="E1102"/>
  <c r="F1102" s="1"/>
  <c r="E1103"/>
  <c r="E1159" s="1"/>
  <c r="F1103"/>
  <c r="G1103"/>
  <c r="G1159" s="1"/>
  <c r="E1109"/>
  <c r="F1109" s="1"/>
  <c r="E1110"/>
  <c r="E1117" s="1"/>
  <c r="F1110"/>
  <c r="F1117" s="1"/>
  <c r="G1110"/>
  <c r="G1166" s="1"/>
  <c r="E1122"/>
  <c r="F1122" s="1"/>
  <c r="E1123"/>
  <c r="F1123"/>
  <c r="G1123"/>
  <c r="F1148"/>
  <c r="G1148" s="1"/>
  <c r="F1149"/>
  <c r="G1149" s="1"/>
  <c r="F1150"/>
  <c r="G1150" s="1"/>
  <c r="F1152"/>
  <c r="G1152" s="1"/>
  <c r="F1153"/>
  <c r="G1153" s="1"/>
  <c r="F1159"/>
  <c r="E1166"/>
  <c r="F1176"/>
  <c r="G1176" s="1"/>
  <c r="F1177"/>
  <c r="G1177" s="1"/>
  <c r="F1179"/>
  <c r="G1179" s="1"/>
  <c r="F1180"/>
  <c r="G1180" s="1"/>
  <c r="F1181"/>
  <c r="G1181" s="1"/>
  <c r="E1185"/>
  <c r="F1185" s="1"/>
  <c r="G1185" s="1"/>
  <c r="E1186"/>
  <c r="F1186" s="1"/>
  <c r="G1186" s="1"/>
  <c r="F1194"/>
  <c r="G1194" s="1"/>
  <c r="F1196"/>
  <c r="G1196" s="1"/>
  <c r="F1197"/>
  <c r="G1197" s="1"/>
  <c r="F1207"/>
  <c r="G1207" s="1"/>
  <c r="F1208"/>
  <c r="G1208" s="1"/>
  <c r="F1210"/>
  <c r="G1210" s="1"/>
  <c r="F1211"/>
  <c r="G1211" s="1"/>
  <c r="F1212"/>
  <c r="G1212" s="1"/>
  <c r="F1213"/>
  <c r="G1213" s="1"/>
  <c r="F1220"/>
  <c r="G1220" s="1"/>
  <c r="F1221"/>
  <c r="G1221" s="1"/>
  <c r="F1227"/>
  <c r="F1228"/>
  <c r="F1234"/>
  <c r="G1234" s="1"/>
  <c r="F1235"/>
  <c r="G1235" s="1"/>
  <c r="F1236"/>
  <c r="G1236" s="1"/>
  <c r="F1240"/>
  <c r="F1241"/>
  <c r="F1243"/>
  <c r="F1244"/>
  <c r="F1245"/>
  <c r="G1245" s="1"/>
  <c r="G1246"/>
  <c r="G1247"/>
  <c r="G1248"/>
  <c r="F1254"/>
  <c r="F1255"/>
  <c r="F1257"/>
  <c r="F1258"/>
  <c r="F1259"/>
  <c r="G1259" s="1"/>
  <c r="G1260"/>
  <c r="F1264"/>
  <c r="G1264" s="1"/>
  <c r="F1265"/>
  <c r="G1265" s="1"/>
  <c r="F1274"/>
  <c r="G1274" s="1"/>
  <c r="F1275"/>
  <c r="G1275" s="1"/>
  <c r="F1284"/>
  <c r="G1284" s="1"/>
  <c r="F1285"/>
  <c r="G1285" s="1"/>
  <c r="F1286"/>
  <c r="G1286" s="1"/>
  <c r="E1290"/>
  <c r="F1290" s="1"/>
  <c r="E1291"/>
  <c r="F1291"/>
  <c r="G1291"/>
  <c r="F1301"/>
  <c r="G1301" s="1"/>
  <c r="F1302"/>
  <c r="G1302" s="1"/>
  <c r="F1303"/>
  <c r="G1303" s="1"/>
  <c r="E1307"/>
  <c r="F1307" s="1"/>
  <c r="G1307" s="1"/>
  <c r="E1308"/>
  <c r="F1308"/>
  <c r="G1308"/>
  <c r="F1318"/>
  <c r="G1318" s="1"/>
  <c r="F1319"/>
  <c r="G1319" s="1"/>
  <c r="F1320"/>
  <c r="G1320" s="1"/>
  <c r="E1324"/>
  <c r="F1324" s="1"/>
  <c r="G1324" s="1"/>
  <c r="E1325"/>
  <c r="F1325"/>
  <c r="G1325"/>
  <c r="F1332"/>
  <c r="G1332" s="1"/>
  <c r="F1335"/>
  <c r="G1335" s="1"/>
  <c r="F1336"/>
  <c r="G1336" s="1"/>
  <c r="F1337"/>
  <c r="G1337" s="1"/>
  <c r="F1338"/>
  <c r="G1338" s="1"/>
  <c r="E1342"/>
  <c r="F1342" s="1"/>
  <c r="G1342" s="1"/>
  <c r="E1343"/>
  <c r="F1343"/>
  <c r="G1343"/>
  <c r="F1351"/>
  <c r="G1351" s="1"/>
  <c r="F1352"/>
  <c r="G1352" s="1"/>
  <c r="F1353"/>
  <c r="G1353" s="1"/>
  <c r="E1357"/>
  <c r="F1357" s="1"/>
  <c r="E1358"/>
  <c r="F1358"/>
  <c r="G1358"/>
  <c r="F1367"/>
  <c r="G1367" s="1"/>
  <c r="F1368"/>
  <c r="G1368" s="1"/>
  <c r="F1369"/>
  <c r="G1369" s="1"/>
  <c r="E1373"/>
  <c r="F1373" s="1"/>
  <c r="E1374"/>
  <c r="F1374"/>
  <c r="G1374"/>
  <c r="F1383"/>
  <c r="G1383" s="1"/>
  <c r="F1384"/>
  <c r="G1384" s="1"/>
  <c r="F1385"/>
  <c r="G1385" s="1"/>
  <c r="E1389"/>
  <c r="F1389" s="1"/>
  <c r="E1390"/>
  <c r="F1390"/>
  <c r="G1390"/>
  <c r="F1399"/>
  <c r="G1399" s="1"/>
  <c r="F1400"/>
  <c r="G1400" s="1"/>
  <c r="F1401"/>
  <c r="G1401" s="1"/>
  <c r="E1405"/>
  <c r="F1405" s="1"/>
  <c r="E1406"/>
  <c r="F1406"/>
  <c r="G1406"/>
  <c r="F1419"/>
  <c r="G1419" s="1"/>
  <c r="F1420"/>
  <c r="G1420" s="1"/>
  <c r="F1421"/>
  <c r="G1421" s="1"/>
  <c r="E1425"/>
  <c r="F1425" s="1"/>
  <c r="G1425" s="1"/>
  <c r="E1426"/>
  <c r="F1426"/>
  <c r="G1426"/>
  <c r="F1439"/>
  <c r="G1439" s="1"/>
  <c r="F1440"/>
  <c r="G1440" s="1"/>
  <c r="F1441"/>
  <c r="G1441" s="1"/>
  <c r="E1445"/>
  <c r="F1445" s="1"/>
  <c r="G1445" s="1"/>
  <c r="E1446"/>
  <c r="F1446"/>
  <c r="G1446"/>
  <c r="F1453"/>
  <c r="G1453" s="1"/>
  <c r="F1458"/>
  <c r="G1458" s="1"/>
  <c r="F1459"/>
  <c r="G1459" s="1"/>
  <c r="F1460"/>
  <c r="G1460" s="1"/>
  <c r="F1462"/>
  <c r="G1462" s="1"/>
  <c r="E1466"/>
  <c r="F1466"/>
  <c r="E1467"/>
  <c r="F1467"/>
  <c r="F1475"/>
  <c r="G1475" s="1"/>
  <c r="F1477"/>
  <c r="G1477" s="1"/>
  <c r="F1478"/>
  <c r="G1478" s="1"/>
  <c r="F1479"/>
  <c r="G1479" s="1"/>
  <c r="F1490"/>
  <c r="G1490" s="1"/>
  <c r="F1492"/>
  <c r="G1492" s="1"/>
  <c r="F1493"/>
  <c r="G1493" s="1"/>
  <c r="F1494"/>
  <c r="G1494" s="1"/>
  <c r="F1510"/>
  <c r="G1510" s="1"/>
  <c r="F1511"/>
  <c r="G1511" s="1"/>
  <c r="F1512"/>
  <c r="G1512" s="1"/>
  <c r="F1527"/>
  <c r="G1527" s="1"/>
  <c r="F1529"/>
  <c r="G1529" s="1"/>
  <c r="F1530"/>
  <c r="G1530" s="1"/>
  <c r="F1531"/>
  <c r="G1531" s="1"/>
  <c r="F1540"/>
  <c r="G1540" s="1"/>
  <c r="G1541" s="1"/>
  <c r="F1545"/>
  <c r="G1545" s="1"/>
  <c r="F1551"/>
  <c r="G1551" s="1"/>
  <c r="F1552"/>
  <c r="G1552" s="1"/>
  <c r="F1553"/>
  <c r="G1553" s="1"/>
  <c r="F1563"/>
  <c r="G1563" s="1"/>
  <c r="F1567"/>
  <c r="G1567" s="1"/>
  <c r="F1569"/>
  <c r="G1569" s="1"/>
  <c r="F1570"/>
  <c r="G1570" s="1"/>
  <c r="F1571"/>
  <c r="G1571" s="1"/>
  <c r="F1581"/>
  <c r="G1581" s="1"/>
  <c r="F1588"/>
  <c r="G1588" s="1"/>
  <c r="F1589"/>
  <c r="G1589" s="1"/>
  <c r="F1590"/>
  <c r="G1590" s="1"/>
  <c r="F1601"/>
  <c r="G1601" s="1"/>
  <c r="F1605"/>
  <c r="G1605" s="1"/>
  <c r="F1607"/>
  <c r="G1607" s="1"/>
  <c r="F1608"/>
  <c r="G1608" s="1"/>
  <c r="F1609"/>
  <c r="G1609" s="1"/>
  <c r="F1619"/>
  <c r="G1619" s="1"/>
  <c r="F1625"/>
  <c r="G1625" s="1"/>
  <c r="F1626"/>
  <c r="G1626" s="1"/>
  <c r="F1627"/>
  <c r="G1627" s="1"/>
  <c r="F1637"/>
  <c r="G1637" s="1"/>
  <c r="F1643"/>
  <c r="G1643" s="1"/>
  <c r="F1644"/>
  <c r="G1644" s="1"/>
  <c r="F1657"/>
  <c r="G1657" s="1"/>
  <c r="F1658"/>
  <c r="G1658" s="1"/>
  <c r="F1670"/>
  <c r="G1670" s="1"/>
  <c r="F1671"/>
  <c r="G1671" s="1"/>
  <c r="F1672"/>
  <c r="G1672" s="1"/>
  <c r="F1681"/>
  <c r="G1681" s="1"/>
  <c r="F1682"/>
  <c r="G1682" s="1"/>
  <c r="F1691"/>
  <c r="G1691" s="1"/>
  <c r="F1692"/>
  <c r="G1692" s="1"/>
  <c r="F1693"/>
  <c r="G1693" s="1"/>
  <c r="F1703"/>
  <c r="G1703" s="1"/>
  <c r="F1705"/>
  <c r="G1705" s="1"/>
  <c r="F1706"/>
  <c r="G1706" s="1"/>
  <c r="F1717"/>
  <c r="G1717" s="1"/>
  <c r="F1719"/>
  <c r="G1719" s="1"/>
  <c r="F1720"/>
  <c r="G1720" s="1"/>
  <c r="F1721"/>
  <c r="G1721" s="1"/>
  <c r="F1732"/>
  <c r="G1732" s="1"/>
  <c r="F1734"/>
  <c r="G1734" s="1"/>
  <c r="F1735"/>
  <c r="G1735" s="1"/>
  <c r="F1742"/>
  <c r="G1742" s="1"/>
  <c r="F1744"/>
  <c r="G1744" s="1"/>
  <c r="F1745"/>
  <c r="G1745" s="1"/>
  <c r="F1754"/>
  <c r="G1754" s="1"/>
  <c r="F1756"/>
  <c r="G1756" s="1"/>
  <c r="F1757"/>
  <c r="G1757" s="1"/>
  <c r="F1767"/>
  <c r="G1767" s="1"/>
  <c r="F1769"/>
  <c r="G1769" s="1"/>
  <c r="F1770"/>
  <c r="G1770" s="1"/>
  <c r="F1771"/>
  <c r="G1771" s="1"/>
  <c r="F1782"/>
  <c r="G1782" s="1"/>
  <c r="F1784"/>
  <c r="G1784" s="1"/>
  <c r="F1785"/>
  <c r="G1785" s="1"/>
  <c r="F1789"/>
  <c r="G1789" s="1"/>
  <c r="F1791"/>
  <c r="G1791" s="1"/>
  <c r="F1792"/>
  <c r="G1792" s="1"/>
  <c r="G1796"/>
  <c r="G1797" s="1"/>
  <c r="F1800"/>
  <c r="G1800" s="1"/>
  <c r="F1801"/>
  <c r="G1801" s="1"/>
  <c r="F1802"/>
  <c r="G1802" s="1"/>
  <c r="F1803"/>
  <c r="G1803" s="1"/>
  <c r="F1804"/>
  <c r="G1804" s="1"/>
  <c r="G1807"/>
  <c r="G1808" s="1"/>
  <c r="F1810"/>
  <c r="G1810" s="1"/>
  <c r="G1811" s="1"/>
  <c r="G1813"/>
  <c r="G1818"/>
  <c r="G1820" s="1"/>
  <c r="G1822"/>
  <c r="G1827"/>
  <c r="G1829" s="1"/>
  <c r="G1831"/>
  <c r="G1833" s="1"/>
  <c r="F1836"/>
  <c r="G1836" s="1"/>
  <c r="F1838"/>
  <c r="G1838" s="1"/>
  <c r="F50" i="211"/>
  <c r="R50" s="1"/>
  <c r="T56"/>
  <c r="Q27" i="196" s="1"/>
  <c r="Q31" s="1"/>
  <c r="J93" i="211"/>
  <c r="G776" i="140"/>
  <c r="C762" i="195"/>
  <c r="I762" s="1"/>
  <c r="G784" i="140"/>
  <c r="C782" i="195"/>
  <c r="I782" s="1"/>
  <c r="C786"/>
  <c r="I786" s="1"/>
  <c r="C790"/>
  <c r="I790" s="1"/>
  <c r="G808" i="140"/>
  <c r="C798" i="195"/>
  <c r="I798" s="1"/>
  <c r="C802"/>
  <c r="I802" s="1"/>
  <c r="C806"/>
  <c r="I806" s="1"/>
  <c r="G824" i="140"/>
  <c r="C818" i="195"/>
  <c r="I818" s="1"/>
  <c r="C814"/>
  <c r="I814" s="1"/>
  <c r="C826"/>
  <c r="I826" s="1"/>
  <c r="C834"/>
  <c r="I834" s="1"/>
  <c r="G904" i="140"/>
  <c r="C898" i="195"/>
  <c r="I898" s="1"/>
  <c r="G625" i="140"/>
  <c r="C625" i="195"/>
  <c r="I625" s="1"/>
  <c r="G633" i="140"/>
  <c r="C633" i="195"/>
  <c r="I633" s="1"/>
  <c r="C641"/>
  <c r="I641" s="1"/>
  <c r="C645"/>
  <c r="I645" s="1"/>
  <c r="C665"/>
  <c r="I665" s="1"/>
  <c r="C669"/>
  <c r="I669" s="1"/>
  <c r="G683" i="140"/>
  <c r="C673" i="195"/>
  <c r="I673" s="1"/>
  <c r="C681"/>
  <c r="I681" s="1"/>
  <c r="C685"/>
  <c r="I685" s="1"/>
  <c r="C689"/>
  <c r="I689" s="1"/>
  <c r="G702" i="140"/>
  <c r="C697" i="195"/>
  <c r="I697" s="1"/>
  <c r="C701"/>
  <c r="I701" s="1"/>
  <c r="C705"/>
  <c r="I705" s="1"/>
  <c r="C556"/>
  <c r="I556" s="1"/>
  <c r="G563" i="140"/>
  <c r="C564" i="195"/>
  <c r="I564" s="1"/>
  <c r="C572"/>
  <c r="I572" s="1"/>
  <c r="C576"/>
  <c r="I576" s="1"/>
  <c r="C580"/>
  <c r="I580" s="1"/>
  <c r="G588" i="140"/>
  <c r="C588" i="195"/>
  <c r="I588" s="1"/>
  <c r="C592"/>
  <c r="I592" s="1"/>
  <c r="C600"/>
  <c r="I600" s="1"/>
  <c r="C604"/>
  <c r="I604" s="1"/>
  <c r="I947" i="194"/>
  <c r="I842"/>
  <c r="I843"/>
  <c r="I844"/>
  <c r="I845"/>
  <c r="I810"/>
  <c r="I811"/>
  <c r="I812"/>
  <c r="I813"/>
  <c r="I784"/>
  <c r="I785"/>
  <c r="I760"/>
  <c r="I761"/>
  <c r="I733"/>
  <c r="I734"/>
  <c r="I735"/>
  <c r="I705"/>
  <c r="I706"/>
  <c r="I707"/>
  <c r="I677"/>
  <c r="I678"/>
  <c r="I679"/>
  <c r="I649"/>
  <c r="I650"/>
  <c r="I651"/>
  <c r="I621"/>
  <c r="I622"/>
  <c r="I623"/>
  <c r="I593"/>
  <c r="I594"/>
  <c r="I595"/>
  <c r="I568"/>
  <c r="I569"/>
  <c r="I547"/>
  <c r="G466" i="140" s="1"/>
  <c r="I447" i="194"/>
  <c r="I448"/>
  <c r="I449"/>
  <c r="I450"/>
  <c r="I415"/>
  <c r="I416"/>
  <c r="I417"/>
  <c r="I418"/>
  <c r="I357"/>
  <c r="I358"/>
  <c r="I359"/>
  <c r="I301"/>
  <c r="I272"/>
  <c r="I246"/>
  <c r="I247"/>
  <c r="I225"/>
  <c r="I205"/>
  <c r="G418" i="140" s="1"/>
  <c r="I179" i="194"/>
  <c r="I180"/>
  <c r="I181"/>
  <c r="I154"/>
  <c r="I155"/>
  <c r="I130"/>
  <c r="I131"/>
  <c r="I109"/>
  <c r="C395" i="195" s="1"/>
  <c r="I395" s="1"/>
  <c r="E55" i="196" s="1"/>
  <c r="I89" i="194"/>
  <c r="I66"/>
  <c r="I67"/>
  <c r="I42"/>
  <c r="I43"/>
  <c r="C383" i="195"/>
  <c r="I383" s="1"/>
  <c r="E35" i="196" s="1"/>
  <c r="I1253" i="192"/>
  <c r="I1254"/>
  <c r="I1255"/>
  <c r="I1256"/>
  <c r="I1257"/>
  <c r="I1220"/>
  <c r="I1221"/>
  <c r="I1222"/>
  <c r="I1223"/>
  <c r="I1126"/>
  <c r="I1092"/>
  <c r="I914"/>
  <c r="I915"/>
  <c r="I916"/>
  <c r="I721"/>
  <c r="I722"/>
  <c r="I723"/>
  <c r="I724"/>
  <c r="I689"/>
  <c r="I690"/>
  <c r="I691"/>
  <c r="I692"/>
  <c r="I587"/>
  <c r="I588"/>
  <c r="I560"/>
  <c r="I561"/>
  <c r="I562"/>
  <c r="I359"/>
  <c r="I360"/>
  <c r="I335"/>
  <c r="I336"/>
  <c r="I285"/>
  <c r="I286"/>
  <c r="I241"/>
  <c r="I212"/>
  <c r="I213"/>
  <c r="I188"/>
  <c r="I189"/>
  <c r="I167"/>
  <c r="G253" i="140" s="1"/>
  <c r="G257"/>
  <c r="I19" i="192"/>
  <c r="G241" i="140" s="1"/>
  <c r="I1967" i="132"/>
  <c r="C229" i="195" s="1"/>
  <c r="I229" s="1"/>
  <c r="I1947" i="132"/>
  <c r="C225" i="195" s="1"/>
  <c r="I225" s="1"/>
  <c r="I1927" i="132"/>
  <c r="C221" i="195" s="1"/>
  <c r="I221" s="1"/>
  <c r="C201"/>
  <c r="I201" s="1"/>
  <c r="I1887" i="132"/>
  <c r="C197" i="195" s="1"/>
  <c r="I197" s="1"/>
  <c r="I1864" i="132"/>
  <c r="I1865"/>
  <c r="I1837"/>
  <c r="I1839"/>
  <c r="I1586"/>
  <c r="I1587"/>
  <c r="I1588"/>
  <c r="I1558"/>
  <c r="I1559"/>
  <c r="I1560"/>
  <c r="I1530"/>
  <c r="I1531"/>
  <c r="I1532"/>
  <c r="I1504"/>
  <c r="I1505"/>
  <c r="I1479"/>
  <c r="I1480"/>
  <c r="I1481"/>
  <c r="I1455"/>
  <c r="I1427"/>
  <c r="I1430"/>
  <c r="I1396"/>
  <c r="I1209"/>
  <c r="I1210"/>
  <c r="I1211"/>
  <c r="I1062"/>
  <c r="I1063"/>
  <c r="I1064"/>
  <c r="I1036"/>
  <c r="I1037"/>
  <c r="I1038"/>
  <c r="I950"/>
  <c r="I919"/>
  <c r="I920"/>
  <c r="I921"/>
  <c r="I922"/>
  <c r="I718"/>
  <c r="I719"/>
  <c r="I720"/>
  <c r="I581"/>
  <c r="I582"/>
  <c r="I583"/>
  <c r="I556"/>
  <c r="I557"/>
  <c r="C45" i="195"/>
  <c r="I45" s="1"/>
  <c r="C31" i="196" s="1"/>
  <c r="F31" s="1"/>
  <c r="C41" i="195"/>
  <c r="I41" s="1"/>
  <c r="C27" i="196" s="1"/>
  <c r="F27" s="1"/>
  <c r="I197" i="132"/>
  <c r="H198"/>
  <c r="I198" s="1"/>
  <c r="I140"/>
  <c r="I141"/>
  <c r="I142"/>
  <c r="I143"/>
  <c r="I144"/>
  <c r="I16"/>
  <c r="J233" i="140" l="1"/>
  <c r="O233" s="1"/>
  <c r="F231" i="195"/>
  <c r="J231" s="1"/>
  <c r="C179" i="310"/>
  <c r="F179" s="1"/>
  <c r="G177" i="309"/>
  <c r="C177" s="1"/>
  <c r="D176" i="305"/>
  <c r="C175" i="195"/>
  <c r="I175" s="1"/>
  <c r="C161" i="196" s="1"/>
  <c r="G177" i="140"/>
  <c r="I153" i="310"/>
  <c r="L153"/>
  <c r="S153"/>
  <c r="H588" i="216"/>
  <c r="H664"/>
  <c r="H785"/>
  <c r="H266"/>
  <c r="F267" s="1"/>
  <c r="H247"/>
  <c r="F250" s="1"/>
  <c r="H842"/>
  <c r="H513"/>
  <c r="H823"/>
  <c r="C90" i="310"/>
  <c r="F90" s="1"/>
  <c r="C75"/>
  <c r="F75" s="1"/>
  <c r="G123" i="309"/>
  <c r="C123" s="1"/>
  <c r="D122" i="305"/>
  <c r="E202" i="195"/>
  <c r="F202" s="1"/>
  <c r="J202" s="1"/>
  <c r="G369" i="216"/>
  <c r="H369" s="1"/>
  <c r="H277"/>
  <c r="G1117" i="214"/>
  <c r="G1118" s="1"/>
  <c r="G1102"/>
  <c r="G331" i="216"/>
  <c r="H331" s="1"/>
  <c r="G311"/>
  <c r="H311" s="1"/>
  <c r="H531"/>
  <c r="H626"/>
  <c r="K2323" i="132" s="1"/>
  <c r="M2323" s="1"/>
  <c r="H766" i="216"/>
  <c r="H861"/>
  <c r="K2458" i="132" s="1"/>
  <c r="M2458" s="1"/>
  <c r="H899" i="216"/>
  <c r="G3061" i="214"/>
  <c r="T107" i="211"/>
  <c r="T108" s="1"/>
  <c r="T109" s="1"/>
  <c r="T110" s="1"/>
  <c r="G329" i="216"/>
  <c r="H329" s="1"/>
  <c r="H730"/>
  <c r="E2161" i="214"/>
  <c r="G2161" s="1"/>
  <c r="E3078"/>
  <c r="G3078" s="1"/>
  <c r="I220" i="140"/>
  <c r="J220" s="1"/>
  <c r="O220" s="1"/>
  <c r="M1919" i="132"/>
  <c r="E203" i="195"/>
  <c r="F203" s="1"/>
  <c r="J203" s="1"/>
  <c r="I770" i="140"/>
  <c r="J770" s="1"/>
  <c r="O770" s="1"/>
  <c r="H804" i="216"/>
  <c r="K2441" i="132" s="1"/>
  <c r="M2441" s="1"/>
  <c r="G309" i="216"/>
  <c r="H309" s="1"/>
  <c r="H287"/>
  <c r="F1641" i="214"/>
  <c r="G1641" s="1"/>
  <c r="G390" i="216"/>
  <c r="F219" i="305"/>
  <c r="G219" s="1"/>
  <c r="E222" i="195"/>
  <c r="F222" s="1"/>
  <c r="J222" s="1"/>
  <c r="I224" i="309"/>
  <c r="J224" s="1"/>
  <c r="M1939" i="132"/>
  <c r="E219" i="195"/>
  <c r="I225" i="140"/>
  <c r="J225" s="1"/>
  <c r="O225" s="1"/>
  <c r="F224" i="305"/>
  <c r="G224" s="1"/>
  <c r="I221" i="309"/>
  <c r="J221" s="1"/>
  <c r="M1914" i="132"/>
  <c r="I212" i="140"/>
  <c r="J212" s="1"/>
  <c r="O212" s="1"/>
  <c r="I213"/>
  <c r="J213" s="1"/>
  <c r="O213" s="1"/>
  <c r="E218" i="195"/>
  <c r="F218" s="1"/>
  <c r="J218" s="1"/>
  <c r="E679"/>
  <c r="F679" s="1"/>
  <c r="J679" s="1"/>
  <c r="E722"/>
  <c r="F722" s="1"/>
  <c r="J722" s="1"/>
  <c r="I830" i="140"/>
  <c r="J830" s="1"/>
  <c r="O830" s="1"/>
  <c r="F822" i="305"/>
  <c r="G822" s="1"/>
  <c r="M1934" i="132"/>
  <c r="I224" i="140"/>
  <c r="J224" s="1"/>
  <c r="O224" s="1"/>
  <c r="I221"/>
  <c r="E223" i="195"/>
  <c r="F223" s="1"/>
  <c r="J223" s="1"/>
  <c r="K3932" i="132"/>
  <c r="M3932" s="1"/>
  <c r="K1969"/>
  <c r="I231" i="140" s="1"/>
  <c r="K1867" i="132"/>
  <c r="I219" i="309" s="1"/>
  <c r="J219" s="1"/>
  <c r="K54" i="132"/>
  <c r="M54" s="1"/>
  <c r="K188"/>
  <c r="I28" i="309" s="1"/>
  <c r="E28" s="1"/>
  <c r="F28" s="1"/>
  <c r="K1894" i="132"/>
  <c r="I208" i="309" s="1"/>
  <c r="K1855" i="132"/>
  <c r="F216" i="305" s="1"/>
  <c r="G216" s="1"/>
  <c r="K1541" i="132"/>
  <c r="E210" i="195" s="1"/>
  <c r="F210" s="1"/>
  <c r="J210" s="1"/>
  <c r="K1548" i="132"/>
  <c r="F184" i="305" s="1"/>
  <c r="G184" s="1"/>
  <c r="K2546" i="132"/>
  <c r="M2546" s="1"/>
  <c r="K1949"/>
  <c r="I227" i="309" s="1"/>
  <c r="J227" s="1"/>
  <c r="K1929" i="132"/>
  <c r="I223" i="309" s="1"/>
  <c r="E223" s="1"/>
  <c r="F223" s="1"/>
  <c r="K1909" i="132"/>
  <c r="I211" i="309" s="1"/>
  <c r="K19" i="132"/>
  <c r="I10" i="309" s="1"/>
  <c r="K1850" i="132"/>
  <c r="F215" i="305" s="1"/>
  <c r="G215" s="1"/>
  <c r="K1899" i="132"/>
  <c r="F208" i="305" s="1"/>
  <c r="G208" s="1"/>
  <c r="K283" i="132"/>
  <c r="F40" i="305" s="1"/>
  <c r="G40" s="1"/>
  <c r="K276" i="132"/>
  <c r="M276" s="1"/>
  <c r="I573" i="140"/>
  <c r="J573" s="1"/>
  <c r="O573" s="1"/>
  <c r="E855" i="195"/>
  <c r="F855" s="1"/>
  <c r="J855" s="1"/>
  <c r="E771"/>
  <c r="F771" s="1"/>
  <c r="J771" s="1"/>
  <c r="F823" i="305"/>
  <c r="G823" s="1"/>
  <c r="F714"/>
  <c r="G714" s="1"/>
  <c r="I630" i="140"/>
  <c r="J630" s="1"/>
  <c r="O630" s="1"/>
  <c r="E699" i="195"/>
  <c r="F699" s="1"/>
  <c r="J699" s="1"/>
  <c r="E630"/>
  <c r="F630" s="1"/>
  <c r="J630" s="1"/>
  <c r="I704" i="140"/>
  <c r="J704" s="1"/>
  <c r="O704" s="1"/>
  <c r="E883" i="195"/>
  <c r="F883" s="1"/>
  <c r="J883" s="1"/>
  <c r="E828"/>
  <c r="F828" s="1"/>
  <c r="J828" s="1"/>
  <c r="I829" i="140"/>
  <c r="J829" s="1"/>
  <c r="O829" s="1"/>
  <c r="I866"/>
  <c r="J866" s="1"/>
  <c r="O866" s="1"/>
  <c r="F751" i="305"/>
  <c r="G751" s="1"/>
  <c r="F763"/>
  <c r="G763" s="1"/>
  <c r="F571"/>
  <c r="G571" s="1"/>
  <c r="F640"/>
  <c r="G640" s="1"/>
  <c r="F682"/>
  <c r="G682" s="1"/>
  <c r="E618" i="195"/>
  <c r="F618" s="1"/>
  <c r="J618" s="1"/>
  <c r="I581" i="140"/>
  <c r="J581" s="1"/>
  <c r="O581" s="1"/>
  <c r="I676"/>
  <c r="J676" s="1"/>
  <c r="O676" s="1"/>
  <c r="I735"/>
  <c r="J735" s="1"/>
  <c r="O735" s="1"/>
  <c r="I635"/>
  <c r="J635" s="1"/>
  <c r="O635" s="1"/>
  <c r="I732"/>
  <c r="J732" s="1"/>
  <c r="O732" s="1"/>
  <c r="E678" i="195"/>
  <c r="F678" s="1"/>
  <c r="J678" s="1"/>
  <c r="E698"/>
  <c r="F698" s="1"/>
  <c r="J698" s="1"/>
  <c r="I664" i="140"/>
  <c r="J664" s="1"/>
  <c r="O664" s="1"/>
  <c r="E731" i="195"/>
  <c r="F731" s="1"/>
  <c r="J731" s="1"/>
  <c r="E764"/>
  <c r="F764" s="1"/>
  <c r="J764" s="1"/>
  <c r="E751"/>
  <c r="F751" s="1"/>
  <c r="J751" s="1"/>
  <c r="F830" i="305"/>
  <c r="G830" s="1"/>
  <c r="F754"/>
  <c r="G754" s="1"/>
  <c r="F674"/>
  <c r="G674" s="1"/>
  <c r="F632"/>
  <c r="G632" s="1"/>
  <c r="F702"/>
  <c r="G702" s="1"/>
  <c r="I574" i="140"/>
  <c r="J574" s="1"/>
  <c r="O574" s="1"/>
  <c r="I578"/>
  <c r="J578" s="1"/>
  <c r="O578" s="1"/>
  <c r="I663"/>
  <c r="J663" s="1"/>
  <c r="O663" s="1"/>
  <c r="I703"/>
  <c r="J703" s="1"/>
  <c r="O703" s="1"/>
  <c r="I739"/>
  <c r="J739" s="1"/>
  <c r="O739" s="1"/>
  <c r="E663" i="195"/>
  <c r="F663" s="1"/>
  <c r="J663" s="1"/>
  <c r="E639"/>
  <c r="F639" s="1"/>
  <c r="J639" s="1"/>
  <c r="I720" i="140"/>
  <c r="J720" s="1"/>
  <c r="O720" s="1"/>
  <c r="E662" i="195"/>
  <c r="E638"/>
  <c r="F638" s="1"/>
  <c r="J638" s="1"/>
  <c r="E710"/>
  <c r="F710" s="1"/>
  <c r="J710" s="1"/>
  <c r="I677" i="140"/>
  <c r="J677" s="1"/>
  <c r="O677" s="1"/>
  <c r="I631"/>
  <c r="J631" s="1"/>
  <c r="O631" s="1"/>
  <c r="I736"/>
  <c r="J736" s="1"/>
  <c r="O736" s="1"/>
  <c r="E827" i="195"/>
  <c r="F827" s="1"/>
  <c r="J827" s="1"/>
  <c r="I893" i="140"/>
  <c r="J893" s="1"/>
  <c r="O893" s="1"/>
  <c r="E748" i="195"/>
  <c r="F748" s="1"/>
  <c r="J748" s="1"/>
  <c r="E760"/>
  <c r="F760" s="1"/>
  <c r="J760" s="1"/>
  <c r="E808"/>
  <c r="F808" s="1"/>
  <c r="J808" s="1"/>
  <c r="E884"/>
  <c r="F884" s="1"/>
  <c r="J884" s="1"/>
  <c r="E755"/>
  <c r="F755" s="1"/>
  <c r="J755" s="1"/>
  <c r="E803"/>
  <c r="F803" s="1"/>
  <c r="J803" s="1"/>
  <c r="E815"/>
  <c r="F815" s="1"/>
  <c r="J815" s="1"/>
  <c r="E816"/>
  <c r="F816" s="1"/>
  <c r="J816" s="1"/>
  <c r="E856"/>
  <c r="F856" s="1"/>
  <c r="J856" s="1"/>
  <c r="F758" i="305"/>
  <c r="G758" s="1"/>
  <c r="F886"/>
  <c r="G886" s="1"/>
  <c r="F831"/>
  <c r="G831" s="1"/>
  <c r="F810"/>
  <c r="G810" s="1"/>
  <c r="F858"/>
  <c r="G858" s="1"/>
  <c r="F767"/>
  <c r="G767" s="1"/>
  <c r="F859"/>
  <c r="G859" s="1"/>
  <c r="F572"/>
  <c r="G572" s="1"/>
  <c r="F576"/>
  <c r="G576" s="1"/>
  <c r="F660"/>
  <c r="G660" s="1"/>
  <c r="F729"/>
  <c r="G729" s="1"/>
  <c r="F633"/>
  <c r="G633" s="1"/>
  <c r="F673"/>
  <c r="G673" s="1"/>
  <c r="F713"/>
  <c r="G713" s="1"/>
  <c r="F629"/>
  <c r="G629" s="1"/>
  <c r="F726"/>
  <c r="G726" s="1"/>
  <c r="M2415" i="132"/>
  <c r="M2554"/>
  <c r="G235" i="309"/>
  <c r="C235" s="1"/>
  <c r="F762" i="305"/>
  <c r="G762" s="1"/>
  <c r="F811"/>
  <c r="G811" s="1"/>
  <c r="F895"/>
  <c r="G895" s="1"/>
  <c r="F883"/>
  <c r="G883" s="1"/>
  <c r="F575"/>
  <c r="G575" s="1"/>
  <c r="F583"/>
  <c r="G583" s="1"/>
  <c r="F580"/>
  <c r="G580" s="1"/>
  <c r="I622" i="140"/>
  <c r="J622" s="1"/>
  <c r="O622" s="1"/>
  <c r="E577" i="195"/>
  <c r="F577" s="1"/>
  <c r="J577" s="1"/>
  <c r="E570"/>
  <c r="F570" s="1"/>
  <c r="J570" s="1"/>
  <c r="E569"/>
  <c r="F569" s="1"/>
  <c r="J569" s="1"/>
  <c r="E574"/>
  <c r="F574" s="1"/>
  <c r="J574" s="1"/>
  <c r="E670"/>
  <c r="F670" s="1"/>
  <c r="J670" s="1"/>
  <c r="E658"/>
  <c r="F658" s="1"/>
  <c r="J658" s="1"/>
  <c r="E626"/>
  <c r="F626" s="1"/>
  <c r="J626" s="1"/>
  <c r="E694"/>
  <c r="F694" s="1"/>
  <c r="J694" s="1"/>
  <c r="E726"/>
  <c r="F726" s="1"/>
  <c r="J726" s="1"/>
  <c r="E730"/>
  <c r="F730" s="1"/>
  <c r="J730" s="1"/>
  <c r="I685" i="140"/>
  <c r="J685" s="1"/>
  <c r="O685" s="1"/>
  <c r="I668"/>
  <c r="J668" s="1"/>
  <c r="O668" s="1"/>
  <c r="E631" i="195"/>
  <c r="F631" s="1"/>
  <c r="J631" s="1"/>
  <c r="I644" i="140"/>
  <c r="J644" s="1"/>
  <c r="O644" s="1"/>
  <c r="I708"/>
  <c r="J708" s="1"/>
  <c r="O708" s="1"/>
  <c r="E711" i="195"/>
  <c r="F711" s="1"/>
  <c r="J711" s="1"/>
  <c r="E723"/>
  <c r="F723" s="1"/>
  <c r="J723" s="1"/>
  <c r="I684" i="140"/>
  <c r="J684" s="1"/>
  <c r="O684" s="1"/>
  <c r="I667"/>
  <c r="I634"/>
  <c r="J634" s="1"/>
  <c r="O634" s="1"/>
  <c r="I643"/>
  <c r="J643" s="1"/>
  <c r="O643" s="1"/>
  <c r="I707"/>
  <c r="J707" s="1"/>
  <c r="O707" s="1"/>
  <c r="I719"/>
  <c r="J719" s="1"/>
  <c r="O719" s="1"/>
  <c r="I731"/>
  <c r="J731" s="1"/>
  <c r="O731" s="1"/>
  <c r="E671" i="195"/>
  <c r="F671" s="1"/>
  <c r="J671" s="1"/>
  <c r="E659"/>
  <c r="F659" s="1"/>
  <c r="J659" s="1"/>
  <c r="E627"/>
  <c r="F627" s="1"/>
  <c r="J627" s="1"/>
  <c r="E695"/>
  <c r="F695" s="1"/>
  <c r="J695" s="1"/>
  <c r="E727"/>
  <c r="F727" s="1"/>
  <c r="J727" s="1"/>
  <c r="I740" i="140"/>
  <c r="J740" s="1"/>
  <c r="O740" s="1"/>
  <c r="I837"/>
  <c r="J837" s="1"/>
  <c r="O837" s="1"/>
  <c r="I865"/>
  <c r="J865" s="1"/>
  <c r="O865" s="1"/>
  <c r="I758"/>
  <c r="J758" s="1"/>
  <c r="O758" s="1"/>
  <c r="I774"/>
  <c r="J774" s="1"/>
  <c r="O774" s="1"/>
  <c r="I822"/>
  <c r="J822" s="1"/>
  <c r="O822" s="1"/>
  <c r="I838"/>
  <c r="J838" s="1"/>
  <c r="O838" s="1"/>
  <c r="I894"/>
  <c r="J894" s="1"/>
  <c r="O894" s="1"/>
  <c r="I761"/>
  <c r="J761" s="1"/>
  <c r="O761" s="1"/>
  <c r="I765"/>
  <c r="J765" s="1"/>
  <c r="O765" s="1"/>
  <c r="I785"/>
  <c r="J785" s="1"/>
  <c r="O785" s="1"/>
  <c r="I817"/>
  <c r="J817" s="1"/>
  <c r="O817" s="1"/>
  <c r="F778" i="305"/>
  <c r="G778" s="1"/>
  <c r="F815"/>
  <c r="G815" s="1"/>
  <c r="F887"/>
  <c r="G887" s="1"/>
  <c r="F579"/>
  <c r="G579" s="1"/>
  <c r="F681"/>
  <c r="G681" s="1"/>
  <c r="F628"/>
  <c r="G628" s="1"/>
  <c r="F701"/>
  <c r="G701" s="1"/>
  <c r="F725"/>
  <c r="G725" s="1"/>
  <c r="F661"/>
  <c r="G661" s="1"/>
  <c r="F698"/>
  <c r="G698" s="1"/>
  <c r="F734"/>
  <c r="G734" s="1"/>
  <c r="F664"/>
  <c r="G664" s="1"/>
  <c r="F697"/>
  <c r="G697" s="1"/>
  <c r="F733"/>
  <c r="G733" s="1"/>
  <c r="F665"/>
  <c r="G665" s="1"/>
  <c r="F641"/>
  <c r="G641" s="1"/>
  <c r="F730"/>
  <c r="G730" s="1"/>
  <c r="E582" i="195"/>
  <c r="F582" s="1"/>
  <c r="J582" s="1"/>
  <c r="I757" i="140"/>
  <c r="J757" s="1"/>
  <c r="O757" s="1"/>
  <c r="I157" i="310"/>
  <c r="L157"/>
  <c r="S157"/>
  <c r="I156"/>
  <c r="S156"/>
  <c r="L156"/>
  <c r="E647" i="195"/>
  <c r="F647" s="1"/>
  <c r="J647" s="1"/>
  <c r="I727" i="140"/>
  <c r="J727" s="1"/>
  <c r="O727" s="1"/>
  <c r="I901"/>
  <c r="J901" s="1"/>
  <c r="O901" s="1"/>
  <c r="E706" i="195"/>
  <c r="F706" s="1"/>
  <c r="J706" s="1"/>
  <c r="E719"/>
  <c r="F719" s="1"/>
  <c r="J719" s="1"/>
  <c r="E646"/>
  <c r="F646" s="1"/>
  <c r="J646" s="1"/>
  <c r="E623"/>
  <c r="F623" s="1"/>
  <c r="J623" s="1"/>
  <c r="I825" i="140"/>
  <c r="J825" s="1"/>
  <c r="O825" s="1"/>
  <c r="I786"/>
  <c r="J786" s="1"/>
  <c r="O786" s="1"/>
  <c r="E578" i="195"/>
  <c r="F578" s="1"/>
  <c r="J578" s="1"/>
  <c r="E642"/>
  <c r="F642" s="1"/>
  <c r="J642" s="1"/>
  <c r="E734"/>
  <c r="F734" s="1"/>
  <c r="J734" s="1"/>
  <c r="I700" i="140"/>
  <c r="J700" s="1"/>
  <c r="O700" s="1"/>
  <c r="I699"/>
  <c r="J699" s="1"/>
  <c r="O699" s="1"/>
  <c r="I656"/>
  <c r="J656" s="1"/>
  <c r="O656" s="1"/>
  <c r="I724"/>
  <c r="J724" s="1"/>
  <c r="O724" s="1"/>
  <c r="I773"/>
  <c r="J773" s="1"/>
  <c r="O773" s="1"/>
  <c r="I826"/>
  <c r="J826" s="1"/>
  <c r="O826" s="1"/>
  <c r="I762"/>
  <c r="J762" s="1"/>
  <c r="O762" s="1"/>
  <c r="I902"/>
  <c r="J902" s="1"/>
  <c r="O902" s="1"/>
  <c r="I621"/>
  <c r="J621" s="1"/>
  <c r="O621" s="1"/>
  <c r="E581" i="195"/>
  <c r="F581" s="1"/>
  <c r="J581" s="1"/>
  <c r="E573"/>
  <c r="F573" s="1"/>
  <c r="J573" s="1"/>
  <c r="I655" i="140"/>
  <c r="J655" s="1"/>
  <c r="O655" s="1"/>
  <c r="E622" i="195"/>
  <c r="F622" s="1"/>
  <c r="J622" s="1"/>
  <c r="E714"/>
  <c r="F714" s="1"/>
  <c r="J714" s="1"/>
  <c r="I660" i="140"/>
  <c r="J660" s="1"/>
  <c r="O660" s="1"/>
  <c r="I639"/>
  <c r="J639" s="1"/>
  <c r="O639" s="1"/>
  <c r="E703" i="195"/>
  <c r="F703" s="1"/>
  <c r="J703" s="1"/>
  <c r="I689" i="140"/>
  <c r="J689" s="1"/>
  <c r="O689" s="1"/>
  <c r="I659"/>
  <c r="J659" s="1"/>
  <c r="O659" s="1"/>
  <c r="E634" i="195"/>
  <c r="F634" s="1"/>
  <c r="J634" s="1"/>
  <c r="E702"/>
  <c r="F702" s="1"/>
  <c r="J702" s="1"/>
  <c r="I688" i="140"/>
  <c r="J688" s="1"/>
  <c r="O688" s="1"/>
  <c r="E643" i="195"/>
  <c r="F643" s="1"/>
  <c r="J643" s="1"/>
  <c r="E707"/>
  <c r="F707" s="1"/>
  <c r="J707" s="1"/>
  <c r="I744" i="140"/>
  <c r="J744" s="1"/>
  <c r="O744" s="1"/>
  <c r="I769"/>
  <c r="J769" s="1"/>
  <c r="O769" s="1"/>
  <c r="I821"/>
  <c r="J821" s="1"/>
  <c r="O821" s="1"/>
  <c r="I853"/>
  <c r="J853" s="1"/>
  <c r="O853" s="1"/>
  <c r="I854"/>
  <c r="J854" s="1"/>
  <c r="O854" s="1"/>
  <c r="I889"/>
  <c r="J889" s="1"/>
  <c r="O889" s="1"/>
  <c r="I766"/>
  <c r="J766" s="1"/>
  <c r="O766" s="1"/>
  <c r="I818"/>
  <c r="J818" s="1"/>
  <c r="O818" s="1"/>
  <c r="I890"/>
  <c r="J890" s="1"/>
  <c r="O890" s="1"/>
  <c r="F814" i="305"/>
  <c r="G814" s="1"/>
  <c r="F759"/>
  <c r="G759" s="1"/>
  <c r="F894"/>
  <c r="G894" s="1"/>
  <c r="F882"/>
  <c r="G882" s="1"/>
  <c r="E617" i="195"/>
  <c r="F617" s="1"/>
  <c r="J617" s="1"/>
  <c r="I585" i="140"/>
  <c r="J585" s="1"/>
  <c r="O585" s="1"/>
  <c r="I582"/>
  <c r="J582" s="1"/>
  <c r="O582" s="1"/>
  <c r="I577"/>
  <c r="J577" s="1"/>
  <c r="O577" s="1"/>
  <c r="I586"/>
  <c r="J586" s="1"/>
  <c r="O586" s="1"/>
  <c r="E650" i="195"/>
  <c r="F650" s="1"/>
  <c r="J650" s="1"/>
  <c r="I647" i="140"/>
  <c r="J647" s="1"/>
  <c r="O647" s="1"/>
  <c r="I626"/>
  <c r="J626" s="1"/>
  <c r="O626" s="1"/>
  <c r="I715"/>
  <c r="J715" s="1"/>
  <c r="O715" s="1"/>
  <c r="I723"/>
  <c r="J723" s="1"/>
  <c r="O723" s="1"/>
  <c r="I743"/>
  <c r="J743" s="1"/>
  <c r="O743" s="1"/>
  <c r="E655" i="195"/>
  <c r="F655" s="1"/>
  <c r="J655" s="1"/>
  <c r="I652" i="140"/>
  <c r="J652" s="1"/>
  <c r="O652" s="1"/>
  <c r="E635" i="195"/>
  <c r="F635" s="1"/>
  <c r="J635" s="1"/>
  <c r="E691"/>
  <c r="F691" s="1"/>
  <c r="J691" s="1"/>
  <c r="I712" i="140"/>
  <c r="J712" s="1"/>
  <c r="O712" s="1"/>
  <c r="I728"/>
  <c r="J728" s="1"/>
  <c r="O728" s="1"/>
  <c r="E683" i="195"/>
  <c r="F683" s="1"/>
  <c r="J683" s="1"/>
  <c r="E654"/>
  <c r="F654" s="1"/>
  <c r="J654" s="1"/>
  <c r="I651" i="140"/>
  <c r="J651" s="1"/>
  <c r="O651" s="1"/>
  <c r="I638"/>
  <c r="J638" s="1"/>
  <c r="O638" s="1"/>
  <c r="E690" i="195"/>
  <c r="F690" s="1"/>
  <c r="J690" s="1"/>
  <c r="I711" i="140"/>
  <c r="J711" s="1"/>
  <c r="O711" s="1"/>
  <c r="E718" i="195"/>
  <c r="F718" s="1"/>
  <c r="J718" s="1"/>
  <c r="E682"/>
  <c r="F682" s="1"/>
  <c r="J682" s="1"/>
  <c r="E651"/>
  <c r="F651" s="1"/>
  <c r="J651" s="1"/>
  <c r="I648" i="140"/>
  <c r="J648" s="1"/>
  <c r="O648" s="1"/>
  <c r="I627"/>
  <c r="J627" s="1"/>
  <c r="O627" s="1"/>
  <c r="I716"/>
  <c r="J716" s="1"/>
  <c r="O716" s="1"/>
  <c r="E715" i="195"/>
  <c r="F715" s="1"/>
  <c r="J715" s="1"/>
  <c r="E735"/>
  <c r="F735" s="1"/>
  <c r="J735" s="1"/>
  <c r="E747"/>
  <c r="F747" s="1"/>
  <c r="J747" s="1"/>
  <c r="E759"/>
  <c r="F759" s="1"/>
  <c r="J759" s="1"/>
  <c r="E763"/>
  <c r="F763" s="1"/>
  <c r="J763" s="1"/>
  <c r="E807"/>
  <c r="F807" s="1"/>
  <c r="J807" s="1"/>
  <c r="E811"/>
  <c r="F811" s="1"/>
  <c r="J811" s="1"/>
  <c r="E843"/>
  <c r="F843" s="1"/>
  <c r="J843" s="1"/>
  <c r="E812"/>
  <c r="F812" s="1"/>
  <c r="J812" s="1"/>
  <c r="E844"/>
  <c r="F844" s="1"/>
  <c r="J844" s="1"/>
  <c r="E891"/>
  <c r="F891" s="1"/>
  <c r="J891" s="1"/>
  <c r="E879"/>
  <c r="F879" s="1"/>
  <c r="J879" s="1"/>
  <c r="E752"/>
  <c r="F752" s="1"/>
  <c r="J752" s="1"/>
  <c r="E756"/>
  <c r="F756" s="1"/>
  <c r="J756" s="1"/>
  <c r="E772"/>
  <c r="F772" s="1"/>
  <c r="J772" s="1"/>
  <c r="E804"/>
  <c r="F804" s="1"/>
  <c r="J804" s="1"/>
  <c r="E892"/>
  <c r="F892" s="1"/>
  <c r="J892" s="1"/>
  <c r="E880"/>
  <c r="F880" s="1"/>
  <c r="J880" s="1"/>
  <c r="F750" i="305"/>
  <c r="G750" s="1"/>
  <c r="F818"/>
  <c r="G818" s="1"/>
  <c r="F846"/>
  <c r="G846" s="1"/>
  <c r="F779"/>
  <c r="G779" s="1"/>
  <c r="F819"/>
  <c r="G819" s="1"/>
  <c r="F847"/>
  <c r="G847" s="1"/>
  <c r="F766"/>
  <c r="G766" s="1"/>
  <c r="F755"/>
  <c r="G755" s="1"/>
  <c r="F619"/>
  <c r="G619" s="1"/>
  <c r="F584"/>
  <c r="G584" s="1"/>
  <c r="F652"/>
  <c r="G652" s="1"/>
  <c r="F648"/>
  <c r="G648" s="1"/>
  <c r="F624"/>
  <c r="G624" s="1"/>
  <c r="F693"/>
  <c r="G693" s="1"/>
  <c r="F705"/>
  <c r="G705" s="1"/>
  <c r="F717"/>
  <c r="G717" s="1"/>
  <c r="F685"/>
  <c r="G685" s="1"/>
  <c r="F653"/>
  <c r="G653" s="1"/>
  <c r="F645"/>
  <c r="G645" s="1"/>
  <c r="F625"/>
  <c r="G625" s="1"/>
  <c r="F706"/>
  <c r="G706" s="1"/>
  <c r="F718"/>
  <c r="G718" s="1"/>
  <c r="F686"/>
  <c r="G686" s="1"/>
  <c r="F656"/>
  <c r="G656" s="1"/>
  <c r="F644"/>
  <c r="G644" s="1"/>
  <c r="F636"/>
  <c r="G636" s="1"/>
  <c r="F709"/>
  <c r="G709" s="1"/>
  <c r="F721"/>
  <c r="G721" s="1"/>
  <c r="F737"/>
  <c r="G737" s="1"/>
  <c r="F657"/>
  <c r="G657" s="1"/>
  <c r="F649"/>
  <c r="G649" s="1"/>
  <c r="F637"/>
  <c r="G637" s="1"/>
  <c r="F694"/>
  <c r="G694" s="1"/>
  <c r="F710"/>
  <c r="G710" s="1"/>
  <c r="F722"/>
  <c r="G722" s="1"/>
  <c r="F738"/>
  <c r="G738" s="1"/>
  <c r="K3531" i="132"/>
  <c r="M3531" s="1"/>
  <c r="K3478"/>
  <c r="M3478" s="1"/>
  <c r="K3453"/>
  <c r="M3453" s="1"/>
  <c r="K3438"/>
  <c r="M3438" s="1"/>
  <c r="K3390"/>
  <c r="M3390" s="1"/>
  <c r="K3367"/>
  <c r="M3367" s="1"/>
  <c r="K3357"/>
  <c r="M3357" s="1"/>
  <c r="K3815"/>
  <c r="M3815" s="1"/>
  <c r="K3714"/>
  <c r="M3714" s="1"/>
  <c r="K3937"/>
  <c r="M3937" s="1"/>
  <c r="K3627"/>
  <c r="M3627" s="1"/>
  <c r="K3644"/>
  <c r="M3644" s="1"/>
  <c r="K3704"/>
  <c r="M3704" s="1"/>
  <c r="K3761"/>
  <c r="M3761" s="1"/>
  <c r="K3846"/>
  <c r="M3846" s="1"/>
  <c r="K3867"/>
  <c r="M3867" s="1"/>
  <c r="K3927"/>
  <c r="M3927" s="1"/>
  <c r="K4005"/>
  <c r="M4005" s="1"/>
  <c r="K3557"/>
  <c r="M3557" s="1"/>
  <c r="K3724"/>
  <c r="M3724" s="1"/>
  <c r="K3766"/>
  <c r="M3766" s="1"/>
  <c r="K3777"/>
  <c r="M3777" s="1"/>
  <c r="K3961"/>
  <c r="M3961" s="1"/>
  <c r="K4010"/>
  <c r="M4010" s="1"/>
  <c r="K3669"/>
  <c r="M3669" s="1"/>
  <c r="K3621"/>
  <c r="M3621" s="1"/>
  <c r="K3736"/>
  <c r="M3736" s="1"/>
  <c r="K3836"/>
  <c r="M3836" s="1"/>
  <c r="K3912"/>
  <c r="M3912" s="1"/>
  <c r="I761" i="309"/>
  <c r="I769"/>
  <c r="I817"/>
  <c r="I825"/>
  <c r="I837"/>
  <c r="I901"/>
  <c r="I865"/>
  <c r="I889"/>
  <c r="I758"/>
  <c r="I766"/>
  <c r="I774"/>
  <c r="I786"/>
  <c r="I822"/>
  <c r="I826"/>
  <c r="I838"/>
  <c r="I854"/>
  <c r="I894"/>
  <c r="I757"/>
  <c r="I765"/>
  <c r="I773"/>
  <c r="I785"/>
  <c r="I821"/>
  <c r="I829"/>
  <c r="I853"/>
  <c r="I893"/>
  <c r="I762"/>
  <c r="I770"/>
  <c r="I818"/>
  <c r="I830"/>
  <c r="I902"/>
  <c r="I866"/>
  <c r="I890"/>
  <c r="K3526" i="132"/>
  <c r="M3526" s="1"/>
  <c r="K3499"/>
  <c r="M3499" s="1"/>
  <c r="K3536"/>
  <c r="M3536" s="1"/>
  <c r="K3458"/>
  <c r="M3458" s="1"/>
  <c r="K3443"/>
  <c r="M3443" s="1"/>
  <c r="K3433"/>
  <c r="M3433" s="1"/>
  <c r="K3385"/>
  <c r="M3385" s="1"/>
  <c r="K3362"/>
  <c r="M3362" s="1"/>
  <c r="K3352"/>
  <c r="M3352" s="1"/>
  <c r="K3595"/>
  <c r="M3595" s="1"/>
  <c r="K3684"/>
  <c r="M3684" s="1"/>
  <c r="K3907"/>
  <c r="M3907" s="1"/>
  <c r="K3600"/>
  <c r="M3600" s="1"/>
  <c r="K3639"/>
  <c r="M3639" s="1"/>
  <c r="K3649"/>
  <c r="M3649" s="1"/>
  <c r="K3729"/>
  <c r="M3729" s="1"/>
  <c r="K3820"/>
  <c r="M3820" s="1"/>
  <c r="K3862"/>
  <c r="M3862" s="1"/>
  <c r="K3872"/>
  <c r="M3872" s="1"/>
  <c r="K3973"/>
  <c r="M3973" s="1"/>
  <c r="K4014"/>
  <c r="M4014" s="1"/>
  <c r="K3694"/>
  <c r="M3694" s="1"/>
  <c r="K3741"/>
  <c r="M3741" s="1"/>
  <c r="K3771"/>
  <c r="M3771" s="1"/>
  <c r="K3917"/>
  <c r="M3917" s="1"/>
  <c r="K3985"/>
  <c r="M3985" s="1"/>
  <c r="K3616"/>
  <c r="M3616" s="1"/>
  <c r="K3689"/>
  <c r="M3689" s="1"/>
  <c r="K3892"/>
  <c r="M3892" s="1"/>
  <c r="K3841"/>
  <c r="M3841" s="1"/>
  <c r="K3980"/>
  <c r="M3980" s="1"/>
  <c r="K3709"/>
  <c r="I861" i="309" s="1"/>
  <c r="K2774" i="132"/>
  <c r="M2774" s="1"/>
  <c r="K2825"/>
  <c r="M2825" s="1"/>
  <c r="K2810"/>
  <c r="M2810" s="1"/>
  <c r="K2820"/>
  <c r="M2820" s="1"/>
  <c r="K2790"/>
  <c r="M2790" s="1"/>
  <c r="K2783"/>
  <c r="M2783" s="1"/>
  <c r="K2713"/>
  <c r="M2713" s="1"/>
  <c r="K2703"/>
  <c r="M2703" s="1"/>
  <c r="K2723"/>
  <c r="M2723" s="1"/>
  <c r="K2749"/>
  <c r="M2749" s="1"/>
  <c r="K2738"/>
  <c r="M2738" s="1"/>
  <c r="K2759"/>
  <c r="M2759" s="1"/>
  <c r="K2896"/>
  <c r="M2896" s="1"/>
  <c r="K3049"/>
  <c r="M3049" s="1"/>
  <c r="K3034"/>
  <c r="M3034" s="1"/>
  <c r="I684" i="309"/>
  <c r="I655"/>
  <c r="I663"/>
  <c r="I651"/>
  <c r="I634"/>
  <c r="I626"/>
  <c r="I643"/>
  <c r="I699"/>
  <c r="I707"/>
  <c r="I715"/>
  <c r="I719"/>
  <c r="I723"/>
  <c r="I731"/>
  <c r="I743"/>
  <c r="I685"/>
  <c r="I656"/>
  <c r="I664"/>
  <c r="I652"/>
  <c r="I635"/>
  <c r="I627"/>
  <c r="I644"/>
  <c r="I700"/>
  <c r="I708"/>
  <c r="I716"/>
  <c r="I720"/>
  <c r="I724"/>
  <c r="I732"/>
  <c r="I744"/>
  <c r="I676"/>
  <c r="I659"/>
  <c r="I667"/>
  <c r="I647"/>
  <c r="I630"/>
  <c r="I638"/>
  <c r="I703"/>
  <c r="I711"/>
  <c r="I735"/>
  <c r="I727"/>
  <c r="I739"/>
  <c r="I688"/>
  <c r="I677"/>
  <c r="I660"/>
  <c r="I668"/>
  <c r="I648"/>
  <c r="I631"/>
  <c r="I639"/>
  <c r="I704"/>
  <c r="I712"/>
  <c r="I736"/>
  <c r="I728"/>
  <c r="I740"/>
  <c r="I689"/>
  <c r="K2830" i="132"/>
  <c r="M2830" s="1"/>
  <c r="K2815"/>
  <c r="M2815" s="1"/>
  <c r="K2805"/>
  <c r="M2805" s="1"/>
  <c r="K2800"/>
  <c r="M2800" s="1"/>
  <c r="K2784"/>
  <c r="M2784" s="1"/>
  <c r="K2782"/>
  <c r="M2782" s="1"/>
  <c r="K2718"/>
  <c r="M2718" s="1"/>
  <c r="K2698"/>
  <c r="M2698" s="1"/>
  <c r="K2708"/>
  <c r="M2708" s="1"/>
  <c r="K2728"/>
  <c r="M2728" s="1"/>
  <c r="K2743"/>
  <c r="M2743" s="1"/>
  <c r="K2733"/>
  <c r="M2733" s="1"/>
  <c r="K2764"/>
  <c r="M2764" s="1"/>
  <c r="K3059"/>
  <c r="M3059" s="1"/>
  <c r="K2911"/>
  <c r="M2911" s="1"/>
  <c r="K2227"/>
  <c r="M2227" s="1"/>
  <c r="K2212"/>
  <c r="M2212" s="1"/>
  <c r="K2451"/>
  <c r="M2451" s="1"/>
  <c r="K2311"/>
  <c r="M2311" s="1"/>
  <c r="K2436"/>
  <c r="M2436" s="1"/>
  <c r="K2470"/>
  <c r="M2470" s="1"/>
  <c r="K2336"/>
  <c r="M2336" s="1"/>
  <c r="K2506"/>
  <c r="M2506" s="1"/>
  <c r="K2372"/>
  <c r="M2372" s="1"/>
  <c r="I573" i="309"/>
  <c r="I585"/>
  <c r="I574"/>
  <c r="I586"/>
  <c r="I578"/>
  <c r="I577"/>
  <c r="I581"/>
  <c r="I582"/>
  <c r="K2222" i="132"/>
  <c r="M2222" s="1"/>
  <c r="K2216"/>
  <c r="M2216" s="1"/>
  <c r="K2296"/>
  <c r="M2296" s="1"/>
  <c r="K2330"/>
  <c r="M2330" s="1"/>
  <c r="K2431"/>
  <c r="M2431" s="1"/>
  <c r="K2286"/>
  <c r="M2286" s="1"/>
  <c r="K2291"/>
  <c r="M2291" s="1"/>
  <c r="K2446"/>
  <c r="M2446" s="1"/>
  <c r="K2421"/>
  <c r="M2421" s="1"/>
  <c r="K2387"/>
  <c r="K2523"/>
  <c r="K2407"/>
  <c r="I621" i="309"/>
  <c r="I622"/>
  <c r="K2280" i="132"/>
  <c r="G212" i="305"/>
  <c r="L25" i="250"/>
  <c r="F2822" i="214" s="1"/>
  <c r="G2822" s="1"/>
  <c r="G2823" s="1"/>
  <c r="G2824" s="1"/>
  <c r="D522" i="305"/>
  <c r="G524" i="309"/>
  <c r="C524" s="1"/>
  <c r="D521" i="305"/>
  <c r="G523" i="309"/>
  <c r="C523" s="1"/>
  <c r="D381" i="305"/>
  <c r="G383" i="309"/>
  <c r="C383" s="1"/>
  <c r="L23" i="250"/>
  <c r="F3497" i="214" s="1"/>
  <c r="G3497" s="1"/>
  <c r="F1622"/>
  <c r="G1622" s="1"/>
  <c r="G1139"/>
  <c r="G1124"/>
  <c r="G1111"/>
  <c r="F1139"/>
  <c r="F1124"/>
  <c r="F1118"/>
  <c r="G1104"/>
  <c r="G1131"/>
  <c r="F1736"/>
  <c r="G1736" s="1"/>
  <c r="G1737" s="1"/>
  <c r="G1738" s="1"/>
  <c r="F1751" s="1"/>
  <c r="G1751" s="1"/>
  <c r="G1758" s="1"/>
  <c r="G1447"/>
  <c r="G1309"/>
  <c r="G1167"/>
  <c r="F1187"/>
  <c r="G1187"/>
  <c r="F1786"/>
  <c r="G1786" s="1"/>
  <c r="G1793" s="1"/>
  <c r="G1794" s="1"/>
  <c r="F1746"/>
  <c r="G1746" s="1"/>
  <c r="G1747" s="1"/>
  <c r="G1748" s="1"/>
  <c r="F1765" s="1"/>
  <c r="G1765" s="1"/>
  <c r="G1772" s="1"/>
  <c r="G1427"/>
  <c r="F1344"/>
  <c r="G1292"/>
  <c r="D236" i="305"/>
  <c r="G237" i="309"/>
  <c r="C237" s="1"/>
  <c r="D235" i="305"/>
  <c r="G236" i="309"/>
  <c r="C236" s="1"/>
  <c r="I14"/>
  <c r="J220"/>
  <c r="E220"/>
  <c r="F220" s="1"/>
  <c r="J213"/>
  <c r="E213"/>
  <c r="F213" s="1"/>
  <c r="J225"/>
  <c r="E225"/>
  <c r="F225" s="1"/>
  <c r="J232"/>
  <c r="E232"/>
  <c r="F232" s="1"/>
  <c r="J233"/>
  <c r="E233"/>
  <c r="F233" s="1"/>
  <c r="J228"/>
  <c r="E228"/>
  <c r="F228" s="1"/>
  <c r="J229"/>
  <c r="E229"/>
  <c r="F229" s="1"/>
  <c r="J15"/>
  <c r="E15"/>
  <c r="F15" s="1"/>
  <c r="J16"/>
  <c r="E16"/>
  <c r="F16" s="1"/>
  <c r="J11"/>
  <c r="E11"/>
  <c r="F11" s="1"/>
  <c r="J12"/>
  <c r="E12"/>
  <c r="F12" s="1"/>
  <c r="J212"/>
  <c r="E212"/>
  <c r="F212" s="1"/>
  <c r="I693" i="140"/>
  <c r="J693" s="1"/>
  <c r="O693" s="1"/>
  <c r="I693" i="309"/>
  <c r="F737" i="216"/>
  <c r="H737" s="1"/>
  <c r="H748" s="1"/>
  <c r="G330"/>
  <c r="H330" s="1"/>
  <c r="G328"/>
  <c r="H328" s="1"/>
  <c r="G326"/>
  <c r="H326" s="1"/>
  <c r="H284"/>
  <c r="F285" s="1"/>
  <c r="H285" s="1"/>
  <c r="C521" i="195"/>
  <c r="I521" s="1"/>
  <c r="E173" i="196" s="1"/>
  <c r="C101" i="165"/>
  <c r="E93" i="139" s="1"/>
  <c r="G524" i="140"/>
  <c r="G236"/>
  <c r="C234" i="195"/>
  <c r="I234" s="1"/>
  <c r="C172" i="196" s="1"/>
  <c r="C106" i="165"/>
  <c r="E97" i="139" s="1"/>
  <c r="C105" i="165"/>
  <c r="E96" i="139" s="1"/>
  <c r="G383" i="140"/>
  <c r="C380" i="195"/>
  <c r="I380" s="1"/>
  <c r="D173" i="196" s="1"/>
  <c r="C103" i="165"/>
  <c r="E95" i="139" s="1"/>
  <c r="G237" i="140"/>
  <c r="C235" i="195"/>
  <c r="I235" s="1"/>
  <c r="C173" i="196" s="1"/>
  <c r="C520" i="195"/>
  <c r="I520" s="1"/>
  <c r="E172" i="196" s="1"/>
  <c r="E1165" i="214"/>
  <c r="F1165" s="1"/>
  <c r="E1158"/>
  <c r="F1158" s="1"/>
  <c r="G1109"/>
  <c r="G456" i="216"/>
  <c r="H456" s="1"/>
  <c r="G314"/>
  <c r="H314" s="1"/>
  <c r="D234" i="305"/>
  <c r="D214"/>
  <c r="D347"/>
  <c r="D343"/>
  <c r="D162"/>
  <c r="C419" i="195"/>
  <c r="I419" s="1"/>
  <c r="E79" i="196" s="1"/>
  <c r="D271" i="305"/>
  <c r="G14" i="139"/>
  <c r="G3091" i="214"/>
  <c r="G3095" s="1"/>
  <c r="G3096" s="1"/>
  <c r="T152" i="211"/>
  <c r="T153" s="1"/>
  <c r="T154" s="1"/>
  <c r="T155" s="1"/>
  <c r="E269" i="218"/>
  <c r="G269" s="1"/>
  <c r="G274" s="1"/>
  <c r="D170" i="305"/>
  <c r="D432"/>
  <c r="G430" i="140"/>
  <c r="G394"/>
  <c r="D267" i="305"/>
  <c r="F689"/>
  <c r="G689" s="1"/>
  <c r="H378" i="216"/>
  <c r="F381" s="1"/>
  <c r="H381" s="1"/>
  <c r="C99" i="165"/>
  <c r="E92" i="139" s="1"/>
  <c r="D520" i="305"/>
  <c r="C98" i="165"/>
  <c r="E91" i="139" s="1"/>
  <c r="D379" i="305"/>
  <c r="C219" i="195"/>
  <c r="I219" s="1"/>
  <c r="D220" i="305"/>
  <c r="J220" s="1"/>
  <c r="M1879" i="132"/>
  <c r="G221" i="140"/>
  <c r="E686" i="195"/>
  <c r="F686" s="1"/>
  <c r="J686" s="1"/>
  <c r="D11" i="165"/>
  <c r="F23" i="139" s="1"/>
  <c r="H873" i="215"/>
  <c r="I873" s="1"/>
  <c r="I874" s="1"/>
  <c r="I875" s="1"/>
  <c r="F2764" i="214"/>
  <c r="G2764" s="1"/>
  <c r="F2774"/>
  <c r="G2774" s="1"/>
  <c r="F2833"/>
  <c r="F2890"/>
  <c r="G2890" s="1"/>
  <c r="F2917"/>
  <c r="F3247"/>
  <c r="F3289"/>
  <c r="G3289" s="1"/>
  <c r="F3339"/>
  <c r="F3454"/>
  <c r="F3488"/>
  <c r="G3488" s="1"/>
  <c r="F3522"/>
  <c r="G3522" s="1"/>
  <c r="F2759"/>
  <c r="G2759" s="1"/>
  <c r="F2769"/>
  <c r="G2769" s="1"/>
  <c r="F2779"/>
  <c r="G2779" s="1"/>
  <c r="F2860"/>
  <c r="G2860" s="1"/>
  <c r="F2980"/>
  <c r="G2980" s="1"/>
  <c r="F3104"/>
  <c r="G3104" s="1"/>
  <c r="F3114"/>
  <c r="G3114" s="1"/>
  <c r="F3131"/>
  <c r="G3131" s="1"/>
  <c r="F3148"/>
  <c r="G3148" s="1"/>
  <c r="F3416"/>
  <c r="F3437"/>
  <c r="F3473"/>
  <c r="F3498"/>
  <c r="D10" i="165"/>
  <c r="F22" i="139" s="1"/>
  <c r="H597" i="215"/>
  <c r="I597" s="1"/>
  <c r="I598" s="1"/>
  <c r="I599" s="1"/>
  <c r="F1847" i="214"/>
  <c r="G1847" s="1"/>
  <c r="F1857"/>
  <c r="G1857" s="1"/>
  <c r="F1916"/>
  <c r="F1973"/>
  <c r="G1973" s="1"/>
  <c r="F2000"/>
  <c r="F2063"/>
  <c r="G2063" s="1"/>
  <c r="F2372"/>
  <c r="G2372" s="1"/>
  <c r="F2422"/>
  <c r="F2537"/>
  <c r="F2571"/>
  <c r="G2571" s="1"/>
  <c r="F2605"/>
  <c r="G2605" s="1"/>
  <c r="F1842"/>
  <c r="G1842" s="1"/>
  <c r="F1852"/>
  <c r="G1852" s="1"/>
  <c r="F1862"/>
  <c r="G1862" s="1"/>
  <c r="F1943"/>
  <c r="G1943" s="1"/>
  <c r="F2187"/>
  <c r="G2187" s="1"/>
  <c r="F2197"/>
  <c r="G2197" s="1"/>
  <c r="F2214"/>
  <c r="G2214" s="1"/>
  <c r="F2231"/>
  <c r="G2231" s="1"/>
  <c r="F2330"/>
  <c r="F2499"/>
  <c r="F2520"/>
  <c r="F2556"/>
  <c r="F2581"/>
  <c r="H880" i="216"/>
  <c r="G368"/>
  <c r="H368" s="1"/>
  <c r="G366"/>
  <c r="H366" s="1"/>
  <c r="G364"/>
  <c r="H364" s="1"/>
  <c r="H344"/>
  <c r="H306"/>
  <c r="H267"/>
  <c r="G3083" i="214"/>
  <c r="G3084" s="1"/>
  <c r="G3085" s="1"/>
  <c r="S147" i="211"/>
  <c r="H607" i="216"/>
  <c r="H699"/>
  <c r="H700" s="1"/>
  <c r="H934"/>
  <c r="H935" s="1"/>
  <c r="S102" i="211"/>
  <c r="F1256" i="214"/>
  <c r="E1257" s="1"/>
  <c r="G1257" s="1"/>
  <c r="F16" i="250"/>
  <c r="L101" i="211"/>
  <c r="L147"/>
  <c r="I101"/>
  <c r="I146"/>
  <c r="C662" i="195"/>
  <c r="I662" s="1"/>
  <c r="G667" i="140"/>
  <c r="G87"/>
  <c r="G112"/>
  <c r="I147" i="211"/>
  <c r="G108" i="140"/>
  <c r="H417" i="216"/>
  <c r="F418" s="1"/>
  <c r="H340"/>
  <c r="F343" s="1"/>
  <c r="H343" s="1"/>
  <c r="H302"/>
  <c r="F305" s="1"/>
  <c r="H305" s="1"/>
  <c r="G2178" i="214"/>
  <c r="G2179" s="1"/>
  <c r="G2166"/>
  <c r="G2167" s="1"/>
  <c r="G2168" s="1"/>
  <c r="I17" i="132"/>
  <c r="I18" s="1"/>
  <c r="C13" i="195"/>
  <c r="I13" s="1"/>
  <c r="C11" i="196" s="1"/>
  <c r="F11" s="1"/>
  <c r="I178" i="195"/>
  <c r="C164" i="196" s="1"/>
  <c r="I142" i="195"/>
  <c r="C128" i="196" s="1"/>
  <c r="I138" i="195"/>
  <c r="C124" i="196" s="1"/>
  <c r="C14" i="195"/>
  <c r="I14" s="1"/>
  <c r="C12" i="196" s="1"/>
  <c r="F12" s="1"/>
  <c r="G15" i="140"/>
  <c r="J15" s="1"/>
  <c r="O15" s="1"/>
  <c r="I190" i="195"/>
  <c r="I525"/>
  <c r="I597"/>
  <c r="I195"/>
  <c r="I28" i="196"/>
  <c r="O28"/>
  <c r="L28"/>
  <c r="T60" i="211"/>
  <c r="T61" s="1"/>
  <c r="L146"/>
  <c r="T66"/>
  <c r="T67" s="1"/>
  <c r="T58"/>
  <c r="E13" i="250"/>
  <c r="E14" s="1"/>
  <c r="F14" s="1"/>
  <c r="L14" s="1"/>
  <c r="L102" i="211"/>
  <c r="F10" i="195"/>
  <c r="J10" s="1"/>
  <c r="H8" i="196" s="1"/>
  <c r="Q32"/>
  <c r="I32" s="1"/>
  <c r="Q36"/>
  <c r="Q40"/>
  <c r="Q44"/>
  <c r="Q68"/>
  <c r="Q72" s="1"/>
  <c r="Q76"/>
  <c r="T81" i="211"/>
  <c r="T59"/>
  <c r="T57"/>
  <c r="Q49" i="196"/>
  <c r="Q53"/>
  <c r="Q57" s="1"/>
  <c r="Q61" s="1"/>
  <c r="Q65" s="1"/>
  <c r="E106" i="211"/>
  <c r="E109"/>
  <c r="E159"/>
  <c r="E161"/>
  <c r="E114"/>
  <c r="E121"/>
  <c r="E119"/>
  <c r="E163"/>
  <c r="E122"/>
  <c r="E111"/>
  <c r="E151"/>
  <c r="E128"/>
  <c r="E172"/>
  <c r="E130"/>
  <c r="E129"/>
  <c r="E178"/>
  <c r="E177"/>
  <c r="E176"/>
  <c r="E180"/>
  <c r="E133"/>
  <c r="E134"/>
  <c r="E150"/>
  <c r="E105"/>
  <c r="E156"/>
  <c r="E116"/>
  <c r="E118"/>
  <c r="E167"/>
  <c r="E166"/>
  <c r="E164"/>
  <c r="E123"/>
  <c r="E127"/>
  <c r="E168"/>
  <c r="E154"/>
  <c r="E110"/>
  <c r="E173"/>
  <c r="E175"/>
  <c r="E174"/>
  <c r="E132"/>
  <c r="E131"/>
  <c r="E179"/>
  <c r="E135"/>
  <c r="D105"/>
  <c r="D107"/>
  <c r="D110"/>
  <c r="D112"/>
  <c r="D113"/>
  <c r="D161"/>
  <c r="D156"/>
  <c r="D154"/>
  <c r="D122"/>
  <c r="D120"/>
  <c r="D116"/>
  <c r="D124"/>
  <c r="D168"/>
  <c r="D121"/>
  <c r="D119"/>
  <c r="D118"/>
  <c r="D129"/>
  <c r="D128"/>
  <c r="D127"/>
  <c r="D126"/>
  <c r="D175"/>
  <c r="D133"/>
  <c r="D132"/>
  <c r="D131"/>
  <c r="D134"/>
  <c r="D135"/>
  <c r="D150"/>
  <c r="D109"/>
  <c r="D111"/>
  <c r="D158"/>
  <c r="D162"/>
  <c r="D157"/>
  <c r="D155"/>
  <c r="D152"/>
  <c r="D123"/>
  <c r="D117"/>
  <c r="F117" s="1"/>
  <c r="D169"/>
  <c r="D167"/>
  <c r="D166"/>
  <c r="D164"/>
  <c r="D163"/>
  <c r="D165"/>
  <c r="D174"/>
  <c r="D173"/>
  <c r="D172"/>
  <c r="D171"/>
  <c r="D177"/>
  <c r="D178"/>
  <c r="D130"/>
  <c r="D176"/>
  <c r="D179"/>
  <c r="D180"/>
  <c r="C31" i="195"/>
  <c r="C143" i="211"/>
  <c r="F143" s="1"/>
  <c r="R143" s="1"/>
  <c r="R183" s="1"/>
  <c r="C26" i="195"/>
  <c r="C97" i="211"/>
  <c r="F97" s="1"/>
  <c r="P97" s="1"/>
  <c r="P138" s="1"/>
  <c r="C34" i="195"/>
  <c r="C96" i="211"/>
  <c r="F96" s="1"/>
  <c r="O96" s="1"/>
  <c r="O138" s="1"/>
  <c r="C23" i="165" s="1"/>
  <c r="C51" i="195"/>
  <c r="C148" i="211"/>
  <c r="F148" s="1"/>
  <c r="C35" i="195"/>
  <c r="C141" i="211"/>
  <c r="F141" s="1"/>
  <c r="O141" s="1"/>
  <c r="O183" s="1"/>
  <c r="C24" i="165" s="1"/>
  <c r="C55" i="195"/>
  <c r="C149" i="211"/>
  <c r="F149" s="1"/>
  <c r="C70" i="195"/>
  <c r="C108" i="211"/>
  <c r="F108" s="1"/>
  <c r="C151"/>
  <c r="F151" s="1"/>
  <c r="C67" i="195"/>
  <c r="C78"/>
  <c r="C110" i="211"/>
  <c r="C54" i="195"/>
  <c r="C104" i="211"/>
  <c r="F104" s="1"/>
  <c r="C62" i="195"/>
  <c r="C107" i="211"/>
  <c r="C156"/>
  <c r="C83" i="195"/>
  <c r="C87"/>
  <c r="C157" i="211"/>
  <c r="C154"/>
  <c r="F154" s="1"/>
  <c r="C75" i="195"/>
  <c r="C103"/>
  <c r="C160" i="211"/>
  <c r="F160" s="1"/>
  <c r="C106" i="195"/>
  <c r="C116" i="211"/>
  <c r="C86" i="195"/>
  <c r="C112" i="211"/>
  <c r="C161"/>
  <c r="C107" i="195"/>
  <c r="C165" i="211"/>
  <c r="F165" s="1"/>
  <c r="C123" i="195"/>
  <c r="C127"/>
  <c r="C166" i="211"/>
  <c r="F166" s="1"/>
  <c r="N166" s="1"/>
  <c r="C114" i="195"/>
  <c r="C118" i="211"/>
  <c r="C119" i="195"/>
  <c r="C164" i="211"/>
  <c r="C122"/>
  <c r="C124"/>
  <c r="C98" i="195"/>
  <c r="C126" i="211"/>
  <c r="C125"/>
  <c r="C123"/>
  <c r="F123" s="1"/>
  <c r="N123" s="1"/>
  <c r="C127"/>
  <c r="C129"/>
  <c r="C128"/>
  <c r="C131"/>
  <c r="C176"/>
  <c r="C132"/>
  <c r="C133"/>
  <c r="C180"/>
  <c r="C179"/>
  <c r="C181"/>
  <c r="F181" s="1"/>
  <c r="M1873" i="132"/>
  <c r="C27" i="195"/>
  <c r="C142" i="211"/>
  <c r="F142" s="1"/>
  <c r="P142" s="1"/>
  <c r="P183" s="1"/>
  <c r="C30" i="195"/>
  <c r="C98" i="211"/>
  <c r="F98" s="1"/>
  <c r="R98" s="1"/>
  <c r="R138" s="1"/>
  <c r="C38" i="195"/>
  <c r="C103" i="211"/>
  <c r="F103" s="1"/>
  <c r="C50" i="195"/>
  <c r="C39"/>
  <c r="C63"/>
  <c r="C152" i="211"/>
  <c r="F152" s="1"/>
  <c r="C71" i="195"/>
  <c r="C153" i="211"/>
  <c r="F153" s="1"/>
  <c r="C79" i="195"/>
  <c r="C155" i="211"/>
  <c r="C74" i="195"/>
  <c r="C109" i="211"/>
  <c r="C66" i="195"/>
  <c r="C106" i="211"/>
  <c r="F106" s="1"/>
  <c r="C90" i="195"/>
  <c r="C113" i="211"/>
  <c r="C82" i="195"/>
  <c r="C111" i="211"/>
  <c r="C115"/>
  <c r="F115" s="1"/>
  <c r="C102" i="195"/>
  <c r="C158" i="211"/>
  <c r="C91" i="195"/>
  <c r="C114" i="211"/>
  <c r="C94" i="195"/>
  <c r="C111"/>
  <c r="C162" i="211"/>
  <c r="C163"/>
  <c r="F163" s="1"/>
  <c r="C115" i="195"/>
  <c r="C126"/>
  <c r="C121" i="211"/>
  <c r="C122" i="195"/>
  <c r="C120" i="211"/>
  <c r="F120" s="1"/>
  <c r="C119"/>
  <c r="C118" i="195"/>
  <c r="C168" i="211"/>
  <c r="F168" s="1"/>
  <c r="N168" s="1"/>
  <c r="C167"/>
  <c r="F167" s="1"/>
  <c r="N167" s="1"/>
  <c r="C169"/>
  <c r="C171"/>
  <c r="F171" s="1"/>
  <c r="C99" i="195"/>
  <c r="C170" i="211"/>
  <c r="C173"/>
  <c r="C172"/>
  <c r="C174"/>
  <c r="C130"/>
  <c r="C177"/>
  <c r="C175"/>
  <c r="C178"/>
  <c r="C135"/>
  <c r="C134"/>
  <c r="C136"/>
  <c r="F136" s="1"/>
  <c r="I24" i="196"/>
  <c r="M24"/>
  <c r="O24"/>
  <c r="C19" i="195"/>
  <c r="C23"/>
  <c r="C18"/>
  <c r="C58"/>
  <c r="C59"/>
  <c r="C100" i="211"/>
  <c r="F100" s="1"/>
  <c r="H100" s="1"/>
  <c r="H549" i="216"/>
  <c r="H550" s="1"/>
  <c r="G568"/>
  <c r="H568" s="1"/>
  <c r="H569" s="1"/>
  <c r="H446"/>
  <c r="H452" s="1"/>
  <c r="H453" s="1"/>
  <c r="H428"/>
  <c r="H420"/>
  <c r="H419"/>
  <c r="H409"/>
  <c r="H398"/>
  <c r="F399" s="1"/>
  <c r="H390"/>
  <c r="H382"/>
  <c r="H359"/>
  <c r="F362" s="1"/>
  <c r="H362" s="1"/>
  <c r="H352"/>
  <c r="H321"/>
  <c r="F324" s="1"/>
  <c r="H324" s="1"/>
  <c r="H251"/>
  <c r="G216" i="218"/>
  <c r="G218" s="1"/>
  <c r="I709" i="215"/>
  <c r="I710" s="1"/>
  <c r="I989"/>
  <c r="I990" s="1"/>
  <c r="F2677" i="214"/>
  <c r="F2679" s="1"/>
  <c r="F2680" s="1"/>
  <c r="K1429" i="192" s="1"/>
  <c r="E2677" i="214"/>
  <c r="E2679" s="1"/>
  <c r="E2680" s="1"/>
  <c r="G2677"/>
  <c r="G2679" s="1"/>
  <c r="G2680" s="1"/>
  <c r="K891" i="194" s="1"/>
  <c r="M891" s="1"/>
  <c r="F2691" i="214"/>
  <c r="F2693" s="1"/>
  <c r="F2694" s="1"/>
  <c r="K1500" i="192" s="1"/>
  <c r="E2691" i="214"/>
  <c r="E2693" s="1"/>
  <c r="E2694" s="1"/>
  <c r="G2691"/>
  <c r="G2693" s="1"/>
  <c r="G2694" s="1"/>
  <c r="K921" i="194" s="1"/>
  <c r="F2642" i="214"/>
  <c r="E2644"/>
  <c r="E2645" s="1"/>
  <c r="F2627"/>
  <c r="E2629"/>
  <c r="E2630" s="1"/>
  <c r="D159" i="211"/>
  <c r="D125"/>
  <c r="E170"/>
  <c r="F2033" i="214"/>
  <c r="G2033"/>
  <c r="G2144"/>
  <c r="E2145"/>
  <c r="G2145" s="1"/>
  <c r="M921" i="194"/>
  <c r="C144" i="211"/>
  <c r="F144" s="1"/>
  <c r="C145"/>
  <c r="F145" s="1"/>
  <c r="C99"/>
  <c r="F99" s="1"/>
  <c r="C105"/>
  <c r="C150"/>
  <c r="D114"/>
  <c r="D170"/>
  <c r="E169"/>
  <c r="E125"/>
  <c r="E124"/>
  <c r="F2950" i="214"/>
  <c r="G2950"/>
  <c r="F3559"/>
  <c r="E3561"/>
  <c r="E3562" s="1"/>
  <c r="F3594"/>
  <c r="F3596" s="1"/>
  <c r="F3597" s="1"/>
  <c r="K1454" i="192" s="1"/>
  <c r="E3594" i="214"/>
  <c r="E3596" s="1"/>
  <c r="E3597" s="1"/>
  <c r="G3594"/>
  <c r="G3596" s="1"/>
  <c r="G3597" s="1"/>
  <c r="K899" i="194" s="1"/>
  <c r="F3544" i="214"/>
  <c r="E3546"/>
  <c r="E3547" s="1"/>
  <c r="F3608"/>
  <c r="F3610" s="1"/>
  <c r="F3611" s="1"/>
  <c r="K1514" i="192" s="1"/>
  <c r="E3608" i="214"/>
  <c r="E3610" s="1"/>
  <c r="E3611" s="1"/>
  <c r="G3608"/>
  <c r="G3610" s="1"/>
  <c r="G3611" s="1"/>
  <c r="K937" i="194" s="1"/>
  <c r="F1517" i="214"/>
  <c r="F1242"/>
  <c r="E1243" s="1"/>
  <c r="G1243" s="1"/>
  <c r="C890" i="195"/>
  <c r="I890" s="1"/>
  <c r="G900" i="140"/>
  <c r="C878" i="195"/>
  <c r="I878" s="1"/>
  <c r="G888" i="140"/>
  <c r="C858" i="195"/>
  <c r="I858" s="1"/>
  <c r="G868" i="140"/>
  <c r="G880"/>
  <c r="C866" i="195"/>
  <c r="I866" s="1"/>
  <c r="C838"/>
  <c r="I838" s="1"/>
  <c r="G848" i="140"/>
  <c r="C758" i="195"/>
  <c r="I758" s="1"/>
  <c r="G768" i="140"/>
  <c r="C750" i="195"/>
  <c r="I750" s="1"/>
  <c r="G760" i="140"/>
  <c r="C882" i="195"/>
  <c r="I882" s="1"/>
  <c r="G892" i="140"/>
  <c r="C874" i="195"/>
  <c r="I874" s="1"/>
  <c r="G884" i="140"/>
  <c r="C862" i="195"/>
  <c r="I862" s="1"/>
  <c r="G872" i="140"/>
  <c r="C854" i="195"/>
  <c r="I854" s="1"/>
  <c r="G864" i="140"/>
  <c r="C850" i="195"/>
  <c r="I850" s="1"/>
  <c r="G860" i="140"/>
  <c r="C842" i="195"/>
  <c r="I842" s="1"/>
  <c r="G852" i="140"/>
  <c r="G840"/>
  <c r="C830" i="195"/>
  <c r="I830" s="1"/>
  <c r="C754"/>
  <c r="I754" s="1"/>
  <c r="G764" i="140"/>
  <c r="C746" i="195"/>
  <c r="I746" s="1"/>
  <c r="G756" i="140"/>
  <c r="C738" i="195"/>
  <c r="I738" s="1"/>
  <c r="G748" i="140"/>
  <c r="C870" i="195"/>
  <c r="I870" s="1"/>
  <c r="G876" i="140"/>
  <c r="C846" i="195"/>
  <c r="I846" s="1"/>
  <c r="G856" i="140"/>
  <c r="G752"/>
  <c r="C742" i="195"/>
  <c r="I742" s="1"/>
  <c r="G908" i="140"/>
  <c r="G844"/>
  <c r="G836"/>
  <c r="G828"/>
  <c r="G820"/>
  <c r="G812"/>
  <c r="G804"/>
  <c r="G796"/>
  <c r="G772"/>
  <c r="C894" i="195"/>
  <c r="I894" s="1"/>
  <c r="C810"/>
  <c r="I810" s="1"/>
  <c r="C794"/>
  <c r="I794" s="1"/>
  <c r="C770"/>
  <c r="I770" s="1"/>
  <c r="C766"/>
  <c r="I766" s="1"/>
  <c r="G832" i="140"/>
  <c r="G816"/>
  <c r="G800"/>
  <c r="C721" i="195"/>
  <c r="I721" s="1"/>
  <c r="G730" i="140"/>
  <c r="C713" i="195"/>
  <c r="I713" s="1"/>
  <c r="G722" i="140"/>
  <c r="C653" i="195"/>
  <c r="I653" s="1"/>
  <c r="G658" i="140"/>
  <c r="C733" i="195"/>
  <c r="I733" s="1"/>
  <c r="G742" i="140"/>
  <c r="G734"/>
  <c r="C725" i="195"/>
  <c r="I725" s="1"/>
  <c r="G726" i="140"/>
  <c r="C717" i="195"/>
  <c r="I717" s="1"/>
  <c r="C709"/>
  <c r="I709" s="1"/>
  <c r="G718" i="140"/>
  <c r="C657" i="195"/>
  <c r="I657" s="1"/>
  <c r="G662" i="140"/>
  <c r="C649" i="195"/>
  <c r="I649" s="1"/>
  <c r="G654" i="140"/>
  <c r="C729" i="195"/>
  <c r="I729" s="1"/>
  <c r="G738" i="140"/>
  <c r="G714"/>
  <c r="G706"/>
  <c r="G698"/>
  <c r="G687"/>
  <c r="G679"/>
  <c r="G671"/>
  <c r="G646"/>
  <c r="G637"/>
  <c r="G629"/>
  <c r="C693" i="195"/>
  <c r="I693" s="1"/>
  <c r="C677"/>
  <c r="I677" s="1"/>
  <c r="C629"/>
  <c r="I629" s="1"/>
  <c r="C621"/>
  <c r="I621" s="1"/>
  <c r="G710" i="140"/>
  <c r="G692"/>
  <c r="G675"/>
  <c r="G650"/>
  <c r="C544" i="195"/>
  <c r="I544" s="1"/>
  <c r="G543" i="140"/>
  <c r="C536" i="195"/>
  <c r="I536" s="1"/>
  <c r="G535" i="140"/>
  <c r="C524" i="195"/>
  <c r="I524" s="1"/>
  <c r="G527" i="140"/>
  <c r="C616" i="195"/>
  <c r="I616" s="1"/>
  <c r="G620" i="140"/>
  <c r="G612"/>
  <c r="C608" i="195"/>
  <c r="I608" s="1"/>
  <c r="G539" i="140"/>
  <c r="C540" i="195"/>
  <c r="I540" s="1"/>
  <c r="C532"/>
  <c r="I532" s="1"/>
  <c r="G531" i="140"/>
  <c r="G547"/>
  <c r="C548" i="195"/>
  <c r="I548" s="1"/>
  <c r="G616" i="140"/>
  <c r="C612" i="195"/>
  <c r="I612" s="1"/>
  <c r="C528"/>
  <c r="I528" s="1"/>
  <c r="G551" i="140"/>
  <c r="G592"/>
  <c r="G584"/>
  <c r="G576"/>
  <c r="G567"/>
  <c r="G559"/>
  <c r="C584" i="195"/>
  <c r="I584" s="1"/>
  <c r="C560"/>
  <c r="I560" s="1"/>
  <c r="G608" i="140"/>
  <c r="G604"/>
  <c r="G596"/>
  <c r="G580"/>
  <c r="C495" i="195"/>
  <c r="I495" s="1"/>
  <c r="E159" i="196" s="1"/>
  <c r="G506" i="140"/>
  <c r="G522"/>
  <c r="C519" i="195"/>
  <c r="I519" s="1"/>
  <c r="E171" i="196" s="1"/>
  <c r="E81" i="211"/>
  <c r="E58"/>
  <c r="C463" i="195"/>
  <c r="I463" s="1"/>
  <c r="E75" i="196" s="1"/>
  <c r="C427" i="195"/>
  <c r="I427" s="1"/>
  <c r="E95" i="196" s="1"/>
  <c r="C415" i="195"/>
  <c r="I415" s="1"/>
  <c r="E71" i="196" s="1"/>
  <c r="E89" i="211"/>
  <c r="E68"/>
  <c r="E67"/>
  <c r="E63"/>
  <c r="E62"/>
  <c r="G498" i="140"/>
  <c r="G422"/>
  <c r="G398"/>
  <c r="G386"/>
  <c r="C254" i="195"/>
  <c r="I254" s="1"/>
  <c r="D47" i="196" s="1"/>
  <c r="C378" i="195"/>
  <c r="I378" s="1"/>
  <c r="D171" i="196" s="1"/>
  <c r="G381" i="140"/>
  <c r="D58" i="211"/>
  <c r="C250" i="195"/>
  <c r="I250" s="1"/>
  <c r="D55" i="196" s="1"/>
  <c r="C238" i="195"/>
  <c r="I238" s="1"/>
  <c r="D35" i="196" s="1"/>
  <c r="D63" i="211"/>
  <c r="D61"/>
  <c r="C57"/>
  <c r="F57" s="1"/>
  <c r="C56"/>
  <c r="F56" s="1"/>
  <c r="I56" s="1"/>
  <c r="G235" i="140"/>
  <c r="G231"/>
  <c r="G227"/>
  <c r="G223"/>
  <c r="G211"/>
  <c r="G207"/>
  <c r="G47"/>
  <c r="G43"/>
  <c r="G14"/>
  <c r="L16" i="250"/>
  <c r="F2834" i="214" s="1"/>
  <c r="L9" i="250"/>
  <c r="L12"/>
  <c r="D42" i="165" s="1"/>
  <c r="L15" i="250"/>
  <c r="L10" i="240"/>
  <c r="L15"/>
  <c r="L23"/>
  <c r="F2580" i="214" s="1"/>
  <c r="G2580" s="1"/>
  <c r="L24" i="240"/>
  <c r="F1897" i="214" s="1"/>
  <c r="G1897" s="1"/>
  <c r="G1898" s="1"/>
  <c r="G1899" s="1"/>
  <c r="L25" i="240"/>
  <c r="F1905" i="214" s="1"/>
  <c r="G1905" s="1"/>
  <c r="G1906" s="1"/>
  <c r="G1907" s="1"/>
  <c r="E14" i="240"/>
  <c r="F14" s="1"/>
  <c r="L14" s="1"/>
  <c r="F13"/>
  <c r="L13" s="1"/>
  <c r="D54" i="165" s="1"/>
  <c r="F59" i="139" s="1"/>
  <c r="E18" i="240"/>
  <c r="F17"/>
  <c r="L17" s="1"/>
  <c r="E1867" i="214" s="1"/>
  <c r="F1867" s="1"/>
  <c r="I9" i="240"/>
  <c r="L9" s="1"/>
  <c r="F12"/>
  <c r="L12" s="1"/>
  <c r="D41" i="165" s="1"/>
  <c r="F48" i="139" s="1"/>
  <c r="F16" i="240"/>
  <c r="L16" s="1"/>
  <c r="F1917" i="214" s="1"/>
  <c r="E18" i="250"/>
  <c r="F17"/>
  <c r="L17" s="1"/>
  <c r="E2784" i="214" s="1"/>
  <c r="F2784" s="1"/>
  <c r="L10" i="250"/>
  <c r="Q75" i="196"/>
  <c r="Q67"/>
  <c r="Q71" s="1"/>
  <c r="Q43"/>
  <c r="Q47" s="1"/>
  <c r="Q35"/>
  <c r="Q39"/>
  <c r="I31"/>
  <c r="O31"/>
  <c r="L31"/>
  <c r="I27"/>
  <c r="O27"/>
  <c r="L27"/>
  <c r="F1575" i="214"/>
  <c r="H563" i="215"/>
  <c r="I563" s="1"/>
  <c r="I565" s="1"/>
  <c r="F1498" i="214"/>
  <c r="F1427"/>
  <c r="G252" i="218"/>
  <c r="G254" s="1"/>
  <c r="G255" s="1"/>
  <c r="G172"/>
  <c r="G174" s="1"/>
  <c r="G158"/>
  <c r="G160" s="1"/>
  <c r="H418" i="216"/>
  <c r="H399"/>
  <c r="H363"/>
  <c r="H325"/>
  <c r="H250"/>
  <c r="H441"/>
  <c r="H278"/>
  <c r="F1837" i="214"/>
  <c r="G1837" s="1"/>
  <c r="F1835"/>
  <c r="G1835" s="1"/>
  <c r="G463" i="216"/>
  <c r="H463" s="1"/>
  <c r="G462"/>
  <c r="H462" s="1"/>
  <c r="G461"/>
  <c r="H461" s="1"/>
  <c r="G460"/>
  <c r="H460" s="1"/>
  <c r="G459"/>
  <c r="H459" s="1"/>
  <c r="G458"/>
  <c r="H458" s="1"/>
  <c r="G371"/>
  <c r="H371" s="1"/>
  <c r="F1557" i="214"/>
  <c r="F1447"/>
  <c r="F1407"/>
  <c r="F1375"/>
  <c r="F1536"/>
  <c r="G1201"/>
  <c r="G1074"/>
  <c r="H334" i="215"/>
  <c r="I334" s="1"/>
  <c r="I335" s="1"/>
  <c r="I546"/>
  <c r="I525"/>
  <c r="I499"/>
  <c r="I490"/>
  <c r="I418"/>
  <c r="I299"/>
  <c r="I300" s="1"/>
  <c r="I512"/>
  <c r="I401"/>
  <c r="I392"/>
  <c r="I393" s="1"/>
  <c r="I379"/>
  <c r="I380" s="1"/>
  <c r="I358"/>
  <c r="I536"/>
  <c r="I506"/>
  <c r="I478"/>
  <c r="I468"/>
  <c r="I469" s="1"/>
  <c r="I457"/>
  <c r="I458" s="1"/>
  <c r="I447"/>
  <c r="I448" s="1"/>
  <c r="I437"/>
  <c r="I438" s="1"/>
  <c r="I427"/>
  <c r="I428" s="1"/>
  <c r="I517"/>
  <c r="I410"/>
  <c r="H337"/>
  <c r="I337" s="1"/>
  <c r="I339" s="1"/>
  <c r="F1676" i="214"/>
  <c r="G1676"/>
  <c r="G1359"/>
  <c r="F1359"/>
  <c r="G1405"/>
  <c r="F1391"/>
  <c r="G1373"/>
  <c r="G1357"/>
  <c r="G1290"/>
  <c r="F1166"/>
  <c r="F1167" s="1"/>
  <c r="G1122"/>
  <c r="G1095"/>
  <c r="G1068"/>
  <c r="G1683"/>
  <c r="F1309"/>
  <c r="F1201"/>
  <c r="G995"/>
  <c r="G996" s="1"/>
  <c r="G1761"/>
  <c r="F1761"/>
  <c r="F1707"/>
  <c r="G1707" s="1"/>
  <c r="G1708" s="1"/>
  <c r="E1710" s="1"/>
  <c r="F1726"/>
  <c r="G1726" s="1"/>
  <c r="G1575"/>
  <c r="G1557"/>
  <c r="G1775"/>
  <c r="F1775"/>
  <c r="F1722"/>
  <c r="G1722" s="1"/>
  <c r="G1723" s="1"/>
  <c r="E1725" s="1"/>
  <c r="G1711"/>
  <c r="F1711"/>
  <c r="G1697"/>
  <c r="F1697"/>
  <c r="G1648"/>
  <c r="F1648"/>
  <c r="G1631"/>
  <c r="F1631"/>
  <c r="G1613"/>
  <c r="F1613"/>
  <c r="G1595"/>
  <c r="F1595"/>
  <c r="G1805"/>
  <c r="F1292"/>
  <c r="E1227"/>
  <c r="G1160"/>
  <c r="F1160"/>
  <c r="G1344"/>
  <c r="F1326"/>
  <c r="G1326"/>
  <c r="E1258"/>
  <c r="G1258" s="1"/>
  <c r="F1097"/>
  <c r="F1111"/>
  <c r="G1097"/>
  <c r="F1104"/>
  <c r="F1131"/>
  <c r="F1070"/>
  <c r="F1076"/>
  <c r="G1070"/>
  <c r="G1076"/>
  <c r="G1536"/>
  <c r="G1483"/>
  <c r="F1468"/>
  <c r="G1407"/>
  <c r="G1375"/>
  <c r="G1237"/>
  <c r="G1517"/>
  <c r="G1498"/>
  <c r="F1483"/>
  <c r="G1389"/>
  <c r="G1391"/>
  <c r="G1266"/>
  <c r="E1116"/>
  <c r="F173" i="196" l="1"/>
  <c r="I173" s="1"/>
  <c r="L183" i="310"/>
  <c r="L229" s="1"/>
  <c r="L231" s="1"/>
  <c r="M179"/>
  <c r="M183" s="1"/>
  <c r="S179"/>
  <c r="S183" s="1"/>
  <c r="H315" i="216"/>
  <c r="M1929" i="132"/>
  <c r="I209" i="140"/>
  <c r="J209" s="1"/>
  <c r="O209" s="1"/>
  <c r="G333" i="216"/>
  <c r="H333" s="1"/>
  <c r="H296"/>
  <c r="G1165" i="214"/>
  <c r="G179" i="309"/>
  <c r="C179" s="1"/>
  <c r="D178" i="305"/>
  <c r="S90" i="310"/>
  <c r="M90"/>
  <c r="M93" s="1"/>
  <c r="S75"/>
  <c r="N75"/>
  <c r="M1969" i="132"/>
  <c r="F13" i="250"/>
  <c r="L13" s="1"/>
  <c r="D55" i="165" s="1"/>
  <c r="D60" s="1"/>
  <c r="F49" i="139"/>
  <c r="F60"/>
  <c r="H410" i="216"/>
  <c r="I231" i="309"/>
  <c r="E231" s="1"/>
  <c r="F231" s="1"/>
  <c r="E1244" i="214"/>
  <c r="G1244" s="1"/>
  <c r="F222" i="305"/>
  <c r="G222" s="1"/>
  <c r="E221" i="309"/>
  <c r="F221" s="1"/>
  <c r="O221" s="1"/>
  <c r="E13" i="195"/>
  <c r="F13" s="1"/>
  <c r="J13" s="1"/>
  <c r="H11" i="196" s="1"/>
  <c r="F11" i="139"/>
  <c r="G11" s="1"/>
  <c r="M283" i="132"/>
  <c r="M1548"/>
  <c r="E39" i="195"/>
  <c r="F39" s="1"/>
  <c r="J39" s="1"/>
  <c r="E38"/>
  <c r="F38" s="1"/>
  <c r="J38" s="1"/>
  <c r="I40" i="140"/>
  <c r="J40" s="1"/>
  <c r="O40" s="1"/>
  <c r="I10"/>
  <c r="F9" i="305"/>
  <c r="G9" s="1"/>
  <c r="I40" i="309"/>
  <c r="E40" s="1"/>
  <c r="F40" s="1"/>
  <c r="E221" i="195"/>
  <c r="F221" s="1"/>
  <c r="J221" s="1"/>
  <c r="I14" i="140"/>
  <c r="J14" s="1"/>
  <c r="O14" s="1"/>
  <c r="I223"/>
  <c r="J223" s="1"/>
  <c r="O223" s="1"/>
  <c r="I184" i="309"/>
  <c r="J184" s="1"/>
  <c r="F13" i="305"/>
  <c r="G13" s="1"/>
  <c r="M1899" i="132"/>
  <c r="I184" i="140"/>
  <c r="J184" s="1"/>
  <c r="O184" s="1"/>
  <c r="F183" i="305"/>
  <c r="G183" s="1"/>
  <c r="I209" i="309"/>
  <c r="J209" s="1"/>
  <c r="I768" i="140"/>
  <c r="J768" s="1"/>
  <c r="O768" s="1"/>
  <c r="M1541" i="132"/>
  <c r="E199" i="195"/>
  <c r="F199" s="1"/>
  <c r="J199" s="1"/>
  <c r="E9"/>
  <c r="F616" i="305"/>
  <c r="G616" s="1"/>
  <c r="I618" i="309"/>
  <c r="E618" s="1"/>
  <c r="F618" s="1"/>
  <c r="F207" i="305"/>
  <c r="G207" s="1"/>
  <c r="E229" i="195"/>
  <c r="F229" s="1"/>
  <c r="J229" s="1"/>
  <c r="F39" i="305"/>
  <c r="G39" s="1"/>
  <c r="E211" i="195"/>
  <c r="F211" s="1"/>
  <c r="J211" s="1"/>
  <c r="I797" i="140"/>
  <c r="J797" s="1"/>
  <c r="O797" s="1"/>
  <c r="E27" i="195"/>
  <c r="F27" s="1"/>
  <c r="J27" s="1"/>
  <c r="E201"/>
  <c r="F201" s="1"/>
  <c r="J201" s="1"/>
  <c r="I862" i="140"/>
  <c r="J862" s="1"/>
  <c r="O862" s="1"/>
  <c r="I185" i="309"/>
  <c r="E185" s="1"/>
  <c r="F185" s="1"/>
  <c r="M188" i="132"/>
  <c r="I41" i="309"/>
  <c r="J41" s="1"/>
  <c r="F219" i="195"/>
  <c r="J219" s="1"/>
  <c r="I217" i="140"/>
  <c r="J217" s="1"/>
  <c r="O217" s="1"/>
  <c r="I842"/>
  <c r="J842" s="1"/>
  <c r="O842" s="1"/>
  <c r="I217" i="309"/>
  <c r="J217" s="1"/>
  <c r="F854" i="305"/>
  <c r="G854" s="1"/>
  <c r="J221" i="140"/>
  <c r="O221" s="1"/>
  <c r="E217" i="195"/>
  <c r="I216" i="140"/>
  <c r="J216" s="1"/>
  <c r="O216" s="1"/>
  <c r="E198" i="195"/>
  <c r="F198" s="1"/>
  <c r="J198" s="1"/>
  <c r="I618" i="140"/>
  <c r="J618" s="1"/>
  <c r="O618" s="1"/>
  <c r="F230" i="305"/>
  <c r="G230" s="1"/>
  <c r="E225" i="195"/>
  <c r="F225" s="1"/>
  <c r="J225" s="1"/>
  <c r="E614"/>
  <c r="F614" s="1"/>
  <c r="J614" s="1"/>
  <c r="I216" i="309"/>
  <c r="J216" s="1"/>
  <c r="I219" i="140"/>
  <c r="M1894" i="132"/>
  <c r="F10" i="139"/>
  <c r="G10" s="1"/>
  <c r="I208" i="140"/>
  <c r="J208" s="1"/>
  <c r="O208" s="1"/>
  <c r="E224" i="309"/>
  <c r="F224" s="1"/>
  <c r="O224" s="1"/>
  <c r="F716" i="305"/>
  <c r="J716" s="1"/>
  <c r="M1949" i="132"/>
  <c r="M1909"/>
  <c r="I211" i="140"/>
  <c r="J211" s="1"/>
  <c r="O211" s="1"/>
  <c r="I227"/>
  <c r="J227" s="1"/>
  <c r="O227" s="1"/>
  <c r="M1855" i="132"/>
  <c r="M1850"/>
  <c r="I185" i="140"/>
  <c r="J185" s="1"/>
  <c r="O185" s="1"/>
  <c r="E206" i="195"/>
  <c r="F206" s="1"/>
  <c r="J206" s="1"/>
  <c r="I41" i="140"/>
  <c r="J41" s="1"/>
  <c r="O41" s="1"/>
  <c r="E207" i="195"/>
  <c r="F207" s="1"/>
  <c r="J207" s="1"/>
  <c r="I781" i="140"/>
  <c r="J781" s="1"/>
  <c r="O781" s="1"/>
  <c r="I28"/>
  <c r="J28" s="1"/>
  <c r="O28" s="1"/>
  <c r="F218" i="305"/>
  <c r="G218" s="1"/>
  <c r="F28"/>
  <c r="G28" s="1"/>
  <c r="F210"/>
  <c r="G210" s="1"/>
  <c r="F226"/>
  <c r="G226" s="1"/>
  <c r="F639"/>
  <c r="G639" s="1"/>
  <c r="E852" i="195"/>
  <c r="F852" s="1"/>
  <c r="J852" s="1"/>
  <c r="F855" i="305"/>
  <c r="G855" s="1"/>
  <c r="I862" i="309"/>
  <c r="E862" s="1"/>
  <c r="F862" s="1"/>
  <c r="E211"/>
  <c r="F211" s="1"/>
  <c r="J211"/>
  <c r="F662" i="195"/>
  <c r="J662" s="1"/>
  <c r="E219" i="309"/>
  <c r="F219" s="1"/>
  <c r="O219" s="1"/>
  <c r="E227"/>
  <c r="F227" s="1"/>
  <c r="O227" s="1"/>
  <c r="K3564" i="132"/>
  <c r="M3564" s="1"/>
  <c r="K2477"/>
  <c r="M2477" s="1"/>
  <c r="K1889"/>
  <c r="M1889" s="1"/>
  <c r="K1534"/>
  <c r="I183" i="309" s="1"/>
  <c r="K182" i="132"/>
  <c r="F27" i="305" s="1"/>
  <c r="G27" s="1"/>
  <c r="K1828" i="132"/>
  <c r="I205" i="140" s="1"/>
  <c r="J205" s="1"/>
  <c r="O205" s="1"/>
  <c r="K1604" i="132"/>
  <c r="F192" i="305" s="1"/>
  <c r="G192" s="1"/>
  <c r="K1821" i="132"/>
  <c r="F203" i="305" s="1"/>
  <c r="G203" s="1"/>
  <c r="K2541" i="132"/>
  <c r="M2541" s="1"/>
  <c r="K269"/>
  <c r="I39" i="140" s="1"/>
  <c r="K206" i="132"/>
  <c r="I31" i="309" s="1"/>
  <c r="J31" s="1"/>
  <c r="K1756" i="132"/>
  <c r="I201" i="140" s="1"/>
  <c r="J201" s="1"/>
  <c r="O201" s="1"/>
  <c r="K1688" i="132"/>
  <c r="F196" i="305" s="1"/>
  <c r="G196" s="1"/>
  <c r="K1597" i="132"/>
  <c r="F191" i="305" s="1"/>
  <c r="G191" s="1"/>
  <c r="K1665" i="132"/>
  <c r="F195" i="305" s="1"/>
  <c r="G195" s="1"/>
  <c r="K1749" i="132"/>
  <c r="I200" i="309" s="1"/>
  <c r="K1844" i="132"/>
  <c r="F214" i="305" s="1"/>
  <c r="G214" s="1"/>
  <c r="K212" i="132"/>
  <c r="I32" i="309" s="1"/>
  <c r="J32" s="1"/>
  <c r="F627" i="305"/>
  <c r="G627" s="1"/>
  <c r="F631"/>
  <c r="G631" s="1"/>
  <c r="F700"/>
  <c r="G700" s="1"/>
  <c r="F736"/>
  <c r="J736" s="1"/>
  <c r="F817"/>
  <c r="J817" s="1"/>
  <c r="F543"/>
  <c r="G543" s="1"/>
  <c r="F647"/>
  <c r="G647" s="1"/>
  <c r="F623"/>
  <c r="G623" s="1"/>
  <c r="F692"/>
  <c r="J692" s="1"/>
  <c r="F712"/>
  <c r="J712" s="1"/>
  <c r="F724"/>
  <c r="J724" s="1"/>
  <c r="J223" i="309"/>
  <c r="O223" s="1"/>
  <c r="I849" i="140"/>
  <c r="J849" s="1"/>
  <c r="O849" s="1"/>
  <c r="I905"/>
  <c r="J905" s="1"/>
  <c r="O905" s="1"/>
  <c r="F672" i="305"/>
  <c r="G672" s="1"/>
  <c r="F728"/>
  <c r="J728" s="1"/>
  <c r="I909" i="140"/>
  <c r="J909" s="1"/>
  <c r="O909" s="1"/>
  <c r="F678" i="305"/>
  <c r="G678" s="1"/>
  <c r="F663"/>
  <c r="G663" s="1"/>
  <c r="F696"/>
  <c r="G696" s="1"/>
  <c r="F732"/>
  <c r="J732" s="1"/>
  <c r="J28" i="309"/>
  <c r="O28" s="1"/>
  <c r="E878" i="195"/>
  <c r="F878" s="1"/>
  <c r="J878" s="1"/>
  <c r="I900" i="140"/>
  <c r="J900" s="1"/>
  <c r="O900" s="1"/>
  <c r="F813" i="305"/>
  <c r="J813" s="1"/>
  <c r="E758" i="195"/>
  <c r="F758" s="1"/>
  <c r="J758" s="1"/>
  <c r="E890"/>
  <c r="F890" s="1"/>
  <c r="J890" s="1"/>
  <c r="I852" i="140"/>
  <c r="J852" s="1"/>
  <c r="O852" s="1"/>
  <c r="I529"/>
  <c r="J529" s="1"/>
  <c r="O529" s="1"/>
  <c r="I673"/>
  <c r="J673" s="1"/>
  <c r="O673" s="1"/>
  <c r="I906"/>
  <c r="J906" s="1"/>
  <c r="O906" s="1"/>
  <c r="E796" i="195"/>
  <c r="F796" s="1"/>
  <c r="J796" s="1"/>
  <c r="I813" i="140"/>
  <c r="J813" s="1"/>
  <c r="O813" s="1"/>
  <c r="E775" i="195"/>
  <c r="F775" s="1"/>
  <c r="J775" s="1"/>
  <c r="I814" i="140"/>
  <c r="J814" s="1"/>
  <c r="O814" s="1"/>
  <c r="F743" i="305"/>
  <c r="G743" s="1"/>
  <c r="F807"/>
  <c r="G807" s="1"/>
  <c r="I617" i="309"/>
  <c r="E617" s="1"/>
  <c r="F617" s="1"/>
  <c r="M2387" i="132"/>
  <c r="I520" i="309"/>
  <c r="J520" s="1"/>
  <c r="M2280" i="132"/>
  <c r="M2523"/>
  <c r="S57" i="211"/>
  <c r="E842" i="195"/>
  <c r="F842" s="1"/>
  <c r="J842" s="1"/>
  <c r="E746"/>
  <c r="F746" s="1"/>
  <c r="J746" s="1"/>
  <c r="I756" i="140"/>
  <c r="J756" s="1"/>
  <c r="O756" s="1"/>
  <c r="I824"/>
  <c r="J824" s="1"/>
  <c r="O824" s="1"/>
  <c r="I888"/>
  <c r="J888" s="1"/>
  <c r="O888" s="1"/>
  <c r="I606"/>
  <c r="J606" s="1"/>
  <c r="O606" s="1"/>
  <c r="I593"/>
  <c r="J593" s="1"/>
  <c r="O593" s="1"/>
  <c r="E549" i="195"/>
  <c r="F549" s="1"/>
  <c r="J549" s="1"/>
  <c r="I694" i="140"/>
  <c r="J694" s="1"/>
  <c r="O694" s="1"/>
  <c r="I790"/>
  <c r="J790" s="1"/>
  <c r="O790" s="1"/>
  <c r="I845"/>
  <c r="J845" s="1"/>
  <c r="O845" s="1"/>
  <c r="E872" i="195"/>
  <c r="F872" s="1"/>
  <c r="J872" s="1"/>
  <c r="E740"/>
  <c r="F740" s="1"/>
  <c r="J740" s="1"/>
  <c r="I869" i="140"/>
  <c r="J869" s="1"/>
  <c r="O869" s="1"/>
  <c r="I897"/>
  <c r="J897" s="1"/>
  <c r="O897" s="1"/>
  <c r="E824" i="195"/>
  <c r="F824" s="1"/>
  <c r="J824" s="1"/>
  <c r="J667" i="140"/>
  <c r="O667" s="1"/>
  <c r="F806" i="305"/>
  <c r="G806" s="1"/>
  <c r="F782"/>
  <c r="G782" s="1"/>
  <c r="F875"/>
  <c r="G875" s="1"/>
  <c r="I545" i="140"/>
  <c r="J545" s="1"/>
  <c r="O545" s="1"/>
  <c r="I553"/>
  <c r="J553" s="1"/>
  <c r="O553" s="1"/>
  <c r="I552"/>
  <c r="J552" s="1"/>
  <c r="O552" s="1"/>
  <c r="E561" i="195"/>
  <c r="F561" s="1"/>
  <c r="J561" s="1"/>
  <c r="E554"/>
  <c r="F554" s="1"/>
  <c r="J554" s="1"/>
  <c r="E666"/>
  <c r="F666" s="1"/>
  <c r="J666" s="1"/>
  <c r="I793" i="140"/>
  <c r="J793" s="1"/>
  <c r="O793" s="1"/>
  <c r="I885"/>
  <c r="J885" s="1"/>
  <c r="O885" s="1"/>
  <c r="E888" i="195"/>
  <c r="F888" s="1"/>
  <c r="J888" s="1"/>
  <c r="I777" i="140"/>
  <c r="J777" s="1"/>
  <c r="O777" s="1"/>
  <c r="E820" i="195"/>
  <c r="F820" s="1"/>
  <c r="J820" s="1"/>
  <c r="E840"/>
  <c r="F840" s="1"/>
  <c r="J840" s="1"/>
  <c r="I910" i="140"/>
  <c r="J910" s="1"/>
  <c r="O910" s="1"/>
  <c r="I778"/>
  <c r="J778" s="1"/>
  <c r="O778" s="1"/>
  <c r="I809"/>
  <c r="J809" s="1"/>
  <c r="O809" s="1"/>
  <c r="E868" i="195"/>
  <c r="F868" s="1"/>
  <c r="J868" s="1"/>
  <c r="F786" i="305"/>
  <c r="G786" s="1"/>
  <c r="F891"/>
  <c r="G891" s="1"/>
  <c r="F838"/>
  <c r="G838" s="1"/>
  <c r="F871"/>
  <c r="G871" s="1"/>
  <c r="F878"/>
  <c r="G878" s="1"/>
  <c r="F890"/>
  <c r="G890" s="1"/>
  <c r="F749"/>
  <c r="G749" s="1"/>
  <c r="F881"/>
  <c r="G881" s="1"/>
  <c r="F527"/>
  <c r="J527" s="1"/>
  <c r="F531"/>
  <c r="G531" s="1"/>
  <c r="F670"/>
  <c r="G670" s="1"/>
  <c r="F669"/>
  <c r="G669" s="1"/>
  <c r="F655"/>
  <c r="G655" s="1"/>
  <c r="F643"/>
  <c r="G643" s="1"/>
  <c r="F635"/>
  <c r="G635" s="1"/>
  <c r="F704"/>
  <c r="J704" s="1"/>
  <c r="F720"/>
  <c r="J720" s="1"/>
  <c r="F684"/>
  <c r="G684" s="1"/>
  <c r="F690"/>
  <c r="G690" s="1"/>
  <c r="F604"/>
  <c r="G604" s="1"/>
  <c r="F555"/>
  <c r="G555" s="1"/>
  <c r="F591"/>
  <c r="G591" s="1"/>
  <c r="F574"/>
  <c r="G574" s="1"/>
  <c r="E572" i="195"/>
  <c r="F572" s="1"/>
  <c r="J572" s="1"/>
  <c r="E602"/>
  <c r="F602" s="1"/>
  <c r="J602" s="1"/>
  <c r="E546"/>
  <c r="F546" s="1"/>
  <c r="J546" s="1"/>
  <c r="E526"/>
  <c r="F526" s="1"/>
  <c r="J526" s="1"/>
  <c r="E530"/>
  <c r="F530" s="1"/>
  <c r="J530" s="1"/>
  <c r="E589"/>
  <c r="F589" s="1"/>
  <c r="J589" s="1"/>
  <c r="E529"/>
  <c r="F529" s="1"/>
  <c r="J529" s="1"/>
  <c r="I564" i="140"/>
  <c r="J564" s="1"/>
  <c r="O564" s="1"/>
  <c r="I548"/>
  <c r="J548" s="1"/>
  <c r="O548" s="1"/>
  <c r="I557"/>
  <c r="J557" s="1"/>
  <c r="O557" s="1"/>
  <c r="E667" i="195"/>
  <c r="F667" s="1"/>
  <c r="J667" s="1"/>
  <c r="I672" i="140"/>
  <c r="J672" s="1"/>
  <c r="O672" s="1"/>
  <c r="E687" i="195"/>
  <c r="F687" s="1"/>
  <c r="J687" s="1"/>
  <c r="E776"/>
  <c r="F776" s="1"/>
  <c r="J776" s="1"/>
  <c r="E779"/>
  <c r="F779" s="1"/>
  <c r="J779" s="1"/>
  <c r="E896"/>
  <c r="F896" s="1"/>
  <c r="J896" s="1"/>
  <c r="E875"/>
  <c r="F875" s="1"/>
  <c r="J875" s="1"/>
  <c r="I898" i="140"/>
  <c r="J898" s="1"/>
  <c r="O898" s="1"/>
  <c r="I810"/>
  <c r="J810" s="1"/>
  <c r="O810" s="1"/>
  <c r="E799" i="195"/>
  <c r="F799" s="1"/>
  <c r="J799" s="1"/>
  <c r="E767"/>
  <c r="F767" s="1"/>
  <c r="J767" s="1"/>
  <c r="E835"/>
  <c r="F835" s="1"/>
  <c r="J835" s="1"/>
  <c r="I878" i="140"/>
  <c r="J878" s="1"/>
  <c r="O878" s="1"/>
  <c r="I834"/>
  <c r="J834" s="1"/>
  <c r="O834" s="1"/>
  <c r="I789"/>
  <c r="J789" s="1"/>
  <c r="O789" s="1"/>
  <c r="I850"/>
  <c r="J850" s="1"/>
  <c r="O850" s="1"/>
  <c r="I750"/>
  <c r="J750" s="1"/>
  <c r="O750" s="1"/>
  <c r="E859" i="195"/>
  <c r="F859" s="1"/>
  <c r="J859" s="1"/>
  <c r="E900"/>
  <c r="F900" s="1"/>
  <c r="J900" s="1"/>
  <c r="E800"/>
  <c r="F800" s="1"/>
  <c r="J800" s="1"/>
  <c r="E768"/>
  <c r="F768" s="1"/>
  <c r="J768" s="1"/>
  <c r="E887"/>
  <c r="F887" s="1"/>
  <c r="J887" s="1"/>
  <c r="E795"/>
  <c r="F795" s="1"/>
  <c r="J795" s="1"/>
  <c r="I882" i="140"/>
  <c r="J882" s="1"/>
  <c r="O882" s="1"/>
  <c r="I782"/>
  <c r="J782" s="1"/>
  <c r="O782" s="1"/>
  <c r="F783" i="305"/>
  <c r="G783" s="1"/>
  <c r="F899"/>
  <c r="G899" s="1"/>
  <c r="F862"/>
  <c r="G862" s="1"/>
  <c r="F803"/>
  <c r="G803" s="1"/>
  <c r="F770"/>
  <c r="G770" s="1"/>
  <c r="F761"/>
  <c r="J761" s="1"/>
  <c r="F845"/>
  <c r="J845" s="1"/>
  <c r="F827"/>
  <c r="G827" s="1"/>
  <c r="F843"/>
  <c r="G843" s="1"/>
  <c r="F903"/>
  <c r="G903" s="1"/>
  <c r="F771"/>
  <c r="G771" s="1"/>
  <c r="F802"/>
  <c r="G802" s="1"/>
  <c r="F775"/>
  <c r="G775" s="1"/>
  <c r="F765"/>
  <c r="J765" s="1"/>
  <c r="F893"/>
  <c r="G893" s="1"/>
  <c r="F618"/>
  <c r="G618" s="1"/>
  <c r="F546"/>
  <c r="G546" s="1"/>
  <c r="F551"/>
  <c r="G551" s="1"/>
  <c r="F582"/>
  <c r="G582" s="1"/>
  <c r="F562"/>
  <c r="G562" s="1"/>
  <c r="F550"/>
  <c r="G550" s="1"/>
  <c r="F651"/>
  <c r="G651" s="1"/>
  <c r="I183" i="310"/>
  <c r="I229" s="1"/>
  <c r="I231" s="1"/>
  <c r="E882" i="195"/>
  <c r="F882" s="1"/>
  <c r="J882" s="1"/>
  <c r="I556" i="140"/>
  <c r="J556" s="1"/>
  <c r="O556" s="1"/>
  <c r="I833"/>
  <c r="J833" s="1"/>
  <c r="O833" s="1"/>
  <c r="I858"/>
  <c r="J858" s="1"/>
  <c r="O858" s="1"/>
  <c r="I805"/>
  <c r="J805" s="1"/>
  <c r="O805" s="1"/>
  <c r="I841"/>
  <c r="J841" s="1"/>
  <c r="O841" s="1"/>
  <c r="I806"/>
  <c r="J806" s="1"/>
  <c r="O806" s="1"/>
  <c r="F835" i="305"/>
  <c r="G835" s="1"/>
  <c r="F870"/>
  <c r="G870" s="1"/>
  <c r="F826"/>
  <c r="G826" s="1"/>
  <c r="F863"/>
  <c r="G863" s="1"/>
  <c r="F898"/>
  <c r="G898" s="1"/>
  <c r="F742"/>
  <c r="G742" s="1"/>
  <c r="F851"/>
  <c r="G851" s="1"/>
  <c r="F791"/>
  <c r="G791" s="1"/>
  <c r="F842"/>
  <c r="G842" s="1"/>
  <c r="F867"/>
  <c r="G867" s="1"/>
  <c r="F799"/>
  <c r="G799" s="1"/>
  <c r="C69" i="310"/>
  <c r="F69" s="1"/>
  <c r="G95" i="309"/>
  <c r="C95" s="1"/>
  <c r="D94" i="305"/>
  <c r="E754" i="195"/>
  <c r="F754" s="1"/>
  <c r="J754" s="1"/>
  <c r="I764" i="140"/>
  <c r="J764" s="1"/>
  <c r="O764" s="1"/>
  <c r="I784"/>
  <c r="J784" s="1"/>
  <c r="O784" s="1"/>
  <c r="I828"/>
  <c r="J828" s="1"/>
  <c r="O828" s="1"/>
  <c r="I864"/>
  <c r="J864" s="1"/>
  <c r="O864" s="1"/>
  <c r="I892"/>
  <c r="J892" s="1"/>
  <c r="O892" s="1"/>
  <c r="E601" i="195"/>
  <c r="F601" s="1"/>
  <c r="J601" s="1"/>
  <c r="I540" i="140"/>
  <c r="J540" s="1"/>
  <c r="O540" s="1"/>
  <c r="I681"/>
  <c r="J681" s="1"/>
  <c r="O681" s="1"/>
  <c r="I877"/>
  <c r="J877" s="1"/>
  <c r="O877" s="1"/>
  <c r="I870"/>
  <c r="J870" s="1"/>
  <c r="O870" s="1"/>
  <c r="I749"/>
  <c r="J749" s="1"/>
  <c r="O749" s="1"/>
  <c r="I798"/>
  <c r="J798" s="1"/>
  <c r="O798" s="1"/>
  <c r="I873"/>
  <c r="J873" s="1"/>
  <c r="O873" s="1"/>
  <c r="I846"/>
  <c r="J846" s="1"/>
  <c r="O846" s="1"/>
  <c r="I794"/>
  <c r="J794" s="1"/>
  <c r="O794" s="1"/>
  <c r="I886"/>
  <c r="J886" s="1"/>
  <c r="O886" s="1"/>
  <c r="I874"/>
  <c r="J874" s="1"/>
  <c r="O874" s="1"/>
  <c r="I857"/>
  <c r="J857" s="1"/>
  <c r="O857" s="1"/>
  <c r="I881"/>
  <c r="J881" s="1"/>
  <c r="O881" s="1"/>
  <c r="F866" i="305"/>
  <c r="G866" s="1"/>
  <c r="F798"/>
  <c r="G798" s="1"/>
  <c r="F839"/>
  <c r="G839" s="1"/>
  <c r="F774"/>
  <c r="G774" s="1"/>
  <c r="F757"/>
  <c r="J757" s="1"/>
  <c r="F809"/>
  <c r="J809" s="1"/>
  <c r="F829"/>
  <c r="J829" s="1"/>
  <c r="F857"/>
  <c r="G857" s="1"/>
  <c r="F603"/>
  <c r="G603" s="1"/>
  <c r="E750" i="195"/>
  <c r="F750" s="1"/>
  <c r="J750" s="1"/>
  <c r="E854"/>
  <c r="F854" s="1"/>
  <c r="J854" s="1"/>
  <c r="I760" i="140"/>
  <c r="J760" s="1"/>
  <c r="O760" s="1"/>
  <c r="E557" i="195"/>
  <c r="F557" s="1"/>
  <c r="J557" s="1"/>
  <c r="I594" i="140"/>
  <c r="J594" s="1"/>
  <c r="O594" s="1"/>
  <c r="I541"/>
  <c r="J541" s="1"/>
  <c r="O541" s="1"/>
  <c r="E675" i="195"/>
  <c r="F675" s="1"/>
  <c r="J675" s="1"/>
  <c r="I680" i="140"/>
  <c r="J680" s="1"/>
  <c r="O680" s="1"/>
  <c r="E832" i="195"/>
  <c r="F832" s="1"/>
  <c r="J832" s="1"/>
  <c r="E871"/>
  <c r="F871" s="1"/>
  <c r="J871" s="1"/>
  <c r="E819"/>
  <c r="F819" s="1"/>
  <c r="J819" s="1"/>
  <c r="E860"/>
  <c r="F860" s="1"/>
  <c r="J860" s="1"/>
  <c r="E839"/>
  <c r="F839" s="1"/>
  <c r="J839" s="1"/>
  <c r="E739"/>
  <c r="F739" s="1"/>
  <c r="J739" s="1"/>
  <c r="E848"/>
  <c r="F848" s="1"/>
  <c r="J848" s="1"/>
  <c r="E784"/>
  <c r="F784" s="1"/>
  <c r="J784" s="1"/>
  <c r="E899"/>
  <c r="F899" s="1"/>
  <c r="J899" s="1"/>
  <c r="E863"/>
  <c r="F863" s="1"/>
  <c r="J863" s="1"/>
  <c r="E791"/>
  <c r="F791" s="1"/>
  <c r="J791" s="1"/>
  <c r="E836"/>
  <c r="F836" s="1"/>
  <c r="J836" s="1"/>
  <c r="E823"/>
  <c r="F823" s="1"/>
  <c r="J823" s="1"/>
  <c r="E780"/>
  <c r="F780" s="1"/>
  <c r="J780" s="1"/>
  <c r="E831"/>
  <c r="F831" s="1"/>
  <c r="J831" s="1"/>
  <c r="E876"/>
  <c r="F876" s="1"/>
  <c r="J876" s="1"/>
  <c r="E895"/>
  <c r="F895" s="1"/>
  <c r="J895" s="1"/>
  <c r="E864"/>
  <c r="F864" s="1"/>
  <c r="J864" s="1"/>
  <c r="E792"/>
  <c r="F792" s="1"/>
  <c r="J792" s="1"/>
  <c r="E847"/>
  <c r="F847" s="1"/>
  <c r="J847" s="1"/>
  <c r="E783"/>
  <c r="F783" s="1"/>
  <c r="J783" s="1"/>
  <c r="E867"/>
  <c r="F867" s="1"/>
  <c r="J867" s="1"/>
  <c r="F902" i="305"/>
  <c r="G902" s="1"/>
  <c r="F753"/>
  <c r="J753" s="1"/>
  <c r="F777"/>
  <c r="J777" s="1"/>
  <c r="F821"/>
  <c r="J821" s="1"/>
  <c r="F885"/>
  <c r="G885" s="1"/>
  <c r="F787"/>
  <c r="G787" s="1"/>
  <c r="F834"/>
  <c r="G834" s="1"/>
  <c r="F879"/>
  <c r="G879" s="1"/>
  <c r="F850"/>
  <c r="G850" s="1"/>
  <c r="F790"/>
  <c r="G790" s="1"/>
  <c r="F874"/>
  <c r="G874" s="1"/>
  <c r="F592"/>
  <c r="G592" s="1"/>
  <c r="F563"/>
  <c r="G563" s="1"/>
  <c r="F558"/>
  <c r="G558" s="1"/>
  <c r="F535"/>
  <c r="G535" s="1"/>
  <c r="F578"/>
  <c r="G578" s="1"/>
  <c r="F677"/>
  <c r="G677" s="1"/>
  <c r="F680"/>
  <c r="G680" s="1"/>
  <c r="F659"/>
  <c r="G659" s="1"/>
  <c r="I605" i="140"/>
  <c r="J605" s="1"/>
  <c r="O605" s="1"/>
  <c r="I560"/>
  <c r="J560" s="1"/>
  <c r="O560" s="1"/>
  <c r="E590" i="195"/>
  <c r="F590" s="1"/>
  <c r="J590" s="1"/>
  <c r="E541"/>
  <c r="F541" s="1"/>
  <c r="J541" s="1"/>
  <c r="E542"/>
  <c r="F542" s="1"/>
  <c r="J542" s="1"/>
  <c r="E553"/>
  <c r="F553" s="1"/>
  <c r="J553" s="1"/>
  <c r="E674"/>
  <c r="F674" s="1"/>
  <c r="J674" s="1"/>
  <c r="F539" i="305"/>
  <c r="G539" s="1"/>
  <c r="F526"/>
  <c r="G526" s="1"/>
  <c r="F554"/>
  <c r="G554" s="1"/>
  <c r="F538"/>
  <c r="G538" s="1"/>
  <c r="F570"/>
  <c r="G570" s="1"/>
  <c r="E613" i="195"/>
  <c r="F613" s="1"/>
  <c r="J613" s="1"/>
  <c r="J861" i="309"/>
  <c r="E861"/>
  <c r="F861" s="1"/>
  <c r="J866"/>
  <c r="E866"/>
  <c r="F866" s="1"/>
  <c r="J830"/>
  <c r="E830"/>
  <c r="F830" s="1"/>
  <c r="J770"/>
  <c r="E770"/>
  <c r="F770" s="1"/>
  <c r="J893"/>
  <c r="E893"/>
  <c r="F893" s="1"/>
  <c r="J829"/>
  <c r="E829"/>
  <c r="F829" s="1"/>
  <c r="J785"/>
  <c r="E785"/>
  <c r="F785" s="1"/>
  <c r="J765"/>
  <c r="E765"/>
  <c r="F765" s="1"/>
  <c r="J894"/>
  <c r="E894"/>
  <c r="F894" s="1"/>
  <c r="J838"/>
  <c r="E838"/>
  <c r="F838" s="1"/>
  <c r="J822"/>
  <c r="E822"/>
  <c r="F822" s="1"/>
  <c r="J774"/>
  <c r="E774"/>
  <c r="F774" s="1"/>
  <c r="J758"/>
  <c r="E758"/>
  <c r="F758" s="1"/>
  <c r="J865"/>
  <c r="E865"/>
  <c r="F865" s="1"/>
  <c r="J837"/>
  <c r="E837"/>
  <c r="F837" s="1"/>
  <c r="J817"/>
  <c r="E817"/>
  <c r="F817" s="1"/>
  <c r="J761"/>
  <c r="E761"/>
  <c r="F761" s="1"/>
  <c r="I878"/>
  <c r="I794"/>
  <c r="I834"/>
  <c r="I841"/>
  <c r="I789"/>
  <c r="I886"/>
  <c r="I850"/>
  <c r="I909"/>
  <c r="I885"/>
  <c r="I849"/>
  <c r="I910"/>
  <c r="I874"/>
  <c r="I814"/>
  <c r="I806"/>
  <c r="I778"/>
  <c r="I873"/>
  <c r="I813"/>
  <c r="I805"/>
  <c r="I777"/>
  <c r="I846"/>
  <c r="I845"/>
  <c r="I781"/>
  <c r="I756"/>
  <c r="I764"/>
  <c r="I772"/>
  <c r="I816"/>
  <c r="I824"/>
  <c r="I836"/>
  <c r="I900"/>
  <c r="I864"/>
  <c r="I888"/>
  <c r="I842"/>
  <c r="I790"/>
  <c r="I877"/>
  <c r="I793"/>
  <c r="I833"/>
  <c r="I906"/>
  <c r="I870"/>
  <c r="I750"/>
  <c r="I905"/>
  <c r="I869"/>
  <c r="I749"/>
  <c r="I898"/>
  <c r="I858"/>
  <c r="I810"/>
  <c r="I798"/>
  <c r="I897"/>
  <c r="I857"/>
  <c r="I809"/>
  <c r="I797"/>
  <c r="I882"/>
  <c r="I881"/>
  <c r="I782"/>
  <c r="I760"/>
  <c r="I768"/>
  <c r="I784"/>
  <c r="I820"/>
  <c r="I828"/>
  <c r="I852"/>
  <c r="I892"/>
  <c r="K3463" i="132"/>
  <c r="M3463" s="1"/>
  <c r="K3418"/>
  <c r="M3418" s="1"/>
  <c r="K3428"/>
  <c r="M3428" s="1"/>
  <c r="K3509"/>
  <c r="M3509" s="1"/>
  <c r="K3448"/>
  <c r="M3448" s="1"/>
  <c r="K3402"/>
  <c r="M3402" s="1"/>
  <c r="K3516"/>
  <c r="M3516" s="1"/>
  <c r="K3473"/>
  <c r="M3473" s="1"/>
  <c r="K3504"/>
  <c r="M3504" s="1"/>
  <c r="K3546"/>
  <c r="M3546" s="1"/>
  <c r="K3855"/>
  <c r="M3855" s="1"/>
  <c r="K3375"/>
  <c r="M3375" s="1"/>
  <c r="K3494"/>
  <c r="M3494" s="1"/>
  <c r="K3408"/>
  <c r="M3408" s="1"/>
  <c r="K3423"/>
  <c r="M3423" s="1"/>
  <c r="K3483"/>
  <c r="M3483" s="1"/>
  <c r="K3541"/>
  <c r="M3541" s="1"/>
  <c r="K3395"/>
  <c r="M3395" s="1"/>
  <c r="K3468"/>
  <c r="M3468" s="1"/>
  <c r="K3338"/>
  <c r="M3338" s="1"/>
  <c r="K3489"/>
  <c r="M3489" s="1"/>
  <c r="K3521"/>
  <c r="M3521" s="1"/>
  <c r="K3380"/>
  <c r="M3380" s="1"/>
  <c r="K3551"/>
  <c r="M3551" s="1"/>
  <c r="K3632"/>
  <c r="M3632" s="1"/>
  <c r="K3784"/>
  <c r="M3784" s="1"/>
  <c r="M3709"/>
  <c r="E851" i="195"/>
  <c r="F851" s="1"/>
  <c r="J851" s="1"/>
  <c r="I861" i="140"/>
  <c r="J861" s="1"/>
  <c r="O861" s="1"/>
  <c r="J890" i="309"/>
  <c r="E890"/>
  <c r="F890" s="1"/>
  <c r="J902"/>
  <c r="E902"/>
  <c r="F902" s="1"/>
  <c r="J818"/>
  <c r="E818"/>
  <c r="F818" s="1"/>
  <c r="J762"/>
  <c r="E762"/>
  <c r="F762" s="1"/>
  <c r="J853"/>
  <c r="E853"/>
  <c r="F853" s="1"/>
  <c r="J821"/>
  <c r="E821"/>
  <c r="F821" s="1"/>
  <c r="J773"/>
  <c r="E773"/>
  <c r="F773" s="1"/>
  <c r="J757"/>
  <c r="E757"/>
  <c r="F757" s="1"/>
  <c r="J854"/>
  <c r="E854"/>
  <c r="F854" s="1"/>
  <c r="J826"/>
  <c r="E826"/>
  <c r="F826" s="1"/>
  <c r="J786"/>
  <c r="E786"/>
  <c r="F786" s="1"/>
  <c r="J766"/>
  <c r="E766"/>
  <c r="F766" s="1"/>
  <c r="J889"/>
  <c r="E889"/>
  <c r="F889" s="1"/>
  <c r="J901"/>
  <c r="E901"/>
  <c r="F901" s="1"/>
  <c r="J825"/>
  <c r="E825"/>
  <c r="F825" s="1"/>
  <c r="J769"/>
  <c r="E769"/>
  <c r="F769" s="1"/>
  <c r="K2769" i="132"/>
  <c r="M2769" s="1"/>
  <c r="K2779"/>
  <c r="M2779" s="1"/>
  <c r="K2795"/>
  <c r="M2795" s="1"/>
  <c r="J740" i="309"/>
  <c r="E740"/>
  <c r="F740" s="1"/>
  <c r="J736"/>
  <c r="E736"/>
  <c r="F736" s="1"/>
  <c r="J704"/>
  <c r="E704"/>
  <c r="F704" s="1"/>
  <c r="J631"/>
  <c r="E631"/>
  <c r="F631" s="1"/>
  <c r="J668"/>
  <c r="E668"/>
  <c r="F668" s="1"/>
  <c r="J677"/>
  <c r="E677"/>
  <c r="F677" s="1"/>
  <c r="J739"/>
  <c r="E739"/>
  <c r="F739" s="1"/>
  <c r="J735"/>
  <c r="E735"/>
  <c r="F735" s="1"/>
  <c r="J703"/>
  <c r="E703"/>
  <c r="F703" s="1"/>
  <c r="J630"/>
  <c r="E630"/>
  <c r="F630" s="1"/>
  <c r="J667"/>
  <c r="E667"/>
  <c r="F667" s="1"/>
  <c r="J676"/>
  <c r="E676"/>
  <c r="F676" s="1"/>
  <c r="J732"/>
  <c r="E732"/>
  <c r="F732" s="1"/>
  <c r="J720"/>
  <c r="E720"/>
  <c r="F720" s="1"/>
  <c r="J708"/>
  <c r="E708"/>
  <c r="F708" s="1"/>
  <c r="J644"/>
  <c r="E644"/>
  <c r="F644" s="1"/>
  <c r="J635"/>
  <c r="E635"/>
  <c r="F635" s="1"/>
  <c r="J664"/>
  <c r="E664"/>
  <c r="F664" s="1"/>
  <c r="J685"/>
  <c r="E685"/>
  <c r="F685" s="1"/>
  <c r="J731"/>
  <c r="E731"/>
  <c r="F731" s="1"/>
  <c r="J719"/>
  <c r="E719"/>
  <c r="F719" s="1"/>
  <c r="J707"/>
  <c r="E707"/>
  <c r="F707" s="1"/>
  <c r="J643"/>
  <c r="E643"/>
  <c r="F643" s="1"/>
  <c r="J634"/>
  <c r="E634"/>
  <c r="F634" s="1"/>
  <c r="J663"/>
  <c r="E663"/>
  <c r="F663" s="1"/>
  <c r="J684"/>
  <c r="E684"/>
  <c r="F684" s="1"/>
  <c r="I680"/>
  <c r="I694"/>
  <c r="I683"/>
  <c r="I654"/>
  <c r="I662"/>
  <c r="I650"/>
  <c r="I633"/>
  <c r="I625"/>
  <c r="I642"/>
  <c r="I698"/>
  <c r="I706"/>
  <c r="I718"/>
  <c r="I722"/>
  <c r="I730"/>
  <c r="I742"/>
  <c r="I673"/>
  <c r="I681"/>
  <c r="I672"/>
  <c r="I675"/>
  <c r="I658"/>
  <c r="I666"/>
  <c r="I646"/>
  <c r="I629"/>
  <c r="I637"/>
  <c r="I702"/>
  <c r="I710"/>
  <c r="I734"/>
  <c r="I726"/>
  <c r="I738"/>
  <c r="I687"/>
  <c r="K2754" i="132"/>
  <c r="M2754" s="1"/>
  <c r="J689" i="309"/>
  <c r="E689"/>
  <c r="F689" s="1"/>
  <c r="J728"/>
  <c r="E728"/>
  <c r="F728" s="1"/>
  <c r="J712"/>
  <c r="E712"/>
  <c r="F712" s="1"/>
  <c r="J639"/>
  <c r="E639"/>
  <c r="F639" s="1"/>
  <c r="J648"/>
  <c r="E648"/>
  <c r="F648" s="1"/>
  <c r="J660"/>
  <c r="E660"/>
  <c r="F660" s="1"/>
  <c r="J688"/>
  <c r="E688"/>
  <c r="F688" s="1"/>
  <c r="J727"/>
  <c r="E727"/>
  <c r="F727" s="1"/>
  <c r="J711"/>
  <c r="E711"/>
  <c r="F711" s="1"/>
  <c r="J638"/>
  <c r="E638"/>
  <c r="F638" s="1"/>
  <c r="J647"/>
  <c r="E647"/>
  <c r="F647" s="1"/>
  <c r="J659"/>
  <c r="E659"/>
  <c r="F659" s="1"/>
  <c r="J744"/>
  <c r="E744"/>
  <c r="F744" s="1"/>
  <c r="J724"/>
  <c r="E724"/>
  <c r="F724" s="1"/>
  <c r="J716"/>
  <c r="E716"/>
  <c r="F716" s="1"/>
  <c r="J700"/>
  <c r="E700"/>
  <c r="F700" s="1"/>
  <c r="J627"/>
  <c r="E627"/>
  <c r="F627" s="1"/>
  <c r="J652"/>
  <c r="E652"/>
  <c r="F652" s="1"/>
  <c r="J656"/>
  <c r="E656"/>
  <c r="F656" s="1"/>
  <c r="J743"/>
  <c r="E743"/>
  <c r="F743" s="1"/>
  <c r="J723"/>
  <c r="E723"/>
  <c r="F723" s="1"/>
  <c r="J715"/>
  <c r="E715"/>
  <c r="F715" s="1"/>
  <c r="J699"/>
  <c r="E699"/>
  <c r="F699" s="1"/>
  <c r="J626"/>
  <c r="E626"/>
  <c r="F626" s="1"/>
  <c r="J651"/>
  <c r="E651"/>
  <c r="F651" s="1"/>
  <c r="J655"/>
  <c r="E655"/>
  <c r="F655" s="1"/>
  <c r="K2149" i="132"/>
  <c r="M2149" s="1"/>
  <c r="K2199"/>
  <c r="M2199" s="1"/>
  <c r="K2190"/>
  <c r="M2190" s="1"/>
  <c r="K2301"/>
  <c r="M2301" s="1"/>
  <c r="K2316"/>
  <c r="M2316" s="1"/>
  <c r="J581" i="309"/>
  <c r="E581"/>
  <c r="F581" s="1"/>
  <c r="J578"/>
  <c r="E578"/>
  <c r="F578" s="1"/>
  <c r="J574"/>
  <c r="E574"/>
  <c r="F574" s="1"/>
  <c r="J573"/>
  <c r="E573"/>
  <c r="F573" s="1"/>
  <c r="I529"/>
  <c r="I541"/>
  <c r="I548"/>
  <c r="I528"/>
  <c r="I557"/>
  <c r="I556"/>
  <c r="I553"/>
  <c r="I560"/>
  <c r="I552"/>
  <c r="I537"/>
  <c r="I576"/>
  <c r="I580"/>
  <c r="I593"/>
  <c r="I594"/>
  <c r="I564"/>
  <c r="I565"/>
  <c r="I533"/>
  <c r="I540"/>
  <c r="I545"/>
  <c r="I572"/>
  <c r="I584"/>
  <c r="K2159" i="132"/>
  <c r="M2159" s="1"/>
  <c r="K2237"/>
  <c r="M2237" s="1"/>
  <c r="K2154"/>
  <c r="M2154" s="1"/>
  <c r="K2306"/>
  <c r="M2306" s="1"/>
  <c r="K2343"/>
  <c r="M2343" s="1"/>
  <c r="K2465"/>
  <c r="M2465" s="1"/>
  <c r="K2426"/>
  <c r="M2426" s="1"/>
  <c r="J582" i="309"/>
  <c r="E582"/>
  <c r="F582" s="1"/>
  <c r="J577"/>
  <c r="E577"/>
  <c r="F577" s="1"/>
  <c r="J586"/>
  <c r="E586"/>
  <c r="F586" s="1"/>
  <c r="J585"/>
  <c r="E585"/>
  <c r="F585" s="1"/>
  <c r="K2402" i="132"/>
  <c r="E621" i="309"/>
  <c r="F621" s="1"/>
  <c r="J621"/>
  <c r="F615" i="305"/>
  <c r="G615" s="1"/>
  <c r="I620" i="309"/>
  <c r="I606"/>
  <c r="I605"/>
  <c r="K2272" i="132"/>
  <c r="E612" i="195" s="1"/>
  <c r="F612" s="1"/>
  <c r="J612" s="1"/>
  <c r="K2252" i="132"/>
  <c r="K2394"/>
  <c r="K2533"/>
  <c r="E622" i="309"/>
  <c r="F622" s="1"/>
  <c r="J622"/>
  <c r="M2407" i="132"/>
  <c r="I617" i="140"/>
  <c r="J617" s="1"/>
  <c r="O617" s="1"/>
  <c r="O212" i="309"/>
  <c r="O12"/>
  <c r="O11"/>
  <c r="O16"/>
  <c r="O15"/>
  <c r="O229"/>
  <c r="O228"/>
  <c r="O233"/>
  <c r="O232"/>
  <c r="O225"/>
  <c r="O213"/>
  <c r="O220"/>
  <c r="F182" i="305"/>
  <c r="G182" s="1"/>
  <c r="F514"/>
  <c r="G514" s="1"/>
  <c r="I516" i="309"/>
  <c r="F373" i="305"/>
  <c r="G373" s="1"/>
  <c r="I375" i="309"/>
  <c r="F513" i="305"/>
  <c r="G513" s="1"/>
  <c r="I515" i="309"/>
  <c r="F372" i="305"/>
  <c r="G372" s="1"/>
  <c r="I374" i="309"/>
  <c r="F377" i="305"/>
  <c r="G377" s="1"/>
  <c r="I379" i="309"/>
  <c r="F517" i="305"/>
  <c r="G517" s="1"/>
  <c r="I519" i="309"/>
  <c r="F376" i="305"/>
  <c r="G376" s="1"/>
  <c r="I378" i="309"/>
  <c r="J10"/>
  <c r="E10"/>
  <c r="F10" s="1"/>
  <c r="J208"/>
  <c r="E208"/>
  <c r="F208" s="1"/>
  <c r="J14"/>
  <c r="E14"/>
  <c r="F14" s="1"/>
  <c r="E693"/>
  <c r="F693" s="1"/>
  <c r="J693"/>
  <c r="H353" i="216"/>
  <c r="F172" i="196"/>
  <c r="I172" s="1"/>
  <c r="G1158" i="214"/>
  <c r="T62" i="211"/>
  <c r="T63" s="1"/>
  <c r="T64" s="1"/>
  <c r="T65" s="1"/>
  <c r="C233" i="195"/>
  <c r="I233" s="1"/>
  <c r="C171" i="196" s="1"/>
  <c r="F171" s="1"/>
  <c r="I171" s="1"/>
  <c r="C97" i="165"/>
  <c r="D166" i="305"/>
  <c r="D420"/>
  <c r="D388"/>
  <c r="E72" i="211"/>
  <c r="C391" i="195"/>
  <c r="I391" s="1"/>
  <c r="E51" i="196" s="1"/>
  <c r="F159" i="211"/>
  <c r="D392" i="305"/>
  <c r="D428"/>
  <c r="P173" i="196"/>
  <c r="J231" i="140"/>
  <c r="O231" s="1"/>
  <c r="F105" i="211"/>
  <c r="L105" s="1"/>
  <c r="M937" i="194"/>
  <c r="F518" i="305"/>
  <c r="G518" s="1"/>
  <c r="F177" i="211"/>
  <c r="M177" s="1"/>
  <c r="F174"/>
  <c r="S174" s="1"/>
  <c r="F119"/>
  <c r="M119" s="1"/>
  <c r="F129"/>
  <c r="S129" s="1"/>
  <c r="F121"/>
  <c r="F109"/>
  <c r="L109" s="1"/>
  <c r="F133"/>
  <c r="M133" s="1"/>
  <c r="F128"/>
  <c r="M128" s="1"/>
  <c r="F135"/>
  <c r="M135" s="1"/>
  <c r="F173"/>
  <c r="S173" s="1"/>
  <c r="F158"/>
  <c r="F131"/>
  <c r="M131" s="1"/>
  <c r="F112"/>
  <c r="S112" s="1"/>
  <c r="F157"/>
  <c r="I157" s="1"/>
  <c r="F150"/>
  <c r="I150" s="1"/>
  <c r="F134"/>
  <c r="M134" s="1"/>
  <c r="F130"/>
  <c r="M130" s="1"/>
  <c r="F172"/>
  <c r="S172" s="1"/>
  <c r="F113"/>
  <c r="F122"/>
  <c r="F156"/>
  <c r="S156" s="1"/>
  <c r="I772" i="140"/>
  <c r="J772" s="1"/>
  <c r="O772" s="1"/>
  <c r="I820"/>
  <c r="J820" s="1"/>
  <c r="O820" s="1"/>
  <c r="I584"/>
  <c r="J584" s="1"/>
  <c r="O584" s="1"/>
  <c r="I816"/>
  <c r="J816" s="1"/>
  <c r="O816" s="1"/>
  <c r="I836"/>
  <c r="J836" s="1"/>
  <c r="O836" s="1"/>
  <c r="I580"/>
  <c r="J580" s="1"/>
  <c r="O580" s="1"/>
  <c r="E568" i="195"/>
  <c r="I620" i="140"/>
  <c r="J620" s="1"/>
  <c r="O620" s="1"/>
  <c r="I576"/>
  <c r="J576" s="1"/>
  <c r="O576" s="1"/>
  <c r="G2556" i="214"/>
  <c r="F2557"/>
  <c r="G2557" s="1"/>
  <c r="G2499"/>
  <c r="F2500"/>
  <c r="G2537"/>
  <c r="F2538"/>
  <c r="G2538" s="1"/>
  <c r="F2091"/>
  <c r="G2091" s="1"/>
  <c r="G2000"/>
  <c r="F1928"/>
  <c r="G1928" s="1"/>
  <c r="G1916"/>
  <c r="G3473"/>
  <c r="F3474"/>
  <c r="G3474" s="1"/>
  <c r="G3416"/>
  <c r="F3417"/>
  <c r="G3454"/>
  <c r="F3455"/>
  <c r="G3455" s="1"/>
  <c r="F3008"/>
  <c r="G3008" s="1"/>
  <c r="G2917"/>
  <c r="F2845"/>
  <c r="G2845" s="1"/>
  <c r="G2833"/>
  <c r="G2581"/>
  <c r="F2582"/>
  <c r="G2582" s="1"/>
  <c r="G2520"/>
  <c r="F2521"/>
  <c r="G2521" s="1"/>
  <c r="G2330"/>
  <c r="F2350"/>
  <c r="F2333"/>
  <c r="G2333" s="1"/>
  <c r="F2423"/>
  <c r="F2442"/>
  <c r="G2422"/>
  <c r="G3498"/>
  <c r="F3499"/>
  <c r="G3499" s="1"/>
  <c r="G3437"/>
  <c r="F3438"/>
  <c r="G3438" s="1"/>
  <c r="F3340"/>
  <c r="F3359"/>
  <c r="G3339"/>
  <c r="F3250"/>
  <c r="G3250" s="1"/>
  <c r="F3267"/>
  <c r="G3247"/>
  <c r="E576" i="195"/>
  <c r="F576" s="1"/>
  <c r="J576" s="1"/>
  <c r="E616"/>
  <c r="F616" s="1"/>
  <c r="J616" s="1"/>
  <c r="E770"/>
  <c r="F770" s="1"/>
  <c r="J770" s="1"/>
  <c r="E806"/>
  <c r="F806" s="1"/>
  <c r="J806" s="1"/>
  <c r="E814"/>
  <c r="F814" s="1"/>
  <c r="J814" s="1"/>
  <c r="E762"/>
  <c r="F762" s="1"/>
  <c r="J762" s="1"/>
  <c r="E802"/>
  <c r="F802" s="1"/>
  <c r="J802" s="1"/>
  <c r="E810"/>
  <c r="F810" s="1"/>
  <c r="J810" s="1"/>
  <c r="E826"/>
  <c r="F826" s="1"/>
  <c r="J826" s="1"/>
  <c r="H391" i="216"/>
  <c r="H429"/>
  <c r="I572" i="140"/>
  <c r="E580" i="195"/>
  <c r="F580" s="1"/>
  <c r="J580" s="1"/>
  <c r="F169" i="211"/>
  <c r="N169" s="1"/>
  <c r="F14" i="195"/>
  <c r="J14" s="1"/>
  <c r="H12" i="196" s="1"/>
  <c r="E538" i="195"/>
  <c r="F538" s="1"/>
  <c r="J538" s="1"/>
  <c r="I537" i="140"/>
  <c r="J537" s="1"/>
  <c r="O537" s="1"/>
  <c r="E562" i="195"/>
  <c r="F562" s="1"/>
  <c r="J562" s="1"/>
  <c r="I565" i="140"/>
  <c r="J565" s="1"/>
  <c r="O565" s="1"/>
  <c r="H260" i="216"/>
  <c r="E525" i="195"/>
  <c r="F525" s="1"/>
  <c r="J525" s="1"/>
  <c r="I528" i="140"/>
  <c r="J528" s="1"/>
  <c r="O528" s="1"/>
  <c r="M899" i="194"/>
  <c r="E513" i="195"/>
  <c r="F513" s="1"/>
  <c r="J513" s="1"/>
  <c r="I516" i="140"/>
  <c r="J516" s="1"/>
  <c r="O516" s="1"/>
  <c r="M1454" i="192"/>
  <c r="I375" i="140"/>
  <c r="J375" s="1"/>
  <c r="O375" s="1"/>
  <c r="E372" i="195"/>
  <c r="F372" s="1"/>
  <c r="J372" s="1"/>
  <c r="E512"/>
  <c r="F512" s="1"/>
  <c r="J512" s="1"/>
  <c r="I515" i="140"/>
  <c r="J515" s="1"/>
  <c r="O515" s="1"/>
  <c r="M1429" i="192"/>
  <c r="I374" i="140"/>
  <c r="J374" s="1"/>
  <c r="O374" s="1"/>
  <c r="E371" i="195"/>
  <c r="F371" s="1"/>
  <c r="J371" s="1"/>
  <c r="E517"/>
  <c r="F517" s="1"/>
  <c r="J517" s="1"/>
  <c r="I520" i="140"/>
  <c r="J520" s="1"/>
  <c r="O520" s="1"/>
  <c r="M1514" i="192"/>
  <c r="I379" i="140"/>
  <c r="J379" s="1"/>
  <c r="O379" s="1"/>
  <c r="E376" i="195"/>
  <c r="F376" s="1"/>
  <c r="J376" s="1"/>
  <c r="E516"/>
  <c r="F516" s="1"/>
  <c r="J516" s="1"/>
  <c r="I519" i="140"/>
  <c r="J519" s="1"/>
  <c r="O519" s="1"/>
  <c r="M1500" i="192"/>
  <c r="I378" i="140"/>
  <c r="J378" s="1"/>
  <c r="O378" s="1"/>
  <c r="E375" i="195"/>
  <c r="F375" s="1"/>
  <c r="J375" s="1"/>
  <c r="F2806" i="214"/>
  <c r="G2806" s="1"/>
  <c r="D24" i="165"/>
  <c r="F39" i="139" s="1"/>
  <c r="F1889" i="214"/>
  <c r="G1889" s="1"/>
  <c r="G1890" s="1"/>
  <c r="G1891" s="1"/>
  <c r="D23" i="165"/>
  <c r="F38" i="139" s="1"/>
  <c r="G2807" i="214"/>
  <c r="G2808" s="1"/>
  <c r="F3040"/>
  <c r="G3040" s="1"/>
  <c r="G3048" s="1"/>
  <c r="G3049" s="1"/>
  <c r="F3059"/>
  <c r="G3059" s="1"/>
  <c r="F3053"/>
  <c r="G3053" s="1"/>
  <c r="G3056" s="1"/>
  <c r="D105" i="165"/>
  <c r="G902" i="216"/>
  <c r="H902" s="1"/>
  <c r="H905" s="1"/>
  <c r="F3027" i="214"/>
  <c r="G3027" s="1"/>
  <c r="G3032" s="1"/>
  <c r="E3034" s="1"/>
  <c r="F3060"/>
  <c r="G3060" s="1"/>
  <c r="F2123"/>
  <c r="G2123" s="1"/>
  <c r="G2131" s="1"/>
  <c r="G2132" s="1"/>
  <c r="F2136"/>
  <c r="G2136" s="1"/>
  <c r="G2139" s="1"/>
  <c r="F2142"/>
  <c r="G2142" s="1"/>
  <c r="D101" i="165"/>
  <c r="G667" i="216"/>
  <c r="H667" s="1"/>
  <c r="H670" s="1"/>
  <c r="F2143" i="214"/>
  <c r="G2143" s="1"/>
  <c r="F2110"/>
  <c r="G2110" s="1"/>
  <c r="G2115" s="1"/>
  <c r="E2117" s="1"/>
  <c r="E39" i="139"/>
  <c r="E38"/>
  <c r="F3149" i="214"/>
  <c r="G3149" s="1"/>
  <c r="F3115"/>
  <c r="G3115" s="1"/>
  <c r="F3132"/>
  <c r="G3132" s="1"/>
  <c r="G2834"/>
  <c r="F2846"/>
  <c r="G2846" s="1"/>
  <c r="F2760"/>
  <c r="G2760" s="1"/>
  <c r="G2762" s="1"/>
  <c r="F2765"/>
  <c r="G2765" s="1"/>
  <c r="G2767" s="1"/>
  <c r="F2770"/>
  <c r="G2770" s="1"/>
  <c r="G2772" s="1"/>
  <c r="F2775"/>
  <c r="G2775" s="1"/>
  <c r="G2777" s="1"/>
  <c r="F2780"/>
  <c r="G2780" s="1"/>
  <c r="G2782" s="1"/>
  <c r="F3106"/>
  <c r="G3106" s="1"/>
  <c r="F3116"/>
  <c r="G3116" s="1"/>
  <c r="F3133"/>
  <c r="G3133" s="1"/>
  <c r="F3150"/>
  <c r="G3150" s="1"/>
  <c r="F3248"/>
  <c r="F3457"/>
  <c r="G3457" s="1"/>
  <c r="F3489"/>
  <c r="G3489" s="1"/>
  <c r="G3493" s="1"/>
  <c r="F3500" s="1"/>
  <c r="G3500" s="1"/>
  <c r="F3342"/>
  <c r="F3383"/>
  <c r="F3419"/>
  <c r="F3436"/>
  <c r="G3436" s="1"/>
  <c r="F3472"/>
  <c r="G3472" s="1"/>
  <c r="F3501"/>
  <c r="F2835"/>
  <c r="F2979"/>
  <c r="G2979" s="1"/>
  <c r="F3523"/>
  <c r="G3523" s="1"/>
  <c r="F2859"/>
  <c r="G2859" s="1"/>
  <c r="F2889"/>
  <c r="G2889" s="1"/>
  <c r="F2916"/>
  <c r="F2215"/>
  <c r="G2215" s="1"/>
  <c r="F2198"/>
  <c r="G2198" s="1"/>
  <c r="F2232"/>
  <c r="G2232" s="1"/>
  <c r="G1917"/>
  <c r="F1929"/>
  <c r="G1929" s="1"/>
  <c r="F2189"/>
  <c r="G2189" s="1"/>
  <c r="F2199"/>
  <c r="G2199" s="1"/>
  <c r="F2425"/>
  <c r="F2466"/>
  <c r="F2502"/>
  <c r="F2519"/>
  <c r="G2519" s="1"/>
  <c r="F2555"/>
  <c r="G2555" s="1"/>
  <c r="F2584"/>
  <c r="F1843"/>
  <c r="G1843" s="1"/>
  <c r="G1845" s="1"/>
  <c r="F1848"/>
  <c r="G1848" s="1"/>
  <c r="G1850" s="1"/>
  <c r="F1853"/>
  <c r="G1853" s="1"/>
  <c r="G1855" s="1"/>
  <c r="F1858"/>
  <c r="G1858" s="1"/>
  <c r="G1860" s="1"/>
  <c r="F1863"/>
  <c r="G1863" s="1"/>
  <c r="G1865" s="1"/>
  <c r="F2216"/>
  <c r="G2216" s="1"/>
  <c r="F2233"/>
  <c r="G2233" s="1"/>
  <c r="F2331"/>
  <c r="F2540"/>
  <c r="G2540" s="1"/>
  <c r="F2572"/>
  <c r="G2572" s="1"/>
  <c r="G2576" s="1"/>
  <c r="F2583" s="1"/>
  <c r="G2583" s="1"/>
  <c r="F1942"/>
  <c r="G1942" s="1"/>
  <c r="F1972"/>
  <c r="G1972" s="1"/>
  <c r="F1999"/>
  <c r="F1918"/>
  <c r="F2062"/>
  <c r="G2062" s="1"/>
  <c r="F2606"/>
  <c r="G2606" s="1"/>
  <c r="F124" i="211"/>
  <c r="N124" s="1"/>
  <c r="F114"/>
  <c r="N114" s="1"/>
  <c r="S56"/>
  <c r="F178"/>
  <c r="M178" s="1"/>
  <c r="F162"/>
  <c r="Q162" s="1"/>
  <c r="F111"/>
  <c r="I111" s="1"/>
  <c r="F155"/>
  <c r="L155" s="1"/>
  <c r="F180"/>
  <c r="M180" s="1"/>
  <c r="F132"/>
  <c r="M132" s="1"/>
  <c r="F176"/>
  <c r="M176" s="1"/>
  <c r="F127"/>
  <c r="M127" s="1"/>
  <c r="F126"/>
  <c r="I126" s="1"/>
  <c r="F118"/>
  <c r="M118" s="1"/>
  <c r="F161"/>
  <c r="Q161" s="1"/>
  <c r="F116"/>
  <c r="M116" s="1"/>
  <c r="F107"/>
  <c r="L107" s="1"/>
  <c r="F110"/>
  <c r="I110" s="1"/>
  <c r="Q48" i="196"/>
  <c r="Q52"/>
  <c r="Q56" s="1"/>
  <c r="Q60" s="1"/>
  <c r="Q64" s="1"/>
  <c r="F175" i="211"/>
  <c r="S175" s="1"/>
  <c r="F179"/>
  <c r="M179" s="1"/>
  <c r="F164"/>
  <c r="S164" s="1"/>
  <c r="F96" i="196"/>
  <c r="S117" i="211"/>
  <c r="M117"/>
  <c r="Q117"/>
  <c r="I57"/>
  <c r="S136"/>
  <c r="I136"/>
  <c r="L136"/>
  <c r="F133" i="196"/>
  <c r="F137"/>
  <c r="I99" i="195"/>
  <c r="C77" i="196" s="1"/>
  <c r="S168" i="211"/>
  <c r="N120"/>
  <c r="S120"/>
  <c r="I122" i="195"/>
  <c r="C108" i="196" s="1"/>
  <c r="I126" i="195"/>
  <c r="C112" i="196" s="1"/>
  <c r="M163" i="211"/>
  <c r="Q163"/>
  <c r="S163"/>
  <c r="I111" i="195"/>
  <c r="C97" i="196" s="1"/>
  <c r="I94" i="195"/>
  <c r="C84" i="196" s="1"/>
  <c r="I91" i="195"/>
  <c r="C81" i="196" s="1"/>
  <c r="I102" i="195"/>
  <c r="C88" i="196" s="1"/>
  <c r="F88" s="1"/>
  <c r="I82" i="195"/>
  <c r="C68" i="196" s="1"/>
  <c r="S106" i="211"/>
  <c r="I106"/>
  <c r="L106"/>
  <c r="I66" i="195"/>
  <c r="C48" i="196" s="1"/>
  <c r="F48" s="1"/>
  <c r="I79" i="195"/>
  <c r="C65" i="196" s="1"/>
  <c r="S152" i="211"/>
  <c r="I152"/>
  <c r="L152"/>
  <c r="I63" i="195"/>
  <c r="C53" i="196" s="1"/>
  <c r="I39" i="195"/>
  <c r="I50"/>
  <c r="C36" i="196" s="1"/>
  <c r="F36" s="1"/>
  <c r="I38" i="195"/>
  <c r="I30"/>
  <c r="I27"/>
  <c r="I181" i="211"/>
  <c r="L181"/>
  <c r="S181"/>
  <c r="F169" i="196"/>
  <c r="F132"/>
  <c r="F120"/>
  <c r="I98" i="195"/>
  <c r="C76" i="196" s="1"/>
  <c r="F76" s="1"/>
  <c r="I114" i="195"/>
  <c r="C100" i="196" s="1"/>
  <c r="F100" s="1"/>
  <c r="S166" i="211"/>
  <c r="I127" i="195"/>
  <c r="C113" i="196" s="1"/>
  <c r="F113" s="1"/>
  <c r="K113" s="1"/>
  <c r="I123" i="195"/>
  <c r="C109" i="196" s="1"/>
  <c r="F109" s="1"/>
  <c r="I86" i="195"/>
  <c r="C72" i="196" s="1"/>
  <c r="I106" i="195"/>
  <c r="C92" i="196" s="1"/>
  <c r="I75" i="195"/>
  <c r="C61" i="196" s="1"/>
  <c r="I87" i="195"/>
  <c r="C73" i="196" s="1"/>
  <c r="I83" i="195"/>
  <c r="C69" i="196" s="1"/>
  <c r="I104" i="211"/>
  <c r="L104"/>
  <c r="S104"/>
  <c r="I67" i="195"/>
  <c r="C49" i="196" s="1"/>
  <c r="S108" i="211"/>
  <c r="I108"/>
  <c r="L108"/>
  <c r="I35" i="195"/>
  <c r="C17" i="196" s="1"/>
  <c r="F17" s="1"/>
  <c r="J17" s="1"/>
  <c r="I148" i="211"/>
  <c r="L148"/>
  <c r="S148"/>
  <c r="I51" i="195"/>
  <c r="C37" i="196" s="1"/>
  <c r="F37" s="1"/>
  <c r="I34" i="195"/>
  <c r="C16" i="196" s="1"/>
  <c r="F16" s="1"/>
  <c r="J16" s="1"/>
  <c r="F168"/>
  <c r="I171" i="211"/>
  <c r="L171"/>
  <c r="S171"/>
  <c r="S167"/>
  <c r="I118" i="195"/>
  <c r="C104" i="196" s="1"/>
  <c r="I115" i="195"/>
  <c r="C101" i="196" s="1"/>
  <c r="K115" i="211"/>
  <c r="K138" s="1"/>
  <c r="M115"/>
  <c r="S115"/>
  <c r="I90" i="195"/>
  <c r="C80" i="196" s="1"/>
  <c r="I74" i="195"/>
  <c r="C60" i="196" s="1"/>
  <c r="I153" i="211"/>
  <c r="L153"/>
  <c r="S153"/>
  <c r="I71" i="195"/>
  <c r="C57" i="196" s="1"/>
  <c r="F57" s="1"/>
  <c r="S103" i="211"/>
  <c r="I103"/>
  <c r="L103"/>
  <c r="S123"/>
  <c r="I119" i="195"/>
  <c r="C105" i="196" s="1"/>
  <c r="S165" i="211"/>
  <c r="N165"/>
  <c r="I107" i="195"/>
  <c r="C93" i="196" s="1"/>
  <c r="S160" i="211"/>
  <c r="K160"/>
  <c r="K183" s="1"/>
  <c r="M160"/>
  <c r="I103" i="195"/>
  <c r="C89" i="196" s="1"/>
  <c r="F89" s="1"/>
  <c r="S154" i="211"/>
  <c r="I154"/>
  <c r="L154"/>
  <c r="I62" i="195"/>
  <c r="C52" i="196" s="1"/>
  <c r="I54" i="195"/>
  <c r="C40" i="196" s="1"/>
  <c r="F40" s="1"/>
  <c r="I78" i="195"/>
  <c r="C64" i="196" s="1"/>
  <c r="I151" i="211"/>
  <c r="L151"/>
  <c r="S151"/>
  <c r="I70" i="195"/>
  <c r="C56" i="196" s="1"/>
  <c r="F56" s="1"/>
  <c r="S149" i="211"/>
  <c r="I149"/>
  <c r="L149"/>
  <c r="I55" i="195"/>
  <c r="C41" i="196" s="1"/>
  <c r="F41" s="1"/>
  <c r="I26" i="195"/>
  <c r="I31"/>
  <c r="F170" i="211"/>
  <c r="N170" s="1"/>
  <c r="L100"/>
  <c r="S100"/>
  <c r="I59" i="195"/>
  <c r="C45" i="196" s="1"/>
  <c r="I58" i="195"/>
  <c r="C44" i="196" s="1"/>
  <c r="I18" i="195"/>
  <c r="C20" i="196" s="1"/>
  <c r="F20" s="1"/>
  <c r="I23" i="195"/>
  <c r="C25" i="196" s="1"/>
  <c r="F25" s="1"/>
  <c r="I19" i="195"/>
  <c r="C21" i="196" s="1"/>
  <c r="F21" s="1"/>
  <c r="G3544" i="214"/>
  <c r="G3546" s="1"/>
  <c r="G3547" s="1"/>
  <c r="K831" i="194" s="1"/>
  <c r="F3546" i="214"/>
  <c r="F3547" s="1"/>
  <c r="K1277" i="192" s="1"/>
  <c r="G3559" i="214"/>
  <c r="G3561" s="1"/>
  <c r="G3562" s="1"/>
  <c r="K863" i="194" s="1"/>
  <c r="F3561" i="214"/>
  <c r="F3562" s="1"/>
  <c r="K1369" i="192" s="1"/>
  <c r="S99" i="211"/>
  <c r="H99"/>
  <c r="H138" s="1"/>
  <c r="C80" i="165" s="1"/>
  <c r="L99" i="211"/>
  <c r="H145"/>
  <c r="L145"/>
  <c r="S145"/>
  <c r="H144"/>
  <c r="L144"/>
  <c r="S144"/>
  <c r="G2627" i="214"/>
  <c r="G2629" s="1"/>
  <c r="G2630" s="1"/>
  <c r="K823" i="194" s="1"/>
  <c r="F2629" i="214"/>
  <c r="F2630" s="1"/>
  <c r="K1268" i="192" s="1"/>
  <c r="G2642" i="214"/>
  <c r="G2644" s="1"/>
  <c r="G2645" s="1"/>
  <c r="K855" i="194" s="1"/>
  <c r="F2644" i="214"/>
  <c r="F2645" s="1"/>
  <c r="K1344" i="192" s="1"/>
  <c r="F125" i="211"/>
  <c r="C822" i="195"/>
  <c r="I822" s="1"/>
  <c r="G780" i="140"/>
  <c r="G896"/>
  <c r="C886" i="195"/>
  <c r="I886" s="1"/>
  <c r="G792" i="140"/>
  <c r="C778" i="195"/>
  <c r="I778" s="1"/>
  <c r="C774"/>
  <c r="I774" s="1"/>
  <c r="G788" i="140"/>
  <c r="G642"/>
  <c r="C637" i="195"/>
  <c r="I637" s="1"/>
  <c r="G666" i="140"/>
  <c r="C661" i="195"/>
  <c r="I661" s="1"/>
  <c r="C552"/>
  <c r="I552" s="1"/>
  <c r="G555" i="140"/>
  <c r="C596" i="195"/>
  <c r="G600" i="140"/>
  <c r="G572"/>
  <c r="C568" i="195"/>
  <c r="C503"/>
  <c r="I503" s="1"/>
  <c r="L57" i="211"/>
  <c r="G406" i="140"/>
  <c r="E64" i="211"/>
  <c r="C403" i="195"/>
  <c r="C407"/>
  <c r="G410" i="140"/>
  <c r="E65" i="211"/>
  <c r="C423" i="195"/>
  <c r="G426" i="140"/>
  <c r="E69" i="211"/>
  <c r="G450" i="140"/>
  <c r="C447" i="195"/>
  <c r="E77" i="211"/>
  <c r="G462" i="140"/>
  <c r="E80" i="211"/>
  <c r="C459" i="195"/>
  <c r="G470" i="140"/>
  <c r="C467" i="195"/>
  <c r="E82" i="211"/>
  <c r="C439" i="195"/>
  <c r="G442" i="140"/>
  <c r="E74" i="211"/>
  <c r="C475" i="195"/>
  <c r="G478" i="140"/>
  <c r="E84" i="211"/>
  <c r="C435" i="195"/>
  <c r="G438" i="140"/>
  <c r="E73" i="211"/>
  <c r="C491" i="195"/>
  <c r="G494" i="140"/>
  <c r="E88" i="211"/>
  <c r="C499" i="195"/>
  <c r="G502" i="140"/>
  <c r="E90" i="211"/>
  <c r="C515" i="195"/>
  <c r="G518" i="140"/>
  <c r="G402"/>
  <c r="E61" i="211"/>
  <c r="C399" i="195"/>
  <c r="C387"/>
  <c r="G390" i="140"/>
  <c r="E60" i="211"/>
  <c r="C411" i="195"/>
  <c r="G414" i="140"/>
  <c r="E66" i="211"/>
  <c r="G434" i="140"/>
  <c r="E71" i="211"/>
  <c r="C431" i="195"/>
  <c r="C451"/>
  <c r="G454" i="140"/>
  <c r="E78" i="211"/>
  <c r="C455" i="195"/>
  <c r="G458" i="140"/>
  <c r="E79" i="211"/>
  <c r="G446" i="140"/>
  <c r="E76" i="211"/>
  <c r="C443" i="195"/>
  <c r="C479"/>
  <c r="G482" i="140"/>
  <c r="E85" i="211"/>
  <c r="G474" i="140"/>
  <c r="E83" i="211"/>
  <c r="C471" i="195"/>
  <c r="G486" i="140"/>
  <c r="C483" i="195"/>
  <c r="E86" i="211"/>
  <c r="G490" i="140"/>
  <c r="E87" i="211"/>
  <c r="C487" i="195"/>
  <c r="C511"/>
  <c r="G514" i="140"/>
  <c r="G510"/>
  <c r="C507" i="195"/>
  <c r="C242"/>
  <c r="G245" i="140"/>
  <c r="D60" i="211"/>
  <c r="G269" i="140"/>
  <c r="C266" i="195"/>
  <c r="D66" i="211"/>
  <c r="G305" i="140"/>
  <c r="D76" i="211"/>
  <c r="C302" i="195"/>
  <c r="C318"/>
  <c r="G321" i="140"/>
  <c r="D80" i="211"/>
  <c r="G349" i="140"/>
  <c r="C346" i="195"/>
  <c r="D87" i="211"/>
  <c r="C374" i="195"/>
  <c r="G377" i="140"/>
  <c r="C246" i="195"/>
  <c r="G249" i="140"/>
  <c r="D62" i="211"/>
  <c r="C282" i="195"/>
  <c r="G285" i="140"/>
  <c r="D72" i="211"/>
  <c r="C298" i="195"/>
  <c r="G301" i="140"/>
  <c r="D75" i="211"/>
  <c r="G293" i="140"/>
  <c r="C290" i="195"/>
  <c r="D73" i="211"/>
  <c r="G289" i="140"/>
  <c r="C286" i="195"/>
  <c r="D71" i="211"/>
  <c r="G309" i="140"/>
  <c r="D77" i="211"/>
  <c r="C306" i="195"/>
  <c r="C330"/>
  <c r="G333" i="140"/>
  <c r="D83" i="211"/>
  <c r="G345" i="140"/>
  <c r="D86" i="211"/>
  <c r="C342" i="195"/>
  <c r="C354"/>
  <c r="G357" i="140"/>
  <c r="D89" i="211"/>
  <c r="G365" i="140"/>
  <c r="C362" i="195"/>
  <c r="C262"/>
  <c r="G265" i="140"/>
  <c r="D65" i="211"/>
  <c r="G277" i="140"/>
  <c r="C274" i="195"/>
  <c r="D68" i="211"/>
  <c r="C258" i="195"/>
  <c r="G261" i="140"/>
  <c r="D64" i="211"/>
  <c r="C270" i="195"/>
  <c r="G273" i="140"/>
  <c r="D67" i="211"/>
  <c r="C294" i="195"/>
  <c r="G297" i="140"/>
  <c r="D74" i="211"/>
  <c r="C278" i="195"/>
  <c r="G281" i="140"/>
  <c r="D69" i="211"/>
  <c r="G313" i="140"/>
  <c r="D78" i="211"/>
  <c r="C310" i="195"/>
  <c r="G317" i="140"/>
  <c r="D79" i="211"/>
  <c r="C314" i="195"/>
  <c r="C322"/>
  <c r="G325" i="140"/>
  <c r="D81" i="211"/>
  <c r="C334" i="195"/>
  <c r="G337" i="140"/>
  <c r="D84" i="211"/>
  <c r="G329" i="140"/>
  <c r="D82" i="211"/>
  <c r="C326" i="195"/>
  <c r="G341" i="140"/>
  <c r="C338" i="195"/>
  <c r="D85" i="211"/>
  <c r="G353" i="140"/>
  <c r="C350" i="195"/>
  <c r="D88" i="211"/>
  <c r="C358" i="195"/>
  <c r="G361" i="140"/>
  <c r="D90" i="211"/>
  <c r="G369" i="140"/>
  <c r="C366" i="195"/>
  <c r="G373" i="140"/>
  <c r="C370" i="195"/>
  <c r="M19" i="132"/>
  <c r="C9" i="195"/>
  <c r="G10" i="140"/>
  <c r="C21" i="195"/>
  <c r="C55" i="211"/>
  <c r="F55" s="1"/>
  <c r="G22" i="140"/>
  <c r="C33" i="195"/>
  <c r="C51" i="211"/>
  <c r="F51" s="1"/>
  <c r="O51" s="1"/>
  <c r="O93" s="1"/>
  <c r="C22" i="165" s="1"/>
  <c r="E37" i="139" s="1"/>
  <c r="G34" i="140"/>
  <c r="C69" i="195"/>
  <c r="G71" i="140"/>
  <c r="C63" i="211"/>
  <c r="F63" s="1"/>
  <c r="C101" i="195"/>
  <c r="G103" i="140"/>
  <c r="C70" i="211"/>
  <c r="F70" s="1"/>
  <c r="C117" i="195"/>
  <c r="G119" i="140"/>
  <c r="C74" i="211"/>
  <c r="C97" i="195"/>
  <c r="G99" i="140"/>
  <c r="C81" i="211"/>
  <c r="F81" s="1"/>
  <c r="C145" i="195"/>
  <c r="G147" i="140"/>
  <c r="C82" i="211"/>
  <c r="F82" s="1"/>
  <c r="C185" i="195"/>
  <c r="G195" i="140"/>
  <c r="C37" i="195"/>
  <c r="G39" i="140"/>
  <c r="C53" i="195"/>
  <c r="G55" i="140"/>
  <c r="C59" i="211"/>
  <c r="F59" s="1"/>
  <c r="C73" i="195"/>
  <c r="G75" i="140"/>
  <c r="C64" i="211"/>
  <c r="C85" i="195"/>
  <c r="C67" i="211"/>
  <c r="C89" i="195"/>
  <c r="G91" i="140"/>
  <c r="C68" i="211"/>
  <c r="C73"/>
  <c r="C113" i="195"/>
  <c r="G115" i="140"/>
  <c r="C125" i="195"/>
  <c r="C76" i="211"/>
  <c r="G127" i="140"/>
  <c r="C137" i="195"/>
  <c r="G139" i="140"/>
  <c r="C79" i="211"/>
  <c r="C161" i="195"/>
  <c r="G163" i="140"/>
  <c r="C86" i="211"/>
  <c r="C209" i="195"/>
  <c r="G183" i="140"/>
  <c r="C89" i="211"/>
  <c r="C173" i="195"/>
  <c r="G175" i="140"/>
  <c r="C153" i="195"/>
  <c r="G155" i="140"/>
  <c r="C84" i="211"/>
  <c r="C91"/>
  <c r="F91" s="1"/>
  <c r="C213" i="195"/>
  <c r="G187" i="140"/>
  <c r="C189" i="195"/>
  <c r="G199" i="140"/>
  <c r="C205" i="195"/>
  <c r="G215" i="140"/>
  <c r="C17" i="195"/>
  <c r="G18" i="140"/>
  <c r="C54" i="211"/>
  <c r="F54" s="1"/>
  <c r="C52"/>
  <c r="F52" s="1"/>
  <c r="P52" s="1"/>
  <c r="P93" s="1"/>
  <c r="C25" i="195"/>
  <c r="G26" i="140"/>
  <c r="C29" i="195"/>
  <c r="G30" i="140"/>
  <c r="C53" i="211"/>
  <c r="F53" s="1"/>
  <c r="R53" s="1"/>
  <c r="R93" s="1"/>
  <c r="C49" i="195"/>
  <c r="G51" i="140"/>
  <c r="C58" i="211"/>
  <c r="F58" s="1"/>
  <c r="C65" i="195"/>
  <c r="G67" i="140"/>
  <c r="C61" i="211"/>
  <c r="F61" s="1"/>
  <c r="C57" i="195"/>
  <c r="G59" i="140"/>
  <c r="C60" i="211"/>
  <c r="C77" i="195"/>
  <c r="G79" i="140"/>
  <c r="C65" i="211"/>
  <c r="C61" i="195"/>
  <c r="G63" i="140"/>
  <c r="C62" i="211"/>
  <c r="C81" i="195"/>
  <c r="G83" i="140"/>
  <c r="C66" i="211"/>
  <c r="C109" i="195"/>
  <c r="G111" i="140"/>
  <c r="C72" i="211"/>
  <c r="C105" i="195"/>
  <c r="C71" i="211"/>
  <c r="G107" i="140"/>
  <c r="C93" i="195"/>
  <c r="C69" i="211"/>
  <c r="G95" i="140"/>
  <c r="C129" i="195"/>
  <c r="G131" i="140"/>
  <c r="C77" i="211"/>
  <c r="C75"/>
  <c r="C121" i="195"/>
  <c r="G123" i="140"/>
  <c r="C78" i="211"/>
  <c r="C133" i="195"/>
  <c r="G135" i="140"/>
  <c r="C141" i="195"/>
  <c r="C80" i="211"/>
  <c r="G143" i="140"/>
  <c r="C165" i="195"/>
  <c r="C87" i="211"/>
  <c r="G167" i="140"/>
  <c r="C169" i="195"/>
  <c r="G171" i="140"/>
  <c r="C88" i="211"/>
  <c r="C177" i="195"/>
  <c r="G179" i="140"/>
  <c r="C90" i="211"/>
  <c r="C85"/>
  <c r="C157" i="195"/>
  <c r="G159" i="140"/>
  <c r="C149" i="195"/>
  <c r="C83" i="211"/>
  <c r="G151" i="140"/>
  <c r="C181" i="195"/>
  <c r="G191" i="140"/>
  <c r="C193" i="195"/>
  <c r="G203" i="140"/>
  <c r="M1867" i="132"/>
  <c r="C217" i="195"/>
  <c r="G219" i="140"/>
  <c r="L56" i="211"/>
  <c r="E19" i="250"/>
  <c r="F18"/>
  <c r="L18" s="1"/>
  <c r="E2785" i="214" s="1"/>
  <c r="F2785" s="1"/>
  <c r="E19" i="240"/>
  <c r="F18"/>
  <c r="L18" s="1"/>
  <c r="E1868" i="214" s="1"/>
  <c r="F1868" s="1"/>
  <c r="Q51" i="196"/>
  <c r="Q55" s="1"/>
  <c r="Q59" s="1"/>
  <c r="Q63" s="1"/>
  <c r="H464" i="216"/>
  <c r="H465" s="1"/>
  <c r="H372"/>
  <c r="G1839" i="214"/>
  <c r="H334" i="216"/>
  <c r="I429" i="215"/>
  <c r="I430" s="1"/>
  <c r="G1261" i="214"/>
  <c r="G1262" s="1"/>
  <c r="G1249"/>
  <c r="G1250" s="1"/>
  <c r="G1251" s="1"/>
  <c r="F1116"/>
  <c r="G1116"/>
  <c r="G1227"/>
  <c r="E1228"/>
  <c r="G1228" s="1"/>
  <c r="F1725"/>
  <c r="E1727"/>
  <c r="E1728" s="1"/>
  <c r="E1760"/>
  <c r="E1762" s="1"/>
  <c r="E1763" s="1"/>
  <c r="G1760"/>
  <c r="G1762" s="1"/>
  <c r="G1763" s="1"/>
  <c r="K883" i="194" s="1"/>
  <c r="F1760" i="214"/>
  <c r="F1762" s="1"/>
  <c r="F1763" s="1"/>
  <c r="K1420" i="192" s="1"/>
  <c r="F1710" i="214"/>
  <c r="E1712"/>
  <c r="E1713" s="1"/>
  <c r="E1774"/>
  <c r="E1776" s="1"/>
  <c r="E1777" s="1"/>
  <c r="G1774"/>
  <c r="G1776" s="1"/>
  <c r="G1777" s="1"/>
  <c r="K914" i="194" s="1"/>
  <c r="F1774" i="214"/>
  <c r="F1776" s="1"/>
  <c r="F1777" s="1"/>
  <c r="K1493" i="192" s="1"/>
  <c r="E209" i="309" l="1"/>
  <c r="F209" s="1"/>
  <c r="M229" i="310"/>
  <c r="M231" s="1"/>
  <c r="J10" i="140"/>
  <c r="O10" s="1"/>
  <c r="E41" i="309"/>
  <c r="F41" s="1"/>
  <c r="O41" s="1"/>
  <c r="J231"/>
  <c r="O231" s="1"/>
  <c r="F23" i="165"/>
  <c r="E90" i="139"/>
  <c r="G2221" i="214"/>
  <c r="E2223" s="1"/>
  <c r="E2227" s="1"/>
  <c r="G3121"/>
  <c r="E3123" s="1"/>
  <c r="E520" i="309"/>
  <c r="F520" s="1"/>
  <c r="O520" s="1"/>
  <c r="J618"/>
  <c r="O618" s="1"/>
  <c r="J40"/>
  <c r="O40" s="1"/>
  <c r="E184"/>
  <c r="F184" s="1"/>
  <c r="O184" s="1"/>
  <c r="E191" i="195"/>
  <c r="F191" s="1"/>
  <c r="J191" s="1"/>
  <c r="M1534" i="132"/>
  <c r="I200" i="140"/>
  <c r="J200" s="1"/>
  <c r="O200" s="1"/>
  <c r="J185" i="309"/>
  <c r="O185" s="1"/>
  <c r="I204" i="140"/>
  <c r="J204" s="1"/>
  <c r="O204" s="1"/>
  <c r="F199" i="305"/>
  <c r="G199" s="1"/>
  <c r="I39" i="309"/>
  <c r="J39" s="1"/>
  <c r="E217"/>
  <c r="F217" s="1"/>
  <c r="O217" s="1"/>
  <c r="I192" i="140"/>
  <c r="J192" s="1"/>
  <c r="O192" s="1"/>
  <c r="E195" i="195"/>
  <c r="F195" s="1"/>
  <c r="J195" s="1"/>
  <c r="I569" i="309"/>
  <c r="J569" s="1"/>
  <c r="F38" i="305"/>
  <c r="G38" s="1"/>
  <c r="E37" i="195"/>
  <c r="F37" s="1"/>
  <c r="J37" s="1"/>
  <c r="M1597" i="132"/>
  <c r="M1828"/>
  <c r="I569" i="140"/>
  <c r="J569" s="1"/>
  <c r="O569" s="1"/>
  <c r="F567" i="305"/>
  <c r="G567" s="1"/>
  <c r="I205" i="309"/>
  <c r="E205" s="1"/>
  <c r="F205" s="1"/>
  <c r="M269" i="132"/>
  <c r="I192" i="309"/>
  <c r="J192" s="1"/>
  <c r="F204" i="305"/>
  <c r="G204" s="1"/>
  <c r="F32"/>
  <c r="G32" s="1"/>
  <c r="E186" i="195"/>
  <c r="F186" s="1"/>
  <c r="J186" s="1"/>
  <c r="M1665" i="132"/>
  <c r="E183" i="195"/>
  <c r="F183" s="1"/>
  <c r="J183" s="1"/>
  <c r="I196" i="309"/>
  <c r="J196" s="1"/>
  <c r="I193"/>
  <c r="E193" s="1"/>
  <c r="F193" s="1"/>
  <c r="E197" i="195"/>
  <c r="F197" s="1"/>
  <c r="J197" s="1"/>
  <c r="J862" i="309"/>
  <c r="O862" s="1"/>
  <c r="I27"/>
  <c r="J27" s="1"/>
  <c r="J219" i="140"/>
  <c r="O219" s="1"/>
  <c r="E187" i="195"/>
  <c r="F187" s="1"/>
  <c r="J187" s="1"/>
  <c r="I753" i="309"/>
  <c r="E753" s="1"/>
  <c r="F753" s="1"/>
  <c r="M1688" i="132"/>
  <c r="E26" i="195"/>
  <c r="F26" s="1"/>
  <c r="J26" s="1"/>
  <c r="E205"/>
  <c r="F205" s="1"/>
  <c r="J205" s="1"/>
  <c r="I614" i="140"/>
  <c r="J614" s="1"/>
  <c r="O614" s="1"/>
  <c r="I614" i="309"/>
  <c r="E614" s="1"/>
  <c r="F614" s="1"/>
  <c r="I197"/>
  <c r="J197" s="1"/>
  <c r="I215"/>
  <c r="J215" s="1"/>
  <c r="I183" i="140"/>
  <c r="J183" s="1"/>
  <c r="O183" s="1"/>
  <c r="E190" i="195"/>
  <c r="F190" s="1"/>
  <c r="J190" s="1"/>
  <c r="M1756" i="132"/>
  <c r="E194" i="195"/>
  <c r="F194" s="1"/>
  <c r="J194" s="1"/>
  <c r="E216" i="309"/>
  <c r="F216" s="1"/>
  <c r="O216" s="1"/>
  <c r="I201"/>
  <c r="J201" s="1"/>
  <c r="E209" i="195"/>
  <c r="F209" s="1"/>
  <c r="J209" s="1"/>
  <c r="M1749" i="132"/>
  <c r="M1821"/>
  <c r="F206" i="305"/>
  <c r="G206" s="1"/>
  <c r="F200"/>
  <c r="G200" s="1"/>
  <c r="I204" i="309"/>
  <c r="J204" s="1"/>
  <c r="E182" i="195"/>
  <c r="F182" s="1"/>
  <c r="J182" s="1"/>
  <c r="M206" i="132"/>
  <c r="F31" i="305"/>
  <c r="G31" s="1"/>
  <c r="E566" i="195"/>
  <c r="F566" s="1"/>
  <c r="J566" s="1"/>
  <c r="I32" i="140"/>
  <c r="J32" s="1"/>
  <c r="O32" s="1"/>
  <c r="E31" i="195"/>
  <c r="F31" s="1"/>
  <c r="J31" s="1"/>
  <c r="F24" i="165"/>
  <c r="G3138" i="214"/>
  <c r="E3140" s="1"/>
  <c r="F3140" s="1"/>
  <c r="I207" i="309"/>
  <c r="E207" s="1"/>
  <c r="F207" s="1"/>
  <c r="M212" i="132"/>
  <c r="O211" i="309"/>
  <c r="M1844" i="132"/>
  <c r="I215" i="140"/>
  <c r="J215" s="1"/>
  <c r="O215" s="1"/>
  <c r="I207"/>
  <c r="J207" s="1"/>
  <c r="O207" s="1"/>
  <c r="I196"/>
  <c r="J196" s="1"/>
  <c r="O196" s="1"/>
  <c r="I197"/>
  <c r="J197" s="1"/>
  <c r="O197" s="1"/>
  <c r="I193"/>
  <c r="J193" s="1"/>
  <c r="O193" s="1"/>
  <c r="M1604" i="132"/>
  <c r="E30" i="195"/>
  <c r="F30" s="1"/>
  <c r="J30" s="1"/>
  <c r="M182" i="132"/>
  <c r="I27" i="140"/>
  <c r="J27" s="1"/>
  <c r="O27" s="1"/>
  <c r="I753"/>
  <c r="J753" s="1"/>
  <c r="O753" s="1"/>
  <c r="F746" i="305"/>
  <c r="G746" s="1"/>
  <c r="I31" i="140"/>
  <c r="J31" s="1"/>
  <c r="O31" s="1"/>
  <c r="E610" i="195"/>
  <c r="F610" s="1"/>
  <c r="J610" s="1"/>
  <c r="E743"/>
  <c r="F743" s="1"/>
  <c r="J743" s="1"/>
  <c r="F612" i="305"/>
  <c r="G612" s="1"/>
  <c r="K2144" i="132"/>
  <c r="M2144" s="1"/>
  <c r="K2182"/>
  <c r="M2182" s="1"/>
  <c r="K1796"/>
  <c r="I203" i="309" s="1"/>
  <c r="K1647" i="132"/>
  <c r="I195" i="309" s="1"/>
  <c r="K248" i="132"/>
  <c r="F36" i="305" s="1"/>
  <c r="G36" s="1"/>
  <c r="K242" i="132"/>
  <c r="I35" i="309" s="1"/>
  <c r="K1590" i="132"/>
  <c r="I191" i="309" s="1"/>
  <c r="K1731" i="132"/>
  <c r="I199" i="309" s="1"/>
  <c r="I848" i="140"/>
  <c r="J848" s="1"/>
  <c r="O848" s="1"/>
  <c r="I788"/>
  <c r="J788" s="1"/>
  <c r="O788" s="1"/>
  <c r="I856"/>
  <c r="J856" s="1"/>
  <c r="O856" s="1"/>
  <c r="J617" i="309"/>
  <c r="O617" s="1"/>
  <c r="E850" i="195"/>
  <c r="F850" s="1"/>
  <c r="J850" s="1"/>
  <c r="E798"/>
  <c r="F798" s="1"/>
  <c r="J798" s="1"/>
  <c r="E31" i="309"/>
  <c r="F31" s="1"/>
  <c r="O31" s="1"/>
  <c r="E32"/>
  <c r="F32" s="1"/>
  <c r="O32" s="1"/>
  <c r="E778" i="195"/>
  <c r="F778" s="1"/>
  <c r="J778" s="1"/>
  <c r="I547" i="140"/>
  <c r="J547" s="1"/>
  <c r="O547" s="1"/>
  <c r="I544"/>
  <c r="J544" s="1"/>
  <c r="O544" s="1"/>
  <c r="F566" i="305"/>
  <c r="G566" s="1"/>
  <c r="F676"/>
  <c r="G676" s="1"/>
  <c r="F708"/>
  <c r="J708" s="1"/>
  <c r="F547"/>
  <c r="G547" s="1"/>
  <c r="F833"/>
  <c r="G833" s="1"/>
  <c r="I373" i="309"/>
  <c r="J373" s="1"/>
  <c r="M2394" i="132"/>
  <c r="M2272"/>
  <c r="I514" i="309"/>
  <c r="J514" s="1"/>
  <c r="M2533" i="132"/>
  <c r="M2252"/>
  <c r="M2402"/>
  <c r="E866" i="195"/>
  <c r="F866" s="1"/>
  <c r="J866" s="1"/>
  <c r="E870"/>
  <c r="F870" s="1"/>
  <c r="J870" s="1"/>
  <c r="E886"/>
  <c r="F886" s="1"/>
  <c r="J886" s="1"/>
  <c r="E834"/>
  <c r="F834" s="1"/>
  <c r="J834" s="1"/>
  <c r="I592" i="140"/>
  <c r="J592" s="1"/>
  <c r="O592" s="1"/>
  <c r="F873" i="305"/>
  <c r="J873" s="1"/>
  <c r="F795"/>
  <c r="G795" s="1"/>
  <c r="F801"/>
  <c r="G801" s="1"/>
  <c r="I872" i="140"/>
  <c r="J872" s="1"/>
  <c r="O872" s="1"/>
  <c r="E790" i="195"/>
  <c r="F790" s="1"/>
  <c r="J790" s="1"/>
  <c r="I780" i="140"/>
  <c r="J780" s="1"/>
  <c r="O780" s="1"/>
  <c r="E605" i="195"/>
  <c r="F605" s="1"/>
  <c r="J605" s="1"/>
  <c r="F841" i="305"/>
  <c r="G841" s="1"/>
  <c r="I802" i="140"/>
  <c r="J802" s="1"/>
  <c r="O802" s="1"/>
  <c r="I610"/>
  <c r="J610" s="1"/>
  <c r="O610" s="1"/>
  <c r="F853" i="305"/>
  <c r="G853" s="1"/>
  <c r="F889"/>
  <c r="G889" s="1"/>
  <c r="F837"/>
  <c r="G837" s="1"/>
  <c r="S69" i="310"/>
  <c r="S93" s="1"/>
  <c r="S229" s="1"/>
  <c r="S230" s="1"/>
  <c r="N69"/>
  <c r="N93" s="1"/>
  <c r="N229" s="1"/>
  <c r="N231" s="1"/>
  <c r="E874" i="195"/>
  <c r="F874" s="1"/>
  <c r="J874" s="1"/>
  <c r="I748" i="140"/>
  <c r="J748" s="1"/>
  <c r="O748" s="1"/>
  <c r="I908"/>
  <c r="J908" s="1"/>
  <c r="O908" s="1"/>
  <c r="I904"/>
  <c r="J904" s="1"/>
  <c r="O904" s="1"/>
  <c r="I796"/>
  <c r="J796" s="1"/>
  <c r="O796" s="1"/>
  <c r="I559"/>
  <c r="J559" s="1"/>
  <c r="O559" s="1"/>
  <c r="E545" i="195"/>
  <c r="F545" s="1"/>
  <c r="J545" s="1"/>
  <c r="F901" i="305"/>
  <c r="G901" s="1"/>
  <c r="F865"/>
  <c r="J865" s="1"/>
  <c r="F747"/>
  <c r="G747" s="1"/>
  <c r="F529"/>
  <c r="G529" s="1"/>
  <c r="F549"/>
  <c r="G549" s="1"/>
  <c r="I884" i="140"/>
  <c r="J884" s="1"/>
  <c r="O884" s="1"/>
  <c r="E738" i="195"/>
  <c r="F738" s="1"/>
  <c r="J738" s="1"/>
  <c r="E774"/>
  <c r="F774" s="1"/>
  <c r="J774" s="1"/>
  <c r="E898"/>
  <c r="F898" s="1"/>
  <c r="J898" s="1"/>
  <c r="E862"/>
  <c r="F862" s="1"/>
  <c r="J862" s="1"/>
  <c r="I804" i="140"/>
  <c r="J804" s="1"/>
  <c r="O804" s="1"/>
  <c r="E822" i="195"/>
  <c r="F822" s="1"/>
  <c r="J822" s="1"/>
  <c r="E894"/>
  <c r="F894" s="1"/>
  <c r="J894" s="1"/>
  <c r="E838"/>
  <c r="F838" s="1"/>
  <c r="J838" s="1"/>
  <c r="I792" i="140"/>
  <c r="J792" s="1"/>
  <c r="O792" s="1"/>
  <c r="E846" i="195"/>
  <c r="F846" s="1"/>
  <c r="J846" s="1"/>
  <c r="E782"/>
  <c r="F782" s="1"/>
  <c r="J782" s="1"/>
  <c r="E556"/>
  <c r="F556" s="1"/>
  <c r="J556" s="1"/>
  <c r="I531" i="140"/>
  <c r="J531" s="1"/>
  <c r="O531" s="1"/>
  <c r="E548" i="195"/>
  <c r="F548" s="1"/>
  <c r="J548" s="1"/>
  <c r="I551" i="140"/>
  <c r="J551" s="1"/>
  <c r="O551" s="1"/>
  <c r="I568"/>
  <c r="J568" s="1"/>
  <c r="O568" s="1"/>
  <c r="I754"/>
  <c r="J754" s="1"/>
  <c r="O754" s="1"/>
  <c r="E744" i="195"/>
  <c r="F744" s="1"/>
  <c r="J744" s="1"/>
  <c r="F897" i="305"/>
  <c r="G897" s="1"/>
  <c r="F785"/>
  <c r="G785" s="1"/>
  <c r="F797"/>
  <c r="G797" s="1"/>
  <c r="F773"/>
  <c r="G773" s="1"/>
  <c r="F877"/>
  <c r="G877" s="1"/>
  <c r="F741"/>
  <c r="G741" s="1"/>
  <c r="F781"/>
  <c r="G781" s="1"/>
  <c r="F849"/>
  <c r="G849" s="1"/>
  <c r="F789"/>
  <c r="G789" s="1"/>
  <c r="F557"/>
  <c r="G557" s="1"/>
  <c r="F545"/>
  <c r="G545" s="1"/>
  <c r="E830" i="195"/>
  <c r="F830" s="1"/>
  <c r="J830" s="1"/>
  <c r="E766"/>
  <c r="F766" s="1"/>
  <c r="J766" s="1"/>
  <c r="E858"/>
  <c r="F858" s="1"/>
  <c r="J858" s="1"/>
  <c r="E818"/>
  <c r="F818" s="1"/>
  <c r="J818" s="1"/>
  <c r="E794"/>
  <c r="F794" s="1"/>
  <c r="J794" s="1"/>
  <c r="I604" i="140"/>
  <c r="J604" s="1"/>
  <c r="O604" s="1"/>
  <c r="E609" i="195"/>
  <c r="F609" s="1"/>
  <c r="J609" s="1"/>
  <c r="I801" i="140"/>
  <c r="J801" s="1"/>
  <c r="O801" s="1"/>
  <c r="E606" i="195"/>
  <c r="F606" s="1"/>
  <c r="J606" s="1"/>
  <c r="F794" i="305"/>
  <c r="G794" s="1"/>
  <c r="F602"/>
  <c r="G602" s="1"/>
  <c r="I860" i="140"/>
  <c r="J860" s="1"/>
  <c r="O860" s="1"/>
  <c r="I840"/>
  <c r="J840" s="1"/>
  <c r="O840" s="1"/>
  <c r="I812"/>
  <c r="J812" s="1"/>
  <c r="O812" s="1"/>
  <c r="I776"/>
  <c r="J776" s="1"/>
  <c r="O776" s="1"/>
  <c r="I880"/>
  <c r="J880" s="1"/>
  <c r="O880" s="1"/>
  <c r="I868"/>
  <c r="J868" s="1"/>
  <c r="O868" s="1"/>
  <c r="I876"/>
  <c r="J876" s="1"/>
  <c r="O876" s="1"/>
  <c r="I832"/>
  <c r="J832" s="1"/>
  <c r="O832" s="1"/>
  <c r="I896"/>
  <c r="J896" s="1"/>
  <c r="O896" s="1"/>
  <c r="I808"/>
  <c r="J808" s="1"/>
  <c r="O808" s="1"/>
  <c r="I844"/>
  <c r="J844" s="1"/>
  <c r="O844" s="1"/>
  <c r="I563"/>
  <c r="J563" s="1"/>
  <c r="O563" s="1"/>
  <c r="E600" i="195"/>
  <c r="F600" s="1"/>
  <c r="J600" s="1"/>
  <c r="I613" i="140"/>
  <c r="J613" s="1"/>
  <c r="O613" s="1"/>
  <c r="E537" i="195"/>
  <c r="F537" s="1"/>
  <c r="J537" s="1"/>
  <c r="I532" i="140"/>
  <c r="J532" s="1"/>
  <c r="O532" s="1"/>
  <c r="E787" i="195"/>
  <c r="F787" s="1"/>
  <c r="J787" s="1"/>
  <c r="E788"/>
  <c r="F788" s="1"/>
  <c r="J788" s="1"/>
  <c r="I561" i="140"/>
  <c r="J561" s="1"/>
  <c r="O561" s="1"/>
  <c r="F861" i="305"/>
  <c r="G861" s="1"/>
  <c r="F869"/>
  <c r="G869" s="1"/>
  <c r="F825"/>
  <c r="G825" s="1"/>
  <c r="F805"/>
  <c r="J805" s="1"/>
  <c r="F769"/>
  <c r="G769" s="1"/>
  <c r="F611"/>
  <c r="G611" s="1"/>
  <c r="F608"/>
  <c r="G608" s="1"/>
  <c r="O655" i="309"/>
  <c r="O651"/>
  <c r="O626"/>
  <c r="O699"/>
  <c r="O715"/>
  <c r="O723"/>
  <c r="G38" i="139"/>
  <c r="G39"/>
  <c r="O743" i="309"/>
  <c r="O656"/>
  <c r="O652"/>
  <c r="O627"/>
  <c r="O700"/>
  <c r="O716"/>
  <c r="O724"/>
  <c r="O744"/>
  <c r="O659"/>
  <c r="O769"/>
  <c r="O825"/>
  <c r="O901"/>
  <c r="O889"/>
  <c r="O786"/>
  <c r="O826"/>
  <c r="O766"/>
  <c r="E532" i="195"/>
  <c r="F532" s="1"/>
  <c r="J532" s="1"/>
  <c r="E588"/>
  <c r="F588" s="1"/>
  <c r="J588" s="1"/>
  <c r="E560"/>
  <c r="F560" s="1"/>
  <c r="J560" s="1"/>
  <c r="E528"/>
  <c r="F528" s="1"/>
  <c r="J528" s="1"/>
  <c r="I616" i="140"/>
  <c r="J616" s="1"/>
  <c r="O616" s="1"/>
  <c r="I609"/>
  <c r="J609" s="1"/>
  <c r="O609" s="1"/>
  <c r="I536"/>
  <c r="J536" s="1"/>
  <c r="O536" s="1"/>
  <c r="E533" i="195"/>
  <c r="F533" s="1"/>
  <c r="J533" s="1"/>
  <c r="E558"/>
  <c r="F558" s="1"/>
  <c r="J558" s="1"/>
  <c r="E565"/>
  <c r="F565" s="1"/>
  <c r="J565" s="1"/>
  <c r="F614" i="305"/>
  <c r="G614" s="1"/>
  <c r="F607"/>
  <c r="G607" s="1"/>
  <c r="F559"/>
  <c r="G559" s="1"/>
  <c r="F534"/>
  <c r="G534" s="1"/>
  <c r="F561"/>
  <c r="G561" s="1"/>
  <c r="F590"/>
  <c r="G590" s="1"/>
  <c r="F688"/>
  <c r="G688" s="1"/>
  <c r="F668"/>
  <c r="G668" s="1"/>
  <c r="I549" i="140"/>
  <c r="J549" s="1"/>
  <c r="O549" s="1"/>
  <c r="E550" i="195"/>
  <c r="F550" s="1"/>
  <c r="J550" s="1"/>
  <c r="I549" i="309"/>
  <c r="I561"/>
  <c r="I568"/>
  <c r="I536"/>
  <c r="I551"/>
  <c r="I592"/>
  <c r="I531"/>
  <c r="O684"/>
  <c r="O663"/>
  <c r="O634"/>
  <c r="O643"/>
  <c r="O707"/>
  <c r="O719"/>
  <c r="O731"/>
  <c r="O685"/>
  <c r="O664"/>
  <c r="O635"/>
  <c r="O644"/>
  <c r="O708"/>
  <c r="O720"/>
  <c r="O732"/>
  <c r="O676"/>
  <c r="O667"/>
  <c r="O630"/>
  <c r="O703"/>
  <c r="O735"/>
  <c r="O739"/>
  <c r="O677"/>
  <c r="O668"/>
  <c r="O647"/>
  <c r="O638"/>
  <c r="O711"/>
  <c r="O727"/>
  <c r="O688"/>
  <c r="O631"/>
  <c r="O704"/>
  <c r="O660"/>
  <c r="O648"/>
  <c r="O639"/>
  <c r="O712"/>
  <c r="O728"/>
  <c r="O689"/>
  <c r="O573"/>
  <c r="O574"/>
  <c r="O578"/>
  <c r="O581"/>
  <c r="O736"/>
  <c r="O740"/>
  <c r="O854"/>
  <c r="O757"/>
  <c r="O773"/>
  <c r="O821"/>
  <c r="O853"/>
  <c r="O762"/>
  <c r="O818"/>
  <c r="O902"/>
  <c r="O890"/>
  <c r="I754"/>
  <c r="I801"/>
  <c r="I908"/>
  <c r="I776"/>
  <c r="I884"/>
  <c r="I860"/>
  <c r="I748"/>
  <c r="I840"/>
  <c r="I788"/>
  <c r="I896"/>
  <c r="I856"/>
  <c r="I808"/>
  <c r="I796"/>
  <c r="I880"/>
  <c r="I780"/>
  <c r="I802"/>
  <c r="I904"/>
  <c r="I868"/>
  <c r="I848"/>
  <c r="I876"/>
  <c r="I792"/>
  <c r="I832"/>
  <c r="I872"/>
  <c r="I812"/>
  <c r="I804"/>
  <c r="I844"/>
  <c r="O861"/>
  <c r="J852"/>
  <c r="E852"/>
  <c r="F852" s="1"/>
  <c r="J820"/>
  <c r="E820"/>
  <c r="F820" s="1"/>
  <c r="J768"/>
  <c r="E768"/>
  <c r="F768" s="1"/>
  <c r="J782"/>
  <c r="E782"/>
  <c r="F782" s="1"/>
  <c r="J882"/>
  <c r="E882"/>
  <c r="F882" s="1"/>
  <c r="J809"/>
  <c r="E809"/>
  <c r="F809" s="1"/>
  <c r="J897"/>
  <c r="E897"/>
  <c r="F897" s="1"/>
  <c r="E810"/>
  <c r="F810" s="1"/>
  <c r="J810"/>
  <c r="E898"/>
  <c r="F898" s="1"/>
  <c r="J898"/>
  <c r="E869"/>
  <c r="F869" s="1"/>
  <c r="J869"/>
  <c r="E750"/>
  <c r="F750" s="1"/>
  <c r="J750"/>
  <c r="E906"/>
  <c r="F906" s="1"/>
  <c r="J906"/>
  <c r="E793"/>
  <c r="F793" s="1"/>
  <c r="J793"/>
  <c r="E790"/>
  <c r="F790" s="1"/>
  <c r="J790"/>
  <c r="E888"/>
  <c r="F888" s="1"/>
  <c r="J888"/>
  <c r="E900"/>
  <c r="F900" s="1"/>
  <c r="J900"/>
  <c r="E824"/>
  <c r="F824" s="1"/>
  <c r="J824"/>
  <c r="E772"/>
  <c r="F772" s="1"/>
  <c r="J772"/>
  <c r="E756"/>
  <c r="F756" s="1"/>
  <c r="J756"/>
  <c r="E845"/>
  <c r="F845" s="1"/>
  <c r="J845"/>
  <c r="E777"/>
  <c r="F777" s="1"/>
  <c r="J777"/>
  <c r="E813"/>
  <c r="F813" s="1"/>
  <c r="J813"/>
  <c r="J778"/>
  <c r="E778"/>
  <c r="F778" s="1"/>
  <c r="J814"/>
  <c r="E814"/>
  <c r="F814" s="1"/>
  <c r="J910"/>
  <c r="E910"/>
  <c r="F910" s="1"/>
  <c r="J885"/>
  <c r="E885"/>
  <c r="F885" s="1"/>
  <c r="J850"/>
  <c r="E850"/>
  <c r="F850" s="1"/>
  <c r="J789"/>
  <c r="E789"/>
  <c r="F789" s="1"/>
  <c r="J834"/>
  <c r="E834"/>
  <c r="F834" s="1"/>
  <c r="J878"/>
  <c r="E878"/>
  <c r="F878" s="1"/>
  <c r="K3413" i="132"/>
  <c r="M3413" s="1"/>
  <c r="J892" i="309"/>
  <c r="E892"/>
  <c r="F892" s="1"/>
  <c r="J828"/>
  <c r="E828"/>
  <c r="F828" s="1"/>
  <c r="J784"/>
  <c r="E784"/>
  <c r="F784" s="1"/>
  <c r="J760"/>
  <c r="E760"/>
  <c r="F760" s="1"/>
  <c r="J881"/>
  <c r="E881"/>
  <c r="F881" s="1"/>
  <c r="J797"/>
  <c r="E797"/>
  <c r="F797" s="1"/>
  <c r="J857"/>
  <c r="E857"/>
  <c r="F857" s="1"/>
  <c r="E798"/>
  <c r="F798" s="1"/>
  <c r="J798"/>
  <c r="E858"/>
  <c r="F858" s="1"/>
  <c r="J858"/>
  <c r="E749"/>
  <c r="F749" s="1"/>
  <c r="J749"/>
  <c r="E905"/>
  <c r="F905" s="1"/>
  <c r="J905"/>
  <c r="E870"/>
  <c r="F870" s="1"/>
  <c r="J870"/>
  <c r="E833"/>
  <c r="F833" s="1"/>
  <c r="J833"/>
  <c r="E877"/>
  <c r="F877" s="1"/>
  <c r="J877"/>
  <c r="E842"/>
  <c r="F842" s="1"/>
  <c r="J842"/>
  <c r="E864"/>
  <c r="F864" s="1"/>
  <c r="J864"/>
  <c r="E836"/>
  <c r="F836" s="1"/>
  <c r="J836"/>
  <c r="E816"/>
  <c r="F816" s="1"/>
  <c r="J816"/>
  <c r="E764"/>
  <c r="F764" s="1"/>
  <c r="J764"/>
  <c r="E781"/>
  <c r="F781" s="1"/>
  <c r="J781"/>
  <c r="E846"/>
  <c r="F846" s="1"/>
  <c r="J846"/>
  <c r="E805"/>
  <c r="F805" s="1"/>
  <c r="J805"/>
  <c r="E873"/>
  <c r="F873" s="1"/>
  <c r="J873"/>
  <c r="J806"/>
  <c r="E806"/>
  <c r="F806" s="1"/>
  <c r="J874"/>
  <c r="E874"/>
  <c r="F874" s="1"/>
  <c r="J849"/>
  <c r="E849"/>
  <c r="F849" s="1"/>
  <c r="E909"/>
  <c r="F909" s="1"/>
  <c r="J909"/>
  <c r="J886"/>
  <c r="E886"/>
  <c r="F886" s="1"/>
  <c r="J841"/>
  <c r="E841"/>
  <c r="F841" s="1"/>
  <c r="J794"/>
  <c r="E794"/>
  <c r="F794" s="1"/>
  <c r="O761"/>
  <c r="O817"/>
  <c r="O837"/>
  <c r="O865"/>
  <c r="O758"/>
  <c r="O774"/>
  <c r="O822"/>
  <c r="O838"/>
  <c r="O894"/>
  <c r="O765"/>
  <c r="O785"/>
  <c r="O829"/>
  <c r="O893"/>
  <c r="O770"/>
  <c r="O830"/>
  <c r="O866"/>
  <c r="J738"/>
  <c r="E738"/>
  <c r="F738" s="1"/>
  <c r="J734"/>
  <c r="E734"/>
  <c r="F734" s="1"/>
  <c r="J702"/>
  <c r="E702"/>
  <c r="F702" s="1"/>
  <c r="J629"/>
  <c r="E629"/>
  <c r="F629" s="1"/>
  <c r="J666"/>
  <c r="E666"/>
  <c r="F666" s="1"/>
  <c r="J675"/>
  <c r="E675"/>
  <c r="F675" s="1"/>
  <c r="E681"/>
  <c r="F681" s="1"/>
  <c r="J681"/>
  <c r="E742"/>
  <c r="F742" s="1"/>
  <c r="J742"/>
  <c r="E722"/>
  <c r="F722" s="1"/>
  <c r="J722"/>
  <c r="E706"/>
  <c r="F706" s="1"/>
  <c r="J706"/>
  <c r="E642"/>
  <c r="F642" s="1"/>
  <c r="J642"/>
  <c r="E633"/>
  <c r="F633" s="1"/>
  <c r="J633"/>
  <c r="E662"/>
  <c r="F662" s="1"/>
  <c r="J662"/>
  <c r="E683"/>
  <c r="F683" s="1"/>
  <c r="J683"/>
  <c r="J680"/>
  <c r="E680"/>
  <c r="F680" s="1"/>
  <c r="I671"/>
  <c r="I714"/>
  <c r="I692"/>
  <c r="I679"/>
  <c r="J687"/>
  <c r="E687"/>
  <c r="F687" s="1"/>
  <c r="J726"/>
  <c r="E726"/>
  <c r="F726" s="1"/>
  <c r="J710"/>
  <c r="E710"/>
  <c r="F710" s="1"/>
  <c r="J637"/>
  <c r="E637"/>
  <c r="F637" s="1"/>
  <c r="J646"/>
  <c r="E646"/>
  <c r="F646" s="1"/>
  <c r="J658"/>
  <c r="E658"/>
  <c r="F658" s="1"/>
  <c r="E672"/>
  <c r="F672" s="1"/>
  <c r="J672"/>
  <c r="E673"/>
  <c r="F673" s="1"/>
  <c r="J673"/>
  <c r="E730"/>
  <c r="F730" s="1"/>
  <c r="J730"/>
  <c r="E718"/>
  <c r="F718" s="1"/>
  <c r="J718"/>
  <c r="E698"/>
  <c r="F698" s="1"/>
  <c r="J698"/>
  <c r="E625"/>
  <c r="F625" s="1"/>
  <c r="J625"/>
  <c r="E650"/>
  <c r="F650" s="1"/>
  <c r="J650"/>
  <c r="E654"/>
  <c r="F654" s="1"/>
  <c r="J654"/>
  <c r="J694"/>
  <c r="E694"/>
  <c r="F694" s="1"/>
  <c r="K2206" i="132"/>
  <c r="M2206" s="1"/>
  <c r="K2164"/>
  <c r="M2164" s="1"/>
  <c r="K2174"/>
  <c r="M2174" s="1"/>
  <c r="K2501"/>
  <c r="M2501" s="1"/>
  <c r="K2169"/>
  <c r="M2169" s="1"/>
  <c r="E584" i="309"/>
  <c r="F584" s="1"/>
  <c r="J584"/>
  <c r="J545"/>
  <c r="E545"/>
  <c r="F545" s="1"/>
  <c r="J533"/>
  <c r="E533"/>
  <c r="F533" s="1"/>
  <c r="J564"/>
  <c r="E564"/>
  <c r="F564" s="1"/>
  <c r="J593"/>
  <c r="E593"/>
  <c r="F593" s="1"/>
  <c r="J576"/>
  <c r="E576"/>
  <c r="F576" s="1"/>
  <c r="E552"/>
  <c r="F552" s="1"/>
  <c r="J552"/>
  <c r="E553"/>
  <c r="F553" s="1"/>
  <c r="J553"/>
  <c r="E557"/>
  <c r="F557" s="1"/>
  <c r="J557"/>
  <c r="E548"/>
  <c r="F548" s="1"/>
  <c r="J548"/>
  <c r="E529"/>
  <c r="F529" s="1"/>
  <c r="J529"/>
  <c r="F542" i="305"/>
  <c r="G542" s="1"/>
  <c r="F530"/>
  <c r="G530" s="1"/>
  <c r="O585" i="309"/>
  <c r="O586"/>
  <c r="O577"/>
  <c r="O582"/>
  <c r="I544"/>
  <c r="I532"/>
  <c r="I559"/>
  <c r="I563"/>
  <c r="I547"/>
  <c r="K2367" i="132"/>
  <c r="M2367" s="1"/>
  <c r="E572" i="309"/>
  <c r="F572" s="1"/>
  <c r="J572"/>
  <c r="J540"/>
  <c r="E540"/>
  <c r="F540" s="1"/>
  <c r="J565"/>
  <c r="E565"/>
  <c r="F565" s="1"/>
  <c r="J594"/>
  <c r="E594"/>
  <c r="F594" s="1"/>
  <c r="J580"/>
  <c r="E580"/>
  <c r="F580" s="1"/>
  <c r="E537"/>
  <c r="F537" s="1"/>
  <c r="J537"/>
  <c r="E560"/>
  <c r="F560" s="1"/>
  <c r="J560"/>
  <c r="E556"/>
  <c r="F556" s="1"/>
  <c r="J556"/>
  <c r="E528"/>
  <c r="F528" s="1"/>
  <c r="J528"/>
  <c r="E541"/>
  <c r="F541" s="1"/>
  <c r="J541"/>
  <c r="K2267" i="132"/>
  <c r="E606" i="309"/>
  <c r="F606" s="1"/>
  <c r="J606"/>
  <c r="O622"/>
  <c r="I610"/>
  <c r="I609"/>
  <c r="I604"/>
  <c r="I616"/>
  <c r="O621"/>
  <c r="I613"/>
  <c r="K2259" i="132"/>
  <c r="K2377"/>
  <c r="I597" i="140" s="1"/>
  <c r="J597" s="1"/>
  <c r="O597" s="1"/>
  <c r="K2511" i="132"/>
  <c r="E605" i="309"/>
  <c r="F605" s="1"/>
  <c r="J605"/>
  <c r="E620"/>
  <c r="F620" s="1"/>
  <c r="J620"/>
  <c r="O693"/>
  <c r="S122" i="211"/>
  <c r="N122"/>
  <c r="S159"/>
  <c r="N159"/>
  <c r="S113"/>
  <c r="N113"/>
  <c r="S158"/>
  <c r="N158"/>
  <c r="S121"/>
  <c r="N121"/>
  <c r="F368" i="305"/>
  <c r="G368" s="1"/>
  <c r="I370" i="309"/>
  <c r="F506" i="305"/>
  <c r="G506" s="1"/>
  <c r="I508" i="309"/>
  <c r="F375" i="305"/>
  <c r="G375" s="1"/>
  <c r="I377" i="309"/>
  <c r="E514"/>
  <c r="F514" s="1"/>
  <c r="F509" i="305"/>
  <c r="G509" s="1"/>
  <c r="I511" i="309"/>
  <c r="F505" i="305"/>
  <c r="G505" s="1"/>
  <c r="I507" i="309"/>
  <c r="F369" i="305"/>
  <c r="G369" s="1"/>
  <c r="I371" i="309"/>
  <c r="F365" i="305"/>
  <c r="G365" s="1"/>
  <c r="I367" i="309"/>
  <c r="G2545" i="214"/>
  <c r="F2547" s="1"/>
  <c r="F2549" s="1"/>
  <c r="F2550" s="1"/>
  <c r="K1170" i="192" s="1"/>
  <c r="G2562" i="214"/>
  <c r="G2564" s="1"/>
  <c r="G2566" s="1"/>
  <c r="G2567" s="1"/>
  <c r="K769" i="194" s="1"/>
  <c r="G3444" i="214"/>
  <c r="F3446" s="1"/>
  <c r="F3448" s="1"/>
  <c r="F3449" s="1"/>
  <c r="K1002" i="192" s="1"/>
  <c r="F516" i="305"/>
  <c r="G516" s="1"/>
  <c r="I518" i="309"/>
  <c r="E373"/>
  <c r="F373" s="1"/>
  <c r="F364" i="305"/>
  <c r="G364" s="1"/>
  <c r="I366" i="309"/>
  <c r="F510" i="305"/>
  <c r="G510" s="1"/>
  <c r="I512" i="309"/>
  <c r="J200"/>
  <c r="E200"/>
  <c r="F200" s="1"/>
  <c r="J378"/>
  <c r="E378"/>
  <c r="F378" s="1"/>
  <c r="J519"/>
  <c r="E519"/>
  <c r="F519" s="1"/>
  <c r="J379"/>
  <c r="E379"/>
  <c r="F379" s="1"/>
  <c r="J374"/>
  <c r="E374"/>
  <c r="F374" s="1"/>
  <c r="J515"/>
  <c r="E515"/>
  <c r="F515" s="1"/>
  <c r="J375"/>
  <c r="E375"/>
  <c r="F375" s="1"/>
  <c r="J516"/>
  <c r="E516"/>
  <c r="F516" s="1"/>
  <c r="J183"/>
  <c r="E183"/>
  <c r="F183" s="1"/>
  <c r="O14"/>
  <c r="O208"/>
  <c r="O209"/>
  <c r="O10"/>
  <c r="P172" i="196"/>
  <c r="S128" i="211"/>
  <c r="Q119"/>
  <c r="S177"/>
  <c r="G2527" i="214"/>
  <c r="F2529" s="1"/>
  <c r="F2531" s="1"/>
  <c r="F2532" s="1"/>
  <c r="K995" i="192" s="1"/>
  <c r="G3479" i="214"/>
  <c r="F3481" s="1"/>
  <c r="F3483" s="1"/>
  <c r="F3484" s="1"/>
  <c r="K1209" i="192" s="1"/>
  <c r="G3462" i="214"/>
  <c r="F3464" s="1"/>
  <c r="F3466" s="1"/>
  <c r="F3467" s="1"/>
  <c r="K1175" i="192" s="1"/>
  <c r="G3155" i="214"/>
  <c r="E3157" s="1"/>
  <c r="E3161" s="1"/>
  <c r="E3162" s="1"/>
  <c r="S133" i="211"/>
  <c r="S119"/>
  <c r="I105"/>
  <c r="I109"/>
  <c r="M174"/>
  <c r="S105"/>
  <c r="M129"/>
  <c r="M138" s="1"/>
  <c r="S109"/>
  <c r="M172"/>
  <c r="M883" i="194"/>
  <c r="F512" i="305"/>
  <c r="G512" s="1"/>
  <c r="M1420" i="192"/>
  <c r="F371" i="305"/>
  <c r="G371" s="1"/>
  <c r="L150" i="211"/>
  <c r="I156"/>
  <c r="I112"/>
  <c r="S178"/>
  <c r="S176"/>
  <c r="M173"/>
  <c r="S150"/>
  <c r="S180"/>
  <c r="L111"/>
  <c r="S132"/>
  <c r="S131"/>
  <c r="L157"/>
  <c r="S134"/>
  <c r="S130"/>
  <c r="S135"/>
  <c r="S157"/>
  <c r="F87"/>
  <c r="M87" s="1"/>
  <c r="F72"/>
  <c r="S72" s="1"/>
  <c r="F60"/>
  <c r="I60" s="1"/>
  <c r="L156"/>
  <c r="L112"/>
  <c r="F90"/>
  <c r="M90" s="1"/>
  <c r="F80"/>
  <c r="S80" s="1"/>
  <c r="F78"/>
  <c r="N78" s="1"/>
  <c r="F77"/>
  <c r="N77" s="1"/>
  <c r="F69"/>
  <c r="N69" s="1"/>
  <c r="F66"/>
  <c r="I66" s="1"/>
  <c r="F84"/>
  <c r="S84" s="1"/>
  <c r="F76"/>
  <c r="F67"/>
  <c r="L67" s="1"/>
  <c r="J572" i="140"/>
  <c r="O572" s="1"/>
  <c r="F3270" i="214"/>
  <c r="G3270" s="1"/>
  <c r="G3267"/>
  <c r="G3340"/>
  <c r="F3341"/>
  <c r="G3341" s="1"/>
  <c r="F3360"/>
  <c r="G3360" s="1"/>
  <c r="G2442"/>
  <c r="F2463"/>
  <c r="G3417"/>
  <c r="F3418"/>
  <c r="G3418" s="1"/>
  <c r="G2500"/>
  <c r="F2501"/>
  <c r="G2501" s="1"/>
  <c r="G3359"/>
  <c r="F3380"/>
  <c r="G2423"/>
  <c r="F2424"/>
  <c r="G2424" s="1"/>
  <c r="F2443"/>
  <c r="G2443" s="1"/>
  <c r="G2350"/>
  <c r="F2353"/>
  <c r="G2353" s="1"/>
  <c r="M164" i="211"/>
  <c r="L110"/>
  <c r="S169"/>
  <c r="S161"/>
  <c r="S114"/>
  <c r="S124"/>
  <c r="L126"/>
  <c r="S179"/>
  <c r="S107"/>
  <c r="I107"/>
  <c r="M161"/>
  <c r="S126"/>
  <c r="E534" i="195"/>
  <c r="F534" s="1"/>
  <c r="J534" s="1"/>
  <c r="I533" i="140"/>
  <c r="J533" s="1"/>
  <c r="O533" s="1"/>
  <c r="M1344" i="192"/>
  <c r="I370" i="140"/>
  <c r="J370" s="1"/>
  <c r="O370" s="1"/>
  <c r="E367" i="195"/>
  <c r="F367" s="1"/>
  <c r="J367" s="1"/>
  <c r="M1268" i="192"/>
  <c r="I366" i="140"/>
  <c r="J366" s="1"/>
  <c r="O366" s="1"/>
  <c r="E363" i="195"/>
  <c r="F363" s="1"/>
  <c r="J363" s="1"/>
  <c r="M1369" i="192"/>
  <c r="I371" i="140"/>
  <c r="J371" s="1"/>
  <c r="O371" s="1"/>
  <c r="E368" i="195"/>
  <c r="F368" s="1"/>
  <c r="J368" s="1"/>
  <c r="M1277" i="192"/>
  <c r="I367" i="140"/>
  <c r="J367" s="1"/>
  <c r="O367" s="1"/>
  <c r="E364" i="195"/>
  <c r="F364" s="1"/>
  <c r="J364" s="1"/>
  <c r="M855" i="194"/>
  <c r="E508" i="195"/>
  <c r="F508" s="1"/>
  <c r="J508" s="1"/>
  <c r="I511" i="140"/>
  <c r="J511" s="1"/>
  <c r="O511" s="1"/>
  <c r="M823" i="194"/>
  <c r="E504" i="195"/>
  <c r="F504" s="1"/>
  <c r="J504" s="1"/>
  <c r="I507" i="140"/>
  <c r="J507" s="1"/>
  <c r="O507" s="1"/>
  <c r="M863" i="194"/>
  <c r="E509" i="195"/>
  <c r="F509" s="1"/>
  <c r="J509" s="1"/>
  <c r="I512" i="140"/>
  <c r="J512" s="1"/>
  <c r="O512" s="1"/>
  <c r="M831" i="194"/>
  <c r="E505" i="195"/>
  <c r="F505" s="1"/>
  <c r="J505" s="1"/>
  <c r="I508" i="140"/>
  <c r="J508" s="1"/>
  <c r="O508" s="1"/>
  <c r="G2238" i="214"/>
  <c r="F2240" s="1"/>
  <c r="F2244" s="1"/>
  <c r="F2245" s="1"/>
  <c r="K541" i="192" s="1"/>
  <c r="F53" i="196"/>
  <c r="L53" s="1"/>
  <c r="F97"/>
  <c r="K97" s="1"/>
  <c r="F77"/>
  <c r="O77" s="1"/>
  <c r="F161"/>
  <c r="I161" s="1"/>
  <c r="F152"/>
  <c r="I152" s="1"/>
  <c r="F80"/>
  <c r="K80" s="1"/>
  <c r="F45"/>
  <c r="L45" s="1"/>
  <c r="F124"/>
  <c r="K124" s="1"/>
  <c r="F105"/>
  <c r="I105" s="1"/>
  <c r="F148"/>
  <c r="K148" s="1"/>
  <c r="F101"/>
  <c r="K101" s="1"/>
  <c r="F117"/>
  <c r="I117" s="1"/>
  <c r="F144"/>
  <c r="I144" s="1"/>
  <c r="F157"/>
  <c r="K157" s="1"/>
  <c r="F52"/>
  <c r="L52" s="1"/>
  <c r="F49"/>
  <c r="L49" s="1"/>
  <c r="F73"/>
  <c r="O73" s="1"/>
  <c r="F116"/>
  <c r="I116" s="1"/>
  <c r="F156"/>
  <c r="I156" s="1"/>
  <c r="F81"/>
  <c r="F112"/>
  <c r="F153"/>
  <c r="I153" s="1"/>
  <c r="F164"/>
  <c r="I164" s="1"/>
  <c r="F85"/>
  <c r="I85" s="1"/>
  <c r="F149"/>
  <c r="I149" s="1"/>
  <c r="F165"/>
  <c r="K165" s="1"/>
  <c r="F104"/>
  <c r="K104" s="1"/>
  <c r="F141"/>
  <c r="I141" s="1"/>
  <c r="F145"/>
  <c r="I145" s="1"/>
  <c r="F92"/>
  <c r="K92" s="1"/>
  <c r="F136"/>
  <c r="I136" s="1"/>
  <c r="F68"/>
  <c r="L68" s="1"/>
  <c r="F108"/>
  <c r="K108" s="1"/>
  <c r="F121"/>
  <c r="K121" s="1"/>
  <c r="F44"/>
  <c r="I44" s="1"/>
  <c r="F93"/>
  <c r="K93" s="1"/>
  <c r="F140"/>
  <c r="I140" s="1"/>
  <c r="F160"/>
  <c r="I160" s="1"/>
  <c r="S170" i="211"/>
  <c r="G3063" i="214"/>
  <c r="G3064" s="1"/>
  <c r="E3036"/>
  <c r="F3034"/>
  <c r="F96" i="139"/>
  <c r="G96" s="1"/>
  <c r="D106" i="165"/>
  <c r="F105"/>
  <c r="G2146" i="214"/>
  <c r="G2147" s="1"/>
  <c r="F93" i="139"/>
  <c r="G93" s="1"/>
  <c r="D102" i="165"/>
  <c r="F101"/>
  <c r="F2117" i="214"/>
  <c r="E2119"/>
  <c r="E79" i="139"/>
  <c r="G2916" i="214"/>
  <c r="F3007"/>
  <c r="G3007" s="1"/>
  <c r="E3481"/>
  <c r="E3483" s="1"/>
  <c r="E3484" s="1"/>
  <c r="G3419"/>
  <c r="F3420"/>
  <c r="G3420" s="1"/>
  <c r="G3342"/>
  <c r="F3358"/>
  <c r="G3358" s="1"/>
  <c r="F3123"/>
  <c r="E3127"/>
  <c r="F3215"/>
  <c r="G3215" s="1"/>
  <c r="G3220" s="1"/>
  <c r="F3199"/>
  <c r="G3199" s="1"/>
  <c r="G3204" s="1"/>
  <c r="F3231"/>
  <c r="G3231" s="1"/>
  <c r="G3236" s="1"/>
  <c r="F3308"/>
  <c r="G3308" s="1"/>
  <c r="G3314" s="1"/>
  <c r="F3183"/>
  <c r="G3183" s="1"/>
  <c r="G3188" s="1"/>
  <c r="F3288"/>
  <c r="G3288" s="1"/>
  <c r="F2847"/>
  <c r="G2847" s="1"/>
  <c r="G2854" s="1"/>
  <c r="G2835"/>
  <c r="G2842" s="1"/>
  <c r="G3501"/>
  <c r="F3502"/>
  <c r="G3502" s="1"/>
  <c r="G3383"/>
  <c r="F3398"/>
  <c r="G3398" s="1"/>
  <c r="F3251"/>
  <c r="G3251" s="1"/>
  <c r="F3268"/>
  <c r="G3248"/>
  <c r="E3144"/>
  <c r="F3323"/>
  <c r="G3323" s="1"/>
  <c r="G3329" s="1"/>
  <c r="F3167"/>
  <c r="G3167" s="1"/>
  <c r="G3173" s="1"/>
  <c r="G2204"/>
  <c r="E2206" s="1"/>
  <c r="E2210" s="1"/>
  <c r="G1999"/>
  <c r="F2090"/>
  <c r="G2090" s="1"/>
  <c r="E2547"/>
  <c r="E2549" s="1"/>
  <c r="E2550" s="1"/>
  <c r="G2547"/>
  <c r="G2549" s="1"/>
  <c r="G2550" s="1"/>
  <c r="K744" i="194" s="1"/>
  <c r="F2282" i="214"/>
  <c r="G2282" s="1"/>
  <c r="G2287" s="1"/>
  <c r="F2298"/>
  <c r="G2298" s="1"/>
  <c r="G2303" s="1"/>
  <c r="F2266"/>
  <c r="G2266" s="1"/>
  <c r="G2271" s="1"/>
  <c r="F2371"/>
  <c r="G2371" s="1"/>
  <c r="F2314"/>
  <c r="G2314" s="1"/>
  <c r="G2319" s="1"/>
  <c r="F2391"/>
  <c r="G2391" s="1"/>
  <c r="G2397" s="1"/>
  <c r="G2502"/>
  <c r="F2503"/>
  <c r="G2503" s="1"/>
  <c r="G2425"/>
  <c r="F2441"/>
  <c r="G2441" s="1"/>
  <c r="G1918"/>
  <c r="G1925" s="1"/>
  <c r="F1930"/>
  <c r="G1930" s="1"/>
  <c r="G1937" s="1"/>
  <c r="G2331"/>
  <c r="F2334"/>
  <c r="G2334" s="1"/>
  <c r="F2351"/>
  <c r="F2223"/>
  <c r="F2250"/>
  <c r="G2250" s="1"/>
  <c r="G2256" s="1"/>
  <c r="F2406"/>
  <c r="G2406" s="1"/>
  <c r="G2412" s="1"/>
  <c r="F2585"/>
  <c r="G2585" s="1"/>
  <c r="G2584"/>
  <c r="G2466"/>
  <c r="F2481"/>
  <c r="G2481" s="1"/>
  <c r="M162" i="211"/>
  <c r="F125" i="196"/>
  <c r="I125" s="1"/>
  <c r="S155" i="211"/>
  <c r="M175"/>
  <c r="S110"/>
  <c r="Q116"/>
  <c r="Q118"/>
  <c r="S127"/>
  <c r="I155"/>
  <c r="F84" i="196"/>
  <c r="I84" s="1"/>
  <c r="Q164" i="211"/>
  <c r="Q183" s="1"/>
  <c r="S116"/>
  <c r="S118"/>
  <c r="S162"/>
  <c r="P171" i="196"/>
  <c r="F129"/>
  <c r="I129" s="1"/>
  <c r="S111" i="211"/>
  <c r="K96" i="196"/>
  <c r="I96"/>
  <c r="F65"/>
  <c r="F61"/>
  <c r="F60"/>
  <c r="F64"/>
  <c r="F69"/>
  <c r="O69" s="1"/>
  <c r="F72"/>
  <c r="L72" s="1"/>
  <c r="O56"/>
  <c r="L56"/>
  <c r="I56"/>
  <c r="O76"/>
  <c r="L76"/>
  <c r="I76"/>
  <c r="O36"/>
  <c r="L36"/>
  <c r="I36"/>
  <c r="O48"/>
  <c r="L48"/>
  <c r="I48"/>
  <c r="I88"/>
  <c r="K88"/>
  <c r="I41"/>
  <c r="L41"/>
  <c r="O41"/>
  <c r="I40"/>
  <c r="O40"/>
  <c r="L40"/>
  <c r="I89"/>
  <c r="K89"/>
  <c r="O57"/>
  <c r="L57"/>
  <c r="I57"/>
  <c r="I168"/>
  <c r="L168"/>
  <c r="K168"/>
  <c r="O37"/>
  <c r="L37"/>
  <c r="I37"/>
  <c r="K109"/>
  <c r="I109"/>
  <c r="I113"/>
  <c r="K100"/>
  <c r="I100"/>
  <c r="K120"/>
  <c r="I120"/>
  <c r="K132"/>
  <c r="I132"/>
  <c r="L169"/>
  <c r="I169"/>
  <c r="K169"/>
  <c r="K137"/>
  <c r="I137"/>
  <c r="K133"/>
  <c r="I133"/>
  <c r="F128"/>
  <c r="O21"/>
  <c r="I21"/>
  <c r="M21"/>
  <c r="I25"/>
  <c r="M25"/>
  <c r="O25"/>
  <c r="I20"/>
  <c r="M20"/>
  <c r="O20"/>
  <c r="H183" i="211"/>
  <c r="C81" i="165" s="1"/>
  <c r="N125" i="211"/>
  <c r="S125"/>
  <c r="I568" i="195"/>
  <c r="F568"/>
  <c r="J568" s="1"/>
  <c r="I596"/>
  <c r="E511"/>
  <c r="F511" s="1"/>
  <c r="J511" s="1"/>
  <c r="I514" i="140"/>
  <c r="J514" s="1"/>
  <c r="O514" s="1"/>
  <c r="M914" i="194"/>
  <c r="E515" i="195"/>
  <c r="I518" i="140"/>
  <c r="J518" s="1"/>
  <c r="O518" s="1"/>
  <c r="F83" i="211"/>
  <c r="S83" s="1"/>
  <c r="F75"/>
  <c r="N75" s="1"/>
  <c r="F62"/>
  <c r="S62" s="1"/>
  <c r="F89"/>
  <c r="S89" s="1"/>
  <c r="F86"/>
  <c r="M86" s="1"/>
  <c r="F65"/>
  <c r="L65" s="1"/>
  <c r="F79"/>
  <c r="S79" s="1"/>
  <c r="F73"/>
  <c r="Q73" s="1"/>
  <c r="F68"/>
  <c r="N68" s="1"/>
  <c r="F85"/>
  <c r="M85" s="1"/>
  <c r="F74"/>
  <c r="M74" s="1"/>
  <c r="E370" i="195"/>
  <c r="F370" s="1"/>
  <c r="J370" s="1"/>
  <c r="I373" i="140"/>
  <c r="J373" s="1"/>
  <c r="O373" s="1"/>
  <c r="M1493" i="192"/>
  <c r="E374" i="195"/>
  <c r="F374" s="1"/>
  <c r="J374" s="1"/>
  <c r="I377" i="140"/>
  <c r="J377" s="1"/>
  <c r="O377" s="1"/>
  <c r="J39"/>
  <c r="O39" s="1"/>
  <c r="I511" i="195"/>
  <c r="I479"/>
  <c r="E143" i="196" s="1"/>
  <c r="I455" i="195"/>
  <c r="E123" i="196" s="1"/>
  <c r="I431" i="195"/>
  <c r="E91" i="196" s="1"/>
  <c r="I387" i="195"/>
  <c r="E43" i="196" s="1"/>
  <c r="I499" i="195"/>
  <c r="E163" i="196" s="1"/>
  <c r="I435" i="195"/>
  <c r="E99" i="196" s="1"/>
  <c r="I439" i="195"/>
  <c r="E103" i="196" s="1"/>
  <c r="I467" i="195"/>
  <c r="E131" i="196" s="1"/>
  <c r="I459" i="195"/>
  <c r="E127" i="196" s="1"/>
  <c r="I447" i="195"/>
  <c r="E115" i="196" s="1"/>
  <c r="I423" i="195"/>
  <c r="E83" i="196" s="1"/>
  <c r="I403" i="195"/>
  <c r="E59" i="196" s="1"/>
  <c r="F88" i="211"/>
  <c r="M88" s="1"/>
  <c r="F71"/>
  <c r="M71" s="1"/>
  <c r="F64"/>
  <c r="I64" s="1"/>
  <c r="I507" i="195"/>
  <c r="I487"/>
  <c r="E151" i="196" s="1"/>
  <c r="I483" i="195"/>
  <c r="E147" i="196" s="1"/>
  <c r="I471" i="195"/>
  <c r="E135" i="196" s="1"/>
  <c r="I443" i="195"/>
  <c r="E111" i="196" s="1"/>
  <c r="I451" i="195"/>
  <c r="E119" i="196" s="1"/>
  <c r="I411" i="195"/>
  <c r="E67" i="196" s="1"/>
  <c r="I399" i="195"/>
  <c r="E47" i="196" s="1"/>
  <c r="I515" i="195"/>
  <c r="F515"/>
  <c r="J515" s="1"/>
  <c r="I491"/>
  <c r="E155" i="196" s="1"/>
  <c r="I475" i="195"/>
  <c r="E139" i="196" s="1"/>
  <c r="I407" i="195"/>
  <c r="E63" i="196" s="1"/>
  <c r="I338" i="195"/>
  <c r="D143" i="196" s="1"/>
  <c r="I326" i="195"/>
  <c r="D131" i="196" s="1"/>
  <c r="I322" i="195"/>
  <c r="D75" i="196" s="1"/>
  <c r="I310" i="195"/>
  <c r="D119" i="196" s="1"/>
  <c r="I294" i="195"/>
  <c r="D103" i="196" s="1"/>
  <c r="I258" i="195"/>
  <c r="I274"/>
  <c r="D79" i="196" s="1"/>
  <c r="I262" i="195"/>
  <c r="I342"/>
  <c r="D147" i="196" s="1"/>
  <c r="I306" i="195"/>
  <c r="D115" i="196" s="1"/>
  <c r="I286" i="195"/>
  <c r="D91" i="196" s="1"/>
  <c r="I282" i="195"/>
  <c r="D95" i="196" s="1"/>
  <c r="I302" i="195"/>
  <c r="D111" i="196" s="1"/>
  <c r="I266" i="195"/>
  <c r="D67" i="196" s="1"/>
  <c r="I242" i="195"/>
  <c r="D43" i="196" s="1"/>
  <c r="I370" i="195"/>
  <c r="I366"/>
  <c r="I358"/>
  <c r="D163" i="196" s="1"/>
  <c r="I350" i="195"/>
  <c r="D155" i="196" s="1"/>
  <c r="I334" i="195"/>
  <c r="D139" i="196" s="1"/>
  <c r="I314" i="195"/>
  <c r="D123" i="196" s="1"/>
  <c r="I278" i="195"/>
  <c r="D83" i="196" s="1"/>
  <c r="I270" i="195"/>
  <c r="D71" i="196" s="1"/>
  <c r="I362" i="195"/>
  <c r="I354"/>
  <c r="D159" i="196" s="1"/>
  <c r="I330" i="195"/>
  <c r="D135" i="196" s="1"/>
  <c r="I290" i="195"/>
  <c r="D99" i="196" s="1"/>
  <c r="I298" i="195"/>
  <c r="D107" i="196" s="1"/>
  <c r="I246" i="195"/>
  <c r="D51" i="196" s="1"/>
  <c r="I374" i="195"/>
  <c r="I346"/>
  <c r="D151" i="196" s="1"/>
  <c r="I318" i="195"/>
  <c r="D127" i="196" s="1"/>
  <c r="I217" i="195"/>
  <c r="F217"/>
  <c r="J217" s="1"/>
  <c r="I149"/>
  <c r="C135" i="196" s="1"/>
  <c r="I157" i="195"/>
  <c r="C143" i="196" s="1"/>
  <c r="I177" i="195"/>
  <c r="C163" i="196" s="1"/>
  <c r="I165" i="195"/>
  <c r="C151" i="196" s="1"/>
  <c r="I121" i="195"/>
  <c r="C107" i="196" s="1"/>
  <c r="I129" i="195"/>
  <c r="C115" i="196" s="1"/>
  <c r="I105" i="195"/>
  <c r="C91" i="196" s="1"/>
  <c r="I81" i="195"/>
  <c r="C67" i="196" s="1"/>
  <c r="I77" i="195"/>
  <c r="C63" i="196" s="1"/>
  <c r="I61" i="211"/>
  <c r="L61"/>
  <c r="S61"/>
  <c r="I65" i="195"/>
  <c r="C47" i="196" s="1"/>
  <c r="I29" i="195"/>
  <c r="I25"/>
  <c r="S54" i="211"/>
  <c r="H54"/>
  <c r="L54"/>
  <c r="I17" i="195"/>
  <c r="C19" i="196" s="1"/>
  <c r="F19" s="1"/>
  <c r="I205" i="195"/>
  <c r="I189"/>
  <c r="I213"/>
  <c r="I153"/>
  <c r="C139" i="196" s="1"/>
  <c r="I173" i="195"/>
  <c r="C159" i="196" s="1"/>
  <c r="I137" i="195"/>
  <c r="C123" i="196" s="1"/>
  <c r="I85" i="195"/>
  <c r="C71" i="196" s="1"/>
  <c r="I59" i="211"/>
  <c r="L59"/>
  <c r="S59"/>
  <c r="I53" i="195"/>
  <c r="C39" i="196" s="1"/>
  <c r="F39" s="1"/>
  <c r="I37" i="195"/>
  <c r="S82" i="211"/>
  <c r="M82"/>
  <c r="I145" i="195"/>
  <c r="C131" i="196" s="1"/>
  <c r="I117" i="195"/>
  <c r="C103" i="196" s="1"/>
  <c r="I63" i="211"/>
  <c r="L63"/>
  <c r="S63"/>
  <c r="I69" i="195"/>
  <c r="C55" i="196" s="1"/>
  <c r="F55" s="1"/>
  <c r="I55" s="1"/>
  <c r="I21" i="195"/>
  <c r="C23" i="196" s="1"/>
  <c r="F23" s="1"/>
  <c r="I9" i="195"/>
  <c r="C7" i="196" s="1"/>
  <c r="F7" s="1"/>
  <c r="F9" i="195"/>
  <c r="J9" s="1"/>
  <c r="H7" i="196" s="1"/>
  <c r="I193" i="195"/>
  <c r="I181"/>
  <c r="I169"/>
  <c r="C155" i="196" s="1"/>
  <c r="I141" i="195"/>
  <c r="C127" i="196" s="1"/>
  <c r="I133" i="195"/>
  <c r="C119" i="196" s="1"/>
  <c r="I93" i="195"/>
  <c r="C83" i="196" s="1"/>
  <c r="I109" i="195"/>
  <c r="C95" i="196" s="1"/>
  <c r="I61" i="195"/>
  <c r="C51" i="196" s="1"/>
  <c r="I57" i="195"/>
  <c r="C43" i="196" s="1"/>
  <c r="S58" i="211"/>
  <c r="I58"/>
  <c r="L58"/>
  <c r="I49" i="195"/>
  <c r="C35" i="196" s="1"/>
  <c r="F35" s="1"/>
  <c r="I91" i="211"/>
  <c r="L91"/>
  <c r="S91"/>
  <c r="I209" i="195"/>
  <c r="I161"/>
  <c r="C147" i="196" s="1"/>
  <c r="I125" i="195"/>
  <c r="C111" i="196" s="1"/>
  <c r="I113" i="195"/>
  <c r="C99" i="196" s="1"/>
  <c r="I89" i="195"/>
  <c r="C79" i="196" s="1"/>
  <c r="I73" i="195"/>
  <c r="C59" i="196" s="1"/>
  <c r="I185" i="195"/>
  <c r="S81" i="211"/>
  <c r="I81"/>
  <c r="L81"/>
  <c r="I97" i="195"/>
  <c r="C75" i="196" s="1"/>
  <c r="S70" i="211"/>
  <c r="K70"/>
  <c r="K93" s="1"/>
  <c r="M70"/>
  <c r="I101" i="195"/>
  <c r="C87" i="196" s="1"/>
  <c r="F87" s="1"/>
  <c r="I33" i="195"/>
  <c r="C15" i="196" s="1"/>
  <c r="F15" s="1"/>
  <c r="J15" s="1"/>
  <c r="H55" i="211"/>
  <c r="L55"/>
  <c r="S55"/>
  <c r="E20" i="250"/>
  <c r="F19"/>
  <c r="L19" s="1"/>
  <c r="E2786" i="214" s="1"/>
  <c r="F2786" s="1"/>
  <c r="E20" i="240"/>
  <c r="F19"/>
  <c r="L19" s="1"/>
  <c r="E1869" i="214" s="1"/>
  <c r="F1869" s="1"/>
  <c r="G1710"/>
  <c r="G1712" s="1"/>
  <c r="G1713" s="1"/>
  <c r="K815" i="194" s="1"/>
  <c r="F1712" i="214"/>
  <c r="F1713" s="1"/>
  <c r="K1259" i="192" s="1"/>
  <c r="G1725" i="214"/>
  <c r="G1727" s="1"/>
  <c r="G1728" s="1"/>
  <c r="K847" i="194" s="1"/>
  <c r="F1727" i="214"/>
  <c r="F1728" s="1"/>
  <c r="K1334" i="192" s="1"/>
  <c r="I81" i="196" l="1"/>
  <c r="K81"/>
  <c r="I112"/>
  <c r="K112"/>
  <c r="H232" i="310"/>
  <c r="N183" i="211"/>
  <c r="E2564" i="214"/>
  <c r="E2566" s="1"/>
  <c r="E2567" s="1"/>
  <c r="K1488" i="132" s="1"/>
  <c r="F175" i="305" s="1"/>
  <c r="G175" s="1"/>
  <c r="F2564" i="214"/>
  <c r="F2566" s="1"/>
  <c r="F2567" s="1"/>
  <c r="K1197" i="192" s="1"/>
  <c r="F3157" i="214"/>
  <c r="F3161" s="1"/>
  <c r="F3162" s="1"/>
  <c r="K550" i="192" s="1"/>
  <c r="F293" i="305" s="1"/>
  <c r="G293" s="1"/>
  <c r="I555" i="309"/>
  <c r="J555" s="1"/>
  <c r="G2529" i="214"/>
  <c r="G2531" s="1"/>
  <c r="G2532" s="1"/>
  <c r="K604" i="194" s="1"/>
  <c r="F473" i="305" s="1"/>
  <c r="G473" s="1"/>
  <c r="J205" i="309"/>
  <c r="O205" s="1"/>
  <c r="F2206" i="214"/>
  <c r="F2210" s="1"/>
  <c r="K454" i="192" s="1"/>
  <c r="E2529" i="214"/>
  <c r="E2531" s="1"/>
  <c r="E2532" s="1"/>
  <c r="K1289" i="132" s="1"/>
  <c r="F151" i="305" s="1"/>
  <c r="G151" s="1"/>
  <c r="G3157" i="214"/>
  <c r="G3161" s="1"/>
  <c r="G3162" s="1"/>
  <c r="K347" i="194" s="1"/>
  <c r="F438" i="305" s="1"/>
  <c r="G438" s="1"/>
  <c r="E2240" i="214"/>
  <c r="E2244" s="1"/>
  <c r="E2245" s="1"/>
  <c r="J753" i="309"/>
  <c r="O753" s="1"/>
  <c r="J193"/>
  <c r="O193" s="1"/>
  <c r="E569"/>
  <c r="F569" s="1"/>
  <c r="O569" s="1"/>
  <c r="I199" i="140"/>
  <c r="J199" s="1"/>
  <c r="O199" s="1"/>
  <c r="E39" i="309"/>
  <c r="F39" s="1"/>
  <c r="O39" s="1"/>
  <c r="E197"/>
  <c r="F197" s="1"/>
  <c r="O197" s="1"/>
  <c r="E185" i="195"/>
  <c r="F185" s="1"/>
  <c r="J185" s="1"/>
  <c r="F194" i="305"/>
  <c r="G194" s="1"/>
  <c r="E35" i="195"/>
  <c r="F35" s="1"/>
  <c r="J35" s="1"/>
  <c r="E204" i="309"/>
  <c r="F204" s="1"/>
  <c r="O204" s="1"/>
  <c r="I191" i="140"/>
  <c r="J191" s="1"/>
  <c r="O191" s="1"/>
  <c r="E215" i="309"/>
  <c r="F215" s="1"/>
  <c r="O215" s="1"/>
  <c r="I527"/>
  <c r="J527" s="1"/>
  <c r="E524" i="195"/>
  <c r="F524" s="1"/>
  <c r="J524" s="1"/>
  <c r="E192" i="309"/>
  <c r="F192" s="1"/>
  <c r="O192" s="1"/>
  <c r="I36" i="140"/>
  <c r="J36" s="1"/>
  <c r="O36" s="1"/>
  <c r="I527"/>
  <c r="J527" s="1"/>
  <c r="O527" s="1"/>
  <c r="I36" i="309"/>
  <c r="J36" s="1"/>
  <c r="M248" i="132"/>
  <c r="F525" i="305"/>
  <c r="G525" s="1"/>
  <c r="J614" i="309"/>
  <c r="O614" s="1"/>
  <c r="E27"/>
  <c r="F27" s="1"/>
  <c r="O27" s="1"/>
  <c r="E201"/>
  <c r="F201" s="1"/>
  <c r="O201" s="1"/>
  <c r="I203" i="140"/>
  <c r="J203" s="1"/>
  <c r="O203" s="1"/>
  <c r="E196" i="309"/>
  <c r="F196" s="1"/>
  <c r="O196" s="1"/>
  <c r="I555" i="140"/>
  <c r="J555" s="1"/>
  <c r="O555" s="1"/>
  <c r="E34" i="195"/>
  <c r="F34" s="1"/>
  <c r="J34" s="1"/>
  <c r="F553" i="305"/>
  <c r="G553" s="1"/>
  <c r="I35" i="140"/>
  <c r="J35" s="1"/>
  <c r="O35" s="1"/>
  <c r="E552" i="195"/>
  <c r="F552" s="1"/>
  <c r="J552" s="1"/>
  <c r="E193"/>
  <c r="F193" s="1"/>
  <c r="J193" s="1"/>
  <c r="F190" i="305"/>
  <c r="G190" s="1"/>
  <c r="F202"/>
  <c r="G202" s="1"/>
  <c r="E181" i="195"/>
  <c r="F181" s="1"/>
  <c r="J181" s="1"/>
  <c r="M1590" i="132"/>
  <c r="M1796"/>
  <c r="G3256" i="214"/>
  <c r="E3258" s="1"/>
  <c r="E3262" s="1"/>
  <c r="E3263" s="1"/>
  <c r="G3481"/>
  <c r="G3483" s="1"/>
  <c r="G3484" s="1"/>
  <c r="K775" i="194" s="1"/>
  <c r="I500" i="309" s="1"/>
  <c r="J207"/>
  <c r="O207" s="1"/>
  <c r="I195" i="140"/>
  <c r="J195" s="1"/>
  <c r="O195" s="1"/>
  <c r="M1647" i="132"/>
  <c r="E189" i="195"/>
  <c r="F189" s="1"/>
  <c r="J189" s="1"/>
  <c r="M1731" i="132"/>
  <c r="G2240" i="214"/>
  <c r="G2244" s="1"/>
  <c r="G2245" s="1"/>
  <c r="K339" i="194" s="1"/>
  <c r="F437" i="305" s="1"/>
  <c r="G437" s="1"/>
  <c r="G3446" i="214"/>
  <c r="G3448" s="1"/>
  <c r="G3449" s="1"/>
  <c r="K611" i="194" s="1"/>
  <c r="E473" i="195" s="1"/>
  <c r="F473" s="1"/>
  <c r="J473" s="1"/>
  <c r="G3464" i="214"/>
  <c r="G3466" s="1"/>
  <c r="G3467" s="1"/>
  <c r="K751" i="194" s="1"/>
  <c r="I496" i="309" s="1"/>
  <c r="M242" i="132"/>
  <c r="F35" i="305"/>
  <c r="G35" s="1"/>
  <c r="F198"/>
  <c r="G198" s="1"/>
  <c r="J191" i="309"/>
  <c r="E191"/>
  <c r="F191" s="1"/>
  <c r="J203"/>
  <c r="E203"/>
  <c r="F203" s="1"/>
  <c r="F533" i="305"/>
  <c r="G533" s="1"/>
  <c r="K780" i="132"/>
  <c r="I108" i="309" s="1"/>
  <c r="K120" i="132"/>
  <c r="I19" i="309" s="1"/>
  <c r="K852" i="132"/>
  <c r="I112" i="140" s="1"/>
  <c r="J112" s="1"/>
  <c r="O112" s="1"/>
  <c r="K798" i="132"/>
  <c r="I109" i="309" s="1"/>
  <c r="K164" i="132"/>
  <c r="I24" i="309" s="1"/>
  <c r="K908" i="132"/>
  <c r="I117" i="309" s="1"/>
  <c r="J117" s="1"/>
  <c r="K155" i="132"/>
  <c r="I23" i="309" s="1"/>
  <c r="K892" i="132"/>
  <c r="I116" i="309" s="1"/>
  <c r="E116" s="1"/>
  <c r="F116" s="1"/>
  <c r="K1464" i="132"/>
  <c r="F171" i="305" s="1"/>
  <c r="G171" s="1"/>
  <c r="K128" i="132"/>
  <c r="I20" i="309" s="1"/>
  <c r="J20" s="1"/>
  <c r="K860" i="132"/>
  <c r="I113" i="140" s="1"/>
  <c r="J113" s="1"/>
  <c r="O113" s="1"/>
  <c r="K1494" i="132"/>
  <c r="I177" i="309" s="1"/>
  <c r="K1999" i="132"/>
  <c r="I236" i="309" s="1"/>
  <c r="K2004" i="132"/>
  <c r="I237" i="309" s="1"/>
  <c r="M2511" i="132"/>
  <c r="M2259"/>
  <c r="M2377"/>
  <c r="M2267"/>
  <c r="E564" i="195"/>
  <c r="F564" s="1"/>
  <c r="J564" s="1"/>
  <c r="E544"/>
  <c r="F544" s="1"/>
  <c r="J544" s="1"/>
  <c r="I608" i="140"/>
  <c r="J608" s="1"/>
  <c r="O608" s="1"/>
  <c r="I598"/>
  <c r="J598" s="1"/>
  <c r="O598" s="1"/>
  <c r="I539"/>
  <c r="J539" s="1"/>
  <c r="O539" s="1"/>
  <c r="I800"/>
  <c r="J800" s="1"/>
  <c r="O800" s="1"/>
  <c r="E536" i="195"/>
  <c r="F536" s="1"/>
  <c r="J536" s="1"/>
  <c r="E608"/>
  <c r="F608" s="1"/>
  <c r="J608" s="1"/>
  <c r="I590" i="140"/>
  <c r="J590" s="1"/>
  <c r="O590" s="1"/>
  <c r="F595" i="305"/>
  <c r="G595" s="1"/>
  <c r="I612" i="140"/>
  <c r="J612" s="1"/>
  <c r="O612" s="1"/>
  <c r="E593" i="195"/>
  <c r="F593" s="1"/>
  <c r="J593" s="1"/>
  <c r="F610" i="305"/>
  <c r="G610" s="1"/>
  <c r="I543" i="140"/>
  <c r="J543" s="1"/>
  <c r="O543" s="1"/>
  <c r="I567"/>
  <c r="J567" s="1"/>
  <c r="O567" s="1"/>
  <c r="I589"/>
  <c r="J589" s="1"/>
  <c r="O589" s="1"/>
  <c r="F596" i="305"/>
  <c r="G596" s="1"/>
  <c r="F565"/>
  <c r="G565" s="1"/>
  <c r="E531" i="309"/>
  <c r="F531" s="1"/>
  <c r="J531"/>
  <c r="E551"/>
  <c r="F551" s="1"/>
  <c r="J551"/>
  <c r="E568"/>
  <c r="F568" s="1"/>
  <c r="J568"/>
  <c r="E549"/>
  <c r="F549" s="1"/>
  <c r="J549"/>
  <c r="E786" i="195"/>
  <c r="F786" s="1"/>
  <c r="J786" s="1"/>
  <c r="I535" i="140"/>
  <c r="J535" s="1"/>
  <c r="O535" s="1"/>
  <c r="E604" i="195"/>
  <c r="F604" s="1"/>
  <c r="J604" s="1"/>
  <c r="E594"/>
  <c r="F594" s="1"/>
  <c r="J594" s="1"/>
  <c r="E586"/>
  <c r="F586" s="1"/>
  <c r="J586" s="1"/>
  <c r="E585"/>
  <c r="F585" s="1"/>
  <c r="J585" s="1"/>
  <c r="F793" i="305"/>
  <c r="G793" s="1"/>
  <c r="F606"/>
  <c r="J606" s="1"/>
  <c r="F587"/>
  <c r="G587" s="1"/>
  <c r="O541" i="309"/>
  <c r="O528"/>
  <c r="O556"/>
  <c r="O560"/>
  <c r="O572"/>
  <c r="I589"/>
  <c r="O576"/>
  <c r="O593"/>
  <c r="O564"/>
  <c r="O909"/>
  <c r="O873"/>
  <c r="O805"/>
  <c r="O846"/>
  <c r="O781"/>
  <c r="O764"/>
  <c r="O816"/>
  <c r="O836"/>
  <c r="O864"/>
  <c r="O842"/>
  <c r="O877"/>
  <c r="O833"/>
  <c r="O870"/>
  <c r="O905"/>
  <c r="O749"/>
  <c r="O858"/>
  <c r="O798"/>
  <c r="I800"/>
  <c r="O813"/>
  <c r="O777"/>
  <c r="O845"/>
  <c r="O756"/>
  <c r="O772"/>
  <c r="O824"/>
  <c r="O900"/>
  <c r="E592"/>
  <c r="F592" s="1"/>
  <c r="J592"/>
  <c r="E536"/>
  <c r="F536" s="1"/>
  <c r="J536"/>
  <c r="E561"/>
  <c r="F561" s="1"/>
  <c r="J561"/>
  <c r="O694"/>
  <c r="O658"/>
  <c r="O646"/>
  <c r="O637"/>
  <c r="O710"/>
  <c r="O726"/>
  <c r="O533"/>
  <c r="O888"/>
  <c r="O790"/>
  <c r="O793"/>
  <c r="O906"/>
  <c r="O687"/>
  <c r="O680"/>
  <c r="O675"/>
  <c r="O666"/>
  <c r="O629"/>
  <c r="O702"/>
  <c r="O734"/>
  <c r="O738"/>
  <c r="J844"/>
  <c r="E844"/>
  <c r="F844" s="1"/>
  <c r="J812"/>
  <c r="E812"/>
  <c r="F812" s="1"/>
  <c r="J832"/>
  <c r="E832"/>
  <c r="F832" s="1"/>
  <c r="J876"/>
  <c r="E876"/>
  <c r="F876" s="1"/>
  <c r="J868"/>
  <c r="E868"/>
  <c r="F868" s="1"/>
  <c r="J802"/>
  <c r="E802"/>
  <c r="F802" s="1"/>
  <c r="E880"/>
  <c r="F880" s="1"/>
  <c r="J880"/>
  <c r="E808"/>
  <c r="F808" s="1"/>
  <c r="J808"/>
  <c r="E896"/>
  <c r="F896" s="1"/>
  <c r="J896"/>
  <c r="E840"/>
  <c r="F840" s="1"/>
  <c r="J840"/>
  <c r="E860"/>
  <c r="F860" s="1"/>
  <c r="J860"/>
  <c r="E776"/>
  <c r="F776" s="1"/>
  <c r="J776"/>
  <c r="J801"/>
  <c r="E801"/>
  <c r="F801" s="1"/>
  <c r="O750"/>
  <c r="O869"/>
  <c r="O898"/>
  <c r="O810"/>
  <c r="J804"/>
  <c r="E804"/>
  <c r="F804" s="1"/>
  <c r="J872"/>
  <c r="E872"/>
  <c r="F872" s="1"/>
  <c r="J792"/>
  <c r="E792"/>
  <c r="F792" s="1"/>
  <c r="J848"/>
  <c r="E848"/>
  <c r="F848" s="1"/>
  <c r="J904"/>
  <c r="E904"/>
  <c r="F904" s="1"/>
  <c r="E780"/>
  <c r="F780" s="1"/>
  <c r="J780"/>
  <c r="E796"/>
  <c r="F796" s="1"/>
  <c r="J796"/>
  <c r="E856"/>
  <c r="F856" s="1"/>
  <c r="J856"/>
  <c r="E788"/>
  <c r="F788" s="1"/>
  <c r="J788"/>
  <c r="E748"/>
  <c r="F748" s="1"/>
  <c r="J748"/>
  <c r="E884"/>
  <c r="F884" s="1"/>
  <c r="J884"/>
  <c r="J908"/>
  <c r="E908"/>
  <c r="F908" s="1"/>
  <c r="J754"/>
  <c r="E754"/>
  <c r="F754" s="1"/>
  <c r="O537"/>
  <c r="O545"/>
  <c r="O794"/>
  <c r="O841"/>
  <c r="O886"/>
  <c r="O849"/>
  <c r="O874"/>
  <c r="O806"/>
  <c r="O857"/>
  <c r="O797"/>
  <c r="O881"/>
  <c r="O760"/>
  <c r="O784"/>
  <c r="O828"/>
  <c r="O892"/>
  <c r="O878"/>
  <c r="O834"/>
  <c r="O789"/>
  <c r="O850"/>
  <c r="O885"/>
  <c r="O910"/>
  <c r="O814"/>
  <c r="O778"/>
  <c r="O897"/>
  <c r="O809"/>
  <c r="O882"/>
  <c r="O782"/>
  <c r="O768"/>
  <c r="O820"/>
  <c r="O852"/>
  <c r="E692"/>
  <c r="F692" s="1"/>
  <c r="J692"/>
  <c r="E671"/>
  <c r="F671" s="1"/>
  <c r="J671"/>
  <c r="O654"/>
  <c r="O650"/>
  <c r="O625"/>
  <c r="O698"/>
  <c r="O718"/>
  <c r="O730"/>
  <c r="O673"/>
  <c r="O672"/>
  <c r="O683"/>
  <c r="O662"/>
  <c r="O633"/>
  <c r="O642"/>
  <c r="O706"/>
  <c r="O722"/>
  <c r="O742"/>
  <c r="O681"/>
  <c r="J679"/>
  <c r="E679"/>
  <c r="F679" s="1"/>
  <c r="J714"/>
  <c r="E714"/>
  <c r="F714" s="1"/>
  <c r="J547"/>
  <c r="E547"/>
  <c r="F547" s="1"/>
  <c r="J559"/>
  <c r="E559"/>
  <c r="F559" s="1"/>
  <c r="J544"/>
  <c r="E544"/>
  <c r="F544" s="1"/>
  <c r="E540" i="195"/>
  <c r="F540" s="1"/>
  <c r="J540" s="1"/>
  <c r="F537" i="305"/>
  <c r="G537" s="1"/>
  <c r="F588"/>
  <c r="G588" s="1"/>
  <c r="F541"/>
  <c r="G541" s="1"/>
  <c r="O580" i="309"/>
  <c r="O594"/>
  <c r="O565"/>
  <c r="O540"/>
  <c r="O529"/>
  <c r="O548"/>
  <c r="O557"/>
  <c r="O553"/>
  <c r="O552"/>
  <c r="O584"/>
  <c r="I539"/>
  <c r="I590"/>
  <c r="I543"/>
  <c r="I535"/>
  <c r="I567"/>
  <c r="J563"/>
  <c r="E563"/>
  <c r="F563" s="1"/>
  <c r="J532"/>
  <c r="E532"/>
  <c r="F532" s="1"/>
  <c r="K2382" i="132"/>
  <c r="F599" i="305" s="1"/>
  <c r="G599" s="1"/>
  <c r="K2518" i="132"/>
  <c r="F600" i="305" s="1"/>
  <c r="G600" s="1"/>
  <c r="E613" i="309"/>
  <c r="F613" s="1"/>
  <c r="J613"/>
  <c r="E616"/>
  <c r="F616" s="1"/>
  <c r="J616"/>
  <c r="E609"/>
  <c r="F609" s="1"/>
  <c r="J609"/>
  <c r="O620"/>
  <c r="O605"/>
  <c r="I598"/>
  <c r="I597"/>
  <c r="I608"/>
  <c r="O606"/>
  <c r="I612"/>
  <c r="E604"/>
  <c r="F604" s="1"/>
  <c r="J604"/>
  <c r="E610"/>
  <c r="F610" s="1"/>
  <c r="J610"/>
  <c r="E3446" i="214"/>
  <c r="E3448" s="1"/>
  <c r="E3449" s="1"/>
  <c r="S76" i="211"/>
  <c r="N76"/>
  <c r="O514" i="309"/>
  <c r="O183"/>
  <c r="O516"/>
  <c r="O375"/>
  <c r="O515"/>
  <c r="O374"/>
  <c r="O379"/>
  <c r="O519"/>
  <c r="O378"/>
  <c r="O200"/>
  <c r="O373"/>
  <c r="F367" i="305"/>
  <c r="G367" s="1"/>
  <c r="I369" i="309"/>
  <c r="F508" i="305"/>
  <c r="G508" s="1"/>
  <c r="I510" i="309"/>
  <c r="F504" i="305"/>
  <c r="G504" s="1"/>
  <c r="I506" i="309"/>
  <c r="F332" i="305"/>
  <c r="G332" s="1"/>
  <c r="I334" i="309"/>
  <c r="F497" i="305"/>
  <c r="G497" s="1"/>
  <c r="I499" i="309"/>
  <c r="F292" i="305"/>
  <c r="G292" s="1"/>
  <c r="I294" i="309"/>
  <c r="F352" i="305"/>
  <c r="G352" s="1"/>
  <c r="I354" i="309"/>
  <c r="F333" i="305"/>
  <c r="G333" s="1"/>
  <c r="I335" i="309"/>
  <c r="F357" i="305"/>
  <c r="G357" s="1"/>
  <c r="I359" i="309"/>
  <c r="J512"/>
  <c r="E512"/>
  <c r="F512" s="1"/>
  <c r="J366"/>
  <c r="E366"/>
  <c r="F366" s="1"/>
  <c r="J518"/>
  <c r="E518"/>
  <c r="F518" s="1"/>
  <c r="F363" i="305"/>
  <c r="G363" s="1"/>
  <c r="I365" i="309"/>
  <c r="I475"/>
  <c r="F356" i="305"/>
  <c r="G356" s="1"/>
  <c r="I358" i="309"/>
  <c r="F493" i="305"/>
  <c r="G493" s="1"/>
  <c r="I495" i="309"/>
  <c r="I440"/>
  <c r="F353" i="305"/>
  <c r="G353" s="1"/>
  <c r="I355" i="309"/>
  <c r="J35"/>
  <c r="E35"/>
  <c r="F35" s="1"/>
  <c r="J367"/>
  <c r="E367"/>
  <c r="F367" s="1"/>
  <c r="J371"/>
  <c r="E371"/>
  <c r="F371" s="1"/>
  <c r="J507"/>
  <c r="E507"/>
  <c r="F507" s="1"/>
  <c r="J511"/>
  <c r="E511"/>
  <c r="F511" s="1"/>
  <c r="J195"/>
  <c r="E195"/>
  <c r="F195" s="1"/>
  <c r="J377"/>
  <c r="E377"/>
  <c r="F377" s="1"/>
  <c r="J508"/>
  <c r="E508"/>
  <c r="F508" s="1"/>
  <c r="J370"/>
  <c r="E370"/>
  <c r="F370" s="1"/>
  <c r="J199"/>
  <c r="E199"/>
  <c r="F199" s="1"/>
  <c r="E3464" i="214"/>
  <c r="E3466" s="1"/>
  <c r="E3467" s="1"/>
  <c r="N80" i="211"/>
  <c r="I67"/>
  <c r="M84"/>
  <c r="S78"/>
  <c r="S90"/>
  <c r="S87"/>
  <c r="S60"/>
  <c r="L60"/>
  <c r="L66"/>
  <c r="M72"/>
  <c r="S67"/>
  <c r="S69"/>
  <c r="N138"/>
  <c r="C41" i="165" s="1"/>
  <c r="I52" i="196"/>
  <c r="I53"/>
  <c r="I183" i="211"/>
  <c r="C68" i="165" s="1"/>
  <c r="E71" i="139" s="1"/>
  <c r="S66" i="211"/>
  <c r="S77"/>
  <c r="I138"/>
  <c r="C67" i="165" s="1"/>
  <c r="E70" i="139" s="1"/>
  <c r="L183" i="211"/>
  <c r="C55" i="165" s="1"/>
  <c r="E60" i="139" s="1"/>
  <c r="G60" s="1"/>
  <c r="I65" i="211"/>
  <c r="Q72"/>
  <c r="G3380" i="214"/>
  <c r="F3399"/>
  <c r="F3381"/>
  <c r="G2463"/>
  <c r="F2464"/>
  <c r="F2482"/>
  <c r="L138" i="211"/>
  <c r="C54" i="165" s="1"/>
  <c r="E59" i="139" s="1"/>
  <c r="G59" s="1"/>
  <c r="Q71" i="211"/>
  <c r="S75"/>
  <c r="S85"/>
  <c r="S73"/>
  <c r="L77" i="196"/>
  <c r="O53"/>
  <c r="G2590" i="214"/>
  <c r="E2592" s="1"/>
  <c r="E2594" s="1"/>
  <c r="E2595" s="1"/>
  <c r="G3507"/>
  <c r="E3509" s="1"/>
  <c r="E3511" s="1"/>
  <c r="E3512" s="1"/>
  <c r="S183" i="211"/>
  <c r="C11" i="165" s="1"/>
  <c r="F11" s="1"/>
  <c r="N79" i="211"/>
  <c r="M89"/>
  <c r="M73"/>
  <c r="S65"/>
  <c r="I475" i="140"/>
  <c r="J475" s="1"/>
  <c r="O475" s="1"/>
  <c r="I358"/>
  <c r="J358" s="1"/>
  <c r="O358" s="1"/>
  <c r="E355" i="195"/>
  <c r="F355" s="1"/>
  <c r="J355" s="1"/>
  <c r="I495" i="140"/>
  <c r="J495" s="1"/>
  <c r="O495" s="1"/>
  <c r="E492" i="195"/>
  <c r="F492" s="1"/>
  <c r="J492" s="1"/>
  <c r="I440" i="140"/>
  <c r="J440" s="1"/>
  <c r="O440" s="1"/>
  <c r="I334"/>
  <c r="J334" s="1"/>
  <c r="O334" s="1"/>
  <c r="E331" i="195"/>
  <c r="F331" s="1"/>
  <c r="J331" s="1"/>
  <c r="I499" i="140"/>
  <c r="J499" s="1"/>
  <c r="O499" s="1"/>
  <c r="E496" i="195"/>
  <c r="F496" s="1"/>
  <c r="J496" s="1"/>
  <c r="I294" i="140"/>
  <c r="J294" s="1"/>
  <c r="O294" s="1"/>
  <c r="E291" i="195"/>
  <c r="F291" s="1"/>
  <c r="J291" s="1"/>
  <c r="I354" i="140"/>
  <c r="J354" s="1"/>
  <c r="O354" s="1"/>
  <c r="E351" i="195"/>
  <c r="F351" s="1"/>
  <c r="J351" s="1"/>
  <c r="I335" i="140"/>
  <c r="J335" s="1"/>
  <c r="O335" s="1"/>
  <c r="E332" i="195"/>
  <c r="F332" s="1"/>
  <c r="J332" s="1"/>
  <c r="I355" i="140"/>
  <c r="J355" s="1"/>
  <c r="O355" s="1"/>
  <c r="E352" i="195"/>
  <c r="F352" s="1"/>
  <c r="J352" s="1"/>
  <c r="I359" i="140"/>
  <c r="J359" s="1"/>
  <c r="O359" s="1"/>
  <c r="E356" i="195"/>
  <c r="F356" s="1"/>
  <c r="J356" s="1"/>
  <c r="G2339" i="214"/>
  <c r="F2341" s="1"/>
  <c r="C167" i="196"/>
  <c r="F167" s="1"/>
  <c r="O45"/>
  <c r="I77"/>
  <c r="K145"/>
  <c r="K105"/>
  <c r="L73"/>
  <c r="I124"/>
  <c r="K140"/>
  <c r="K153"/>
  <c r="I121"/>
  <c r="O49"/>
  <c r="I93"/>
  <c r="I97"/>
  <c r="K161"/>
  <c r="O68"/>
  <c r="I92"/>
  <c r="I157"/>
  <c r="I80"/>
  <c r="K117"/>
  <c r="I148"/>
  <c r="K85"/>
  <c r="I68"/>
  <c r="I49"/>
  <c r="K160"/>
  <c r="K141"/>
  <c r="K116"/>
  <c r="I165"/>
  <c r="I45"/>
  <c r="K156"/>
  <c r="K144"/>
  <c r="I108"/>
  <c r="I101"/>
  <c r="K152"/>
  <c r="F75"/>
  <c r="I75" s="1"/>
  <c r="F71"/>
  <c r="O71" s="1"/>
  <c r="K125"/>
  <c r="L44"/>
  <c r="K164"/>
  <c r="K136"/>
  <c r="O52"/>
  <c r="I104"/>
  <c r="K149"/>
  <c r="F99"/>
  <c r="K99" s="1"/>
  <c r="F147"/>
  <c r="I147" s="1"/>
  <c r="O44"/>
  <c r="I73"/>
  <c r="K129"/>
  <c r="D107" i="165"/>
  <c r="F97" i="139"/>
  <c r="G97" s="1"/>
  <c r="F106" i="165"/>
  <c r="G3034" i="214"/>
  <c r="G3036" s="1"/>
  <c r="K960" i="194" s="1"/>
  <c r="F3036" i="214"/>
  <c r="K1542" i="192" s="1"/>
  <c r="F2119" i="214"/>
  <c r="K1535" i="192" s="1"/>
  <c r="G2117" i="214"/>
  <c r="G2119" s="1"/>
  <c r="K954" i="194" s="1"/>
  <c r="D103" i="165"/>
  <c r="F94" i="139"/>
  <c r="G94" s="1"/>
  <c r="F102" i="165"/>
  <c r="M183" i="211"/>
  <c r="E80" i="139"/>
  <c r="E3175" i="214"/>
  <c r="E3179" s="1"/>
  <c r="F3175"/>
  <c r="F3179" s="1"/>
  <c r="K578" i="192" s="1"/>
  <c r="G3175" i="214"/>
  <c r="G3179" s="1"/>
  <c r="K375" i="194" s="1"/>
  <c r="F3271" i="214"/>
  <c r="G3271" s="1"/>
  <c r="G3268"/>
  <c r="M1002" i="192"/>
  <c r="E3316" i="214"/>
  <c r="E3318" s="1"/>
  <c r="E3319" s="1"/>
  <c r="F3316"/>
  <c r="F3318" s="1"/>
  <c r="F3319" s="1"/>
  <c r="K326" i="192" s="1"/>
  <c r="G3316" i="214"/>
  <c r="G3318" s="1"/>
  <c r="G3319" s="1"/>
  <c r="K237" i="194" s="1"/>
  <c r="F3206" i="214"/>
  <c r="F3210" s="1"/>
  <c r="F3211" s="1"/>
  <c r="K710" i="192" s="1"/>
  <c r="E3206" i="214"/>
  <c r="E3210" s="1"/>
  <c r="E3211" s="1"/>
  <c r="G3206"/>
  <c r="G3210" s="1"/>
  <c r="G3211" s="1"/>
  <c r="K436" i="194" s="1"/>
  <c r="M347"/>
  <c r="F3366" i="214"/>
  <c r="G3366" s="1"/>
  <c r="G3331"/>
  <c r="G3333" s="1"/>
  <c r="G3334" s="1"/>
  <c r="K261" i="194" s="1"/>
  <c r="E3331" i="214"/>
  <c r="E3333" s="1"/>
  <c r="E3334" s="1"/>
  <c r="F3331"/>
  <c r="F3333" s="1"/>
  <c r="F3334" s="1"/>
  <c r="K350" i="192" s="1"/>
  <c r="G3140" i="214"/>
  <c r="G3144" s="1"/>
  <c r="K290" i="194" s="1"/>
  <c r="F3144" i="214"/>
  <c r="K374" i="192" s="1"/>
  <c r="E3190" i="214"/>
  <c r="E3194" s="1"/>
  <c r="E3195" s="1"/>
  <c r="F3190"/>
  <c r="F3194" s="1"/>
  <c r="F3195" s="1"/>
  <c r="K678" i="192" s="1"/>
  <c r="G3190" i="214"/>
  <c r="G3194" s="1"/>
  <c r="G3195" s="1"/>
  <c r="K404" i="194" s="1"/>
  <c r="G3238" i="214"/>
  <c r="G3242" s="1"/>
  <c r="G3243" s="1"/>
  <c r="F3238"/>
  <c r="F3242" s="1"/>
  <c r="F3243" s="1"/>
  <c r="E3238"/>
  <c r="E3242" s="1"/>
  <c r="E3243" s="1"/>
  <c r="E3222"/>
  <c r="E3226" s="1"/>
  <c r="E3227" s="1"/>
  <c r="F3222"/>
  <c r="F3226" s="1"/>
  <c r="F3227" s="1"/>
  <c r="K742" i="192" s="1"/>
  <c r="G3222" i="214"/>
  <c r="G3226" s="1"/>
  <c r="G3227" s="1"/>
  <c r="K468" i="194" s="1"/>
  <c r="G3123" i="214"/>
  <c r="G3127" s="1"/>
  <c r="K320" i="194" s="1"/>
  <c r="F3127" i="214"/>
  <c r="K460" i="192" s="1"/>
  <c r="M1175"/>
  <c r="F3347" i="214"/>
  <c r="G3347" s="1"/>
  <c r="F3425"/>
  <c r="G3425" s="1"/>
  <c r="G3426" s="1"/>
  <c r="M1209" i="192"/>
  <c r="G2258" i="214"/>
  <c r="G2262" s="1"/>
  <c r="K368" i="194" s="1"/>
  <c r="E2258" i="214"/>
  <c r="E2262" s="1"/>
  <c r="F2258"/>
  <c r="F2262" s="1"/>
  <c r="K571" i="192" s="1"/>
  <c r="F2227" i="214"/>
  <c r="K368" i="192" s="1"/>
  <c r="G2223" i="214"/>
  <c r="G2227" s="1"/>
  <c r="K282" i="194" s="1"/>
  <c r="F2430" i="214"/>
  <c r="G2430" s="1"/>
  <c r="M769" i="194"/>
  <c r="E2399" i="214"/>
  <c r="E2401" s="1"/>
  <c r="E2402" s="1"/>
  <c r="F2399"/>
  <c r="F2401" s="1"/>
  <c r="F2402" s="1"/>
  <c r="K320" i="192" s="1"/>
  <c r="G2399" i="214"/>
  <c r="G2401" s="1"/>
  <c r="G2402" s="1"/>
  <c r="K232" i="194" s="1"/>
  <c r="E2305" i="214"/>
  <c r="E2309" s="1"/>
  <c r="E2310" s="1"/>
  <c r="F2305"/>
  <c r="F2309" s="1"/>
  <c r="F2310" s="1"/>
  <c r="K734" i="192" s="1"/>
  <c r="G2305" i="214"/>
  <c r="G2309" s="1"/>
  <c r="G2310" s="1"/>
  <c r="K460" i="194" s="1"/>
  <c r="M541" i="192"/>
  <c r="M1170"/>
  <c r="F2508" i="214"/>
  <c r="G2508" s="1"/>
  <c r="G2509" s="1"/>
  <c r="G2592"/>
  <c r="G2594" s="1"/>
  <c r="G2595" s="1"/>
  <c r="K793" i="194" s="1"/>
  <c r="M995" i="192"/>
  <c r="E2414" i="214"/>
  <c r="E2416" s="1"/>
  <c r="E2417" s="1"/>
  <c r="F2414"/>
  <c r="F2416" s="1"/>
  <c r="F2417" s="1"/>
  <c r="K344" i="192" s="1"/>
  <c r="G2414" i="214"/>
  <c r="G2416" s="1"/>
  <c r="G2417" s="1"/>
  <c r="K255" i="194" s="1"/>
  <c r="G2351" i="214"/>
  <c r="F2354"/>
  <c r="G2354" s="1"/>
  <c r="F2449"/>
  <c r="G2449" s="1"/>
  <c r="M1197" i="192"/>
  <c r="G2321" i="214"/>
  <c r="G2325" s="1"/>
  <c r="G2326" s="1"/>
  <c r="F2321"/>
  <c r="F2325" s="1"/>
  <c r="F2326" s="1"/>
  <c r="E2321"/>
  <c r="E2325" s="1"/>
  <c r="E2326" s="1"/>
  <c r="F2273"/>
  <c r="F2277" s="1"/>
  <c r="F2278" s="1"/>
  <c r="K659" i="192" s="1"/>
  <c r="G2273" i="214"/>
  <c r="G2277" s="1"/>
  <c r="G2278" s="1"/>
  <c r="K397" i="194" s="1"/>
  <c r="E2273" i="214"/>
  <c r="E2277" s="1"/>
  <c r="E2278" s="1"/>
  <c r="G2289"/>
  <c r="G2293" s="1"/>
  <c r="G2294" s="1"/>
  <c r="K428" i="194" s="1"/>
  <c r="F2289" i="214"/>
  <c r="F2293" s="1"/>
  <c r="F2294" s="1"/>
  <c r="K702" i="192" s="1"/>
  <c r="E2289" i="214"/>
  <c r="E2293" s="1"/>
  <c r="E2294" s="1"/>
  <c r="M744" i="194"/>
  <c r="Q138" i="211"/>
  <c r="K84" i="196"/>
  <c r="I72"/>
  <c r="O72"/>
  <c r="S64" i="211"/>
  <c r="S68"/>
  <c r="I62"/>
  <c r="S88"/>
  <c r="L69" i="196"/>
  <c r="L64" i="211"/>
  <c r="S86"/>
  <c r="M83"/>
  <c r="S138"/>
  <c r="C10" i="165" s="1"/>
  <c r="O65" i="196"/>
  <c r="I65"/>
  <c r="L65"/>
  <c r="O60"/>
  <c r="L60"/>
  <c r="I69"/>
  <c r="O61"/>
  <c r="I61"/>
  <c r="L61"/>
  <c r="L64"/>
  <c r="O64"/>
  <c r="I64"/>
  <c r="I60"/>
  <c r="F43"/>
  <c r="L43" s="1"/>
  <c r="F67"/>
  <c r="L67" s="1"/>
  <c r="F51"/>
  <c r="I51" s="1"/>
  <c r="F95"/>
  <c r="I95" s="1"/>
  <c r="F119"/>
  <c r="K119" s="1"/>
  <c r="F155"/>
  <c r="K155" s="1"/>
  <c r="F131"/>
  <c r="K131" s="1"/>
  <c r="F159"/>
  <c r="I159" s="1"/>
  <c r="I128"/>
  <c r="K128"/>
  <c r="F127"/>
  <c r="K127" s="1"/>
  <c r="F47"/>
  <c r="I47" s="1"/>
  <c r="L62" i="211"/>
  <c r="Q74"/>
  <c r="M847" i="194"/>
  <c r="E507" i="195"/>
  <c r="F507" s="1"/>
  <c r="J507" s="1"/>
  <c r="I510" i="140"/>
  <c r="J510" s="1"/>
  <c r="M815" i="194"/>
  <c r="E503" i="195"/>
  <c r="F503" s="1"/>
  <c r="J503" s="1"/>
  <c r="I506" i="140"/>
  <c r="J506" s="1"/>
  <c r="O506" s="1"/>
  <c r="F139" i="196"/>
  <c r="I139" s="1"/>
  <c r="F107"/>
  <c r="K107" s="1"/>
  <c r="F135"/>
  <c r="I135" s="1"/>
  <c r="F79"/>
  <c r="F111"/>
  <c r="K111" s="1"/>
  <c r="F83"/>
  <c r="S74" i="211"/>
  <c r="F151" i="196"/>
  <c r="I151" s="1"/>
  <c r="M1334" i="192"/>
  <c r="E366" i="195"/>
  <c r="F366" s="1"/>
  <c r="J366" s="1"/>
  <c r="I369" i="140"/>
  <c r="J369" s="1"/>
  <c r="O369" s="1"/>
  <c r="M1259" i="192"/>
  <c r="E362" i="195"/>
  <c r="F362" s="1"/>
  <c r="J362" s="1"/>
  <c r="I365" i="140"/>
  <c r="J365" s="1"/>
  <c r="O365" s="1"/>
  <c r="S71" i="211"/>
  <c r="F103" i="196"/>
  <c r="I103" s="1"/>
  <c r="F123"/>
  <c r="I123" s="1"/>
  <c r="F91"/>
  <c r="K91" s="1"/>
  <c r="F115"/>
  <c r="I115" s="1"/>
  <c r="F163"/>
  <c r="I163" s="1"/>
  <c r="F143"/>
  <c r="I143" s="1"/>
  <c r="D63"/>
  <c r="F63" s="1"/>
  <c r="I63" s="1"/>
  <c r="D59"/>
  <c r="F59" s="1"/>
  <c r="I59" s="1"/>
  <c r="I19"/>
  <c r="M19"/>
  <c r="O19"/>
  <c r="H93" i="211"/>
  <c r="C79" i="165" s="1"/>
  <c r="E78" i="139" s="1"/>
  <c r="I87" i="196"/>
  <c r="K87"/>
  <c r="O35"/>
  <c r="L35"/>
  <c r="I35"/>
  <c r="I23"/>
  <c r="O23"/>
  <c r="M23"/>
  <c r="O55"/>
  <c r="L55"/>
  <c r="O39"/>
  <c r="I39"/>
  <c r="L39"/>
  <c r="E21" i="240"/>
  <c r="F21" s="1"/>
  <c r="L21" s="1"/>
  <c r="F2188" i="214" s="1"/>
  <c r="G2188" s="1"/>
  <c r="G2193" s="1"/>
  <c r="E22" i="240"/>
  <c r="F22" s="1"/>
  <c r="L22" s="1"/>
  <c r="F2421" i="214" s="1"/>
  <c r="F20" i="240"/>
  <c r="L20" s="1"/>
  <c r="E1870" i="214" s="1"/>
  <c r="F1870" s="1"/>
  <c r="F1871" s="1"/>
  <c r="D67" i="165" s="1"/>
  <c r="F70" i="139" s="1"/>
  <c r="E21" i="250"/>
  <c r="F21" s="1"/>
  <c r="L21" s="1"/>
  <c r="F3105" i="214" s="1"/>
  <c r="G3105" s="1"/>
  <c r="G3110" s="1"/>
  <c r="E22" i="250"/>
  <c r="F22" s="1"/>
  <c r="L22" s="1"/>
  <c r="F3338" i="214" s="1"/>
  <c r="F20" i="250"/>
  <c r="L20" s="1"/>
  <c r="E2787" i="214" s="1"/>
  <c r="F2787" s="1"/>
  <c r="F2788" s="1"/>
  <c r="D68" i="165" s="1"/>
  <c r="F634" i="214"/>
  <c r="F635"/>
  <c r="M604" i="194" l="1"/>
  <c r="M550" i="192"/>
  <c r="E437" i="195"/>
  <c r="F437" s="1"/>
  <c r="J437" s="1"/>
  <c r="E472"/>
  <c r="F472" s="1"/>
  <c r="J472" s="1"/>
  <c r="I79" i="196"/>
  <c r="K79"/>
  <c r="C42" i="165"/>
  <c r="I113" i="309"/>
  <c r="J113" s="1"/>
  <c r="E555"/>
  <c r="F555" s="1"/>
  <c r="O555" s="1"/>
  <c r="I500" i="140"/>
  <c r="J500" s="1"/>
  <c r="O500" s="1"/>
  <c r="F498" i="305"/>
  <c r="G498" s="1"/>
  <c r="M751" i="194"/>
  <c r="E292" i="195"/>
  <c r="F292" s="1"/>
  <c r="J292" s="1"/>
  <c r="I476" i="140"/>
  <c r="J476" s="1"/>
  <c r="O476" s="1"/>
  <c r="I295" i="309"/>
  <c r="E295" s="1"/>
  <c r="F295" s="1"/>
  <c r="I476"/>
  <c r="J476" s="1"/>
  <c r="M611" i="194"/>
  <c r="I295" i="140"/>
  <c r="J295" s="1"/>
  <c r="O295" s="1"/>
  <c r="F494" i="305"/>
  <c r="G494" s="1"/>
  <c r="F3509" i="214"/>
  <c r="F3511" s="1"/>
  <c r="F3512" s="1"/>
  <c r="K1241" i="192" s="1"/>
  <c r="F361" i="305" s="1"/>
  <c r="G361" s="1"/>
  <c r="E493" i="195"/>
  <c r="F493" s="1"/>
  <c r="J493" s="1"/>
  <c r="G2206" i="214"/>
  <c r="G2210" s="1"/>
  <c r="K312" i="194" s="1"/>
  <c r="F429" i="305" s="1"/>
  <c r="G429" s="1"/>
  <c r="F3258" i="214"/>
  <c r="G3258" s="1"/>
  <c r="G3262" s="1"/>
  <c r="G3263" s="1"/>
  <c r="K508" i="194" s="1"/>
  <c r="M775"/>
  <c r="I496" i="140"/>
  <c r="J496" s="1"/>
  <c r="O496" s="1"/>
  <c r="F474" i="305"/>
  <c r="G474" s="1"/>
  <c r="E2341" i="214"/>
  <c r="E2345" s="1"/>
  <c r="E2346" s="1"/>
  <c r="K1145" i="132" s="1"/>
  <c r="E497" i="195"/>
  <c r="F497" s="1"/>
  <c r="J497" s="1"/>
  <c r="F71" i="139"/>
  <c r="D73" i="165"/>
  <c r="F19" i="305"/>
  <c r="G19" s="1"/>
  <c r="E527" i="309"/>
  <c r="F527" s="1"/>
  <c r="O527" s="1"/>
  <c r="I172" i="140"/>
  <c r="J172" s="1"/>
  <c r="O172" s="1"/>
  <c r="I117"/>
  <c r="J117" s="1"/>
  <c r="O117" s="1"/>
  <c r="I237"/>
  <c r="J237" s="1"/>
  <c r="O237" s="1"/>
  <c r="E36" i="309"/>
  <c r="F36" s="1"/>
  <c r="O36" s="1"/>
  <c r="F108" i="305"/>
  <c r="G108" s="1"/>
  <c r="F24"/>
  <c r="G24" s="1"/>
  <c r="F23"/>
  <c r="G23" s="1"/>
  <c r="M860" i="132"/>
  <c r="M1488"/>
  <c r="M798"/>
  <c r="M2004"/>
  <c r="F107" i="305"/>
  <c r="G107" s="1"/>
  <c r="M1464" i="132"/>
  <c r="I152" i="140"/>
  <c r="J152" s="1"/>
  <c r="O152" s="1"/>
  <c r="I236"/>
  <c r="J236" s="1"/>
  <c r="O236" s="1"/>
  <c r="F235" i="305"/>
  <c r="G235" s="1"/>
  <c r="I172" i="309"/>
  <c r="J172" s="1"/>
  <c r="M128" i="132"/>
  <c r="I23" i="140"/>
  <c r="J23" s="1"/>
  <c r="O23" s="1"/>
  <c r="I109"/>
  <c r="J109" s="1"/>
  <c r="O109" s="1"/>
  <c r="E22" i="195"/>
  <c r="F22" s="1"/>
  <c r="J22" s="1"/>
  <c r="E19"/>
  <c r="F19" s="1"/>
  <c r="J19" s="1"/>
  <c r="F20" i="305"/>
  <c r="G20" s="1"/>
  <c r="F236"/>
  <c r="G236" s="1"/>
  <c r="M155" i="132"/>
  <c r="E107" i="195"/>
  <c r="F107" s="1"/>
  <c r="J107" s="1"/>
  <c r="E235"/>
  <c r="F235" s="1"/>
  <c r="J235" s="1"/>
  <c r="I20" i="140"/>
  <c r="J20" s="1"/>
  <c r="O20" s="1"/>
  <c r="M892" i="132"/>
  <c r="E436" i="195"/>
  <c r="F436" s="1"/>
  <c r="J436" s="1"/>
  <c r="I116" i="140"/>
  <c r="J116" s="1"/>
  <c r="O116" s="1"/>
  <c r="E114" i="195"/>
  <c r="F114" s="1"/>
  <c r="J114" s="1"/>
  <c r="M339" i="194"/>
  <c r="I439" i="140"/>
  <c r="J439" s="1"/>
  <c r="O439" s="1"/>
  <c r="I19"/>
  <c r="J19" s="1"/>
  <c r="O19" s="1"/>
  <c r="I439" i="309"/>
  <c r="J439" s="1"/>
  <c r="M120" i="132"/>
  <c r="E115" i="195"/>
  <c r="F115" s="1"/>
  <c r="J115" s="1"/>
  <c r="M1494" i="132"/>
  <c r="E175" i="195"/>
  <c r="F175" s="1"/>
  <c r="J175" s="1"/>
  <c r="E18"/>
  <c r="F18" s="1"/>
  <c r="J18" s="1"/>
  <c r="M908" i="132"/>
  <c r="I177" i="140"/>
  <c r="J177" s="1"/>
  <c r="O177" s="1"/>
  <c r="F115" i="305"/>
  <c r="G115" s="1"/>
  <c r="F116"/>
  <c r="G116" s="1"/>
  <c r="F176"/>
  <c r="G176" s="1"/>
  <c r="I152" i="309"/>
  <c r="J152" s="1"/>
  <c r="O191"/>
  <c r="M780" i="132"/>
  <c r="M852"/>
  <c r="E23" i="195"/>
  <c r="F23" s="1"/>
  <c r="J23" s="1"/>
  <c r="M1999" i="132"/>
  <c r="I176" i="140"/>
  <c r="J176" s="1"/>
  <c r="O176" s="1"/>
  <c r="E597" i="195"/>
  <c r="F597" s="1"/>
  <c r="J597" s="1"/>
  <c r="F112" i="305"/>
  <c r="G112" s="1"/>
  <c r="F111"/>
  <c r="G111" s="1"/>
  <c r="I176" i="309"/>
  <c r="J176" s="1"/>
  <c r="O203"/>
  <c r="I112"/>
  <c r="E112" s="1"/>
  <c r="F112" s="1"/>
  <c r="J24"/>
  <c r="E24"/>
  <c r="F24" s="1"/>
  <c r="E108"/>
  <c r="F108" s="1"/>
  <c r="J108"/>
  <c r="E106" i="195"/>
  <c r="F106" s="1"/>
  <c r="J106" s="1"/>
  <c r="M1289" i="132"/>
  <c r="E110" i="195"/>
  <c r="F110" s="1"/>
  <c r="J110" s="1"/>
  <c r="E111"/>
  <c r="F111" s="1"/>
  <c r="J111" s="1"/>
  <c r="M164" i="132"/>
  <c r="E170" i="195"/>
  <c r="F170" s="1"/>
  <c r="J170" s="1"/>
  <c r="E174"/>
  <c r="F174" s="1"/>
  <c r="J174" s="1"/>
  <c r="E150"/>
  <c r="F150" s="1"/>
  <c r="J150" s="1"/>
  <c r="E234"/>
  <c r="F234" s="1"/>
  <c r="J234" s="1"/>
  <c r="I24" i="140"/>
  <c r="J24" s="1"/>
  <c r="O24" s="1"/>
  <c r="I108"/>
  <c r="J108" s="1"/>
  <c r="O108" s="1"/>
  <c r="J112" i="309"/>
  <c r="J109"/>
  <c r="E109"/>
  <c r="F109" s="1"/>
  <c r="E19"/>
  <c r="F19" s="1"/>
  <c r="J19"/>
  <c r="E20"/>
  <c r="F20" s="1"/>
  <c r="O20" s="1"/>
  <c r="J23"/>
  <c r="E23"/>
  <c r="F23" s="1"/>
  <c r="K735" i="132"/>
  <c r="I105" i="309" s="1"/>
  <c r="K1047" i="132"/>
  <c r="I132" i="309" s="1"/>
  <c r="K1073" i="132"/>
  <c r="F135" i="305" s="1"/>
  <c r="G135" s="1"/>
  <c r="K708" i="132"/>
  <c r="I97" i="140" s="1"/>
  <c r="J97" s="1"/>
  <c r="O97" s="1"/>
  <c r="K1520" i="132"/>
  <c r="F180" i="305" s="1"/>
  <c r="G180" s="1"/>
  <c r="K729" i="132"/>
  <c r="I104" i="309" s="1"/>
  <c r="K1009" i="132"/>
  <c r="I128" i="309" s="1"/>
  <c r="K702" i="132"/>
  <c r="I96" i="140" s="1"/>
  <c r="J96" s="1"/>
  <c r="O96" s="1"/>
  <c r="K678" i="132"/>
  <c r="I92" i="309" s="1"/>
  <c r="K932" i="132"/>
  <c r="I120" i="309" s="1"/>
  <c r="K1078" i="132"/>
  <c r="F136" i="305" s="1"/>
  <c r="G136" s="1"/>
  <c r="K1026" i="132"/>
  <c r="I129" i="140" s="1"/>
  <c r="J129" s="1"/>
  <c r="O129" s="1"/>
  <c r="K1054" i="132"/>
  <c r="F132" i="305" s="1"/>
  <c r="G132" s="1"/>
  <c r="K684" i="132"/>
  <c r="I93" i="309" s="1"/>
  <c r="K940" i="132"/>
  <c r="I121" i="309" s="1"/>
  <c r="K1513" i="132"/>
  <c r="F179" i="305" s="1"/>
  <c r="G179" s="1"/>
  <c r="K1469" i="132"/>
  <c r="I173" i="309" s="1"/>
  <c r="K1299" i="132"/>
  <c r="I153" i="309" s="1"/>
  <c r="G3509" i="214"/>
  <c r="G3511" s="1"/>
  <c r="G3512" s="1"/>
  <c r="K799" i="194" s="1"/>
  <c r="I504" i="309" s="1"/>
  <c r="J116"/>
  <c r="O116" s="1"/>
  <c r="E117"/>
  <c r="F117" s="1"/>
  <c r="O117" s="1"/>
  <c r="M2518" i="132"/>
  <c r="M2382"/>
  <c r="I83" i="196"/>
  <c r="K83"/>
  <c r="I602" i="140"/>
  <c r="J602" s="1"/>
  <c r="O602" s="1"/>
  <c r="E598" i="195"/>
  <c r="F598" s="1"/>
  <c r="J598" s="1"/>
  <c r="I601" i="140"/>
  <c r="J601" s="1"/>
  <c r="O601" s="1"/>
  <c r="O544" i="309"/>
  <c r="O559"/>
  <c r="O547"/>
  <c r="O754"/>
  <c r="O561"/>
  <c r="O536"/>
  <c r="O592"/>
  <c r="J589"/>
  <c r="E589"/>
  <c r="F589" s="1"/>
  <c r="O549"/>
  <c r="O568"/>
  <c r="O551"/>
  <c r="O531"/>
  <c r="E800"/>
  <c r="F800" s="1"/>
  <c r="J800"/>
  <c r="O714"/>
  <c r="O679"/>
  <c r="O908"/>
  <c r="O904"/>
  <c r="O848"/>
  <c r="O792"/>
  <c r="O872"/>
  <c r="O804"/>
  <c r="O802"/>
  <c r="O801"/>
  <c r="O868"/>
  <c r="O876"/>
  <c r="O832"/>
  <c r="O812"/>
  <c r="O844"/>
  <c r="O610"/>
  <c r="O604"/>
  <c r="O884"/>
  <c r="O748"/>
  <c r="O788"/>
  <c r="O856"/>
  <c r="O796"/>
  <c r="O780"/>
  <c r="O776"/>
  <c r="O860"/>
  <c r="O840"/>
  <c r="O896"/>
  <c r="O808"/>
  <c r="O880"/>
  <c r="O671"/>
  <c r="O692"/>
  <c r="E567"/>
  <c r="F567" s="1"/>
  <c r="J567"/>
  <c r="E543"/>
  <c r="F543" s="1"/>
  <c r="J543"/>
  <c r="E539"/>
  <c r="F539" s="1"/>
  <c r="J539"/>
  <c r="O532"/>
  <c r="O563"/>
  <c r="E535"/>
  <c r="F535" s="1"/>
  <c r="J535"/>
  <c r="E590"/>
  <c r="F590" s="1"/>
  <c r="J590"/>
  <c r="E612"/>
  <c r="F612" s="1"/>
  <c r="J612"/>
  <c r="E608"/>
  <c r="F608" s="1"/>
  <c r="J608"/>
  <c r="E598"/>
  <c r="F598" s="1"/>
  <c r="J598"/>
  <c r="O609"/>
  <c r="O616"/>
  <c r="O613"/>
  <c r="I602"/>
  <c r="I601"/>
  <c r="E597"/>
  <c r="F597" s="1"/>
  <c r="J597"/>
  <c r="F2592" i="214"/>
  <c r="F2594" s="1"/>
  <c r="F2595" s="1"/>
  <c r="K1233" i="192" s="1"/>
  <c r="M1233" s="1"/>
  <c r="O518" i="309"/>
  <c r="O366"/>
  <c r="F449" i="305"/>
  <c r="G449" s="1"/>
  <c r="I451" i="309"/>
  <c r="F445" i="305"/>
  <c r="G445" s="1"/>
  <c r="I447" i="309"/>
  <c r="F280" i="305"/>
  <c r="G280" s="1"/>
  <c r="I282" i="309"/>
  <c r="F284" i="305"/>
  <c r="G284" s="1"/>
  <c r="I286" i="309"/>
  <c r="F501" i="305"/>
  <c r="G501" s="1"/>
  <c r="I503" i="309"/>
  <c r="F312" i="305"/>
  <c r="G312" s="1"/>
  <c r="I314" i="309"/>
  <c r="F421" i="305"/>
  <c r="G421" s="1"/>
  <c r="I423" i="309"/>
  <c r="F288" i="305"/>
  <c r="G288" s="1"/>
  <c r="I290" i="309"/>
  <c r="F285" i="305"/>
  <c r="G285" s="1"/>
  <c r="I287" i="309"/>
  <c r="F454" i="305"/>
  <c r="G454" s="1"/>
  <c r="I456" i="309"/>
  <c r="F446" i="305"/>
  <c r="G446" s="1"/>
  <c r="I448" i="309"/>
  <c r="F289" i="305"/>
  <c r="G289" s="1"/>
  <c r="I291" i="309"/>
  <c r="F281" i="305"/>
  <c r="G281" s="1"/>
  <c r="I283" i="309"/>
  <c r="F426" i="305"/>
  <c r="G426" s="1"/>
  <c r="I428" i="309"/>
  <c r="F422" i="305"/>
  <c r="G422" s="1"/>
  <c r="I424" i="309"/>
  <c r="F297" i="305"/>
  <c r="G297" s="1"/>
  <c r="I299" i="309"/>
  <c r="F380" i="305"/>
  <c r="G380" s="1"/>
  <c r="I382" i="309"/>
  <c r="F381" i="305"/>
  <c r="G381" s="1"/>
  <c r="I383" i="309"/>
  <c r="F308" i="305"/>
  <c r="G308" s="1"/>
  <c r="I310" i="309"/>
  <c r="F304" i="305"/>
  <c r="G304" s="1"/>
  <c r="I306" i="309"/>
  <c r="F425" i="305"/>
  <c r="G425" s="1"/>
  <c r="I427" i="309"/>
  <c r="F453" i="305"/>
  <c r="G453" s="1"/>
  <c r="I455" i="309"/>
  <c r="F276" i="305"/>
  <c r="G276" s="1"/>
  <c r="I278" i="309"/>
  <c r="F433" i="305"/>
  <c r="G433" s="1"/>
  <c r="I435" i="309"/>
  <c r="F296" i="305"/>
  <c r="G296" s="1"/>
  <c r="I298" i="309"/>
  <c r="F441" i="305"/>
  <c r="G441" s="1"/>
  <c r="I443" i="309"/>
  <c r="F430" i="305"/>
  <c r="G430" s="1"/>
  <c r="I432" i="309"/>
  <c r="F313" i="305"/>
  <c r="G313" s="1"/>
  <c r="I315" i="309"/>
  <c r="F305" i="305"/>
  <c r="G305" s="1"/>
  <c r="I307" i="309"/>
  <c r="F434" i="305"/>
  <c r="G434" s="1"/>
  <c r="I436" i="309"/>
  <c r="F450" i="305"/>
  <c r="G450" s="1"/>
  <c r="I452" i="309"/>
  <c r="F309" i="305"/>
  <c r="G309" s="1"/>
  <c r="I311" i="309"/>
  <c r="F277" i="305"/>
  <c r="G277" s="1"/>
  <c r="I279" i="309"/>
  <c r="F442" i="305"/>
  <c r="G442" s="1"/>
  <c r="I444" i="309"/>
  <c r="F521" i="305"/>
  <c r="G521" s="1"/>
  <c r="I523" i="309"/>
  <c r="F522" i="305"/>
  <c r="G522" s="1"/>
  <c r="I524" i="309"/>
  <c r="J355"/>
  <c r="E355"/>
  <c r="F355" s="1"/>
  <c r="J237"/>
  <c r="E237"/>
  <c r="F237" s="1"/>
  <c r="J236"/>
  <c r="E236"/>
  <c r="F236" s="1"/>
  <c r="J177"/>
  <c r="E177"/>
  <c r="F177" s="1"/>
  <c r="J500"/>
  <c r="E500"/>
  <c r="F500" s="1"/>
  <c r="J295"/>
  <c r="J440"/>
  <c r="E440"/>
  <c r="F440" s="1"/>
  <c r="J495"/>
  <c r="E495"/>
  <c r="F495" s="1"/>
  <c r="J358"/>
  <c r="E358"/>
  <c r="F358" s="1"/>
  <c r="J475"/>
  <c r="E475"/>
  <c r="F475" s="1"/>
  <c r="J365"/>
  <c r="E365"/>
  <c r="F365" s="1"/>
  <c r="J359"/>
  <c r="E359"/>
  <c r="F359" s="1"/>
  <c r="J496"/>
  <c r="E496"/>
  <c r="F496" s="1"/>
  <c r="J335"/>
  <c r="E335"/>
  <c r="F335" s="1"/>
  <c r="J354"/>
  <c r="E354"/>
  <c r="F354" s="1"/>
  <c r="J294"/>
  <c r="E294"/>
  <c r="F294" s="1"/>
  <c r="J499"/>
  <c r="E499"/>
  <c r="F499" s="1"/>
  <c r="J334"/>
  <c r="E334"/>
  <c r="F334" s="1"/>
  <c r="J506"/>
  <c r="E506"/>
  <c r="F506" s="1"/>
  <c r="J510"/>
  <c r="E510"/>
  <c r="F510" s="1"/>
  <c r="J369"/>
  <c r="E369"/>
  <c r="F369" s="1"/>
  <c r="O199"/>
  <c r="O370"/>
  <c r="O508"/>
  <c r="O377"/>
  <c r="O195"/>
  <c r="O511"/>
  <c r="O507"/>
  <c r="O371"/>
  <c r="O367"/>
  <c r="O35"/>
  <c r="O512"/>
  <c r="F54" i="165"/>
  <c r="I93" i="211"/>
  <c r="C66" i="165" s="1"/>
  <c r="E69" i="139" s="1"/>
  <c r="N93" i="211"/>
  <c r="Q93"/>
  <c r="E23" i="139"/>
  <c r="F2465" i="214"/>
  <c r="G2465" s="1"/>
  <c r="G2464"/>
  <c r="G3381"/>
  <c r="F3382"/>
  <c r="G3382" s="1"/>
  <c r="F2483"/>
  <c r="G2483" s="1"/>
  <c r="G2482"/>
  <c r="G3399"/>
  <c r="F3400"/>
  <c r="G3400" s="1"/>
  <c r="G3276"/>
  <c r="E3278" s="1"/>
  <c r="E3282" s="1"/>
  <c r="E3283" s="1"/>
  <c r="M93" i="211"/>
  <c r="O75" i="196"/>
  <c r="L71"/>
  <c r="E520" i="195"/>
  <c r="F520" s="1"/>
  <c r="J520" s="1"/>
  <c r="I523" i="140"/>
  <c r="J523" s="1"/>
  <c r="O523" s="1"/>
  <c r="I383"/>
  <c r="J383" s="1"/>
  <c r="O383" s="1"/>
  <c r="E380" i="195"/>
  <c r="F380" s="1"/>
  <c r="J380" s="1"/>
  <c r="I382" i="140"/>
  <c r="J382" s="1"/>
  <c r="O382" s="1"/>
  <c r="E379" i="195"/>
  <c r="F379" s="1"/>
  <c r="J379" s="1"/>
  <c r="E521"/>
  <c r="F521" s="1"/>
  <c r="J521" s="1"/>
  <c r="I524" i="140"/>
  <c r="J524" s="1"/>
  <c r="O524" s="1"/>
  <c r="F68" i="165"/>
  <c r="F67"/>
  <c r="I310" i="140"/>
  <c r="J310" s="1"/>
  <c r="O310" s="1"/>
  <c r="E307" i="195"/>
  <c r="F307" s="1"/>
  <c r="J307" s="1"/>
  <c r="I306" i="140"/>
  <c r="J306" s="1"/>
  <c r="O306" s="1"/>
  <c r="E303" i="195"/>
  <c r="F303" s="1"/>
  <c r="J303" s="1"/>
  <c r="I282" i="140"/>
  <c r="J282" s="1"/>
  <c r="O282" s="1"/>
  <c r="E279" i="195"/>
  <c r="F279" s="1"/>
  <c r="J279" s="1"/>
  <c r="E428"/>
  <c r="F428" s="1"/>
  <c r="J428" s="1"/>
  <c r="I362" i="140"/>
  <c r="J362" s="1"/>
  <c r="O362" s="1"/>
  <c r="I503"/>
  <c r="J503" s="1"/>
  <c r="O503" s="1"/>
  <c r="E500" i="195"/>
  <c r="F500" s="1"/>
  <c r="J500" s="1"/>
  <c r="I314" i="140"/>
  <c r="J314" s="1"/>
  <c r="O314" s="1"/>
  <c r="E311" i="195"/>
  <c r="F311" s="1"/>
  <c r="J311" s="1"/>
  <c r="I423" i="140"/>
  <c r="J423" s="1"/>
  <c r="O423" s="1"/>
  <c r="E420" i="195"/>
  <c r="F420" s="1"/>
  <c r="J420" s="1"/>
  <c r="I290" i="140"/>
  <c r="J290" s="1"/>
  <c r="O290" s="1"/>
  <c r="E287" i="195"/>
  <c r="F287" s="1"/>
  <c r="J287" s="1"/>
  <c r="I287" i="140"/>
  <c r="J287" s="1"/>
  <c r="O287" s="1"/>
  <c r="E284" i="195"/>
  <c r="F284" s="1"/>
  <c r="J284" s="1"/>
  <c r="I456" i="140"/>
  <c r="J456" s="1"/>
  <c r="O456" s="1"/>
  <c r="E453" i="195"/>
  <c r="F453" s="1"/>
  <c r="J453" s="1"/>
  <c r="I448" i="140"/>
  <c r="J448" s="1"/>
  <c r="O448" s="1"/>
  <c r="E445" i="195"/>
  <c r="F445" s="1"/>
  <c r="J445" s="1"/>
  <c r="I436" i="140"/>
  <c r="J436" s="1"/>
  <c r="O436" s="1"/>
  <c r="E433" i="195"/>
  <c r="F433" s="1"/>
  <c r="J433" s="1"/>
  <c r="I363" i="140"/>
  <c r="J363" s="1"/>
  <c r="O363" s="1"/>
  <c r="E360" i="195"/>
  <c r="F360" s="1"/>
  <c r="J360" s="1"/>
  <c r="I424" i="140"/>
  <c r="J424" s="1"/>
  <c r="O424" s="1"/>
  <c r="E421" i="195"/>
  <c r="F421" s="1"/>
  <c r="J421" s="1"/>
  <c r="I444" i="140"/>
  <c r="J444" s="1"/>
  <c r="O444" s="1"/>
  <c r="E441" i="195"/>
  <c r="F441" s="1"/>
  <c r="J441" s="1"/>
  <c r="I451" i="140"/>
  <c r="J451" s="1"/>
  <c r="O451" s="1"/>
  <c r="E448" i="195"/>
  <c r="F448" s="1"/>
  <c r="J448" s="1"/>
  <c r="I447" i="140"/>
  <c r="J447" s="1"/>
  <c r="O447" s="1"/>
  <c r="E444" i="195"/>
  <c r="F444" s="1"/>
  <c r="J444" s="1"/>
  <c r="I427" i="140"/>
  <c r="J427" s="1"/>
  <c r="O427" s="1"/>
  <c r="E424" i="195"/>
  <c r="F424" s="1"/>
  <c r="J424" s="1"/>
  <c r="I286" i="140"/>
  <c r="J286" s="1"/>
  <c r="O286" s="1"/>
  <c r="E283" i="195"/>
  <c r="F283" s="1"/>
  <c r="J283" s="1"/>
  <c r="I455" i="140"/>
  <c r="J455" s="1"/>
  <c r="O455" s="1"/>
  <c r="E452" i="195"/>
  <c r="F452" s="1"/>
  <c r="J452" s="1"/>
  <c r="I278" i="140"/>
  <c r="J278" s="1"/>
  <c r="O278" s="1"/>
  <c r="E275" i="195"/>
  <c r="F275" s="1"/>
  <c r="J275" s="1"/>
  <c r="I435" i="140"/>
  <c r="J435" s="1"/>
  <c r="O435" s="1"/>
  <c r="E432" i="195"/>
  <c r="F432" s="1"/>
  <c r="J432" s="1"/>
  <c r="I298" i="140"/>
  <c r="J298" s="1"/>
  <c r="O298" s="1"/>
  <c r="E295" i="195"/>
  <c r="F295" s="1"/>
  <c r="J295" s="1"/>
  <c r="I443" i="140"/>
  <c r="J443" s="1"/>
  <c r="O443" s="1"/>
  <c r="E440" i="195"/>
  <c r="F440" s="1"/>
  <c r="J440" s="1"/>
  <c r="I432" i="140"/>
  <c r="J432" s="1"/>
  <c r="O432" s="1"/>
  <c r="E429" i="195"/>
  <c r="F429" s="1"/>
  <c r="J429" s="1"/>
  <c r="I315" i="140"/>
  <c r="J315" s="1"/>
  <c r="O315" s="1"/>
  <c r="E312" i="195"/>
  <c r="F312" s="1"/>
  <c r="J312" s="1"/>
  <c r="I307" i="140"/>
  <c r="J307" s="1"/>
  <c r="O307" s="1"/>
  <c r="E304" i="195"/>
  <c r="F304" s="1"/>
  <c r="J304" s="1"/>
  <c r="I291" i="140"/>
  <c r="J291" s="1"/>
  <c r="O291" s="1"/>
  <c r="E288" i="195"/>
  <c r="F288" s="1"/>
  <c r="J288" s="1"/>
  <c r="I283" i="140"/>
  <c r="J283" s="1"/>
  <c r="O283" s="1"/>
  <c r="E280" i="195"/>
  <c r="F280" s="1"/>
  <c r="J280" s="1"/>
  <c r="I428" i="140"/>
  <c r="J428" s="1"/>
  <c r="O428" s="1"/>
  <c r="E425" i="195"/>
  <c r="F425" s="1"/>
  <c r="J425" s="1"/>
  <c r="I452" i="140"/>
  <c r="J452" s="1"/>
  <c r="O452" s="1"/>
  <c r="E449" i="195"/>
  <c r="F449" s="1"/>
  <c r="J449" s="1"/>
  <c r="I311" i="140"/>
  <c r="J311" s="1"/>
  <c r="O311" s="1"/>
  <c r="E308" i="195"/>
  <c r="F308" s="1"/>
  <c r="J308" s="1"/>
  <c r="I279" i="140"/>
  <c r="J279" s="1"/>
  <c r="O279" s="1"/>
  <c r="E276" i="195"/>
  <c r="F276" s="1"/>
  <c r="J276" s="1"/>
  <c r="I299" i="140"/>
  <c r="J299" s="1"/>
  <c r="O299" s="1"/>
  <c r="E296" i="195"/>
  <c r="F296" s="1"/>
  <c r="J296" s="1"/>
  <c r="I167" i="196"/>
  <c r="K167"/>
  <c r="L167"/>
  <c r="O510" i="140"/>
  <c r="O43" i="196"/>
  <c r="I99"/>
  <c r="K147"/>
  <c r="I71"/>
  <c r="L75"/>
  <c r="M1542" i="192"/>
  <c r="M960" i="194"/>
  <c r="F98" i="139"/>
  <c r="G98" s="1"/>
  <c r="F107" i="165"/>
  <c r="M954" i="194"/>
  <c r="F95" i="139"/>
  <c r="G95" s="1"/>
  <c r="F103" i="165"/>
  <c r="M1535" i="192"/>
  <c r="E22" i="139"/>
  <c r="F10" i="165"/>
  <c r="E48" i="139"/>
  <c r="F41" i="165"/>
  <c r="F3521" i="214"/>
  <c r="G3521" s="1"/>
  <c r="G3528" s="1"/>
  <c r="F2858"/>
  <c r="F2978"/>
  <c r="G2978" s="1"/>
  <c r="G2988" s="1"/>
  <c r="F2915"/>
  <c r="G3338"/>
  <c r="G3348" s="1"/>
  <c r="E3350" s="1"/>
  <c r="E3352" s="1"/>
  <c r="E3353" s="1"/>
  <c r="F3357"/>
  <c r="G3357" s="1"/>
  <c r="G3367" s="1"/>
  <c r="G3369" s="1"/>
  <c r="G3371" s="1"/>
  <c r="G3372" s="1"/>
  <c r="K667" i="194" s="1"/>
  <c r="E3428" i="214"/>
  <c r="E3430" s="1"/>
  <c r="E3431" s="1"/>
  <c r="F3428"/>
  <c r="F3430" s="1"/>
  <c r="F3431" s="1"/>
  <c r="K963" i="192" s="1"/>
  <c r="G3428" i="214"/>
  <c r="G3430" s="1"/>
  <c r="G3431" s="1"/>
  <c r="K583" i="194" s="1"/>
  <c r="M460" i="192"/>
  <c r="M468" i="194"/>
  <c r="M404"/>
  <c r="F3290" i="214"/>
  <c r="G3290" s="1"/>
  <c r="G3297" s="1"/>
  <c r="K1155" i="132"/>
  <c r="M290" i="194"/>
  <c r="M1241" i="192"/>
  <c r="M237" i="194"/>
  <c r="M375"/>
  <c r="M320"/>
  <c r="M742" i="192"/>
  <c r="M678"/>
  <c r="F3262" i="214"/>
  <c r="F3263" s="1"/>
  <c r="K858" i="192" s="1"/>
  <c r="M374"/>
  <c r="M350"/>
  <c r="M261" i="194"/>
  <c r="M436"/>
  <c r="M710" i="192"/>
  <c r="M326"/>
  <c r="M578"/>
  <c r="F2604" i="214"/>
  <c r="G2604" s="1"/>
  <c r="G2611" s="1"/>
  <c r="F1941"/>
  <c r="F2061"/>
  <c r="G2061" s="1"/>
  <c r="G2071" s="1"/>
  <c r="F1998"/>
  <c r="G2421"/>
  <c r="G2431" s="1"/>
  <c r="F2440"/>
  <c r="G2440" s="1"/>
  <c r="G2450" s="1"/>
  <c r="E2452" s="1"/>
  <c r="E2454" s="1"/>
  <c r="E2455" s="1"/>
  <c r="M397" i="194"/>
  <c r="M702" i="192"/>
  <c r="M659"/>
  <c r="F2345" i="214"/>
  <c r="F2346" s="1"/>
  <c r="K830" i="192" s="1"/>
  <c r="G2341" i="214"/>
  <c r="G2345" s="1"/>
  <c r="G2346" s="1"/>
  <c r="K496" i="194" s="1"/>
  <c r="M255"/>
  <c r="M454" i="192"/>
  <c r="M734"/>
  <c r="M232" i="194"/>
  <c r="M282"/>
  <c r="M571" i="192"/>
  <c r="M368" i="194"/>
  <c r="G2359" i="214"/>
  <c r="M428" i="194"/>
  <c r="M344" i="192"/>
  <c r="M793" i="194"/>
  <c r="F2511" i="214"/>
  <c r="F2513" s="1"/>
  <c r="F2514" s="1"/>
  <c r="K956" i="192" s="1"/>
  <c r="G2511" i="214"/>
  <c r="G2513" s="1"/>
  <c r="G2514" s="1"/>
  <c r="K577" i="194" s="1"/>
  <c r="E2511" i="214"/>
  <c r="E2513" s="1"/>
  <c r="E2514" s="1"/>
  <c r="M460" i="194"/>
  <c r="M320" i="192"/>
  <c r="M368"/>
  <c r="I43" i="196"/>
  <c r="I131"/>
  <c r="O51"/>
  <c r="I127"/>
  <c r="I107"/>
  <c r="K139"/>
  <c r="I111"/>
  <c r="L93" i="211"/>
  <c r="C53" i="165" s="1"/>
  <c r="E58" i="139" s="1"/>
  <c r="I67" i="196"/>
  <c r="O67"/>
  <c r="L47"/>
  <c r="O47"/>
  <c r="I91"/>
  <c r="K159"/>
  <c r="I155"/>
  <c r="K95"/>
  <c r="L51"/>
  <c r="K135"/>
  <c r="I119"/>
  <c r="K151"/>
  <c r="K103"/>
  <c r="S93" i="211"/>
  <c r="C9" i="165" s="1"/>
  <c r="E21" i="139" s="1"/>
  <c r="K123" i="196"/>
  <c r="K163"/>
  <c r="L63"/>
  <c r="O63"/>
  <c r="O59"/>
  <c r="K143"/>
  <c r="K115"/>
  <c r="L59"/>
  <c r="E111" i="217"/>
  <c r="C111"/>
  <c r="E110"/>
  <c r="C110"/>
  <c r="F3278" i="214" l="1"/>
  <c r="F3282" s="1"/>
  <c r="F3283" s="1"/>
  <c r="K904" i="192" s="1"/>
  <c r="E113" i="309"/>
  <c r="F113" s="1"/>
  <c r="O113" s="1"/>
  <c r="E476"/>
  <c r="F476" s="1"/>
  <c r="I363"/>
  <c r="J363" s="1"/>
  <c r="I504" i="140"/>
  <c r="J504" s="1"/>
  <c r="O504" s="1"/>
  <c r="F2373" i="214"/>
  <c r="G2373" s="1"/>
  <c r="G2380" s="1"/>
  <c r="E2382" s="1"/>
  <c r="E2386" s="1"/>
  <c r="E2387" s="1"/>
  <c r="F360" i="305"/>
  <c r="G360" s="1"/>
  <c r="I431" i="140"/>
  <c r="J431" s="1"/>
  <c r="O431" s="1"/>
  <c r="I431" i="309"/>
  <c r="J431" s="1"/>
  <c r="M312" i="194"/>
  <c r="E439" i="309"/>
  <c r="F439" s="1"/>
  <c r="O439" s="1"/>
  <c r="E91" i="195"/>
  <c r="F91" s="1"/>
  <c r="J91" s="1"/>
  <c r="M1520" i="132"/>
  <c r="E90" i="195"/>
  <c r="F90" s="1"/>
  <c r="J90" s="1"/>
  <c r="I129" i="309"/>
  <c r="E129" s="1"/>
  <c r="F129" s="1"/>
  <c r="F95" i="305"/>
  <c r="G95" s="1"/>
  <c r="E172" i="309"/>
  <c r="F172" s="1"/>
  <c r="O172" s="1"/>
  <c r="E119" i="195"/>
  <c r="F119" s="1"/>
  <c r="J119" s="1"/>
  <c r="E94"/>
  <c r="F94" s="1"/>
  <c r="J94" s="1"/>
  <c r="M1026" i="132"/>
  <c r="E178" i="195"/>
  <c r="F178" s="1"/>
  <c r="J178" s="1"/>
  <c r="F96" i="305"/>
  <c r="G96" s="1"/>
  <c r="E95" i="195"/>
  <c r="F95" s="1"/>
  <c r="J95" s="1"/>
  <c r="M1513" i="132"/>
  <c r="F128" i="305"/>
  <c r="G128" s="1"/>
  <c r="E102" i="195"/>
  <c r="F102" s="1"/>
  <c r="J102" s="1"/>
  <c r="E118"/>
  <c r="F118" s="1"/>
  <c r="J118" s="1"/>
  <c r="M1073" i="132"/>
  <c r="E135" i="195"/>
  <c r="F135" s="1"/>
  <c r="J135" s="1"/>
  <c r="M940" i="132"/>
  <c r="E134" i="195"/>
  <c r="F134" s="1"/>
  <c r="J134" s="1"/>
  <c r="I128" i="140"/>
  <c r="J128" s="1"/>
  <c r="O128" s="1"/>
  <c r="I132"/>
  <c r="J132" s="1"/>
  <c r="O132" s="1"/>
  <c r="F119" i="305"/>
  <c r="G119" s="1"/>
  <c r="F131"/>
  <c r="G131" s="1"/>
  <c r="F103"/>
  <c r="G103" s="1"/>
  <c r="M1047" i="132"/>
  <c r="F92" i="305"/>
  <c r="G92" s="1"/>
  <c r="E126" i="195"/>
  <c r="F126" s="1"/>
  <c r="J126" s="1"/>
  <c r="I121" i="140"/>
  <c r="J121" s="1"/>
  <c r="O121" s="1"/>
  <c r="I136" i="309"/>
  <c r="J136" s="1"/>
  <c r="I137"/>
  <c r="E137" s="1"/>
  <c r="F137" s="1"/>
  <c r="M1009" i="132"/>
  <c r="I180" i="309"/>
  <c r="E180" s="1"/>
  <c r="F180" s="1"/>
  <c r="O19"/>
  <c r="E176"/>
  <c r="F176" s="1"/>
  <c r="O176" s="1"/>
  <c r="F502" i="305"/>
  <c r="G502" s="1"/>
  <c r="M799" i="194"/>
  <c r="E501" i="195"/>
  <c r="F501" s="1"/>
  <c r="J501" s="1"/>
  <c r="I181" i="140"/>
  <c r="J181" s="1"/>
  <c r="O181" s="1"/>
  <c r="F91" i="305"/>
  <c r="G91" s="1"/>
  <c r="E152" i="309"/>
  <c r="F152" s="1"/>
  <c r="O152" s="1"/>
  <c r="F172" i="305"/>
  <c r="G172" s="1"/>
  <c r="M678" i="132"/>
  <c r="M1054"/>
  <c r="M735"/>
  <c r="I181" i="309"/>
  <c r="J181" s="1"/>
  <c r="E103" i="195"/>
  <c r="F103" s="1"/>
  <c r="J103" s="1"/>
  <c r="E131"/>
  <c r="F131" s="1"/>
  <c r="J131" s="1"/>
  <c r="I105" i="140"/>
  <c r="J105" s="1"/>
  <c r="O105" s="1"/>
  <c r="M1469" i="132"/>
  <c r="I133" i="309"/>
  <c r="E133" s="1"/>
  <c r="F133" s="1"/>
  <c r="O109"/>
  <c r="O112"/>
  <c r="M1078" i="132"/>
  <c r="E179" i="195"/>
  <c r="F179" s="1"/>
  <c r="J179" s="1"/>
  <c r="I136" i="140"/>
  <c r="J136" s="1"/>
  <c r="O136" s="1"/>
  <c r="I133"/>
  <c r="J133" s="1"/>
  <c r="O133" s="1"/>
  <c r="I137"/>
  <c r="J137" s="1"/>
  <c r="O137" s="1"/>
  <c r="I92"/>
  <c r="J92" s="1"/>
  <c r="O92" s="1"/>
  <c r="F104" i="305"/>
  <c r="G104" s="1"/>
  <c r="F120"/>
  <c r="G120" s="1"/>
  <c r="F127"/>
  <c r="G127" s="1"/>
  <c r="E171" i="195"/>
  <c r="F171" s="1"/>
  <c r="J171" s="1"/>
  <c r="I173" i="140"/>
  <c r="J173" s="1"/>
  <c r="O173" s="1"/>
  <c r="O23" i="309"/>
  <c r="I96"/>
  <c r="I97"/>
  <c r="O108"/>
  <c r="O24"/>
  <c r="E93"/>
  <c r="F93" s="1"/>
  <c r="J93"/>
  <c r="E120"/>
  <c r="F120" s="1"/>
  <c r="J120"/>
  <c r="E104"/>
  <c r="F104" s="1"/>
  <c r="J104"/>
  <c r="M932" i="132"/>
  <c r="M702"/>
  <c r="M729"/>
  <c r="M684"/>
  <c r="M708"/>
  <c r="E127" i="195"/>
  <c r="F127" s="1"/>
  <c r="J127" s="1"/>
  <c r="I180" i="140"/>
  <c r="J180" s="1"/>
  <c r="O180" s="1"/>
  <c r="E130" i="195"/>
  <c r="F130" s="1"/>
  <c r="J130" s="1"/>
  <c r="I93" i="140"/>
  <c r="J93" s="1"/>
  <c r="O93" s="1"/>
  <c r="I120"/>
  <c r="J120" s="1"/>
  <c r="O120" s="1"/>
  <c r="I104"/>
  <c r="J104" s="1"/>
  <c r="O104" s="1"/>
  <c r="I153"/>
  <c r="J153" s="1"/>
  <c r="O153" s="1"/>
  <c r="M1299" i="132"/>
  <c r="J153" i="309"/>
  <c r="E153"/>
  <c r="F153" s="1"/>
  <c r="J121"/>
  <c r="E121"/>
  <c r="F121" s="1"/>
  <c r="J92"/>
  <c r="E92"/>
  <c r="F92" s="1"/>
  <c r="E128"/>
  <c r="F128" s="1"/>
  <c r="J128"/>
  <c r="J105"/>
  <c r="E105"/>
  <c r="F105" s="1"/>
  <c r="K1372" i="132"/>
  <c r="I160" i="309" s="1"/>
  <c r="K1259" i="132"/>
  <c r="I149" i="309" s="1"/>
  <c r="K1344" i="132"/>
  <c r="F156" i="305" s="1"/>
  <c r="G156" s="1"/>
  <c r="K1201" i="132"/>
  <c r="I145" i="309" s="1"/>
  <c r="E151" i="195"/>
  <c r="F151" s="1"/>
  <c r="J151" s="1"/>
  <c r="F152" i="305"/>
  <c r="G152" s="1"/>
  <c r="K1250" i="132"/>
  <c r="F147" i="305" s="1"/>
  <c r="G147" s="1"/>
  <c r="C40" i="165"/>
  <c r="E47" i="139" s="1"/>
  <c r="I362" i="309"/>
  <c r="J362" s="1"/>
  <c r="O589"/>
  <c r="O800"/>
  <c r="O597"/>
  <c r="O590"/>
  <c r="O535"/>
  <c r="O539"/>
  <c r="O543"/>
  <c r="O567"/>
  <c r="E601"/>
  <c r="F601" s="1"/>
  <c r="J601"/>
  <c r="O598"/>
  <c r="O608"/>
  <c r="O612"/>
  <c r="E602"/>
  <c r="F602" s="1"/>
  <c r="J602"/>
  <c r="E359" i="195"/>
  <c r="F359" s="1"/>
  <c r="J359" s="1"/>
  <c r="O369" i="309"/>
  <c r="O510"/>
  <c r="O506"/>
  <c r="O334"/>
  <c r="O499"/>
  <c r="O294"/>
  <c r="O354"/>
  <c r="O335"/>
  <c r="O496"/>
  <c r="O359"/>
  <c r="O365"/>
  <c r="F328" i="305"/>
  <c r="G328" s="1"/>
  <c r="I330" i="309"/>
  <c r="F139" i="305"/>
  <c r="G139" s="1"/>
  <c r="I140" i="309"/>
  <c r="F316" i="305"/>
  <c r="G316" s="1"/>
  <c r="I318" i="309"/>
  <c r="F458" i="305"/>
  <c r="G458" s="1"/>
  <c r="I460" i="309"/>
  <c r="F329" i="305"/>
  <c r="G329" s="1"/>
  <c r="I331" i="309"/>
  <c r="F482" i="305"/>
  <c r="G482" s="1"/>
  <c r="I484" i="309"/>
  <c r="F469" i="305"/>
  <c r="G469" s="1"/>
  <c r="I471" i="309"/>
  <c r="F457" i="305"/>
  <c r="G457" s="1"/>
  <c r="I459" i="309"/>
  <c r="F317" i="305"/>
  <c r="G317" s="1"/>
  <c r="I319" i="309"/>
  <c r="F140" i="305"/>
  <c r="G140" s="1"/>
  <c r="I141" i="309"/>
  <c r="F470" i="305"/>
  <c r="G470" s="1"/>
  <c r="I472" i="309"/>
  <c r="J524"/>
  <c r="E524"/>
  <c r="F524" s="1"/>
  <c r="J523"/>
  <c r="E523"/>
  <c r="F523" s="1"/>
  <c r="J444"/>
  <c r="E444"/>
  <c r="F444" s="1"/>
  <c r="J279"/>
  <c r="E279"/>
  <c r="F279" s="1"/>
  <c r="J311"/>
  <c r="E311"/>
  <c r="F311" s="1"/>
  <c r="J452"/>
  <c r="E452"/>
  <c r="F452" s="1"/>
  <c r="E363"/>
  <c r="F363" s="1"/>
  <c r="J436"/>
  <c r="E436"/>
  <c r="F436" s="1"/>
  <c r="J307"/>
  <c r="E307"/>
  <c r="F307" s="1"/>
  <c r="J315"/>
  <c r="E315"/>
  <c r="F315" s="1"/>
  <c r="J432"/>
  <c r="E432"/>
  <c r="F432" s="1"/>
  <c r="J443"/>
  <c r="E443"/>
  <c r="F443" s="1"/>
  <c r="J298"/>
  <c r="E298"/>
  <c r="F298" s="1"/>
  <c r="J435"/>
  <c r="E435"/>
  <c r="F435" s="1"/>
  <c r="J278"/>
  <c r="E278"/>
  <c r="F278" s="1"/>
  <c r="J455"/>
  <c r="E455"/>
  <c r="F455" s="1"/>
  <c r="J427"/>
  <c r="E427"/>
  <c r="F427" s="1"/>
  <c r="J306"/>
  <c r="E306"/>
  <c r="F306" s="1"/>
  <c r="J310"/>
  <c r="E310"/>
  <c r="F310" s="1"/>
  <c r="J173"/>
  <c r="E173"/>
  <c r="F173" s="1"/>
  <c r="J383"/>
  <c r="E383"/>
  <c r="F383" s="1"/>
  <c r="J382"/>
  <c r="E382"/>
  <c r="F382" s="1"/>
  <c r="J299"/>
  <c r="E299"/>
  <c r="F299" s="1"/>
  <c r="J424"/>
  <c r="E424"/>
  <c r="F424" s="1"/>
  <c r="J504"/>
  <c r="E504"/>
  <c r="F504" s="1"/>
  <c r="J428"/>
  <c r="E428"/>
  <c r="F428" s="1"/>
  <c r="J283"/>
  <c r="E283"/>
  <c r="F283" s="1"/>
  <c r="J291"/>
  <c r="E291"/>
  <c r="F291" s="1"/>
  <c r="J448"/>
  <c r="E448"/>
  <c r="F448" s="1"/>
  <c r="J456"/>
  <c r="E456"/>
  <c r="F456" s="1"/>
  <c r="J287"/>
  <c r="E287"/>
  <c r="F287" s="1"/>
  <c r="J290"/>
  <c r="E290"/>
  <c r="F290" s="1"/>
  <c r="J423"/>
  <c r="E423"/>
  <c r="F423" s="1"/>
  <c r="J314"/>
  <c r="E314"/>
  <c r="F314" s="1"/>
  <c r="J503"/>
  <c r="E503"/>
  <c r="F503" s="1"/>
  <c r="J286"/>
  <c r="E286"/>
  <c r="F286" s="1"/>
  <c r="J282"/>
  <c r="E282"/>
  <c r="F282" s="1"/>
  <c r="J447"/>
  <c r="E447"/>
  <c r="F447" s="1"/>
  <c r="J451"/>
  <c r="E451"/>
  <c r="F451" s="1"/>
  <c r="J132"/>
  <c r="E132"/>
  <c r="F132" s="1"/>
  <c r="O475"/>
  <c r="O358"/>
  <c r="O495"/>
  <c r="O476"/>
  <c r="O440"/>
  <c r="O295"/>
  <c r="O500"/>
  <c r="O177"/>
  <c r="O236"/>
  <c r="O237"/>
  <c r="O355"/>
  <c r="G3406" i="214"/>
  <c r="E3408" s="1"/>
  <c r="E3410" s="1"/>
  <c r="E3411" s="1"/>
  <c r="G3388"/>
  <c r="E3390" s="1"/>
  <c r="E3392" s="1"/>
  <c r="E3393" s="1"/>
  <c r="E3369"/>
  <c r="E3371" s="1"/>
  <c r="E3372" s="1"/>
  <c r="F3369"/>
  <c r="F3371" s="1"/>
  <c r="F3372" s="1"/>
  <c r="K1081" i="192" s="1"/>
  <c r="E340" i="195" s="1"/>
  <c r="F340" s="1"/>
  <c r="J340" s="1"/>
  <c r="G2471" i="214"/>
  <c r="E2473" s="1"/>
  <c r="E2475" s="1"/>
  <c r="E2476" s="1"/>
  <c r="F3350"/>
  <c r="F3352" s="1"/>
  <c r="F3353" s="1"/>
  <c r="K1041" i="192" s="1"/>
  <c r="E336" i="195" s="1"/>
  <c r="F336" s="1"/>
  <c r="J336" s="1"/>
  <c r="G2489" i="214"/>
  <c r="G3350"/>
  <c r="G3352" s="1"/>
  <c r="G3353" s="1"/>
  <c r="K639" i="194" s="1"/>
  <c r="M639" s="1"/>
  <c r="F2452" i="214"/>
  <c r="F2454" s="1"/>
  <c r="F2455" s="1"/>
  <c r="K1064" i="192" s="1"/>
  <c r="I471" i="140"/>
  <c r="J471" s="1"/>
  <c r="O471" s="1"/>
  <c r="E468" i="195"/>
  <c r="F468" s="1"/>
  <c r="J468" s="1"/>
  <c r="E138"/>
  <c r="F138" s="1"/>
  <c r="J138" s="1"/>
  <c r="I140" i="140"/>
  <c r="J140" s="1"/>
  <c r="O140" s="1"/>
  <c r="I459"/>
  <c r="J459" s="1"/>
  <c r="O459" s="1"/>
  <c r="E456" i="195"/>
  <c r="F456" s="1"/>
  <c r="J456" s="1"/>
  <c r="I460" i="140"/>
  <c r="J460" s="1"/>
  <c r="O460" s="1"/>
  <c r="E457" i="195"/>
  <c r="F457" s="1"/>
  <c r="J457" s="1"/>
  <c r="E139"/>
  <c r="F139" s="1"/>
  <c r="J139" s="1"/>
  <c r="I141" i="140"/>
  <c r="J141" s="1"/>
  <c r="O141" s="1"/>
  <c r="I472"/>
  <c r="J472" s="1"/>
  <c r="O472" s="1"/>
  <c r="E469" i="195"/>
  <c r="F469" s="1"/>
  <c r="J469" s="1"/>
  <c r="G2452" i="214"/>
  <c r="G2454" s="1"/>
  <c r="G2455" s="1"/>
  <c r="K660" i="194" s="1"/>
  <c r="I330" i="140"/>
  <c r="J330" s="1"/>
  <c r="O330" s="1"/>
  <c r="E327" i="195"/>
  <c r="F327" s="1"/>
  <c r="J327" s="1"/>
  <c r="I318" i="140"/>
  <c r="J318" s="1"/>
  <c r="O318" s="1"/>
  <c r="E315" i="195"/>
  <c r="F315" s="1"/>
  <c r="J315" s="1"/>
  <c r="I484" i="140"/>
  <c r="J484" s="1"/>
  <c r="O484" s="1"/>
  <c r="E481" i="195"/>
  <c r="F481" s="1"/>
  <c r="J481" s="1"/>
  <c r="I319" i="140"/>
  <c r="J319" s="1"/>
  <c r="O319" s="1"/>
  <c r="E316" i="195"/>
  <c r="F316" s="1"/>
  <c r="J316" s="1"/>
  <c r="I331" i="140"/>
  <c r="J331" s="1"/>
  <c r="O331" s="1"/>
  <c r="E328" i="195"/>
  <c r="F328" s="1"/>
  <c r="J328" s="1"/>
  <c r="E2997" i="214"/>
  <c r="F2990"/>
  <c r="F2991" s="1"/>
  <c r="F2995" s="1"/>
  <c r="K203" i="192" s="1"/>
  <c r="G2990" i="214"/>
  <c r="G2991" s="1"/>
  <c r="G2995" s="1"/>
  <c r="K145" i="194" s="1"/>
  <c r="E2990" i="214"/>
  <c r="E2991" s="1"/>
  <c r="E2995" s="1"/>
  <c r="G3530"/>
  <c r="G3532" s="1"/>
  <c r="G3533" s="1"/>
  <c r="F3530"/>
  <c r="F3532" s="1"/>
  <c r="F3533" s="1"/>
  <c r="E3530"/>
  <c r="E3532" s="1"/>
  <c r="E3533" s="1"/>
  <c r="F3006"/>
  <c r="G3006" s="1"/>
  <c r="G3016" s="1"/>
  <c r="G2915"/>
  <c r="G2926" s="1"/>
  <c r="G2858"/>
  <c r="G2869" s="1"/>
  <c r="F2888"/>
  <c r="G2888" s="1"/>
  <c r="G2899" s="1"/>
  <c r="M508" i="194"/>
  <c r="E3299" i="214"/>
  <c r="E3303" s="1"/>
  <c r="E3304" s="1"/>
  <c r="F3299"/>
  <c r="F3303" s="1"/>
  <c r="F3304" s="1"/>
  <c r="K602" i="192" s="1"/>
  <c r="M583" i="194"/>
  <c r="G3278" i="214"/>
  <c r="G3282" s="1"/>
  <c r="G3283" s="1"/>
  <c r="K539" i="194" s="1"/>
  <c r="M667"/>
  <c r="M858" i="192"/>
  <c r="M1155" i="132"/>
  <c r="M963" i="192"/>
  <c r="F2433" i="214"/>
  <c r="F2435" s="1"/>
  <c r="F2436" s="1"/>
  <c r="K1024" i="192" s="1"/>
  <c r="M1024" s="1"/>
  <c r="E2433" i="214"/>
  <c r="E2435" s="1"/>
  <c r="E2436" s="1"/>
  <c r="G2433"/>
  <c r="G2435" s="1"/>
  <c r="G2436" s="1"/>
  <c r="K632" i="194" s="1"/>
  <c r="F2073" i="214"/>
  <c r="F2074" s="1"/>
  <c r="F2078" s="1"/>
  <c r="K197" i="192" s="1"/>
  <c r="E2080" i="214"/>
  <c r="E2073"/>
  <c r="E2074" s="1"/>
  <c r="E2078" s="1"/>
  <c r="G2073"/>
  <c r="G2074" s="1"/>
  <c r="G2078" s="1"/>
  <c r="K139" i="194" s="1"/>
  <c r="F2613" i="214"/>
  <c r="F2615" s="1"/>
  <c r="F2616" s="1"/>
  <c r="E2613"/>
  <c r="E2615" s="1"/>
  <c r="E2616" s="1"/>
  <c r="G2613"/>
  <c r="G2615" s="1"/>
  <c r="G2616" s="1"/>
  <c r="G1998"/>
  <c r="G2009" s="1"/>
  <c r="F2089"/>
  <c r="G2089" s="1"/>
  <c r="G2099" s="1"/>
  <c r="G1941"/>
  <c r="G1952" s="1"/>
  <c r="F1971"/>
  <c r="G1971" s="1"/>
  <c r="G1982" s="1"/>
  <c r="M577" i="194"/>
  <c r="M1145" i="132"/>
  <c r="E2361" i="214"/>
  <c r="E2365" s="1"/>
  <c r="E2366" s="1"/>
  <c r="F2361"/>
  <c r="M496" i="194"/>
  <c r="M956" i="192"/>
  <c r="M830"/>
  <c r="H14" i="217"/>
  <c r="E11" i="213"/>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179" s="1"/>
  <c r="E180" s="1"/>
  <c r="E181" s="1"/>
  <c r="E182" s="1"/>
  <c r="E183" s="1"/>
  <c r="E184" s="1"/>
  <c r="E185" s="1"/>
  <c r="E186" s="1"/>
  <c r="E187" s="1"/>
  <c r="E188" s="1"/>
  <c r="E189" s="1"/>
  <c r="E190" s="1"/>
  <c r="E191" s="1"/>
  <c r="E192" s="1"/>
  <c r="E193" s="1"/>
  <c r="E194" s="1"/>
  <c r="E195" s="1"/>
  <c r="E196" s="1"/>
  <c r="E197" s="1"/>
  <c r="E198" s="1"/>
  <c r="E199" s="1"/>
  <c r="E200" s="1"/>
  <c r="E201" s="1"/>
  <c r="E202" s="1"/>
  <c r="E203" s="1"/>
  <c r="E204" s="1"/>
  <c r="E205" s="1"/>
  <c r="E206" s="1"/>
  <c r="E207" s="1"/>
  <c r="E208" s="1"/>
  <c r="E209" s="1"/>
  <c r="E210" s="1"/>
  <c r="E211" s="1"/>
  <c r="E212" s="1"/>
  <c r="E213" s="1"/>
  <c r="E214" s="1"/>
  <c r="E215" s="1"/>
  <c r="E216" s="1"/>
  <c r="E217" s="1"/>
  <c r="E218" s="1"/>
  <c r="E219" s="1"/>
  <c r="E220" s="1"/>
  <c r="E221" s="1"/>
  <c r="E222" s="1"/>
  <c r="E223" s="1"/>
  <c r="E224" s="1"/>
  <c r="E225" s="1"/>
  <c r="E226" s="1"/>
  <c r="E227" s="1"/>
  <c r="E228" s="1"/>
  <c r="E229" s="1"/>
  <c r="E230" s="1"/>
  <c r="E231" s="1"/>
  <c r="E232" s="1"/>
  <c r="E233" s="1"/>
  <c r="E234" s="1"/>
  <c r="E235" s="1"/>
  <c r="E236" s="1"/>
  <c r="E237" s="1"/>
  <c r="E238" s="1"/>
  <c r="E239" s="1"/>
  <c r="E240" s="1"/>
  <c r="E241" s="1"/>
  <c r="E242" s="1"/>
  <c r="E243" s="1"/>
  <c r="E244" s="1"/>
  <c r="E245" s="1"/>
  <c r="E246" s="1"/>
  <c r="E247" s="1"/>
  <c r="E248" s="1"/>
  <c r="E249" s="1"/>
  <c r="E250" s="1"/>
  <c r="E251" s="1"/>
  <c r="E252" s="1"/>
  <c r="E253" s="1"/>
  <c r="E254" s="1"/>
  <c r="E255" s="1"/>
  <c r="E256" s="1"/>
  <c r="E257" s="1"/>
  <c r="E258" s="1"/>
  <c r="E259" s="1"/>
  <c r="E260" s="1"/>
  <c r="E261" s="1"/>
  <c r="E262" s="1"/>
  <c r="E263" s="1"/>
  <c r="E264" s="1"/>
  <c r="E265" s="1"/>
  <c r="E266" s="1"/>
  <c r="E267" s="1"/>
  <c r="E268" s="1"/>
  <c r="E269" s="1"/>
  <c r="E270" s="1"/>
  <c r="E271" s="1"/>
  <c r="E272" s="1"/>
  <c r="E273" s="1"/>
  <c r="E274" s="1"/>
  <c r="E275" s="1"/>
  <c r="E276" s="1"/>
  <c r="E277" s="1"/>
  <c r="E278" s="1"/>
  <c r="E279" s="1"/>
  <c r="E280" s="1"/>
  <c r="E281" s="1"/>
  <c r="E282" s="1"/>
  <c r="E283" s="1"/>
  <c r="E284" s="1"/>
  <c r="E285" s="1"/>
  <c r="E286" s="1"/>
  <c r="E287" s="1"/>
  <c r="D1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D154" s="1"/>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37" s="1"/>
  <c r="D238" s="1"/>
  <c r="D239" s="1"/>
  <c r="D240" s="1"/>
  <c r="D241" s="1"/>
  <c r="D242" s="1"/>
  <c r="D243" s="1"/>
  <c r="D244" s="1"/>
  <c r="D245" s="1"/>
  <c r="D246" s="1"/>
  <c r="D247" s="1"/>
  <c r="D248" s="1"/>
  <c r="D249" s="1"/>
  <c r="D250" s="1"/>
  <c r="D251"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C11"/>
  <c r="C12" s="1"/>
  <c r="C13" s="1"/>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C51" s="1"/>
  <c r="C52" s="1"/>
  <c r="C53" s="1"/>
  <c r="C54" s="1"/>
  <c r="C55" s="1"/>
  <c r="C56" s="1"/>
  <c r="C57" s="1"/>
  <c r="C58" s="1"/>
  <c r="C59" s="1"/>
  <c r="C60" s="1"/>
  <c r="C61" s="1"/>
  <c r="C62" s="1"/>
  <c r="C63" s="1"/>
  <c r="C64" s="1"/>
  <c r="C65" s="1"/>
  <c r="C66" s="1"/>
  <c r="C67" s="1"/>
  <c r="C68" s="1"/>
  <c r="C69" s="1"/>
  <c r="C70" s="1"/>
  <c r="C71" s="1"/>
  <c r="C72" s="1"/>
  <c r="C73" s="1"/>
  <c r="C74" s="1"/>
  <c r="C75" s="1"/>
  <c r="C76" s="1"/>
  <c r="C77" s="1"/>
  <c r="C78" s="1"/>
  <c r="C79" s="1"/>
  <c r="C80" s="1"/>
  <c r="C81" s="1"/>
  <c r="C82" s="1"/>
  <c r="C83" s="1"/>
  <c r="C84" s="1"/>
  <c r="C85" s="1"/>
  <c r="C86" s="1"/>
  <c r="C87" s="1"/>
  <c r="C88" s="1"/>
  <c r="C89" s="1"/>
  <c r="C90" s="1"/>
  <c r="C91" s="1"/>
  <c r="C92" s="1"/>
  <c r="C93" s="1"/>
  <c r="C94" s="1"/>
  <c r="C95" s="1"/>
  <c r="C96" s="1"/>
  <c r="C97" s="1"/>
  <c r="C98" s="1"/>
  <c r="C99" s="1"/>
  <c r="C100" s="1"/>
  <c r="C101" s="1"/>
  <c r="C102" s="1"/>
  <c r="C103" s="1"/>
  <c r="C104" s="1"/>
  <c r="C105" s="1"/>
  <c r="C106" s="1"/>
  <c r="C107" s="1"/>
  <c r="C108" s="1"/>
  <c r="C109" s="1"/>
  <c r="C110" s="1"/>
  <c r="C111" s="1"/>
  <c r="C112" s="1"/>
  <c r="C113" s="1"/>
  <c r="C114" s="1"/>
  <c r="C115" s="1"/>
  <c r="C116" s="1"/>
  <c r="C117" s="1"/>
  <c r="C118" s="1"/>
  <c r="C119" s="1"/>
  <c r="C120" s="1"/>
  <c r="C121" s="1"/>
  <c r="C122" s="1"/>
  <c r="C123" s="1"/>
  <c r="C124" s="1"/>
  <c r="C125" s="1"/>
  <c r="C126" s="1"/>
  <c r="C127" s="1"/>
  <c r="C128" s="1"/>
  <c r="C129" s="1"/>
  <c r="C130" s="1"/>
  <c r="C131" s="1"/>
  <c r="C132" s="1"/>
  <c r="C133" s="1"/>
  <c r="C134" s="1"/>
  <c r="C135" s="1"/>
  <c r="C136" s="1"/>
  <c r="C137" s="1"/>
  <c r="C138" s="1"/>
  <c r="C139" s="1"/>
  <c r="C140" s="1"/>
  <c r="C141" s="1"/>
  <c r="C142" s="1"/>
  <c r="C143" s="1"/>
  <c r="C144" s="1"/>
  <c r="C145" s="1"/>
  <c r="C146" s="1"/>
  <c r="C147" s="1"/>
  <c r="C148" s="1"/>
  <c r="C149" s="1"/>
  <c r="C150" s="1"/>
  <c r="C151" s="1"/>
  <c r="C152" s="1"/>
  <c r="C153" s="1"/>
  <c r="C154" s="1"/>
  <c r="C155" s="1"/>
  <c r="C156" s="1"/>
  <c r="C157" s="1"/>
  <c r="C158" s="1"/>
  <c r="C159" s="1"/>
  <c r="C160" s="1"/>
  <c r="C161" s="1"/>
  <c r="C162" s="1"/>
  <c r="C163" s="1"/>
  <c r="C164" s="1"/>
  <c r="C165" s="1"/>
  <c r="C166" s="1"/>
  <c r="C167" s="1"/>
  <c r="C168" s="1"/>
  <c r="C169" s="1"/>
  <c r="C170" s="1"/>
  <c r="C171" s="1"/>
  <c r="C172" s="1"/>
  <c r="C173" s="1"/>
  <c r="C174" s="1"/>
  <c r="C175" s="1"/>
  <c r="C176" s="1"/>
  <c r="C177" s="1"/>
  <c r="C178" s="1"/>
  <c r="C179" s="1"/>
  <c r="C180" s="1"/>
  <c r="C181" s="1"/>
  <c r="C182" s="1"/>
  <c r="C183" s="1"/>
  <c r="C184" s="1"/>
  <c r="C185" s="1"/>
  <c r="C186" s="1"/>
  <c r="C187" s="1"/>
  <c r="C188" s="1"/>
  <c r="C189" s="1"/>
  <c r="C190" s="1"/>
  <c r="C191" s="1"/>
  <c r="C192" s="1"/>
  <c r="C193" s="1"/>
  <c r="C194" s="1"/>
  <c r="C195" s="1"/>
  <c r="C196" s="1"/>
  <c r="C197" s="1"/>
  <c r="C198" s="1"/>
  <c r="C199" s="1"/>
  <c r="C200" s="1"/>
  <c r="C201" s="1"/>
  <c r="C202" s="1"/>
  <c r="C203" s="1"/>
  <c r="C204" s="1"/>
  <c r="C205" s="1"/>
  <c r="C206" s="1"/>
  <c r="C207" s="1"/>
  <c r="C208" s="1"/>
  <c r="C209" s="1"/>
  <c r="C210" s="1"/>
  <c r="C211" s="1"/>
  <c r="C212" s="1"/>
  <c r="C213" s="1"/>
  <c r="C214" s="1"/>
  <c r="C215" s="1"/>
  <c r="C216" s="1"/>
  <c r="C217" s="1"/>
  <c r="C218" s="1"/>
  <c r="C219" s="1"/>
  <c r="C220" s="1"/>
  <c r="C221" s="1"/>
  <c r="C222" s="1"/>
  <c r="C223" s="1"/>
  <c r="C224" s="1"/>
  <c r="C225" s="1"/>
  <c r="C226" s="1"/>
  <c r="C227" s="1"/>
  <c r="C228" s="1"/>
  <c r="C229" s="1"/>
  <c r="C230" s="1"/>
  <c r="C231" s="1"/>
  <c r="C232" s="1"/>
  <c r="C233" s="1"/>
  <c r="C234" s="1"/>
  <c r="C235" s="1"/>
  <c r="C236" s="1"/>
  <c r="C237" s="1"/>
  <c r="C238" s="1"/>
  <c r="C239" s="1"/>
  <c r="C240" s="1"/>
  <c r="C241" s="1"/>
  <c r="C242" s="1"/>
  <c r="C243" s="1"/>
  <c r="C244" s="1"/>
  <c r="C245" s="1"/>
  <c r="C246" s="1"/>
  <c r="C247" s="1"/>
  <c r="C248" s="1"/>
  <c r="C249" s="1"/>
  <c r="C250" s="1"/>
  <c r="C251" s="1"/>
  <c r="C252" s="1"/>
  <c r="C253" s="1"/>
  <c r="C254" s="1"/>
  <c r="C255" s="1"/>
  <c r="C256" s="1"/>
  <c r="C257" s="1"/>
  <c r="C258" s="1"/>
  <c r="C259" s="1"/>
  <c r="C260" s="1"/>
  <c r="C261" s="1"/>
  <c r="C262" s="1"/>
  <c r="C263" s="1"/>
  <c r="C264" s="1"/>
  <c r="C265" s="1"/>
  <c r="C266" s="1"/>
  <c r="C267" s="1"/>
  <c r="C268" s="1"/>
  <c r="C269" s="1"/>
  <c r="C270" s="1"/>
  <c r="C271" s="1"/>
  <c r="C272" s="1"/>
  <c r="C273" s="1"/>
  <c r="C274" s="1"/>
  <c r="C275" s="1"/>
  <c r="C276" s="1"/>
  <c r="C277" s="1"/>
  <c r="C278" s="1"/>
  <c r="C279" s="1"/>
  <c r="C280" s="1"/>
  <c r="C281" s="1"/>
  <c r="C282" s="1"/>
  <c r="C283" s="1"/>
  <c r="C284" s="1"/>
  <c r="C285" s="1"/>
  <c r="C286" s="1"/>
  <c r="C287" s="1"/>
  <c r="B11"/>
  <c r="B12" s="1"/>
  <c r="B13" s="1"/>
  <c r="B14" s="1"/>
  <c r="B15" s="1"/>
  <c r="B16" s="1"/>
  <c r="B17" s="1"/>
  <c r="B18" s="1"/>
  <c r="B19" s="1"/>
  <c r="B20" s="1"/>
  <c r="B21" s="1"/>
  <c r="B22" s="1"/>
  <c r="B23" s="1"/>
  <c r="B24" s="1"/>
  <c r="B25" s="1"/>
  <c r="B26" s="1"/>
  <c r="B27" s="1"/>
  <c r="B28" s="1"/>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2" s="1"/>
  <c r="B143" s="1"/>
  <c r="B144" s="1"/>
  <c r="B145" s="1"/>
  <c r="B146" s="1"/>
  <c r="B147" s="1"/>
  <c r="B148" s="1"/>
  <c r="B149" s="1"/>
  <c r="B150" s="1"/>
  <c r="B151" s="1"/>
  <c r="B152" s="1"/>
  <c r="B153" s="1"/>
  <c r="B154" s="1"/>
  <c r="B155" s="1"/>
  <c r="B156" s="1"/>
  <c r="B157" s="1"/>
  <c r="B158" s="1"/>
  <c r="B159" s="1"/>
  <c r="B160" s="1"/>
  <c r="B161" s="1"/>
  <c r="B162" s="1"/>
  <c r="B163" s="1"/>
  <c r="B164" s="1"/>
  <c r="B165" s="1"/>
  <c r="B166" s="1"/>
  <c r="B167" s="1"/>
  <c r="B168" s="1"/>
  <c r="B169" s="1"/>
  <c r="B170" s="1"/>
  <c r="B171" s="1"/>
  <c r="B172" s="1"/>
  <c r="B173" s="1"/>
  <c r="B174" s="1"/>
  <c r="B175" s="1"/>
  <c r="B176" s="1"/>
  <c r="B177" s="1"/>
  <c r="B178" s="1"/>
  <c r="B179" s="1"/>
  <c r="B180" s="1"/>
  <c r="B181" s="1"/>
  <c r="B182" s="1"/>
  <c r="B183" s="1"/>
  <c r="B184" s="1"/>
  <c r="B185" s="1"/>
  <c r="B186" s="1"/>
  <c r="B187" s="1"/>
  <c r="B188" s="1"/>
  <c r="B189" s="1"/>
  <c r="B190" s="1"/>
  <c r="B191" s="1"/>
  <c r="B192" s="1"/>
  <c r="B193" s="1"/>
  <c r="B194" s="1"/>
  <c r="B195" s="1"/>
  <c r="B196" s="1"/>
  <c r="B197" s="1"/>
  <c r="B198" s="1"/>
  <c r="B199" s="1"/>
  <c r="B200" s="1"/>
  <c r="B201" s="1"/>
  <c r="B202" s="1"/>
  <c r="B203" s="1"/>
  <c r="B204" s="1"/>
  <c r="B205" s="1"/>
  <c r="B206" s="1"/>
  <c r="B207" s="1"/>
  <c r="B208" s="1"/>
  <c r="B209" s="1"/>
  <c r="B210" s="1"/>
  <c r="B211" s="1"/>
  <c r="B212" s="1"/>
  <c r="B213" s="1"/>
  <c r="B214" s="1"/>
  <c r="B215" s="1"/>
  <c r="B216" s="1"/>
  <c r="B217" s="1"/>
  <c r="B218" s="1"/>
  <c r="B219" s="1"/>
  <c r="B220" s="1"/>
  <c r="B221" s="1"/>
  <c r="B222" s="1"/>
  <c r="B223" s="1"/>
  <c r="B224" s="1"/>
  <c r="B225" s="1"/>
  <c r="B226" s="1"/>
  <c r="B227" s="1"/>
  <c r="B228" s="1"/>
  <c r="B229" s="1"/>
  <c r="B230" s="1"/>
  <c r="B231" s="1"/>
  <c r="B232" s="1"/>
  <c r="B233" s="1"/>
  <c r="B234" s="1"/>
  <c r="B235" s="1"/>
  <c r="B236" s="1"/>
  <c r="B237" s="1"/>
  <c r="B238" s="1"/>
  <c r="B239" s="1"/>
  <c r="B240" s="1"/>
  <c r="B241" s="1"/>
  <c r="B242" s="1"/>
  <c r="B243" s="1"/>
  <c r="B244" s="1"/>
  <c r="B245" s="1"/>
  <c r="B246" s="1"/>
  <c r="B247" s="1"/>
  <c r="B248" s="1"/>
  <c r="B249" s="1"/>
  <c r="B250" s="1"/>
  <c r="B251" s="1"/>
  <c r="B252" s="1"/>
  <c r="B253" s="1"/>
  <c r="B254" s="1"/>
  <c r="B255" s="1"/>
  <c r="B256" s="1"/>
  <c r="B257" s="1"/>
  <c r="B258" s="1"/>
  <c r="B259" s="1"/>
  <c r="B260" s="1"/>
  <c r="B261" s="1"/>
  <c r="B262" s="1"/>
  <c r="B263" s="1"/>
  <c r="B264" s="1"/>
  <c r="B265" s="1"/>
  <c r="B266" s="1"/>
  <c r="B267" s="1"/>
  <c r="B268" s="1"/>
  <c r="B269" s="1"/>
  <c r="B270" s="1"/>
  <c r="B271" s="1"/>
  <c r="B272" s="1"/>
  <c r="B273" s="1"/>
  <c r="B274" s="1"/>
  <c r="B275" s="1"/>
  <c r="B276" s="1"/>
  <c r="B277" s="1"/>
  <c r="B278" s="1"/>
  <c r="B279" s="1"/>
  <c r="B280" s="1"/>
  <c r="B281" s="1"/>
  <c r="B282" s="1"/>
  <c r="B283" s="1"/>
  <c r="B284" s="1"/>
  <c r="B285" s="1"/>
  <c r="B286" s="1"/>
  <c r="B287" s="1"/>
  <c r="F2382" i="214" l="1"/>
  <c r="F2386" s="1"/>
  <c r="F2387" s="1"/>
  <c r="K596" i="192" s="1"/>
  <c r="F300" i="305" s="1"/>
  <c r="G300" s="1"/>
  <c r="E362" i="309"/>
  <c r="F362" s="1"/>
  <c r="E431"/>
  <c r="F431" s="1"/>
  <c r="G3408" i="214"/>
  <c r="G3410" s="1"/>
  <c r="G3411" s="1"/>
  <c r="K723" i="194" s="1"/>
  <c r="F490" i="305" s="1"/>
  <c r="G490" s="1"/>
  <c r="J129" i="309"/>
  <c r="O129" s="1"/>
  <c r="J137"/>
  <c r="O137" s="1"/>
  <c r="J180"/>
  <c r="O180" s="1"/>
  <c r="J133"/>
  <c r="O133" s="1"/>
  <c r="E136"/>
  <c r="F136" s="1"/>
  <c r="O136" s="1"/>
  <c r="F144" i="305"/>
  <c r="G144" s="1"/>
  <c r="I157" i="140"/>
  <c r="J157" s="1"/>
  <c r="O157" s="1"/>
  <c r="I480"/>
  <c r="J480" s="1"/>
  <c r="O480" s="1"/>
  <c r="F3390" i="214"/>
  <c r="F3392" s="1"/>
  <c r="F3393" s="1"/>
  <c r="K1116" i="192" s="1"/>
  <c r="I347" i="309" s="1"/>
  <c r="E181"/>
  <c r="F181" s="1"/>
  <c r="O181" s="1"/>
  <c r="M1250" i="132"/>
  <c r="E146" i="195"/>
  <c r="F146" s="1"/>
  <c r="J146" s="1"/>
  <c r="F2473" i="214"/>
  <c r="F2475" s="1"/>
  <c r="F2476" s="1"/>
  <c r="K1108" i="192" s="1"/>
  <c r="F344" i="305" s="1"/>
  <c r="G344" s="1"/>
  <c r="O92" i="309"/>
  <c r="O104"/>
  <c r="M1259" i="132"/>
  <c r="M1201"/>
  <c r="I149" i="140"/>
  <c r="J149" s="1"/>
  <c r="O149" s="1"/>
  <c r="E143" i="195"/>
  <c r="F143" s="1"/>
  <c r="J143" s="1"/>
  <c r="F148" i="305"/>
  <c r="G148" s="1"/>
  <c r="O105" i="309"/>
  <c r="O121"/>
  <c r="O153"/>
  <c r="O120"/>
  <c r="O93"/>
  <c r="E158" i="195"/>
  <c r="F158" s="1"/>
  <c r="J158" s="1"/>
  <c r="I157" i="309"/>
  <c r="J157" s="1"/>
  <c r="F159" i="305"/>
  <c r="G159" s="1"/>
  <c r="I148" i="309"/>
  <c r="J148" s="1"/>
  <c r="M1372" i="132"/>
  <c r="M1344"/>
  <c r="E155" i="195"/>
  <c r="F155" s="1"/>
  <c r="J155" s="1"/>
  <c r="I148" i="140"/>
  <c r="J148" s="1"/>
  <c r="O148" s="1"/>
  <c r="I160"/>
  <c r="J160" s="1"/>
  <c r="O160" s="1"/>
  <c r="E96" i="309"/>
  <c r="F96" s="1"/>
  <c r="J96"/>
  <c r="J97"/>
  <c r="E97"/>
  <c r="F97" s="1"/>
  <c r="O128"/>
  <c r="E147" i="195"/>
  <c r="F147" s="1"/>
  <c r="J147" s="1"/>
  <c r="I145" i="140"/>
  <c r="J145" s="1"/>
  <c r="O145" s="1"/>
  <c r="K958" i="132"/>
  <c r="I124" i="140" s="1"/>
  <c r="J124" s="1"/>
  <c r="O124" s="1"/>
  <c r="K1186" i="132"/>
  <c r="I144" i="309" s="1"/>
  <c r="K565" i="132"/>
  <c r="I76" i="309" s="1"/>
  <c r="K1328" i="132"/>
  <c r="F155" i="305" s="1"/>
  <c r="G155" s="1"/>
  <c r="K964" i="132"/>
  <c r="I125" i="309" s="1"/>
  <c r="K1576" i="132"/>
  <c r="F188" i="305" s="1"/>
  <c r="G188" s="1"/>
  <c r="K1417" i="132"/>
  <c r="F164" i="305" s="1"/>
  <c r="G164" s="1"/>
  <c r="K1569" i="132"/>
  <c r="I188" i="309" s="1"/>
  <c r="K571" i="132"/>
  <c r="I77" i="309" s="1"/>
  <c r="J77" s="1"/>
  <c r="K1410" i="132"/>
  <c r="I164" i="309" s="1"/>
  <c r="K1386" i="132"/>
  <c r="I161" i="140" s="1"/>
  <c r="J161" s="1"/>
  <c r="O161" s="1"/>
  <c r="K1446" i="132"/>
  <c r="I169" i="309" s="1"/>
  <c r="I342"/>
  <c r="J342" s="1"/>
  <c r="I479"/>
  <c r="E479" s="1"/>
  <c r="F479" s="1"/>
  <c r="I483"/>
  <c r="J483" s="1"/>
  <c r="I480"/>
  <c r="E480" s="1"/>
  <c r="F480" s="1"/>
  <c r="O602"/>
  <c r="O601"/>
  <c r="G3390" i="214"/>
  <c r="G3392" s="1"/>
  <c r="G3393" s="1"/>
  <c r="K695" i="194" s="1"/>
  <c r="M695" s="1"/>
  <c r="O132" i="309"/>
  <c r="O451"/>
  <c r="O447"/>
  <c r="O282"/>
  <c r="O286"/>
  <c r="O503"/>
  <c r="O314"/>
  <c r="O423"/>
  <c r="O290"/>
  <c r="O287"/>
  <c r="O456"/>
  <c r="O448"/>
  <c r="O291"/>
  <c r="O283"/>
  <c r="O428"/>
  <c r="O504"/>
  <c r="O424"/>
  <c r="O299"/>
  <c r="O382"/>
  <c r="O383"/>
  <c r="O173"/>
  <c r="O310"/>
  <c r="O306"/>
  <c r="O427"/>
  <c r="O431"/>
  <c r="O362"/>
  <c r="O455"/>
  <c r="O278"/>
  <c r="O435"/>
  <c r="O298"/>
  <c r="O443"/>
  <c r="O432"/>
  <c r="O315"/>
  <c r="O307"/>
  <c r="O436"/>
  <c r="O363"/>
  <c r="F3408" i="214"/>
  <c r="F3410" s="1"/>
  <c r="F3411" s="1"/>
  <c r="K1148" i="192" s="1"/>
  <c r="I351" i="140" s="1"/>
  <c r="J351" s="1"/>
  <c r="O351" s="1"/>
  <c r="G2473" i="214"/>
  <c r="G2475" s="1"/>
  <c r="G2476" s="1"/>
  <c r="K688" i="194" s="1"/>
  <c r="E484" i="195" s="1"/>
  <c r="F484" s="1"/>
  <c r="J484" s="1"/>
  <c r="F260" i="305"/>
  <c r="G260" s="1"/>
  <c r="I262" i="309"/>
  <c r="F321" i="305"/>
  <c r="G321" s="1"/>
  <c r="I323" i="309"/>
  <c r="F406" i="305"/>
  <c r="G406" s="1"/>
  <c r="I408" i="309"/>
  <c r="F345" i="305"/>
  <c r="G345" s="1"/>
  <c r="M1041" i="192"/>
  <c r="I339" i="309"/>
  <c r="M1081" i="192"/>
  <c r="I343" i="309"/>
  <c r="I302"/>
  <c r="F405" i="305"/>
  <c r="G405" s="1"/>
  <c r="I407" i="309"/>
  <c r="F336" i="305"/>
  <c r="G336" s="1"/>
  <c r="I338" i="309"/>
  <c r="F462" i="305"/>
  <c r="G462" s="1"/>
  <c r="I464" i="309"/>
  <c r="F301" i="305"/>
  <c r="G301" s="1"/>
  <c r="I303" i="309"/>
  <c r="F261" i="305"/>
  <c r="G261" s="1"/>
  <c r="I263" i="309"/>
  <c r="E483"/>
  <c r="F483" s="1"/>
  <c r="J480"/>
  <c r="I492"/>
  <c r="F349" i="305"/>
  <c r="G349" s="1"/>
  <c r="J149" i="309"/>
  <c r="E149"/>
  <c r="F149" s="1"/>
  <c r="J472"/>
  <c r="E472"/>
  <c r="F472" s="1"/>
  <c r="J141"/>
  <c r="E141"/>
  <c r="F141" s="1"/>
  <c r="J319"/>
  <c r="E319"/>
  <c r="F319" s="1"/>
  <c r="J160"/>
  <c r="E160"/>
  <c r="F160" s="1"/>
  <c r="J459"/>
  <c r="E459"/>
  <c r="F459" s="1"/>
  <c r="J471"/>
  <c r="E471"/>
  <c r="F471" s="1"/>
  <c r="J145"/>
  <c r="E145"/>
  <c r="F145" s="1"/>
  <c r="J484"/>
  <c r="E484"/>
  <c r="F484" s="1"/>
  <c r="J331"/>
  <c r="E331"/>
  <c r="F331" s="1"/>
  <c r="J460"/>
  <c r="E460"/>
  <c r="F460" s="1"/>
  <c r="J318"/>
  <c r="E318"/>
  <c r="F318" s="1"/>
  <c r="J140"/>
  <c r="E140"/>
  <c r="F140" s="1"/>
  <c r="J330"/>
  <c r="E330"/>
  <c r="F330" s="1"/>
  <c r="O452"/>
  <c r="O311"/>
  <c r="O279"/>
  <c r="O444"/>
  <c r="O523"/>
  <c r="O524"/>
  <c r="M660" i="194"/>
  <c r="F481" i="305"/>
  <c r="G481" s="1"/>
  <c r="E477" i="195"/>
  <c r="F477" s="1"/>
  <c r="J477" s="1"/>
  <c r="F478" i="305"/>
  <c r="G478" s="1"/>
  <c r="M632" i="194"/>
  <c r="F477" i="305"/>
  <c r="G477" s="1"/>
  <c r="E339" i="195"/>
  <c r="F339" s="1"/>
  <c r="J339" s="1"/>
  <c r="F340" i="305"/>
  <c r="G340" s="1"/>
  <c r="I339" i="140"/>
  <c r="J339" s="1"/>
  <c r="O339" s="1"/>
  <c r="F337" i="305"/>
  <c r="G337" s="1"/>
  <c r="I343" i="140"/>
  <c r="J343" s="1"/>
  <c r="O343" s="1"/>
  <c r="F341" i="305"/>
  <c r="G341" s="1"/>
  <c r="I342" i="140"/>
  <c r="J342" s="1"/>
  <c r="O342" s="1"/>
  <c r="M1064" i="192"/>
  <c r="I492" i="140"/>
  <c r="J492" s="1"/>
  <c r="O492" s="1"/>
  <c r="E489" i="195"/>
  <c r="F489" s="1"/>
  <c r="J489" s="1"/>
  <c r="M1108" i="192"/>
  <c r="I488" i="140"/>
  <c r="J488" s="1"/>
  <c r="O488" s="1"/>
  <c r="E485" i="195"/>
  <c r="F485" s="1"/>
  <c r="J485" s="1"/>
  <c r="M1116" i="192"/>
  <c r="F2491" i="214"/>
  <c r="F2493" s="1"/>
  <c r="F2494" s="1"/>
  <c r="K1141" i="192" s="1"/>
  <c r="E2491" i="214"/>
  <c r="E2493" s="1"/>
  <c r="E2494" s="1"/>
  <c r="G2491"/>
  <c r="G2493" s="1"/>
  <c r="G2494" s="1"/>
  <c r="K716" i="194" s="1"/>
  <c r="I407" i="140"/>
  <c r="J407" s="1"/>
  <c r="O407" s="1"/>
  <c r="E404" i="195"/>
  <c r="F404" s="1"/>
  <c r="J404" s="1"/>
  <c r="I479" i="140"/>
  <c r="J479" s="1"/>
  <c r="O479" s="1"/>
  <c r="E476" i="195"/>
  <c r="F476" s="1"/>
  <c r="J476" s="1"/>
  <c r="I338" i="140"/>
  <c r="J338" s="1"/>
  <c r="O338" s="1"/>
  <c r="E335" i="195"/>
  <c r="F335" s="1"/>
  <c r="J335" s="1"/>
  <c r="I323" i="140"/>
  <c r="J323" s="1"/>
  <c r="O323" s="1"/>
  <c r="E320" i="195"/>
  <c r="F320" s="1"/>
  <c r="J320" s="1"/>
  <c r="I408" i="140"/>
  <c r="J408" s="1"/>
  <c r="O408" s="1"/>
  <c r="E405" i="195"/>
  <c r="F405" s="1"/>
  <c r="J405" s="1"/>
  <c r="I483" i="140"/>
  <c r="J483" s="1"/>
  <c r="O483" s="1"/>
  <c r="E480" i="195"/>
  <c r="F480" s="1"/>
  <c r="J480" s="1"/>
  <c r="I302" i="140"/>
  <c r="J302" s="1"/>
  <c r="O302" s="1"/>
  <c r="I262"/>
  <c r="J262" s="1"/>
  <c r="O262" s="1"/>
  <c r="E259" i="195"/>
  <c r="F259" s="1"/>
  <c r="J259" s="1"/>
  <c r="I464" i="140"/>
  <c r="J464" s="1"/>
  <c r="O464" s="1"/>
  <c r="E461" i="195"/>
  <c r="F461" s="1"/>
  <c r="J461" s="1"/>
  <c r="I303" i="140"/>
  <c r="J303" s="1"/>
  <c r="O303" s="1"/>
  <c r="E300" i="195"/>
  <c r="F300" s="1"/>
  <c r="J300" s="1"/>
  <c r="I263" i="140"/>
  <c r="J263" s="1"/>
  <c r="O263" s="1"/>
  <c r="E260" i="195"/>
  <c r="F260" s="1"/>
  <c r="J260" s="1"/>
  <c r="F2907" i="214"/>
  <c r="F2911" s="1"/>
  <c r="K276" i="192" s="1"/>
  <c r="G2907" i="214"/>
  <c r="G2911" s="1"/>
  <c r="K197" i="194" s="1"/>
  <c r="E2901" i="214"/>
  <c r="E2905" s="1"/>
  <c r="G2901"/>
  <c r="G2905" s="1"/>
  <c r="K33" i="194" s="1"/>
  <c r="F2901" i="214"/>
  <c r="F2905" s="1"/>
  <c r="K35" i="192" s="1"/>
  <c r="E2907" i="214"/>
  <c r="E2911" s="1"/>
  <c r="E2941"/>
  <c r="E2942" s="1"/>
  <c r="E2946" s="1"/>
  <c r="G2954"/>
  <c r="G2955" s="1"/>
  <c r="G2959" s="1"/>
  <c r="G2934"/>
  <c r="G2935" s="1"/>
  <c r="G2939" s="1"/>
  <c r="K121" i="194" s="1"/>
  <c r="F2954" i="214"/>
  <c r="F2955" s="1"/>
  <c r="F2959" s="1"/>
  <c r="G2941"/>
  <c r="G2942" s="1"/>
  <c r="G2946" s="1"/>
  <c r="K101" i="194" s="1"/>
  <c r="E2928" i="214"/>
  <c r="E2932" s="1"/>
  <c r="F2941"/>
  <c r="F2942" s="1"/>
  <c r="F2946" s="1"/>
  <c r="K159" i="192" s="1"/>
  <c r="E2961" i="214"/>
  <c r="F2928"/>
  <c r="F2932" s="1"/>
  <c r="K104" i="192" s="1"/>
  <c r="F2948" i="214"/>
  <c r="F2949" s="1"/>
  <c r="F2953" s="1"/>
  <c r="K133" i="192" s="1"/>
  <c r="G2928" i="214"/>
  <c r="G2932" s="1"/>
  <c r="K57" i="194" s="1"/>
  <c r="E2948" i="214"/>
  <c r="E2949" s="1"/>
  <c r="E2953" s="1"/>
  <c r="F2934"/>
  <c r="F2935" s="1"/>
  <c r="F2939" s="1"/>
  <c r="K179" i="192" s="1"/>
  <c r="E2954" i="214"/>
  <c r="E2955" s="1"/>
  <c r="E2959" s="1"/>
  <c r="E2934"/>
  <c r="E2935" s="1"/>
  <c r="E2939" s="1"/>
  <c r="G2948"/>
  <c r="G2949" s="1"/>
  <c r="G2953" s="1"/>
  <c r="K81" i="194" s="1"/>
  <c r="M145"/>
  <c r="F2997" i="214"/>
  <c r="E2998"/>
  <c r="E3002" s="1"/>
  <c r="F2871"/>
  <c r="G2871" s="1"/>
  <c r="G2874" s="1"/>
  <c r="F2876"/>
  <c r="G2876" s="1"/>
  <c r="G2879" s="1"/>
  <c r="F2881"/>
  <c r="G2881" s="1"/>
  <c r="G2884" s="1"/>
  <c r="E3018"/>
  <c r="E3022" s="1"/>
  <c r="F3018"/>
  <c r="M203" i="192"/>
  <c r="M904"/>
  <c r="M602"/>
  <c r="M539" i="194"/>
  <c r="F1964" i="214"/>
  <c r="G1964" s="1"/>
  <c r="G1967" s="1"/>
  <c r="F1954"/>
  <c r="G1954" s="1"/>
  <c r="G1957" s="1"/>
  <c r="F1959"/>
  <c r="G1959" s="1"/>
  <c r="G1962" s="1"/>
  <c r="F2017"/>
  <c r="F2018" s="1"/>
  <c r="F2022" s="1"/>
  <c r="K174" i="192" s="1"/>
  <c r="E2037" i="214"/>
  <c r="E2038" s="1"/>
  <c r="E2042" s="1"/>
  <c r="E2017"/>
  <c r="E2018" s="1"/>
  <c r="E2022" s="1"/>
  <c r="G2031"/>
  <c r="G2032" s="1"/>
  <c r="G2036" s="1"/>
  <c r="K75" i="194" s="1"/>
  <c r="F2011" i="214"/>
  <c r="F2015" s="1"/>
  <c r="K98" i="192" s="1"/>
  <c r="F2031" i="214"/>
  <c r="F2032" s="1"/>
  <c r="F2036" s="1"/>
  <c r="K128" i="192" s="1"/>
  <c r="G2011" i="214"/>
  <c r="G2015" s="1"/>
  <c r="K51" i="194" s="1"/>
  <c r="E2031" i="214"/>
  <c r="E2032" s="1"/>
  <c r="E2036" s="1"/>
  <c r="G2024"/>
  <c r="G2025" s="1"/>
  <c r="G2029" s="1"/>
  <c r="K96" i="194" s="1"/>
  <c r="E2011" i="214"/>
  <c r="E2015" s="1"/>
  <c r="F2024"/>
  <c r="F2025" s="1"/>
  <c r="F2029" s="1"/>
  <c r="K153" i="192" s="1"/>
  <c r="E2044" i="214"/>
  <c r="E2024"/>
  <c r="E2025" s="1"/>
  <c r="E2029" s="1"/>
  <c r="G2037"/>
  <c r="G2038" s="1"/>
  <c r="G2042" s="1"/>
  <c r="G2017"/>
  <c r="G2018" s="1"/>
  <c r="G2022" s="1"/>
  <c r="K116" i="194" s="1"/>
  <c r="F2037" i="214"/>
  <c r="F2038" s="1"/>
  <c r="F2042" s="1"/>
  <c r="M139" i="194"/>
  <c r="F2080" i="214"/>
  <c r="E2081"/>
  <c r="E2085" s="1"/>
  <c r="F1984"/>
  <c r="F1988" s="1"/>
  <c r="K30" i="192" s="1"/>
  <c r="E1984" i="214"/>
  <c r="E1988" s="1"/>
  <c r="E1990"/>
  <c r="E1994" s="1"/>
  <c r="F1990"/>
  <c r="F1994" s="1"/>
  <c r="K270" i="192" s="1"/>
  <c r="G1984" i="214"/>
  <c r="G1988" s="1"/>
  <c r="K28" i="194" s="1"/>
  <c r="G1990" i="214"/>
  <c r="G1994" s="1"/>
  <c r="K190" i="194" s="1"/>
  <c r="E2101" i="214"/>
  <c r="E2105" s="1"/>
  <c r="F2101"/>
  <c r="M197" i="192"/>
  <c r="F2365" i="214"/>
  <c r="F2366" s="1"/>
  <c r="K897" i="192" s="1"/>
  <c r="G2361" i="214"/>
  <c r="G2365" s="1"/>
  <c r="G2366" s="1"/>
  <c r="K532" i="194" s="1"/>
  <c r="E111" i="232"/>
  <c r="C111"/>
  <c r="E110"/>
  <c r="C110"/>
  <c r="E11" i="231"/>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179" s="1"/>
  <c r="E180" s="1"/>
  <c r="E181" s="1"/>
  <c r="E182" s="1"/>
  <c r="E183" s="1"/>
  <c r="E184" s="1"/>
  <c r="E185" s="1"/>
  <c r="E186" s="1"/>
  <c r="E187" s="1"/>
  <c r="E188" s="1"/>
  <c r="E189" s="1"/>
  <c r="E190" s="1"/>
  <c r="E191" s="1"/>
  <c r="E192" s="1"/>
  <c r="E193" s="1"/>
  <c r="E194" s="1"/>
  <c r="E195" s="1"/>
  <c r="E196" s="1"/>
  <c r="E197" s="1"/>
  <c r="E198" s="1"/>
  <c r="E199" s="1"/>
  <c r="E200" s="1"/>
  <c r="E201" s="1"/>
  <c r="E202" s="1"/>
  <c r="E203" s="1"/>
  <c r="E204" s="1"/>
  <c r="E205" s="1"/>
  <c r="E206" s="1"/>
  <c r="E207" s="1"/>
  <c r="E208" s="1"/>
  <c r="E209" s="1"/>
  <c r="E210" s="1"/>
  <c r="E211" s="1"/>
  <c r="E212" s="1"/>
  <c r="E213" s="1"/>
  <c r="E214" s="1"/>
  <c r="E215" s="1"/>
  <c r="E216" s="1"/>
  <c r="E217" s="1"/>
  <c r="E218" s="1"/>
  <c r="E219" s="1"/>
  <c r="E220" s="1"/>
  <c r="E221" s="1"/>
  <c r="E222" s="1"/>
  <c r="E223" s="1"/>
  <c r="E224" s="1"/>
  <c r="E225" s="1"/>
  <c r="E226" s="1"/>
  <c r="E227" s="1"/>
  <c r="E228" s="1"/>
  <c r="E229" s="1"/>
  <c r="E230" s="1"/>
  <c r="E231" s="1"/>
  <c r="E232" s="1"/>
  <c r="E233" s="1"/>
  <c r="E234" s="1"/>
  <c r="E235" s="1"/>
  <c r="E236" s="1"/>
  <c r="E237" s="1"/>
  <c r="E238" s="1"/>
  <c r="E239" s="1"/>
  <c r="E240" s="1"/>
  <c r="E241" s="1"/>
  <c r="E242" s="1"/>
  <c r="E243" s="1"/>
  <c r="E244" s="1"/>
  <c r="E245" s="1"/>
  <c r="E246" s="1"/>
  <c r="E247" s="1"/>
  <c r="E248" s="1"/>
  <c r="E249" s="1"/>
  <c r="E250" s="1"/>
  <c r="E251" s="1"/>
  <c r="E252" s="1"/>
  <c r="E253" s="1"/>
  <c r="E254" s="1"/>
  <c r="E255" s="1"/>
  <c r="E256" s="1"/>
  <c r="E257" s="1"/>
  <c r="E258" s="1"/>
  <c r="E259" s="1"/>
  <c r="E260" s="1"/>
  <c r="E261" s="1"/>
  <c r="E262" s="1"/>
  <c r="E263" s="1"/>
  <c r="E264" s="1"/>
  <c r="E265" s="1"/>
  <c r="E266" s="1"/>
  <c r="E267" s="1"/>
  <c r="E268" s="1"/>
  <c r="E269" s="1"/>
  <c r="E270" s="1"/>
  <c r="E271" s="1"/>
  <c r="E272" s="1"/>
  <c r="E273" s="1"/>
  <c r="E274" s="1"/>
  <c r="E275" s="1"/>
  <c r="E276" s="1"/>
  <c r="E277" s="1"/>
  <c r="E278" s="1"/>
  <c r="E279" s="1"/>
  <c r="E280" s="1"/>
  <c r="E281" s="1"/>
  <c r="E282" s="1"/>
  <c r="E283" s="1"/>
  <c r="E284" s="1"/>
  <c r="E285" s="1"/>
  <c r="E286" s="1"/>
  <c r="E287" s="1"/>
  <c r="E288" s="1"/>
  <c r="E289" s="1"/>
  <c r="E290" s="1"/>
  <c r="E291" s="1"/>
  <c r="E292" s="1"/>
  <c r="E293" s="1"/>
  <c r="E294" s="1"/>
  <c r="E295" s="1"/>
  <c r="E296" s="1"/>
  <c r="E297" s="1"/>
  <c r="E298" s="1"/>
  <c r="E299" s="1"/>
  <c r="E300" s="1"/>
  <c r="E301" s="1"/>
  <c r="E302" s="1"/>
  <c r="E303" s="1"/>
  <c r="E304" s="1"/>
  <c r="E305" s="1"/>
  <c r="G25" i="226"/>
  <c r="F25"/>
  <c r="G24"/>
  <c r="F24"/>
  <c r="G23"/>
  <c r="E23"/>
  <c r="F23" s="1"/>
  <c r="G22"/>
  <c r="G21"/>
  <c r="G20"/>
  <c r="I20" s="1"/>
  <c r="G19"/>
  <c r="I19" s="1"/>
  <c r="G18"/>
  <c r="I18" s="1"/>
  <c r="G17"/>
  <c r="I17" s="1"/>
  <c r="D17"/>
  <c r="D18" s="1"/>
  <c r="D19" s="1"/>
  <c r="D20" s="1"/>
  <c r="D21" s="1"/>
  <c r="D22" s="1"/>
  <c r="I16"/>
  <c r="G16"/>
  <c r="E16"/>
  <c r="E17" s="1"/>
  <c r="K15"/>
  <c r="J15"/>
  <c r="G15"/>
  <c r="E15"/>
  <c r="F15" s="1"/>
  <c r="G14"/>
  <c r="G13"/>
  <c r="D13"/>
  <c r="D14" s="1"/>
  <c r="G12"/>
  <c r="E12"/>
  <c r="F12" s="1"/>
  <c r="G11"/>
  <c r="L11" s="1"/>
  <c r="G10"/>
  <c r="G9"/>
  <c r="G8"/>
  <c r="L8" s="1"/>
  <c r="D9" i="165" s="1"/>
  <c r="F21" i="139" s="1"/>
  <c r="F348" i="214"/>
  <c r="F341"/>
  <c r="F347"/>
  <c r="F340"/>
  <c r="M596" i="192" l="1"/>
  <c r="E299" i="195"/>
  <c r="F299" s="1"/>
  <c r="J299" s="1"/>
  <c r="I347" i="140"/>
  <c r="J347" s="1"/>
  <c r="O347" s="1"/>
  <c r="E348" i="195"/>
  <c r="F348" s="1"/>
  <c r="J348" s="1"/>
  <c r="M1148" i="192"/>
  <c r="I351" i="309"/>
  <c r="I488"/>
  <c r="J488" s="1"/>
  <c r="E343" i="195"/>
  <c r="F343" s="1"/>
  <c r="J343" s="1"/>
  <c r="I346" i="309"/>
  <c r="J346" s="1"/>
  <c r="E344" i="195"/>
  <c r="F344" s="1"/>
  <c r="J344" s="1"/>
  <c r="I346" i="140"/>
  <c r="J346" s="1"/>
  <c r="O346" s="1"/>
  <c r="M723" i="194"/>
  <c r="J479" i="309"/>
  <c r="O479" s="1"/>
  <c r="E342"/>
  <c r="F342" s="1"/>
  <c r="O342" s="1"/>
  <c r="I124"/>
  <c r="E124" s="1"/>
  <c r="F124" s="1"/>
  <c r="M958" i="132"/>
  <c r="F124" i="305"/>
  <c r="G124" s="1"/>
  <c r="E157" i="309"/>
  <c r="F157" s="1"/>
  <c r="O157" s="1"/>
  <c r="M1569" i="132"/>
  <c r="F123" i="305"/>
  <c r="G123" s="1"/>
  <c r="M571" i="132"/>
  <c r="F76" i="305"/>
  <c r="G76" s="1"/>
  <c r="M1186" i="132"/>
  <c r="M1576"/>
  <c r="E148" i="309"/>
  <c r="F148" s="1"/>
  <c r="O148" s="1"/>
  <c r="E122" i="195"/>
  <c r="F122" s="1"/>
  <c r="J122" s="1"/>
  <c r="M565" i="132"/>
  <c r="M964"/>
  <c r="E163" i="195"/>
  <c r="F163" s="1"/>
  <c r="J163" s="1"/>
  <c r="F160" i="305"/>
  <c r="G160" s="1"/>
  <c r="F75"/>
  <c r="G75" s="1"/>
  <c r="I165" i="309"/>
  <c r="J165" s="1"/>
  <c r="E215" i="195"/>
  <c r="F215" s="1"/>
  <c r="J215" s="1"/>
  <c r="F187" i="305"/>
  <c r="G187" s="1"/>
  <c r="I189" i="309"/>
  <c r="J189" s="1"/>
  <c r="M1328" i="132"/>
  <c r="M1410"/>
  <c r="E167" i="195"/>
  <c r="F167" s="1"/>
  <c r="J167" s="1"/>
  <c r="F163" i="305"/>
  <c r="G163" s="1"/>
  <c r="E74" i="195"/>
  <c r="F74" s="1"/>
  <c r="J74" s="1"/>
  <c r="E123"/>
  <c r="F123" s="1"/>
  <c r="J123" s="1"/>
  <c r="E75"/>
  <c r="F75" s="1"/>
  <c r="J75" s="1"/>
  <c r="M1417" i="132"/>
  <c r="I165" i="140"/>
  <c r="J165" s="1"/>
  <c r="O165" s="1"/>
  <c r="I125"/>
  <c r="J125" s="1"/>
  <c r="O125" s="1"/>
  <c r="E159" i="195"/>
  <c r="F159" s="1"/>
  <c r="J159" s="1"/>
  <c r="I77" i="140"/>
  <c r="J77" s="1"/>
  <c r="O77" s="1"/>
  <c r="I76"/>
  <c r="J76" s="1"/>
  <c r="O76" s="1"/>
  <c r="I161" i="309"/>
  <c r="E161" s="1"/>
  <c r="F161" s="1"/>
  <c r="O97"/>
  <c r="J125"/>
  <c r="E125"/>
  <c r="F125" s="1"/>
  <c r="M1386" i="132"/>
  <c r="E76" i="309"/>
  <c r="F76" s="1"/>
  <c r="J76"/>
  <c r="O96"/>
  <c r="E154" i="195"/>
  <c r="F154" s="1"/>
  <c r="J154" s="1"/>
  <c r="I144" i="140"/>
  <c r="J144" s="1"/>
  <c r="O144" s="1"/>
  <c r="E214" i="195"/>
  <c r="F214" s="1"/>
  <c r="J214" s="1"/>
  <c r="E77" i="309"/>
  <c r="F77" s="1"/>
  <c r="O77" s="1"/>
  <c r="I156"/>
  <c r="E156" s="1"/>
  <c r="F156" s="1"/>
  <c r="F143" i="305"/>
  <c r="G143" s="1"/>
  <c r="F168"/>
  <c r="G168" s="1"/>
  <c r="I156" i="140"/>
  <c r="J156" s="1"/>
  <c r="O156" s="1"/>
  <c r="E142" i="195"/>
  <c r="F142" s="1"/>
  <c r="J142" s="1"/>
  <c r="I189" i="140"/>
  <c r="J189" s="1"/>
  <c r="O189" s="1"/>
  <c r="I188"/>
  <c r="J188" s="1"/>
  <c r="O188" s="1"/>
  <c r="E162" i="195"/>
  <c r="F162" s="1"/>
  <c r="J162" s="1"/>
  <c r="I164" i="140"/>
  <c r="J164" s="1"/>
  <c r="O164" s="1"/>
  <c r="M1446" i="132"/>
  <c r="I169" i="140"/>
  <c r="J169" s="1"/>
  <c r="O169" s="1"/>
  <c r="K1220" i="132"/>
  <c r="I100" i="309" s="1"/>
  <c r="J100" s="1"/>
  <c r="K628" i="132"/>
  <c r="I84" i="309" s="1"/>
  <c r="J84" s="1"/>
  <c r="K519" i="132"/>
  <c r="I64" i="309" s="1"/>
  <c r="J64" s="1"/>
  <c r="K542" i="132"/>
  <c r="I72" i="309" s="1"/>
  <c r="J72" s="1"/>
  <c r="K301" i="132"/>
  <c r="I44" i="309" s="1"/>
  <c r="J44" s="1"/>
  <c r="K406" i="132"/>
  <c r="I57" i="309" s="1"/>
  <c r="J57" s="1"/>
  <c r="K306" i="132"/>
  <c r="I45" i="309" s="1"/>
  <c r="J45" s="1"/>
  <c r="K547" i="132"/>
  <c r="I73" i="309" s="1"/>
  <c r="J73" s="1"/>
  <c r="K525" i="132"/>
  <c r="I65" i="309" s="1"/>
  <c r="J65" s="1"/>
  <c r="K366" i="132"/>
  <c r="I53" i="309" s="1"/>
  <c r="J53" s="1"/>
  <c r="K1439" i="132"/>
  <c r="I168" i="309" s="1"/>
  <c r="K354" i="132"/>
  <c r="I52" i="140" s="1"/>
  <c r="J52" s="1"/>
  <c r="O52" s="1"/>
  <c r="K592" i="132"/>
  <c r="F79" i="305" s="1"/>
  <c r="G79" s="1"/>
  <c r="K467" i="132"/>
  <c r="I60" i="140" s="1"/>
  <c r="J60" s="1"/>
  <c r="O60" s="1"/>
  <c r="K494" i="132"/>
  <c r="I68" i="309" s="1"/>
  <c r="J68" s="1"/>
  <c r="K321" i="132"/>
  <c r="I48" i="140" s="1"/>
  <c r="J48" s="1"/>
  <c r="O48" s="1"/>
  <c r="K400" i="132"/>
  <c r="I56" i="140" s="1"/>
  <c r="J56" s="1"/>
  <c r="O56" s="1"/>
  <c r="K1225" i="132"/>
  <c r="I101" i="140" s="1"/>
  <c r="J101" s="1"/>
  <c r="O101" s="1"/>
  <c r="K326" i="132"/>
  <c r="I49" i="309" s="1"/>
  <c r="J49" s="1"/>
  <c r="K599" i="132"/>
  <c r="I81" i="140" s="1"/>
  <c r="J81" s="1"/>
  <c r="O81" s="1"/>
  <c r="K500" i="132"/>
  <c r="I69" i="140" s="1"/>
  <c r="J69" s="1"/>
  <c r="O69" s="1"/>
  <c r="K475" i="132"/>
  <c r="I61" i="140" s="1"/>
  <c r="J61" s="1"/>
  <c r="O61" s="1"/>
  <c r="K639" i="132"/>
  <c r="I85" i="309" s="1"/>
  <c r="J85" s="1"/>
  <c r="F485" i="305"/>
  <c r="G485" s="1"/>
  <c r="F486"/>
  <c r="G486" s="1"/>
  <c r="L24" i="226"/>
  <c r="F980" i="214" s="1"/>
  <c r="G980" s="1"/>
  <c r="G981" s="1"/>
  <c r="G982" s="1"/>
  <c r="I487" i="309"/>
  <c r="E487" s="1"/>
  <c r="F487" s="1"/>
  <c r="L23" i="226"/>
  <c r="F1663" i="214" s="1"/>
  <c r="G1663" s="1"/>
  <c r="M688" i="194"/>
  <c r="I487" i="140"/>
  <c r="J487" s="1"/>
  <c r="O487" s="1"/>
  <c r="F461" i="305"/>
  <c r="G461" s="1"/>
  <c r="I463" i="309"/>
  <c r="F385" i="305"/>
  <c r="G385" s="1"/>
  <c r="I387" i="309"/>
  <c r="F240" i="305"/>
  <c r="G240" s="1"/>
  <c r="I242" i="309"/>
  <c r="F397" i="305"/>
  <c r="G397" s="1"/>
  <c r="I399" i="309"/>
  <c r="F248" i="305"/>
  <c r="G248" s="1"/>
  <c r="I250" i="309"/>
  <c r="F393" i="305"/>
  <c r="G393" s="1"/>
  <c r="I395" i="309"/>
  <c r="F389" i="305"/>
  <c r="G389" s="1"/>
  <c r="I391" i="309"/>
  <c r="F244" i="305"/>
  <c r="G244" s="1"/>
  <c r="I246" i="309"/>
  <c r="F252" i="305"/>
  <c r="G252" s="1"/>
  <c r="I254" i="309"/>
  <c r="F253" i="305"/>
  <c r="G253" s="1"/>
  <c r="I255" i="309"/>
  <c r="F390" i="305"/>
  <c r="G390" s="1"/>
  <c r="I392" i="309"/>
  <c r="F245" i="305"/>
  <c r="G245" s="1"/>
  <c r="I247" i="309"/>
  <c r="F249" i="305"/>
  <c r="G249" s="1"/>
  <c r="I251" i="309"/>
  <c r="F394" i="305"/>
  <c r="G394" s="1"/>
  <c r="I396" i="309"/>
  <c r="F398" i="305"/>
  <c r="G398" s="1"/>
  <c r="I400" i="309"/>
  <c r="F241" i="305"/>
  <c r="G241" s="1"/>
  <c r="I243" i="309"/>
  <c r="F269" i="305"/>
  <c r="G269" s="1"/>
  <c r="I271" i="309"/>
  <c r="F320" i="305"/>
  <c r="G320" s="1"/>
  <c r="I322" i="309"/>
  <c r="F413" i="305"/>
  <c r="G413" s="1"/>
  <c r="I415" i="309"/>
  <c r="F268" i="305"/>
  <c r="G268" s="1"/>
  <c r="I270" i="309"/>
  <c r="F256" i="305"/>
  <c r="G256" s="1"/>
  <c r="I258" i="309"/>
  <c r="F401" i="305"/>
  <c r="G401" s="1"/>
  <c r="I403" i="309"/>
  <c r="F402" i="305"/>
  <c r="G402" s="1"/>
  <c r="I404" i="309"/>
  <c r="F257" i="305"/>
  <c r="G257" s="1"/>
  <c r="I259" i="309"/>
  <c r="F386" i="305"/>
  <c r="G386" s="1"/>
  <c r="I388" i="309"/>
  <c r="F414" i="305"/>
  <c r="G414" s="1"/>
  <c r="I416" i="309"/>
  <c r="F489" i="305"/>
  <c r="G489" s="1"/>
  <c r="I491" i="309"/>
  <c r="F348" i="305"/>
  <c r="G348" s="1"/>
  <c r="I350" i="309"/>
  <c r="E346"/>
  <c r="F346" s="1"/>
  <c r="J351"/>
  <c r="E351"/>
  <c r="F351" s="1"/>
  <c r="J492"/>
  <c r="E492"/>
  <c r="F492" s="1"/>
  <c r="J263"/>
  <c r="E263"/>
  <c r="F263" s="1"/>
  <c r="J303"/>
  <c r="E303"/>
  <c r="F303" s="1"/>
  <c r="J464"/>
  <c r="E464"/>
  <c r="F464" s="1"/>
  <c r="J338"/>
  <c r="E338"/>
  <c r="F338" s="1"/>
  <c r="J407"/>
  <c r="E407"/>
  <c r="F407" s="1"/>
  <c r="J188"/>
  <c r="E188"/>
  <c r="F188" s="1"/>
  <c r="J302"/>
  <c r="E302"/>
  <c r="F302" s="1"/>
  <c r="J343"/>
  <c r="E343"/>
  <c r="F343" s="1"/>
  <c r="J339"/>
  <c r="E339"/>
  <c r="F339" s="1"/>
  <c r="J347"/>
  <c r="E347"/>
  <c r="F347" s="1"/>
  <c r="E488"/>
  <c r="F488" s="1"/>
  <c r="J408"/>
  <c r="E408"/>
  <c r="F408" s="1"/>
  <c r="J323"/>
  <c r="E323"/>
  <c r="F323" s="1"/>
  <c r="J262"/>
  <c r="E262"/>
  <c r="F262" s="1"/>
  <c r="J144"/>
  <c r="E144"/>
  <c r="F144" s="1"/>
  <c r="J169"/>
  <c r="E169"/>
  <c r="F169" s="1"/>
  <c r="J164"/>
  <c r="E164"/>
  <c r="F164" s="1"/>
  <c r="O330"/>
  <c r="O140"/>
  <c r="O318"/>
  <c r="O460"/>
  <c r="O331"/>
  <c r="O484"/>
  <c r="O145"/>
  <c r="O471"/>
  <c r="O459"/>
  <c r="O160"/>
  <c r="O319"/>
  <c r="O141"/>
  <c r="O472"/>
  <c r="O149"/>
  <c r="O480"/>
  <c r="O483"/>
  <c r="I491" i="140"/>
  <c r="J491" s="1"/>
  <c r="O491" s="1"/>
  <c r="M716" i="194"/>
  <c r="E488" i="195"/>
  <c r="F488" s="1"/>
  <c r="J488" s="1"/>
  <c r="I350" i="140"/>
  <c r="J350" s="1"/>
  <c r="O350" s="1"/>
  <c r="E347" i="195"/>
  <c r="F347" s="1"/>
  <c r="J347" s="1"/>
  <c r="M1141" i="192"/>
  <c r="L25" i="226"/>
  <c r="F988" i="214" s="1"/>
  <c r="G988" s="1"/>
  <c r="G989" s="1"/>
  <c r="G990" s="1"/>
  <c r="I322" i="140"/>
  <c r="J322" s="1"/>
  <c r="O322" s="1"/>
  <c r="E319" i="195"/>
  <c r="F319" s="1"/>
  <c r="J319" s="1"/>
  <c r="I415" i="140"/>
  <c r="J415" s="1"/>
  <c r="O415" s="1"/>
  <c r="E412" i="195"/>
  <c r="F412" s="1"/>
  <c r="J412" s="1"/>
  <c r="I270" i="140"/>
  <c r="J270" s="1"/>
  <c r="O270" s="1"/>
  <c r="E267" i="195"/>
  <c r="F267" s="1"/>
  <c r="J267" s="1"/>
  <c r="I258" i="140"/>
  <c r="J258" s="1"/>
  <c r="O258" s="1"/>
  <c r="E255" i="195"/>
  <c r="F255" s="1"/>
  <c r="J255" s="1"/>
  <c r="I403" i="140"/>
  <c r="J403" s="1"/>
  <c r="O403" s="1"/>
  <c r="E400" i="195"/>
  <c r="F400" s="1"/>
  <c r="J400" s="1"/>
  <c r="I404" i="140"/>
  <c r="J404" s="1"/>
  <c r="O404" s="1"/>
  <c r="E401" i="195"/>
  <c r="F401" s="1"/>
  <c r="J401" s="1"/>
  <c r="I259" i="140"/>
  <c r="J259" s="1"/>
  <c r="O259" s="1"/>
  <c r="E256" i="195"/>
  <c r="F256" s="1"/>
  <c r="J256" s="1"/>
  <c r="I388" i="140"/>
  <c r="J388" s="1"/>
  <c r="O388" s="1"/>
  <c r="E385" i="195"/>
  <c r="F385" s="1"/>
  <c r="J385" s="1"/>
  <c r="I416" i="140"/>
  <c r="J416" s="1"/>
  <c r="O416" s="1"/>
  <c r="E413" i="195"/>
  <c r="F413" s="1"/>
  <c r="J413" s="1"/>
  <c r="I463" i="140"/>
  <c r="J463" s="1"/>
  <c r="O463" s="1"/>
  <c r="E460" i="195"/>
  <c r="F460" s="1"/>
  <c r="J460" s="1"/>
  <c r="I387" i="140"/>
  <c r="J387" s="1"/>
  <c r="O387" s="1"/>
  <c r="E384" i="195"/>
  <c r="F384" s="1"/>
  <c r="J384" s="1"/>
  <c r="I242" i="140"/>
  <c r="J242" s="1"/>
  <c r="O242" s="1"/>
  <c r="E239" i="195"/>
  <c r="F239" s="1"/>
  <c r="J239" s="1"/>
  <c r="I399" i="140"/>
  <c r="J399" s="1"/>
  <c r="O399" s="1"/>
  <c r="E396" i="195"/>
  <c r="F396" s="1"/>
  <c r="J396" s="1"/>
  <c r="I250" i="140"/>
  <c r="J250" s="1"/>
  <c r="O250" s="1"/>
  <c r="E247" i="195"/>
  <c r="F247" s="1"/>
  <c r="J247" s="1"/>
  <c r="I395" i="140"/>
  <c r="J395" s="1"/>
  <c r="O395" s="1"/>
  <c r="E392" i="195"/>
  <c r="F392" s="1"/>
  <c r="J392" s="1"/>
  <c r="I391" i="140"/>
  <c r="J391" s="1"/>
  <c r="O391" s="1"/>
  <c r="E388" i="195"/>
  <c r="F388" s="1"/>
  <c r="J388" s="1"/>
  <c r="I246" i="140"/>
  <c r="J246" s="1"/>
  <c r="O246" s="1"/>
  <c r="E243" i="195"/>
  <c r="F243" s="1"/>
  <c r="J243" s="1"/>
  <c r="I254" i="140"/>
  <c r="J254" s="1"/>
  <c r="O254" s="1"/>
  <c r="E251" i="195"/>
  <c r="F251" s="1"/>
  <c r="J251" s="1"/>
  <c r="I255" i="140"/>
  <c r="J255" s="1"/>
  <c r="O255" s="1"/>
  <c r="E252" i="195"/>
  <c r="F252" s="1"/>
  <c r="J252" s="1"/>
  <c r="I392" i="140"/>
  <c r="J392" s="1"/>
  <c r="O392" s="1"/>
  <c r="E389" i="195"/>
  <c r="F389" s="1"/>
  <c r="J389" s="1"/>
  <c r="I247" i="140"/>
  <c r="J247" s="1"/>
  <c r="O247" s="1"/>
  <c r="E244" i="195"/>
  <c r="F244" s="1"/>
  <c r="J244" s="1"/>
  <c r="I251" i="140"/>
  <c r="J251" s="1"/>
  <c r="O251" s="1"/>
  <c r="E248" i="195"/>
  <c r="F248" s="1"/>
  <c r="J248" s="1"/>
  <c r="I396" i="140"/>
  <c r="J396" s="1"/>
  <c r="O396" s="1"/>
  <c r="E393" i="195"/>
  <c r="F393" s="1"/>
  <c r="J393" s="1"/>
  <c r="I400" i="140"/>
  <c r="J400" s="1"/>
  <c r="O400" s="1"/>
  <c r="E397" i="195"/>
  <c r="F397" s="1"/>
  <c r="J397" s="1"/>
  <c r="I243" i="140"/>
  <c r="J243" s="1"/>
  <c r="O243" s="1"/>
  <c r="E240" i="195"/>
  <c r="F240" s="1"/>
  <c r="J240" s="1"/>
  <c r="I271" i="140"/>
  <c r="J271" s="1"/>
  <c r="O271" s="1"/>
  <c r="E268" i="195"/>
  <c r="F268" s="1"/>
  <c r="J268" s="1"/>
  <c r="G3018" i="214"/>
  <c r="G3022" s="1"/>
  <c r="K559" i="194" s="1"/>
  <c r="F3022" i="214"/>
  <c r="K932" i="192" s="1"/>
  <c r="G2997" i="214"/>
  <c r="G2998" s="1"/>
  <c r="G3002" s="1"/>
  <c r="K169" i="194" s="1"/>
  <c r="F2998" i="214"/>
  <c r="F3002" s="1"/>
  <c r="K227" i="192" s="1"/>
  <c r="M179"/>
  <c r="M57" i="194"/>
  <c r="M104" i="192"/>
  <c r="M159"/>
  <c r="M101" i="194"/>
  <c r="M121"/>
  <c r="M35" i="192"/>
  <c r="M276"/>
  <c r="M81" i="194"/>
  <c r="M133" i="192"/>
  <c r="F2961" i="214"/>
  <c r="E2962"/>
  <c r="E2966" s="1"/>
  <c r="E2969"/>
  <c r="E2970" s="1"/>
  <c r="E2974" s="1"/>
  <c r="M33" i="194"/>
  <c r="M197"/>
  <c r="G2101" i="214"/>
  <c r="G2105" s="1"/>
  <c r="K554" i="194" s="1"/>
  <c r="F2105" i="214"/>
  <c r="K925" i="192" s="1"/>
  <c r="M190" i="194"/>
  <c r="M270" i="192"/>
  <c r="F2044" i="214"/>
  <c r="E2045"/>
  <c r="E2049" s="1"/>
  <c r="E2052"/>
  <c r="E2053" s="1"/>
  <c r="E2057" s="1"/>
  <c r="M128" i="192"/>
  <c r="M75" i="194"/>
  <c r="M28"/>
  <c r="M30" i="192"/>
  <c r="G2080" i="214"/>
  <c r="G2081" s="1"/>
  <c r="G2085" s="1"/>
  <c r="K163" i="194" s="1"/>
  <c r="F2081" i="214"/>
  <c r="F2085" s="1"/>
  <c r="K221" i="192" s="1"/>
  <c r="M116" i="194"/>
  <c r="M153" i="192"/>
  <c r="M96" i="194"/>
  <c r="M51"/>
  <c r="M98" i="192"/>
  <c r="M174"/>
  <c r="M532" i="194"/>
  <c r="M897" i="192"/>
  <c r="F16" i="226"/>
  <c r="L16" s="1"/>
  <c r="I671" i="140"/>
  <c r="J671" s="1"/>
  <c r="O671" s="1"/>
  <c r="E665" i="195"/>
  <c r="F665" s="1"/>
  <c r="J665" s="1"/>
  <c r="E649"/>
  <c r="F649" s="1"/>
  <c r="J649" s="1"/>
  <c r="I654" i="140"/>
  <c r="J654" s="1"/>
  <c r="O654" s="1"/>
  <c r="E645" i="195"/>
  <c r="F645" s="1"/>
  <c r="J645" s="1"/>
  <c r="I650" i="140"/>
  <c r="J650" s="1"/>
  <c r="O650" s="1"/>
  <c r="I629"/>
  <c r="J629" s="1"/>
  <c r="O629" s="1"/>
  <c r="E625" i="195"/>
  <c r="F625" s="1"/>
  <c r="J625" s="1"/>
  <c r="E669"/>
  <c r="F669" s="1"/>
  <c r="J669" s="1"/>
  <c r="I675" i="140"/>
  <c r="J675" s="1"/>
  <c r="O675" s="1"/>
  <c r="E673" i="195"/>
  <c r="F673" s="1"/>
  <c r="J673" s="1"/>
  <c r="I679" i="140"/>
  <c r="J679" s="1"/>
  <c r="O679" s="1"/>
  <c r="E653" i="195"/>
  <c r="F653" s="1"/>
  <c r="J653" s="1"/>
  <c r="I658" i="140"/>
  <c r="J658" s="1"/>
  <c r="O658" s="1"/>
  <c r="I666"/>
  <c r="J666" s="1"/>
  <c r="O666" s="1"/>
  <c r="E661" i="195"/>
  <c r="F661" s="1"/>
  <c r="J661" s="1"/>
  <c r="I646" i="140"/>
  <c r="J646" s="1"/>
  <c r="O646" s="1"/>
  <c r="E641" i="195"/>
  <c r="F641" s="1"/>
  <c r="J641" s="1"/>
  <c r="I633" i="140"/>
  <c r="J633" s="1"/>
  <c r="O633" s="1"/>
  <c r="E629" i="195"/>
  <c r="F629" s="1"/>
  <c r="J629" s="1"/>
  <c r="I625" i="140"/>
  <c r="J625" s="1"/>
  <c r="O625" s="1"/>
  <c r="E621" i="195"/>
  <c r="F621" s="1"/>
  <c r="J621" s="1"/>
  <c r="I642" i="140"/>
  <c r="J642" s="1"/>
  <c r="O642" s="1"/>
  <c r="E637" i="195"/>
  <c r="F637" s="1"/>
  <c r="J637" s="1"/>
  <c r="I702" i="140"/>
  <c r="J702" s="1"/>
  <c r="O702" s="1"/>
  <c r="E693" i="195"/>
  <c r="F693" s="1"/>
  <c r="J693" s="1"/>
  <c r="I714" i="140"/>
  <c r="J714" s="1"/>
  <c r="O714" s="1"/>
  <c r="E705" i="195"/>
  <c r="F705" s="1"/>
  <c r="J705" s="1"/>
  <c r="E709"/>
  <c r="F709" s="1"/>
  <c r="J709" s="1"/>
  <c r="I718" i="140"/>
  <c r="J718" s="1"/>
  <c r="O718" s="1"/>
  <c r="I722"/>
  <c r="J722" s="1"/>
  <c r="O722" s="1"/>
  <c r="E713" i="195"/>
  <c r="F713" s="1"/>
  <c r="J713" s="1"/>
  <c r="I730" i="140"/>
  <c r="J730" s="1"/>
  <c r="O730" s="1"/>
  <c r="E721" i="195"/>
  <c r="F721" s="1"/>
  <c r="J721" s="1"/>
  <c r="E733"/>
  <c r="F733" s="1"/>
  <c r="J733" s="1"/>
  <c r="I742" i="140"/>
  <c r="J742" s="1"/>
  <c r="O742" s="1"/>
  <c r="I683"/>
  <c r="J683" s="1"/>
  <c r="O683" s="1"/>
  <c r="E677" i="195"/>
  <c r="F677" s="1"/>
  <c r="J677" s="1"/>
  <c r="E657"/>
  <c r="F657" s="1"/>
  <c r="J657" s="1"/>
  <c r="I662" i="140"/>
  <c r="J662" s="1"/>
  <c r="O662" s="1"/>
  <c r="E685" i="195"/>
  <c r="F685" s="1"/>
  <c r="J685" s="1"/>
  <c r="I692" i="140"/>
  <c r="J692" s="1"/>
  <c r="O692" s="1"/>
  <c r="I637"/>
  <c r="J637" s="1"/>
  <c r="O637" s="1"/>
  <c r="E633" i="195"/>
  <c r="F633" s="1"/>
  <c r="J633" s="1"/>
  <c r="E689"/>
  <c r="F689" s="1"/>
  <c r="J689" s="1"/>
  <c r="I698" i="140"/>
  <c r="J698" s="1"/>
  <c r="O698" s="1"/>
  <c r="I706"/>
  <c r="J706" s="1"/>
  <c r="O706" s="1"/>
  <c r="E697" i="195"/>
  <c r="F697" s="1"/>
  <c r="J697" s="1"/>
  <c r="E701"/>
  <c r="F701" s="1"/>
  <c r="J701" s="1"/>
  <c r="I710" i="140"/>
  <c r="J710" s="1"/>
  <c r="O710" s="1"/>
  <c r="I734"/>
  <c r="J734" s="1"/>
  <c r="O734" s="1"/>
  <c r="E725" i="195"/>
  <c r="F725" s="1"/>
  <c r="J725" s="1"/>
  <c r="I726" i="140"/>
  <c r="J726" s="1"/>
  <c r="O726" s="1"/>
  <c r="E717" i="195"/>
  <c r="F717" s="1"/>
  <c r="J717" s="1"/>
  <c r="E729"/>
  <c r="F729" s="1"/>
  <c r="J729" s="1"/>
  <c r="I738" i="140"/>
  <c r="J738" s="1"/>
  <c r="O738" s="1"/>
  <c r="I687"/>
  <c r="J687" s="1"/>
  <c r="O687" s="1"/>
  <c r="E681" i="195"/>
  <c r="F681" s="1"/>
  <c r="J681" s="1"/>
  <c r="H313" i="215"/>
  <c r="I313" s="1"/>
  <c r="I314" s="1"/>
  <c r="I315" s="1"/>
  <c r="F925" i="214"/>
  <c r="G925" s="1"/>
  <c r="F935"/>
  <c r="G935" s="1"/>
  <c r="F945"/>
  <c r="G945" s="1"/>
  <c r="F999"/>
  <c r="F1026"/>
  <c r="G1026" s="1"/>
  <c r="F1056"/>
  <c r="G1056" s="1"/>
  <c r="F1083"/>
  <c r="F1280"/>
  <c r="G1280" s="1"/>
  <c r="F1297"/>
  <c r="G1297" s="1"/>
  <c r="F1314"/>
  <c r="G1314" s="1"/>
  <c r="F1455"/>
  <c r="G1455" s="1"/>
  <c r="F1582"/>
  <c r="F1603"/>
  <c r="F1664"/>
  <c r="F1688"/>
  <c r="G1688" s="1"/>
  <c r="F930"/>
  <c r="G930" s="1"/>
  <c r="F940"/>
  <c r="G940" s="1"/>
  <c r="F1146"/>
  <c r="G1146" s="1"/>
  <c r="F1270"/>
  <c r="G1270" s="1"/>
  <c r="F1413"/>
  <c r="F1505"/>
  <c r="F1620"/>
  <c r="F1639"/>
  <c r="F1654"/>
  <c r="G1654" s="1"/>
  <c r="I9" i="226"/>
  <c r="L9" s="1"/>
  <c r="D97" i="165" s="1"/>
  <c r="L12" i="226"/>
  <c r="F1316" i="214" s="1"/>
  <c r="G1316" s="1"/>
  <c r="L15" i="226"/>
  <c r="F1281" i="214" s="1"/>
  <c r="G1281" s="1"/>
  <c r="E13" i="226"/>
  <c r="E14" s="1"/>
  <c r="F14" s="1"/>
  <c r="L14" s="1"/>
  <c r="F17"/>
  <c r="L17" s="1"/>
  <c r="E950" i="214" s="1"/>
  <c r="F950" s="1"/>
  <c r="E18" i="226"/>
  <c r="I10"/>
  <c r="L10" s="1"/>
  <c r="F13"/>
  <c r="L13" s="1"/>
  <c r="D53" i="165" s="1"/>
  <c r="G347" i="214"/>
  <c r="G348"/>
  <c r="J487" i="309" l="1"/>
  <c r="E54" i="195"/>
  <c r="F54" s="1"/>
  <c r="J54" s="1"/>
  <c r="M500" i="132"/>
  <c r="E78" i="195"/>
  <c r="F78" s="1"/>
  <c r="J78" s="1"/>
  <c r="I65" i="140"/>
  <c r="J65" s="1"/>
  <c r="O65" s="1"/>
  <c r="M639" i="132"/>
  <c r="F48" i="305"/>
  <c r="G48" s="1"/>
  <c r="J124" i="309"/>
  <c r="O124" s="1"/>
  <c r="M1439" i="132"/>
  <c r="I45" i="140"/>
  <c r="J45" s="1"/>
  <c r="O45" s="1"/>
  <c r="E47" i="195"/>
  <c r="F47" s="1"/>
  <c r="J47" s="1"/>
  <c r="I64" i="140"/>
  <c r="J64" s="1"/>
  <c r="O64" s="1"/>
  <c r="M400" i="132"/>
  <c r="E67" i="195"/>
  <c r="F67" s="1"/>
  <c r="J67" s="1"/>
  <c r="F99" i="305"/>
  <c r="G99" s="1"/>
  <c r="E42" i="195"/>
  <c r="F42" s="1"/>
  <c r="J42" s="1"/>
  <c r="E98"/>
  <c r="F98" s="1"/>
  <c r="J98" s="1"/>
  <c r="E63"/>
  <c r="F63" s="1"/>
  <c r="J63" s="1"/>
  <c r="F43" i="305"/>
  <c r="G43" s="1"/>
  <c r="I100" i="140"/>
  <c r="J100" s="1"/>
  <c r="O100" s="1"/>
  <c r="J161" i="309"/>
  <c r="O161" s="1"/>
  <c r="M301" i="132"/>
  <c r="M1220"/>
  <c r="M592"/>
  <c r="M525"/>
  <c r="F64" i="305"/>
  <c r="G64" s="1"/>
  <c r="I44" i="140"/>
  <c r="J44" s="1"/>
  <c r="O44" s="1"/>
  <c r="F55" i="305"/>
  <c r="G55" s="1"/>
  <c r="M326" i="132"/>
  <c r="E62" i="195"/>
  <c r="F62" s="1"/>
  <c r="J62" s="1"/>
  <c r="M494" i="132"/>
  <c r="M306"/>
  <c r="I168" i="140"/>
  <c r="J168" s="1"/>
  <c r="O168" s="1"/>
  <c r="I68"/>
  <c r="J68" s="1"/>
  <c r="O68" s="1"/>
  <c r="E189" i="309"/>
  <c r="F189" s="1"/>
  <c r="O189" s="1"/>
  <c r="F167" i="305"/>
  <c r="G167" s="1"/>
  <c r="M519" i="132"/>
  <c r="E166" i="195"/>
  <c r="F166" s="1"/>
  <c r="J166" s="1"/>
  <c r="E66"/>
  <c r="F66" s="1"/>
  <c r="J66" s="1"/>
  <c r="E83"/>
  <c r="F83" s="1"/>
  <c r="J83" s="1"/>
  <c r="E43"/>
  <c r="F43" s="1"/>
  <c r="J43" s="1"/>
  <c r="F44" i="305"/>
  <c r="G44" s="1"/>
  <c r="F63"/>
  <c r="G63" s="1"/>
  <c r="F84"/>
  <c r="G84" s="1"/>
  <c r="F68"/>
  <c r="G68" s="1"/>
  <c r="I80" i="140"/>
  <c r="J80" s="1"/>
  <c r="O80" s="1"/>
  <c r="E165" i="309"/>
  <c r="F165" s="1"/>
  <c r="O165" s="1"/>
  <c r="F47" i="305"/>
  <c r="G47" s="1"/>
  <c r="M1225" i="132"/>
  <c r="F52" i="305"/>
  <c r="G52" s="1"/>
  <c r="F946" i="214"/>
  <c r="G946" s="1"/>
  <c r="G948" s="1"/>
  <c r="F1638"/>
  <c r="G1638" s="1"/>
  <c r="F1282"/>
  <c r="G1282" s="1"/>
  <c r="G1287" s="1"/>
  <c r="E1289" s="1"/>
  <c r="F1298"/>
  <c r="G1298" s="1"/>
  <c r="O125" i="309"/>
  <c r="E82" i="195"/>
  <c r="F82" s="1"/>
  <c r="J82" s="1"/>
  <c r="M321" i="132"/>
  <c r="M475"/>
  <c r="E55" i="195"/>
  <c r="F55" s="1"/>
  <c r="J55" s="1"/>
  <c r="F83" i="305"/>
  <c r="G83" s="1"/>
  <c r="J156" i="309"/>
  <c r="O156" s="1"/>
  <c r="O76"/>
  <c r="I56"/>
  <c r="J56" s="1"/>
  <c r="I69"/>
  <c r="J69" s="1"/>
  <c r="I80"/>
  <c r="J80" s="1"/>
  <c r="I85" i="140"/>
  <c r="J85" s="1"/>
  <c r="O85" s="1"/>
  <c r="I49"/>
  <c r="J49" s="1"/>
  <c r="O49" s="1"/>
  <c r="F67" i="305"/>
  <c r="G67" s="1"/>
  <c r="E45" i="309"/>
  <c r="F45" s="1"/>
  <c r="O45" s="1"/>
  <c r="F56" i="305"/>
  <c r="G56" s="1"/>
  <c r="F80"/>
  <c r="G80" s="1"/>
  <c r="F51"/>
  <c r="G51" s="1"/>
  <c r="E70" i="195"/>
  <c r="F70" s="1"/>
  <c r="J70" s="1"/>
  <c r="M467" i="132"/>
  <c r="E50" i="195"/>
  <c r="F50" s="1"/>
  <c r="J50" s="1"/>
  <c r="M366" i="132"/>
  <c r="M547"/>
  <c r="M599"/>
  <c r="F72" i="305"/>
  <c r="G72" s="1"/>
  <c r="F71"/>
  <c r="G71" s="1"/>
  <c r="F60"/>
  <c r="G60" s="1"/>
  <c r="F100"/>
  <c r="G100" s="1"/>
  <c r="F59"/>
  <c r="G59" s="1"/>
  <c r="I61" i="309"/>
  <c r="J61" s="1"/>
  <c r="I81"/>
  <c r="J81" s="1"/>
  <c r="I101"/>
  <c r="J101" s="1"/>
  <c r="I48"/>
  <c r="I60"/>
  <c r="J60" s="1"/>
  <c r="I52"/>
  <c r="J52" s="1"/>
  <c r="M542" i="132"/>
  <c r="M628"/>
  <c r="E46" i="195"/>
  <c r="F46" s="1"/>
  <c r="J46" s="1"/>
  <c r="E58"/>
  <c r="F58" s="1"/>
  <c r="J58" s="1"/>
  <c r="M354" i="132"/>
  <c r="E59" i="195"/>
  <c r="F59" s="1"/>
  <c r="J59" s="1"/>
  <c r="E51"/>
  <c r="F51" s="1"/>
  <c r="J51" s="1"/>
  <c r="E71"/>
  <c r="F71" s="1"/>
  <c r="J71" s="1"/>
  <c r="M406" i="132"/>
  <c r="E79" i="195"/>
  <c r="F79" s="1"/>
  <c r="J79" s="1"/>
  <c r="E99"/>
  <c r="F99" s="1"/>
  <c r="J99" s="1"/>
  <c r="I53" i="140"/>
  <c r="J53" s="1"/>
  <c r="O53" s="1"/>
  <c r="I73"/>
  <c r="J73" s="1"/>
  <c r="O73" s="1"/>
  <c r="I57"/>
  <c r="J57" s="1"/>
  <c r="O57" s="1"/>
  <c r="I72"/>
  <c r="J72" s="1"/>
  <c r="O72" s="1"/>
  <c r="I84"/>
  <c r="J84" s="1"/>
  <c r="O84" s="1"/>
  <c r="E64" i="309"/>
  <c r="F64" s="1"/>
  <c r="O64" s="1"/>
  <c r="F1549" i="214"/>
  <c r="F1564" s="1"/>
  <c r="G1564" s="1"/>
  <c r="F936"/>
  <c r="G936" s="1"/>
  <c r="G938" s="1"/>
  <c r="K660" i="132"/>
  <c r="I89" i="140" s="1"/>
  <c r="J89" s="1"/>
  <c r="O89" s="1"/>
  <c r="K200" i="132"/>
  <c r="I30" i="309" s="1"/>
  <c r="K655" i="132"/>
  <c r="I88" i="309" s="1"/>
  <c r="E88" s="1"/>
  <c r="F88" s="1"/>
  <c r="K176" i="132"/>
  <c r="I26" i="309" s="1"/>
  <c r="E65"/>
  <c r="F65" s="1"/>
  <c r="O65" s="1"/>
  <c r="E44"/>
  <c r="F44" s="1"/>
  <c r="O44" s="1"/>
  <c r="E100"/>
  <c r="F100" s="1"/>
  <c r="O100" s="1"/>
  <c r="E85"/>
  <c r="F85" s="1"/>
  <c r="O85" s="1"/>
  <c r="E49"/>
  <c r="F49" s="1"/>
  <c r="O49" s="1"/>
  <c r="E68"/>
  <c r="F68" s="1"/>
  <c r="O68" s="1"/>
  <c r="E53"/>
  <c r="F53" s="1"/>
  <c r="O53" s="1"/>
  <c r="E73"/>
  <c r="F73" s="1"/>
  <c r="O73" s="1"/>
  <c r="E57"/>
  <c r="F57" s="1"/>
  <c r="O57" s="1"/>
  <c r="E72"/>
  <c r="F72" s="1"/>
  <c r="O72" s="1"/>
  <c r="E84"/>
  <c r="F84" s="1"/>
  <c r="O84" s="1"/>
  <c r="K3344" i="132"/>
  <c r="M3344" s="1"/>
  <c r="O164" i="309"/>
  <c r="O169"/>
  <c r="O144"/>
  <c r="O188"/>
  <c r="O408"/>
  <c r="O488"/>
  <c r="F1655" i="214"/>
  <c r="G1655" s="1"/>
  <c r="G1659" s="1"/>
  <c r="F1666" s="1"/>
  <c r="G1666" s="1"/>
  <c r="F1585"/>
  <c r="F1586" s="1"/>
  <c r="G1586" s="1"/>
  <c r="F1272"/>
  <c r="G1272" s="1"/>
  <c r="F941"/>
  <c r="G941" s="1"/>
  <c r="G943" s="1"/>
  <c r="F1333" s="1"/>
  <c r="G1333" s="1"/>
  <c r="G1339" s="1"/>
  <c r="F931"/>
  <c r="G931" s="1"/>
  <c r="G933" s="1"/>
  <c r="O407" i="309"/>
  <c r="O464"/>
  <c r="O262"/>
  <c r="O323"/>
  <c r="O347"/>
  <c r="O339"/>
  <c r="O343"/>
  <c r="O302"/>
  <c r="O338"/>
  <c r="O303"/>
  <c r="O263"/>
  <c r="O492"/>
  <c r="O351"/>
  <c r="O487"/>
  <c r="F409" i="305"/>
  <c r="G409" s="1"/>
  <c r="I411" i="309"/>
  <c r="F324" i="305"/>
  <c r="G324" s="1"/>
  <c r="I326" i="309"/>
  <c r="F410" i="305"/>
  <c r="G410" s="1"/>
  <c r="I412" i="309"/>
  <c r="F466" i="305"/>
  <c r="G466" s="1"/>
  <c r="I468" i="309"/>
  <c r="F264" i="305"/>
  <c r="G264" s="1"/>
  <c r="I266" i="309"/>
  <c r="F465" i="305"/>
  <c r="G465" s="1"/>
  <c r="I467" i="309"/>
  <c r="F265" i="305"/>
  <c r="G265" s="1"/>
  <c r="I267" i="309"/>
  <c r="F325" i="305"/>
  <c r="G325" s="1"/>
  <c r="I327" i="309"/>
  <c r="J350"/>
  <c r="E350"/>
  <c r="F350" s="1"/>
  <c r="J491"/>
  <c r="E491"/>
  <c r="F491" s="1"/>
  <c r="J416"/>
  <c r="E416"/>
  <c r="F416" s="1"/>
  <c r="J388"/>
  <c r="E388"/>
  <c r="F388" s="1"/>
  <c r="J259"/>
  <c r="E259"/>
  <c r="F259" s="1"/>
  <c r="J404"/>
  <c r="E404"/>
  <c r="F404" s="1"/>
  <c r="J403"/>
  <c r="E403"/>
  <c r="F403" s="1"/>
  <c r="J258"/>
  <c r="E258"/>
  <c r="F258" s="1"/>
  <c r="J270"/>
  <c r="E270"/>
  <c r="F270" s="1"/>
  <c r="J415"/>
  <c r="E415"/>
  <c r="F415" s="1"/>
  <c r="J322"/>
  <c r="E322"/>
  <c r="F322" s="1"/>
  <c r="J168"/>
  <c r="E168"/>
  <c r="F168" s="1"/>
  <c r="J271"/>
  <c r="E271"/>
  <c r="F271" s="1"/>
  <c r="J243"/>
  <c r="E243"/>
  <c r="F243" s="1"/>
  <c r="J400"/>
  <c r="E400"/>
  <c r="F400" s="1"/>
  <c r="J396"/>
  <c r="E396"/>
  <c r="F396" s="1"/>
  <c r="J251"/>
  <c r="E251"/>
  <c r="F251" s="1"/>
  <c r="J247"/>
  <c r="E247"/>
  <c r="F247" s="1"/>
  <c r="J392"/>
  <c r="E392"/>
  <c r="F392" s="1"/>
  <c r="J255"/>
  <c r="E255"/>
  <c r="F255" s="1"/>
  <c r="J254"/>
  <c r="E254"/>
  <c r="F254" s="1"/>
  <c r="J246"/>
  <c r="E246"/>
  <c r="F246" s="1"/>
  <c r="J391"/>
  <c r="E391"/>
  <c r="F391" s="1"/>
  <c r="J395"/>
  <c r="E395"/>
  <c r="F395" s="1"/>
  <c r="J250"/>
  <c r="E250"/>
  <c r="F250" s="1"/>
  <c r="J399"/>
  <c r="E399"/>
  <c r="F399" s="1"/>
  <c r="J242"/>
  <c r="E242"/>
  <c r="F242" s="1"/>
  <c r="J387"/>
  <c r="E387"/>
  <c r="F387" s="1"/>
  <c r="J463"/>
  <c r="E463"/>
  <c r="F463" s="1"/>
  <c r="O346"/>
  <c r="F1667" i="214"/>
  <c r="F1668" s="1"/>
  <c r="G1668" s="1"/>
  <c r="F1602"/>
  <c r="G1602" s="1"/>
  <c r="F926"/>
  <c r="G926" s="1"/>
  <c r="G928" s="1"/>
  <c r="F1474" s="1"/>
  <c r="G1474" s="1"/>
  <c r="G1480" s="1"/>
  <c r="F1623"/>
  <c r="G1623" s="1"/>
  <c r="F1414"/>
  <c r="F1417" s="1"/>
  <c r="G1417" s="1"/>
  <c r="G349"/>
  <c r="F58" i="139"/>
  <c r="G58" s="1"/>
  <c r="F1508" i="214"/>
  <c r="G1508" s="1"/>
  <c r="F1000"/>
  <c r="D81" i="165"/>
  <c r="D79"/>
  <c r="F78" i="139" s="1"/>
  <c r="G78" s="1"/>
  <c r="D80" i="165"/>
  <c r="F1299" i="214"/>
  <c r="G1299" s="1"/>
  <c r="G1304" s="1"/>
  <c r="E1306" s="1"/>
  <c r="F1306" s="1"/>
  <c r="D40" i="165"/>
  <c r="I411" i="140"/>
  <c r="J411" s="1"/>
  <c r="O411" s="1"/>
  <c r="E408" i="195"/>
  <c r="F408" s="1"/>
  <c r="J408" s="1"/>
  <c r="I326" i="140"/>
  <c r="J326" s="1"/>
  <c r="O326" s="1"/>
  <c r="E323" i="195"/>
  <c r="F323" s="1"/>
  <c r="J323" s="1"/>
  <c r="I412" i="140"/>
  <c r="J412" s="1"/>
  <c r="O412" s="1"/>
  <c r="E409" i="195"/>
  <c r="F409" s="1"/>
  <c r="J409" s="1"/>
  <c r="I468" i="140"/>
  <c r="J468" s="1"/>
  <c r="O468" s="1"/>
  <c r="E465" i="195"/>
  <c r="F465" s="1"/>
  <c r="J465" s="1"/>
  <c r="F972" i="214"/>
  <c r="G972" s="1"/>
  <c r="G973" s="1"/>
  <c r="G974" s="1"/>
  <c r="D22" i="165"/>
  <c r="F37" i="139" s="1"/>
  <c r="G37" s="1"/>
  <c r="I266" i="140"/>
  <c r="J266" s="1"/>
  <c r="O266" s="1"/>
  <c r="E263" i="195"/>
  <c r="F263" s="1"/>
  <c r="J263" s="1"/>
  <c r="I467" i="140"/>
  <c r="J467" s="1"/>
  <c r="O467" s="1"/>
  <c r="E464" i="195"/>
  <c r="F464" s="1"/>
  <c r="J464" s="1"/>
  <c r="I267" i="140"/>
  <c r="J267" s="1"/>
  <c r="O267" s="1"/>
  <c r="E264" i="195"/>
  <c r="F264" s="1"/>
  <c r="J264" s="1"/>
  <c r="I327" i="140"/>
  <c r="J327" s="1"/>
  <c r="O327" s="1"/>
  <c r="E324" i="195"/>
  <c r="F324" s="1"/>
  <c r="J324" s="1"/>
  <c r="F90" i="139"/>
  <c r="G90" s="1"/>
  <c r="D98" i="165"/>
  <c r="F97"/>
  <c r="M169" i="194"/>
  <c r="M559"/>
  <c r="G2961" i="214"/>
  <c r="F2962"/>
  <c r="F2966" s="1"/>
  <c r="F2969"/>
  <c r="F2970" s="1"/>
  <c r="F2974" s="1"/>
  <c r="K301" i="192" s="1"/>
  <c r="M227"/>
  <c r="M932"/>
  <c r="M221"/>
  <c r="F2052" i="214"/>
  <c r="F2053" s="1"/>
  <c r="F2057" s="1"/>
  <c r="K295" i="192" s="1"/>
  <c r="G2044" i="214"/>
  <c r="F2045"/>
  <c r="F2049" s="1"/>
  <c r="M554" i="194"/>
  <c r="M163"/>
  <c r="M925" i="192"/>
  <c r="F1315" i="214"/>
  <c r="G1315" s="1"/>
  <c r="G1321" s="1"/>
  <c r="F1323" s="1"/>
  <c r="F1327" s="1"/>
  <c r="F1328" s="1"/>
  <c r="K520" i="192" s="1"/>
  <c r="G432" i="216"/>
  <c r="H432" s="1"/>
  <c r="H435" s="1"/>
  <c r="F1193" i="214"/>
  <c r="G1193" s="1"/>
  <c r="G1198" s="1"/>
  <c r="E1200" s="1"/>
  <c r="F1226"/>
  <c r="G1226" s="1"/>
  <c r="F1206"/>
  <c r="G1206" s="1"/>
  <c r="G1214" s="1"/>
  <c r="G1215" s="1"/>
  <c r="F1219"/>
  <c r="G1219" s="1"/>
  <c r="G1222" s="1"/>
  <c r="F1225"/>
  <c r="G1225" s="1"/>
  <c r="G1620"/>
  <c r="F1621"/>
  <c r="G1621" s="1"/>
  <c r="G1413"/>
  <c r="F1416"/>
  <c r="G1416" s="1"/>
  <c r="F1433"/>
  <c r="G1664"/>
  <c r="F1665"/>
  <c r="G1665" s="1"/>
  <c r="G1582"/>
  <c r="F1583"/>
  <c r="G999"/>
  <c r="F1011"/>
  <c r="G1011" s="1"/>
  <c r="G1639"/>
  <c r="F1640"/>
  <c r="G1640" s="1"/>
  <c r="G1505"/>
  <c r="F1506"/>
  <c r="F1525"/>
  <c r="G1603"/>
  <c r="F1604"/>
  <c r="G1604" s="1"/>
  <c r="G1083"/>
  <c r="F1174"/>
  <c r="G1174" s="1"/>
  <c r="F1001"/>
  <c r="F1082"/>
  <c r="F1145"/>
  <c r="G1145" s="1"/>
  <c r="F1025"/>
  <c r="G1025" s="1"/>
  <c r="F1055"/>
  <c r="G1055" s="1"/>
  <c r="F1689"/>
  <c r="G1689" s="1"/>
  <c r="G1549"/>
  <c r="G1585"/>
  <c r="F1434"/>
  <c r="C611" i="195"/>
  <c r="I611" s="1"/>
  <c r="G615" i="140"/>
  <c r="F18" i="226"/>
  <c r="L18" s="1"/>
  <c r="E951" i="214" s="1"/>
  <c r="F951" s="1"/>
  <c r="E19" i="226"/>
  <c r="G1414" i="214" l="1"/>
  <c r="G1422" s="1"/>
  <c r="F1424" s="1"/>
  <c r="G1667"/>
  <c r="E1293"/>
  <c r="F1289"/>
  <c r="F1381"/>
  <c r="G1381" s="1"/>
  <c r="G1386" s="1"/>
  <c r="E1388" s="1"/>
  <c r="E1392" s="1"/>
  <c r="E1393" s="1"/>
  <c r="F1365"/>
  <c r="G1365" s="1"/>
  <c r="G1370" s="1"/>
  <c r="E1372" s="1"/>
  <c r="E1376" s="1"/>
  <c r="E1377" s="1"/>
  <c r="F1397"/>
  <c r="G1397" s="1"/>
  <c r="G1402" s="1"/>
  <c r="E1404" s="1"/>
  <c r="E1408" s="1"/>
  <c r="E1409" s="1"/>
  <c r="M176" i="132"/>
  <c r="F1524" i="214"/>
  <c r="G1524" s="1"/>
  <c r="M655" i="132"/>
  <c r="E56" i="309"/>
  <c r="F56" s="1"/>
  <c r="O56" s="1"/>
  <c r="E69"/>
  <c r="F69" s="1"/>
  <c r="O69" s="1"/>
  <c r="F30" i="305"/>
  <c r="G30" s="1"/>
  <c r="E60" i="309"/>
  <c r="F60" s="1"/>
  <c r="O60" s="1"/>
  <c r="E80"/>
  <c r="F80" s="1"/>
  <c r="O80" s="1"/>
  <c r="F88" i="305"/>
  <c r="G88" s="1"/>
  <c r="E25" i="195"/>
  <c r="F25" s="1"/>
  <c r="J25" s="1"/>
  <c r="M200" i="132"/>
  <c r="F26" i="305"/>
  <c r="G26" s="1"/>
  <c r="E61" i="309"/>
  <c r="F61" s="1"/>
  <c r="O61" s="1"/>
  <c r="I26" i="140"/>
  <c r="J26" s="1"/>
  <c r="O26" s="1"/>
  <c r="E29" i="195"/>
  <c r="F29" s="1"/>
  <c r="J29" s="1"/>
  <c r="I30" i="140"/>
  <c r="J30" s="1"/>
  <c r="O30" s="1"/>
  <c r="E52" i="309"/>
  <c r="F52" s="1"/>
  <c r="O52" s="1"/>
  <c r="E87" i="195"/>
  <c r="F87" s="1"/>
  <c r="J87" s="1"/>
  <c r="F87" i="305"/>
  <c r="G87" s="1"/>
  <c r="E101" i="309"/>
  <c r="F101" s="1"/>
  <c r="O101" s="1"/>
  <c r="I89"/>
  <c r="J89" s="1"/>
  <c r="E81"/>
  <c r="F81" s="1"/>
  <c r="O81" s="1"/>
  <c r="J48"/>
  <c r="E48"/>
  <c r="F48" s="1"/>
  <c r="E86" i="195"/>
  <c r="F86" s="1"/>
  <c r="J86" s="1"/>
  <c r="M660" i="132"/>
  <c r="I88" i="140"/>
  <c r="J88" s="1"/>
  <c r="O88" s="1"/>
  <c r="K833" i="132"/>
  <c r="F110" i="305" s="1"/>
  <c r="G110" s="1"/>
  <c r="K236" i="132"/>
  <c r="I34" i="309" s="1"/>
  <c r="F745" i="305"/>
  <c r="G745" s="1"/>
  <c r="J88" i="309"/>
  <c r="O88" s="1"/>
  <c r="I752" i="140"/>
  <c r="J752" s="1"/>
  <c r="O752" s="1"/>
  <c r="E742" i="195"/>
  <c r="F742" s="1"/>
  <c r="J742" s="1"/>
  <c r="I752" i="309"/>
  <c r="K2232" i="132"/>
  <c r="M2232" s="1"/>
  <c r="K2242"/>
  <c r="F594" i="305" s="1"/>
  <c r="G594" s="1"/>
  <c r="K2133" i="132"/>
  <c r="F613" i="305" s="1"/>
  <c r="G613" s="1"/>
  <c r="F1489" i="214"/>
  <c r="G1489" s="1"/>
  <c r="G1495" s="1"/>
  <c r="E1497" s="1"/>
  <c r="E1499" s="1"/>
  <c r="E1500" s="1"/>
  <c r="F1349"/>
  <c r="G1349" s="1"/>
  <c r="G1354" s="1"/>
  <c r="F1356" s="1"/>
  <c r="F1360" s="1"/>
  <c r="F1361" s="1"/>
  <c r="K652" i="192" s="1"/>
  <c r="F1454" i="214"/>
  <c r="G1454" s="1"/>
  <c r="O463" i="309"/>
  <c r="O387"/>
  <c r="O242"/>
  <c r="O399"/>
  <c r="O250"/>
  <c r="O395"/>
  <c r="O391"/>
  <c r="O246"/>
  <c r="O254"/>
  <c r="O255"/>
  <c r="O392"/>
  <c r="O247"/>
  <c r="O251"/>
  <c r="O396"/>
  <c r="O400"/>
  <c r="O243"/>
  <c r="O271"/>
  <c r="O168"/>
  <c r="O322"/>
  <c r="O415"/>
  <c r="O270"/>
  <c r="O258"/>
  <c r="O403"/>
  <c r="O404"/>
  <c r="O259"/>
  <c r="O388"/>
  <c r="F291" i="305"/>
  <c r="G291" s="1"/>
  <c r="I293" i="309"/>
  <c r="F272" i="305"/>
  <c r="G272" s="1"/>
  <c r="I274" i="309"/>
  <c r="F273" i="305"/>
  <c r="G273" s="1"/>
  <c r="I275" i="309"/>
  <c r="F34" i="305"/>
  <c r="G34" s="1"/>
  <c r="J26" i="309"/>
  <c r="E26"/>
  <c r="F26" s="1"/>
  <c r="J327"/>
  <c r="E327"/>
  <c r="F327" s="1"/>
  <c r="J267"/>
  <c r="E267"/>
  <c r="F267" s="1"/>
  <c r="J467"/>
  <c r="E467"/>
  <c r="F467" s="1"/>
  <c r="J266"/>
  <c r="E266"/>
  <c r="F266" s="1"/>
  <c r="J30"/>
  <c r="E30"/>
  <c r="F30" s="1"/>
  <c r="J468"/>
  <c r="E468"/>
  <c r="F468" s="1"/>
  <c r="J412"/>
  <c r="E412"/>
  <c r="F412" s="1"/>
  <c r="J326"/>
  <c r="E326"/>
  <c r="F326" s="1"/>
  <c r="J411"/>
  <c r="E411"/>
  <c r="F411" s="1"/>
  <c r="O416"/>
  <c r="O491"/>
  <c r="O350"/>
  <c r="E1323" i="214"/>
  <c r="E1327" s="1"/>
  <c r="E1328" s="1"/>
  <c r="E1310"/>
  <c r="G1628"/>
  <c r="E1630" s="1"/>
  <c r="E1632" s="1"/>
  <c r="E1633" s="1"/>
  <c r="G1323"/>
  <c r="G1327" s="1"/>
  <c r="G1328" s="1"/>
  <c r="K333" i="194" s="1"/>
  <c r="G1645" i="214"/>
  <c r="F1647" s="1"/>
  <c r="F1649" s="1"/>
  <c r="F1650" s="1"/>
  <c r="K1190" i="192" s="1"/>
  <c r="F1012" i="214"/>
  <c r="G1012" s="1"/>
  <c r="G1000"/>
  <c r="F79" i="139"/>
  <c r="G79" s="1"/>
  <c r="F80" i="165"/>
  <c r="F80" i="139"/>
  <c r="G80" s="1"/>
  <c r="F81" i="165"/>
  <c r="I274" i="140"/>
  <c r="J274" s="1"/>
  <c r="O274" s="1"/>
  <c r="E271" i="195"/>
  <c r="F271" s="1"/>
  <c r="J271" s="1"/>
  <c r="I275" i="140"/>
  <c r="J275" s="1"/>
  <c r="O275" s="1"/>
  <c r="E272" i="195"/>
  <c r="F272" s="1"/>
  <c r="J272" s="1"/>
  <c r="F47" i="139"/>
  <c r="F40" i="165"/>
  <c r="G1673" i="214"/>
  <c r="F1675" s="1"/>
  <c r="F1677" s="1"/>
  <c r="F1678" s="1"/>
  <c r="K1225" i="192" s="1"/>
  <c r="D99" i="165"/>
  <c r="F91" i="139"/>
  <c r="G91" s="1"/>
  <c r="F98" i="165"/>
  <c r="G2962" i="214"/>
  <c r="G2966" s="1"/>
  <c r="G2969"/>
  <c r="G2970" s="1"/>
  <c r="G2974" s="1"/>
  <c r="K217" i="194" s="1"/>
  <c r="M301" i="192"/>
  <c r="M295"/>
  <c r="G2045" i="214"/>
  <c r="G2049" s="1"/>
  <c r="G2052"/>
  <c r="G2053" s="1"/>
  <c r="G2057" s="1"/>
  <c r="K212" i="194" s="1"/>
  <c r="G1610" i="214"/>
  <c r="E1612" s="1"/>
  <c r="E1614" s="1"/>
  <c r="E1615" s="1"/>
  <c r="M520" i="192"/>
  <c r="E290" i="195"/>
  <c r="F290" s="1"/>
  <c r="J290" s="1"/>
  <c r="I293" i="140"/>
  <c r="J293" s="1"/>
  <c r="O293" s="1"/>
  <c r="G1525" i="214"/>
  <c r="F1546"/>
  <c r="G1583"/>
  <c r="F1584"/>
  <c r="G1584" s="1"/>
  <c r="G1433"/>
  <c r="F1436"/>
  <c r="G1436" s="1"/>
  <c r="F1507"/>
  <c r="G1507" s="1"/>
  <c r="G1506"/>
  <c r="F1526"/>
  <c r="G1526" s="1"/>
  <c r="E1202"/>
  <c r="F1200"/>
  <c r="G1229"/>
  <c r="G1230" s="1"/>
  <c r="F1341"/>
  <c r="F1345" s="1"/>
  <c r="K564" i="192" s="1"/>
  <c r="G1341" i="214"/>
  <c r="G1345" s="1"/>
  <c r="K361" i="194" s="1"/>
  <c r="E1341" i="214"/>
  <c r="E1345" s="1"/>
  <c r="F1310"/>
  <c r="K362" i="192" s="1"/>
  <c r="G1306" i="214"/>
  <c r="G1310" s="1"/>
  <c r="K274" i="194" s="1"/>
  <c r="G1404" i="214"/>
  <c r="G1408" s="1"/>
  <c r="G1409" s="1"/>
  <c r="F1404"/>
  <c r="F1408" s="1"/>
  <c r="F1409" s="1"/>
  <c r="F1293"/>
  <c r="K435" i="192" s="1"/>
  <c r="G1289" i="214"/>
  <c r="G1293" s="1"/>
  <c r="K307" i="194" s="1"/>
  <c r="G1001" i="214"/>
  <c r="F1013"/>
  <c r="G1013" s="1"/>
  <c r="G1434"/>
  <c r="F1437"/>
  <c r="G1437" s="1"/>
  <c r="E1482"/>
  <c r="E1484" s="1"/>
  <c r="E1485" s="1"/>
  <c r="F1482"/>
  <c r="F1484" s="1"/>
  <c r="F1485" s="1"/>
  <c r="K314" i="192" s="1"/>
  <c r="G1482" i="214"/>
  <c r="G1484" s="1"/>
  <c r="G1485" s="1"/>
  <c r="K227" i="194" s="1"/>
  <c r="G1082" i="214"/>
  <c r="F1173"/>
  <c r="G1173" s="1"/>
  <c r="F19" i="226"/>
  <c r="L19" s="1"/>
  <c r="E952" i="214" s="1"/>
  <c r="F952" s="1"/>
  <c r="E20" i="226"/>
  <c r="G1008" i="214" l="1"/>
  <c r="G1647"/>
  <c r="G1649" s="1"/>
  <c r="G1650" s="1"/>
  <c r="K763" i="194" s="1"/>
  <c r="F1372" i="214"/>
  <c r="F1376" s="1"/>
  <c r="F1377" s="1"/>
  <c r="K694" i="192" s="1"/>
  <c r="I309" i="309" s="1"/>
  <c r="E1647" i="214"/>
  <c r="E1649" s="1"/>
  <c r="E1650" s="1"/>
  <c r="G1388"/>
  <c r="G1392" s="1"/>
  <c r="G1393" s="1"/>
  <c r="K452" i="194" s="1"/>
  <c r="I454" i="309" s="1"/>
  <c r="G1356" i="214"/>
  <c r="G1360" s="1"/>
  <c r="G1361" s="1"/>
  <c r="K390" i="194" s="1"/>
  <c r="F444" i="305" s="1"/>
  <c r="G444" s="1"/>
  <c r="G1372" i="214"/>
  <c r="G1376" s="1"/>
  <c r="G1377" s="1"/>
  <c r="K420" i="194" s="1"/>
  <c r="I450" i="309" s="1"/>
  <c r="F1497" i="214"/>
  <c r="F1499" s="1"/>
  <c r="F1500" s="1"/>
  <c r="K338" i="192" s="1"/>
  <c r="I281" i="309" s="1"/>
  <c r="F1388" i="214"/>
  <c r="F1392" s="1"/>
  <c r="F1393" s="1"/>
  <c r="K726" i="192" s="1"/>
  <c r="I313" i="309" s="1"/>
  <c r="E1356" i="214"/>
  <c r="E1360" s="1"/>
  <c r="E1361" s="1"/>
  <c r="K996" i="132" s="1"/>
  <c r="F126" i="305" s="1"/>
  <c r="G126" s="1"/>
  <c r="G1497" i="214"/>
  <c r="G1499" s="1"/>
  <c r="G1500" s="1"/>
  <c r="K249" i="194" s="1"/>
  <c r="M249" s="1"/>
  <c r="F1532" i="214"/>
  <c r="G1532" s="1"/>
  <c r="M236" i="132"/>
  <c r="I111" i="140"/>
  <c r="J111" s="1"/>
  <c r="O111" s="1"/>
  <c r="I34"/>
  <c r="J34" s="1"/>
  <c r="O34" s="1"/>
  <c r="E33" i="195"/>
  <c r="F33" s="1"/>
  <c r="J33" s="1"/>
  <c r="E89" i="309"/>
  <c r="F89" s="1"/>
  <c r="O89" s="1"/>
  <c r="I588" i="140"/>
  <c r="J588" s="1"/>
  <c r="O588" s="1"/>
  <c r="F586" i="305"/>
  <c r="G586" s="1"/>
  <c r="I111" i="309"/>
  <c r="J111" s="1"/>
  <c r="O48"/>
  <c r="E109" i="195"/>
  <c r="F109" s="1"/>
  <c r="J109" s="1"/>
  <c r="M833" i="132"/>
  <c r="K1040"/>
  <c r="I131" i="309" s="1"/>
  <c r="K110" i="132"/>
  <c r="F18" i="305" s="1"/>
  <c r="G18" s="1"/>
  <c r="K1066" i="132"/>
  <c r="F134" i="305" s="1"/>
  <c r="G134" s="1"/>
  <c r="K924" i="132"/>
  <c r="F118" i="305" s="1"/>
  <c r="G118" s="1"/>
  <c r="K1483" i="132"/>
  <c r="F174" i="305" s="1"/>
  <c r="G174" s="1"/>
  <c r="K1457" i="132"/>
  <c r="E169" i="195" s="1"/>
  <c r="F169" s="1"/>
  <c r="J169" s="1"/>
  <c r="K672" i="132"/>
  <c r="I91" i="309" s="1"/>
  <c r="K696" i="132"/>
  <c r="I95" i="309" s="1"/>
  <c r="K1994" i="132"/>
  <c r="F234" i="305" s="1"/>
  <c r="G234" s="1"/>
  <c r="K1278" i="132"/>
  <c r="F150" i="305" s="1"/>
  <c r="G150" s="1"/>
  <c r="K772" i="132"/>
  <c r="I107" i="309" s="1"/>
  <c r="K885" i="132"/>
  <c r="I115" i="309" s="1"/>
  <c r="I438"/>
  <c r="J438" s="1"/>
  <c r="M2242" i="132"/>
  <c r="M2133"/>
  <c r="I596" i="140"/>
  <c r="J596" s="1"/>
  <c r="O596" s="1"/>
  <c r="E592" i="195"/>
  <c r="F592" s="1"/>
  <c r="J592" s="1"/>
  <c r="E584"/>
  <c r="F584" s="1"/>
  <c r="J584" s="1"/>
  <c r="E611"/>
  <c r="F611" s="1"/>
  <c r="J611" s="1"/>
  <c r="I615" i="140"/>
  <c r="J615" s="1"/>
  <c r="L615" s="1"/>
  <c r="J752" i="309"/>
  <c r="E752"/>
  <c r="F752" s="1"/>
  <c r="I588"/>
  <c r="K2247" i="132"/>
  <c r="F598" i="305" s="1"/>
  <c r="J598" s="1"/>
  <c r="I615" i="309"/>
  <c r="I596"/>
  <c r="G1675" i="214"/>
  <c r="G1677" s="1"/>
  <c r="G1678" s="1"/>
  <c r="K787" i="194" s="1"/>
  <c r="E499" i="195" s="1"/>
  <c r="F499" s="1"/>
  <c r="J499" s="1"/>
  <c r="G1612" i="214"/>
  <c r="G1614" s="1"/>
  <c r="G1615" s="1"/>
  <c r="K597" i="194" s="1"/>
  <c r="F472" i="305" s="1"/>
  <c r="G472" s="1"/>
  <c r="E1424" i="214"/>
  <c r="E1428" s="1"/>
  <c r="E1429" s="1"/>
  <c r="K1118" i="132" s="1"/>
  <c r="G1020" i="214"/>
  <c r="O411" i="309"/>
  <c r="O326"/>
  <c r="O412"/>
  <c r="O468"/>
  <c r="O30"/>
  <c r="O266"/>
  <c r="O467"/>
  <c r="O267"/>
  <c r="O327"/>
  <c r="F307" i="305"/>
  <c r="G307" s="1"/>
  <c r="F420"/>
  <c r="G420" s="1"/>
  <c r="I422" i="309"/>
  <c r="F428" i="305"/>
  <c r="G428" s="1"/>
  <c r="I430" i="309"/>
  <c r="F287" i="305"/>
  <c r="G287" s="1"/>
  <c r="I289" i="309"/>
  <c r="F440" i="305"/>
  <c r="G440" s="1"/>
  <c r="I442" i="309"/>
  <c r="F496" i="305"/>
  <c r="G496" s="1"/>
  <c r="I498" i="309"/>
  <c r="F355" i="305"/>
  <c r="G355" s="1"/>
  <c r="I357" i="309"/>
  <c r="F448" i="305"/>
  <c r="G448" s="1"/>
  <c r="F275"/>
  <c r="J275" s="1"/>
  <c r="I277" i="309"/>
  <c r="F279" i="305"/>
  <c r="G279" s="1"/>
  <c r="I426" i="309"/>
  <c r="I502"/>
  <c r="F283" i="305"/>
  <c r="G283" s="1"/>
  <c r="I285" i="309"/>
  <c r="F303" i="305"/>
  <c r="G303" s="1"/>
  <c r="I305" i="309"/>
  <c r="F432" i="305"/>
  <c r="G432" s="1"/>
  <c r="I434" i="309"/>
  <c r="F295" i="305"/>
  <c r="G295" s="1"/>
  <c r="I297" i="309"/>
  <c r="F417" i="305"/>
  <c r="G417" s="1"/>
  <c r="I419" i="309"/>
  <c r="F418" i="305"/>
  <c r="G418" s="1"/>
  <c r="I420" i="309"/>
  <c r="F359" i="305"/>
  <c r="G359" s="1"/>
  <c r="I361" i="309"/>
  <c r="J34"/>
  <c r="E34"/>
  <c r="F34" s="1"/>
  <c r="J275"/>
  <c r="E275"/>
  <c r="F275" s="1"/>
  <c r="J274"/>
  <c r="E274"/>
  <c r="F274" s="1"/>
  <c r="J293"/>
  <c r="E293"/>
  <c r="F293" s="1"/>
  <c r="O26"/>
  <c r="G1630" i="214"/>
  <c r="G1632" s="1"/>
  <c r="G1633" s="1"/>
  <c r="K737" i="194" s="1"/>
  <c r="F1630" i="214"/>
  <c r="F1632" s="1"/>
  <c r="F1633" s="1"/>
  <c r="K1163" i="192" s="1"/>
  <c r="M333" i="194"/>
  <c r="F436" i="305"/>
  <c r="G436" s="1"/>
  <c r="E1675" i="214"/>
  <c r="E1677" s="1"/>
  <c r="E1678" s="1"/>
  <c r="E435" i="195"/>
  <c r="F435" s="1"/>
  <c r="J435" s="1"/>
  <c r="I438" i="140"/>
  <c r="J438" s="1"/>
  <c r="O438" s="1"/>
  <c r="F1513" i="214"/>
  <c r="G1513" s="1"/>
  <c r="F1591"/>
  <c r="G1591" s="1"/>
  <c r="G1592" s="1"/>
  <c r="E1594" s="1"/>
  <c r="E1596" s="1"/>
  <c r="E1597" s="1"/>
  <c r="I419" i="140"/>
  <c r="J419" s="1"/>
  <c r="O419" s="1"/>
  <c r="E416" i="195"/>
  <c r="F416" s="1"/>
  <c r="J416" s="1"/>
  <c r="I420" i="140"/>
  <c r="J420" s="1"/>
  <c r="O420" s="1"/>
  <c r="E417" i="195"/>
  <c r="F417" s="1"/>
  <c r="J417" s="1"/>
  <c r="F1612" i="214"/>
  <c r="F1614" s="1"/>
  <c r="F1615" s="1"/>
  <c r="K988" i="192" s="1"/>
  <c r="F92" i="139"/>
  <c r="G92" s="1"/>
  <c r="F99" i="165"/>
  <c r="M217" i="194"/>
  <c r="M212"/>
  <c r="M227"/>
  <c r="E419" i="195"/>
  <c r="F419" s="1"/>
  <c r="J419" s="1"/>
  <c r="I422" i="140"/>
  <c r="J422" s="1"/>
  <c r="O422" s="1"/>
  <c r="M274" i="194"/>
  <c r="E431" i="195"/>
  <c r="F431" s="1"/>
  <c r="J431" s="1"/>
  <c r="I434" i="140"/>
  <c r="J434" s="1"/>
  <c r="O434" s="1"/>
  <c r="E447" i="195"/>
  <c r="F447" s="1"/>
  <c r="J447" s="1"/>
  <c r="E423"/>
  <c r="F423" s="1"/>
  <c r="J423" s="1"/>
  <c r="M307" i="194"/>
  <c r="E427" i="195"/>
  <c r="F427" s="1"/>
  <c r="J427" s="1"/>
  <c r="I430" i="140"/>
  <c r="J430" s="1"/>
  <c r="O430" s="1"/>
  <c r="I446"/>
  <c r="J446" s="1"/>
  <c r="O446" s="1"/>
  <c r="M361" i="194"/>
  <c r="E439" i="195"/>
  <c r="F439" s="1"/>
  <c r="J439" s="1"/>
  <c r="I442" i="140"/>
  <c r="J442" s="1"/>
  <c r="O442" s="1"/>
  <c r="M763" i="194"/>
  <c r="E495" i="195"/>
  <c r="F495" s="1"/>
  <c r="J495" s="1"/>
  <c r="I498" i="140"/>
  <c r="J498" s="1"/>
  <c r="O498" s="1"/>
  <c r="M597" i="194"/>
  <c r="E306" i="195"/>
  <c r="F306" s="1"/>
  <c r="J306" s="1"/>
  <c r="M314" i="192"/>
  <c r="E274" i="195"/>
  <c r="F274" s="1"/>
  <c r="J274" s="1"/>
  <c r="I277" i="140"/>
  <c r="J277" s="1"/>
  <c r="O277" s="1"/>
  <c r="M338" i="192"/>
  <c r="M362"/>
  <c r="E286" i="195"/>
  <c r="F286" s="1"/>
  <c r="J286" s="1"/>
  <c r="I289" i="140"/>
  <c r="J289" s="1"/>
  <c r="O289" s="1"/>
  <c r="M1190" i="192"/>
  <c r="E354" i="195"/>
  <c r="F354" s="1"/>
  <c r="J354" s="1"/>
  <c r="I357" i="140"/>
  <c r="J357" s="1"/>
  <c r="O357" s="1"/>
  <c r="M1225" i="192"/>
  <c r="E358" i="195"/>
  <c r="F358" s="1"/>
  <c r="J358" s="1"/>
  <c r="I361" i="140"/>
  <c r="J361" s="1"/>
  <c r="O361" s="1"/>
  <c r="M435" i="192"/>
  <c r="E282" i="195"/>
  <c r="F282" s="1"/>
  <c r="J282" s="1"/>
  <c r="I285" i="140"/>
  <c r="J285" s="1"/>
  <c r="O285" s="1"/>
  <c r="M652" i="192"/>
  <c r="E302" i="195"/>
  <c r="F302" s="1"/>
  <c r="J302" s="1"/>
  <c r="I305" i="140"/>
  <c r="J305" s="1"/>
  <c r="O305" s="1"/>
  <c r="M564" i="192"/>
  <c r="E294" i="195"/>
  <c r="F294" s="1"/>
  <c r="J294" s="1"/>
  <c r="I297" i="140"/>
  <c r="J297" s="1"/>
  <c r="O297" s="1"/>
  <c r="G1200" i="214"/>
  <c r="G1202" s="1"/>
  <c r="K948" i="194" s="1"/>
  <c r="F1202" i="214"/>
  <c r="K1527" i="192" s="1"/>
  <c r="G1546" i="214"/>
  <c r="F1565"/>
  <c r="F1547"/>
  <c r="G1442"/>
  <c r="F1428"/>
  <c r="F1429" s="1"/>
  <c r="K823" i="192" s="1"/>
  <c r="G1424" i="214"/>
  <c r="G1428" s="1"/>
  <c r="G1429" s="1"/>
  <c r="K489" i="194" s="1"/>
  <c r="E22" i="226"/>
  <c r="F22" s="1"/>
  <c r="L22" s="1"/>
  <c r="F1504" i="214" s="1"/>
  <c r="F20" i="226"/>
  <c r="L20" s="1"/>
  <c r="E953" i="214" s="1"/>
  <c r="F953" s="1"/>
  <c r="F954" s="1"/>
  <c r="D66" i="165" s="1"/>
  <c r="E21" i="226"/>
  <c r="F21" s="1"/>
  <c r="L21" s="1"/>
  <c r="F1271" i="214" s="1"/>
  <c r="G1271" s="1"/>
  <c r="G1276" s="1"/>
  <c r="I309" i="140" l="1"/>
  <c r="J309" s="1"/>
  <c r="O309" s="1"/>
  <c r="M694" i="192"/>
  <c r="I426" i="140"/>
  <c r="J426" s="1"/>
  <c r="O426" s="1"/>
  <c r="I450"/>
  <c r="J450" s="1"/>
  <c r="O450" s="1"/>
  <c r="M420" i="194"/>
  <c r="F424" i="305"/>
  <c r="G424" s="1"/>
  <c r="F311"/>
  <c r="G311" s="1"/>
  <c r="I474" i="309"/>
  <c r="E451" i="195"/>
  <c r="F451" s="1"/>
  <c r="J451" s="1"/>
  <c r="M452" i="194"/>
  <c r="E278" i="195"/>
  <c r="F278" s="1"/>
  <c r="J278" s="1"/>
  <c r="I474" i="140"/>
  <c r="J474" s="1"/>
  <c r="O474" s="1"/>
  <c r="F452" i="305"/>
  <c r="G452" s="1"/>
  <c r="E443" i="195"/>
  <c r="F443" s="1"/>
  <c r="J443" s="1"/>
  <c r="M787" i="194"/>
  <c r="I446" i="309"/>
  <c r="J446" s="1"/>
  <c r="I313" i="140"/>
  <c r="J313" s="1"/>
  <c r="O313" s="1"/>
  <c r="M390" i="194"/>
  <c r="I281" i="140"/>
  <c r="J281" s="1"/>
  <c r="O281" s="1"/>
  <c r="I454"/>
  <c r="J454" s="1"/>
  <c r="O454" s="1"/>
  <c r="G1594" i="214"/>
  <c r="G1596" s="1"/>
  <c r="G1597" s="1"/>
  <c r="K571" i="194" s="1"/>
  <c r="I470" i="140" s="1"/>
  <c r="J470" s="1"/>
  <c r="O470" s="1"/>
  <c r="E310" i="195"/>
  <c r="F310" s="1"/>
  <c r="J310" s="1"/>
  <c r="E438" i="309"/>
  <c r="F438" s="1"/>
  <c r="O438" s="1"/>
  <c r="M726" i="192"/>
  <c r="M110" i="132"/>
  <c r="F114" i="305"/>
  <c r="G114" s="1"/>
  <c r="F94"/>
  <c r="G94" s="1"/>
  <c r="F500"/>
  <c r="G500" s="1"/>
  <c r="I171" i="309"/>
  <c r="J171" s="1"/>
  <c r="I502" i="140"/>
  <c r="J502" s="1"/>
  <c r="O502" s="1"/>
  <c r="E105" i="195"/>
  <c r="F105" s="1"/>
  <c r="J105" s="1"/>
  <c r="I235" i="309"/>
  <c r="E235" s="1"/>
  <c r="F235" s="1"/>
  <c r="I91" i="140"/>
  <c r="J91" s="1"/>
  <c r="O91" s="1"/>
  <c r="E173" i="195"/>
  <c r="F173" s="1"/>
  <c r="J173" s="1"/>
  <c r="E149"/>
  <c r="F149" s="1"/>
  <c r="J149" s="1"/>
  <c r="E129"/>
  <c r="F129" s="1"/>
  <c r="J129" s="1"/>
  <c r="I135" i="140"/>
  <c r="J135" s="1"/>
  <c r="O135" s="1"/>
  <c r="I115"/>
  <c r="J115" s="1"/>
  <c r="O115" s="1"/>
  <c r="E111" i="309"/>
  <c r="F111" s="1"/>
  <c r="O111" s="1"/>
  <c r="I135"/>
  <c r="J135" s="1"/>
  <c r="I151"/>
  <c r="E151" s="1"/>
  <c r="F151" s="1"/>
  <c r="I127"/>
  <c r="E127" s="1"/>
  <c r="F127" s="1"/>
  <c r="F90" i="305"/>
  <c r="G90" s="1"/>
  <c r="M1278" i="132"/>
  <c r="M672"/>
  <c r="I127" i="140"/>
  <c r="J127" s="1"/>
  <c r="O127" s="1"/>
  <c r="M1483" i="132"/>
  <c r="I175" i="309"/>
  <c r="E175" s="1"/>
  <c r="F175" s="1"/>
  <c r="F130" i="305"/>
  <c r="G130" s="1"/>
  <c r="M1994" i="132"/>
  <c r="I119" i="140"/>
  <c r="J119" s="1"/>
  <c r="O119" s="1"/>
  <c r="I235"/>
  <c r="J235" s="1"/>
  <c r="O235" s="1"/>
  <c r="I18"/>
  <c r="J18" s="1"/>
  <c r="O18" s="1"/>
  <c r="I95"/>
  <c r="J95" s="1"/>
  <c r="O95" s="1"/>
  <c r="I171"/>
  <c r="J171" s="1"/>
  <c r="O171" s="1"/>
  <c r="F106" i="305"/>
  <c r="G106" s="1"/>
  <c r="F170"/>
  <c r="G170" s="1"/>
  <c r="I119" i="309"/>
  <c r="J119" s="1"/>
  <c r="I18"/>
  <c r="E18" s="1"/>
  <c r="F18" s="1"/>
  <c r="K1242" i="132"/>
  <c r="F146" i="305" s="1"/>
  <c r="G146" s="1"/>
  <c r="K1507" i="132"/>
  <c r="E177" i="195" s="1"/>
  <c r="F177" s="1"/>
  <c r="J177" s="1"/>
  <c r="K146" i="132"/>
  <c r="F22" i="305" s="1"/>
  <c r="G22" s="1"/>
  <c r="K722" i="132"/>
  <c r="F102" i="305" s="1"/>
  <c r="G102" s="1"/>
  <c r="F1456" i="214"/>
  <c r="G1456" s="1"/>
  <c r="G1463" s="1"/>
  <c r="E1465" s="1"/>
  <c r="E1469" s="1"/>
  <c r="E1470" s="1"/>
  <c r="I151" i="140"/>
  <c r="J151" s="1"/>
  <c r="O151" s="1"/>
  <c r="E117" i="195"/>
  <c r="F117" s="1"/>
  <c r="J117" s="1"/>
  <c r="M924" i="132"/>
  <c r="E89" i="195"/>
  <c r="F89" s="1"/>
  <c r="J89" s="1"/>
  <c r="I131" i="140"/>
  <c r="J131" s="1"/>
  <c r="O131" s="1"/>
  <c r="M1040" i="132"/>
  <c r="E233" i="195"/>
  <c r="F233" s="1"/>
  <c r="J233" s="1"/>
  <c r="E125"/>
  <c r="F125" s="1"/>
  <c r="J125" s="1"/>
  <c r="M996" i="132"/>
  <c r="I175" i="140"/>
  <c r="J175" s="1"/>
  <c r="O175" s="1"/>
  <c r="E133" i="195"/>
  <c r="F133" s="1"/>
  <c r="J133" s="1"/>
  <c r="M1066" i="132"/>
  <c r="E17" i="195"/>
  <c r="F17" s="1"/>
  <c r="J17" s="1"/>
  <c r="E93"/>
  <c r="F93" s="1"/>
  <c r="J93" s="1"/>
  <c r="M696" i="132"/>
  <c r="E471" i="195"/>
  <c r="F471" s="1"/>
  <c r="J471" s="1"/>
  <c r="E596"/>
  <c r="F596" s="1"/>
  <c r="J596" s="1"/>
  <c r="K615" i="140"/>
  <c r="I107"/>
  <c r="J107" s="1"/>
  <c r="O107" s="1"/>
  <c r="M1457" i="132"/>
  <c r="M772"/>
  <c r="M885"/>
  <c r="E113" i="195"/>
  <c r="F113" s="1"/>
  <c r="J113" s="1"/>
  <c r="M2247" i="132"/>
  <c r="I333" i="309"/>
  <c r="J333" s="1"/>
  <c r="M737" i="194"/>
  <c r="O615" i="140"/>
  <c r="O752" i="309"/>
  <c r="I600" i="140"/>
  <c r="J600" s="1"/>
  <c r="O600" s="1"/>
  <c r="I494"/>
  <c r="J494" s="1"/>
  <c r="O494" s="1"/>
  <c r="E588" i="309"/>
  <c r="F588" s="1"/>
  <c r="J588"/>
  <c r="J615"/>
  <c r="E615"/>
  <c r="F615" s="1"/>
  <c r="I600"/>
  <c r="E596"/>
  <c r="F596" s="1"/>
  <c r="J596"/>
  <c r="I22" i="140"/>
  <c r="J22" s="1"/>
  <c r="O22" s="1"/>
  <c r="F315" i="305"/>
  <c r="G315" s="1"/>
  <c r="I317" i="309"/>
  <c r="E350" i="195"/>
  <c r="F350" s="1"/>
  <c r="J350" s="1"/>
  <c r="I353" i="309"/>
  <c r="F520" i="305"/>
  <c r="G520" s="1"/>
  <c r="I522" i="309"/>
  <c r="F456" i="305"/>
  <c r="G456" s="1"/>
  <c r="I458" i="309"/>
  <c r="F138" i="305"/>
  <c r="G138" s="1"/>
  <c r="I139" i="309"/>
  <c r="F379" i="305"/>
  <c r="G379" s="1"/>
  <c r="I381" i="309"/>
  <c r="F492" i="305"/>
  <c r="G492" s="1"/>
  <c r="I494" i="309"/>
  <c r="J115"/>
  <c r="E115"/>
  <c r="F115" s="1"/>
  <c r="J107"/>
  <c r="E107"/>
  <c r="F107" s="1"/>
  <c r="J361"/>
  <c r="E361"/>
  <c r="F361" s="1"/>
  <c r="J420"/>
  <c r="E420"/>
  <c r="F420" s="1"/>
  <c r="J419"/>
  <c r="E419"/>
  <c r="F419" s="1"/>
  <c r="J474"/>
  <c r="E474"/>
  <c r="F474" s="1"/>
  <c r="J297"/>
  <c r="E297"/>
  <c r="F297" s="1"/>
  <c r="J434"/>
  <c r="E434"/>
  <c r="F434" s="1"/>
  <c r="J305"/>
  <c r="E305"/>
  <c r="F305" s="1"/>
  <c r="J285"/>
  <c r="E285"/>
  <c r="F285" s="1"/>
  <c r="J502"/>
  <c r="E502"/>
  <c r="F502" s="1"/>
  <c r="J426"/>
  <c r="E426"/>
  <c r="F426" s="1"/>
  <c r="J281"/>
  <c r="E281"/>
  <c r="F281" s="1"/>
  <c r="J277"/>
  <c r="E277"/>
  <c r="F277" s="1"/>
  <c r="J450"/>
  <c r="E450"/>
  <c r="F450" s="1"/>
  <c r="J357"/>
  <c r="E357"/>
  <c r="F357" s="1"/>
  <c r="J498"/>
  <c r="E498"/>
  <c r="F498" s="1"/>
  <c r="J442"/>
  <c r="E442"/>
  <c r="F442" s="1"/>
  <c r="J289"/>
  <c r="E289"/>
  <c r="F289" s="1"/>
  <c r="E446"/>
  <c r="F446" s="1"/>
  <c r="J454"/>
  <c r="E454"/>
  <c r="F454" s="1"/>
  <c r="J313"/>
  <c r="E313"/>
  <c r="F313" s="1"/>
  <c r="J430"/>
  <c r="E430"/>
  <c r="F430" s="1"/>
  <c r="J95"/>
  <c r="E95"/>
  <c r="F95" s="1"/>
  <c r="J91"/>
  <c r="E91"/>
  <c r="F91" s="1"/>
  <c r="J422"/>
  <c r="E422"/>
  <c r="F422" s="1"/>
  <c r="J131"/>
  <c r="E131"/>
  <c r="F131" s="1"/>
  <c r="J309"/>
  <c r="E309"/>
  <c r="F309" s="1"/>
  <c r="O293"/>
  <c r="O274"/>
  <c r="O275"/>
  <c r="O34"/>
  <c r="F1594" i="214"/>
  <c r="F1596" s="1"/>
  <c r="F1597" s="1"/>
  <c r="K949" i="192" s="1"/>
  <c r="E491" i="195"/>
  <c r="F491" s="1"/>
  <c r="J491" s="1"/>
  <c r="I353" i="140"/>
  <c r="J353" s="1"/>
  <c r="O353" s="1"/>
  <c r="M1163" i="192"/>
  <c r="F351" i="305"/>
  <c r="G351" s="1"/>
  <c r="M988" i="192"/>
  <c r="F331" i="305"/>
  <c r="G331" s="1"/>
  <c r="E330" i="195"/>
  <c r="F330" s="1"/>
  <c r="J330" s="1"/>
  <c r="I333" i="140"/>
  <c r="J333" s="1"/>
  <c r="O333" s="1"/>
  <c r="F69" i="139"/>
  <c r="F66" i="165"/>
  <c r="E467" i="195"/>
  <c r="F467" s="1"/>
  <c r="J467" s="1"/>
  <c r="M489" i="194"/>
  <c r="E455" i="195"/>
  <c r="F455" s="1"/>
  <c r="J455" s="1"/>
  <c r="I458" i="140"/>
  <c r="J458" s="1"/>
  <c r="O458" s="1"/>
  <c r="M948" i="194"/>
  <c r="E519" i="195"/>
  <c r="F519" s="1"/>
  <c r="J519" s="1"/>
  <c r="I522" i="140"/>
  <c r="J522" s="1"/>
  <c r="O522" s="1"/>
  <c r="M1527" i="192"/>
  <c r="E378" i="195"/>
  <c r="F378" s="1"/>
  <c r="J378" s="1"/>
  <c r="I381" i="140"/>
  <c r="J381" s="1"/>
  <c r="O381" s="1"/>
  <c r="M823" i="192"/>
  <c r="E314" i="195"/>
  <c r="F314" s="1"/>
  <c r="J314" s="1"/>
  <c r="I317" i="140"/>
  <c r="J317" s="1"/>
  <c r="O317" s="1"/>
  <c r="M1118" i="132"/>
  <c r="E137" i="195"/>
  <c r="F137" s="1"/>
  <c r="J137" s="1"/>
  <c r="I139" i="140"/>
  <c r="J139" s="1"/>
  <c r="O139" s="1"/>
  <c r="G1547" i="214"/>
  <c r="F1548"/>
  <c r="G1548" s="1"/>
  <c r="G1565"/>
  <c r="F1566"/>
  <c r="G1566" s="1"/>
  <c r="F1687"/>
  <c r="G1687" s="1"/>
  <c r="G1694" s="1"/>
  <c r="F1024"/>
  <c r="F1144"/>
  <c r="G1144" s="1"/>
  <c r="G1154" s="1"/>
  <c r="F1081"/>
  <c r="G1504"/>
  <c r="G1514" s="1"/>
  <c r="F1523"/>
  <c r="G1523" s="1"/>
  <c r="G1533" s="1"/>
  <c r="F1444"/>
  <c r="E1444"/>
  <c r="E1448" s="1"/>
  <c r="E1449" s="1"/>
  <c r="E333" i="309" l="1"/>
  <c r="F333" s="1"/>
  <c r="O333" s="1"/>
  <c r="E119"/>
  <c r="F119" s="1"/>
  <c r="O119" s="1"/>
  <c r="I470"/>
  <c r="E470" s="1"/>
  <c r="F470" s="1"/>
  <c r="F468" i="305"/>
  <c r="G468" s="1"/>
  <c r="M571" i="194"/>
  <c r="F1465" i="214"/>
  <c r="F1469" s="1"/>
  <c r="F1470" s="1"/>
  <c r="K590" i="192" s="1"/>
  <c r="F299" i="305" s="1"/>
  <c r="G299" s="1"/>
  <c r="J235" i="309"/>
  <c r="O235" s="1"/>
  <c r="E135"/>
  <c r="F135" s="1"/>
  <c r="O135" s="1"/>
  <c r="J127"/>
  <c r="O127" s="1"/>
  <c r="I179"/>
  <c r="J179" s="1"/>
  <c r="J151"/>
  <c r="O151" s="1"/>
  <c r="E171"/>
  <c r="F171" s="1"/>
  <c r="O171" s="1"/>
  <c r="J175"/>
  <c r="O175" s="1"/>
  <c r="E145" i="195"/>
  <c r="F145" s="1"/>
  <c r="J145" s="1"/>
  <c r="I147" i="309"/>
  <c r="E147" s="1"/>
  <c r="F147" s="1"/>
  <c r="I103" i="140"/>
  <c r="J103" s="1"/>
  <c r="O103" s="1"/>
  <c r="F178" i="305"/>
  <c r="G178" s="1"/>
  <c r="J18" i="309"/>
  <c r="O18" s="1"/>
  <c r="I103"/>
  <c r="E103" s="1"/>
  <c r="F103" s="1"/>
  <c r="M146" i="132"/>
  <c r="E101" i="195"/>
  <c r="F101" s="1"/>
  <c r="J101" s="1"/>
  <c r="M722" i="132"/>
  <c r="I179" i="140"/>
  <c r="J179" s="1"/>
  <c r="O179" s="1"/>
  <c r="M1507" i="132"/>
  <c r="I147" i="140"/>
  <c r="J147" s="1"/>
  <c r="O147" s="1"/>
  <c r="M1242" i="132"/>
  <c r="E21" i="195"/>
  <c r="F21" s="1"/>
  <c r="J21" s="1"/>
  <c r="I22" i="309"/>
  <c r="K1177" i="132"/>
  <c r="F142" i="305" s="1"/>
  <c r="G142" s="1"/>
  <c r="K952" i="132"/>
  <c r="F122" i="305" s="1"/>
  <c r="G122" s="1"/>
  <c r="E326" i="195"/>
  <c r="F326" s="1"/>
  <c r="J326" s="1"/>
  <c r="O596" i="309"/>
  <c r="O615"/>
  <c r="O588"/>
  <c r="E600"/>
  <c r="F600" s="1"/>
  <c r="J600"/>
  <c r="K615"/>
  <c r="L615"/>
  <c r="O309"/>
  <c r="O131"/>
  <c r="O422"/>
  <c r="O91"/>
  <c r="O95"/>
  <c r="O430"/>
  <c r="O313"/>
  <c r="O454"/>
  <c r="O446"/>
  <c r="O289"/>
  <c r="O442"/>
  <c r="O498"/>
  <c r="O357"/>
  <c r="O450"/>
  <c r="O277"/>
  <c r="O281"/>
  <c r="O426"/>
  <c r="O502"/>
  <c r="O285"/>
  <c r="O305"/>
  <c r="O434"/>
  <c r="O297"/>
  <c r="O474"/>
  <c r="O419"/>
  <c r="O420"/>
  <c r="F327" i="305"/>
  <c r="G327" s="1"/>
  <c r="I329" i="309"/>
  <c r="J494"/>
  <c r="E494"/>
  <c r="F494" s="1"/>
  <c r="J381"/>
  <c r="E381"/>
  <c r="F381" s="1"/>
  <c r="J139"/>
  <c r="E139"/>
  <c r="F139" s="1"/>
  <c r="J458"/>
  <c r="E458"/>
  <c r="F458" s="1"/>
  <c r="J522"/>
  <c r="E522"/>
  <c r="F522" s="1"/>
  <c r="J353"/>
  <c r="E353"/>
  <c r="F353" s="1"/>
  <c r="J317"/>
  <c r="E317"/>
  <c r="F317" s="1"/>
  <c r="O361"/>
  <c r="O107"/>
  <c r="O115"/>
  <c r="I329" i="140"/>
  <c r="J329" s="1"/>
  <c r="O329" s="1"/>
  <c r="M949" i="192"/>
  <c r="G1554" i="214"/>
  <c r="F1556" s="1"/>
  <c r="F1558" s="1"/>
  <c r="F1559" s="1"/>
  <c r="K1100" i="192" s="1"/>
  <c r="I301" i="140"/>
  <c r="J301" s="1"/>
  <c r="O301" s="1"/>
  <c r="G1572" i="214"/>
  <c r="F1448"/>
  <c r="F1449" s="1"/>
  <c r="K890" i="192" s="1"/>
  <c r="G1444" i="214"/>
  <c r="G1448" s="1"/>
  <c r="G1449" s="1"/>
  <c r="K525" i="194" s="1"/>
  <c r="E1516" i="214"/>
  <c r="E1518" s="1"/>
  <c r="E1519" s="1"/>
  <c r="G1516"/>
  <c r="G1518" s="1"/>
  <c r="G1519" s="1"/>
  <c r="K625" i="194" s="1"/>
  <c r="F1516" i="214"/>
  <c r="F1518" s="1"/>
  <c r="F1519" s="1"/>
  <c r="K1017" i="192" s="1"/>
  <c r="E1163" i="214"/>
  <c r="G1156"/>
  <c r="G1157" s="1"/>
  <c r="G1161" s="1"/>
  <c r="K133" i="194" s="1"/>
  <c r="F1156" i="214"/>
  <c r="F1157" s="1"/>
  <c r="F1161" s="1"/>
  <c r="K191" i="192" s="1"/>
  <c r="E1156" i="214"/>
  <c r="E1157" s="1"/>
  <c r="E1161" s="1"/>
  <c r="G1696"/>
  <c r="G1698" s="1"/>
  <c r="G1699" s="1"/>
  <c r="E1696"/>
  <c r="E1698" s="1"/>
  <c r="E1699" s="1"/>
  <c r="F1696"/>
  <c r="F1698" s="1"/>
  <c r="F1699" s="1"/>
  <c r="E1535"/>
  <c r="E1537" s="1"/>
  <c r="E1538" s="1"/>
  <c r="G1535"/>
  <c r="G1537" s="1"/>
  <c r="G1538" s="1"/>
  <c r="K653" i="194" s="1"/>
  <c r="F1535" i="214"/>
  <c r="F1537" s="1"/>
  <c r="F1538" s="1"/>
  <c r="K1057" i="192" s="1"/>
  <c r="F1172" i="214"/>
  <c r="G1172" s="1"/>
  <c r="G1182" s="1"/>
  <c r="G1081"/>
  <c r="G1092" s="1"/>
  <c r="F1054"/>
  <c r="G1054" s="1"/>
  <c r="G1065" s="1"/>
  <c r="G1024"/>
  <c r="G1035" s="1"/>
  <c r="J470" i="309" l="1"/>
  <c r="O470" s="1"/>
  <c r="E298" i="195"/>
  <c r="F298" s="1"/>
  <c r="J298" s="1"/>
  <c r="M590" i="192"/>
  <c r="I301" i="309"/>
  <c r="J301" s="1"/>
  <c r="J103"/>
  <c r="O103" s="1"/>
  <c r="E179"/>
  <c r="F179" s="1"/>
  <c r="O179" s="1"/>
  <c r="I123" i="140"/>
  <c r="J123" s="1"/>
  <c r="O123" s="1"/>
  <c r="E1556" i="214"/>
  <c r="E1558" s="1"/>
  <c r="E1559" s="1"/>
  <c r="K1403" i="132" s="1"/>
  <c r="F162" i="305" s="1"/>
  <c r="G162" s="1"/>
  <c r="M952" i="132"/>
  <c r="I123" i="309"/>
  <c r="J123" s="1"/>
  <c r="M1177" i="132"/>
  <c r="J147" i="309"/>
  <c r="O147" s="1"/>
  <c r="E141" i="195"/>
  <c r="F141" s="1"/>
  <c r="J141" s="1"/>
  <c r="I143" i="309"/>
  <c r="J143" s="1"/>
  <c r="I143" i="140"/>
  <c r="J143" s="1"/>
  <c r="O143" s="1"/>
  <c r="E22" i="309"/>
  <c r="F22" s="1"/>
  <c r="J22"/>
  <c r="E121" i="195"/>
  <c r="F121" s="1"/>
  <c r="J121" s="1"/>
  <c r="K1367" i="132"/>
  <c r="F158" i="305" s="1"/>
  <c r="J158" s="1"/>
  <c r="K1562" i="132"/>
  <c r="I187" i="309" s="1"/>
  <c r="K559" i="132"/>
  <c r="F74" i="305" s="1"/>
  <c r="G74" s="1"/>
  <c r="K1323" i="132"/>
  <c r="I155" i="309" s="1"/>
  <c r="O600"/>
  <c r="O317"/>
  <c r="O353"/>
  <c r="O522"/>
  <c r="O458"/>
  <c r="O139"/>
  <c r="O381"/>
  <c r="F480" i="305"/>
  <c r="G480" s="1"/>
  <c r="I482" i="309"/>
  <c r="F259" i="305"/>
  <c r="G259" s="1"/>
  <c r="I261" i="309"/>
  <c r="F476" i="305"/>
  <c r="G476" s="1"/>
  <c r="I478" i="309"/>
  <c r="F460" i="305"/>
  <c r="G460" s="1"/>
  <c r="I462" i="309"/>
  <c r="F339" i="305"/>
  <c r="J339" s="1"/>
  <c r="I341" i="309"/>
  <c r="F404" i="305"/>
  <c r="G404" s="1"/>
  <c r="I406" i="309"/>
  <c r="F335" i="305"/>
  <c r="G335" s="1"/>
  <c r="I337" i="309"/>
  <c r="F319" i="305"/>
  <c r="G319" s="1"/>
  <c r="I321" i="309"/>
  <c r="F343" i="305"/>
  <c r="G343" s="1"/>
  <c r="I345" i="309"/>
  <c r="J329"/>
  <c r="E329"/>
  <c r="F329" s="1"/>
  <c r="O494"/>
  <c r="G1556" i="214"/>
  <c r="G1558" s="1"/>
  <c r="G1559" s="1"/>
  <c r="K681" i="194" s="1"/>
  <c r="M653"/>
  <c r="E479" i="195"/>
  <c r="F479" s="1"/>
  <c r="J479" s="1"/>
  <c r="I482" i="140"/>
  <c r="J482" s="1"/>
  <c r="O482" s="1"/>
  <c r="M625" i="194"/>
  <c r="E475" i="195"/>
  <c r="F475" s="1"/>
  <c r="J475" s="1"/>
  <c r="I478" i="140"/>
  <c r="J478" s="1"/>
  <c r="O478" s="1"/>
  <c r="M525" i="194"/>
  <c r="E459" i="195"/>
  <c r="F459" s="1"/>
  <c r="J459" s="1"/>
  <c r="I462" i="140"/>
  <c r="J462" s="1"/>
  <c r="O462" s="1"/>
  <c r="M133" i="194"/>
  <c r="E403" i="195"/>
  <c r="F403" s="1"/>
  <c r="J403" s="1"/>
  <c r="I406" i="140"/>
  <c r="J406" s="1"/>
  <c r="O406" s="1"/>
  <c r="M1057" i="192"/>
  <c r="E338" i="195"/>
  <c r="F338" s="1"/>
  <c r="J338" s="1"/>
  <c r="I341" i="140"/>
  <c r="J341" s="1"/>
  <c r="O341" s="1"/>
  <c r="M1017" i="192"/>
  <c r="E334" i="195"/>
  <c r="F334" s="1"/>
  <c r="J334" s="1"/>
  <c r="I337" i="140"/>
  <c r="J337" s="1"/>
  <c r="O337" s="1"/>
  <c r="M890" i="192"/>
  <c r="E318" i="195"/>
  <c r="F318" s="1"/>
  <c r="J318" s="1"/>
  <c r="I321" i="140"/>
  <c r="J321" s="1"/>
  <c r="O321" s="1"/>
  <c r="M191" i="192"/>
  <c r="E258" i="195"/>
  <c r="F258" s="1"/>
  <c r="J258" s="1"/>
  <c r="I261" i="140"/>
  <c r="J261" s="1"/>
  <c r="O261" s="1"/>
  <c r="M1100" i="192"/>
  <c r="E342" i="195"/>
  <c r="F342" s="1"/>
  <c r="J342" s="1"/>
  <c r="I345" i="140"/>
  <c r="J345" s="1"/>
  <c r="O345" s="1"/>
  <c r="G1574" i="214"/>
  <c r="G1576" s="1"/>
  <c r="G1577" s="1"/>
  <c r="K709" i="194" s="1"/>
  <c r="E1574" i="214"/>
  <c r="E1576" s="1"/>
  <c r="E1577" s="1"/>
  <c r="F1574"/>
  <c r="F1576" s="1"/>
  <c r="F1577" s="1"/>
  <c r="K1134" i="192" s="1"/>
  <c r="F1037" i="214"/>
  <c r="G1037" s="1"/>
  <c r="G1040" s="1"/>
  <c r="F1042"/>
  <c r="G1042" s="1"/>
  <c r="G1045" s="1"/>
  <c r="F1047"/>
  <c r="G1047" s="1"/>
  <c r="G1050" s="1"/>
  <c r="F1094"/>
  <c r="F1098" s="1"/>
  <c r="K74" i="192" s="1"/>
  <c r="E1107" i="214"/>
  <c r="E1108" s="1"/>
  <c r="E1112" s="1"/>
  <c r="F1114"/>
  <c r="F1115" s="1"/>
  <c r="F1119" s="1"/>
  <c r="K120" i="192" s="1"/>
  <c r="G1120" i="214"/>
  <c r="G1121" s="1"/>
  <c r="G1125" s="1"/>
  <c r="G1094"/>
  <c r="G1098" s="1"/>
  <c r="K45" i="194" s="1"/>
  <c r="G1100" i="214"/>
  <c r="G1101" s="1"/>
  <c r="G1105" s="1"/>
  <c r="K111" i="194" s="1"/>
  <c r="E1114" i="214"/>
  <c r="E1115" s="1"/>
  <c r="E1119" s="1"/>
  <c r="F1120"/>
  <c r="F1121" s="1"/>
  <c r="F1125" s="1"/>
  <c r="F1100"/>
  <c r="F1101" s="1"/>
  <c r="F1105" s="1"/>
  <c r="K169" i="192" s="1"/>
  <c r="G1107" i="214"/>
  <c r="G1108" s="1"/>
  <c r="G1112" s="1"/>
  <c r="K91" i="194" s="1"/>
  <c r="E1120" i="214"/>
  <c r="E1121" s="1"/>
  <c r="E1125" s="1"/>
  <c r="E1094"/>
  <c r="E1098" s="1"/>
  <c r="E1100"/>
  <c r="E1101" s="1"/>
  <c r="E1105" s="1"/>
  <c r="F1107"/>
  <c r="F1108" s="1"/>
  <c r="F1112" s="1"/>
  <c r="K146" i="192" s="1"/>
  <c r="G1114" i="214"/>
  <c r="G1115" s="1"/>
  <c r="G1119" s="1"/>
  <c r="K69" i="194" s="1"/>
  <c r="E1127" i="214"/>
  <c r="F1073"/>
  <c r="F1077" s="1"/>
  <c r="K259" i="192" s="1"/>
  <c r="G1067" i="214"/>
  <c r="G1071" s="1"/>
  <c r="K21" i="194" s="1"/>
  <c r="G1073" i="214"/>
  <c r="G1077" s="1"/>
  <c r="K183" i="194" s="1"/>
  <c r="F1067" i="214"/>
  <c r="F1071" s="1"/>
  <c r="K21" i="192" s="1"/>
  <c r="E1067" i="214"/>
  <c r="E1071" s="1"/>
  <c r="E1073"/>
  <c r="E1077" s="1"/>
  <c r="E1184"/>
  <c r="E1188" s="1"/>
  <c r="F1184"/>
  <c r="E1164"/>
  <c r="E1168" s="1"/>
  <c r="F1163"/>
  <c r="E301" i="309" l="1"/>
  <c r="F301" s="1"/>
  <c r="E153" i="195"/>
  <c r="F153" s="1"/>
  <c r="J153" s="1"/>
  <c r="E123" i="309"/>
  <c r="F123" s="1"/>
  <c r="O123" s="1"/>
  <c r="I187" i="140"/>
  <c r="J187" s="1"/>
  <c r="O187" s="1"/>
  <c r="F186" i="305"/>
  <c r="G186" s="1"/>
  <c r="M1403" i="132"/>
  <c r="I75" i="140"/>
  <c r="J75" s="1"/>
  <c r="O75" s="1"/>
  <c r="E157" i="195"/>
  <c r="F157" s="1"/>
  <c r="J157" s="1"/>
  <c r="E143" i="309"/>
  <c r="F143" s="1"/>
  <c r="O143" s="1"/>
  <c r="M1562" i="132"/>
  <c r="I163" i="140"/>
  <c r="J163" s="1"/>
  <c r="O163" s="1"/>
  <c r="M559" i="132"/>
  <c r="M1367"/>
  <c r="F154" i="305"/>
  <c r="G154" s="1"/>
  <c r="I163" i="309"/>
  <c r="E163" s="1"/>
  <c r="F163" s="1"/>
  <c r="I155" i="140"/>
  <c r="J155" s="1"/>
  <c r="O155" s="1"/>
  <c r="M1323" i="132"/>
  <c r="E213" i="195"/>
  <c r="F213" s="1"/>
  <c r="J213" s="1"/>
  <c r="I75" i="309"/>
  <c r="E75" s="1"/>
  <c r="F75" s="1"/>
  <c r="I159"/>
  <c r="E159" s="1"/>
  <c r="F159" s="1"/>
  <c r="E161" i="195"/>
  <c r="F161" s="1"/>
  <c r="J161" s="1"/>
  <c r="E73"/>
  <c r="F73" s="1"/>
  <c r="J73" s="1"/>
  <c r="I159" i="140"/>
  <c r="J159" s="1"/>
  <c r="O159" s="1"/>
  <c r="O22" i="309"/>
  <c r="K1213" i="132"/>
  <c r="F98" i="305" s="1"/>
  <c r="G98" s="1"/>
  <c r="K349" i="132"/>
  <c r="I51" i="309" s="1"/>
  <c r="K536" i="132"/>
  <c r="I71" i="309" s="1"/>
  <c r="K489" i="132"/>
  <c r="I67" i="309" s="1"/>
  <c r="K316" i="132"/>
  <c r="F46" i="305" s="1"/>
  <c r="G46" s="1"/>
  <c r="K585" i="132"/>
  <c r="F78" i="305" s="1"/>
  <c r="G78" s="1"/>
  <c r="K619" i="132"/>
  <c r="F82" i="305" s="1"/>
  <c r="G82" s="1"/>
  <c r="K440" i="132"/>
  <c r="I59" i="309" s="1"/>
  <c r="K512" i="132"/>
  <c r="I63" i="309" s="1"/>
  <c r="K392" i="132"/>
  <c r="I55" i="309" s="1"/>
  <c r="K296" i="132"/>
  <c r="F42" i="305" s="1"/>
  <c r="G42" s="1"/>
  <c r="K1432" i="132"/>
  <c r="I167" i="309" s="1"/>
  <c r="F412" i="305"/>
  <c r="G412" s="1"/>
  <c r="I414" i="309"/>
  <c r="F267" i="305"/>
  <c r="G267" s="1"/>
  <c r="I269" i="309"/>
  <c r="F400" i="305"/>
  <c r="G400" s="1"/>
  <c r="I402" i="309"/>
  <c r="F70" i="305"/>
  <c r="G70" s="1"/>
  <c r="F251"/>
  <c r="G251" s="1"/>
  <c r="I253" i="309"/>
  <c r="F388" i="305"/>
  <c r="G388" s="1"/>
  <c r="I390" i="309"/>
  <c r="F255" i="305"/>
  <c r="G255" s="1"/>
  <c r="I257" i="309"/>
  <c r="F243" i="305"/>
  <c r="G243" s="1"/>
  <c r="I245" i="309"/>
  <c r="F347" i="305"/>
  <c r="G347" s="1"/>
  <c r="I349" i="309"/>
  <c r="F488" i="305"/>
  <c r="G488" s="1"/>
  <c r="I490" i="309"/>
  <c r="F239" i="305"/>
  <c r="G239" s="1"/>
  <c r="I241" i="309"/>
  <c r="F384" i="305"/>
  <c r="G384" s="1"/>
  <c r="I386" i="309"/>
  <c r="F247" i="305"/>
  <c r="G247" s="1"/>
  <c r="I249" i="309"/>
  <c r="F392" i="305"/>
  <c r="G392" s="1"/>
  <c r="I394" i="309"/>
  <c r="F396" i="305"/>
  <c r="G396" s="1"/>
  <c r="I398" i="309"/>
  <c r="F484" i="305"/>
  <c r="G484" s="1"/>
  <c r="I486" i="309"/>
  <c r="J345"/>
  <c r="E345"/>
  <c r="F345" s="1"/>
  <c r="J321"/>
  <c r="E321"/>
  <c r="F321" s="1"/>
  <c r="J155"/>
  <c r="E155"/>
  <c r="F155" s="1"/>
  <c r="J337"/>
  <c r="E337"/>
  <c r="F337" s="1"/>
  <c r="J406"/>
  <c r="E406"/>
  <c r="F406" s="1"/>
  <c r="J187"/>
  <c r="E187"/>
  <c r="F187" s="1"/>
  <c r="J341"/>
  <c r="E341"/>
  <c r="F341" s="1"/>
  <c r="J462"/>
  <c r="E462"/>
  <c r="F462" s="1"/>
  <c r="J478"/>
  <c r="E478"/>
  <c r="F478" s="1"/>
  <c r="J261"/>
  <c r="E261"/>
  <c r="F261" s="1"/>
  <c r="J482"/>
  <c r="E482"/>
  <c r="F482" s="1"/>
  <c r="O329"/>
  <c r="O301"/>
  <c r="E483" i="195"/>
  <c r="F483" s="1"/>
  <c r="J483" s="1"/>
  <c r="I486" i="140"/>
  <c r="J486" s="1"/>
  <c r="O486" s="1"/>
  <c r="M681" i="194"/>
  <c r="M21"/>
  <c r="E383" i="195"/>
  <c r="F383" s="1"/>
  <c r="J383" s="1"/>
  <c r="I386" i="140"/>
  <c r="J386" s="1"/>
  <c r="O386" s="1"/>
  <c r="M91" i="194"/>
  <c r="E391" i="195"/>
  <c r="F391" s="1"/>
  <c r="J391" s="1"/>
  <c r="I394" i="140"/>
  <c r="J394" s="1"/>
  <c r="O394" s="1"/>
  <c r="M111" i="194"/>
  <c r="E395" i="195"/>
  <c r="F395" s="1"/>
  <c r="J395" s="1"/>
  <c r="I398" i="140"/>
  <c r="J398" s="1"/>
  <c r="O398" s="1"/>
  <c r="M183" i="194"/>
  <c r="E411" i="195"/>
  <c r="F411" s="1"/>
  <c r="J411" s="1"/>
  <c r="I414" i="140"/>
  <c r="J414" s="1"/>
  <c r="O414" s="1"/>
  <c r="M69" i="194"/>
  <c r="E399" i="195"/>
  <c r="F399" s="1"/>
  <c r="J399" s="1"/>
  <c r="I402" i="140"/>
  <c r="J402" s="1"/>
  <c r="O402" s="1"/>
  <c r="M45" i="194"/>
  <c r="E387" i="195"/>
  <c r="F387" s="1"/>
  <c r="J387" s="1"/>
  <c r="I390" i="140"/>
  <c r="J390" s="1"/>
  <c r="O390" s="1"/>
  <c r="M709" i="194"/>
  <c r="E487" i="195"/>
  <c r="F487" s="1"/>
  <c r="J487" s="1"/>
  <c r="I490" i="140"/>
  <c r="J490" s="1"/>
  <c r="O490" s="1"/>
  <c r="M21" i="192"/>
  <c r="E238" i="195"/>
  <c r="F238" s="1"/>
  <c r="J238" s="1"/>
  <c r="I241" i="140"/>
  <c r="J241" s="1"/>
  <c r="O241" s="1"/>
  <c r="M146" i="192"/>
  <c r="E246" i="195"/>
  <c r="F246" s="1"/>
  <c r="J246" s="1"/>
  <c r="I249" i="140"/>
  <c r="J249" s="1"/>
  <c r="O249" s="1"/>
  <c r="M259" i="192"/>
  <c r="E266" i="195"/>
  <c r="F266" s="1"/>
  <c r="J266" s="1"/>
  <c r="I269" i="140"/>
  <c r="J269" s="1"/>
  <c r="O269" s="1"/>
  <c r="M169" i="192"/>
  <c r="E250" i="195"/>
  <c r="F250" s="1"/>
  <c r="J250" s="1"/>
  <c r="I253" i="140"/>
  <c r="J253" s="1"/>
  <c r="O253" s="1"/>
  <c r="M120" i="192"/>
  <c r="E254" i="195"/>
  <c r="F254" s="1"/>
  <c r="J254" s="1"/>
  <c r="I257" i="140"/>
  <c r="J257" s="1"/>
  <c r="O257" s="1"/>
  <c r="M74" i="192"/>
  <c r="E242" i="195"/>
  <c r="F242" s="1"/>
  <c r="J242" s="1"/>
  <c r="I245" i="140"/>
  <c r="J245" s="1"/>
  <c r="O245" s="1"/>
  <c r="M1134" i="192"/>
  <c r="E346" i="195"/>
  <c r="F346" s="1"/>
  <c r="J346" s="1"/>
  <c r="I349" i="140"/>
  <c r="J349" s="1"/>
  <c r="O349" s="1"/>
  <c r="F1164" i="214"/>
  <c r="F1168" s="1"/>
  <c r="K215" i="192" s="1"/>
  <c r="G1163" i="214"/>
  <c r="G1164" s="1"/>
  <c r="G1168" s="1"/>
  <c r="K157" i="194" s="1"/>
  <c r="F1188" i="214"/>
  <c r="K918" i="192" s="1"/>
  <c r="G1184" i="214"/>
  <c r="G1188" s="1"/>
  <c r="K549" i="194" s="1"/>
  <c r="E1128" i="214"/>
  <c r="E1132" s="1"/>
  <c r="F1127"/>
  <c r="E1135"/>
  <c r="E1136" s="1"/>
  <c r="E1140" s="1"/>
  <c r="I47" i="309" l="1"/>
  <c r="E47" s="1"/>
  <c r="F47" s="1"/>
  <c r="F58" i="305"/>
  <c r="G58" s="1"/>
  <c r="F166"/>
  <c r="G166" s="1"/>
  <c r="F66"/>
  <c r="G66" s="1"/>
  <c r="F54"/>
  <c r="G54" s="1"/>
  <c r="M512" i="132"/>
  <c r="E69" i="195"/>
  <c r="F69" s="1"/>
  <c r="J69" s="1"/>
  <c r="E41"/>
  <c r="F41" s="1"/>
  <c r="J41" s="1"/>
  <c r="E45"/>
  <c r="F45" s="1"/>
  <c r="J45" s="1"/>
  <c r="I99" i="140"/>
  <c r="J99" s="1"/>
  <c r="O99" s="1"/>
  <c r="J163" i="309"/>
  <c r="O163" s="1"/>
  <c r="I43"/>
  <c r="E43" s="1"/>
  <c r="F43" s="1"/>
  <c r="F62" i="305"/>
  <c r="G62" s="1"/>
  <c r="I83" i="309"/>
  <c r="J83" s="1"/>
  <c r="E61" i="195"/>
  <c r="F61" s="1"/>
  <c r="J61" s="1"/>
  <c r="E81"/>
  <c r="F81" s="1"/>
  <c r="J81" s="1"/>
  <c r="M316" i="132"/>
  <c r="M536"/>
  <c r="M1213"/>
  <c r="J75" i="309"/>
  <c r="O75" s="1"/>
  <c r="I99"/>
  <c r="J99" s="1"/>
  <c r="I59" i="140"/>
  <c r="J59" s="1"/>
  <c r="O59" s="1"/>
  <c r="E49" i="195"/>
  <c r="F49" s="1"/>
  <c r="J49" s="1"/>
  <c r="J159" i="309"/>
  <c r="O159" s="1"/>
  <c r="M1432" i="132"/>
  <c r="E53" i="195"/>
  <c r="F53" s="1"/>
  <c r="J53" s="1"/>
  <c r="E165"/>
  <c r="F165" s="1"/>
  <c r="J165" s="1"/>
  <c r="M392" i="132"/>
  <c r="M440"/>
  <c r="E65" i="195"/>
  <c r="F65" s="1"/>
  <c r="J65" s="1"/>
  <c r="I79" i="140"/>
  <c r="J79" s="1"/>
  <c r="O79" s="1"/>
  <c r="I43"/>
  <c r="J43" s="1"/>
  <c r="O43" s="1"/>
  <c r="M296" i="132"/>
  <c r="I63" i="140"/>
  <c r="J63" s="1"/>
  <c r="O63" s="1"/>
  <c r="I83"/>
  <c r="J83" s="1"/>
  <c r="O83" s="1"/>
  <c r="M619" i="132"/>
  <c r="I47" i="140"/>
  <c r="J47" s="1"/>
  <c r="O47" s="1"/>
  <c r="I71"/>
  <c r="J71" s="1"/>
  <c r="O71" s="1"/>
  <c r="E97" i="195"/>
  <c r="F97" s="1"/>
  <c r="J97" s="1"/>
  <c r="I167" i="140"/>
  <c r="J167" s="1"/>
  <c r="O167" s="1"/>
  <c r="I55"/>
  <c r="J55" s="1"/>
  <c r="O55" s="1"/>
  <c r="E57" i="195"/>
  <c r="F57" s="1"/>
  <c r="J57" s="1"/>
  <c r="I67" i="140"/>
  <c r="J67" s="1"/>
  <c r="O67" s="1"/>
  <c r="M489" i="132"/>
  <c r="I51" i="140"/>
  <c r="J51" s="1"/>
  <c r="O51" s="1"/>
  <c r="M349" i="132"/>
  <c r="E77" i="195"/>
  <c r="F77" s="1"/>
  <c r="J77" s="1"/>
  <c r="M585" i="132"/>
  <c r="F50" i="305"/>
  <c r="G50" s="1"/>
  <c r="I79" i="309"/>
  <c r="E79" s="1"/>
  <c r="F79" s="1"/>
  <c r="K649" i="132"/>
  <c r="F86" i="305" s="1"/>
  <c r="G86" s="1"/>
  <c r="F464"/>
  <c r="G464" s="1"/>
  <c r="I466" i="309"/>
  <c r="F408" i="305"/>
  <c r="G408" s="1"/>
  <c r="I410" i="309"/>
  <c r="F323" i="305"/>
  <c r="G323" s="1"/>
  <c r="I325" i="309"/>
  <c r="F263" i="305"/>
  <c r="G263" s="1"/>
  <c r="I265" i="309"/>
  <c r="J486"/>
  <c r="E486"/>
  <c r="F486" s="1"/>
  <c r="J167"/>
  <c r="E167"/>
  <c r="F167" s="1"/>
  <c r="J43"/>
  <c r="J55"/>
  <c r="E55"/>
  <c r="F55" s="1"/>
  <c r="J63"/>
  <c r="E63"/>
  <c r="F63" s="1"/>
  <c r="J398"/>
  <c r="E398"/>
  <c r="F398" s="1"/>
  <c r="J394"/>
  <c r="E394"/>
  <c r="F394" s="1"/>
  <c r="J59"/>
  <c r="E59"/>
  <c r="F59" s="1"/>
  <c r="J249"/>
  <c r="E249"/>
  <c r="F249" s="1"/>
  <c r="J386"/>
  <c r="E386"/>
  <c r="F386" s="1"/>
  <c r="J241"/>
  <c r="E241"/>
  <c r="F241" s="1"/>
  <c r="J490"/>
  <c r="E490"/>
  <c r="F490" s="1"/>
  <c r="J349"/>
  <c r="E349"/>
  <c r="F349" s="1"/>
  <c r="J245"/>
  <c r="E245"/>
  <c r="F245" s="1"/>
  <c r="J257"/>
  <c r="E257"/>
  <c r="F257" s="1"/>
  <c r="J390"/>
  <c r="E390"/>
  <c r="F390" s="1"/>
  <c r="J67"/>
  <c r="E67"/>
  <c r="F67" s="1"/>
  <c r="J253"/>
  <c r="E253"/>
  <c r="F253" s="1"/>
  <c r="J71"/>
  <c r="E71"/>
  <c r="F71" s="1"/>
  <c r="J402"/>
  <c r="E402"/>
  <c r="F402" s="1"/>
  <c r="J269"/>
  <c r="E269"/>
  <c r="F269" s="1"/>
  <c r="J414"/>
  <c r="E414"/>
  <c r="F414" s="1"/>
  <c r="J51"/>
  <c r="E51"/>
  <c r="F51" s="1"/>
  <c r="O482"/>
  <c r="O261"/>
  <c r="O478"/>
  <c r="O462"/>
  <c r="O341"/>
  <c r="O187"/>
  <c r="O406"/>
  <c r="O337"/>
  <c r="O155"/>
  <c r="O321"/>
  <c r="O345"/>
  <c r="M549" i="194"/>
  <c r="E463" i="195"/>
  <c r="F463" s="1"/>
  <c r="J463" s="1"/>
  <c r="I466" i="140"/>
  <c r="J466" s="1"/>
  <c r="O466" s="1"/>
  <c r="M157" i="194"/>
  <c r="E407" i="195"/>
  <c r="F407" s="1"/>
  <c r="J407" s="1"/>
  <c r="I410" i="140"/>
  <c r="J410" s="1"/>
  <c r="O410" s="1"/>
  <c r="M918" i="192"/>
  <c r="E322" i="195"/>
  <c r="F322" s="1"/>
  <c r="J322" s="1"/>
  <c r="I325" i="140"/>
  <c r="J325" s="1"/>
  <c r="O325" s="1"/>
  <c r="M215" i="192"/>
  <c r="E262" i="195"/>
  <c r="F262" s="1"/>
  <c r="J262" s="1"/>
  <c r="I265" i="140"/>
  <c r="J265" s="1"/>
  <c r="O265" s="1"/>
  <c r="F1128" i="214"/>
  <c r="F1132" s="1"/>
  <c r="G1127"/>
  <c r="F1135"/>
  <c r="F1136" s="1"/>
  <c r="F1140" s="1"/>
  <c r="K288" i="192" s="1"/>
  <c r="E83" i="309" l="1"/>
  <c r="F83" s="1"/>
  <c r="O83" s="1"/>
  <c r="J47"/>
  <c r="O47" s="1"/>
  <c r="J79"/>
  <c r="O79" s="1"/>
  <c r="E99"/>
  <c r="F99" s="1"/>
  <c r="O99" s="1"/>
  <c r="I87" i="140"/>
  <c r="J87" s="1"/>
  <c r="O87" s="1"/>
  <c r="E85" i="195"/>
  <c r="F85" s="1"/>
  <c r="J85" s="1"/>
  <c r="M649" i="132"/>
  <c r="I87" i="309"/>
  <c r="E87" s="1"/>
  <c r="F87" s="1"/>
  <c r="O269"/>
  <c r="O253"/>
  <c r="O414"/>
  <c r="O402"/>
  <c r="O390"/>
  <c r="O257"/>
  <c r="O245"/>
  <c r="O51"/>
  <c r="O71"/>
  <c r="O67"/>
  <c r="O349"/>
  <c r="O490"/>
  <c r="O241"/>
  <c r="O386"/>
  <c r="O249"/>
  <c r="O59"/>
  <c r="O394"/>
  <c r="O398"/>
  <c r="O63"/>
  <c r="O55"/>
  <c r="O43"/>
  <c r="O167"/>
  <c r="O486"/>
  <c r="F271" i="305"/>
  <c r="G271" s="1"/>
  <c r="I273" i="309"/>
  <c r="J265"/>
  <c r="E265"/>
  <c r="F265" s="1"/>
  <c r="J325"/>
  <c r="E325"/>
  <c r="F325" s="1"/>
  <c r="J410"/>
  <c r="E410"/>
  <c r="F410" s="1"/>
  <c r="J466"/>
  <c r="E466"/>
  <c r="F466" s="1"/>
  <c r="M288" i="192"/>
  <c r="E270" i="195"/>
  <c r="F270" s="1"/>
  <c r="J270" s="1"/>
  <c r="I273" i="140"/>
  <c r="J273" s="1"/>
  <c r="O273" s="1"/>
  <c r="G1135" i="214"/>
  <c r="G1136" s="1"/>
  <c r="G1140" s="1"/>
  <c r="K207" i="194" s="1"/>
  <c r="G1128" i="214"/>
  <c r="G1132" s="1"/>
  <c r="J87" i="309" l="1"/>
  <c r="O87" s="1"/>
  <c r="O466"/>
  <c r="O410"/>
  <c r="O325"/>
  <c r="O265"/>
  <c r="F416" i="305"/>
  <c r="G416" s="1"/>
  <c r="I418" i="309"/>
  <c r="J273"/>
  <c r="E273"/>
  <c r="F273" s="1"/>
  <c r="M207" i="194"/>
  <c r="E415" i="195"/>
  <c r="F415" s="1"/>
  <c r="J415" s="1"/>
  <c r="I418" i="140"/>
  <c r="J418" s="1"/>
  <c r="O418" s="1"/>
  <c r="C579" i="195"/>
  <c r="I579" s="1"/>
  <c r="F239" i="216"/>
  <c r="H239" s="1"/>
  <c r="H240" s="1"/>
  <c r="K2086" i="132" l="1"/>
  <c r="M2086" s="1"/>
  <c r="O273" i="309"/>
  <c r="J418"/>
  <c r="E418"/>
  <c r="F418" s="1"/>
  <c r="G583" i="140"/>
  <c r="F581" i="305" l="1"/>
  <c r="G581" s="1"/>
  <c r="I583" i="309"/>
  <c r="O418"/>
  <c r="I583" i="140"/>
  <c r="J583" s="1"/>
  <c r="E579" i="195"/>
  <c r="F579" s="1"/>
  <c r="J579" s="1"/>
  <c r="J583" i="309" l="1"/>
  <c r="E583"/>
  <c r="F583" s="1"/>
  <c r="K583" i="140"/>
  <c r="L583"/>
  <c r="O583"/>
  <c r="I1525" i="132"/>
  <c r="I1524"/>
  <c r="I1523"/>
  <c r="H286" i="215"/>
  <c r="F765" i="214"/>
  <c r="F764"/>
  <c r="F776"/>
  <c r="F775"/>
  <c r="F774"/>
  <c r="O583" i="309" l="1"/>
  <c r="L583"/>
  <c r="K583"/>
  <c r="C208" i="195"/>
  <c r="I208" s="1"/>
  <c r="I1553" i="132"/>
  <c r="I1552"/>
  <c r="I1551"/>
  <c r="I1859"/>
  <c r="I1858"/>
  <c r="I286" i="215"/>
  <c r="I287" s="1"/>
  <c r="G776" i="214"/>
  <c r="G775"/>
  <c r="G774"/>
  <c r="G765"/>
  <c r="G764"/>
  <c r="K3312" i="132" l="1"/>
  <c r="M3312" s="1"/>
  <c r="C785" i="195"/>
  <c r="I785" s="1"/>
  <c r="G799" i="140"/>
  <c r="C881" i="195"/>
  <c r="I881" s="1"/>
  <c r="G891" i="140"/>
  <c r="G182"/>
  <c r="G218"/>
  <c r="C46" i="211"/>
  <c r="F46" s="1"/>
  <c r="G766" i="214"/>
  <c r="G780"/>
  <c r="F780"/>
  <c r="K1527" i="132" l="1"/>
  <c r="F181" i="305" s="1"/>
  <c r="G181" s="1"/>
  <c r="E881" i="195"/>
  <c r="F881" s="1"/>
  <c r="J881" s="1"/>
  <c r="I891" i="140"/>
  <c r="J891" s="1"/>
  <c r="F884" i="305"/>
  <c r="G884" s="1"/>
  <c r="I891" i="309"/>
  <c r="C212" i="195"/>
  <c r="I212" s="1"/>
  <c r="C166" i="196" s="1"/>
  <c r="F166" s="1"/>
  <c r="K166" s="1"/>
  <c r="C216" i="195"/>
  <c r="I216" s="1"/>
  <c r="G186" i="140"/>
  <c r="I46" i="211"/>
  <c r="S46"/>
  <c r="L46"/>
  <c r="E208" i="195" l="1"/>
  <c r="F208" s="1"/>
  <c r="J208" s="1"/>
  <c r="M1527" i="132"/>
  <c r="I182" i="140"/>
  <c r="J182" s="1"/>
  <c r="K182" s="1"/>
  <c r="I182" i="309"/>
  <c r="J182" s="1"/>
  <c r="E891"/>
  <c r="F891" s="1"/>
  <c r="J891"/>
  <c r="K891" i="140"/>
  <c r="L891"/>
  <c r="O891"/>
  <c r="I166" i="196"/>
  <c r="L166"/>
  <c r="C2" i="132"/>
  <c r="K3" i="140"/>
  <c r="A2"/>
  <c r="I942" i="194"/>
  <c r="C2"/>
  <c r="I1373" i="192"/>
  <c r="I1374"/>
  <c r="I1375"/>
  <c r="I1376"/>
  <c r="I1372"/>
  <c r="C2"/>
  <c r="G234" i="309"/>
  <c r="C234" s="1"/>
  <c r="L182" i="140" l="1"/>
  <c r="E182" i="309"/>
  <c r="F182" s="1"/>
  <c r="O182" s="1"/>
  <c r="O182" i="140"/>
  <c r="O891" i="309"/>
  <c r="K891"/>
  <c r="L891"/>
  <c r="D378" i="305"/>
  <c r="D233"/>
  <c r="A2" i="196"/>
  <c r="G3" i="195"/>
  <c r="A2"/>
  <c r="A2" i="176" s="1"/>
  <c r="E3" i="165"/>
  <c r="A2"/>
  <c r="K1166" i="140"/>
  <c r="K1165"/>
  <c r="K1164"/>
  <c r="H1166"/>
  <c r="H1165"/>
  <c r="H1164"/>
  <c r="C124" i="165"/>
  <c r="C123"/>
  <c r="C122"/>
  <c r="H970" i="194"/>
  <c r="H969"/>
  <c r="H968"/>
  <c r="H1551" i="192"/>
  <c r="H1550"/>
  <c r="H1549"/>
  <c r="C127" i="139"/>
  <c r="C126"/>
  <c r="C125"/>
  <c r="E14" i="141"/>
  <c r="E13"/>
  <c r="E12"/>
  <c r="E124" i="165"/>
  <c r="E123"/>
  <c r="E122"/>
  <c r="L970" i="194"/>
  <c r="L969"/>
  <c r="L968"/>
  <c r="L1551" i="192"/>
  <c r="L1550"/>
  <c r="L1549"/>
  <c r="G127" i="139"/>
  <c r="G126"/>
  <c r="G125"/>
  <c r="H14" i="141"/>
  <c r="H13"/>
  <c r="H12"/>
  <c r="H4029" i="132"/>
  <c r="H4030"/>
  <c r="H4031"/>
  <c r="L4031"/>
  <c r="L4030"/>
  <c r="L4029"/>
  <c r="F3" i="139"/>
  <c r="A2"/>
  <c r="H5" i="141"/>
  <c r="A4"/>
  <c r="G27" i="131"/>
  <c r="G23"/>
  <c r="G71" i="139"/>
  <c r="G70"/>
  <c r="G69"/>
  <c r="G48"/>
  <c r="G47"/>
  <c r="G21"/>
  <c r="G22"/>
  <c r="G23"/>
  <c r="L182" i="309" l="1"/>
  <c r="K182"/>
  <c r="D40" i="307"/>
  <c r="D39"/>
  <c r="B38"/>
  <c r="B40"/>
  <c r="D38"/>
  <c r="B39"/>
  <c r="D519" i="305"/>
  <c r="G521" i="309"/>
  <c r="C521" s="1"/>
  <c r="F174" i="216"/>
  <c r="F60" l="1"/>
  <c r="G60"/>
  <c r="G117"/>
  <c r="G50"/>
  <c r="G108"/>
  <c r="G58"/>
  <c r="G57"/>
  <c r="G56"/>
  <c r="G55"/>
  <c r="G54"/>
  <c r="G53"/>
  <c r="G40"/>
  <c r="G39"/>
  <c r="G38"/>
  <c r="G37"/>
  <c r="G36"/>
  <c r="G35"/>
  <c r="H58"/>
  <c r="H57"/>
  <c r="H56"/>
  <c r="H55"/>
  <c r="H54"/>
  <c r="H53"/>
  <c r="G52"/>
  <c r="F52"/>
  <c r="G51"/>
  <c r="F51"/>
  <c r="H48"/>
  <c r="H47"/>
  <c r="I1152" i="192"/>
  <c r="I1153"/>
  <c r="I1046"/>
  <c r="I1045"/>
  <c r="I1007"/>
  <c r="I1006"/>
  <c r="I1005"/>
  <c r="I936"/>
  <c r="I937"/>
  <c r="I1230" i="132"/>
  <c r="I1229"/>
  <c r="I869" i="194"/>
  <c r="I868"/>
  <c r="I867"/>
  <c r="I866"/>
  <c r="I904"/>
  <c r="I903"/>
  <c r="I902"/>
  <c r="I1459" i="192"/>
  <c r="I1458"/>
  <c r="I1457"/>
  <c r="H49" i="216" l="1"/>
  <c r="F50" s="1"/>
  <c r="H50" s="1"/>
  <c r="H60"/>
  <c r="H51"/>
  <c r="H52"/>
  <c r="G550" i="140"/>
  <c r="G34" i="216"/>
  <c r="G33"/>
  <c r="F165"/>
  <c r="K165"/>
  <c r="I1474" i="132"/>
  <c r="I1473"/>
  <c r="I1472"/>
  <c r="I935" i="192"/>
  <c r="I442" i="194"/>
  <c r="I441"/>
  <c r="I440"/>
  <c r="I439"/>
  <c r="I716" i="192"/>
  <c r="I715"/>
  <c r="I714"/>
  <c r="I713"/>
  <c r="I410" i="194"/>
  <c r="I409"/>
  <c r="I408"/>
  <c r="I407"/>
  <c r="I684" i="192"/>
  <c r="I683"/>
  <c r="I682"/>
  <c r="I681"/>
  <c r="I1031" i="132"/>
  <c r="I1030"/>
  <c r="C527" i="195" l="1"/>
  <c r="I527" s="1"/>
  <c r="H61" i="216"/>
  <c r="I967" i="192"/>
  <c r="I968"/>
  <c r="I1263" i="132"/>
  <c r="I1264"/>
  <c r="K2020" l="1"/>
  <c r="M2020" s="1"/>
  <c r="F548" i="305" l="1"/>
  <c r="G548" s="1"/>
  <c r="I550" i="309"/>
  <c r="E527" i="195"/>
  <c r="F527" s="1"/>
  <c r="J527" s="1"/>
  <c r="I550" i="140"/>
  <c r="J550" s="1"/>
  <c r="C93" i="165"/>
  <c r="E87" i="139" s="1"/>
  <c r="F193" i="216"/>
  <c r="G193"/>
  <c r="G191"/>
  <c r="H191" s="1"/>
  <c r="G190"/>
  <c r="G189"/>
  <c r="G188"/>
  <c r="G187"/>
  <c r="H187" s="1"/>
  <c r="G186"/>
  <c r="G174"/>
  <c r="G172"/>
  <c r="G171"/>
  <c r="G170"/>
  <c r="G169"/>
  <c r="G168"/>
  <c r="G167"/>
  <c r="F184"/>
  <c r="F185" s="1"/>
  <c r="L194"/>
  <c r="H190"/>
  <c r="H189"/>
  <c r="H188"/>
  <c r="H186"/>
  <c r="G185"/>
  <c r="G184"/>
  <c r="G183"/>
  <c r="H181"/>
  <c r="H180"/>
  <c r="J550" i="309" l="1"/>
  <c r="E550"/>
  <c r="F550" s="1"/>
  <c r="K550" i="140"/>
  <c r="O550"/>
  <c r="L550"/>
  <c r="H193" i="216"/>
  <c r="H185"/>
  <c r="H184"/>
  <c r="H182"/>
  <c r="F183" s="1"/>
  <c r="H183" s="1"/>
  <c r="G166"/>
  <c r="G165"/>
  <c r="G164"/>
  <c r="G146"/>
  <c r="H152" i="215"/>
  <c r="I152" s="1"/>
  <c r="I151"/>
  <c r="H150"/>
  <c r="I150" s="1"/>
  <c r="H149"/>
  <c r="I149" s="1"/>
  <c r="O550" i="309" l="1"/>
  <c r="K550"/>
  <c r="L550"/>
  <c r="C781" i="195"/>
  <c r="I781" s="1"/>
  <c r="G795" i="140"/>
  <c r="H194" i="216"/>
  <c r="I153" i="215"/>
  <c r="K2035" i="132" l="1"/>
  <c r="M2035" s="1"/>
  <c r="I154" i="215"/>
  <c r="K3188" i="132" l="1"/>
  <c r="M3188" s="1"/>
  <c r="F536" i="305"/>
  <c r="G536" s="1"/>
  <c r="I538" i="309"/>
  <c r="E781" i="195" l="1"/>
  <c r="F781" s="1"/>
  <c r="J781" s="1"/>
  <c r="I795" i="140"/>
  <c r="J795" s="1"/>
  <c r="K795" s="1"/>
  <c r="F788" i="305"/>
  <c r="G788" s="1"/>
  <c r="I795" i="309"/>
  <c r="E538"/>
  <c r="F538" s="1"/>
  <c r="J538"/>
  <c r="E23" i="212"/>
  <c r="F23" s="1"/>
  <c r="E15"/>
  <c r="E16"/>
  <c r="E12"/>
  <c r="L795" i="140" l="1"/>
  <c r="O795"/>
  <c r="E795" i="309"/>
  <c r="F795" s="1"/>
  <c r="J795"/>
  <c r="O538"/>
  <c r="K538"/>
  <c r="L538"/>
  <c r="C132" i="195"/>
  <c r="I132" s="1"/>
  <c r="C118" i="196" s="1"/>
  <c r="C172" i="195"/>
  <c r="I172" s="1"/>
  <c r="C158" i="196" s="1"/>
  <c r="F236" i="195"/>
  <c r="J236" s="1"/>
  <c r="I236"/>
  <c r="C305"/>
  <c r="I305" s="1"/>
  <c r="D114" i="196" s="1"/>
  <c r="F381" i="195"/>
  <c r="J381" s="1"/>
  <c r="I381"/>
  <c r="C382"/>
  <c r="I382" s="1"/>
  <c r="E34" i="196" s="1"/>
  <c r="C386" i="195"/>
  <c r="I386" s="1"/>
  <c r="E42" i="196" s="1"/>
  <c r="C446" i="195"/>
  <c r="I446" s="1"/>
  <c r="E114" i="196" s="1"/>
  <c r="C450" i="195"/>
  <c r="I450" s="1"/>
  <c r="E118" i="196" s="1"/>
  <c r="I522" i="195"/>
  <c r="J522"/>
  <c r="F619"/>
  <c r="J619" s="1"/>
  <c r="I619"/>
  <c r="I736"/>
  <c r="J736"/>
  <c r="C801"/>
  <c r="I801" s="1"/>
  <c r="C805"/>
  <c r="I805" s="1"/>
  <c r="C809"/>
  <c r="I809" s="1"/>
  <c r="C813"/>
  <c r="I813" s="1"/>
  <c r="C825"/>
  <c r="I825" s="1"/>
  <c r="C833"/>
  <c r="I833" s="1"/>
  <c r="G134" i="140"/>
  <c r="G174"/>
  <c r="G308"/>
  <c r="G385"/>
  <c r="G389"/>
  <c r="G449"/>
  <c r="G453"/>
  <c r="G815"/>
  <c r="G819"/>
  <c r="G823"/>
  <c r="G827"/>
  <c r="G835"/>
  <c r="G843"/>
  <c r="O795" i="309" l="1"/>
  <c r="L795"/>
  <c r="K795"/>
  <c r="F223" i="216"/>
  <c r="G566" i="140" l="1"/>
  <c r="C789" i="195" l="1"/>
  <c r="I789" s="1"/>
  <c r="G803" i="140"/>
  <c r="C628" i="195"/>
  <c r="I628" s="1"/>
  <c r="G632" i="140"/>
  <c r="C873" i="195"/>
  <c r="I873" s="1"/>
  <c r="G883" i="140"/>
  <c r="G747"/>
  <c r="C829" i="195"/>
  <c r="I829" s="1"/>
  <c r="C845"/>
  <c r="I845" s="1"/>
  <c r="G855" i="140"/>
  <c r="C865" i="195"/>
  <c r="I865" s="1"/>
  <c r="G879" i="140"/>
  <c r="C849" i="195"/>
  <c r="I849" s="1"/>
  <c r="G859" i="140"/>
  <c r="C797" i="195"/>
  <c r="I797" s="1"/>
  <c r="G811" i="140"/>
  <c r="C773" i="195"/>
  <c r="I773" s="1"/>
  <c r="G751" i="140"/>
  <c r="C737" i="195"/>
  <c r="I737" s="1"/>
  <c r="G526" i="140"/>
  <c r="C523" i="195"/>
  <c r="I523" s="1"/>
  <c r="G575" i="140"/>
  <c r="C571" i="195"/>
  <c r="I571" s="1"/>
  <c r="C563"/>
  <c r="I563" s="1"/>
  <c r="C684"/>
  <c r="G691" i="140"/>
  <c r="C672" i="195"/>
  <c r="G678" i="140"/>
  <c r="G628"/>
  <c r="C652" i="195"/>
  <c r="G657" i="140"/>
  <c r="C664" i="195"/>
  <c r="G670" i="140"/>
  <c r="C700" i="195"/>
  <c r="G709" i="140"/>
  <c r="G717"/>
  <c r="C708" i="195"/>
  <c r="C716"/>
  <c r="G725" i="140"/>
  <c r="C724" i="195"/>
  <c r="G733" i="140"/>
  <c r="C732" i="195"/>
  <c r="G741" i="140"/>
  <c r="C648" i="195"/>
  <c r="G653" i="140"/>
  <c r="C656" i="195"/>
  <c r="C688"/>
  <c r="G697" i="140"/>
  <c r="C704" i="195"/>
  <c r="G713" i="140"/>
  <c r="C712" i="195"/>
  <c r="G721" i="140"/>
  <c r="G729"/>
  <c r="C720" i="195"/>
  <c r="C728"/>
  <c r="G737" i="140"/>
  <c r="C514" i="195"/>
  <c r="I514" s="1"/>
  <c r="G661" i="140" l="1"/>
  <c r="C624" i="195"/>
  <c r="C660"/>
  <c r="G839" i="140"/>
  <c r="G787"/>
  <c r="C741" i="195"/>
  <c r="I741" s="1"/>
  <c r="G665" i="140"/>
  <c r="G571"/>
  <c r="C567" i="195"/>
  <c r="I567" s="1"/>
  <c r="G599" i="140"/>
  <c r="C595" i="195"/>
  <c r="I595" s="1"/>
  <c r="I720"/>
  <c r="I648"/>
  <c r="I708"/>
  <c r="G641" i="140"/>
  <c r="C636" i="195"/>
  <c r="I672"/>
  <c r="I684"/>
  <c r="I728"/>
  <c r="I712"/>
  <c r="I704"/>
  <c r="I688"/>
  <c r="I656"/>
  <c r="I732"/>
  <c r="I724"/>
  <c r="I716"/>
  <c r="I700"/>
  <c r="I664"/>
  <c r="I652"/>
  <c r="I624"/>
  <c r="C426"/>
  <c r="G429" i="140"/>
  <c r="G517"/>
  <c r="I1178" i="192"/>
  <c r="I1151"/>
  <c r="I966"/>
  <c r="I636" i="195" l="1"/>
  <c r="I660"/>
  <c r="C454"/>
  <c r="G457" i="140"/>
  <c r="C434" i="195"/>
  <c r="G437" i="140"/>
  <c r="C506" i="195"/>
  <c r="C442"/>
  <c r="G445" i="140"/>
  <c r="C458" i="195"/>
  <c r="G461" i="140"/>
  <c r="G513"/>
  <c r="C510" i="195"/>
  <c r="I426"/>
  <c r="E94" i="196" s="1"/>
  <c r="C269" i="195"/>
  <c r="G272" i="140"/>
  <c r="D22" i="211"/>
  <c r="I1902" i="132"/>
  <c r="I1450"/>
  <c r="I1449"/>
  <c r="I1262"/>
  <c r="I1228"/>
  <c r="I458" i="195" l="1"/>
  <c r="E126" i="196" s="1"/>
  <c r="I506" i="195"/>
  <c r="I434"/>
  <c r="E98" i="196" s="1"/>
  <c r="I510" i="195"/>
  <c r="I442"/>
  <c r="E110" i="196" s="1"/>
  <c r="I454" i="195"/>
  <c r="E122" i="196" s="1"/>
  <c r="C265" i="195"/>
  <c r="G268" i="140"/>
  <c r="C289" i="195"/>
  <c r="G292" i="140"/>
  <c r="C313" i="195"/>
  <c r="G316" i="140"/>
  <c r="C329" i="195"/>
  <c r="G332" i="140"/>
  <c r="C325" i="195"/>
  <c r="G328" i="140"/>
  <c r="C353" i="195"/>
  <c r="G356" i="140"/>
  <c r="C369" i="195"/>
  <c r="G372" i="140"/>
  <c r="C281" i="195"/>
  <c r="G284" i="140"/>
  <c r="C301" i="195"/>
  <c r="G304" i="140"/>
  <c r="C317" i="195"/>
  <c r="G320" i="140"/>
  <c r="C333" i="195"/>
  <c r="G336" i="140"/>
  <c r="G352"/>
  <c r="C349" i="195"/>
  <c r="C373"/>
  <c r="G376" i="140"/>
  <c r="C365" i="195"/>
  <c r="G368" i="140"/>
  <c r="I269" i="195"/>
  <c r="D70" i="196" s="1"/>
  <c r="C200" i="195"/>
  <c r="G210" i="140"/>
  <c r="C39" i="211"/>
  <c r="C31"/>
  <c r="D44"/>
  <c r="C44"/>
  <c r="D43"/>
  <c r="C43"/>
  <c r="D39"/>
  <c r="D38"/>
  <c r="D37"/>
  <c r="E35"/>
  <c r="D35"/>
  <c r="E34"/>
  <c r="D34"/>
  <c r="E33"/>
  <c r="C33"/>
  <c r="E32"/>
  <c r="D32"/>
  <c r="E31"/>
  <c r="D31"/>
  <c r="E28"/>
  <c r="D28"/>
  <c r="C28"/>
  <c r="E27"/>
  <c r="D27"/>
  <c r="D21"/>
  <c r="E15"/>
  <c r="E13"/>
  <c r="T11"/>
  <c r="C9"/>
  <c r="F9" s="1"/>
  <c r="L9" s="1"/>
  <c r="F5"/>
  <c r="R5" s="1"/>
  <c r="I60" i="194"/>
  <c r="I61"/>
  <c r="I124"/>
  <c r="I125"/>
  <c r="I148"/>
  <c r="I149"/>
  <c r="I172"/>
  <c r="I173"/>
  <c r="I174"/>
  <c r="I200"/>
  <c r="E22" i="211" s="1"/>
  <c r="I220" i="194"/>
  <c r="I240"/>
  <c r="I241"/>
  <c r="I264"/>
  <c r="I265"/>
  <c r="I266"/>
  <c r="I267"/>
  <c r="I350"/>
  <c r="I351"/>
  <c r="I352"/>
  <c r="I542"/>
  <c r="I562"/>
  <c r="I563"/>
  <c r="I586"/>
  <c r="I587"/>
  <c r="I588"/>
  <c r="I614"/>
  <c r="I615"/>
  <c r="I616"/>
  <c r="I642"/>
  <c r="I643"/>
  <c r="I644"/>
  <c r="I670"/>
  <c r="I671"/>
  <c r="I672"/>
  <c r="I698"/>
  <c r="I699"/>
  <c r="I700"/>
  <c r="I726"/>
  <c r="I727"/>
  <c r="I728"/>
  <c r="I754"/>
  <c r="I755"/>
  <c r="I778"/>
  <c r="I779"/>
  <c r="I802"/>
  <c r="I803"/>
  <c r="I804"/>
  <c r="I805"/>
  <c r="C95" i="165"/>
  <c r="E89" i="139" s="1"/>
  <c r="D13" i="211"/>
  <c r="I162" i="192"/>
  <c r="I182"/>
  <c r="I183"/>
  <c r="I206"/>
  <c r="I207"/>
  <c r="I329"/>
  <c r="I330"/>
  <c r="I353"/>
  <c r="I354"/>
  <c r="I553"/>
  <c r="I554"/>
  <c r="I555"/>
  <c r="I581"/>
  <c r="I582"/>
  <c r="D33" i="211"/>
  <c r="I907" i="192"/>
  <c r="I908"/>
  <c r="I909"/>
  <c r="I1044"/>
  <c r="G340" i="140" s="1"/>
  <c r="I1084" i="192"/>
  <c r="I1085"/>
  <c r="I1086"/>
  <c r="I1087"/>
  <c r="I1119"/>
  <c r="I1120"/>
  <c r="I1121"/>
  <c r="I1212"/>
  <c r="I1213"/>
  <c r="I1214"/>
  <c r="I1215"/>
  <c r="I1244"/>
  <c r="I1245"/>
  <c r="I1246"/>
  <c r="I1247"/>
  <c r="I1248"/>
  <c r="C94" i="165"/>
  <c r="I11" i="132"/>
  <c r="I12" s="1"/>
  <c r="I131"/>
  <c r="I132"/>
  <c r="I133"/>
  <c r="I134"/>
  <c r="I135"/>
  <c r="I191"/>
  <c r="H192"/>
  <c r="I192" s="1"/>
  <c r="F528"/>
  <c r="I528" s="1"/>
  <c r="F529"/>
  <c r="I529" s="1"/>
  <c r="I550"/>
  <c r="I551"/>
  <c r="I574"/>
  <c r="I575"/>
  <c r="I576"/>
  <c r="I711"/>
  <c r="I712"/>
  <c r="I713"/>
  <c r="I911"/>
  <c r="I912"/>
  <c r="I913"/>
  <c r="I914"/>
  <c r="I1029"/>
  <c r="I1388"/>
  <c r="I1389"/>
  <c r="I1390"/>
  <c r="I1391"/>
  <c r="I1420"/>
  <c r="I1421"/>
  <c r="I1422"/>
  <c r="I1579"/>
  <c r="I1580"/>
  <c r="I1581"/>
  <c r="I1831"/>
  <c r="I1832"/>
  <c r="I1882"/>
  <c r="I1922"/>
  <c r="I1942"/>
  <c r="I1962"/>
  <c r="F595" i="218"/>
  <c r="C595"/>
  <c r="F594"/>
  <c r="C594"/>
  <c r="F593"/>
  <c r="C593"/>
  <c r="F151"/>
  <c r="G151" s="1"/>
  <c r="G152" s="1"/>
  <c r="F147"/>
  <c r="G147" s="1"/>
  <c r="G148" s="1"/>
  <c r="F144"/>
  <c r="G144" s="1"/>
  <c r="G145" s="1"/>
  <c r="F141"/>
  <c r="G141" s="1"/>
  <c r="G142" s="1"/>
  <c r="F138"/>
  <c r="G138" s="1"/>
  <c r="G139" s="1"/>
  <c r="F135"/>
  <c r="G135" s="1"/>
  <c r="G136" s="1"/>
  <c r="F132"/>
  <c r="G132" s="1"/>
  <c r="G133" s="1"/>
  <c r="F129"/>
  <c r="G129" s="1"/>
  <c r="G130" s="1"/>
  <c r="F126"/>
  <c r="G126" s="1"/>
  <c r="G127" s="1"/>
  <c r="F118"/>
  <c r="G118" s="1"/>
  <c r="F115"/>
  <c r="G115" s="1"/>
  <c r="F112"/>
  <c r="G112" s="1"/>
  <c r="F110"/>
  <c r="G110" s="1"/>
  <c r="F108"/>
  <c r="G108" s="1"/>
  <c r="F102"/>
  <c r="G102" s="1"/>
  <c r="F101"/>
  <c r="G101" s="1"/>
  <c r="F100"/>
  <c r="G100" s="1"/>
  <c r="F99"/>
  <c r="G99" s="1"/>
  <c r="F98"/>
  <c r="G98" s="1"/>
  <c r="F97"/>
  <c r="G97" s="1"/>
  <c r="F92"/>
  <c r="G92" s="1"/>
  <c r="G94" s="1"/>
  <c r="F88"/>
  <c r="G88" s="1"/>
  <c r="G90" s="1"/>
  <c r="F84"/>
  <c r="G84" s="1"/>
  <c r="G86" s="1"/>
  <c r="F80"/>
  <c r="G80" s="1"/>
  <c r="G82" s="1"/>
  <c r="F77"/>
  <c r="G77" s="1"/>
  <c r="G79" s="1"/>
  <c r="F74"/>
  <c r="G74" s="1"/>
  <c r="G76" s="1"/>
  <c r="F71"/>
  <c r="G71" s="1"/>
  <c r="G73" s="1"/>
  <c r="F66"/>
  <c r="G66" s="1"/>
  <c r="F65"/>
  <c r="G65" s="1"/>
  <c r="F61"/>
  <c r="G61" s="1"/>
  <c r="G63" s="1"/>
  <c r="F57"/>
  <c r="G57" s="1"/>
  <c r="G59" s="1"/>
  <c r="F53"/>
  <c r="G53" s="1"/>
  <c r="G55" s="1"/>
  <c r="F49"/>
  <c r="G49" s="1"/>
  <c r="G51" s="1"/>
  <c r="F44"/>
  <c r="G44" s="1"/>
  <c r="G46" s="1"/>
  <c r="G47" s="1"/>
  <c r="F38"/>
  <c r="G38" s="1"/>
  <c r="G40" s="1"/>
  <c r="G41" s="1"/>
  <c r="F32"/>
  <c r="G32" s="1"/>
  <c r="G34" s="1"/>
  <c r="G35" s="1"/>
  <c r="F27"/>
  <c r="G27" s="1"/>
  <c r="G29" s="1"/>
  <c r="F22"/>
  <c r="G22" s="1"/>
  <c r="F21"/>
  <c r="G21" s="1"/>
  <c r="F20"/>
  <c r="G20" s="1"/>
  <c r="F19"/>
  <c r="G19" s="1"/>
  <c r="F16"/>
  <c r="G16" s="1"/>
  <c r="G17" s="1"/>
  <c r="F13"/>
  <c r="G13" s="1"/>
  <c r="G14" s="1"/>
  <c r="F8"/>
  <c r="G8" s="1"/>
  <c r="F7"/>
  <c r="G7" s="1"/>
  <c r="F6"/>
  <c r="G6" s="1"/>
  <c r="G950" i="216"/>
  <c r="D950"/>
  <c r="G949"/>
  <c r="D949"/>
  <c r="G948"/>
  <c r="D948"/>
  <c r="F236"/>
  <c r="H236" s="1"/>
  <c r="H237" s="1"/>
  <c r="F234"/>
  <c r="H234" s="1"/>
  <c r="H235" s="1"/>
  <c r="F232"/>
  <c r="H232" s="1"/>
  <c r="H233" s="1"/>
  <c r="G216"/>
  <c r="G215"/>
  <c r="G214"/>
  <c r="G213"/>
  <c r="G212"/>
  <c r="G211"/>
  <c r="G223" s="1"/>
  <c r="H223" s="1"/>
  <c r="F211"/>
  <c r="G210"/>
  <c r="G209"/>
  <c r="F205"/>
  <c r="H205" s="1"/>
  <c r="F204"/>
  <c r="H204" s="1"/>
  <c r="F203"/>
  <c r="H203" s="1"/>
  <c r="F202"/>
  <c r="H202" s="1"/>
  <c r="L200"/>
  <c r="G198"/>
  <c r="H198" s="1"/>
  <c r="G196"/>
  <c r="H196" s="1"/>
  <c r="L175"/>
  <c r="H172"/>
  <c r="H171"/>
  <c r="H170"/>
  <c r="H169"/>
  <c r="H168"/>
  <c r="H167"/>
  <c r="F166"/>
  <c r="H166" s="1"/>
  <c r="H165"/>
  <c r="H162"/>
  <c r="H161"/>
  <c r="F155"/>
  <c r="G147"/>
  <c r="H144"/>
  <c r="H145" s="1"/>
  <c r="F147" s="1"/>
  <c r="H142"/>
  <c r="H141"/>
  <c r="F136"/>
  <c r="G128"/>
  <c r="G127"/>
  <c r="H125"/>
  <c r="H126" s="1"/>
  <c r="F128" s="1"/>
  <c r="H128" s="1"/>
  <c r="H123"/>
  <c r="H122"/>
  <c r="G136"/>
  <c r="F117"/>
  <c r="H117" s="1"/>
  <c r="G115"/>
  <c r="G134" s="1"/>
  <c r="H134" s="1"/>
  <c r="G114"/>
  <c r="G133" s="1"/>
  <c r="H133" s="1"/>
  <c r="G113"/>
  <c r="G132" s="1"/>
  <c r="H132" s="1"/>
  <c r="G112"/>
  <c r="G131" s="1"/>
  <c r="H131" s="1"/>
  <c r="G111"/>
  <c r="G130" s="1"/>
  <c r="H130" s="1"/>
  <c r="G110"/>
  <c r="G129" s="1"/>
  <c r="H129" s="1"/>
  <c r="G109"/>
  <c r="H106"/>
  <c r="H107" s="1"/>
  <c r="F109" s="1"/>
  <c r="H109" s="1"/>
  <c r="H104"/>
  <c r="H103"/>
  <c r="F98"/>
  <c r="H87"/>
  <c r="H88" s="1"/>
  <c r="F90" s="1"/>
  <c r="H85"/>
  <c r="H84"/>
  <c r="F79"/>
  <c r="G71"/>
  <c r="G90" s="1"/>
  <c r="G70"/>
  <c r="G89" s="1"/>
  <c r="H68"/>
  <c r="H69" s="1"/>
  <c r="F71" s="1"/>
  <c r="H66"/>
  <c r="H65"/>
  <c r="G42"/>
  <c r="F42"/>
  <c r="H40"/>
  <c r="H39"/>
  <c r="H38"/>
  <c r="H37"/>
  <c r="H36"/>
  <c r="H35"/>
  <c r="F34"/>
  <c r="F33"/>
  <c r="G32"/>
  <c r="H30"/>
  <c r="H29"/>
  <c r="G24"/>
  <c r="G79" s="1"/>
  <c r="G98" s="1"/>
  <c r="G22"/>
  <c r="G153" s="1"/>
  <c r="H153" s="1"/>
  <c r="G21"/>
  <c r="G152" s="1"/>
  <c r="H152" s="1"/>
  <c r="G20"/>
  <c r="G151" s="1"/>
  <c r="H151" s="1"/>
  <c r="G19"/>
  <c r="G150" s="1"/>
  <c r="H150" s="1"/>
  <c r="G18"/>
  <c r="G149" s="1"/>
  <c r="H149" s="1"/>
  <c r="G17"/>
  <c r="G148" s="1"/>
  <c r="H148" s="1"/>
  <c r="G16"/>
  <c r="G15"/>
  <c r="H13"/>
  <c r="H14" s="1"/>
  <c r="F16" s="1"/>
  <c r="H16" s="1"/>
  <c r="H11"/>
  <c r="H10"/>
  <c r="F3"/>
  <c r="A2"/>
  <c r="G1134" i="215"/>
  <c r="C1134"/>
  <c r="G1133"/>
  <c r="C1133"/>
  <c r="G1132"/>
  <c r="C1132"/>
  <c r="H283"/>
  <c r="I283" s="1"/>
  <c r="I284" s="1"/>
  <c r="H278"/>
  <c r="I278" s="1"/>
  <c r="H277"/>
  <c r="I277" s="1"/>
  <c r="H276"/>
  <c r="I276" s="1"/>
  <c r="H275"/>
  <c r="I275" s="1"/>
  <c r="H274"/>
  <c r="I274" s="1"/>
  <c r="H273"/>
  <c r="I273" s="1"/>
  <c r="H272"/>
  <c r="I272" s="1"/>
  <c r="H271"/>
  <c r="I271" s="1"/>
  <c r="H270"/>
  <c r="I270" s="1"/>
  <c r="H269"/>
  <c r="I269" s="1"/>
  <c r="H268"/>
  <c r="I268" s="1"/>
  <c r="I266"/>
  <c r="H265"/>
  <c r="I265" s="1"/>
  <c r="I261"/>
  <c r="H260"/>
  <c r="I260" s="1"/>
  <c r="H259"/>
  <c r="I259" s="1"/>
  <c r="H257"/>
  <c r="I257" s="1"/>
  <c r="H256"/>
  <c r="I256" s="1"/>
  <c r="H255"/>
  <c r="I255" s="1"/>
  <c r="H251"/>
  <c r="I251" s="1"/>
  <c r="H250"/>
  <c r="I250" s="1"/>
  <c r="H249"/>
  <c r="I249" s="1"/>
  <c r="I247"/>
  <c r="H246"/>
  <c r="I246" s="1"/>
  <c r="H245"/>
  <c r="I245" s="1"/>
  <c r="H240"/>
  <c r="I240" s="1"/>
  <c r="H239"/>
  <c r="I239" s="1"/>
  <c r="H237"/>
  <c r="I237" s="1"/>
  <c r="H236"/>
  <c r="I236" s="1"/>
  <c r="I232"/>
  <c r="H231"/>
  <c r="I231" s="1"/>
  <c r="H230"/>
  <c r="I230" s="1"/>
  <c r="H227"/>
  <c r="I227" s="1"/>
  <c r="I225"/>
  <c r="H221"/>
  <c r="I221" s="1"/>
  <c r="I219"/>
  <c r="H218"/>
  <c r="I218" s="1"/>
  <c r="H213"/>
  <c r="I213" s="1"/>
  <c r="H212"/>
  <c r="I212" s="1"/>
  <c r="H208"/>
  <c r="I208" s="1"/>
  <c r="H204"/>
  <c r="I204" s="1"/>
  <c r="I205" s="1"/>
  <c r="H203"/>
  <c r="I203" s="1"/>
  <c r="H202"/>
  <c r="I202" s="1"/>
  <c r="I200"/>
  <c r="H199"/>
  <c r="I199" s="1"/>
  <c r="H193"/>
  <c r="I193" s="1"/>
  <c r="H192"/>
  <c r="I192" s="1"/>
  <c r="I190"/>
  <c r="H189"/>
  <c r="I189" s="1"/>
  <c r="H183"/>
  <c r="I183" s="1"/>
  <c r="H182"/>
  <c r="I182" s="1"/>
  <c r="H181"/>
  <c r="I181" s="1"/>
  <c r="I179"/>
  <c r="H178"/>
  <c r="I178" s="1"/>
  <c r="H177"/>
  <c r="I177" s="1"/>
  <c r="H172"/>
  <c r="I172" s="1"/>
  <c r="I170"/>
  <c r="H169"/>
  <c r="I169" s="1"/>
  <c r="H168"/>
  <c r="I168" s="1"/>
  <c r="H162"/>
  <c r="I162" s="1"/>
  <c r="I160"/>
  <c r="H159"/>
  <c r="I159" s="1"/>
  <c r="H158"/>
  <c r="I158" s="1"/>
  <c r="H142"/>
  <c r="I142" s="1"/>
  <c r="I140"/>
  <c r="H139"/>
  <c r="I139" s="1"/>
  <c r="H138"/>
  <c r="I138" s="1"/>
  <c r="H133"/>
  <c r="I133" s="1"/>
  <c r="H132"/>
  <c r="I132" s="1"/>
  <c r="I130"/>
  <c r="H129"/>
  <c r="I129" s="1"/>
  <c r="H125"/>
  <c r="I125" s="1"/>
  <c r="H124"/>
  <c r="I124" s="1"/>
  <c r="H123"/>
  <c r="I123" s="1"/>
  <c r="I121"/>
  <c r="H120"/>
  <c r="I120" s="1"/>
  <c r="H116"/>
  <c r="I116" s="1"/>
  <c r="H115"/>
  <c r="I115" s="1"/>
  <c r="I113"/>
  <c r="H112"/>
  <c r="I112" s="1"/>
  <c r="H107"/>
  <c r="I107" s="1"/>
  <c r="H106"/>
  <c r="I106" s="1"/>
  <c r="H105"/>
  <c r="I105" s="1"/>
  <c r="I103"/>
  <c r="H102"/>
  <c r="I102" s="1"/>
  <c r="H101"/>
  <c r="I101" s="1"/>
  <c r="H94"/>
  <c r="I94" s="1"/>
  <c r="H93"/>
  <c r="I93" s="1"/>
  <c r="I91"/>
  <c r="H90"/>
  <c r="I90" s="1"/>
  <c r="H89"/>
  <c r="I89" s="1"/>
  <c r="H83"/>
  <c r="I83" s="1"/>
  <c r="I84" s="1"/>
  <c r="H80"/>
  <c r="I80" s="1"/>
  <c r="I81" s="1"/>
  <c r="H76"/>
  <c r="I76" s="1"/>
  <c r="I77" s="1"/>
  <c r="H73"/>
  <c r="I73" s="1"/>
  <c r="H72"/>
  <c r="I72" s="1"/>
  <c r="H69"/>
  <c r="I69" s="1"/>
  <c r="I70" s="1"/>
  <c r="H66"/>
  <c r="I66" s="1"/>
  <c r="I67" s="1"/>
  <c r="H63"/>
  <c r="I63" s="1"/>
  <c r="I64" s="1"/>
  <c r="H60"/>
  <c r="I60" s="1"/>
  <c r="I61" s="1"/>
  <c r="H57"/>
  <c r="I57" s="1"/>
  <c r="I58" s="1"/>
  <c r="H54"/>
  <c r="I54" s="1"/>
  <c r="H46"/>
  <c r="I46" s="1"/>
  <c r="I47" s="1"/>
  <c r="H43"/>
  <c r="H50" s="1"/>
  <c r="I50" s="1"/>
  <c r="H40"/>
  <c r="I40" s="1"/>
  <c r="I41" s="1"/>
  <c r="H37"/>
  <c r="H49" s="1"/>
  <c r="I49" s="1"/>
  <c r="H34"/>
  <c r="I34" s="1"/>
  <c r="I35" s="1"/>
  <c r="H28"/>
  <c r="I28" s="1"/>
  <c r="H27"/>
  <c r="I27" s="1"/>
  <c r="H26"/>
  <c r="I26" s="1"/>
  <c r="H25"/>
  <c r="I25" s="1"/>
  <c r="H23"/>
  <c r="I23" s="1"/>
  <c r="I22"/>
  <c r="H21"/>
  <c r="I21" s="1"/>
  <c r="H20"/>
  <c r="I20" s="1"/>
  <c r="H14"/>
  <c r="I14" s="1"/>
  <c r="H13"/>
  <c r="I13" s="1"/>
  <c r="I12"/>
  <c r="I10"/>
  <c r="H9"/>
  <c r="I9" s="1"/>
  <c r="H8"/>
  <c r="I8" s="1"/>
  <c r="E3678" i="214"/>
  <c r="C3678"/>
  <c r="E3677"/>
  <c r="C3677"/>
  <c r="E3676"/>
  <c r="C3676"/>
  <c r="F921"/>
  <c r="G921" s="1"/>
  <c r="F920"/>
  <c r="G920" s="1"/>
  <c r="F919"/>
  <c r="G919" s="1"/>
  <c r="F918"/>
  <c r="G918" s="1"/>
  <c r="G914"/>
  <c r="G916" s="1"/>
  <c r="G910"/>
  <c r="G912" s="1"/>
  <c r="G905"/>
  <c r="G901"/>
  <c r="G903" s="1"/>
  <c r="G896"/>
  <c r="F893"/>
  <c r="G893" s="1"/>
  <c r="G894" s="1"/>
  <c r="G890"/>
  <c r="G891" s="1"/>
  <c r="F887"/>
  <c r="G887" s="1"/>
  <c r="F886"/>
  <c r="G886" s="1"/>
  <c r="F885"/>
  <c r="G885" s="1"/>
  <c r="F884"/>
  <c r="G884" s="1"/>
  <c r="F883"/>
  <c r="G883" s="1"/>
  <c r="G879"/>
  <c r="G880" s="1"/>
  <c r="F875"/>
  <c r="G875" s="1"/>
  <c r="F874"/>
  <c r="G874" s="1"/>
  <c r="F872"/>
  <c r="G872" s="1"/>
  <c r="F868"/>
  <c r="G868" s="1"/>
  <c r="F867"/>
  <c r="G867" s="1"/>
  <c r="F865"/>
  <c r="G865" s="1"/>
  <c r="F854"/>
  <c r="G854" s="1"/>
  <c r="F853"/>
  <c r="G853" s="1"/>
  <c r="F852"/>
  <c r="G852" s="1"/>
  <c r="F850"/>
  <c r="G850" s="1"/>
  <c r="F840"/>
  <c r="G840" s="1"/>
  <c r="F839"/>
  <c r="G839" s="1"/>
  <c r="F837"/>
  <c r="G837" s="1"/>
  <c r="F828"/>
  <c r="G828" s="1"/>
  <c r="F827"/>
  <c r="G827" s="1"/>
  <c r="F825"/>
  <c r="G825" s="1"/>
  <c r="F818"/>
  <c r="G818" s="1"/>
  <c r="F817"/>
  <c r="G817" s="1"/>
  <c r="F815"/>
  <c r="G815" s="1"/>
  <c r="F804"/>
  <c r="G804" s="1"/>
  <c r="F803"/>
  <c r="G803" s="1"/>
  <c r="F802"/>
  <c r="G802" s="1"/>
  <c r="F800"/>
  <c r="G800" s="1"/>
  <c r="F789"/>
  <c r="G789" s="1"/>
  <c r="F788"/>
  <c r="G788" s="1"/>
  <c r="F786"/>
  <c r="G786" s="1"/>
  <c r="F755"/>
  <c r="G755" s="1"/>
  <c r="F754"/>
  <c r="G754" s="1"/>
  <c r="F753"/>
  <c r="G753" s="1"/>
  <c r="F741"/>
  <c r="G741" s="1"/>
  <c r="F740"/>
  <c r="G740" s="1"/>
  <c r="F727"/>
  <c r="G727" s="1"/>
  <c r="F726"/>
  <c r="G726" s="1"/>
  <c r="F720"/>
  <c r="G720" s="1"/>
  <c r="F710"/>
  <c r="G710" s="1"/>
  <c r="F709"/>
  <c r="G709" s="1"/>
  <c r="F708"/>
  <c r="G708" s="1"/>
  <c r="F702"/>
  <c r="G702" s="1"/>
  <c r="F692"/>
  <c r="G692" s="1"/>
  <c r="F691"/>
  <c r="G691" s="1"/>
  <c r="F690"/>
  <c r="G690" s="1"/>
  <c r="F688"/>
  <c r="F724" s="1"/>
  <c r="G724" s="1"/>
  <c r="F684"/>
  <c r="G684" s="1"/>
  <c r="F673"/>
  <c r="G673" s="1"/>
  <c r="F672"/>
  <c r="G672" s="1"/>
  <c r="F671"/>
  <c r="G671" s="1"/>
  <c r="F664"/>
  <c r="G664" s="1"/>
  <c r="F654"/>
  <c r="G654" s="1"/>
  <c r="F653"/>
  <c r="G653" s="1"/>
  <c r="F652"/>
  <c r="G652" s="1"/>
  <c r="F650"/>
  <c r="G650" s="1"/>
  <c r="F646"/>
  <c r="G646" s="1"/>
  <c r="F636"/>
  <c r="G636" s="1"/>
  <c r="G635"/>
  <c r="G634"/>
  <c r="F628"/>
  <c r="G628" s="1"/>
  <c r="F623"/>
  <c r="G623" s="1"/>
  <c r="G624" s="1"/>
  <c r="F614"/>
  <c r="G614" s="1"/>
  <c r="F613"/>
  <c r="G613" s="1"/>
  <c r="F612"/>
  <c r="G612" s="1"/>
  <c r="F610"/>
  <c r="G610" s="1"/>
  <c r="F595"/>
  <c r="G595" s="1"/>
  <c r="F594"/>
  <c r="G594" s="1"/>
  <c r="F593"/>
  <c r="G593" s="1"/>
  <c r="F577"/>
  <c r="G577" s="1"/>
  <c r="F576"/>
  <c r="G576" s="1"/>
  <c r="F575"/>
  <c r="G575" s="1"/>
  <c r="F573"/>
  <c r="G573" s="1"/>
  <c r="F562"/>
  <c r="G562" s="1"/>
  <c r="F561"/>
  <c r="G561" s="1"/>
  <c r="F560"/>
  <c r="G560" s="1"/>
  <c r="F558"/>
  <c r="G558" s="1"/>
  <c r="F550"/>
  <c r="E550"/>
  <c r="F549"/>
  <c r="E549"/>
  <c r="F545"/>
  <c r="G545" s="1"/>
  <c r="F543"/>
  <c r="G543" s="1"/>
  <c r="F542"/>
  <c r="G542" s="1"/>
  <c r="F541"/>
  <c r="G541" s="1"/>
  <c r="F536"/>
  <c r="G536" s="1"/>
  <c r="G529"/>
  <c r="F529"/>
  <c r="E529"/>
  <c r="E528"/>
  <c r="F528" s="1"/>
  <c r="G528" s="1"/>
  <c r="F524"/>
  <c r="G524" s="1"/>
  <c r="F523"/>
  <c r="G523" s="1"/>
  <c r="F522"/>
  <c r="G522" s="1"/>
  <c r="G509"/>
  <c r="F509"/>
  <c r="E509"/>
  <c r="E508"/>
  <c r="F508" s="1"/>
  <c r="G508" s="1"/>
  <c r="F504"/>
  <c r="G504" s="1"/>
  <c r="F503"/>
  <c r="G503" s="1"/>
  <c r="F502"/>
  <c r="G502" s="1"/>
  <c r="G489"/>
  <c r="F489"/>
  <c r="E489"/>
  <c r="E488"/>
  <c r="G488" s="1"/>
  <c r="F484"/>
  <c r="G484" s="1"/>
  <c r="F483"/>
  <c r="G483" s="1"/>
  <c r="F482"/>
  <c r="G482" s="1"/>
  <c r="G473"/>
  <c r="F473"/>
  <c r="E473"/>
  <c r="E472"/>
  <c r="G472" s="1"/>
  <c r="F468"/>
  <c r="G468" s="1"/>
  <c r="F467"/>
  <c r="G467" s="1"/>
  <c r="F466"/>
  <c r="G466" s="1"/>
  <c r="G457"/>
  <c r="F457"/>
  <c r="E457"/>
  <c r="E456"/>
  <c r="G456" s="1"/>
  <c r="F452"/>
  <c r="G452" s="1"/>
  <c r="F451"/>
  <c r="G451" s="1"/>
  <c r="F450"/>
  <c r="G450" s="1"/>
  <c r="G441"/>
  <c r="F441"/>
  <c r="E441"/>
  <c r="E440"/>
  <c r="G440" s="1"/>
  <c r="F436"/>
  <c r="G436" s="1"/>
  <c r="F435"/>
  <c r="G435" s="1"/>
  <c r="F434"/>
  <c r="G434" s="1"/>
  <c r="G426"/>
  <c r="F426"/>
  <c r="E426"/>
  <c r="E425"/>
  <c r="F425" s="1"/>
  <c r="G425" s="1"/>
  <c r="F421"/>
  <c r="G421" s="1"/>
  <c r="F420"/>
  <c r="G420" s="1"/>
  <c r="F419"/>
  <c r="G419" s="1"/>
  <c r="F418"/>
  <c r="G418" s="1"/>
  <c r="F415"/>
  <c r="G415" s="1"/>
  <c r="G408"/>
  <c r="F408"/>
  <c r="E408"/>
  <c r="E407"/>
  <c r="F407" s="1"/>
  <c r="G407" s="1"/>
  <c r="F403"/>
  <c r="G403" s="1"/>
  <c r="F402"/>
  <c r="G402" s="1"/>
  <c r="F401"/>
  <c r="G401" s="1"/>
  <c r="G391"/>
  <c r="F391"/>
  <c r="E391"/>
  <c r="E390"/>
  <c r="F390" s="1"/>
  <c r="G390" s="1"/>
  <c r="F386"/>
  <c r="G386" s="1"/>
  <c r="F385"/>
  <c r="G385" s="1"/>
  <c r="F384"/>
  <c r="G384" s="1"/>
  <c r="G374"/>
  <c r="F374"/>
  <c r="E374"/>
  <c r="E373"/>
  <c r="G373" s="1"/>
  <c r="F369"/>
  <c r="G369" s="1"/>
  <c r="F368"/>
  <c r="G368" s="1"/>
  <c r="F367"/>
  <c r="G367" s="1"/>
  <c r="F358"/>
  <c r="G358" s="1"/>
  <c r="F357"/>
  <c r="G357" s="1"/>
  <c r="G343"/>
  <c r="F342"/>
  <c r="G342" s="1"/>
  <c r="F338"/>
  <c r="F337"/>
  <c r="G331"/>
  <c r="G330"/>
  <c r="G329"/>
  <c r="F328"/>
  <c r="G328" s="1"/>
  <c r="F327"/>
  <c r="F326"/>
  <c r="F324"/>
  <c r="F323"/>
  <c r="F319"/>
  <c r="G319" s="1"/>
  <c r="F318"/>
  <c r="G318" s="1"/>
  <c r="F317"/>
  <c r="G317" s="1"/>
  <c r="F311"/>
  <c r="F310"/>
  <c r="F305"/>
  <c r="G305" s="1"/>
  <c r="F304"/>
  <c r="G304" s="1"/>
  <c r="F297"/>
  <c r="G297" s="1"/>
  <c r="F296"/>
  <c r="G296" s="1"/>
  <c r="F295"/>
  <c r="G295" s="1"/>
  <c r="F294"/>
  <c r="G294" s="1"/>
  <c r="F292"/>
  <c r="G292" s="1"/>
  <c r="F291"/>
  <c r="G291" s="1"/>
  <c r="F281"/>
  <c r="G281" s="1"/>
  <c r="F280"/>
  <c r="G280" s="1"/>
  <c r="F278"/>
  <c r="G278" s="1"/>
  <c r="E270"/>
  <c r="F270" s="1"/>
  <c r="G270" s="1"/>
  <c r="E269"/>
  <c r="F269" s="1"/>
  <c r="G269" s="1"/>
  <c r="F265"/>
  <c r="G265" s="1"/>
  <c r="F264"/>
  <c r="G264" s="1"/>
  <c r="F263"/>
  <c r="G263" s="1"/>
  <c r="F261"/>
  <c r="G261" s="1"/>
  <c r="F260"/>
  <c r="G260" s="1"/>
  <c r="F237"/>
  <c r="G237" s="1"/>
  <c r="F236"/>
  <c r="G236" s="1"/>
  <c r="F234"/>
  <c r="G234" s="1"/>
  <c r="F233"/>
  <c r="G233" s="1"/>
  <c r="F232"/>
  <c r="G232" s="1"/>
  <c r="G207"/>
  <c r="F207"/>
  <c r="E207"/>
  <c r="E206"/>
  <c r="F206" s="1"/>
  <c r="G194"/>
  <c r="G250" s="1"/>
  <c r="F194"/>
  <c r="F201" s="1"/>
  <c r="E194"/>
  <c r="E250" s="1"/>
  <c r="E193"/>
  <c r="G193" s="1"/>
  <c r="G187"/>
  <c r="G243" s="1"/>
  <c r="F187"/>
  <c r="F243" s="1"/>
  <c r="E187"/>
  <c r="E243" s="1"/>
  <c r="E186"/>
  <c r="E242" s="1"/>
  <c r="G242" s="1"/>
  <c r="G180"/>
  <c r="F180"/>
  <c r="E180"/>
  <c r="E179"/>
  <c r="F179" s="1"/>
  <c r="F175"/>
  <c r="G175" s="1"/>
  <c r="F174"/>
  <c r="G174" s="1"/>
  <c r="F173"/>
  <c r="G173" s="1"/>
  <c r="F171"/>
  <c r="G171" s="1"/>
  <c r="F170"/>
  <c r="G170" s="1"/>
  <c r="F169"/>
  <c r="G169" s="1"/>
  <c r="G159"/>
  <c r="F159"/>
  <c r="E159"/>
  <c r="E158"/>
  <c r="F158" s="1"/>
  <c r="G153"/>
  <c r="F153"/>
  <c r="E153"/>
  <c r="E152"/>
  <c r="F152" s="1"/>
  <c r="F148"/>
  <c r="G148" s="1"/>
  <c r="F147"/>
  <c r="G147" s="1"/>
  <c r="F146"/>
  <c r="G146" s="1"/>
  <c r="F144"/>
  <c r="G144" s="1"/>
  <c r="F143"/>
  <c r="G143" s="1"/>
  <c r="F142"/>
  <c r="G142" s="1"/>
  <c r="E140"/>
  <c r="E167" s="1"/>
  <c r="F133"/>
  <c r="G133" s="1"/>
  <c r="F132"/>
  <c r="G132" s="1"/>
  <c r="F128"/>
  <c r="G128" s="1"/>
  <c r="F127"/>
  <c r="G127" s="1"/>
  <c r="F123"/>
  <c r="G123" s="1"/>
  <c r="F122"/>
  <c r="G122" s="1"/>
  <c r="F118"/>
  <c r="G118" s="1"/>
  <c r="F117"/>
  <c r="G117" s="1"/>
  <c r="F116"/>
  <c r="G116" s="1"/>
  <c r="F114"/>
  <c r="G114" s="1"/>
  <c r="F113"/>
  <c r="G113" s="1"/>
  <c r="F112"/>
  <c r="G112" s="1"/>
  <c r="F103"/>
  <c r="G103" s="1"/>
  <c r="F102"/>
  <c r="G102" s="1"/>
  <c r="F100"/>
  <c r="G100" s="1"/>
  <c r="F98"/>
  <c r="G98" s="1"/>
  <c r="F91"/>
  <c r="G91" s="1"/>
  <c r="F90"/>
  <c r="G90" s="1"/>
  <c r="F88"/>
  <c r="G88" s="1"/>
  <c r="F86"/>
  <c r="G86" s="1"/>
  <c r="F78"/>
  <c r="G78" s="1"/>
  <c r="F77"/>
  <c r="G77" s="1"/>
  <c r="F70"/>
  <c r="G70" s="1"/>
  <c r="F62"/>
  <c r="G62" s="1"/>
  <c r="F54"/>
  <c r="G54" s="1"/>
  <c r="G48"/>
  <c r="G49" s="1"/>
  <c r="G43"/>
  <c r="G44" s="1"/>
  <c r="F31"/>
  <c r="G31" s="1"/>
  <c r="E29"/>
  <c r="F26"/>
  <c r="G26" s="1"/>
  <c r="E24"/>
  <c r="F21"/>
  <c r="G21" s="1"/>
  <c r="E19"/>
  <c r="F16"/>
  <c r="G16" s="1"/>
  <c r="E14"/>
  <c r="F11"/>
  <c r="G11" s="1"/>
  <c r="E9"/>
  <c r="F4"/>
  <c r="A2"/>
  <c r="G25" i="212"/>
  <c r="F25"/>
  <c r="F24"/>
  <c r="G23"/>
  <c r="G22"/>
  <c r="G21"/>
  <c r="G20"/>
  <c r="I20" s="1"/>
  <c r="G19"/>
  <c r="I19" s="1"/>
  <c r="G18"/>
  <c r="I18" s="1"/>
  <c r="G17"/>
  <c r="I17" s="1"/>
  <c r="D17"/>
  <c r="D18" s="1"/>
  <c r="D19" s="1"/>
  <c r="D20" s="1"/>
  <c r="D21" s="1"/>
  <c r="D22" s="1"/>
  <c r="G16"/>
  <c r="I16" s="1"/>
  <c r="E17"/>
  <c r="K15"/>
  <c r="J15"/>
  <c r="G15"/>
  <c r="F15"/>
  <c r="G14"/>
  <c r="G13"/>
  <c r="D13"/>
  <c r="D14" s="1"/>
  <c r="G12"/>
  <c r="E13"/>
  <c r="E14" s="1"/>
  <c r="G11"/>
  <c r="L11" s="1"/>
  <c r="G10"/>
  <c r="I10" s="1"/>
  <c r="G9"/>
  <c r="G8"/>
  <c r="L8" s="1"/>
  <c r="R238" i="211"/>
  <c r="M238"/>
  <c r="R237"/>
  <c r="M237"/>
  <c r="R236"/>
  <c r="M236"/>
  <c r="J48"/>
  <c r="A2"/>
  <c r="A2" i="264" s="1"/>
  <c r="H124" i="216" l="1"/>
  <c r="F127" s="1"/>
  <c r="H127" s="1"/>
  <c r="F819" i="214"/>
  <c r="H143" i="216"/>
  <c r="F146" s="1"/>
  <c r="H146" s="1"/>
  <c r="H71"/>
  <c r="G392" i="214"/>
  <c r="K13" i="132"/>
  <c r="F8" i="305" s="1"/>
  <c r="K1904" i="132"/>
  <c r="I210" i="309" s="1"/>
  <c r="K1924" i="132"/>
  <c r="I222" i="309" s="1"/>
  <c r="K1944" i="132"/>
  <c r="I226" i="309" s="1"/>
  <c r="K48" i="132"/>
  <c r="F12" i="305" s="1"/>
  <c r="G12" s="1"/>
  <c r="K1861" i="132"/>
  <c r="I218" i="309" s="1"/>
  <c r="K1964" i="132"/>
  <c r="I230" i="309" s="1"/>
  <c r="K3133" i="132"/>
  <c r="M3133" s="1"/>
  <c r="K3143"/>
  <c r="M3143" s="1"/>
  <c r="K3166"/>
  <c r="M3166" s="1"/>
  <c r="K3171"/>
  <c r="M3171" s="1"/>
  <c r="K3220"/>
  <c r="M3220" s="1"/>
  <c r="K3235"/>
  <c r="M3235" s="1"/>
  <c r="K3260"/>
  <c r="M3260" s="1"/>
  <c r="K3215"/>
  <c r="M3215" s="1"/>
  <c r="K3225"/>
  <c r="M3225" s="1"/>
  <c r="K3240"/>
  <c r="M3240" s="1"/>
  <c r="K3317"/>
  <c r="M3317" s="1"/>
  <c r="K3307"/>
  <c r="M3307" s="1"/>
  <c r="K2626"/>
  <c r="M2626" s="1"/>
  <c r="K2595"/>
  <c r="M2595" s="1"/>
  <c r="K2605"/>
  <c r="M2605" s="1"/>
  <c r="K2590"/>
  <c r="M2590" s="1"/>
  <c r="K2570"/>
  <c r="M2570" s="1"/>
  <c r="K2560"/>
  <c r="M2560" s="1"/>
  <c r="K2580"/>
  <c r="M2580" s="1"/>
  <c r="K2644"/>
  <c r="M2644" s="1"/>
  <c r="K2646"/>
  <c r="M2646" s="1"/>
  <c r="K2662"/>
  <c r="M2662" s="1"/>
  <c r="K2667"/>
  <c r="M2667" s="1"/>
  <c r="K2677"/>
  <c r="M2677" s="1"/>
  <c r="K2692"/>
  <c r="M2692" s="1"/>
  <c r="K2621"/>
  <c r="M2621" s="1"/>
  <c r="K2600"/>
  <c r="M2600" s="1"/>
  <c r="K2611"/>
  <c r="M2611" s="1"/>
  <c r="K2585"/>
  <c r="M2585" s="1"/>
  <c r="K2565"/>
  <c r="M2565" s="1"/>
  <c r="K2575"/>
  <c r="M2575" s="1"/>
  <c r="K2645"/>
  <c r="M2645" s="1"/>
  <c r="K2652"/>
  <c r="M2652" s="1"/>
  <c r="K2682"/>
  <c r="M2682" s="1"/>
  <c r="K2672"/>
  <c r="M2672" s="1"/>
  <c r="K2687"/>
  <c r="M2687" s="1"/>
  <c r="K2636"/>
  <c r="M2636" s="1"/>
  <c r="K2073"/>
  <c r="M2073" s="1"/>
  <c r="K2077"/>
  <c r="M2077" s="1"/>
  <c r="K2081"/>
  <c r="M2081" s="1"/>
  <c r="K2138"/>
  <c r="F829" i="214"/>
  <c r="G829" s="1"/>
  <c r="G830" s="1"/>
  <c r="G831" s="1"/>
  <c r="F848" s="1"/>
  <c r="G848" s="1"/>
  <c r="G855" s="1"/>
  <c r="F869"/>
  <c r="G869" s="1"/>
  <c r="G876" s="1"/>
  <c r="G877" s="1"/>
  <c r="F427"/>
  <c r="G510"/>
  <c r="F223"/>
  <c r="G223"/>
  <c r="G208"/>
  <c r="G195"/>
  <c r="F208"/>
  <c r="F202"/>
  <c r="G188"/>
  <c r="G251"/>
  <c r="G375"/>
  <c r="G271"/>
  <c r="G530"/>
  <c r="E120" i="218"/>
  <c r="G120" s="1"/>
  <c r="G124" s="1"/>
  <c r="G116"/>
  <c r="J229" i="211"/>
  <c r="J231" s="1"/>
  <c r="C109" i="165"/>
  <c r="E88" i="139"/>
  <c r="G23" i="218"/>
  <c r="G25" s="1"/>
  <c r="H12" i="216"/>
  <c r="F15" s="1"/>
  <c r="H15" s="1"/>
  <c r="F771" i="214"/>
  <c r="G771" s="1"/>
  <c r="D8" i="165"/>
  <c r="F20" i="139" s="1"/>
  <c r="L23" i="212"/>
  <c r="F746" i="214" s="1"/>
  <c r="G746" s="1"/>
  <c r="L24" i="212"/>
  <c r="F64" i="214" s="1"/>
  <c r="G64" s="1"/>
  <c r="G65" s="1"/>
  <c r="G66" s="1"/>
  <c r="K170" i="132" s="1"/>
  <c r="L25" i="212"/>
  <c r="F72" i="214" s="1"/>
  <c r="G72" s="1"/>
  <c r="G73" s="1"/>
  <c r="G74" s="1"/>
  <c r="G794"/>
  <c r="G858"/>
  <c r="H22" i="216"/>
  <c r="I143" i="215"/>
  <c r="I144" s="1"/>
  <c r="I145" s="1"/>
  <c r="I146" s="1"/>
  <c r="I126"/>
  <c r="F809" i="214"/>
  <c r="G809" s="1"/>
  <c r="G844"/>
  <c r="G888"/>
  <c r="G320"/>
  <c r="F551"/>
  <c r="F186"/>
  <c r="C599" i="195"/>
  <c r="I599" s="1"/>
  <c r="G603" i="140"/>
  <c r="G595"/>
  <c r="C591" i="195"/>
  <c r="I591" s="1"/>
  <c r="C583"/>
  <c r="I583" s="1"/>
  <c r="G587" i="140"/>
  <c r="C668" i="195"/>
  <c r="I668" s="1"/>
  <c r="G674" i="140"/>
  <c r="C620" i="195"/>
  <c r="I620" s="1"/>
  <c r="G624" i="140"/>
  <c r="C644" i="195"/>
  <c r="I644" s="1"/>
  <c r="G649" i="140"/>
  <c r="G636"/>
  <c r="C632" i="195"/>
  <c r="I632" s="1"/>
  <c r="C889"/>
  <c r="I889" s="1"/>
  <c r="G899" i="140"/>
  <c r="C224" i="195"/>
  <c r="I224" s="1"/>
  <c r="G226" i="140"/>
  <c r="C196" i="195"/>
  <c r="I196" s="1"/>
  <c r="G206" i="140"/>
  <c r="C228" i="195"/>
  <c r="I228" s="1"/>
  <c r="G230" i="140"/>
  <c r="C220" i="195"/>
  <c r="I220" s="1"/>
  <c r="G222" i="140"/>
  <c r="G847"/>
  <c r="C837" i="195"/>
  <c r="I837" s="1"/>
  <c r="C817"/>
  <c r="I817" s="1"/>
  <c r="G831" i="140"/>
  <c r="C765" i="195"/>
  <c r="I765" s="1"/>
  <c r="G775" i="140"/>
  <c r="G542"/>
  <c r="C543" i="195"/>
  <c r="I543" s="1"/>
  <c r="C535"/>
  <c r="I535" s="1"/>
  <c r="G534" i="140"/>
  <c r="G530"/>
  <c r="C531" i="195"/>
  <c r="I531" s="1"/>
  <c r="G501" i="140"/>
  <c r="C494" i="195"/>
  <c r="I494" s="1"/>
  <c r="E158" i="196" s="1"/>
  <c r="E37" i="211"/>
  <c r="C462" i="195"/>
  <c r="I462" s="1"/>
  <c r="E74" i="196" s="1"/>
  <c r="G465" i="140"/>
  <c r="E36" i="211"/>
  <c r="E24"/>
  <c r="C430" i="195"/>
  <c r="C418"/>
  <c r="I418" s="1"/>
  <c r="E78" i="196" s="1"/>
  <c r="G421" i="140"/>
  <c r="C414" i="195"/>
  <c r="I414" s="1"/>
  <c r="E70" i="196" s="1"/>
  <c r="G417" i="140"/>
  <c r="E23" i="211"/>
  <c r="C394" i="195"/>
  <c r="I394" s="1"/>
  <c r="E54" i="196" s="1"/>
  <c r="G397" i="140"/>
  <c r="E18" i="211"/>
  <c r="D17"/>
  <c r="G256" i="140"/>
  <c r="C253" i="195"/>
  <c r="I253" s="1"/>
  <c r="D46" i="196" s="1"/>
  <c r="D16" i="211"/>
  <c r="C249" i="195"/>
  <c r="I249" s="1"/>
  <c r="D54" i="196" s="1"/>
  <c r="G252" i="140"/>
  <c r="D18" i="211"/>
  <c r="C237" i="195"/>
  <c r="I237" s="1"/>
  <c r="D34" i="196" s="1"/>
  <c r="G240" i="140"/>
  <c r="C24" i="211"/>
  <c r="G74" i="140"/>
  <c r="C18" i="211"/>
  <c r="C17"/>
  <c r="C36" i="195"/>
  <c r="I36" s="1"/>
  <c r="G46" i="140"/>
  <c r="C44" i="195"/>
  <c r="I44" s="1"/>
  <c r="C30" i="196" s="1"/>
  <c r="F30" s="1"/>
  <c r="G38" i="140"/>
  <c r="C12" i="211"/>
  <c r="F12" s="1"/>
  <c r="L12" s="1"/>
  <c r="G686" i="140"/>
  <c r="C680" i="195"/>
  <c r="I680" s="1"/>
  <c r="G645" i="140"/>
  <c r="C640" i="195"/>
  <c r="I640" s="1"/>
  <c r="C676"/>
  <c r="I676" s="1"/>
  <c r="G682" i="140"/>
  <c r="C40" i="211"/>
  <c r="H21" i="216"/>
  <c r="H24"/>
  <c r="L24" s="1"/>
  <c r="L25" s="1"/>
  <c r="G783" i="140"/>
  <c r="C769" i="195"/>
  <c r="I769" s="1"/>
  <c r="C309"/>
  <c r="I309" s="1"/>
  <c r="D118" i="196" s="1"/>
  <c r="F118" s="1"/>
  <c r="K118" s="1"/>
  <c r="G312" i="140"/>
  <c r="C575" i="195"/>
  <c r="I575" s="1"/>
  <c r="G579" i="140"/>
  <c r="C587" i="195"/>
  <c r="I587" s="1"/>
  <c r="G591" i="140"/>
  <c r="F154" i="214"/>
  <c r="C793" i="195"/>
  <c r="I793" s="1"/>
  <c r="G807" i="140"/>
  <c r="G9" i="218"/>
  <c r="G11" s="1"/>
  <c r="G103"/>
  <c r="G105" s="1"/>
  <c r="G106" s="1"/>
  <c r="G201" i="214"/>
  <c r="G202" s="1"/>
  <c r="E249"/>
  <c r="F249" s="1"/>
  <c r="G442"/>
  <c r="G474"/>
  <c r="G566"/>
  <c r="F600"/>
  <c r="H17" i="216"/>
  <c r="H18"/>
  <c r="H19"/>
  <c r="H20"/>
  <c r="L10" i="212"/>
  <c r="F308" i="214" s="1"/>
  <c r="L15" i="212"/>
  <c r="F398" i="214" s="1"/>
  <c r="G398" s="1"/>
  <c r="G158"/>
  <c r="E201"/>
  <c r="H147" i="216"/>
  <c r="H210"/>
  <c r="G222"/>
  <c r="H222" s="1"/>
  <c r="H213"/>
  <c r="G225"/>
  <c r="H225" s="1"/>
  <c r="H215"/>
  <c r="G227"/>
  <c r="H227" s="1"/>
  <c r="H209"/>
  <c r="G221"/>
  <c r="H221" s="1"/>
  <c r="H212"/>
  <c r="G224"/>
  <c r="H224" s="1"/>
  <c r="H214"/>
  <c r="G226"/>
  <c r="H226" s="1"/>
  <c r="H216"/>
  <c r="G228"/>
  <c r="H228" s="1"/>
  <c r="H33"/>
  <c r="H34"/>
  <c r="H42"/>
  <c r="H174"/>
  <c r="H211"/>
  <c r="G922" i="214"/>
  <c r="C539" i="195"/>
  <c r="I539" s="1"/>
  <c r="G538" i="140"/>
  <c r="H86" i="216"/>
  <c r="F89" s="1"/>
  <c r="H89" s="1"/>
  <c r="F339" i="214"/>
  <c r="E340" s="1"/>
  <c r="G340" s="1"/>
  <c r="G458"/>
  <c r="G490"/>
  <c r="C893" i="195"/>
  <c r="I893" s="1"/>
  <c r="G903" i="140"/>
  <c r="C885" i="195"/>
  <c r="I885" s="1"/>
  <c r="G895" i="140"/>
  <c r="G887"/>
  <c r="C877" i="195"/>
  <c r="I877" s="1"/>
  <c r="C547"/>
  <c r="I547" s="1"/>
  <c r="G546" i="140"/>
  <c r="C555" i="195"/>
  <c r="I555" s="1"/>
  <c r="G558" i="140"/>
  <c r="H31" i="216"/>
  <c r="F32" s="1"/>
  <c r="H32" s="1"/>
  <c r="H105"/>
  <c r="F108" s="1"/>
  <c r="H108" s="1"/>
  <c r="C761" i="195"/>
  <c r="I761" s="1"/>
  <c r="G771" i="140"/>
  <c r="I228" i="215"/>
  <c r="I37"/>
  <c r="I38" s="1"/>
  <c r="I206"/>
  <c r="I215"/>
  <c r="I241"/>
  <c r="I262"/>
  <c r="I43"/>
  <c r="I44" s="1"/>
  <c r="H53"/>
  <c r="I53" s="1"/>
  <c r="I55" s="1"/>
  <c r="C757" i="195"/>
  <c r="I757" s="1"/>
  <c r="G767" i="140"/>
  <c r="C753" i="195"/>
  <c r="I753" s="1"/>
  <c r="G763" i="140"/>
  <c r="C861" i="195"/>
  <c r="I861" s="1"/>
  <c r="G871" i="140"/>
  <c r="C857" i="195"/>
  <c r="I857" s="1"/>
  <c r="G867" i="140"/>
  <c r="C853" i="195"/>
  <c r="I853" s="1"/>
  <c r="G863" i="140"/>
  <c r="C841" i="195"/>
  <c r="I841" s="1"/>
  <c r="G851" i="140"/>
  <c r="C337" i="195"/>
  <c r="I337" s="1"/>
  <c r="D142" i="196" s="1"/>
  <c r="D40" i="211"/>
  <c r="G705" i="140"/>
  <c r="C696" i="195"/>
  <c r="C692"/>
  <c r="G701" i="140"/>
  <c r="H206" i="216"/>
  <c r="H67"/>
  <c r="F70" s="1"/>
  <c r="H70" s="1"/>
  <c r="H163"/>
  <c r="F164" s="1"/>
  <c r="H164" s="1"/>
  <c r="I15" i="215"/>
  <c r="I16" s="1"/>
  <c r="I95"/>
  <c r="I96" s="1"/>
  <c r="I117"/>
  <c r="I134"/>
  <c r="I163"/>
  <c r="I164" s="1"/>
  <c r="I173"/>
  <c r="I174" s="1"/>
  <c r="I184"/>
  <c r="I185" s="1"/>
  <c r="I194"/>
  <c r="I222"/>
  <c r="I252"/>
  <c r="G215" i="214"/>
  <c r="F242"/>
  <c r="F325"/>
  <c r="E326" s="1"/>
  <c r="G326" s="1"/>
  <c r="F440"/>
  <c r="F456"/>
  <c r="F472"/>
  <c r="F488"/>
  <c r="T21" i="211"/>
  <c r="T22" s="1"/>
  <c r="Q26" i="196"/>
  <c r="G759" i="214"/>
  <c r="C518" i="195"/>
  <c r="G521" i="140"/>
  <c r="I349" i="195"/>
  <c r="D154" i="196" s="1"/>
  <c r="I333" i="195"/>
  <c r="D138" i="196" s="1"/>
  <c r="I301" i="195"/>
  <c r="D110" i="196" s="1"/>
  <c r="I369" i="195"/>
  <c r="I353"/>
  <c r="D158" i="196" s="1"/>
  <c r="I329" i="195"/>
  <c r="D134" i="196" s="1"/>
  <c r="I289" i="195"/>
  <c r="D98" i="196" s="1"/>
  <c r="C377" i="195"/>
  <c r="G380" i="140"/>
  <c r="I365" i="195"/>
  <c r="I373"/>
  <c r="I317"/>
  <c r="D126" i="196" s="1"/>
  <c r="I281" i="195"/>
  <c r="D94" i="196" s="1"/>
  <c r="I325" i="195"/>
  <c r="D130" i="196" s="1"/>
  <c r="I313" i="195"/>
  <c r="D122" i="196" s="1"/>
  <c r="I265" i="195"/>
  <c r="D66" i="196" s="1"/>
  <c r="C232" i="195"/>
  <c r="G234" i="140"/>
  <c r="C16" i="195"/>
  <c r="G17" i="140"/>
  <c r="C23" i="211"/>
  <c r="C88" i="195"/>
  <c r="G90" i="140"/>
  <c r="C26" i="211"/>
  <c r="C104" i="195"/>
  <c r="G106" i="140"/>
  <c r="G114"/>
  <c r="C112" i="195"/>
  <c r="C124"/>
  <c r="G126" i="140"/>
  <c r="C35" i="211"/>
  <c r="F35" s="1"/>
  <c r="S35" s="1"/>
  <c r="C140" i="195"/>
  <c r="G142" i="140"/>
  <c r="C152" i="195"/>
  <c r="G154" i="140"/>
  <c r="C168" i="195"/>
  <c r="G170" i="140"/>
  <c r="C192" i="195"/>
  <c r="G202" i="140"/>
  <c r="I200" i="195"/>
  <c r="C80"/>
  <c r="G82" i="140"/>
  <c r="C84" i="195"/>
  <c r="C22" i="211"/>
  <c r="F22" s="1"/>
  <c r="L22" s="1"/>
  <c r="C27"/>
  <c r="F27" s="1"/>
  <c r="Q27" s="1"/>
  <c r="G110" i="140"/>
  <c r="C108" i="195"/>
  <c r="C34" i="211"/>
  <c r="F34" s="1"/>
  <c r="S34" s="1"/>
  <c r="C136" i="195"/>
  <c r="G138" i="140"/>
  <c r="C37" i="211"/>
  <c r="C144" i="195"/>
  <c r="G146" i="140"/>
  <c r="C38" i="211"/>
  <c r="C148" i="195"/>
  <c r="G150" i="140"/>
  <c r="C184" i="195"/>
  <c r="G194" i="140"/>
  <c r="G198"/>
  <c r="C188" i="195"/>
  <c r="H79" i="216"/>
  <c r="H90"/>
  <c r="H98"/>
  <c r="H110"/>
  <c r="H111"/>
  <c r="H112"/>
  <c r="H113"/>
  <c r="H114"/>
  <c r="H115"/>
  <c r="G155"/>
  <c r="H155" s="1"/>
  <c r="F28" i="211"/>
  <c r="Q28" s="1"/>
  <c r="F31"/>
  <c r="F33"/>
  <c r="C21"/>
  <c r="H9"/>
  <c r="S9"/>
  <c r="T36"/>
  <c r="T12"/>
  <c r="T13"/>
  <c r="T14"/>
  <c r="T15"/>
  <c r="F14" i="212"/>
  <c r="L14" s="1"/>
  <c r="F13"/>
  <c r="L13" s="1"/>
  <c r="G79" i="214"/>
  <c r="G80" s="1"/>
  <c r="H29" i="215"/>
  <c r="I29" s="1"/>
  <c r="I30" s="1"/>
  <c r="I31" s="1"/>
  <c r="F737" i="214"/>
  <c r="G737" s="1"/>
  <c r="F722"/>
  <c r="F703"/>
  <c r="F686"/>
  <c r="F665"/>
  <c r="F397"/>
  <c r="G397" s="1"/>
  <c r="F363"/>
  <c r="G363" s="1"/>
  <c r="F747"/>
  <c r="F588"/>
  <c r="F538"/>
  <c r="G538" s="1"/>
  <c r="F496"/>
  <c r="F380"/>
  <c r="G380" s="1"/>
  <c r="F353"/>
  <c r="G353" s="1"/>
  <c r="F110"/>
  <c r="G110" s="1"/>
  <c r="F83"/>
  <c r="F230"/>
  <c r="F167"/>
  <c r="F258" s="1"/>
  <c r="F140"/>
  <c r="G140" s="1"/>
  <c r="F29"/>
  <c r="G29" s="1"/>
  <c r="F24"/>
  <c r="G24" s="1"/>
  <c r="F19"/>
  <c r="G19" s="1"/>
  <c r="F14"/>
  <c r="G14" s="1"/>
  <c r="F9"/>
  <c r="G9" s="1"/>
  <c r="F364"/>
  <c r="G364" s="1"/>
  <c r="E18" i="212"/>
  <c r="F17"/>
  <c r="L17" s="1"/>
  <c r="E34" i="214" s="1"/>
  <c r="F34" s="1"/>
  <c r="K194" i="132"/>
  <c r="E200" i="214"/>
  <c r="F193"/>
  <c r="G427"/>
  <c r="G619"/>
  <c r="F619"/>
  <c r="G640"/>
  <c r="F696"/>
  <c r="G696"/>
  <c r="F714"/>
  <c r="G714"/>
  <c r="F731"/>
  <c r="G731"/>
  <c r="I9" i="212"/>
  <c r="L9" s="1"/>
  <c r="D93" i="165" s="1"/>
  <c r="F12" i="212"/>
  <c r="L12" s="1"/>
  <c r="F16"/>
  <c r="L16" s="1"/>
  <c r="G152" i="214"/>
  <c r="G179"/>
  <c r="F181"/>
  <c r="G206"/>
  <c r="G244"/>
  <c r="F271"/>
  <c r="F285"/>
  <c r="G409"/>
  <c r="G581"/>
  <c r="F658"/>
  <c r="I51" i="215"/>
  <c r="I74"/>
  <c r="I108"/>
  <c r="I109" s="1"/>
  <c r="I233"/>
  <c r="H279"/>
  <c r="I279" s="1"/>
  <c r="I281" s="1"/>
  <c r="G67" i="218"/>
  <c r="G69" s="1"/>
  <c r="E230" i="214"/>
  <c r="G160"/>
  <c r="G154"/>
  <c r="F215"/>
  <c r="F188"/>
  <c r="G181"/>
  <c r="F244"/>
  <c r="E341"/>
  <c r="G341" s="1"/>
  <c r="F375"/>
  <c r="F678"/>
  <c r="G678"/>
  <c r="F160"/>
  <c r="F195"/>
  <c r="F250"/>
  <c r="F251" s="1"/>
  <c r="G285"/>
  <c r="F409"/>
  <c r="F640"/>
  <c r="G658"/>
  <c r="H136" i="216"/>
  <c r="G186" i="214"/>
  <c r="F373"/>
  <c r="F392"/>
  <c r="F442"/>
  <c r="F458"/>
  <c r="F474"/>
  <c r="F490"/>
  <c r="F510"/>
  <c r="F530"/>
  <c r="F566"/>
  <c r="F581"/>
  <c r="G600"/>
  <c r="G688"/>
  <c r="F759"/>
  <c r="F790"/>
  <c r="G790" s="1"/>
  <c r="G791" s="1"/>
  <c r="E793" s="1"/>
  <c r="F794"/>
  <c r="F805"/>
  <c r="G805" s="1"/>
  <c r="G806" s="1"/>
  <c r="E808" s="1"/>
  <c r="G819"/>
  <c r="G820" s="1"/>
  <c r="G821" s="1"/>
  <c r="F834" s="1"/>
  <c r="G834" s="1"/>
  <c r="G841" s="1"/>
  <c r="F844"/>
  <c r="F858"/>
  <c r="I209" i="215"/>
  <c r="I210" s="1"/>
  <c r="G72" i="216"/>
  <c r="G73"/>
  <c r="G74"/>
  <c r="G75"/>
  <c r="G76"/>
  <c r="G77"/>
  <c r="F705" i="214"/>
  <c r="G705" s="1"/>
  <c r="H156" i="216" l="1"/>
  <c r="I9" i="309"/>
  <c r="E9" s="1"/>
  <c r="I9" i="140"/>
  <c r="E224" i="195"/>
  <c r="F224" s="1"/>
  <c r="J224" s="1"/>
  <c r="M1944" i="132"/>
  <c r="M1904"/>
  <c r="E220" i="195"/>
  <c r="F220" s="1"/>
  <c r="J220" s="1"/>
  <c r="F229" i="305"/>
  <c r="G229" s="1"/>
  <c r="E228" i="195"/>
  <c r="F228" s="1"/>
  <c r="J228" s="1"/>
  <c r="E620"/>
  <c r="F620" s="1"/>
  <c r="J620" s="1"/>
  <c r="F221" i="305"/>
  <c r="G221" s="1"/>
  <c r="F290" i="214"/>
  <c r="G290" s="1"/>
  <c r="G298" s="1"/>
  <c r="G299" s="1"/>
  <c r="F303"/>
  <c r="G303" s="1"/>
  <c r="G306" s="1"/>
  <c r="K2101" i="132" s="1"/>
  <c r="F7" i="139"/>
  <c r="I13" i="140"/>
  <c r="I13" i="309"/>
  <c r="J13" s="1"/>
  <c r="F8" i="139"/>
  <c r="H43" i="216"/>
  <c r="K2015" i="132" s="1"/>
  <c r="M2015" s="1"/>
  <c r="C118" i="165"/>
  <c r="H217" i="216"/>
  <c r="H218" s="1"/>
  <c r="K2059" i="132" s="1"/>
  <c r="M2059" s="1"/>
  <c r="H137" i="216"/>
  <c r="I210" i="140"/>
  <c r="J210" s="1"/>
  <c r="M1861" i="132"/>
  <c r="F217" i="305"/>
  <c r="G217" s="1"/>
  <c r="F225"/>
  <c r="G225" s="1"/>
  <c r="F209"/>
  <c r="G209" s="1"/>
  <c r="E8" i="195"/>
  <c r="I230" i="140"/>
  <c r="J230" s="1"/>
  <c r="M1964" i="132"/>
  <c r="I222" i="140"/>
  <c r="J222" s="1"/>
  <c r="M1924" i="132"/>
  <c r="E12" i="195"/>
  <c r="I815" i="140"/>
  <c r="J815" s="1"/>
  <c r="E644" i="195"/>
  <c r="F644" s="1"/>
  <c r="J644" s="1"/>
  <c r="E692"/>
  <c r="F692" s="1"/>
  <c r="J692" s="1"/>
  <c r="F650" i="305"/>
  <c r="G650" s="1"/>
  <c r="E200" i="195"/>
  <c r="F200" s="1"/>
  <c r="J200" s="1"/>
  <c r="I226" i="140"/>
  <c r="J226" s="1"/>
  <c r="I218"/>
  <c r="J218" s="1"/>
  <c r="K218" s="1"/>
  <c r="E216" i="195"/>
  <c r="F216" s="1"/>
  <c r="J216" s="1"/>
  <c r="K261" i="132"/>
  <c r="I38" i="309" s="1"/>
  <c r="K1834" i="132"/>
  <c r="I214" i="140" s="1"/>
  <c r="K1884" i="132"/>
  <c r="I206" i="140" s="1"/>
  <c r="J206" s="1"/>
  <c r="I717"/>
  <c r="J717" s="1"/>
  <c r="I674"/>
  <c r="J674" s="1"/>
  <c r="E728" i="195"/>
  <c r="F728" s="1"/>
  <c r="J728" s="1"/>
  <c r="F626" i="305"/>
  <c r="G626" s="1"/>
  <c r="I887" i="140"/>
  <c r="J887" s="1"/>
  <c r="E624" i="195"/>
  <c r="F624" s="1"/>
  <c r="J624" s="1"/>
  <c r="E660"/>
  <c r="F660" s="1"/>
  <c r="J660" s="1"/>
  <c r="E724"/>
  <c r="F724" s="1"/>
  <c r="J724" s="1"/>
  <c r="E648"/>
  <c r="F648" s="1"/>
  <c r="J648" s="1"/>
  <c r="I697" i="140"/>
  <c r="J697" s="1"/>
  <c r="I729"/>
  <c r="J729" s="1"/>
  <c r="F711" i="305"/>
  <c r="J711" s="1"/>
  <c r="M2138" i="132"/>
  <c r="G9" i="309"/>
  <c r="C9" s="1"/>
  <c r="D8" i="305"/>
  <c r="G8" s="1"/>
  <c r="I763" i="140"/>
  <c r="J763" s="1"/>
  <c r="I783"/>
  <c r="J783" s="1"/>
  <c r="E825" i="195"/>
  <c r="F825" s="1"/>
  <c r="J825" s="1"/>
  <c r="I827" i="140"/>
  <c r="J827" s="1"/>
  <c r="F808" i="305"/>
  <c r="G808" s="1"/>
  <c r="F577"/>
  <c r="G577" s="1"/>
  <c r="F880"/>
  <c r="G880" s="1"/>
  <c r="F776"/>
  <c r="G776" s="1"/>
  <c r="F569"/>
  <c r="G569" s="1"/>
  <c r="F671"/>
  <c r="G671" s="1"/>
  <c r="F622"/>
  <c r="G622" s="1"/>
  <c r="E805" i="195"/>
  <c r="F805" s="1"/>
  <c r="J805" s="1"/>
  <c r="I686" i="140"/>
  <c r="J686" s="1"/>
  <c r="I661"/>
  <c r="J661" s="1"/>
  <c r="E712" i="195"/>
  <c r="F712" s="1"/>
  <c r="J712" s="1"/>
  <c r="F573" i="305"/>
  <c r="G573" s="1"/>
  <c r="F727"/>
  <c r="J727" s="1"/>
  <c r="I835" i="140"/>
  <c r="J835" s="1"/>
  <c r="E801" i="195"/>
  <c r="F801" s="1"/>
  <c r="J801" s="1"/>
  <c r="E753"/>
  <c r="F753" s="1"/>
  <c r="J753" s="1"/>
  <c r="E877"/>
  <c r="F877" s="1"/>
  <c r="J877" s="1"/>
  <c r="E813"/>
  <c r="F813" s="1"/>
  <c r="J813" s="1"/>
  <c r="E769"/>
  <c r="F769" s="1"/>
  <c r="J769" s="1"/>
  <c r="I628" i="140"/>
  <c r="J628" s="1"/>
  <c r="I649"/>
  <c r="J649" s="1"/>
  <c r="I665"/>
  <c r="J665" s="1"/>
  <c r="E708" i="195"/>
  <c r="F708" s="1"/>
  <c r="J708" s="1"/>
  <c r="I624" i="140"/>
  <c r="J624" s="1"/>
  <c r="I653"/>
  <c r="J653" s="1"/>
  <c r="E668" i="195"/>
  <c r="F668" s="1"/>
  <c r="J668" s="1"/>
  <c r="E688"/>
  <c r="F688" s="1"/>
  <c r="J688" s="1"/>
  <c r="E720"/>
  <c r="F720" s="1"/>
  <c r="J720" s="1"/>
  <c r="F828" i="305"/>
  <c r="G828" s="1"/>
  <c r="F820"/>
  <c r="G820" s="1"/>
  <c r="F756"/>
  <c r="G756" s="1"/>
  <c r="F731"/>
  <c r="J731" s="1"/>
  <c r="F695"/>
  <c r="J695" s="1"/>
  <c r="F662"/>
  <c r="G662" s="1"/>
  <c r="F723"/>
  <c r="J723" s="1"/>
  <c r="F691"/>
  <c r="J691" s="1"/>
  <c r="F646"/>
  <c r="G646" s="1"/>
  <c r="E889" i="195"/>
  <c r="F889" s="1"/>
  <c r="J889" s="1"/>
  <c r="E761"/>
  <c r="F761" s="1"/>
  <c r="J761" s="1"/>
  <c r="E640"/>
  <c r="F640" s="1"/>
  <c r="J640" s="1"/>
  <c r="E716"/>
  <c r="F716" s="1"/>
  <c r="J716" s="1"/>
  <c r="I741" i="140"/>
  <c r="J741" s="1"/>
  <c r="I851"/>
  <c r="J851" s="1"/>
  <c r="E809" i="195"/>
  <c r="F809" s="1"/>
  <c r="J809" s="1"/>
  <c r="E745"/>
  <c r="I641" i="140"/>
  <c r="J641" s="1"/>
  <c r="I657"/>
  <c r="J657" s="1"/>
  <c r="E700" i="195"/>
  <c r="F700" s="1"/>
  <c r="J700" s="1"/>
  <c r="I632" i="140"/>
  <c r="J632" s="1"/>
  <c r="E676" i="195"/>
  <c r="F676" s="1"/>
  <c r="J676" s="1"/>
  <c r="E696"/>
  <c r="F696" s="1"/>
  <c r="J696" s="1"/>
  <c r="I636" i="140"/>
  <c r="J636" s="1"/>
  <c r="I899"/>
  <c r="J899" s="1"/>
  <c r="E841" i="195"/>
  <c r="F841" s="1"/>
  <c r="J841" s="1"/>
  <c r="I819" i="140"/>
  <c r="J819" s="1"/>
  <c r="I823"/>
  <c r="J823" s="1"/>
  <c r="I771"/>
  <c r="J771" s="1"/>
  <c r="I755"/>
  <c r="E636" i="195"/>
  <c r="F636" s="1"/>
  <c r="J636" s="1"/>
  <c r="I645" i="140"/>
  <c r="J645" s="1"/>
  <c r="E652" i="195"/>
  <c r="F652" s="1"/>
  <c r="J652" s="1"/>
  <c r="E680"/>
  <c r="F680" s="1"/>
  <c r="J680" s="1"/>
  <c r="I709" i="140"/>
  <c r="J709" s="1"/>
  <c r="E732" i="195"/>
  <c r="F732" s="1"/>
  <c r="J732" s="1"/>
  <c r="E628"/>
  <c r="F628" s="1"/>
  <c r="J628" s="1"/>
  <c r="E632"/>
  <c r="F632" s="1"/>
  <c r="J632" s="1"/>
  <c r="E656"/>
  <c r="F656" s="1"/>
  <c r="J656" s="1"/>
  <c r="I682" i="140"/>
  <c r="J682" s="1"/>
  <c r="I705"/>
  <c r="J705" s="1"/>
  <c r="I721"/>
  <c r="J721" s="1"/>
  <c r="K3182" i="132"/>
  <c r="M3182" s="1"/>
  <c r="K3125"/>
  <c r="M3125" s="1"/>
  <c r="K3322"/>
  <c r="M3322" s="1"/>
  <c r="K3265"/>
  <c r="M3265" s="1"/>
  <c r="K3205"/>
  <c r="M3205" s="1"/>
  <c r="K3255"/>
  <c r="M3255" s="1"/>
  <c r="K3270"/>
  <c r="M3270" s="1"/>
  <c r="K3280"/>
  <c r="M3280" s="1"/>
  <c r="K3275"/>
  <c r="M3275" s="1"/>
  <c r="K3230"/>
  <c r="M3230" s="1"/>
  <c r="K3290"/>
  <c r="M3290" s="1"/>
  <c r="K3210"/>
  <c r="M3210" s="1"/>
  <c r="K3200"/>
  <c r="M3200" s="1"/>
  <c r="K3250"/>
  <c r="M3250" s="1"/>
  <c r="K3118"/>
  <c r="M3118" s="1"/>
  <c r="K3156"/>
  <c r="M3156" s="1"/>
  <c r="K3327"/>
  <c r="M3327" s="1"/>
  <c r="K3285"/>
  <c r="M3285" s="1"/>
  <c r="K3138"/>
  <c r="M3138" s="1"/>
  <c r="K3245"/>
  <c r="M3245" s="1"/>
  <c r="F892" i="305"/>
  <c r="G892" s="1"/>
  <c r="F816"/>
  <c r="G816" s="1"/>
  <c r="F844"/>
  <c r="G844" s="1"/>
  <c r="F812"/>
  <c r="G812" s="1"/>
  <c r="F764"/>
  <c r="G764" s="1"/>
  <c r="F748"/>
  <c r="G748" s="1"/>
  <c r="I887" i="309"/>
  <c r="I899"/>
  <c r="I835"/>
  <c r="I823"/>
  <c r="I815"/>
  <c r="I851"/>
  <c r="I827"/>
  <c r="I819"/>
  <c r="I783"/>
  <c r="I771"/>
  <c r="I763"/>
  <c r="I755"/>
  <c r="K3332" i="132"/>
  <c r="M3332" s="1"/>
  <c r="K3161"/>
  <c r="M3161" s="1"/>
  <c r="K3177"/>
  <c r="M3177" s="1"/>
  <c r="K3148"/>
  <c r="M3148" s="1"/>
  <c r="K3302"/>
  <c r="M3302" s="1"/>
  <c r="K3297"/>
  <c r="M3297" s="1"/>
  <c r="K3193"/>
  <c r="M3193" s="1"/>
  <c r="K2641"/>
  <c r="M2641" s="1"/>
  <c r="K2616"/>
  <c r="M2616" s="1"/>
  <c r="K2631"/>
  <c r="I678" i="309" s="1"/>
  <c r="I725" i="140"/>
  <c r="J725" s="1"/>
  <c r="I733"/>
  <c r="J733" s="1"/>
  <c r="I701"/>
  <c r="J701" s="1"/>
  <c r="I737"/>
  <c r="J737" s="1"/>
  <c r="F683" i="305"/>
  <c r="G683" s="1"/>
  <c r="F719"/>
  <c r="J719" s="1"/>
  <c r="F703"/>
  <c r="J703" s="1"/>
  <c r="F634"/>
  <c r="G634" s="1"/>
  <c r="F642"/>
  <c r="G642" s="1"/>
  <c r="F654"/>
  <c r="G654" s="1"/>
  <c r="F735"/>
  <c r="J735" s="1"/>
  <c r="F715"/>
  <c r="J715" s="1"/>
  <c r="F699"/>
  <c r="G699" s="1"/>
  <c r="F638"/>
  <c r="G638" s="1"/>
  <c r="F630"/>
  <c r="G630" s="1"/>
  <c r="F658"/>
  <c r="G658" s="1"/>
  <c r="F679"/>
  <c r="G679" s="1"/>
  <c r="I686" i="309"/>
  <c r="I737"/>
  <c r="I725"/>
  <c r="I733"/>
  <c r="I709"/>
  <c r="I701"/>
  <c r="I636"/>
  <c r="I628"/>
  <c r="I645"/>
  <c r="I665"/>
  <c r="I657"/>
  <c r="I674"/>
  <c r="I741"/>
  <c r="I729"/>
  <c r="I721"/>
  <c r="I717"/>
  <c r="I705"/>
  <c r="I697"/>
  <c r="I641"/>
  <c r="I624"/>
  <c r="I632"/>
  <c r="I649"/>
  <c r="I661"/>
  <c r="I653"/>
  <c r="I682"/>
  <c r="K2657" i="132"/>
  <c r="M2657" s="1"/>
  <c r="K2040"/>
  <c r="M2040" s="1"/>
  <c r="I579" i="309"/>
  <c r="I575"/>
  <c r="I571"/>
  <c r="K2047" i="132"/>
  <c r="M2047" s="1"/>
  <c r="K2096"/>
  <c r="M2096" s="1"/>
  <c r="F617" i="305"/>
  <c r="G617" s="1"/>
  <c r="I619" i="309"/>
  <c r="K2113" i="132"/>
  <c r="F29" i="305"/>
  <c r="G29" s="1"/>
  <c r="I29" i="309"/>
  <c r="F25" i="305"/>
  <c r="G25" s="1"/>
  <c r="I25" i="309"/>
  <c r="J230"/>
  <c r="E230"/>
  <c r="F230" s="1"/>
  <c r="J218"/>
  <c r="E218"/>
  <c r="F218" s="1"/>
  <c r="J226"/>
  <c r="E226"/>
  <c r="F226" s="1"/>
  <c r="J222"/>
  <c r="E222"/>
  <c r="F222" s="1"/>
  <c r="J210"/>
  <c r="E210"/>
  <c r="F210" s="1"/>
  <c r="S31" i="211"/>
  <c r="N31"/>
  <c r="S33"/>
  <c r="N33"/>
  <c r="F381" i="214"/>
  <c r="G381" s="1"/>
  <c r="I575" i="140"/>
  <c r="J575" s="1"/>
  <c r="I571"/>
  <c r="J571" s="1"/>
  <c r="K571" s="1"/>
  <c r="I579"/>
  <c r="J579" s="1"/>
  <c r="I619"/>
  <c r="E615" i="195"/>
  <c r="E567"/>
  <c r="F567" s="1"/>
  <c r="J567" s="1"/>
  <c r="E575"/>
  <c r="F575" s="1"/>
  <c r="J575" s="1"/>
  <c r="E571"/>
  <c r="F571" s="1"/>
  <c r="J571" s="1"/>
  <c r="E327" i="214"/>
  <c r="G327" s="1"/>
  <c r="D94" i="165"/>
  <c r="F87" i="139"/>
  <c r="G87" s="1"/>
  <c r="E99"/>
  <c r="P178" i="196" s="1"/>
  <c r="H175" i="216"/>
  <c r="F37" i="211"/>
  <c r="S37" s="1"/>
  <c r="I430" i="195"/>
  <c r="E90" i="196" s="1"/>
  <c r="F158"/>
  <c r="I158" s="1"/>
  <c r="H25" i="216"/>
  <c r="H118"/>
  <c r="E539" i="195" s="1"/>
  <c r="F539" s="1"/>
  <c r="J539" s="1"/>
  <c r="E44" i="211"/>
  <c r="F44" s="1"/>
  <c r="S44" s="1"/>
  <c r="G497" i="140"/>
  <c r="S12" i="211"/>
  <c r="I12"/>
  <c r="D39" i="165"/>
  <c r="F56" i="214"/>
  <c r="G56" s="1"/>
  <c r="D21" i="165"/>
  <c r="F84" i="214"/>
  <c r="G84" s="1"/>
  <c r="D78" i="165"/>
  <c r="F77" i="139" s="1"/>
  <c r="F772" i="214"/>
  <c r="G772" s="1"/>
  <c r="D52" i="165"/>
  <c r="G249" i="214"/>
  <c r="G167"/>
  <c r="G611" i="140"/>
  <c r="C607" i="195"/>
  <c r="I607" s="1"/>
  <c r="F18" i="211"/>
  <c r="L18" s="1"/>
  <c r="G875" i="140"/>
  <c r="C869" i="195"/>
  <c r="I869" s="1"/>
  <c r="G791" i="140"/>
  <c r="C777" i="195"/>
  <c r="I777" s="1"/>
  <c r="C745"/>
  <c r="I745" s="1"/>
  <c r="G755" i="140"/>
  <c r="C821" i="195"/>
  <c r="I821" s="1"/>
  <c r="G779" i="140"/>
  <c r="C551" i="195"/>
  <c r="I551" s="1"/>
  <c r="G554" i="140"/>
  <c r="C498" i="195"/>
  <c r="I498" s="1"/>
  <c r="E162" i="196" s="1"/>
  <c r="E45" i="211"/>
  <c r="C502" i="195"/>
  <c r="I502" s="1"/>
  <c r="G505" i="140"/>
  <c r="G469"/>
  <c r="G493"/>
  <c r="C490" i="195"/>
  <c r="I490" s="1"/>
  <c r="E154" i="196" s="1"/>
  <c r="E43" i="211"/>
  <c r="F43" s="1"/>
  <c r="S43" s="1"/>
  <c r="C486" i="195"/>
  <c r="I486" s="1"/>
  <c r="E150" i="196" s="1"/>
  <c r="G489" i="140"/>
  <c r="E42" i="211"/>
  <c r="C466" i="195"/>
  <c r="I466" s="1"/>
  <c r="E130" i="196" s="1"/>
  <c r="G485" i="140"/>
  <c r="C482" i="195"/>
  <c r="I482" s="1"/>
  <c r="E146" i="196" s="1"/>
  <c r="E41" i="211"/>
  <c r="C478" i="195"/>
  <c r="I478" s="1"/>
  <c r="E142" i="196" s="1"/>
  <c r="G481" i="140"/>
  <c r="E40" i="211"/>
  <c r="F40" s="1"/>
  <c r="M40" s="1"/>
  <c r="G477" i="140"/>
  <c r="C474" i="195"/>
  <c r="I474" s="1"/>
  <c r="E138" i="196" s="1"/>
  <c r="E39" i="211"/>
  <c r="F39" s="1"/>
  <c r="S39" s="1"/>
  <c r="C470" i="195"/>
  <c r="I470" s="1"/>
  <c r="E134" i="196" s="1"/>
  <c r="G473" i="140"/>
  <c r="E38" i="211"/>
  <c r="F38" s="1"/>
  <c r="G425" i="140"/>
  <c r="C422" i="195"/>
  <c r="I422" s="1"/>
  <c r="E82" i="196" s="1"/>
  <c r="G441" i="140"/>
  <c r="C438" i="195"/>
  <c r="I438" s="1"/>
  <c r="E102" i="196" s="1"/>
  <c r="E29" i="211"/>
  <c r="E20"/>
  <c r="G433" i="140"/>
  <c r="E26" i="211"/>
  <c r="G409" i="140"/>
  <c r="C406" i="195"/>
  <c r="I406" s="1"/>
  <c r="E62" i="196" s="1"/>
  <c r="C410" i="195"/>
  <c r="I410" s="1"/>
  <c r="E66" i="196" s="1"/>
  <c r="G413" i="140"/>
  <c r="E21" i="211"/>
  <c r="F21" s="1"/>
  <c r="E16"/>
  <c r="C398" i="195"/>
  <c r="I398" s="1"/>
  <c r="E46" i="196" s="1"/>
  <c r="G401" i="140"/>
  <c r="C402" i="195"/>
  <c r="I402" s="1"/>
  <c r="E58" i="196" s="1"/>
  <c r="G405" i="140"/>
  <c r="E19" i="211"/>
  <c r="G364" i="140"/>
  <c r="C361" i="195"/>
  <c r="I361" s="1"/>
  <c r="C357"/>
  <c r="I357" s="1"/>
  <c r="D162" i="196" s="1"/>
  <c r="G360" i="140"/>
  <c r="D45" i="211"/>
  <c r="G348" i="140"/>
  <c r="C345" i="195"/>
  <c r="I345" s="1"/>
  <c r="D150" i="196" s="1"/>
  <c r="D42" i="211"/>
  <c r="C341" i="195"/>
  <c r="I341" s="1"/>
  <c r="D146" i="196" s="1"/>
  <c r="G344" i="140"/>
  <c r="D41" i="211"/>
  <c r="C321" i="195"/>
  <c r="I321" s="1"/>
  <c r="D74" i="196" s="1"/>
  <c r="G324" i="140"/>
  <c r="D36" i="211"/>
  <c r="C293" i="195"/>
  <c r="I293" s="1"/>
  <c r="D102" i="196" s="1"/>
  <c r="G296" i="140"/>
  <c r="D29" i="211"/>
  <c r="G300" i="140"/>
  <c r="C297" i="195"/>
  <c r="I297" s="1"/>
  <c r="D106" i="196" s="1"/>
  <c r="D30" i="211"/>
  <c r="C285" i="195"/>
  <c r="I285" s="1"/>
  <c r="D90" i="196" s="1"/>
  <c r="G288" i="140"/>
  <c r="D26" i="211"/>
  <c r="C277" i="195"/>
  <c r="I277" s="1"/>
  <c r="D82" i="196" s="1"/>
  <c r="G280" i="140"/>
  <c r="D24" i="211"/>
  <c r="F24" s="1"/>
  <c r="N24" s="1"/>
  <c r="C273" i="195"/>
  <c r="I273" s="1"/>
  <c r="D78" i="196" s="1"/>
  <c r="G276" i="140"/>
  <c r="D23" i="211"/>
  <c r="F23" s="1"/>
  <c r="N23" s="1"/>
  <c r="C261" i="195"/>
  <c r="I261" s="1"/>
  <c r="G264" i="140"/>
  <c r="D20" i="211"/>
  <c r="C245" i="195"/>
  <c r="I245" s="1"/>
  <c r="D50" i="196" s="1"/>
  <c r="C257" i="195"/>
  <c r="I257" s="1"/>
  <c r="G260" i="140"/>
  <c r="D19" i="211"/>
  <c r="G248" i="140"/>
  <c r="C241" i="195"/>
  <c r="I241" s="1"/>
  <c r="D42" i="196" s="1"/>
  <c r="G244" i="140"/>
  <c r="D15" i="211"/>
  <c r="C204" i="195"/>
  <c r="I204" s="1"/>
  <c r="G214" i="140"/>
  <c r="C180" i="195"/>
  <c r="I180" s="1"/>
  <c r="G190" i="140"/>
  <c r="G166"/>
  <c r="C164" i="195"/>
  <c r="I164" s="1"/>
  <c r="C150" i="196" s="1"/>
  <c r="C42" i="211"/>
  <c r="G178" i="140"/>
  <c r="C176" i="195"/>
  <c r="I176" s="1"/>
  <c r="C162" i="196" s="1"/>
  <c r="C45" i="211"/>
  <c r="C160" i="195"/>
  <c r="I160" s="1"/>
  <c r="C146" i="196" s="1"/>
  <c r="G162" i="140"/>
  <c r="C41" i="211"/>
  <c r="C96" i="195"/>
  <c r="I96" s="1"/>
  <c r="C74" i="196" s="1"/>
  <c r="G98" i="140"/>
  <c r="C36" i="211"/>
  <c r="C120" i="195"/>
  <c r="I120" s="1"/>
  <c r="C106" i="196" s="1"/>
  <c r="G122" i="140"/>
  <c r="C30" i="211"/>
  <c r="G118" i="140"/>
  <c r="C116" i="195"/>
  <c r="I116" s="1"/>
  <c r="C102" i="196" s="1"/>
  <c r="C29" i="211"/>
  <c r="C60" i="195"/>
  <c r="I60" s="1"/>
  <c r="C50" i="196" s="1"/>
  <c r="G70" i="140"/>
  <c r="C72" i="195"/>
  <c r="I72" s="1"/>
  <c r="C58" i="196" s="1"/>
  <c r="C92" i="195"/>
  <c r="I92" s="1"/>
  <c r="C82" i="196" s="1"/>
  <c r="C100" i="195"/>
  <c r="I100" s="1"/>
  <c r="C86" i="196" s="1"/>
  <c r="F86" s="1"/>
  <c r="G102" i="140"/>
  <c r="C25" i="211"/>
  <c r="F25" s="1"/>
  <c r="C19"/>
  <c r="G94" i="140"/>
  <c r="G62"/>
  <c r="C68" i="195"/>
  <c r="I68" s="1"/>
  <c r="C54" i="196" s="1"/>
  <c r="F54" s="1"/>
  <c r="O54" s="1"/>
  <c r="G78" i="140"/>
  <c r="C76" i="195"/>
  <c r="I76" s="1"/>
  <c r="C62" i="196" s="1"/>
  <c r="C20" i="211"/>
  <c r="C64" i="195"/>
  <c r="I64" s="1"/>
  <c r="C46" i="196" s="1"/>
  <c r="G66" i="140"/>
  <c r="C16" i="211"/>
  <c r="G58" i="140"/>
  <c r="C56" i="195"/>
  <c r="I56" s="1"/>
  <c r="C42" i="196" s="1"/>
  <c r="C15" i="211"/>
  <c r="C52" i="195"/>
  <c r="I52" s="1"/>
  <c r="C38" i="196" s="1"/>
  <c r="F38" s="1"/>
  <c r="G54" i="140"/>
  <c r="C14" i="211"/>
  <c r="F14" s="1"/>
  <c r="S14" s="1"/>
  <c r="C48" i="195"/>
  <c r="I48" s="1"/>
  <c r="C34" i="196" s="1"/>
  <c r="F34" s="1"/>
  <c r="G50" i="140"/>
  <c r="C13" i="211"/>
  <c r="F13" s="1"/>
  <c r="L13" s="1"/>
  <c r="C8" i="195"/>
  <c r="I8" s="1"/>
  <c r="C6" i="196" s="1"/>
  <c r="F6" s="1"/>
  <c r="G9" i="140"/>
  <c r="E7" i="139"/>
  <c r="M13" i="132"/>
  <c r="C24" i="195"/>
  <c r="I24" s="1"/>
  <c r="G25" i="140"/>
  <c r="C7" i="211"/>
  <c r="F7" s="1"/>
  <c r="P7" s="1"/>
  <c r="P48" s="1"/>
  <c r="P229" s="1"/>
  <c r="C32" i="195"/>
  <c r="I32" s="1"/>
  <c r="C14" i="196" s="1"/>
  <c r="F14" s="1"/>
  <c r="J14" s="1"/>
  <c r="J176" s="1"/>
  <c r="G33" i="140"/>
  <c r="C6" i="211"/>
  <c r="F6" s="1"/>
  <c r="O6" s="1"/>
  <c r="O48" s="1"/>
  <c r="O229" s="1"/>
  <c r="O30" i="196"/>
  <c r="L30"/>
  <c r="G21" i="140"/>
  <c r="C20" i="195"/>
  <c r="I20" s="1"/>
  <c r="C22" i="196" s="1"/>
  <c r="F22" s="1"/>
  <c r="C10" i="211"/>
  <c r="F10" s="1"/>
  <c r="G29" i="140"/>
  <c r="C28" i="195"/>
  <c r="I28" s="1"/>
  <c r="C8" i="211"/>
  <c r="F8" s="1"/>
  <c r="R8" s="1"/>
  <c r="R48" s="1"/>
  <c r="C40" i="195"/>
  <c r="I40" s="1"/>
  <c r="C26" i="196" s="1"/>
  <c r="F26" s="1"/>
  <c r="I26" s="1"/>
  <c r="G42" i="140"/>
  <c r="C11" i="211"/>
  <c r="F11" s="1"/>
  <c r="C603" i="195"/>
  <c r="I603" s="1"/>
  <c r="G607" i="140"/>
  <c r="I118" i="196"/>
  <c r="C156" i="195"/>
  <c r="I156" s="1"/>
  <c r="C142" i="196" s="1"/>
  <c r="G332" i="214"/>
  <c r="G333" s="1"/>
  <c r="G334" s="1"/>
  <c r="C559" i="195"/>
  <c r="I559" s="1"/>
  <c r="G562" i="140"/>
  <c r="G158"/>
  <c r="C128" i="195"/>
  <c r="I128" s="1"/>
  <c r="C114" i="196" s="1"/>
  <c r="F114" s="1"/>
  <c r="G130" i="140"/>
  <c r="C32" i="211"/>
  <c r="F32" s="1"/>
  <c r="G344" i="214"/>
  <c r="G345" s="1"/>
  <c r="H229" i="216"/>
  <c r="H230" s="1"/>
  <c r="G393" i="140"/>
  <c r="E17" i="211"/>
  <c r="F17" s="1"/>
  <c r="I17" s="1"/>
  <c r="C390" i="195"/>
  <c r="I390" s="1"/>
  <c r="E50" i="196" s="1"/>
  <c r="G619" i="140"/>
  <c r="C615" i="195"/>
  <c r="I615" s="1"/>
  <c r="C749"/>
  <c r="I749" s="1"/>
  <c r="G759" i="140"/>
  <c r="C897" i="195"/>
  <c r="I897" s="1"/>
  <c r="G907" i="140"/>
  <c r="I692" i="195"/>
  <c r="I696"/>
  <c r="M170" i="132"/>
  <c r="E24" i="195"/>
  <c r="I25" i="140"/>
  <c r="M194" i="132"/>
  <c r="E28" i="195"/>
  <c r="I29" i="140"/>
  <c r="Q30" i="196"/>
  <c r="I30" s="1"/>
  <c r="Q74"/>
  <c r="Q38"/>
  <c r="Q42"/>
  <c r="Q66"/>
  <c r="Q70" s="1"/>
  <c r="Q34"/>
  <c r="I518" i="195"/>
  <c r="E170" i="196" s="1"/>
  <c r="I377" i="195"/>
  <c r="D170" i="196" s="1"/>
  <c r="I188" i="195"/>
  <c r="I184"/>
  <c r="I148"/>
  <c r="C134" i="196" s="1"/>
  <c r="I144" i="195"/>
  <c r="C130" i="196" s="1"/>
  <c r="I136" i="195"/>
  <c r="C122" i="196" s="1"/>
  <c r="F122" s="1"/>
  <c r="I84" i="195"/>
  <c r="C70" i="196" s="1"/>
  <c r="F70" s="1"/>
  <c r="I80" i="195"/>
  <c r="C66" i="196" s="1"/>
  <c r="I192" i="195"/>
  <c r="I168"/>
  <c r="C154" i="196" s="1"/>
  <c r="I140" i="195"/>
  <c r="C126" i="196" s="1"/>
  <c r="F126" s="1"/>
  <c r="I124" i="195"/>
  <c r="C110" i="196" s="1"/>
  <c r="F110" s="1"/>
  <c r="K110" s="1"/>
  <c r="I112" i="195"/>
  <c r="C98" i="196" s="1"/>
  <c r="F98" s="1"/>
  <c r="I104" i="195"/>
  <c r="C90" i="196" s="1"/>
  <c r="I88" i="195"/>
  <c r="C78" i="196" s="1"/>
  <c r="I16" i="195"/>
  <c r="C18" i="196" s="1"/>
  <c r="F18" s="1"/>
  <c r="I108" i="195"/>
  <c r="C94" i="196" s="1"/>
  <c r="F94" s="1"/>
  <c r="I152" i="195"/>
  <c r="C138" i="196" s="1"/>
  <c r="I232" i="195"/>
  <c r="C170" i="196" s="1"/>
  <c r="I538" i="140"/>
  <c r="M28" i="211"/>
  <c r="N35"/>
  <c r="S28"/>
  <c r="N34"/>
  <c r="I22"/>
  <c r="S22"/>
  <c r="S27"/>
  <c r="M27"/>
  <c r="T17"/>
  <c r="T16"/>
  <c r="G857" i="214"/>
  <c r="G859" s="1"/>
  <c r="G860" s="1"/>
  <c r="K906" i="194" s="1"/>
  <c r="E857" i="214"/>
  <c r="E859" s="1"/>
  <c r="E860" s="1"/>
  <c r="F857"/>
  <c r="F859" s="1"/>
  <c r="F860" s="1"/>
  <c r="K1461" i="192" s="1"/>
  <c r="E795" i="214"/>
  <c r="E796" s="1"/>
  <c r="F793"/>
  <c r="G843"/>
  <c r="G845" s="1"/>
  <c r="G846" s="1"/>
  <c r="K871" i="194" s="1"/>
  <c r="E843" i="214"/>
  <c r="E845" s="1"/>
  <c r="E846" s="1"/>
  <c r="F843"/>
  <c r="F845" s="1"/>
  <c r="F846" s="1"/>
  <c r="K1378" i="192" s="1"/>
  <c r="G197" i="216"/>
  <c r="H197" s="1"/>
  <c r="H200" s="1"/>
  <c r="F309" i="214"/>
  <c r="G309" s="1"/>
  <c r="F277"/>
  <c r="E810"/>
  <c r="E811" s="1"/>
  <c r="F808"/>
  <c r="G95" i="216"/>
  <c r="H95" s="1"/>
  <c r="H76"/>
  <c r="G93"/>
  <c r="H93" s="1"/>
  <c r="H74"/>
  <c r="G91"/>
  <c r="H91" s="1"/>
  <c r="H72"/>
  <c r="E258" i="214"/>
  <c r="G258" s="1"/>
  <c r="G230"/>
  <c r="E310"/>
  <c r="G308"/>
  <c r="F738"/>
  <c r="G738" s="1"/>
  <c r="G742" s="1"/>
  <c r="F749" s="1"/>
  <c r="G749" s="1"/>
  <c r="F721"/>
  <c r="G721" s="1"/>
  <c r="F706"/>
  <c r="G706" s="1"/>
  <c r="F685"/>
  <c r="G685" s="1"/>
  <c r="F668"/>
  <c r="F632"/>
  <c r="F399"/>
  <c r="G399" s="1"/>
  <c r="G404" s="1"/>
  <c r="F365"/>
  <c r="G365" s="1"/>
  <c r="G370" s="1"/>
  <c r="E372" s="1"/>
  <c r="F750"/>
  <c r="F591"/>
  <c r="F497"/>
  <c r="F382"/>
  <c r="G382" s="1"/>
  <c r="F355"/>
  <c r="G355" s="1"/>
  <c r="F30"/>
  <c r="G30" s="1"/>
  <c r="G32" s="1"/>
  <c r="F25"/>
  <c r="G25" s="1"/>
  <c r="G27" s="1"/>
  <c r="F20"/>
  <c r="G20" s="1"/>
  <c r="G22" s="1"/>
  <c r="F15"/>
  <c r="G15" s="1"/>
  <c r="G17" s="1"/>
  <c r="F10"/>
  <c r="G10" s="1"/>
  <c r="G12" s="1"/>
  <c r="G200"/>
  <c r="F200"/>
  <c r="E19" i="212"/>
  <c r="F18"/>
  <c r="L18" s="1"/>
  <c r="E35" i="214" s="1"/>
  <c r="F35" s="1"/>
  <c r="F95"/>
  <c r="G95" s="1"/>
  <c r="G83"/>
  <c r="G496"/>
  <c r="F516"/>
  <c r="F499"/>
  <c r="G499" s="1"/>
  <c r="F608"/>
  <c r="G588"/>
  <c r="F589"/>
  <c r="F666"/>
  <c r="G665"/>
  <c r="F704"/>
  <c r="G704" s="1"/>
  <c r="G703"/>
  <c r="G96" i="216"/>
  <c r="H96" s="1"/>
  <c r="H77"/>
  <c r="G94"/>
  <c r="H94" s="1"/>
  <c r="H75"/>
  <c r="G92"/>
  <c r="H92" s="1"/>
  <c r="H73"/>
  <c r="G747" i="214"/>
  <c r="F748"/>
  <c r="G748" s="1"/>
  <c r="F687"/>
  <c r="G687" s="1"/>
  <c r="G686"/>
  <c r="F723"/>
  <c r="G723" s="1"/>
  <c r="G722"/>
  <c r="F229"/>
  <c r="G229" s="1"/>
  <c r="F166"/>
  <c r="F139"/>
  <c r="G139" s="1"/>
  <c r="F109"/>
  <c r="G109" s="1"/>
  <c r="F85"/>
  <c r="F96" l="1"/>
  <c r="G96" s="1"/>
  <c r="E204" i="195"/>
  <c r="F204" s="1"/>
  <c r="J204" s="1"/>
  <c r="I214" i="309"/>
  <c r="E214" s="1"/>
  <c r="F214" s="1"/>
  <c r="J9" i="140"/>
  <c r="K9" s="1"/>
  <c r="E13" i="309"/>
  <c r="F13" s="1"/>
  <c r="K13" s="1"/>
  <c r="E36" i="195"/>
  <c r="F36" s="1"/>
  <c r="J36" s="1"/>
  <c r="F8"/>
  <c r="J8" s="1"/>
  <c r="H6" i="196" s="1"/>
  <c r="F205" i="305"/>
  <c r="G205" s="1"/>
  <c r="I206" i="309"/>
  <c r="E206" s="1"/>
  <c r="F206" s="1"/>
  <c r="F213" i="305"/>
  <c r="G213" s="1"/>
  <c r="G7" i="139"/>
  <c r="M1834" i="132"/>
  <c r="F37" i="305"/>
  <c r="G37" s="1"/>
  <c r="E196" i="195"/>
  <c r="F196" s="1"/>
  <c r="J196" s="1"/>
  <c r="M1884" i="132"/>
  <c r="O218" i="140"/>
  <c r="L218"/>
  <c r="I38"/>
  <c r="J38" s="1"/>
  <c r="M261" i="132"/>
  <c r="F824" i="305"/>
  <c r="G824" s="1"/>
  <c r="K1710" i="132"/>
  <c r="M1710" s="1"/>
  <c r="K1626"/>
  <c r="I194" i="309" s="1"/>
  <c r="K1583" i="132"/>
  <c r="E180" i="195" s="1"/>
  <c r="F180" s="1"/>
  <c r="J180" s="1"/>
  <c r="K1785" i="132"/>
  <c r="F201" i="305" s="1"/>
  <c r="G201" s="1"/>
  <c r="I863" i="140"/>
  <c r="J863" s="1"/>
  <c r="F836" i="305"/>
  <c r="G836" s="1"/>
  <c r="F745" i="195"/>
  <c r="J745" s="1"/>
  <c r="I787" i="140"/>
  <c r="J787" s="1"/>
  <c r="F796" i="305"/>
  <c r="G796" s="1"/>
  <c r="F560"/>
  <c r="G560" s="1"/>
  <c r="F9" i="309"/>
  <c r="E793" i="195"/>
  <c r="F793" s="1"/>
  <c r="J793" s="1"/>
  <c r="I883" i="140"/>
  <c r="J883" s="1"/>
  <c r="J9" i="309"/>
  <c r="I372"/>
  <c r="J372" s="1"/>
  <c r="M2101" i="132"/>
  <c r="M2113"/>
  <c r="E821" i="195"/>
  <c r="F821" s="1"/>
  <c r="J821" s="1"/>
  <c r="I811" i="140"/>
  <c r="J811" s="1"/>
  <c r="I554"/>
  <c r="J554" s="1"/>
  <c r="I542"/>
  <c r="J542" s="1"/>
  <c r="I831"/>
  <c r="J831" s="1"/>
  <c r="I595"/>
  <c r="J595" s="1"/>
  <c r="L595" s="1"/>
  <c r="I839"/>
  <c r="J839" s="1"/>
  <c r="E845" i="195"/>
  <c r="F845" s="1"/>
  <c r="J845" s="1"/>
  <c r="I847" i="140"/>
  <c r="J847" s="1"/>
  <c r="I775"/>
  <c r="J775" s="1"/>
  <c r="I751"/>
  <c r="J751" s="1"/>
  <c r="K751" s="1"/>
  <c r="I691"/>
  <c r="J691" s="1"/>
  <c r="L691" s="1"/>
  <c r="J755"/>
  <c r="L755" s="1"/>
  <c r="E833" i="195"/>
  <c r="F833" s="1"/>
  <c r="J833" s="1"/>
  <c r="I678" i="140"/>
  <c r="J678" s="1"/>
  <c r="L678" s="1"/>
  <c r="E591" i="195"/>
  <c r="F591" s="1"/>
  <c r="J591" s="1"/>
  <c r="E829"/>
  <c r="F829" s="1"/>
  <c r="J829" s="1"/>
  <c r="I855" i="140"/>
  <c r="J855" s="1"/>
  <c r="I779"/>
  <c r="J779" s="1"/>
  <c r="E837" i="195"/>
  <c r="F837" s="1"/>
  <c r="J837" s="1"/>
  <c r="E797"/>
  <c r="F797" s="1"/>
  <c r="J797" s="1"/>
  <c r="E765"/>
  <c r="F765" s="1"/>
  <c r="J765" s="1"/>
  <c r="E817"/>
  <c r="F817" s="1"/>
  <c r="J817" s="1"/>
  <c r="E741"/>
  <c r="F741" s="1"/>
  <c r="J741" s="1"/>
  <c r="E853"/>
  <c r="F853" s="1"/>
  <c r="J853" s="1"/>
  <c r="I875" i="140"/>
  <c r="J875" s="1"/>
  <c r="E684" i="195"/>
  <c r="F684" s="1"/>
  <c r="J684" s="1"/>
  <c r="E869"/>
  <c r="F869" s="1"/>
  <c r="J869" s="1"/>
  <c r="F840" i="305"/>
  <c r="G840" s="1"/>
  <c r="F860"/>
  <c r="G860" s="1"/>
  <c r="F768"/>
  <c r="G768" s="1"/>
  <c r="E865" i="195"/>
  <c r="F865" s="1"/>
  <c r="J865" s="1"/>
  <c r="I871" i="140"/>
  <c r="J871" s="1"/>
  <c r="E737" i="195"/>
  <c r="F737" s="1"/>
  <c r="J737" s="1"/>
  <c r="E885"/>
  <c r="F885" s="1"/>
  <c r="J885" s="1"/>
  <c r="E897"/>
  <c r="F897" s="1"/>
  <c r="J897" s="1"/>
  <c r="E789"/>
  <c r="F789" s="1"/>
  <c r="J789" s="1"/>
  <c r="I791" i="140"/>
  <c r="J791" s="1"/>
  <c r="E873" i="195"/>
  <c r="F873" s="1"/>
  <c r="J873" s="1"/>
  <c r="I903" i="140"/>
  <c r="J903" s="1"/>
  <c r="L903" s="1"/>
  <c r="I747"/>
  <c r="J747" s="1"/>
  <c r="I807"/>
  <c r="J807" s="1"/>
  <c r="I895"/>
  <c r="J895" s="1"/>
  <c r="I879"/>
  <c r="J879" s="1"/>
  <c r="I907"/>
  <c r="J907" s="1"/>
  <c r="E773" i="195"/>
  <c r="F773" s="1"/>
  <c r="J773" s="1"/>
  <c r="I803" i="140"/>
  <c r="J803" s="1"/>
  <c r="E861" i="195"/>
  <c r="F861" s="1"/>
  <c r="J861" s="1"/>
  <c r="E777"/>
  <c r="F777" s="1"/>
  <c r="J777" s="1"/>
  <c r="I859" i="140"/>
  <c r="J859" s="1"/>
  <c r="O859" s="1"/>
  <c r="E849" i="195"/>
  <c r="F849" s="1"/>
  <c r="J849" s="1"/>
  <c r="E893"/>
  <c r="F893" s="1"/>
  <c r="J893" s="1"/>
  <c r="I799" i="140"/>
  <c r="J799" s="1"/>
  <c r="L799" s="1"/>
  <c r="F792" i="305"/>
  <c r="G792" s="1"/>
  <c r="F900"/>
  <c r="G900" s="1"/>
  <c r="F876"/>
  <c r="G876" s="1"/>
  <c r="F740"/>
  <c r="G740" s="1"/>
  <c r="F864"/>
  <c r="G864" s="1"/>
  <c r="F589"/>
  <c r="G589" s="1"/>
  <c r="F772"/>
  <c r="G772" s="1"/>
  <c r="F848"/>
  <c r="G848" s="1"/>
  <c r="F868"/>
  <c r="G868" s="1"/>
  <c r="F760"/>
  <c r="G760" s="1"/>
  <c r="F832"/>
  <c r="G832" s="1"/>
  <c r="F804"/>
  <c r="G804" s="1"/>
  <c r="F744"/>
  <c r="G744" s="1"/>
  <c r="F856"/>
  <c r="G856" s="1"/>
  <c r="F552"/>
  <c r="G552" s="1"/>
  <c r="F675"/>
  <c r="G675" s="1"/>
  <c r="E785" i="195"/>
  <c r="F785" s="1"/>
  <c r="J785" s="1"/>
  <c r="F752" i="305"/>
  <c r="G752" s="1"/>
  <c r="F896"/>
  <c r="G896" s="1"/>
  <c r="F780"/>
  <c r="G780" s="1"/>
  <c r="F800"/>
  <c r="G800" s="1"/>
  <c r="F888"/>
  <c r="G888" s="1"/>
  <c r="F784"/>
  <c r="G784" s="1"/>
  <c r="F852"/>
  <c r="G852" s="1"/>
  <c r="F872"/>
  <c r="G872" s="1"/>
  <c r="F601"/>
  <c r="G601" s="1"/>
  <c r="E704" i="195"/>
  <c r="F704" s="1"/>
  <c r="J704" s="1"/>
  <c r="F593" i="305"/>
  <c r="G593" s="1"/>
  <c r="F544"/>
  <c r="G544" s="1"/>
  <c r="F540"/>
  <c r="G540" s="1"/>
  <c r="I591" i="309"/>
  <c r="I554"/>
  <c r="J763"/>
  <c r="E763"/>
  <c r="F763" s="1"/>
  <c r="J783"/>
  <c r="E783"/>
  <c r="F783" s="1"/>
  <c r="J827"/>
  <c r="E827"/>
  <c r="F827" s="1"/>
  <c r="J815"/>
  <c r="E815"/>
  <c r="F815" s="1"/>
  <c r="J835"/>
  <c r="E835"/>
  <c r="F835" s="1"/>
  <c r="J887"/>
  <c r="E887"/>
  <c r="F887" s="1"/>
  <c r="I799"/>
  <c r="I875"/>
  <c r="I883"/>
  <c r="I767"/>
  <c r="I787"/>
  <c r="I775"/>
  <c r="I907"/>
  <c r="I843"/>
  <c r="I759"/>
  <c r="I867"/>
  <c r="I903"/>
  <c r="I779"/>
  <c r="I747"/>
  <c r="I839"/>
  <c r="I803"/>
  <c r="I811"/>
  <c r="I871"/>
  <c r="I831"/>
  <c r="I879"/>
  <c r="I863"/>
  <c r="I859"/>
  <c r="I847"/>
  <c r="I807"/>
  <c r="I855"/>
  <c r="I895"/>
  <c r="I751"/>
  <c r="I791"/>
  <c r="J755"/>
  <c r="E755"/>
  <c r="F755" s="1"/>
  <c r="J771"/>
  <c r="E771"/>
  <c r="F771" s="1"/>
  <c r="J819"/>
  <c r="E819"/>
  <c r="F819" s="1"/>
  <c r="J851"/>
  <c r="E851"/>
  <c r="F851" s="1"/>
  <c r="J823"/>
  <c r="E823"/>
  <c r="F823" s="1"/>
  <c r="J899"/>
  <c r="E899"/>
  <c r="F899" s="1"/>
  <c r="J678"/>
  <c r="E678"/>
  <c r="F678" s="1"/>
  <c r="E653"/>
  <c r="F653" s="1"/>
  <c r="J653"/>
  <c r="E649"/>
  <c r="F649" s="1"/>
  <c r="J649"/>
  <c r="E624"/>
  <c r="F624" s="1"/>
  <c r="J624"/>
  <c r="E697"/>
  <c r="F697" s="1"/>
  <c r="J697"/>
  <c r="E717"/>
  <c r="F717" s="1"/>
  <c r="J717"/>
  <c r="E729"/>
  <c r="F729" s="1"/>
  <c r="J729"/>
  <c r="E674"/>
  <c r="F674" s="1"/>
  <c r="J674"/>
  <c r="E665"/>
  <c r="F665" s="1"/>
  <c r="J665"/>
  <c r="E628"/>
  <c r="F628" s="1"/>
  <c r="J628"/>
  <c r="E701"/>
  <c r="F701" s="1"/>
  <c r="J701"/>
  <c r="E733"/>
  <c r="F733" s="1"/>
  <c r="J733"/>
  <c r="E737"/>
  <c r="F737" s="1"/>
  <c r="J737"/>
  <c r="F687" i="305"/>
  <c r="G687" s="1"/>
  <c r="F667"/>
  <c r="G667" s="1"/>
  <c r="I713" i="140"/>
  <c r="J713" s="1"/>
  <c r="L713" s="1"/>
  <c r="F707" i="305"/>
  <c r="J707" s="1"/>
  <c r="I713" i="309"/>
  <c r="I670"/>
  <c r="I691"/>
  <c r="E682"/>
  <c r="F682" s="1"/>
  <c r="J682"/>
  <c r="E661"/>
  <c r="F661" s="1"/>
  <c r="J661"/>
  <c r="E632"/>
  <c r="F632" s="1"/>
  <c r="J632"/>
  <c r="E641"/>
  <c r="F641" s="1"/>
  <c r="J641"/>
  <c r="E705"/>
  <c r="F705" s="1"/>
  <c r="J705"/>
  <c r="E721"/>
  <c r="F721" s="1"/>
  <c r="J721"/>
  <c r="E741"/>
  <c r="F741" s="1"/>
  <c r="J741"/>
  <c r="E657"/>
  <c r="F657" s="1"/>
  <c r="J657"/>
  <c r="E645"/>
  <c r="F645" s="1"/>
  <c r="J645"/>
  <c r="E636"/>
  <c r="F636" s="1"/>
  <c r="J636"/>
  <c r="E709"/>
  <c r="F709" s="1"/>
  <c r="J709"/>
  <c r="E725"/>
  <c r="F725" s="1"/>
  <c r="J725"/>
  <c r="E686"/>
  <c r="F686" s="1"/>
  <c r="J686"/>
  <c r="M2631" i="132"/>
  <c r="E672" i="195"/>
  <c r="F672" s="1"/>
  <c r="J672" s="1"/>
  <c r="K2091" i="132"/>
  <c r="M2091" s="1"/>
  <c r="K2010"/>
  <c r="M2010" s="1"/>
  <c r="J571" i="309"/>
  <c r="E571"/>
  <c r="F571" s="1"/>
  <c r="J579"/>
  <c r="E579"/>
  <c r="F579" s="1"/>
  <c r="I546"/>
  <c r="I562"/>
  <c r="I542"/>
  <c r="K2066" i="132"/>
  <c r="M2066" s="1"/>
  <c r="K2054"/>
  <c r="M2054" s="1"/>
  <c r="J575" i="309"/>
  <c r="E575"/>
  <c r="F575" s="1"/>
  <c r="I603"/>
  <c r="I595"/>
  <c r="K2120" i="132"/>
  <c r="F605" i="305" s="1"/>
  <c r="G605" s="1"/>
  <c r="K2128" i="132"/>
  <c r="E619" i="309"/>
  <c r="F619" s="1"/>
  <c r="J619"/>
  <c r="S32" i="211"/>
  <c r="N32"/>
  <c r="O210" i="309"/>
  <c r="O222"/>
  <c r="O226"/>
  <c r="O218"/>
  <c r="O230"/>
  <c r="F511" i="305"/>
  <c r="G511" s="1"/>
  <c r="I513" i="309"/>
  <c r="K210"/>
  <c r="L210"/>
  <c r="L222"/>
  <c r="K222"/>
  <c r="L226"/>
  <c r="K226"/>
  <c r="L218"/>
  <c r="K218"/>
  <c r="L230"/>
  <c r="K230"/>
  <c r="F374" i="305"/>
  <c r="G374" s="1"/>
  <c r="I376" i="309"/>
  <c r="F515" i="305"/>
  <c r="G515" s="1"/>
  <c r="I517" i="309"/>
  <c r="J25"/>
  <c r="E25"/>
  <c r="F25" s="1"/>
  <c r="J29"/>
  <c r="E29"/>
  <c r="F29" s="1"/>
  <c r="J38"/>
  <c r="E38"/>
  <c r="F38" s="1"/>
  <c r="J214"/>
  <c r="K725" i="140"/>
  <c r="L725"/>
  <c r="K721"/>
  <c r="L721"/>
  <c r="R229" i="211"/>
  <c r="R231" s="1"/>
  <c r="G387" i="214"/>
  <c r="E389" s="1"/>
  <c r="F389" s="1"/>
  <c r="M1378" i="192"/>
  <c r="F370" i="305"/>
  <c r="G370" s="1"/>
  <c r="K628" i="140"/>
  <c r="L628"/>
  <c r="K636"/>
  <c r="L636"/>
  <c r="K632"/>
  <c r="L632"/>
  <c r="K641"/>
  <c r="L641"/>
  <c r="M37" i="211"/>
  <c r="I546" i="140"/>
  <c r="J546" s="1"/>
  <c r="I562"/>
  <c r="J562" s="1"/>
  <c r="I591"/>
  <c r="J591" s="1"/>
  <c r="K591" s="1"/>
  <c r="I670"/>
  <c r="J670" s="1"/>
  <c r="K670" s="1"/>
  <c r="E749" i="195"/>
  <c r="F749" s="1"/>
  <c r="J749" s="1"/>
  <c r="I603" i="140"/>
  <c r="J603" s="1"/>
  <c r="L603" s="1"/>
  <c r="I767"/>
  <c r="J767" s="1"/>
  <c r="E857" i="195"/>
  <c r="F857" s="1"/>
  <c r="J857" s="1"/>
  <c r="E599"/>
  <c r="F599" s="1"/>
  <c r="J599" s="1"/>
  <c r="E664"/>
  <c r="F664" s="1"/>
  <c r="J664" s="1"/>
  <c r="E551"/>
  <c r="F551" s="1"/>
  <c r="J551" s="1"/>
  <c r="E757"/>
  <c r="F757" s="1"/>
  <c r="J757" s="1"/>
  <c r="I759" i="140"/>
  <c r="J759" s="1"/>
  <c r="I867"/>
  <c r="J867" s="1"/>
  <c r="K867" s="1"/>
  <c r="I843"/>
  <c r="J843" s="1"/>
  <c r="K843" s="1"/>
  <c r="E587" i="195"/>
  <c r="F587" s="1"/>
  <c r="J587" s="1"/>
  <c r="E547"/>
  <c r="F547" s="1"/>
  <c r="J547" s="1"/>
  <c r="E559"/>
  <c r="F559" s="1"/>
  <c r="J559" s="1"/>
  <c r="E543"/>
  <c r="F543" s="1"/>
  <c r="J543" s="1"/>
  <c r="L571" i="140"/>
  <c r="K579"/>
  <c r="L579"/>
  <c r="K222"/>
  <c r="L222"/>
  <c r="K783"/>
  <c r="L783"/>
  <c r="K887"/>
  <c r="L887"/>
  <c r="K851"/>
  <c r="L851"/>
  <c r="K771"/>
  <c r="L771"/>
  <c r="K763"/>
  <c r="L763"/>
  <c r="K705"/>
  <c r="L705"/>
  <c r="K729"/>
  <c r="L729"/>
  <c r="K697"/>
  <c r="L697"/>
  <c r="K657"/>
  <c r="L657"/>
  <c r="K737"/>
  <c r="L737"/>
  <c r="K682"/>
  <c r="L682"/>
  <c r="K661"/>
  <c r="L661"/>
  <c r="K624"/>
  <c r="L624"/>
  <c r="K717"/>
  <c r="L717"/>
  <c r="K686"/>
  <c r="L686"/>
  <c r="K649"/>
  <c r="L649"/>
  <c r="K575"/>
  <c r="L575"/>
  <c r="K226"/>
  <c r="L226"/>
  <c r="K206"/>
  <c r="L206"/>
  <c r="K230"/>
  <c r="L230"/>
  <c r="K827"/>
  <c r="L827"/>
  <c r="K819"/>
  <c r="L819"/>
  <c r="K899"/>
  <c r="L899"/>
  <c r="K823"/>
  <c r="L823"/>
  <c r="K815"/>
  <c r="L815"/>
  <c r="K835"/>
  <c r="L835"/>
  <c r="K210"/>
  <c r="L210"/>
  <c r="K701"/>
  <c r="L701"/>
  <c r="K653"/>
  <c r="L653"/>
  <c r="K741"/>
  <c r="L741"/>
  <c r="K674"/>
  <c r="L674"/>
  <c r="K733"/>
  <c r="L733"/>
  <c r="K709"/>
  <c r="L709"/>
  <c r="K665"/>
  <c r="L665"/>
  <c r="K645"/>
  <c r="L645"/>
  <c r="P231" i="211"/>
  <c r="G57" i="214"/>
  <c r="G58" s="1"/>
  <c r="O575" i="140"/>
  <c r="O222"/>
  <c r="O783"/>
  <c r="O887"/>
  <c r="O851"/>
  <c r="O771"/>
  <c r="O763"/>
  <c r="O705"/>
  <c r="O697"/>
  <c r="O632"/>
  <c r="O657"/>
  <c r="O737"/>
  <c r="O682"/>
  <c r="O661"/>
  <c r="O624"/>
  <c r="O717"/>
  <c r="O686"/>
  <c r="O649"/>
  <c r="O641"/>
  <c r="O571"/>
  <c r="O579"/>
  <c r="O226"/>
  <c r="O206"/>
  <c r="O230"/>
  <c r="O827"/>
  <c r="O819"/>
  <c r="O899"/>
  <c r="O823"/>
  <c r="O815"/>
  <c r="O835"/>
  <c r="O210"/>
  <c r="O701"/>
  <c r="O653"/>
  <c r="O628"/>
  <c r="O674"/>
  <c r="O636"/>
  <c r="O709"/>
  <c r="O665"/>
  <c r="O645"/>
  <c r="D95" i="165"/>
  <c r="F89" i="139" s="1"/>
  <c r="G89" s="1"/>
  <c r="F88"/>
  <c r="G88" s="1"/>
  <c r="O231" i="211"/>
  <c r="C21" i="165"/>
  <c r="F57" i="139"/>
  <c r="F46"/>
  <c r="F36"/>
  <c r="K158" i="196"/>
  <c r="F142"/>
  <c r="I142" s="1"/>
  <c r="F134"/>
  <c r="I134" s="1"/>
  <c r="F138"/>
  <c r="K138" s="1"/>
  <c r="M44" i="211"/>
  <c r="F154" i="196"/>
  <c r="K154" s="1"/>
  <c r="F130"/>
  <c r="I130" s="1"/>
  <c r="M39" i="211"/>
  <c r="S24"/>
  <c r="M43"/>
  <c r="F78" i="196"/>
  <c r="K78" s="1"/>
  <c r="I18" i="211"/>
  <c r="F102" i="196"/>
  <c r="K102" s="1"/>
  <c r="H99" i="216"/>
  <c r="F50" i="196"/>
  <c r="O50" s="1"/>
  <c r="F106"/>
  <c r="K106" s="1"/>
  <c r="F66"/>
  <c r="L66" s="1"/>
  <c r="S38" i="211"/>
  <c r="M38"/>
  <c r="F16"/>
  <c r="I16" s="1"/>
  <c r="F162" i="196"/>
  <c r="I162" s="1"/>
  <c r="F26" i="211"/>
  <c r="M26" s="1"/>
  <c r="L21"/>
  <c r="S21"/>
  <c r="I21"/>
  <c r="F46" i="196"/>
  <c r="L46" s="1"/>
  <c r="F150"/>
  <c r="I150" s="1"/>
  <c r="F90"/>
  <c r="I90" s="1"/>
  <c r="F45" i="211"/>
  <c r="F42"/>
  <c r="F41"/>
  <c r="F146" i="196"/>
  <c r="K146" s="1"/>
  <c r="S13" i="211"/>
  <c r="F36"/>
  <c r="F74" i="196"/>
  <c r="I74" s="1"/>
  <c r="F29" i="211"/>
  <c r="F30"/>
  <c r="I13"/>
  <c r="S23"/>
  <c r="F82" i="196"/>
  <c r="K82" s="1"/>
  <c r="F15" i="211"/>
  <c r="F20"/>
  <c r="F19"/>
  <c r="D58" i="196"/>
  <c r="F58" s="1"/>
  <c r="D62"/>
  <c r="F62" s="1"/>
  <c r="F42"/>
  <c r="O42" s="1"/>
  <c r="L54"/>
  <c r="M25" i="211"/>
  <c r="K25"/>
  <c r="K48" s="1"/>
  <c r="S25"/>
  <c r="I86" i="196"/>
  <c r="K86"/>
  <c r="I38"/>
  <c r="I34"/>
  <c r="L14" i="211"/>
  <c r="I14"/>
  <c r="L38" i="196"/>
  <c r="O38"/>
  <c r="L34"/>
  <c r="O34"/>
  <c r="L11" i="211"/>
  <c r="I11"/>
  <c r="S11"/>
  <c r="O26" i="196"/>
  <c r="L26"/>
  <c r="H10" i="211"/>
  <c r="H48" s="1"/>
  <c r="H229" s="1"/>
  <c r="S10"/>
  <c r="L10"/>
  <c r="F28" i="195"/>
  <c r="J28" s="1"/>
  <c r="F24"/>
  <c r="J24" s="1"/>
  <c r="M22" i="196"/>
  <c r="I22"/>
  <c r="O22"/>
  <c r="L17" i="211"/>
  <c r="I114" i="196"/>
  <c r="K114"/>
  <c r="S40" i="211"/>
  <c r="J619" i="140"/>
  <c r="F615" i="195"/>
  <c r="J615" s="1"/>
  <c r="E373"/>
  <c r="F373" s="1"/>
  <c r="J373" s="1"/>
  <c r="I376" i="140"/>
  <c r="M1461" i="192"/>
  <c r="M906" i="194"/>
  <c r="E514" i="195"/>
  <c r="F514" s="1"/>
  <c r="J514" s="1"/>
  <c r="I517" i="140"/>
  <c r="J214"/>
  <c r="I372"/>
  <c r="E369" i="195"/>
  <c r="F369" s="1"/>
  <c r="J369" s="1"/>
  <c r="M871" i="194"/>
  <c r="E510" i="195"/>
  <c r="F510" s="1"/>
  <c r="J510" s="1"/>
  <c r="I513" i="140"/>
  <c r="Q46" i="196"/>
  <c r="Q50"/>
  <c r="J29" i="140"/>
  <c r="J25"/>
  <c r="F170" i="196"/>
  <c r="P170" s="1"/>
  <c r="P176" s="1"/>
  <c r="I98"/>
  <c r="K98"/>
  <c r="I110"/>
  <c r="I126"/>
  <c r="K126"/>
  <c r="I94"/>
  <c r="K94"/>
  <c r="I18"/>
  <c r="M18"/>
  <c r="O18"/>
  <c r="L70"/>
  <c r="O70"/>
  <c r="I70"/>
  <c r="I122"/>
  <c r="K122"/>
  <c r="J538" i="140"/>
  <c r="F22" i="165"/>
  <c r="T18" i="211"/>
  <c r="S17"/>
  <c r="F416" i="214"/>
  <c r="G416" s="1"/>
  <c r="G422" s="1"/>
  <c r="F572"/>
  <c r="G572" s="1"/>
  <c r="G578" s="1"/>
  <c r="F257"/>
  <c r="G257" s="1"/>
  <c r="G166"/>
  <c r="E376"/>
  <c r="F372"/>
  <c r="F464"/>
  <c r="G464" s="1"/>
  <c r="G469" s="1"/>
  <c r="F448"/>
  <c r="G448" s="1"/>
  <c r="G453" s="1"/>
  <c r="F609"/>
  <c r="G609" s="1"/>
  <c r="G589"/>
  <c r="F590"/>
  <c r="G590" s="1"/>
  <c r="F629"/>
  <c r="G608"/>
  <c r="G516"/>
  <c r="F519"/>
  <c r="G519" s="1"/>
  <c r="G497"/>
  <c r="F517"/>
  <c r="F500"/>
  <c r="G500" s="1"/>
  <c r="G750"/>
  <c r="F751"/>
  <c r="G751" s="1"/>
  <c r="F669"/>
  <c r="G669" s="1"/>
  <c r="G668"/>
  <c r="E311"/>
  <c r="G311" s="1"/>
  <c r="G310"/>
  <c r="F810"/>
  <c r="F811" s="1"/>
  <c r="K1302" i="192" s="1"/>
  <c r="G808" i="214"/>
  <c r="G810" s="1"/>
  <c r="G811" s="1"/>
  <c r="K839" i="194" s="1"/>
  <c r="G711" i="214"/>
  <c r="F406"/>
  <c r="F410" s="1"/>
  <c r="F411" s="1"/>
  <c r="K487" i="192" s="1"/>
  <c r="G406" i="214"/>
  <c r="G410" s="1"/>
  <c r="G411" s="1"/>
  <c r="K328" i="194" s="1"/>
  <c r="E406" i="214"/>
  <c r="E410" s="1"/>
  <c r="E411" s="1"/>
  <c r="F557"/>
  <c r="G557" s="1"/>
  <c r="G563" s="1"/>
  <c r="F537"/>
  <c r="G537" s="1"/>
  <c r="F480"/>
  <c r="G480" s="1"/>
  <c r="G485" s="1"/>
  <c r="F432"/>
  <c r="G432" s="1"/>
  <c r="G437" s="1"/>
  <c r="F97"/>
  <c r="G97" s="1"/>
  <c r="G85"/>
  <c r="G92" s="1"/>
  <c r="F667"/>
  <c r="G667" s="1"/>
  <c r="G666"/>
  <c r="E20" i="212"/>
  <c r="F19"/>
  <c r="L19" s="1"/>
  <c r="E36" i="214" s="1"/>
  <c r="F36" s="1"/>
  <c r="F607"/>
  <c r="G607" s="1"/>
  <c r="G591"/>
  <c r="F647"/>
  <c r="G647" s="1"/>
  <c r="G632"/>
  <c r="G277"/>
  <c r="G282" s="1"/>
  <c r="E284" s="1"/>
  <c r="F795"/>
  <c r="F796" s="1"/>
  <c r="K1250" i="192" s="1"/>
  <c r="G793" i="214"/>
  <c r="G795" s="1"/>
  <c r="G796" s="1"/>
  <c r="K807" i="194" s="1"/>
  <c r="G693" i="214"/>
  <c r="G728"/>
  <c r="H80" i="216"/>
  <c r="G104" i="214" l="1"/>
  <c r="O9" i="140"/>
  <c r="L9"/>
  <c r="L13" i="309"/>
  <c r="E393" i="214"/>
  <c r="M1583" i="132"/>
  <c r="E184" i="195"/>
  <c r="F184" s="1"/>
  <c r="J184" s="1"/>
  <c r="E372" i="309"/>
  <c r="F372" s="1"/>
  <c r="K372" s="1"/>
  <c r="K799" i="140"/>
  <c r="O13" i="309"/>
  <c r="I190"/>
  <c r="E190" s="1"/>
  <c r="F190" s="1"/>
  <c r="I202" i="140"/>
  <c r="J202" s="1"/>
  <c r="K202" s="1"/>
  <c r="I198"/>
  <c r="J198" s="1"/>
  <c r="K198" s="1"/>
  <c r="I198" i="309"/>
  <c r="J198" s="1"/>
  <c r="E188" i="195"/>
  <c r="F188" s="1"/>
  <c r="J188" s="1"/>
  <c r="F197" i="305"/>
  <c r="G197" s="1"/>
  <c r="I194" i="140"/>
  <c r="J194" s="1"/>
  <c r="K194" s="1"/>
  <c r="O755"/>
  <c r="F193" i="305"/>
  <c r="G193" s="1"/>
  <c r="M1626" i="132"/>
  <c r="K9" i="309"/>
  <c r="F189" i="305"/>
  <c r="G189" s="1"/>
  <c r="F585"/>
  <c r="G585" s="1"/>
  <c r="J206" i="309"/>
  <c r="M1785" i="132"/>
  <c r="I190" i="140"/>
  <c r="J190" s="1"/>
  <c r="O595"/>
  <c r="F564" i="305"/>
  <c r="G564" s="1"/>
  <c r="I202" i="309"/>
  <c r="E202" s="1"/>
  <c r="F202" s="1"/>
  <c r="O678" i="140"/>
  <c r="E192" i="195"/>
  <c r="F192" s="1"/>
  <c r="J192" s="1"/>
  <c r="I587" i="140"/>
  <c r="J587" s="1"/>
  <c r="E194" i="309"/>
  <c r="F194" s="1"/>
  <c r="J194"/>
  <c r="K96" i="132"/>
  <c r="F17" i="305" s="1"/>
  <c r="G17" s="1"/>
  <c r="K872" i="132"/>
  <c r="M872" s="1"/>
  <c r="K753"/>
  <c r="I106" i="309" s="1"/>
  <c r="K223" i="132"/>
  <c r="F33" i="305" s="1"/>
  <c r="G33" s="1"/>
  <c r="K137" i="132"/>
  <c r="F21" i="305" s="1"/>
  <c r="G21" s="1"/>
  <c r="K820" i="132"/>
  <c r="E108" i="195" s="1"/>
  <c r="F108" s="1"/>
  <c r="J108" s="1"/>
  <c r="O9" i="309"/>
  <c r="K691" i="140"/>
  <c r="L9" i="309"/>
  <c r="K903" i="140"/>
  <c r="K595"/>
  <c r="M2128" i="132"/>
  <c r="I509" i="309"/>
  <c r="J509" s="1"/>
  <c r="M2120" i="132"/>
  <c r="E563" i="195"/>
  <c r="F563" s="1"/>
  <c r="J563" s="1"/>
  <c r="K678" i="140"/>
  <c r="K755"/>
  <c r="K713"/>
  <c r="E523" i="195"/>
  <c r="F523" s="1"/>
  <c r="J523" s="1"/>
  <c r="I611" i="140"/>
  <c r="J611" s="1"/>
  <c r="K611" s="1"/>
  <c r="O691"/>
  <c r="E583" i="195"/>
  <c r="F583" s="1"/>
  <c r="J583" s="1"/>
  <c r="L859" i="140"/>
  <c r="K859"/>
  <c r="O903"/>
  <c r="E555" i="195"/>
  <c r="F555" s="1"/>
  <c r="J555" s="1"/>
  <c r="F609" i="305"/>
  <c r="G609" s="1"/>
  <c r="I566" i="140"/>
  <c r="J566" s="1"/>
  <c r="O799"/>
  <c r="F524" i="305"/>
  <c r="G524" s="1"/>
  <c r="K678" i="309"/>
  <c r="F556" i="305"/>
  <c r="G556" s="1"/>
  <c r="I558" i="309"/>
  <c r="I566"/>
  <c r="O579"/>
  <c r="O571"/>
  <c r="O737"/>
  <c r="O701"/>
  <c r="O628"/>
  <c r="O665"/>
  <c r="O674"/>
  <c r="O717"/>
  <c r="O697"/>
  <c r="O624"/>
  <c r="O649"/>
  <c r="O653"/>
  <c r="O678"/>
  <c r="O887"/>
  <c r="O835"/>
  <c r="O815"/>
  <c r="O827"/>
  <c r="O783"/>
  <c r="O763"/>
  <c r="J591"/>
  <c r="E591"/>
  <c r="F591" s="1"/>
  <c r="J554"/>
  <c r="E554"/>
  <c r="F554" s="1"/>
  <c r="J791"/>
  <c r="E791"/>
  <c r="F791" s="1"/>
  <c r="J895"/>
  <c r="E895"/>
  <c r="F895" s="1"/>
  <c r="J807"/>
  <c r="E807"/>
  <c r="F807" s="1"/>
  <c r="J859"/>
  <c r="E859"/>
  <c r="F859" s="1"/>
  <c r="J879"/>
  <c r="E879"/>
  <c r="F879" s="1"/>
  <c r="J871"/>
  <c r="E871"/>
  <c r="F871" s="1"/>
  <c r="J803"/>
  <c r="E803"/>
  <c r="F803" s="1"/>
  <c r="J747"/>
  <c r="E747"/>
  <c r="F747" s="1"/>
  <c r="J903"/>
  <c r="E903"/>
  <c r="F903" s="1"/>
  <c r="J759"/>
  <c r="E759"/>
  <c r="F759" s="1"/>
  <c r="J907"/>
  <c r="E907"/>
  <c r="F907" s="1"/>
  <c r="J787"/>
  <c r="E787"/>
  <c r="F787" s="1"/>
  <c r="J883"/>
  <c r="E883"/>
  <c r="F883" s="1"/>
  <c r="J799"/>
  <c r="E799"/>
  <c r="F799" s="1"/>
  <c r="K887"/>
  <c r="L887"/>
  <c r="K835"/>
  <c r="L835"/>
  <c r="K815"/>
  <c r="L815"/>
  <c r="K827"/>
  <c r="L827"/>
  <c r="K783"/>
  <c r="L783"/>
  <c r="K763"/>
  <c r="L763"/>
  <c r="O899"/>
  <c r="O823"/>
  <c r="O851"/>
  <c r="O819"/>
  <c r="O771"/>
  <c r="O755"/>
  <c r="K899"/>
  <c r="L899"/>
  <c r="K823"/>
  <c r="L823"/>
  <c r="K851"/>
  <c r="L851"/>
  <c r="K819"/>
  <c r="L819"/>
  <c r="K771"/>
  <c r="L771"/>
  <c r="L755"/>
  <c r="K755"/>
  <c r="J751"/>
  <c r="E751"/>
  <c r="F751" s="1"/>
  <c r="J855"/>
  <c r="E855"/>
  <c r="F855" s="1"/>
  <c r="J847"/>
  <c r="E847"/>
  <c r="F847" s="1"/>
  <c r="J863"/>
  <c r="E863"/>
  <c r="F863" s="1"/>
  <c r="J831"/>
  <c r="E831"/>
  <c r="F831" s="1"/>
  <c r="J811"/>
  <c r="E811"/>
  <c r="F811" s="1"/>
  <c r="J839"/>
  <c r="E839"/>
  <c r="F839" s="1"/>
  <c r="J779"/>
  <c r="E779"/>
  <c r="F779" s="1"/>
  <c r="J867"/>
  <c r="E867"/>
  <c r="F867" s="1"/>
  <c r="J843"/>
  <c r="E843"/>
  <c r="F843" s="1"/>
  <c r="J775"/>
  <c r="E775"/>
  <c r="F775" s="1"/>
  <c r="J767"/>
  <c r="E767"/>
  <c r="F767" s="1"/>
  <c r="J875"/>
  <c r="E875"/>
  <c r="F875" s="1"/>
  <c r="K686"/>
  <c r="L686"/>
  <c r="K725"/>
  <c r="L725"/>
  <c r="L709"/>
  <c r="K709"/>
  <c r="L636"/>
  <c r="K636"/>
  <c r="L645"/>
  <c r="K645"/>
  <c r="K657"/>
  <c r="L657"/>
  <c r="K741"/>
  <c r="L741"/>
  <c r="L721"/>
  <c r="K721"/>
  <c r="K705"/>
  <c r="L705"/>
  <c r="K641"/>
  <c r="L641"/>
  <c r="K632"/>
  <c r="L632"/>
  <c r="L661"/>
  <c r="K661"/>
  <c r="L682"/>
  <c r="K682"/>
  <c r="J691"/>
  <c r="E691"/>
  <c r="F691" s="1"/>
  <c r="J713"/>
  <c r="E713"/>
  <c r="F713" s="1"/>
  <c r="J670"/>
  <c r="E670"/>
  <c r="F670" s="1"/>
  <c r="L737"/>
  <c r="K737"/>
  <c r="K733"/>
  <c r="L733"/>
  <c r="K701"/>
  <c r="L701"/>
  <c r="L628"/>
  <c r="K628"/>
  <c r="K665"/>
  <c r="L665"/>
  <c r="K674"/>
  <c r="L674"/>
  <c r="L729"/>
  <c r="K729"/>
  <c r="L717"/>
  <c r="K717"/>
  <c r="K697"/>
  <c r="L697"/>
  <c r="L624"/>
  <c r="K624"/>
  <c r="K649"/>
  <c r="L649"/>
  <c r="L653"/>
  <c r="K653"/>
  <c r="O713" i="140"/>
  <c r="L678" i="309"/>
  <c r="O686"/>
  <c r="O709"/>
  <c r="O636"/>
  <c r="O645"/>
  <c r="O657"/>
  <c r="O705"/>
  <c r="O641"/>
  <c r="O632"/>
  <c r="O661"/>
  <c r="O682"/>
  <c r="K2030" i="132"/>
  <c r="M2030" s="1"/>
  <c r="J542" i="309"/>
  <c r="E542"/>
  <c r="F542" s="1"/>
  <c r="J546"/>
  <c r="E546"/>
  <c r="F546" s="1"/>
  <c r="K579"/>
  <c r="L579"/>
  <c r="K571"/>
  <c r="L571"/>
  <c r="O575"/>
  <c r="I526"/>
  <c r="I587"/>
  <c r="K2025" i="132"/>
  <c r="M2025" s="1"/>
  <c r="K575" i="309"/>
  <c r="L575"/>
  <c r="J562"/>
  <c r="E562"/>
  <c r="F562" s="1"/>
  <c r="J603"/>
  <c r="E603"/>
  <c r="F603" s="1"/>
  <c r="O619"/>
  <c r="I611"/>
  <c r="I607"/>
  <c r="K619"/>
  <c r="L619"/>
  <c r="E595"/>
  <c r="F595" s="1"/>
  <c r="J595"/>
  <c r="O214"/>
  <c r="O38"/>
  <c r="O372"/>
  <c r="O29"/>
  <c r="F362" i="305"/>
  <c r="G362" s="1"/>
  <c r="I364" i="309"/>
  <c r="F290" i="305"/>
  <c r="G290" s="1"/>
  <c r="I292" i="309"/>
  <c r="K214"/>
  <c r="L214"/>
  <c r="L38"/>
  <c r="K38"/>
  <c r="K29"/>
  <c r="L29"/>
  <c r="L25"/>
  <c r="K25"/>
  <c r="F503" i="305"/>
  <c r="G503" s="1"/>
  <c r="I505" i="309"/>
  <c r="F435" i="305"/>
  <c r="G435" s="1"/>
  <c r="I437" i="309"/>
  <c r="F366" i="305"/>
  <c r="G366" s="1"/>
  <c r="I368" i="309"/>
  <c r="J517"/>
  <c r="E517"/>
  <c r="F517" s="1"/>
  <c r="J376"/>
  <c r="E376"/>
  <c r="F376" s="1"/>
  <c r="J513"/>
  <c r="E513"/>
  <c r="F513" s="1"/>
  <c r="O25"/>
  <c r="C185" i="196"/>
  <c r="K229" i="211"/>
  <c r="K231" s="1"/>
  <c r="I509" i="140"/>
  <c r="J509" s="1"/>
  <c r="K509" s="1"/>
  <c r="F507" i="305"/>
  <c r="G507" s="1"/>
  <c r="O591" i="140"/>
  <c r="L670"/>
  <c r="L591"/>
  <c r="O670"/>
  <c r="O867"/>
  <c r="K603"/>
  <c r="I607"/>
  <c r="J607" s="1"/>
  <c r="K607" s="1"/>
  <c r="O603"/>
  <c r="O843"/>
  <c r="L867"/>
  <c r="L843"/>
  <c r="E607" i="195"/>
  <c r="F607" s="1"/>
  <c r="J607" s="1"/>
  <c r="E603"/>
  <c r="F603" s="1"/>
  <c r="J603" s="1"/>
  <c r="I526" i="140"/>
  <c r="J526" s="1"/>
  <c r="K526" s="1"/>
  <c r="I558"/>
  <c r="J558" s="1"/>
  <c r="L558" s="1"/>
  <c r="I138" i="196"/>
  <c r="K542" i="140"/>
  <c r="L542"/>
  <c r="K562"/>
  <c r="L562"/>
  <c r="L29"/>
  <c r="K29"/>
  <c r="K554"/>
  <c r="L554"/>
  <c r="K25"/>
  <c r="L25"/>
  <c r="K38"/>
  <c r="L38"/>
  <c r="K863"/>
  <c r="L863"/>
  <c r="K811"/>
  <c r="L811"/>
  <c r="K847"/>
  <c r="L847"/>
  <c r="K895"/>
  <c r="L895"/>
  <c r="K791"/>
  <c r="L791"/>
  <c r="K831"/>
  <c r="L831"/>
  <c r="K787"/>
  <c r="L787"/>
  <c r="K779"/>
  <c r="L779"/>
  <c r="K839"/>
  <c r="L839"/>
  <c r="K619"/>
  <c r="L619"/>
  <c r="K875"/>
  <c r="L875"/>
  <c r="K538"/>
  <c r="L538"/>
  <c r="K546"/>
  <c r="L546"/>
  <c r="K214"/>
  <c r="L214"/>
  <c r="K775"/>
  <c r="L775"/>
  <c r="K803"/>
  <c r="L803"/>
  <c r="K879"/>
  <c r="L879"/>
  <c r="K807"/>
  <c r="L807"/>
  <c r="L751"/>
  <c r="K871"/>
  <c r="L871"/>
  <c r="K907"/>
  <c r="L907"/>
  <c r="K855"/>
  <c r="L855"/>
  <c r="K747"/>
  <c r="L747"/>
  <c r="K759"/>
  <c r="L759"/>
  <c r="K883"/>
  <c r="L883"/>
  <c r="K767"/>
  <c r="L767"/>
  <c r="G99" i="139"/>
  <c r="O542" i="140"/>
  <c r="O538"/>
  <c r="O562"/>
  <c r="O546"/>
  <c r="O29"/>
  <c r="O214"/>
  <c r="O863"/>
  <c r="O811"/>
  <c r="O847"/>
  <c r="O895"/>
  <c r="O791"/>
  <c r="O831"/>
  <c r="O787"/>
  <c r="O779"/>
  <c r="O839"/>
  <c r="O619"/>
  <c r="O875"/>
  <c r="O554"/>
  <c r="O25"/>
  <c r="O38"/>
  <c r="O775"/>
  <c r="O803"/>
  <c r="O879"/>
  <c r="O807"/>
  <c r="O751"/>
  <c r="O871"/>
  <c r="O907"/>
  <c r="O855"/>
  <c r="O747"/>
  <c r="O759"/>
  <c r="O883"/>
  <c r="O767"/>
  <c r="C78" i="165"/>
  <c r="E36" i="139"/>
  <c r="E40" s="1"/>
  <c r="J178" i="196" s="1"/>
  <c r="C25" i="165"/>
  <c r="K134" i="196"/>
  <c r="I154"/>
  <c r="K142"/>
  <c r="K130"/>
  <c r="M176"/>
  <c r="O66"/>
  <c r="I102"/>
  <c r="K90"/>
  <c r="I78"/>
  <c r="I106"/>
  <c r="L50"/>
  <c r="I66"/>
  <c r="K162"/>
  <c r="I46"/>
  <c r="O46"/>
  <c r="K150"/>
  <c r="S16" i="211"/>
  <c r="L16"/>
  <c r="S26"/>
  <c r="Q26"/>
  <c r="L74" i="196"/>
  <c r="I146"/>
  <c r="M45" i="211"/>
  <c r="S45"/>
  <c r="S42"/>
  <c r="M42"/>
  <c r="S41"/>
  <c r="M41"/>
  <c r="O74" i="196"/>
  <c r="L36" i="211"/>
  <c r="S36"/>
  <c r="I36"/>
  <c r="L42" i="196"/>
  <c r="I42"/>
  <c r="S29" i="211"/>
  <c r="M29"/>
  <c r="Q29"/>
  <c r="S30"/>
  <c r="N30"/>
  <c r="N48" s="1"/>
  <c r="I82" i="196"/>
  <c r="L15" i="211"/>
  <c r="I15"/>
  <c r="S15"/>
  <c r="I20"/>
  <c r="L20"/>
  <c r="O62" i="196"/>
  <c r="L62"/>
  <c r="O58"/>
  <c r="L58"/>
  <c r="L19" i="211"/>
  <c r="I19"/>
  <c r="G312" i="214"/>
  <c r="G313" s="1"/>
  <c r="G505"/>
  <c r="F507" s="1"/>
  <c r="F596"/>
  <c r="G596" s="1"/>
  <c r="I170" i="196"/>
  <c r="F674" i="214"/>
  <c r="G674" s="1"/>
  <c r="G675" s="1"/>
  <c r="M1250" i="192"/>
  <c r="E361" i="195"/>
  <c r="F361" s="1"/>
  <c r="J361" s="1"/>
  <c r="I364" i="140"/>
  <c r="M1302" i="192"/>
  <c r="E365" i="195"/>
  <c r="F365" s="1"/>
  <c r="J365" s="1"/>
  <c r="I368" i="140"/>
  <c r="M807" i="194"/>
  <c r="I505" i="140"/>
  <c r="E502" i="195"/>
  <c r="F502" s="1"/>
  <c r="J502" s="1"/>
  <c r="M487" i="192"/>
  <c r="E289" i="195"/>
  <c r="F289" s="1"/>
  <c r="J289" s="1"/>
  <c r="I292" i="140"/>
  <c r="M839" i="194"/>
  <c r="E506" i="195"/>
  <c r="F506" s="1"/>
  <c r="J506" s="1"/>
  <c r="J513" i="140"/>
  <c r="F615" i="214"/>
  <c r="G615" s="1"/>
  <c r="G756"/>
  <c r="E758" s="1"/>
  <c r="E760" s="1"/>
  <c r="E761" s="1"/>
  <c r="M328" i="194"/>
  <c r="I437" i="140"/>
  <c r="E434" i="195"/>
  <c r="F434" s="1"/>
  <c r="J434" s="1"/>
  <c r="Q54" i="196"/>
  <c r="I50"/>
  <c r="J372" i="140"/>
  <c r="J517"/>
  <c r="J376"/>
  <c r="F79" i="165"/>
  <c r="T19" i="211"/>
  <c r="S18"/>
  <c r="F730" i="214"/>
  <c r="F732" s="1"/>
  <c r="F733" s="1"/>
  <c r="K1182" i="192" s="1"/>
  <c r="G730" i="214"/>
  <c r="G732" s="1"/>
  <c r="G733" s="1"/>
  <c r="K757" i="194" s="1"/>
  <c r="E730" i="214"/>
  <c r="E732" s="1"/>
  <c r="E733" s="1"/>
  <c r="E286"/>
  <c r="F284"/>
  <c r="E21" i="212"/>
  <c r="F21" s="1"/>
  <c r="L21" s="1"/>
  <c r="F354" i="214" s="1"/>
  <c r="G354" s="1"/>
  <c r="G359" s="1"/>
  <c r="E22" i="212"/>
  <c r="F22" s="1"/>
  <c r="L22" s="1"/>
  <c r="F587" i="214" s="1"/>
  <c r="F20" i="212"/>
  <c r="L20" s="1"/>
  <c r="E37" i="214" s="1"/>
  <c r="F37" s="1"/>
  <c r="F38" s="1"/>
  <c r="F770" s="1"/>
  <c r="G770" s="1"/>
  <c r="G777" s="1"/>
  <c r="G487"/>
  <c r="G491" s="1"/>
  <c r="G492" s="1"/>
  <c r="E487"/>
  <c r="E491" s="1"/>
  <c r="E492" s="1"/>
  <c r="F487"/>
  <c r="F491" s="1"/>
  <c r="F492" s="1"/>
  <c r="G565"/>
  <c r="G567" s="1"/>
  <c r="G568" s="1"/>
  <c r="K222" i="194" s="1"/>
  <c r="E565" i="214"/>
  <c r="E567" s="1"/>
  <c r="E568" s="1"/>
  <c r="F565"/>
  <c r="F567" s="1"/>
  <c r="F568" s="1"/>
  <c r="K307" i="192" s="1"/>
  <c r="G517" i="214"/>
  <c r="F520"/>
  <c r="G520" s="1"/>
  <c r="G455"/>
  <c r="G459" s="1"/>
  <c r="G460" s="1"/>
  <c r="K412" i="194" s="1"/>
  <c r="E455" i="214"/>
  <c r="E459" s="1"/>
  <c r="E460" s="1"/>
  <c r="F455"/>
  <c r="F459" s="1"/>
  <c r="F460" s="1"/>
  <c r="K686" i="192" s="1"/>
  <c r="F376" i="214"/>
  <c r="K396" i="192" s="1"/>
  <c r="G372" i="214"/>
  <c r="G376" s="1"/>
  <c r="K298" i="194" s="1"/>
  <c r="F393" i="214"/>
  <c r="K356" i="192" s="1"/>
  <c r="G389" i="214"/>
  <c r="G393" s="1"/>
  <c r="K269" i="194" s="1"/>
  <c r="G580" i="214"/>
  <c r="G582" s="1"/>
  <c r="G583" s="1"/>
  <c r="K243" i="194" s="1"/>
  <c r="E580" i="214"/>
  <c r="E582" s="1"/>
  <c r="E583" s="1"/>
  <c r="F580"/>
  <c r="F582" s="1"/>
  <c r="F583" s="1"/>
  <c r="K332" i="192" s="1"/>
  <c r="F695" i="214"/>
  <c r="F697" s="1"/>
  <c r="F698" s="1"/>
  <c r="K970" i="192" s="1"/>
  <c r="G695" i="214"/>
  <c r="G697" s="1"/>
  <c r="G698" s="1"/>
  <c r="K590" i="194" s="1"/>
  <c r="E695" i="214"/>
  <c r="E697" s="1"/>
  <c r="E698" s="1"/>
  <c r="G439"/>
  <c r="G443" s="1"/>
  <c r="G444" s="1"/>
  <c r="K382" i="194" s="1"/>
  <c r="E439" i="214"/>
  <c r="E443" s="1"/>
  <c r="E444" s="1"/>
  <c r="F439"/>
  <c r="F443" s="1"/>
  <c r="F444" s="1"/>
  <c r="K621" i="192" s="1"/>
  <c r="F713" i="214"/>
  <c r="F715" s="1"/>
  <c r="F716" s="1"/>
  <c r="K1155" i="192" s="1"/>
  <c r="G713" i="214"/>
  <c r="G715" s="1"/>
  <c r="G716" s="1"/>
  <c r="K730" i="194" s="1"/>
  <c r="E713" i="214"/>
  <c r="E715" s="1"/>
  <c r="E716" s="1"/>
  <c r="F648"/>
  <c r="F630"/>
  <c r="G629"/>
  <c r="G471"/>
  <c r="G475" s="1"/>
  <c r="G476" s="1"/>
  <c r="K444" i="194" s="1"/>
  <c r="E471" i="214"/>
  <c r="E475" s="1"/>
  <c r="E476" s="1"/>
  <c r="F471"/>
  <c r="F475" s="1"/>
  <c r="F476" s="1"/>
  <c r="K718" i="192" s="1"/>
  <c r="F424" i="214"/>
  <c r="F428" s="1"/>
  <c r="K557" i="192" s="1"/>
  <c r="G424" i="214"/>
  <c r="G428" s="1"/>
  <c r="K354" i="194" s="1"/>
  <c r="E424" i="214"/>
  <c r="E428" s="1"/>
  <c r="L372" i="309" l="1"/>
  <c r="E509"/>
  <c r="F509" s="1"/>
  <c r="K509" s="1"/>
  <c r="M137" i="132"/>
  <c r="E16" i="195"/>
  <c r="F16" s="1"/>
  <c r="J16" s="1"/>
  <c r="J190" i="309"/>
  <c r="O190" s="1"/>
  <c r="E104" i="195"/>
  <c r="F104" s="1"/>
  <c r="J104" s="1"/>
  <c r="J202" i="309"/>
  <c r="O202" s="1"/>
  <c r="F105" i="305"/>
  <c r="G105" s="1"/>
  <c r="I106" i="140"/>
  <c r="J106" s="1"/>
  <c r="K106" s="1"/>
  <c r="E198" i="309"/>
  <c r="F198" s="1"/>
  <c r="K198" s="1"/>
  <c r="E32" i="195"/>
  <c r="F32" s="1"/>
  <c r="J32" s="1"/>
  <c r="L194" i="309"/>
  <c r="M223" i="132"/>
  <c r="O194" i="309"/>
  <c r="I33"/>
  <c r="J33" s="1"/>
  <c r="I33" i="140"/>
  <c r="J33" s="1"/>
  <c r="L33" s="1"/>
  <c r="E20" i="195"/>
  <c r="F20" s="1"/>
  <c r="J20" s="1"/>
  <c r="M96" i="132"/>
  <c r="K194" i="309"/>
  <c r="M753" i="132"/>
  <c r="O206" i="309"/>
  <c r="L206"/>
  <c r="K206"/>
  <c r="I110"/>
  <c r="J110" s="1"/>
  <c r="M820" i="132"/>
  <c r="I114" i="140"/>
  <c r="J114" s="1"/>
  <c r="I114" i="309"/>
  <c r="J114" s="1"/>
  <c r="E112" i="195"/>
  <c r="F112" s="1"/>
  <c r="J112" s="1"/>
  <c r="F109" i="305"/>
  <c r="G109" s="1"/>
  <c r="F113"/>
  <c r="G113" s="1"/>
  <c r="I110" i="140"/>
  <c r="J110" s="1"/>
  <c r="F528" i="305"/>
  <c r="G528" s="1"/>
  <c r="I21" i="309"/>
  <c r="J21" s="1"/>
  <c r="I17"/>
  <c r="J17" s="1"/>
  <c r="G758" i="214"/>
  <c r="G760" s="1"/>
  <c r="G761" s="1"/>
  <c r="K781" i="194" s="1"/>
  <c r="I501" i="309" s="1"/>
  <c r="I17" i="140"/>
  <c r="J17" s="1"/>
  <c r="I21"/>
  <c r="J21" s="1"/>
  <c r="K916" i="132"/>
  <c r="F117" i="305" s="1"/>
  <c r="G117" s="1"/>
  <c r="K1059" i="132"/>
  <c r="I134" i="309" s="1"/>
  <c r="K1452" i="132"/>
  <c r="F169" i="305" s="1"/>
  <c r="G169" s="1"/>
  <c r="K980" i="132"/>
  <c r="F125" i="305" s="1"/>
  <c r="G125" s="1"/>
  <c r="K1266" i="132"/>
  <c r="I150" i="309" s="1"/>
  <c r="K690" i="132"/>
  <c r="I94" i="140" s="1"/>
  <c r="K666" i="132"/>
  <c r="F89" i="305" s="1"/>
  <c r="G89" s="1"/>
  <c r="K1476" i="132"/>
  <c r="F173" i="305" s="1"/>
  <c r="G173" s="1"/>
  <c r="K1501" i="132"/>
  <c r="F177" i="305" s="1"/>
  <c r="G177" s="1"/>
  <c r="K1033" i="132"/>
  <c r="I130" i="309" s="1"/>
  <c r="K715" i="132"/>
  <c r="M715" s="1"/>
  <c r="K1989"/>
  <c r="I234" i="309" s="1"/>
  <c r="I433"/>
  <c r="E433" s="1"/>
  <c r="F433" s="1"/>
  <c r="I530" i="140"/>
  <c r="J530" s="1"/>
  <c r="O611"/>
  <c r="L611"/>
  <c r="E531" i="195"/>
  <c r="F531" s="1"/>
  <c r="J531" s="1"/>
  <c r="I534" i="140"/>
  <c r="J534" s="1"/>
  <c r="L534" s="1"/>
  <c r="F532" i="305"/>
  <c r="G532" s="1"/>
  <c r="O875" i="309"/>
  <c r="O767"/>
  <c r="O775"/>
  <c r="O843"/>
  <c r="O867"/>
  <c r="O779"/>
  <c r="O839"/>
  <c r="O811"/>
  <c r="O831"/>
  <c r="O863"/>
  <c r="O847"/>
  <c r="O855"/>
  <c r="O751"/>
  <c r="O799"/>
  <c r="O883"/>
  <c r="O787"/>
  <c r="O907"/>
  <c r="O759"/>
  <c r="O903"/>
  <c r="O747"/>
  <c r="O554"/>
  <c r="O591"/>
  <c r="E558"/>
  <c r="F558" s="1"/>
  <c r="J558"/>
  <c r="J566"/>
  <c r="E566"/>
  <c r="F566" s="1"/>
  <c r="K554"/>
  <c r="L554"/>
  <c r="K591"/>
  <c r="L591"/>
  <c r="O595"/>
  <c r="O603"/>
  <c r="O803"/>
  <c r="O871"/>
  <c r="O879"/>
  <c r="O859"/>
  <c r="O807"/>
  <c r="O895"/>
  <c r="O791"/>
  <c r="I530"/>
  <c r="O546"/>
  <c r="O542"/>
  <c r="K875"/>
  <c r="L875"/>
  <c r="K767"/>
  <c r="L767"/>
  <c r="K775"/>
  <c r="L775"/>
  <c r="K843"/>
  <c r="L843"/>
  <c r="K867"/>
  <c r="L867"/>
  <c r="K779"/>
  <c r="L779"/>
  <c r="L839"/>
  <c r="K839"/>
  <c r="L811"/>
  <c r="K811"/>
  <c r="K831"/>
  <c r="L831"/>
  <c r="L863"/>
  <c r="K863"/>
  <c r="L847"/>
  <c r="K847"/>
  <c r="K855"/>
  <c r="L855"/>
  <c r="L751"/>
  <c r="K751"/>
  <c r="L799"/>
  <c r="K799"/>
  <c r="L883"/>
  <c r="K883"/>
  <c r="L787"/>
  <c r="K787"/>
  <c r="K907"/>
  <c r="L907"/>
  <c r="K759"/>
  <c r="L759"/>
  <c r="L903"/>
  <c r="K903"/>
  <c r="K747"/>
  <c r="L747"/>
  <c r="L803"/>
  <c r="K803"/>
  <c r="L871"/>
  <c r="K871"/>
  <c r="K879"/>
  <c r="L879"/>
  <c r="K859"/>
  <c r="L859"/>
  <c r="L807"/>
  <c r="K807"/>
  <c r="K895"/>
  <c r="L895"/>
  <c r="K791"/>
  <c r="L791"/>
  <c r="K670"/>
  <c r="L670"/>
  <c r="L713"/>
  <c r="K713"/>
  <c r="L691"/>
  <c r="K691"/>
  <c r="O670"/>
  <c r="O713"/>
  <c r="O691"/>
  <c r="J587"/>
  <c r="E587"/>
  <c r="F587" s="1"/>
  <c r="K546"/>
  <c r="L546"/>
  <c r="K542"/>
  <c r="L542"/>
  <c r="O562"/>
  <c r="I534"/>
  <c r="K562"/>
  <c r="L562"/>
  <c r="J526"/>
  <c r="E526"/>
  <c r="F526" s="1"/>
  <c r="K2108" i="132"/>
  <c r="K595" i="309"/>
  <c r="L595"/>
  <c r="J607"/>
  <c r="E607"/>
  <c r="F607" s="1"/>
  <c r="L603"/>
  <c r="K603"/>
  <c r="E611"/>
  <c r="F611" s="1"/>
  <c r="J611"/>
  <c r="F133" i="305"/>
  <c r="G133" s="1"/>
  <c r="F439"/>
  <c r="G439" s="1"/>
  <c r="I441" i="309"/>
  <c r="F310" i="305"/>
  <c r="G310" s="1"/>
  <c r="I312" i="309"/>
  <c r="F451" i="305"/>
  <c r="G451" s="1"/>
  <c r="I453" i="309"/>
  <c r="F491" i="305"/>
  <c r="G491" s="1"/>
  <c r="I493" i="309"/>
  <c r="F302" i="305"/>
  <c r="G302" s="1"/>
  <c r="I304" i="309"/>
  <c r="F443" i="305"/>
  <c r="G443" s="1"/>
  <c r="I445" i="309"/>
  <c r="F471" i="305"/>
  <c r="G471" s="1"/>
  <c r="I473" i="309"/>
  <c r="J433"/>
  <c r="F427" i="305"/>
  <c r="G427" s="1"/>
  <c r="I429" i="309"/>
  <c r="F306" i="305"/>
  <c r="G306" s="1"/>
  <c r="I308" i="309"/>
  <c r="F447" i="305"/>
  <c r="G447" s="1"/>
  <c r="I449" i="309"/>
  <c r="F354" i="305"/>
  <c r="G354" s="1"/>
  <c r="I356" i="309"/>
  <c r="L513"/>
  <c r="K513"/>
  <c r="K190"/>
  <c r="K376"/>
  <c r="L376"/>
  <c r="K517"/>
  <c r="L517"/>
  <c r="L509"/>
  <c r="F294" i="305"/>
  <c r="G294" s="1"/>
  <c r="I296" i="309"/>
  <c r="F350" i="305"/>
  <c r="G350" s="1"/>
  <c r="I352" i="309"/>
  <c r="F330" i="305"/>
  <c r="G330" s="1"/>
  <c r="I332" i="309"/>
  <c r="F278" i="305"/>
  <c r="G278" s="1"/>
  <c r="I280" i="309"/>
  <c r="F423" i="305"/>
  <c r="G423" s="1"/>
  <c r="I425" i="309"/>
  <c r="F286" i="305"/>
  <c r="G286" s="1"/>
  <c r="I288" i="309"/>
  <c r="F282" i="305"/>
  <c r="G282" s="1"/>
  <c r="I284" i="309"/>
  <c r="F274" i="305"/>
  <c r="J274" s="1"/>
  <c r="J1136" s="1"/>
  <c r="I276" i="309"/>
  <c r="F419" i="305"/>
  <c r="G419" s="1"/>
  <c r="I421" i="309"/>
  <c r="F495" i="305"/>
  <c r="G495" s="1"/>
  <c r="I497" i="309"/>
  <c r="J368"/>
  <c r="E368"/>
  <c r="F368" s="1"/>
  <c r="J437"/>
  <c r="E437"/>
  <c r="F437" s="1"/>
  <c r="J505"/>
  <c r="E505"/>
  <c r="F505" s="1"/>
  <c r="J106"/>
  <c r="E106"/>
  <c r="F106" s="1"/>
  <c r="J292"/>
  <c r="E292"/>
  <c r="F292" s="1"/>
  <c r="J364"/>
  <c r="E364"/>
  <c r="F364" s="1"/>
  <c r="O513"/>
  <c r="O376"/>
  <c r="O517"/>
  <c r="O509"/>
  <c r="N229" i="211"/>
  <c r="N231" s="1"/>
  <c r="L509" i="140"/>
  <c r="K558"/>
  <c r="O509"/>
  <c r="E430" i="195"/>
  <c r="F430" s="1"/>
  <c r="J430" s="1"/>
  <c r="F431" i="305"/>
  <c r="G431" s="1"/>
  <c r="F93" i="165"/>
  <c r="L607" i="140"/>
  <c r="O607"/>
  <c r="O558"/>
  <c r="E507" i="214"/>
  <c r="E511" s="1"/>
  <c r="E512" s="1"/>
  <c r="F539" s="1"/>
  <c r="G539" s="1"/>
  <c r="G546" s="1"/>
  <c r="O526" i="140"/>
  <c r="L526"/>
  <c r="E535" i="195"/>
  <c r="F535" s="1"/>
  <c r="J535" s="1"/>
  <c r="G36" i="139"/>
  <c r="G40" s="1"/>
  <c r="Q48" i="211"/>
  <c r="M48"/>
  <c r="K376" i="140"/>
  <c r="L376"/>
  <c r="L202"/>
  <c r="L198"/>
  <c r="K517"/>
  <c r="L517"/>
  <c r="K372"/>
  <c r="L372"/>
  <c r="K190"/>
  <c r="L190"/>
  <c r="L194"/>
  <c r="K513"/>
  <c r="L513"/>
  <c r="K587"/>
  <c r="L587"/>
  <c r="K566"/>
  <c r="L566"/>
  <c r="H231" i="211"/>
  <c r="O198" i="140"/>
  <c r="O517"/>
  <c r="O372"/>
  <c r="O190"/>
  <c r="O376"/>
  <c r="O194"/>
  <c r="O202"/>
  <c r="O513"/>
  <c r="O587"/>
  <c r="O566"/>
  <c r="E77" i="139"/>
  <c r="G77" s="1"/>
  <c r="C82" i="165"/>
  <c r="K176" i="196"/>
  <c r="L176"/>
  <c r="O176"/>
  <c r="E779" i="214"/>
  <c r="E781" s="1"/>
  <c r="E782" s="1"/>
  <c r="G779"/>
  <c r="G781" s="1"/>
  <c r="G782" s="1"/>
  <c r="F779"/>
  <c r="F781" s="1"/>
  <c r="F782" s="1"/>
  <c r="D65" i="165"/>
  <c r="L48" i="211"/>
  <c r="L229" s="1"/>
  <c r="I48"/>
  <c r="I229" s="1"/>
  <c r="F758" i="214"/>
  <c r="F760" s="1"/>
  <c r="F761" s="1"/>
  <c r="K1217" i="192" s="1"/>
  <c r="G525" i="214"/>
  <c r="E527" s="1"/>
  <c r="E531" s="1"/>
  <c r="E532" s="1"/>
  <c r="F9" i="165"/>
  <c r="M557" i="192"/>
  <c r="E293" i="195"/>
  <c r="F293" s="1"/>
  <c r="J293" s="1"/>
  <c r="I296" i="140"/>
  <c r="M1155" i="192"/>
  <c r="I352" i="140"/>
  <c r="E349" i="195"/>
  <c r="F349" s="1"/>
  <c r="J349" s="1"/>
  <c r="M298" i="194"/>
  <c r="E426" i="195"/>
  <c r="F426" s="1"/>
  <c r="J426" s="1"/>
  <c r="I429" i="140"/>
  <c r="M412" i="194"/>
  <c r="E446" i="195"/>
  <c r="F446" s="1"/>
  <c r="J446" s="1"/>
  <c r="I449" i="140"/>
  <c r="M354" i="194"/>
  <c r="I441" i="140"/>
  <c r="E438" i="195"/>
  <c r="F438" s="1"/>
  <c r="J438" s="1"/>
  <c r="M718" i="192"/>
  <c r="E309" i="195"/>
  <c r="F309" s="1"/>
  <c r="J309" s="1"/>
  <c r="I312" i="140"/>
  <c r="M444" i="194"/>
  <c r="E450" i="195"/>
  <c r="F450" s="1"/>
  <c r="J450" s="1"/>
  <c r="I453" i="140"/>
  <c r="M730" i="194"/>
  <c r="E490" i="195"/>
  <c r="F490" s="1"/>
  <c r="J490" s="1"/>
  <c r="I493" i="140"/>
  <c r="M621" i="192"/>
  <c r="I304" i="140"/>
  <c r="E301" i="195"/>
  <c r="F301" s="1"/>
  <c r="J301" s="1"/>
  <c r="M382" i="194"/>
  <c r="E442" i="195"/>
  <c r="F442" s="1"/>
  <c r="J442" s="1"/>
  <c r="I445" i="140"/>
  <c r="M590" i="194"/>
  <c r="I473" i="140"/>
  <c r="E470" i="195"/>
  <c r="F470" s="1"/>
  <c r="J470" s="1"/>
  <c r="M332" i="192"/>
  <c r="E277" i="195"/>
  <c r="F277" s="1"/>
  <c r="J277" s="1"/>
  <c r="I280" i="140"/>
  <c r="M243" i="194"/>
  <c r="I425" i="140"/>
  <c r="E422" i="195"/>
  <c r="F422" s="1"/>
  <c r="J422" s="1"/>
  <c r="M356" i="192"/>
  <c r="E285" i="195"/>
  <c r="F285" s="1"/>
  <c r="J285" s="1"/>
  <c r="I288" i="140"/>
  <c r="M396" i="192"/>
  <c r="E281" i="195"/>
  <c r="F281" s="1"/>
  <c r="J281" s="1"/>
  <c r="I284" i="140"/>
  <c r="M307" i="192"/>
  <c r="E273" i="195"/>
  <c r="F273" s="1"/>
  <c r="J273" s="1"/>
  <c r="I276" i="140"/>
  <c r="M222" i="194"/>
  <c r="I421" i="140"/>
  <c r="E418" i="195"/>
  <c r="F418" s="1"/>
  <c r="J418" s="1"/>
  <c r="M757" i="194"/>
  <c r="E494" i="195"/>
  <c r="F494" s="1"/>
  <c r="J494" s="1"/>
  <c r="I497" i="140"/>
  <c r="Q58" i="196"/>
  <c r="I54"/>
  <c r="J505" i="140"/>
  <c r="M970" i="192"/>
  <c r="E329" i="195"/>
  <c r="F329" s="1"/>
  <c r="J329" s="1"/>
  <c r="I332" i="140"/>
  <c r="M269" i="194"/>
  <c r="I433" i="140"/>
  <c r="M686" i="192"/>
  <c r="I308" i="140"/>
  <c r="E305" i="195"/>
  <c r="F305" s="1"/>
  <c r="J305" s="1"/>
  <c r="M1182" i="192"/>
  <c r="E353" i="195"/>
  <c r="F353" s="1"/>
  <c r="J353" s="1"/>
  <c r="I356" i="140"/>
  <c r="J437"/>
  <c r="J292"/>
  <c r="J368"/>
  <c r="J364"/>
  <c r="T20" i="211"/>
  <c r="S20" s="1"/>
  <c r="S19"/>
  <c r="F228" i="214"/>
  <c r="G228" s="1"/>
  <c r="G238" s="1"/>
  <c r="F165"/>
  <c r="F108"/>
  <c r="F649"/>
  <c r="G649" s="1"/>
  <c r="G648"/>
  <c r="F677"/>
  <c r="F679" s="1"/>
  <c r="F680" s="1"/>
  <c r="K939" i="192" s="1"/>
  <c r="G677" i="214"/>
  <c r="G679" s="1"/>
  <c r="G680" s="1"/>
  <c r="K565" i="194" s="1"/>
  <c r="E677" i="214"/>
  <c r="E679" s="1"/>
  <c r="E680" s="1"/>
  <c r="F606"/>
  <c r="G606" s="1"/>
  <c r="G616" s="1"/>
  <c r="G587"/>
  <c r="G597" s="1"/>
  <c r="F286"/>
  <c r="K1522" i="192" s="1"/>
  <c r="G284" i="214"/>
  <c r="G286" s="1"/>
  <c r="K943" i="194" s="1"/>
  <c r="F631" i="214"/>
  <c r="G631" s="1"/>
  <c r="G630"/>
  <c r="F511"/>
  <c r="F512" s="1"/>
  <c r="K770" i="192" s="1"/>
  <c r="G507" i="214"/>
  <c r="G511" s="1"/>
  <c r="G512" s="1"/>
  <c r="K480" i="194" s="1"/>
  <c r="L202" i="309" l="1"/>
  <c r="L190"/>
  <c r="K202"/>
  <c r="E124" i="195"/>
  <c r="F124" s="1"/>
  <c r="J124" s="1"/>
  <c r="E168"/>
  <c r="F168" s="1"/>
  <c r="J168" s="1"/>
  <c r="K33" i="140"/>
  <c r="L198" i="309"/>
  <c r="O198"/>
  <c r="E33"/>
  <c r="F33" s="1"/>
  <c r="O33" s="1"/>
  <c r="M980" i="132"/>
  <c r="E232" i="195"/>
  <c r="F232" s="1"/>
  <c r="J232" s="1"/>
  <c r="M1476" i="132"/>
  <c r="I126" i="140"/>
  <c r="J126" s="1"/>
  <c r="K126" s="1"/>
  <c r="O33"/>
  <c r="I102" i="309"/>
  <c r="E102" s="1"/>
  <c r="F102" s="1"/>
  <c r="I102" i="140"/>
  <c r="J102" s="1"/>
  <c r="I90"/>
  <c r="J90" s="1"/>
  <c r="K90" s="1"/>
  <c r="M916" i="132"/>
  <c r="E100" i="195"/>
  <c r="F100" s="1"/>
  <c r="J100" s="1"/>
  <c r="M666" i="132"/>
  <c r="M1452"/>
  <c r="F101" i="305"/>
  <c r="G101" s="1"/>
  <c r="E110" i="309"/>
  <c r="F110" s="1"/>
  <c r="K110" s="1"/>
  <c r="I170"/>
  <c r="E170" s="1"/>
  <c r="F170" s="1"/>
  <c r="I90"/>
  <c r="J90" s="1"/>
  <c r="E88" i="195"/>
  <c r="F88" s="1"/>
  <c r="J88" s="1"/>
  <c r="I170" i="140"/>
  <c r="J170" s="1"/>
  <c r="E176" i="195"/>
  <c r="F176" s="1"/>
  <c r="J176" s="1"/>
  <c r="I234" i="140"/>
  <c r="J234" s="1"/>
  <c r="K234" s="1"/>
  <c r="I174"/>
  <c r="J174" s="1"/>
  <c r="E148" i="195"/>
  <c r="F148" s="1"/>
  <c r="J148" s="1"/>
  <c r="E21" i="309"/>
  <c r="F21" s="1"/>
  <c r="K21" s="1"/>
  <c r="I126"/>
  <c r="E126" s="1"/>
  <c r="F126" s="1"/>
  <c r="I174"/>
  <c r="J174" s="1"/>
  <c r="M1501" i="132"/>
  <c r="M1989"/>
  <c r="E172" i="195"/>
  <c r="F172" s="1"/>
  <c r="J172" s="1"/>
  <c r="F233" i="305"/>
  <c r="G233" s="1"/>
  <c r="I118" i="140"/>
  <c r="J118" s="1"/>
  <c r="E17" i="309"/>
  <c r="F17" s="1"/>
  <c r="L17" s="1"/>
  <c r="I118"/>
  <c r="E118" s="1"/>
  <c r="F118" s="1"/>
  <c r="I178" i="140"/>
  <c r="J178" s="1"/>
  <c r="K178" s="1"/>
  <c r="E116" i="195"/>
  <c r="F116" s="1"/>
  <c r="J116" s="1"/>
  <c r="I150" i="140"/>
  <c r="J150" s="1"/>
  <c r="M1266" i="132"/>
  <c r="F149" i="305"/>
  <c r="G149" s="1"/>
  <c r="I178" i="309"/>
  <c r="J178" s="1"/>
  <c r="I130" i="140"/>
  <c r="J130" s="1"/>
  <c r="F129" i="305"/>
  <c r="G129" s="1"/>
  <c r="E498" i="195"/>
  <c r="F498" s="1"/>
  <c r="J498" s="1"/>
  <c r="F499" i="305"/>
  <c r="G499" s="1"/>
  <c r="E114" i="309"/>
  <c r="F114" s="1"/>
  <c r="O114" s="1"/>
  <c r="E92" i="195"/>
  <c r="F92" s="1"/>
  <c r="J92" s="1"/>
  <c r="I94" i="309"/>
  <c r="E94" s="1"/>
  <c r="F94" s="1"/>
  <c r="M690" i="132"/>
  <c r="F93" i="305"/>
  <c r="G93" s="1"/>
  <c r="I134" i="140"/>
  <c r="J134" s="1"/>
  <c r="E128" i="195"/>
  <c r="F128" s="1"/>
  <c r="J128" s="1"/>
  <c r="M781" i="194"/>
  <c r="E132" i="195"/>
  <c r="F132" s="1"/>
  <c r="J132" s="1"/>
  <c r="M1033" i="132"/>
  <c r="F527" i="214"/>
  <c r="F531" s="1"/>
  <c r="F532" s="1"/>
  <c r="K865" i="192" s="1"/>
  <c r="M1059" i="132"/>
  <c r="I501" i="140"/>
  <c r="J501" s="1"/>
  <c r="E234" i="309"/>
  <c r="F234" s="1"/>
  <c r="J234"/>
  <c r="K1232" i="132"/>
  <c r="F145" i="305" s="1"/>
  <c r="G145" s="1"/>
  <c r="K1555" i="132"/>
  <c r="I186" i="309" s="1"/>
  <c r="K1167" i="132"/>
  <c r="F141" i="305" s="1"/>
  <c r="G141" s="1"/>
  <c r="K1100" i="132"/>
  <c r="I138" i="309" s="1"/>
  <c r="K534" i="140"/>
  <c r="I521" i="309"/>
  <c r="E521" s="1"/>
  <c r="F521" s="1"/>
  <c r="I380"/>
  <c r="J380" s="1"/>
  <c r="I360"/>
  <c r="E360" s="1"/>
  <c r="F360" s="1"/>
  <c r="M2108" i="132"/>
  <c r="M2041" i="304" s="1"/>
  <c r="O534" i="140"/>
  <c r="F597" i="305"/>
  <c r="G597" s="1"/>
  <c r="O558" i="309"/>
  <c r="K566"/>
  <c r="L566"/>
  <c r="K558"/>
  <c r="L558"/>
  <c r="O566"/>
  <c r="E530"/>
  <c r="F530" s="1"/>
  <c r="J530"/>
  <c r="O607"/>
  <c r="O526"/>
  <c r="O587"/>
  <c r="L526"/>
  <c r="K526"/>
  <c r="K587"/>
  <c r="L587"/>
  <c r="J534"/>
  <c r="E534"/>
  <c r="F534" s="1"/>
  <c r="L607"/>
  <c r="K607"/>
  <c r="O611"/>
  <c r="I599"/>
  <c r="L611"/>
  <c r="K611"/>
  <c r="F455" i="305"/>
  <c r="G455" s="1"/>
  <c r="I457" i="309"/>
  <c r="F314" i="305"/>
  <c r="G314" s="1"/>
  <c r="I316" i="309"/>
  <c r="F467" i="305"/>
  <c r="G467" s="1"/>
  <c r="I469" i="309"/>
  <c r="L364"/>
  <c r="K364"/>
  <c r="K292"/>
  <c r="L292"/>
  <c r="L106"/>
  <c r="K106"/>
  <c r="L505"/>
  <c r="K505"/>
  <c r="K437"/>
  <c r="L437"/>
  <c r="K368"/>
  <c r="L368"/>
  <c r="L433"/>
  <c r="K433"/>
  <c r="F326" i="305"/>
  <c r="G326" s="1"/>
  <c r="I328" i="309"/>
  <c r="J497"/>
  <c r="E497"/>
  <c r="F497" s="1"/>
  <c r="J421"/>
  <c r="E421"/>
  <c r="F421" s="1"/>
  <c r="J276"/>
  <c r="E276"/>
  <c r="F276" s="1"/>
  <c r="J130"/>
  <c r="E130"/>
  <c r="F130" s="1"/>
  <c r="J284"/>
  <c r="E284"/>
  <c r="F284" s="1"/>
  <c r="J288"/>
  <c r="E288"/>
  <c r="F288" s="1"/>
  <c r="J425"/>
  <c r="E425"/>
  <c r="F425" s="1"/>
  <c r="J280"/>
  <c r="E280"/>
  <c r="F280" s="1"/>
  <c r="J332"/>
  <c r="E332"/>
  <c r="F332" s="1"/>
  <c r="J150"/>
  <c r="E150"/>
  <c r="F150" s="1"/>
  <c r="J352"/>
  <c r="E352"/>
  <c r="F352" s="1"/>
  <c r="J296"/>
  <c r="E296"/>
  <c r="F296" s="1"/>
  <c r="J356"/>
  <c r="E356"/>
  <c r="F356" s="1"/>
  <c r="J449"/>
  <c r="E449"/>
  <c r="F449" s="1"/>
  <c r="J308"/>
  <c r="E308"/>
  <c r="F308" s="1"/>
  <c r="J429"/>
  <c r="E429"/>
  <c r="F429" s="1"/>
  <c r="J473"/>
  <c r="E473"/>
  <c r="F473" s="1"/>
  <c r="J445"/>
  <c r="E445"/>
  <c r="F445" s="1"/>
  <c r="J304"/>
  <c r="E304"/>
  <c r="F304" s="1"/>
  <c r="J493"/>
  <c r="E493"/>
  <c r="F493" s="1"/>
  <c r="J501"/>
  <c r="E501"/>
  <c r="F501" s="1"/>
  <c r="J453"/>
  <c r="E453"/>
  <c r="F453" s="1"/>
  <c r="J312"/>
  <c r="E312"/>
  <c r="F312" s="1"/>
  <c r="J441"/>
  <c r="E441"/>
  <c r="F441" s="1"/>
  <c r="J134"/>
  <c r="E134"/>
  <c r="F134" s="1"/>
  <c r="O364"/>
  <c r="O292"/>
  <c r="O106"/>
  <c r="O505"/>
  <c r="O437"/>
  <c r="O368"/>
  <c r="O433"/>
  <c r="M229" i="211"/>
  <c r="M231" s="1"/>
  <c r="Q229"/>
  <c r="C184" i="196" s="1"/>
  <c r="E83" i="139"/>
  <c r="F95" i="165"/>
  <c r="F519" i="305"/>
  <c r="G519" s="1"/>
  <c r="F94" i="165"/>
  <c r="F378" i="305"/>
  <c r="G378" s="1"/>
  <c r="M1217" i="192"/>
  <c r="F358" i="305"/>
  <c r="G358" s="1"/>
  <c r="E81" i="139"/>
  <c r="M178" i="196" s="1"/>
  <c r="C39" i="165"/>
  <c r="E46" i="139" s="1"/>
  <c r="G46" s="1"/>
  <c r="I599" i="140"/>
  <c r="J599" s="1"/>
  <c r="L599" s="1"/>
  <c r="E595" i="195"/>
  <c r="F595" s="1"/>
  <c r="J595" s="1"/>
  <c r="K364" i="140"/>
  <c r="L364"/>
  <c r="K368"/>
  <c r="L368"/>
  <c r="K292"/>
  <c r="L292"/>
  <c r="K505"/>
  <c r="L505"/>
  <c r="L106"/>
  <c r="K530"/>
  <c r="L530"/>
  <c r="K17"/>
  <c r="L17"/>
  <c r="K437"/>
  <c r="L437"/>
  <c r="K21"/>
  <c r="L21"/>
  <c r="K114"/>
  <c r="L114"/>
  <c r="K110"/>
  <c r="L110"/>
  <c r="O364"/>
  <c r="O17"/>
  <c r="O437"/>
  <c r="O21"/>
  <c r="O114"/>
  <c r="O110"/>
  <c r="O368"/>
  <c r="O292"/>
  <c r="O505"/>
  <c r="O106"/>
  <c r="O530"/>
  <c r="L231" i="211"/>
  <c r="F55" i="165"/>
  <c r="C65"/>
  <c r="E49" i="139"/>
  <c r="G49" s="1"/>
  <c r="F42" i="165"/>
  <c r="F68" i="139"/>
  <c r="C52" i="165"/>
  <c r="E357" i="195"/>
  <c r="F357" s="1"/>
  <c r="J357" s="1"/>
  <c r="I360" i="140"/>
  <c r="J360" s="1"/>
  <c r="F53" i="165"/>
  <c r="M480" i="194"/>
  <c r="I457" i="140"/>
  <c r="E454" i="195"/>
  <c r="F454" s="1"/>
  <c r="J454" s="1"/>
  <c r="M770" i="192"/>
  <c r="E313" i="195"/>
  <c r="F313" s="1"/>
  <c r="J313" s="1"/>
  <c r="I316" i="140"/>
  <c r="M1522" i="192"/>
  <c r="I380" i="140"/>
  <c r="E377" i="195"/>
  <c r="F377" s="1"/>
  <c r="J377" s="1"/>
  <c r="M565" i="194"/>
  <c r="I469" i="140"/>
  <c r="E466" i="195"/>
  <c r="F466" s="1"/>
  <c r="J466" s="1"/>
  <c r="J356" i="140"/>
  <c r="J308"/>
  <c r="J433"/>
  <c r="Q62" i="196"/>
  <c r="I62" s="1"/>
  <c r="I58"/>
  <c r="J288" i="140"/>
  <c r="J425"/>
  <c r="J280"/>
  <c r="J473"/>
  <c r="J445"/>
  <c r="J304"/>
  <c r="J493"/>
  <c r="J312"/>
  <c r="J441"/>
  <c r="J449"/>
  <c r="J296"/>
  <c r="G637" i="214"/>
  <c r="F639" s="1"/>
  <c r="F641" s="1"/>
  <c r="F642" s="1"/>
  <c r="K1089" i="192" s="1"/>
  <c r="G655" i="214"/>
  <c r="G657" s="1"/>
  <c r="G659" s="1"/>
  <c r="G660" s="1"/>
  <c r="K702" i="194" s="1"/>
  <c r="M943"/>
  <c r="I521" i="140"/>
  <c r="E518" i="195"/>
  <c r="F518" s="1"/>
  <c r="J518" s="1"/>
  <c r="M939" i="192"/>
  <c r="E325" i="195"/>
  <c r="F325" s="1"/>
  <c r="J325" s="1"/>
  <c r="I328" i="140"/>
  <c r="J332"/>
  <c r="J497"/>
  <c r="J421"/>
  <c r="J276"/>
  <c r="J284"/>
  <c r="J453"/>
  <c r="J429"/>
  <c r="J94"/>
  <c r="J352"/>
  <c r="S48" i="211"/>
  <c r="E548" i="214"/>
  <c r="E552" s="1"/>
  <c r="E553" s="1"/>
  <c r="F548"/>
  <c r="F552" s="1"/>
  <c r="F553" s="1"/>
  <c r="K584" i="192" s="1"/>
  <c r="G618" i="214"/>
  <c r="G620" s="1"/>
  <c r="G621" s="1"/>
  <c r="K646" i="194" s="1"/>
  <c r="E618" i="214"/>
  <c r="E620" s="1"/>
  <c r="E621" s="1"/>
  <c r="F618"/>
  <c r="F620" s="1"/>
  <c r="F621" s="1"/>
  <c r="K1048" i="192" s="1"/>
  <c r="F256" i="214"/>
  <c r="G256" s="1"/>
  <c r="G266" s="1"/>
  <c r="G165"/>
  <c r="G176" s="1"/>
  <c r="F599"/>
  <c r="F601" s="1"/>
  <c r="F602" s="1"/>
  <c r="K1009" i="192" s="1"/>
  <c r="G599" i="214"/>
  <c r="G601" s="1"/>
  <c r="G602" s="1"/>
  <c r="K618" i="194" s="1"/>
  <c r="E599" i="214"/>
  <c r="E601" s="1"/>
  <c r="E602" s="1"/>
  <c r="F138"/>
  <c r="G138" s="1"/>
  <c r="G149" s="1"/>
  <c r="G108"/>
  <c r="G119" s="1"/>
  <c r="G240"/>
  <c r="G241" s="1"/>
  <c r="G245" s="1"/>
  <c r="K127" i="194" s="1"/>
  <c r="E240" i="214"/>
  <c r="E241" s="1"/>
  <c r="E245" s="1"/>
  <c r="E247"/>
  <c r="F240"/>
  <c r="F241" s="1"/>
  <c r="F245" s="1"/>
  <c r="K185" i="192" s="1"/>
  <c r="J94" i="309" l="1"/>
  <c r="O94" s="1"/>
  <c r="J521"/>
  <c r="O521" s="1"/>
  <c r="E380"/>
  <c r="F380" s="1"/>
  <c r="K380" s="1"/>
  <c r="J360"/>
  <c r="K360" s="1"/>
  <c r="G527" i="214"/>
  <c r="G531" s="1"/>
  <c r="G532" s="1"/>
  <c r="K515" i="194" s="1"/>
  <c r="I461" i="140" s="1"/>
  <c r="J102" i="309"/>
  <c r="O102" s="1"/>
  <c r="L33"/>
  <c r="K33"/>
  <c r="I138" i="140"/>
  <c r="J138" s="1"/>
  <c r="K138" s="1"/>
  <c r="E174" i="309"/>
  <c r="F174" s="1"/>
  <c r="L174" s="1"/>
  <c r="L110"/>
  <c r="O110"/>
  <c r="E90"/>
  <c r="F90" s="1"/>
  <c r="L90" s="1"/>
  <c r="J118"/>
  <c r="L118" s="1"/>
  <c r="J170"/>
  <c r="K170" s="1"/>
  <c r="O21"/>
  <c r="L21"/>
  <c r="J126"/>
  <c r="O126" s="1"/>
  <c r="E178"/>
  <c r="F178" s="1"/>
  <c r="O178" s="1"/>
  <c r="I142"/>
  <c r="J142" s="1"/>
  <c r="O17"/>
  <c r="K17"/>
  <c r="K114"/>
  <c r="M1555" i="132"/>
  <c r="E136" i="195"/>
  <c r="F136" s="1"/>
  <c r="J136" s="1"/>
  <c r="L114" i="309"/>
  <c r="I186" i="140"/>
  <c r="J186" s="1"/>
  <c r="L186" s="1"/>
  <c r="I146"/>
  <c r="J146" s="1"/>
  <c r="F185" i="305"/>
  <c r="G185" s="1"/>
  <c r="I146" i="309"/>
  <c r="J146" s="1"/>
  <c r="E140" i="195"/>
  <c r="F140" s="1"/>
  <c r="J140" s="1"/>
  <c r="G639" i="214"/>
  <c r="G641" s="1"/>
  <c r="G642" s="1"/>
  <c r="K674" i="194" s="1"/>
  <c r="F483" i="305" s="1"/>
  <c r="G483" s="1"/>
  <c r="K234" i="309"/>
  <c r="I142" i="140"/>
  <c r="J142" s="1"/>
  <c r="M1167" i="132"/>
  <c r="E144" i="195"/>
  <c r="F144" s="1"/>
  <c r="J144" s="1"/>
  <c r="M1232" i="132"/>
  <c r="L234" i="309"/>
  <c r="E212" i="195"/>
  <c r="F212" s="1"/>
  <c r="J212" s="1"/>
  <c r="M1100" i="132"/>
  <c r="F137" i="305"/>
  <c r="G137" s="1"/>
  <c r="O234" i="309"/>
  <c r="J138"/>
  <c r="E138"/>
  <c r="F138" s="1"/>
  <c r="K947" i="132"/>
  <c r="I122" i="309" s="1"/>
  <c r="K553" i="132"/>
  <c r="F73" i="305" s="1"/>
  <c r="G73" s="1"/>
  <c r="K1312" i="132"/>
  <c r="F153" i="305" s="1"/>
  <c r="G153" s="1"/>
  <c r="K1357" i="132"/>
  <c r="F157" i="305" s="1"/>
  <c r="G157" s="1"/>
  <c r="Q231" i="211"/>
  <c r="I340" i="309"/>
  <c r="J340" s="1"/>
  <c r="O534"/>
  <c r="O530"/>
  <c r="L530"/>
  <c r="K530"/>
  <c r="K534"/>
  <c r="L534"/>
  <c r="E599"/>
  <c r="F599" s="1"/>
  <c r="J599"/>
  <c r="O130"/>
  <c r="O425"/>
  <c r="O421"/>
  <c r="O332"/>
  <c r="O280"/>
  <c r="O288"/>
  <c r="O284"/>
  <c r="O276"/>
  <c r="O134"/>
  <c r="O441"/>
  <c r="O312"/>
  <c r="O453"/>
  <c r="O501"/>
  <c r="O493"/>
  <c r="O304"/>
  <c r="O445"/>
  <c r="O473"/>
  <c r="O429"/>
  <c r="O308"/>
  <c r="O449"/>
  <c r="O356"/>
  <c r="O296"/>
  <c r="O352"/>
  <c r="O150"/>
  <c r="O497"/>
  <c r="F403" i="305"/>
  <c r="G403" s="1"/>
  <c r="I405" i="309"/>
  <c r="F475" i="305"/>
  <c r="G475" s="1"/>
  <c r="I477" i="309"/>
  <c r="F258" i="305"/>
  <c r="G258" s="1"/>
  <c r="I260" i="309"/>
  <c r="F334" i="305"/>
  <c r="G334" s="1"/>
  <c r="I336" i="309"/>
  <c r="F298" i="305"/>
  <c r="G298" s="1"/>
  <c r="I300" i="309"/>
  <c r="F342" i="305"/>
  <c r="G342" s="1"/>
  <c r="I344" i="309"/>
  <c r="L134"/>
  <c r="K134"/>
  <c r="L441"/>
  <c r="K441"/>
  <c r="K312"/>
  <c r="L312"/>
  <c r="K453"/>
  <c r="L453"/>
  <c r="K501"/>
  <c r="L501"/>
  <c r="K493"/>
  <c r="L493"/>
  <c r="K304"/>
  <c r="L304"/>
  <c r="K445"/>
  <c r="L445"/>
  <c r="L473"/>
  <c r="K473"/>
  <c r="K429"/>
  <c r="L429"/>
  <c r="L308"/>
  <c r="K308"/>
  <c r="L449"/>
  <c r="K449"/>
  <c r="L356"/>
  <c r="K356"/>
  <c r="L296"/>
  <c r="K296"/>
  <c r="K352"/>
  <c r="L352"/>
  <c r="L150"/>
  <c r="K150"/>
  <c r="L332"/>
  <c r="K332"/>
  <c r="K280"/>
  <c r="L280"/>
  <c r="L425"/>
  <c r="K425"/>
  <c r="K288"/>
  <c r="L288"/>
  <c r="L284"/>
  <c r="K284"/>
  <c r="L130"/>
  <c r="K130"/>
  <c r="L276"/>
  <c r="K276"/>
  <c r="K421"/>
  <c r="L421"/>
  <c r="L497"/>
  <c r="K497"/>
  <c r="L380"/>
  <c r="L521"/>
  <c r="K521"/>
  <c r="F479" i="305"/>
  <c r="G479" s="1"/>
  <c r="I481" i="309"/>
  <c r="F318" i="305"/>
  <c r="G318" s="1"/>
  <c r="I320" i="309"/>
  <c r="F487" i="305"/>
  <c r="G487" s="1"/>
  <c r="I489" i="309"/>
  <c r="J328"/>
  <c r="E328"/>
  <c r="F328" s="1"/>
  <c r="J186"/>
  <c r="E186"/>
  <c r="F186" s="1"/>
  <c r="J469"/>
  <c r="E469"/>
  <c r="F469" s="1"/>
  <c r="J316"/>
  <c r="E316"/>
  <c r="F316" s="1"/>
  <c r="J457"/>
  <c r="E457"/>
  <c r="F457" s="1"/>
  <c r="C23" i="307"/>
  <c r="K599" i="140"/>
  <c r="F109" i="165"/>
  <c r="C183" i="196"/>
  <c r="S229" i="211"/>
  <c r="S230" s="1"/>
  <c r="I340" i="140"/>
  <c r="J340" s="1"/>
  <c r="L340" s="1"/>
  <c r="F338" i="305"/>
  <c r="G338" s="1"/>
  <c r="C44" i="165"/>
  <c r="O599" i="140"/>
  <c r="G50" i="139"/>
  <c r="E50"/>
  <c r="K178" i="196" s="1"/>
  <c r="C57" i="165"/>
  <c r="C59" s="1"/>
  <c r="E57" i="139"/>
  <c r="G57" s="1"/>
  <c r="G61" s="1"/>
  <c r="K94" i="140"/>
  <c r="L94"/>
  <c r="K284"/>
  <c r="L284"/>
  <c r="K170"/>
  <c r="L170"/>
  <c r="K150"/>
  <c r="L150"/>
  <c r="K429"/>
  <c r="L429"/>
  <c r="K501"/>
  <c r="L501"/>
  <c r="K276"/>
  <c r="L276"/>
  <c r="K102"/>
  <c r="L102"/>
  <c r="K497"/>
  <c r="L497"/>
  <c r="L178"/>
  <c r="K449"/>
  <c r="L449"/>
  <c r="K174"/>
  <c r="L174"/>
  <c r="K441"/>
  <c r="L441"/>
  <c r="K360"/>
  <c r="L360"/>
  <c r="K304"/>
  <c r="L304"/>
  <c r="K473"/>
  <c r="L473"/>
  <c r="K425"/>
  <c r="L425"/>
  <c r="K130"/>
  <c r="L130"/>
  <c r="L126"/>
  <c r="K308"/>
  <c r="L308"/>
  <c r="K352"/>
  <c r="L352"/>
  <c r="K453"/>
  <c r="L453"/>
  <c r="K421"/>
  <c r="L421"/>
  <c r="L234"/>
  <c r="K118"/>
  <c r="L118"/>
  <c r="K332"/>
  <c r="L332"/>
  <c r="K296"/>
  <c r="L296"/>
  <c r="L90"/>
  <c r="K312"/>
  <c r="L312"/>
  <c r="K493"/>
  <c r="L493"/>
  <c r="K445"/>
  <c r="L445"/>
  <c r="K280"/>
  <c r="L280"/>
  <c r="K288"/>
  <c r="L288"/>
  <c r="K134"/>
  <c r="L134"/>
  <c r="K433"/>
  <c r="L433"/>
  <c r="K356"/>
  <c r="L356"/>
  <c r="I231" i="211"/>
  <c r="C182" i="196"/>
  <c r="O352" i="140"/>
  <c r="O453"/>
  <c r="O170"/>
  <c r="O150"/>
  <c r="O429"/>
  <c r="O501"/>
  <c r="O276"/>
  <c r="O102"/>
  <c r="O497"/>
  <c r="O178"/>
  <c r="O449"/>
  <c r="O174"/>
  <c r="O441"/>
  <c r="O360"/>
  <c r="O304"/>
  <c r="O473"/>
  <c r="O425"/>
  <c r="O130"/>
  <c r="O126"/>
  <c r="O308"/>
  <c r="O94"/>
  <c r="O284"/>
  <c r="O421"/>
  <c r="O234"/>
  <c r="O118"/>
  <c r="O332"/>
  <c r="O296"/>
  <c r="O90"/>
  <c r="O312"/>
  <c r="O493"/>
  <c r="O445"/>
  <c r="O280"/>
  <c r="O288"/>
  <c r="O134"/>
  <c r="O433"/>
  <c r="O356"/>
  <c r="C70" i="165"/>
  <c r="C72" s="1"/>
  <c r="E68" i="139"/>
  <c r="E72" s="1"/>
  <c r="L178" i="196" s="1"/>
  <c r="E639" i="214"/>
  <c r="E641" s="1"/>
  <c r="E642" s="1"/>
  <c r="E657"/>
  <c r="E659" s="1"/>
  <c r="E660" s="1"/>
  <c r="F657"/>
  <c r="F659" s="1"/>
  <c r="F660" s="1"/>
  <c r="K1123" i="192" s="1"/>
  <c r="I176" i="196"/>
  <c r="C8" i="165"/>
  <c r="M127" i="194"/>
  <c r="I405" i="140"/>
  <c r="E402" i="195"/>
  <c r="F402" s="1"/>
  <c r="J402" s="1"/>
  <c r="M702" i="194"/>
  <c r="E486" i="195"/>
  <c r="F486" s="1"/>
  <c r="J486" s="1"/>
  <c r="I489" i="140"/>
  <c r="M1009" i="192"/>
  <c r="E333" i="195"/>
  <c r="F333" s="1"/>
  <c r="J333" s="1"/>
  <c r="I336" i="140"/>
  <c r="M584" i="192"/>
  <c r="E297" i="195"/>
  <c r="F297" s="1"/>
  <c r="J297" s="1"/>
  <c r="I300" i="140"/>
  <c r="M1089" i="192"/>
  <c r="E341" i="195"/>
  <c r="F341" s="1"/>
  <c r="J341" s="1"/>
  <c r="I344" i="140"/>
  <c r="J380"/>
  <c r="J316"/>
  <c r="M185" i="192"/>
  <c r="E257" i="195"/>
  <c r="F257" s="1"/>
  <c r="J257" s="1"/>
  <c r="I260" i="140"/>
  <c r="M618" i="194"/>
  <c r="E474" i="195"/>
  <c r="F474" s="1"/>
  <c r="J474" s="1"/>
  <c r="I477" i="140"/>
  <c r="M1048" i="192"/>
  <c r="E337" i="195"/>
  <c r="F337" s="1"/>
  <c r="J337" s="1"/>
  <c r="M646" i="194"/>
  <c r="I481" i="140"/>
  <c r="E478" i="195"/>
  <c r="F478" s="1"/>
  <c r="J478" s="1"/>
  <c r="M865" i="192"/>
  <c r="E317" i="195"/>
  <c r="F317" s="1"/>
  <c r="J317" s="1"/>
  <c r="I320" i="140"/>
  <c r="I485"/>
  <c r="J328"/>
  <c r="J521"/>
  <c r="J469"/>
  <c r="J457"/>
  <c r="F126" i="214"/>
  <c r="G126" s="1"/>
  <c r="G129" s="1"/>
  <c r="F131"/>
  <c r="G131" s="1"/>
  <c r="G134" s="1"/>
  <c r="F121"/>
  <c r="G121" s="1"/>
  <c r="G124" s="1"/>
  <c r="E248"/>
  <c r="E252" s="1"/>
  <c r="F247"/>
  <c r="G157"/>
  <c r="G161" s="1"/>
  <c r="K176" i="194" s="1"/>
  <c r="E157" i="214"/>
  <c r="E161" s="1"/>
  <c r="G151"/>
  <c r="G155" s="1"/>
  <c r="K14" i="194" s="1"/>
  <c r="E151" i="214"/>
  <c r="E155" s="1"/>
  <c r="F157"/>
  <c r="F161" s="1"/>
  <c r="K238" i="192" s="1"/>
  <c r="F151" i="214"/>
  <c r="F155" s="1"/>
  <c r="K16" i="192" s="1"/>
  <c r="E211" i="214"/>
  <c r="F204"/>
  <c r="F205" s="1"/>
  <c r="F209" s="1"/>
  <c r="G198"/>
  <c r="G199" s="1"/>
  <c r="G203" s="1"/>
  <c r="K63" i="194" s="1"/>
  <c r="E198" i="214"/>
  <c r="E199" s="1"/>
  <c r="E203" s="1"/>
  <c r="F191"/>
  <c r="F192" s="1"/>
  <c r="F196" s="1"/>
  <c r="K140" i="192" s="1"/>
  <c r="G184" i="214"/>
  <c r="G185" s="1"/>
  <c r="G189" s="1"/>
  <c r="K106" i="194" s="1"/>
  <c r="E184" i="214"/>
  <c r="E185" s="1"/>
  <c r="E189" s="1"/>
  <c r="G178"/>
  <c r="G182" s="1"/>
  <c r="K39" i="194" s="1"/>
  <c r="E178" i="214"/>
  <c r="E182" s="1"/>
  <c r="G204"/>
  <c r="G205" s="1"/>
  <c r="G209" s="1"/>
  <c r="E191"/>
  <c r="E192" s="1"/>
  <c r="E196" s="1"/>
  <c r="F184"/>
  <c r="F185" s="1"/>
  <c r="F189" s="1"/>
  <c r="K164" i="192" s="1"/>
  <c r="E204" i="214"/>
  <c r="E205" s="1"/>
  <c r="E209" s="1"/>
  <c r="F198"/>
  <c r="F199" s="1"/>
  <c r="F203" s="1"/>
  <c r="K112" i="192" s="1"/>
  <c r="G191" i="214"/>
  <c r="G192" s="1"/>
  <c r="G196" s="1"/>
  <c r="K86" i="194" s="1"/>
  <c r="F178" i="214"/>
  <c r="F182" s="1"/>
  <c r="K59" i="192" s="1"/>
  <c r="F268" i="214"/>
  <c r="E268"/>
  <c r="E272" s="1"/>
  <c r="O380" i="309" l="1"/>
  <c r="C28" i="165"/>
  <c r="L94" i="309"/>
  <c r="K94"/>
  <c r="C73" i="165"/>
  <c r="O360" i="309"/>
  <c r="I461"/>
  <c r="E458" i="195"/>
  <c r="F458" s="1"/>
  <c r="J458" s="1"/>
  <c r="E482"/>
  <c r="F482" s="1"/>
  <c r="J482" s="1"/>
  <c r="L360" i="309"/>
  <c r="I485"/>
  <c r="M515" i="194"/>
  <c r="F459" i="305"/>
  <c r="G459" s="1"/>
  <c r="M674" i="194"/>
  <c r="E340" i="309"/>
  <c r="F340" s="1"/>
  <c r="L340" s="1"/>
  <c r="K102"/>
  <c r="O174"/>
  <c r="O90"/>
  <c r="L102"/>
  <c r="K186" i="140"/>
  <c r="O138"/>
  <c r="L138"/>
  <c r="K174" i="309"/>
  <c r="K118"/>
  <c r="K90"/>
  <c r="L126"/>
  <c r="O118"/>
  <c r="L178"/>
  <c r="L170"/>
  <c r="O170"/>
  <c r="E142"/>
  <c r="F142" s="1"/>
  <c r="K142" s="1"/>
  <c r="K126"/>
  <c r="O186" i="140"/>
  <c r="K178" i="309"/>
  <c r="E72" i="195"/>
  <c r="F72" s="1"/>
  <c r="J72" s="1"/>
  <c r="I158" i="140"/>
  <c r="J158" s="1"/>
  <c r="H232" i="211"/>
  <c r="M4021" i="132" s="1"/>
  <c r="E61" i="139"/>
  <c r="O178" i="196" s="1"/>
  <c r="E152" i="195"/>
  <c r="F152" s="1"/>
  <c r="J152" s="1"/>
  <c r="E146" i="309"/>
  <c r="F146" s="1"/>
  <c r="K146" s="1"/>
  <c r="I158"/>
  <c r="J158" s="1"/>
  <c r="K340" i="140"/>
  <c r="E120" i="195"/>
  <c r="F120" s="1"/>
  <c r="J120" s="1"/>
  <c r="F121" i="305"/>
  <c r="G121" s="1"/>
  <c r="M1312" i="132"/>
  <c r="I74" i="309"/>
  <c r="J74" s="1"/>
  <c r="I122" i="140"/>
  <c r="J122" s="1"/>
  <c r="M947" i="132"/>
  <c r="I154" i="140"/>
  <c r="J154" s="1"/>
  <c r="K138" i="309"/>
  <c r="I154"/>
  <c r="E154" s="1"/>
  <c r="F154" s="1"/>
  <c r="L138"/>
  <c r="I74" i="140"/>
  <c r="J74" s="1"/>
  <c r="M553" i="132"/>
  <c r="E156" i="195"/>
  <c r="F156" s="1"/>
  <c r="J156" s="1"/>
  <c r="M1357" i="132"/>
  <c r="O138" i="309"/>
  <c r="K1206" i="132"/>
  <c r="I98" i="309" s="1"/>
  <c r="K506" i="132"/>
  <c r="F61" i="305" s="1"/>
  <c r="G61" s="1"/>
  <c r="K428" i="132"/>
  <c r="I58" i="309" s="1"/>
  <c r="K531" i="132"/>
  <c r="I70" i="309" s="1"/>
  <c r="K578" i="132"/>
  <c r="I78" i="309" s="1"/>
  <c r="K384" i="132"/>
  <c r="F53" i="305" s="1"/>
  <c r="G53" s="1"/>
  <c r="K1393" i="132"/>
  <c r="I162" i="140" s="1"/>
  <c r="J162" s="1"/>
  <c r="K483" i="132"/>
  <c r="F65" i="305" s="1"/>
  <c r="G65" s="1"/>
  <c r="K342" i="132"/>
  <c r="F49" i="305" s="1"/>
  <c r="G49" s="1"/>
  <c r="K609" i="132"/>
  <c r="F81" i="305" s="1"/>
  <c r="G81" s="1"/>
  <c r="K291" i="132"/>
  <c r="F41" i="305" s="1"/>
  <c r="G41" s="1"/>
  <c r="K311" i="132"/>
  <c r="F45" i="305" s="1"/>
  <c r="G45" s="1"/>
  <c r="K1424" i="132"/>
  <c r="I166" i="309" s="1"/>
  <c r="I348"/>
  <c r="J348" s="1"/>
  <c r="O599"/>
  <c r="K599"/>
  <c r="L599"/>
  <c r="F254" i="305"/>
  <c r="G254" s="1"/>
  <c r="I256" i="309"/>
  <c r="F387" i="305"/>
  <c r="G387" s="1"/>
  <c r="I389" i="309"/>
  <c r="F395" i="305"/>
  <c r="G395" s="1"/>
  <c r="I397" i="309"/>
  <c r="F238" i="305"/>
  <c r="G238" s="1"/>
  <c r="I240" i="309"/>
  <c r="L457"/>
  <c r="K457"/>
  <c r="K316"/>
  <c r="L316"/>
  <c r="K469"/>
  <c r="L469"/>
  <c r="L186"/>
  <c r="K186"/>
  <c r="K328"/>
  <c r="L328"/>
  <c r="K340"/>
  <c r="F242" i="305"/>
  <c r="G242" s="1"/>
  <c r="I244" i="309"/>
  <c r="F250" i="305"/>
  <c r="G250" s="1"/>
  <c r="I252" i="309"/>
  <c r="F391" i="305"/>
  <c r="G391" s="1"/>
  <c r="I393" i="309"/>
  <c r="F246" i="305"/>
  <c r="G246" s="1"/>
  <c r="I248" i="309"/>
  <c r="F399" i="305"/>
  <c r="G399" s="1"/>
  <c r="I401" i="309"/>
  <c r="F266" i="305"/>
  <c r="G266" s="1"/>
  <c r="I268" i="309"/>
  <c r="F383" i="305"/>
  <c r="G383" s="1"/>
  <c r="I385" i="309"/>
  <c r="F411" i="305"/>
  <c r="G411" s="1"/>
  <c r="I413" i="309"/>
  <c r="J489"/>
  <c r="E489"/>
  <c r="F489" s="1"/>
  <c r="J320"/>
  <c r="E320"/>
  <c r="F320" s="1"/>
  <c r="J122"/>
  <c r="E122"/>
  <c r="F122" s="1"/>
  <c r="J481"/>
  <c r="E481"/>
  <c r="F481" s="1"/>
  <c r="J344"/>
  <c r="E344"/>
  <c r="F344" s="1"/>
  <c r="J485"/>
  <c r="E485"/>
  <c r="F485" s="1"/>
  <c r="J461"/>
  <c r="E461"/>
  <c r="F461" s="1"/>
  <c r="J300"/>
  <c r="E300"/>
  <c r="F300" s="1"/>
  <c r="J336"/>
  <c r="E336"/>
  <c r="F336" s="1"/>
  <c r="J260"/>
  <c r="E260"/>
  <c r="F260" s="1"/>
  <c r="J477"/>
  <c r="E477"/>
  <c r="F477" s="1"/>
  <c r="J405"/>
  <c r="E405"/>
  <c r="F405" s="1"/>
  <c r="O457"/>
  <c r="O316"/>
  <c r="O469"/>
  <c r="O186"/>
  <c r="O328"/>
  <c r="O340" i="140"/>
  <c r="E345" i="195"/>
  <c r="F345" s="1"/>
  <c r="J345" s="1"/>
  <c r="F346" i="305"/>
  <c r="G346" s="1"/>
  <c r="E53" i="139"/>
  <c r="C20" i="307" s="1"/>
  <c r="M1123" i="192"/>
  <c r="K457" i="140"/>
  <c r="L457"/>
  <c r="K142"/>
  <c r="L142"/>
  <c r="K146"/>
  <c r="L146"/>
  <c r="K469"/>
  <c r="L469"/>
  <c r="K521"/>
  <c r="L521"/>
  <c r="K316"/>
  <c r="L316"/>
  <c r="K328"/>
  <c r="L328"/>
  <c r="K380"/>
  <c r="L380"/>
  <c r="O142"/>
  <c r="O328"/>
  <c r="O380"/>
  <c r="O469"/>
  <c r="O521"/>
  <c r="O316"/>
  <c r="O457"/>
  <c r="O146"/>
  <c r="G68" i="139"/>
  <c r="G72" s="1"/>
  <c r="E20"/>
  <c r="C12" i="165"/>
  <c r="I348" i="140"/>
  <c r="J348" s="1"/>
  <c r="M112" i="192"/>
  <c r="E253" i="195"/>
  <c r="F253" s="1"/>
  <c r="J253" s="1"/>
  <c r="I256" i="140"/>
  <c r="M106" i="194"/>
  <c r="E394" i="195"/>
  <c r="F394" s="1"/>
  <c r="J394" s="1"/>
  <c r="I397" i="140"/>
  <c r="M86" i="194"/>
  <c r="I393" i="140"/>
  <c r="E390" i="195"/>
  <c r="F390" s="1"/>
  <c r="J390" s="1"/>
  <c r="M140" i="192"/>
  <c r="I248" i="140"/>
  <c r="E245" i="195"/>
  <c r="F245" s="1"/>
  <c r="J245" s="1"/>
  <c r="M63" i="194"/>
  <c r="E398" i="195"/>
  <c r="F398" s="1"/>
  <c r="J398" s="1"/>
  <c r="I401" i="140"/>
  <c r="M238" i="192"/>
  <c r="E265" i="195"/>
  <c r="F265" s="1"/>
  <c r="J265" s="1"/>
  <c r="I268" i="140"/>
  <c r="M14" i="194"/>
  <c r="E382" i="195"/>
  <c r="F382" s="1"/>
  <c r="J382" s="1"/>
  <c r="I385" i="140"/>
  <c r="M176" i="194"/>
  <c r="E410" i="195"/>
  <c r="F410" s="1"/>
  <c r="J410" s="1"/>
  <c r="I413" i="140"/>
  <c r="J485"/>
  <c r="J481"/>
  <c r="J344"/>
  <c r="J461"/>
  <c r="M59" i="192"/>
  <c r="E241" i="195"/>
  <c r="F241" s="1"/>
  <c r="J241" s="1"/>
  <c r="I244" i="140"/>
  <c r="M164" i="192"/>
  <c r="E249" i="195"/>
  <c r="F249" s="1"/>
  <c r="J249" s="1"/>
  <c r="I252" i="140"/>
  <c r="M39" i="194"/>
  <c r="I389" i="140"/>
  <c r="E386" i="195"/>
  <c r="F386" s="1"/>
  <c r="J386" s="1"/>
  <c r="M16" i="192"/>
  <c r="E237" i="195"/>
  <c r="F237" s="1"/>
  <c r="J237" s="1"/>
  <c r="I240" i="140"/>
  <c r="J320"/>
  <c r="J477"/>
  <c r="J260"/>
  <c r="J300"/>
  <c r="J336"/>
  <c r="J489"/>
  <c r="J405"/>
  <c r="F272" i="214"/>
  <c r="K911" i="192" s="1"/>
  <c r="G268" i="214"/>
  <c r="G272" s="1"/>
  <c r="K544" i="194" s="1"/>
  <c r="F211" i="214"/>
  <c r="E219"/>
  <c r="E220" s="1"/>
  <c r="E224" s="1"/>
  <c r="E212"/>
  <c r="E216" s="1"/>
  <c r="G247"/>
  <c r="G248" s="1"/>
  <c r="G252" s="1"/>
  <c r="K151" i="194" s="1"/>
  <c r="F248" i="214"/>
  <c r="F252" s="1"/>
  <c r="K209" i="192" s="1"/>
  <c r="E348" i="309" l="1"/>
  <c r="F348" s="1"/>
  <c r="O340"/>
  <c r="L142"/>
  <c r="I162"/>
  <c r="J162" s="1"/>
  <c r="L146"/>
  <c r="O142"/>
  <c r="M291" i="132"/>
  <c r="I66" i="140"/>
  <c r="J66" s="1"/>
  <c r="E44" i="195"/>
  <c r="F44" s="1"/>
  <c r="J44" s="1"/>
  <c r="O146" i="309"/>
  <c r="M578" i="132"/>
  <c r="F165" i="305"/>
  <c r="G165" s="1"/>
  <c r="E158" i="309"/>
  <c r="F158" s="1"/>
  <c r="K158" s="1"/>
  <c r="E96" i="195"/>
  <c r="F96" s="1"/>
  <c r="J96" s="1"/>
  <c r="I54" i="140"/>
  <c r="J54" s="1"/>
  <c r="M483" i="132"/>
  <c r="E74" i="309"/>
  <c r="F74" s="1"/>
  <c r="L74" s="1"/>
  <c r="M531" i="132"/>
  <c r="I66" i="309"/>
  <c r="J66" s="1"/>
  <c r="E80" i="195"/>
  <c r="F80" s="1"/>
  <c r="J80" s="1"/>
  <c r="M609" i="132"/>
  <c r="I62" i="140"/>
  <c r="J62" s="1"/>
  <c r="K62" s="1"/>
  <c r="J154" i="309"/>
  <c r="O154" s="1"/>
  <c r="I46"/>
  <c r="J46" s="1"/>
  <c r="M1206" i="132"/>
  <c r="I78" i="140"/>
  <c r="J78" s="1"/>
  <c r="E56" i="195"/>
  <c r="F56" s="1"/>
  <c r="J56" s="1"/>
  <c r="E160"/>
  <c r="F160" s="1"/>
  <c r="J160" s="1"/>
  <c r="F77" i="305"/>
  <c r="G77" s="1"/>
  <c r="I42" i="140"/>
  <c r="J42" s="1"/>
  <c r="E48" i="195"/>
  <c r="F48" s="1"/>
  <c r="J48" s="1"/>
  <c r="M1424" i="132"/>
  <c r="F161" i="305"/>
  <c r="G161" s="1"/>
  <c r="F57"/>
  <c r="G57" s="1"/>
  <c r="I46" i="140"/>
  <c r="J46" s="1"/>
  <c r="M311" i="132"/>
  <c r="I82" i="140"/>
  <c r="J82" s="1"/>
  <c r="K82" s="1"/>
  <c r="E64" i="195"/>
  <c r="F64" s="1"/>
  <c r="J64" s="1"/>
  <c r="M384" i="132"/>
  <c r="I70" i="140"/>
  <c r="J70" s="1"/>
  <c r="K70" s="1"/>
  <c r="M506" i="132"/>
  <c r="I54" i="309"/>
  <c r="E54" s="1"/>
  <c r="F54" s="1"/>
  <c r="F69" i="305"/>
  <c r="G69" s="1"/>
  <c r="I62" i="309"/>
  <c r="E62" s="1"/>
  <c r="F62" s="1"/>
  <c r="I82"/>
  <c r="J82" s="1"/>
  <c r="E52" i="195"/>
  <c r="F52" s="1"/>
  <c r="J52" s="1"/>
  <c r="E68"/>
  <c r="F68" s="1"/>
  <c r="J68" s="1"/>
  <c r="E60"/>
  <c r="F60" s="1"/>
  <c r="J60" s="1"/>
  <c r="I42" i="309"/>
  <c r="J42" s="1"/>
  <c r="F97" i="305"/>
  <c r="G97" s="1"/>
  <c r="I50" i="309"/>
  <c r="J50" s="1"/>
  <c r="E166"/>
  <c r="F166" s="1"/>
  <c r="J166"/>
  <c r="I98" i="140"/>
  <c r="J98" s="1"/>
  <c r="E76" i="195"/>
  <c r="F76" s="1"/>
  <c r="J76" s="1"/>
  <c r="I58" i="140"/>
  <c r="J58" s="1"/>
  <c r="K58" s="1"/>
  <c r="M428" i="132"/>
  <c r="E40" i="195"/>
  <c r="F40" s="1"/>
  <c r="J40" s="1"/>
  <c r="I50" i="140"/>
  <c r="J50" s="1"/>
  <c r="M342" i="132"/>
  <c r="I166" i="140"/>
  <c r="J166" s="1"/>
  <c r="L166" s="1"/>
  <c r="M1393" i="132"/>
  <c r="E164" i="195"/>
  <c r="F164" s="1"/>
  <c r="J164" s="1"/>
  <c r="K644" i="132"/>
  <c r="I86" i="309" s="1"/>
  <c r="J1146"/>
  <c r="C14" i="165"/>
  <c r="C15" s="1"/>
  <c r="F322" i="305"/>
  <c r="G322" s="1"/>
  <c r="I324" i="309"/>
  <c r="K405"/>
  <c r="L405"/>
  <c r="K477"/>
  <c r="L477"/>
  <c r="L260"/>
  <c r="K260"/>
  <c r="K336"/>
  <c r="L336"/>
  <c r="L300"/>
  <c r="K300"/>
  <c r="K461"/>
  <c r="L461"/>
  <c r="K485"/>
  <c r="L485"/>
  <c r="K344"/>
  <c r="L344"/>
  <c r="L481"/>
  <c r="K481"/>
  <c r="L122"/>
  <c r="K122"/>
  <c r="K320"/>
  <c r="L320"/>
  <c r="L489"/>
  <c r="K489"/>
  <c r="L348"/>
  <c r="K348"/>
  <c r="F262" i="305"/>
  <c r="G262" s="1"/>
  <c r="I264" i="309"/>
  <c r="F407" i="305"/>
  <c r="G407" s="1"/>
  <c r="I409" i="309"/>
  <c r="F463" i="305"/>
  <c r="G463" s="1"/>
  <c r="I465" i="309"/>
  <c r="J78"/>
  <c r="E78"/>
  <c r="F78" s="1"/>
  <c r="J413"/>
  <c r="E413"/>
  <c r="F413" s="1"/>
  <c r="J385"/>
  <c r="E385"/>
  <c r="F385" s="1"/>
  <c r="J268"/>
  <c r="E268"/>
  <c r="F268" s="1"/>
  <c r="J401"/>
  <c r="E401"/>
  <c r="F401" s="1"/>
  <c r="J248"/>
  <c r="E248"/>
  <c r="F248" s="1"/>
  <c r="J70"/>
  <c r="E70"/>
  <c r="F70" s="1"/>
  <c r="J58"/>
  <c r="E58"/>
  <c r="F58" s="1"/>
  <c r="J393"/>
  <c r="E393"/>
  <c r="F393" s="1"/>
  <c r="J252"/>
  <c r="E252"/>
  <c r="F252" s="1"/>
  <c r="J244"/>
  <c r="E244"/>
  <c r="F244" s="1"/>
  <c r="J240"/>
  <c r="E240"/>
  <c r="F240" s="1"/>
  <c r="J397"/>
  <c r="E397"/>
  <c r="F397" s="1"/>
  <c r="J389"/>
  <c r="E389"/>
  <c r="F389" s="1"/>
  <c r="J256"/>
  <c r="E256"/>
  <c r="F256" s="1"/>
  <c r="J98"/>
  <c r="E98"/>
  <c r="F98" s="1"/>
  <c r="O405"/>
  <c r="O477"/>
  <c r="O260"/>
  <c r="O336"/>
  <c r="O300"/>
  <c r="O461"/>
  <c r="O485"/>
  <c r="O344"/>
  <c r="O481"/>
  <c r="O122"/>
  <c r="O320"/>
  <c r="O489"/>
  <c r="O348"/>
  <c r="J1146" i="140"/>
  <c r="F1146" i="309" s="1"/>
  <c r="G1133" i="305"/>
  <c r="H114" i="139"/>
  <c r="K154" i="140"/>
  <c r="L154"/>
  <c r="K158"/>
  <c r="L158"/>
  <c r="K477"/>
  <c r="L477"/>
  <c r="K489"/>
  <c r="L489"/>
  <c r="K336"/>
  <c r="L336"/>
  <c r="K300"/>
  <c r="L300"/>
  <c r="K320"/>
  <c r="L320"/>
  <c r="K162"/>
  <c r="L162"/>
  <c r="K74"/>
  <c r="L74"/>
  <c r="K122"/>
  <c r="L122"/>
  <c r="K405"/>
  <c r="L405"/>
  <c r="K260"/>
  <c r="L260"/>
  <c r="K461"/>
  <c r="L461"/>
  <c r="K344"/>
  <c r="L344"/>
  <c r="K481"/>
  <c r="L481"/>
  <c r="K485"/>
  <c r="L485"/>
  <c r="K348"/>
  <c r="L348"/>
  <c r="O154"/>
  <c r="O260"/>
  <c r="O489"/>
  <c r="O336"/>
  <c r="O300"/>
  <c r="O320"/>
  <c r="O162"/>
  <c r="O74"/>
  <c r="O122"/>
  <c r="O405"/>
  <c r="O158"/>
  <c r="O477"/>
  <c r="O461"/>
  <c r="O344"/>
  <c r="O481"/>
  <c r="O485"/>
  <c r="O348"/>
  <c r="G20" i="139"/>
  <c r="G24" s="1"/>
  <c r="E24"/>
  <c r="I178" i="196" s="1"/>
  <c r="M209" i="192"/>
  <c r="I264" i="140"/>
  <c r="E261" i="195"/>
  <c r="F261" s="1"/>
  <c r="J261" s="1"/>
  <c r="M911" i="192"/>
  <c r="E321" i="195"/>
  <c r="F321" s="1"/>
  <c r="J321" s="1"/>
  <c r="I324" i="140"/>
  <c r="J240"/>
  <c r="J244"/>
  <c r="J413"/>
  <c r="J268"/>
  <c r="J256"/>
  <c r="M151" i="194"/>
  <c r="I409" i="140"/>
  <c r="E406" i="195"/>
  <c r="F406" s="1"/>
  <c r="J406" s="1"/>
  <c r="M544" i="194"/>
  <c r="E462" i="195"/>
  <c r="F462" s="1"/>
  <c r="J462" s="1"/>
  <c r="I465" i="140"/>
  <c r="J389"/>
  <c r="J252"/>
  <c r="J385"/>
  <c r="J401"/>
  <c r="J248"/>
  <c r="J393"/>
  <c r="J397"/>
  <c r="F219" i="214"/>
  <c r="F220" s="1"/>
  <c r="F224" s="1"/>
  <c r="K282" i="192" s="1"/>
  <c r="F212" i="214"/>
  <c r="F216" s="1"/>
  <c r="G211"/>
  <c r="E162" i="309" l="1"/>
  <c r="F162" s="1"/>
  <c r="L162" s="1"/>
  <c r="O158"/>
  <c r="L158"/>
  <c r="J62"/>
  <c r="O62" s="1"/>
  <c r="E46"/>
  <c r="F46" s="1"/>
  <c r="O46" s="1"/>
  <c r="I86" i="140"/>
  <c r="J86" s="1"/>
  <c r="L86" s="1"/>
  <c r="M644" i="132"/>
  <c r="E66" i="309"/>
  <c r="F66" s="1"/>
  <c r="K66" s="1"/>
  <c r="J54"/>
  <c r="O54" s="1"/>
  <c r="F85" i="305"/>
  <c r="G85" s="1"/>
  <c r="E42" i="309"/>
  <c r="F42" s="1"/>
  <c r="O42" s="1"/>
  <c r="K74"/>
  <c r="O74"/>
  <c r="E82"/>
  <c r="F82" s="1"/>
  <c r="L82" s="1"/>
  <c r="K154"/>
  <c r="L154"/>
  <c r="E84" i="195"/>
  <c r="F84" s="1"/>
  <c r="J84" s="1"/>
  <c r="K166" i="309"/>
  <c r="K166" i="140"/>
  <c r="O166" i="309"/>
  <c r="O162"/>
  <c r="E50"/>
  <c r="F50" s="1"/>
  <c r="O50" s="1"/>
  <c r="O1146"/>
  <c r="L166"/>
  <c r="O166" i="140"/>
  <c r="O98" i="309"/>
  <c r="O256"/>
  <c r="O389"/>
  <c r="O397"/>
  <c r="O240"/>
  <c r="O244"/>
  <c r="O252"/>
  <c r="O393"/>
  <c r="O58"/>
  <c r="O70"/>
  <c r="O248"/>
  <c r="O401"/>
  <c r="O268"/>
  <c r="O385"/>
  <c r="O413"/>
  <c r="O78"/>
  <c r="F270" i="305"/>
  <c r="G270" s="1"/>
  <c r="I272" i="309"/>
  <c r="L98"/>
  <c r="K98"/>
  <c r="K256"/>
  <c r="L256"/>
  <c r="K389"/>
  <c r="L389"/>
  <c r="K397"/>
  <c r="L397"/>
  <c r="L240"/>
  <c r="K240"/>
  <c r="K244"/>
  <c r="L244"/>
  <c r="L252"/>
  <c r="K252"/>
  <c r="L393"/>
  <c r="K393"/>
  <c r="L58"/>
  <c r="K58"/>
  <c r="L70"/>
  <c r="K70"/>
  <c r="L248"/>
  <c r="K248"/>
  <c r="L401"/>
  <c r="K401"/>
  <c r="K268"/>
  <c r="L268"/>
  <c r="L385"/>
  <c r="K385"/>
  <c r="K413"/>
  <c r="L413"/>
  <c r="L78"/>
  <c r="K78"/>
  <c r="J465"/>
  <c r="E465"/>
  <c r="F465" s="1"/>
  <c r="J86"/>
  <c r="E86"/>
  <c r="F86" s="1"/>
  <c r="J409"/>
  <c r="E409"/>
  <c r="F409" s="1"/>
  <c r="J264"/>
  <c r="E264"/>
  <c r="F264" s="1"/>
  <c r="J324"/>
  <c r="E324"/>
  <c r="F324" s="1"/>
  <c r="D31" i="307"/>
  <c r="E31" s="1"/>
  <c r="C7"/>
  <c r="E7" s="1"/>
  <c r="L1146" i="309"/>
  <c r="K1146"/>
  <c r="K397" i="140"/>
  <c r="L397"/>
  <c r="L70"/>
  <c r="K42"/>
  <c r="L42"/>
  <c r="L62"/>
  <c r="K248"/>
  <c r="L248"/>
  <c r="K385"/>
  <c r="L385"/>
  <c r="K252"/>
  <c r="L252"/>
  <c r="K66"/>
  <c r="L66"/>
  <c r="K50"/>
  <c r="L50"/>
  <c r="K268"/>
  <c r="L268"/>
  <c r="K54"/>
  <c r="L54"/>
  <c r="K244"/>
  <c r="L244"/>
  <c r="L82"/>
  <c r="K393"/>
  <c r="L393"/>
  <c r="K401"/>
  <c r="L401"/>
  <c r="K78"/>
  <c r="L78"/>
  <c r="K389"/>
  <c r="L389"/>
  <c r="K256"/>
  <c r="L256"/>
  <c r="L58"/>
  <c r="K413"/>
  <c r="L413"/>
  <c r="K98"/>
  <c r="L98"/>
  <c r="K240"/>
  <c r="L240"/>
  <c r="K46"/>
  <c r="L46"/>
  <c r="O397"/>
  <c r="O42"/>
  <c r="O62"/>
  <c r="O248"/>
  <c r="O385"/>
  <c r="O252"/>
  <c r="O66"/>
  <c r="O50"/>
  <c r="O268"/>
  <c r="O54"/>
  <c r="O244"/>
  <c r="O82"/>
  <c r="O393"/>
  <c r="O70"/>
  <c r="O401"/>
  <c r="O78"/>
  <c r="O389"/>
  <c r="O256"/>
  <c r="O58"/>
  <c r="O413"/>
  <c r="O98"/>
  <c r="O240"/>
  <c r="O46"/>
  <c r="M282" i="192"/>
  <c r="E269" i="195"/>
  <c r="F269" s="1"/>
  <c r="J269" s="1"/>
  <c r="I272" i="140"/>
  <c r="J465"/>
  <c r="J409"/>
  <c r="J324"/>
  <c r="J264"/>
  <c r="G219" i="214"/>
  <c r="G220" s="1"/>
  <c r="G224" s="1"/>
  <c r="K202" i="194" s="1"/>
  <c r="G212" i="214"/>
  <c r="G216" s="1"/>
  <c r="K162" i="309" l="1"/>
  <c r="K62"/>
  <c r="K46"/>
  <c r="L62"/>
  <c r="K86" i="140"/>
  <c r="L46" i="309"/>
  <c r="L42"/>
  <c r="K42"/>
  <c r="L66"/>
  <c r="L54"/>
  <c r="O66"/>
  <c r="K54"/>
  <c r="O82"/>
  <c r="K82"/>
  <c r="K50"/>
  <c r="L50"/>
  <c r="F415" i="305"/>
  <c r="G415" s="1"/>
  <c r="I417" i="309"/>
  <c r="L324"/>
  <c r="K324"/>
  <c r="K264"/>
  <c r="L264"/>
  <c r="L409"/>
  <c r="K409"/>
  <c r="K86"/>
  <c r="L86"/>
  <c r="L465"/>
  <c r="K465"/>
  <c r="J272"/>
  <c r="E272"/>
  <c r="F272" s="1"/>
  <c r="O324"/>
  <c r="O264"/>
  <c r="O409"/>
  <c r="O86"/>
  <c r="O465"/>
  <c r="K409" i="140"/>
  <c r="L409"/>
  <c r="K324"/>
  <c r="L324"/>
  <c r="K465"/>
  <c r="L465"/>
  <c r="K264"/>
  <c r="L264"/>
  <c r="O409"/>
  <c r="O264"/>
  <c r="O86"/>
  <c r="O465"/>
  <c r="O324"/>
  <c r="J272"/>
  <c r="M202" i="194"/>
  <c r="E414" i="195"/>
  <c r="F414" s="1"/>
  <c r="J414" s="1"/>
  <c r="I417" i="140"/>
  <c r="O272" i="309" l="1"/>
  <c r="K272"/>
  <c r="L272"/>
  <c r="J417"/>
  <c r="E417"/>
  <c r="F417" s="1"/>
  <c r="K272" i="140"/>
  <c r="L272"/>
  <c r="O272"/>
  <c r="J417"/>
  <c r="O417" i="309" l="1"/>
  <c r="L417"/>
  <c r="K417"/>
  <c r="K417" i="140"/>
  <c r="L417"/>
  <c r="O417"/>
  <c r="E23" i="176"/>
  <c r="E24"/>
  <c r="E25"/>
  <c r="E26"/>
  <c r="E27"/>
  <c r="E21"/>
  <c r="E19"/>
  <c r="E17"/>
  <c r="E15"/>
  <c r="E11"/>
  <c r="E13"/>
  <c r="E14"/>
  <c r="E16"/>
  <c r="E18"/>
  <c r="E20"/>
  <c r="E22"/>
  <c r="I1126" i="195"/>
  <c r="I1127"/>
  <c r="I1128"/>
  <c r="I1129"/>
  <c r="E43" i="139" l="1"/>
  <c r="F43"/>
  <c r="G43" l="1"/>
  <c r="F32"/>
  <c r="E32"/>
  <c r="F31"/>
  <c r="F34" i="165"/>
  <c r="B21" i="171" l="1"/>
  <c r="D21" s="1"/>
  <c r="C15" i="307"/>
  <c r="F20" i="171"/>
  <c r="D14" i="307"/>
  <c r="F21" i="171"/>
  <c r="D15" i="307"/>
  <c r="H21" i="171"/>
  <c r="I21" s="1"/>
  <c r="G32" i="139"/>
  <c r="E15" i="307" l="1"/>
  <c r="G13" i="140"/>
  <c r="C12" i="195"/>
  <c r="E8" i="139"/>
  <c r="G8" s="1"/>
  <c r="G18" s="1"/>
  <c r="H178" i="196" s="1"/>
  <c r="M48" i="132"/>
  <c r="J13" i="140" l="1"/>
  <c r="I12" i="195"/>
  <c r="C10" i="196" s="1"/>
  <c r="F10" s="1"/>
  <c r="F12" i="195"/>
  <c r="K13" i="140" l="1"/>
  <c r="L13"/>
  <c r="O13"/>
  <c r="J12" i="195"/>
  <c r="H10" i="196" s="1"/>
  <c r="H176" s="1"/>
  <c r="H179" s="1"/>
  <c r="H1131" i="195"/>
  <c r="G1131"/>
  <c r="J1129"/>
  <c r="J1128"/>
  <c r="F106" i="139"/>
  <c r="F38" i="171" s="1"/>
  <c r="N27" i="176" s="1"/>
  <c r="J27" s="1"/>
  <c r="F105" i="139"/>
  <c r="F104"/>
  <c r="F103"/>
  <c r="F102"/>
  <c r="F101"/>
  <c r="E103"/>
  <c r="C26" i="307" s="1"/>
  <c r="E104" i="139"/>
  <c r="C27" i="307" s="1"/>
  <c r="E105" i="139"/>
  <c r="E106"/>
  <c r="B38" i="171" s="1"/>
  <c r="E101" i="139"/>
  <c r="F113" i="165"/>
  <c r="F114"/>
  <c r="F115"/>
  <c r="F116"/>
  <c r="F111"/>
  <c r="F84" i="139"/>
  <c r="F29" i="171" s="1"/>
  <c r="N19" i="176" s="1"/>
  <c r="J19" s="1"/>
  <c r="F83" i="139"/>
  <c r="F74"/>
  <c r="F73"/>
  <c r="F64"/>
  <c r="F63"/>
  <c r="E63"/>
  <c r="F59" i="165"/>
  <c r="F53" i="139"/>
  <c r="F52"/>
  <c r="E52"/>
  <c r="F46" i="165"/>
  <c r="F23" i="171"/>
  <c r="N13" i="176" s="1"/>
  <c r="J13" s="1"/>
  <c r="B23" i="171"/>
  <c r="F42" i="139"/>
  <c r="F28" i="165"/>
  <c r="F27" i="139"/>
  <c r="F19" i="171" s="1"/>
  <c r="J11" i="176" s="1"/>
  <c r="F26" i="139"/>
  <c r="F25" i="171" l="1"/>
  <c r="N15" i="176" s="1"/>
  <c r="J15" s="1"/>
  <c r="D20" i="307"/>
  <c r="E20" s="1"/>
  <c r="F32" i="171"/>
  <c r="N21" i="176" s="1"/>
  <c r="J21" s="1"/>
  <c r="D18" i="307"/>
  <c r="F27" i="171"/>
  <c r="N17" i="176" s="1"/>
  <c r="J17" s="1"/>
  <c r="D22" i="307"/>
  <c r="B37" i="171"/>
  <c r="D37" s="1"/>
  <c r="D26" i="176" s="1"/>
  <c r="H26" s="1"/>
  <c r="C28" i="307"/>
  <c r="F36" i="171"/>
  <c r="N25" i="176" s="1"/>
  <c r="J25" s="1"/>
  <c r="D27" i="307"/>
  <c r="E27" s="1"/>
  <c r="F35" i="171"/>
  <c r="N24" i="176" s="1"/>
  <c r="J24" s="1"/>
  <c r="D26" i="307"/>
  <c r="E26" s="1"/>
  <c r="F37" i="171"/>
  <c r="N26" i="176" s="1"/>
  <c r="J26" s="1"/>
  <c r="D28" i="307"/>
  <c r="C24"/>
  <c r="F34" i="171"/>
  <c r="N23" i="176" s="1"/>
  <c r="J23" s="1"/>
  <c r="D25" i="307"/>
  <c r="F22" i="171"/>
  <c r="N12" i="176" s="1"/>
  <c r="D16" i="307"/>
  <c r="F18" i="171"/>
  <c r="J10" i="176" s="1"/>
  <c r="D13" i="307"/>
  <c r="F24" i="171"/>
  <c r="D19" i="307"/>
  <c r="F31" i="171"/>
  <c r="N20" i="176" s="1"/>
  <c r="D17" i="307"/>
  <c r="F26" i="171"/>
  <c r="D21" i="307"/>
  <c r="F28" i="171"/>
  <c r="D23" i="307"/>
  <c r="E23" s="1"/>
  <c r="F33" i="171"/>
  <c r="N22" i="176" s="1"/>
  <c r="D24" i="307"/>
  <c r="B24" i="171"/>
  <c r="C19" i="307"/>
  <c r="B31" i="171"/>
  <c r="C17" i="307"/>
  <c r="B33" i="171"/>
  <c r="G103" i="139"/>
  <c r="B35" i="171"/>
  <c r="D35" s="1"/>
  <c r="D24" i="176" s="1"/>
  <c r="H38" i="171"/>
  <c r="I38" s="1"/>
  <c r="L27" i="176" s="1"/>
  <c r="D38" i="171"/>
  <c r="D27" i="176" s="1"/>
  <c r="H27" s="1"/>
  <c r="K27" s="1"/>
  <c r="G104" i="139"/>
  <c r="B36" i="171"/>
  <c r="G106" i="139"/>
  <c r="G105"/>
  <c r="E28" i="307" l="1"/>
  <c r="E17"/>
  <c r="E19"/>
  <c r="H37" i="171"/>
  <c r="I37" s="1"/>
  <c r="L26" i="176" s="1"/>
  <c r="K26"/>
  <c r="K24"/>
  <c r="E24" i="307"/>
  <c r="H35" i="171"/>
  <c r="I35" s="1"/>
  <c r="L24" i="176" s="1"/>
  <c r="H36" i="171"/>
  <c r="I36" s="1"/>
  <c r="L25" i="176" s="1"/>
  <c r="D36" i="171"/>
  <c r="D25" i="176" s="1"/>
  <c r="H25" s="1"/>
  <c r="K25" s="1"/>
  <c r="G101" i="139" l="1"/>
  <c r="G52" l="1"/>
  <c r="E102" l="1"/>
  <c r="F112" i="165"/>
  <c r="F118" s="1"/>
  <c r="E107" i="139" l="1"/>
  <c r="C25" i="307"/>
  <c r="E25" s="1"/>
  <c r="G102" i="139"/>
  <c r="G107" s="1"/>
  <c r="H107" s="1"/>
  <c r="B34" i="171"/>
  <c r="P179" i="196"/>
  <c r="D34" i="171" l="1"/>
  <c r="D23" i="176" s="1"/>
  <c r="H23" s="1"/>
  <c r="H34" i="171"/>
  <c r="I34" s="1"/>
  <c r="L23" i="176" s="1"/>
  <c r="E12" l="1"/>
  <c r="E28"/>
  <c r="E10"/>
  <c r="J36"/>
  <c r="J35"/>
  <c r="J34"/>
  <c r="N16"/>
  <c r="J16" s="1"/>
  <c r="I13" i="182" s="1"/>
  <c r="E8" i="170"/>
  <c r="E2" i="171" s="1"/>
  <c r="B3" i="176" s="1"/>
  <c r="B1" i="183"/>
  <c r="G1" s="1"/>
  <c r="E16" i="182"/>
  <c r="E19" s="1"/>
  <c r="C8"/>
  <c r="H8" s="1"/>
  <c r="B2" i="183"/>
  <c r="G2" s="1"/>
  <c r="M28" i="176"/>
  <c r="M7"/>
  <c r="B5"/>
  <c r="C3" i="174"/>
  <c r="D4" i="175" s="1"/>
  <c r="K49" i="171"/>
  <c r="L45"/>
  <c r="H46" s="1"/>
  <c r="H17"/>
  <c r="I17" s="1"/>
  <c r="D17"/>
  <c r="B5"/>
  <c r="H4" i="170"/>
  <c r="D33" i="171" l="1"/>
  <c r="H22" i="176" s="1"/>
  <c r="J22"/>
  <c r="K29"/>
  <c r="L29" l="1"/>
  <c r="J384" i="140" l="1"/>
  <c r="H33" i="171" l="1"/>
  <c r="I33" s="1"/>
  <c r="L22" i="176" s="1"/>
  <c r="N14" l="1"/>
  <c r="J12" l="1"/>
  <c r="J14"/>
  <c r="J20" l="1"/>
  <c r="K22" l="1"/>
  <c r="D2" i="180" l="1"/>
  <c r="N18" i="176" l="1"/>
  <c r="J18" s="1"/>
  <c r="I12" i="182" s="1"/>
  <c r="E42" i="139" l="1"/>
  <c r="F21" i="165"/>
  <c r="F25" s="1"/>
  <c r="B22" i="171" l="1"/>
  <c r="C16" i="307"/>
  <c r="E16" s="1"/>
  <c r="F27" i="165"/>
  <c r="F29" s="1"/>
  <c r="G42" i="139"/>
  <c r="G44" s="1"/>
  <c r="H44" s="1"/>
  <c r="F30" i="165" l="1"/>
  <c r="G63" i="139"/>
  <c r="L8" i="140" l="1"/>
  <c r="K8"/>
  <c r="E84" i="139" l="1"/>
  <c r="B29" i="171" s="1"/>
  <c r="F85" i="165"/>
  <c r="G84" i="139" l="1"/>
  <c r="D29" i="171"/>
  <c r="D19" i="176" s="1"/>
  <c r="M19" s="1"/>
  <c r="H19" s="1"/>
  <c r="K19" s="1"/>
  <c r="H29" i="171"/>
  <c r="I29" s="1"/>
  <c r="L19" i="176" s="1"/>
  <c r="F39" i="165" l="1"/>
  <c r="F184" i="196" l="1"/>
  <c r="F44" i="165"/>
  <c r="J239" i="140" l="1"/>
  <c r="J623"/>
  <c r="L1148" l="1"/>
  <c r="K1148"/>
  <c r="K1147"/>
  <c r="L1147"/>
  <c r="H116" i="139"/>
  <c r="H39" i="171" l="1"/>
  <c r="I39" s="1"/>
  <c r="N28" i="176"/>
  <c r="E73" i="139" l="1"/>
  <c r="C21" i="307" l="1"/>
  <c r="E21" s="1"/>
  <c r="F47" i="165"/>
  <c r="F8"/>
  <c r="F12" s="1"/>
  <c r="F52"/>
  <c r="F57" s="1"/>
  <c r="F48" l="1"/>
  <c r="F49" s="1"/>
  <c r="F73"/>
  <c r="E74" i="139"/>
  <c r="F72" i="165"/>
  <c r="E54" i="139"/>
  <c r="B25" i="171"/>
  <c r="G53" i="139"/>
  <c r="G54" s="1"/>
  <c r="H54" s="1"/>
  <c r="E64"/>
  <c r="F60" i="165"/>
  <c r="E65" i="139" l="1"/>
  <c r="C18" i="307"/>
  <c r="E18" s="1"/>
  <c r="E75" i="139"/>
  <c r="C22" i="307"/>
  <c r="E22" s="1"/>
  <c r="F61" i="165"/>
  <c r="F62" s="1"/>
  <c r="H60"/>
  <c r="B27" i="171"/>
  <c r="D27" s="1"/>
  <c r="M17" i="176" s="1"/>
  <c r="H17" s="1"/>
  <c r="K17" s="1"/>
  <c r="G81" i="139"/>
  <c r="G74"/>
  <c r="F74" i="165"/>
  <c r="B26" i="171"/>
  <c r="G73" i="139"/>
  <c r="K40"/>
  <c r="B32" i="171"/>
  <c r="G64" i="139"/>
  <c r="G65" s="1"/>
  <c r="H65" s="1"/>
  <c r="H27" i="171" l="1"/>
  <c r="I27" s="1"/>
  <c r="F78" i="165"/>
  <c r="F82" s="1"/>
  <c r="G75" i="139"/>
  <c r="H75" l="1"/>
  <c r="F84" i="165"/>
  <c r="F86" s="1"/>
  <c r="E85" i="139" l="1"/>
  <c r="G83"/>
  <c r="G85" s="1"/>
  <c r="H85" s="1"/>
  <c r="B28" i="171"/>
  <c r="K16"/>
  <c r="L16" s="1"/>
  <c r="H18" i="139"/>
  <c r="E9" i="307" s="1"/>
  <c r="C9" l="1"/>
  <c r="M179" i="196"/>
  <c r="F185"/>
  <c r="J179"/>
  <c r="I179" l="1"/>
  <c r="D28" i="171"/>
  <c r="D18" i="176" s="1"/>
  <c r="D22" i="171"/>
  <c r="H22"/>
  <c r="H28"/>
  <c r="I28" s="1"/>
  <c r="L18" i="176" s="1"/>
  <c r="K179" i="196" l="1"/>
  <c r="L179"/>
  <c r="F182"/>
  <c r="M18" i="176"/>
  <c r="H18" s="1"/>
  <c r="H23" i="171"/>
  <c r="I23" s="1"/>
  <c r="L13" i="176" s="1"/>
  <c r="I22" i="171"/>
  <c r="L12" i="176" s="1"/>
  <c r="F183" i="196" l="1"/>
  <c r="F186" s="1"/>
  <c r="O179"/>
  <c r="H12" i="182"/>
  <c r="J12" s="1"/>
  <c r="K18" i="176"/>
  <c r="F119" i="165"/>
  <c r="F65"/>
  <c r="F70" s="1"/>
  <c r="D26" i="171"/>
  <c r="D23"/>
  <c r="H25"/>
  <c r="M4015" i="132" l="1"/>
  <c r="M12" i="176"/>
  <c r="H12" s="1"/>
  <c r="D13"/>
  <c r="M16"/>
  <c r="H16" s="1"/>
  <c r="H26" i="171"/>
  <c r="I26" s="1"/>
  <c r="I25"/>
  <c r="L15" i="176" s="1"/>
  <c r="D25" i="171"/>
  <c r="G1129" i="305" l="1"/>
  <c r="J1142" i="309"/>
  <c r="D15" i="176"/>
  <c r="M15" s="1"/>
  <c r="H15" s="1"/>
  <c r="K15" s="1"/>
  <c r="O1146" i="140"/>
  <c r="K1146"/>
  <c r="L1146"/>
  <c r="F1127" i="195"/>
  <c r="J1127" s="1"/>
  <c r="J1142" i="140"/>
  <c r="M13" i="176"/>
  <c r="H13" s="1"/>
  <c r="K13" s="1"/>
  <c r="H4" i="177"/>
  <c r="K12" i="176"/>
  <c r="H13" i="182"/>
  <c r="J13" s="1"/>
  <c r="J19" s="1"/>
  <c r="K16" i="176"/>
  <c r="D24" i="171"/>
  <c r="D14" i="176" s="1"/>
  <c r="H24" i="171"/>
  <c r="I24" s="1"/>
  <c r="L14" i="176" s="1"/>
  <c r="K1142" i="140" l="1"/>
  <c r="F1142" i="309"/>
  <c r="O1142" s="1"/>
  <c r="H4" i="178"/>
  <c r="L1142" i="140"/>
  <c r="O1142"/>
  <c r="D2" i="177"/>
  <c r="H32" i="171"/>
  <c r="I32" s="1"/>
  <c r="L21" i="176" s="1"/>
  <c r="D32" i="171"/>
  <c r="D21" i="176" s="1"/>
  <c r="M21" s="1"/>
  <c r="H21" s="1"/>
  <c r="K21" s="1"/>
  <c r="M14"/>
  <c r="H14" s="1"/>
  <c r="K14" s="1"/>
  <c r="D2" i="178" s="1"/>
  <c r="L1142" i="309" l="1"/>
  <c r="K1142"/>
  <c r="H31" i="171"/>
  <c r="D31"/>
  <c r="D20" i="176" s="1"/>
  <c r="H4" i="179" s="1"/>
  <c r="I31" i="171" l="1"/>
  <c r="L20" i="176" s="1"/>
  <c r="M20"/>
  <c r="H20" s="1"/>
  <c r="K20" s="1"/>
  <c r="D2" i="179" s="1"/>
  <c r="M1544" i="192" l="1"/>
  <c r="G9" i="303" s="1"/>
  <c r="M963" i="194" l="1"/>
  <c r="G10" i="303" s="1"/>
  <c r="H4" i="180" l="1"/>
  <c r="E31" i="139" l="1"/>
  <c r="F33" i="165"/>
  <c r="F35" s="1"/>
  <c r="F36" s="1"/>
  <c r="G31" i="139" l="1"/>
  <c r="G34" s="1"/>
  <c r="H34" s="1"/>
  <c r="C14" i="307"/>
  <c r="E14" s="1"/>
  <c r="B20" i="171"/>
  <c r="H20" l="1"/>
  <c r="D20"/>
  <c r="G14" i="303" l="1"/>
  <c r="I20" i="171"/>
  <c r="F1135" i="195" l="1"/>
  <c r="E15" i="303"/>
  <c r="G20" l="1"/>
  <c r="H109" i="139"/>
  <c r="H110" s="1"/>
  <c r="F15" i="165" l="1"/>
  <c r="E27" i="139"/>
  <c r="G27" s="1"/>
  <c r="F14" i="165"/>
  <c r="E26" i="139"/>
  <c r="E29" l="1"/>
  <c r="C13" i="307" s="1"/>
  <c r="E13" s="1"/>
  <c r="F16" i="165"/>
  <c r="F88" s="1"/>
  <c r="M4016" i="132" s="1"/>
  <c r="B18" i="171"/>
  <c r="G15" i="302" s="1"/>
  <c r="G26" i="139"/>
  <c r="G29" s="1"/>
  <c r="H29" s="1"/>
  <c r="B19" i="171"/>
  <c r="G1128" i="305" l="1"/>
  <c r="M4019" i="132"/>
  <c r="J1141" i="309"/>
  <c r="J1141" i="140"/>
  <c r="F1126" i="195"/>
  <c r="I15" i="302"/>
  <c r="I17" s="1"/>
  <c r="G17"/>
  <c r="J15" s="1"/>
  <c r="L15" s="1"/>
  <c r="H19" i="171"/>
  <c r="I19" s="1"/>
  <c r="L11" i="176" s="1"/>
  <c r="D19" i="171"/>
  <c r="D11" i="176" s="1"/>
  <c r="D18" i="171"/>
  <c r="D10" i="176" s="1"/>
  <c r="H18" i="171"/>
  <c r="J108" i="139" l="1"/>
  <c r="G108" s="1"/>
  <c r="H108" s="1"/>
  <c r="I4020" i="132"/>
  <c r="M4020" s="1"/>
  <c r="N4024" s="1"/>
  <c r="M4024" s="1"/>
  <c r="F1131" i="195"/>
  <c r="F1136" s="1"/>
  <c r="J1126"/>
  <c r="J1131" s="1"/>
  <c r="L1141" i="140"/>
  <c r="K1141"/>
  <c r="O1141"/>
  <c r="F1141" i="309"/>
  <c r="O1141" s="1"/>
  <c r="N10" i="176"/>
  <c r="M10"/>
  <c r="H10" s="1"/>
  <c r="K10" s="1"/>
  <c r="I18" i="171"/>
  <c r="N11" i="176"/>
  <c r="M11"/>
  <c r="H11" s="1"/>
  <c r="K11" s="1"/>
  <c r="M4025" i="132" l="1"/>
  <c r="O3269"/>
  <c r="N178" i="196"/>
  <c r="P1827" i="132"/>
  <c r="H118" i="139"/>
  <c r="D33" i="307" s="1"/>
  <c r="E33" s="1"/>
  <c r="J1149" i="140"/>
  <c r="G1136" i="305"/>
  <c r="L1141" i="309"/>
  <c r="H113" i="139"/>
  <c r="J1145" i="309"/>
  <c r="J1145" i="140"/>
  <c r="G1132" i="305"/>
  <c r="H19" i="303"/>
  <c r="K1141" i="309"/>
  <c r="L10" i="176"/>
  <c r="N174" i="196"/>
  <c r="N176" s="1"/>
  <c r="K43" i="171"/>
  <c r="K30" s="1"/>
  <c r="H112" i="139"/>
  <c r="G1138" i="305" l="1"/>
  <c r="N179" i="196"/>
  <c r="H119" i="139"/>
  <c r="F1145" i="309"/>
  <c r="O1145" s="1"/>
  <c r="L1145" i="140"/>
  <c r="K1145"/>
  <c r="O1145"/>
  <c r="J1159"/>
  <c r="F1160" s="1"/>
  <c r="F1161" s="1"/>
  <c r="J1152" i="309"/>
  <c r="F1153" s="1"/>
  <c r="F1149"/>
  <c r="O1149" i="140"/>
  <c r="K1149"/>
  <c r="L1149"/>
  <c r="L1159" s="1"/>
  <c r="C6" i="307"/>
  <c r="E6" s="1"/>
  <c r="D30"/>
  <c r="E30" s="1"/>
  <c r="D29" s="1"/>
  <c r="E29" s="1"/>
  <c r="E34" s="1"/>
  <c r="K42" i="171"/>
  <c r="C8" i="307" l="1"/>
  <c r="E8" s="1"/>
  <c r="E10" s="1"/>
  <c r="K1159" i="140"/>
  <c r="L1160" s="1"/>
  <c r="L1161" s="1"/>
  <c r="L1145" i="309"/>
  <c r="K1145"/>
  <c r="F1152"/>
  <c r="F1154" s="1"/>
  <c r="O1149"/>
  <c r="L1149"/>
  <c r="L1152" s="1"/>
  <c r="K1149"/>
  <c r="F30" i="171"/>
  <c r="K44"/>
  <c r="B30" s="1"/>
  <c r="K1152" i="309" l="1"/>
  <c r="L1153" s="1"/>
  <c r="L1154" s="1"/>
  <c r="D30" i="171"/>
  <c r="H30"/>
  <c r="I30" s="1"/>
  <c r="H45" l="1"/>
  <c r="H47" s="1"/>
  <c r="M31" i="176" s="1"/>
  <c r="L28"/>
  <c r="I45" i="171"/>
  <c r="J28" i="176" l="1"/>
  <c r="K28" s="1"/>
  <c r="L31"/>
  <c r="D2" i="181" l="1"/>
  <c r="K31" i="176"/>
  <c r="M32" s="1"/>
  <c r="N31"/>
</calcChain>
</file>

<file path=xl/sharedStrings.xml><?xml version="1.0" encoding="utf-8"?>
<sst xmlns="http://schemas.openxmlformats.org/spreadsheetml/2006/main" count="67791" uniqueCount="3881">
  <si>
    <t xml:space="preserve"> </t>
  </si>
  <si>
    <t>Frames : Sal Wood</t>
  </si>
  <si>
    <t>Vertical posts</t>
  </si>
  <si>
    <t>Local</t>
  </si>
  <si>
    <t>Kg</t>
  </si>
  <si>
    <t>Cum</t>
  </si>
  <si>
    <t>Quantity</t>
  </si>
  <si>
    <t>Description of the work</t>
  </si>
  <si>
    <t>Rate</t>
  </si>
  <si>
    <t>Per</t>
  </si>
  <si>
    <t>Amount</t>
  </si>
  <si>
    <t>No's</t>
  </si>
  <si>
    <t>L</t>
  </si>
  <si>
    <t>B</t>
  </si>
  <si>
    <t>D</t>
  </si>
  <si>
    <t>-</t>
  </si>
  <si>
    <t>Unit</t>
  </si>
  <si>
    <t>Blasting charges</t>
  </si>
  <si>
    <t>a)</t>
  </si>
  <si>
    <t>Mazdoor (Un-Skilled)</t>
  </si>
  <si>
    <t>b)</t>
  </si>
  <si>
    <t>hour</t>
  </si>
  <si>
    <t>Material</t>
  </si>
  <si>
    <t>S No</t>
  </si>
  <si>
    <t>Index Code</t>
  </si>
  <si>
    <t>Description of the Work</t>
  </si>
  <si>
    <t xml:space="preserve">Labour </t>
  </si>
  <si>
    <t>day</t>
  </si>
  <si>
    <t>Rate per 1 Cum</t>
  </si>
  <si>
    <t>MT</t>
  </si>
  <si>
    <t>Lit</t>
  </si>
  <si>
    <t>Unit = Cum</t>
  </si>
  <si>
    <t>Sand for filling</t>
  </si>
  <si>
    <t xml:space="preserve">Cement  </t>
  </si>
  <si>
    <t>t</t>
  </si>
  <si>
    <t>cum</t>
  </si>
  <si>
    <t>Unit = tonne</t>
  </si>
  <si>
    <t>HYSD Bars including 5% for overlaps &amp; wastage</t>
  </si>
  <si>
    <t>Binding wire</t>
  </si>
  <si>
    <t>Rate per 1.000 tonne</t>
  </si>
  <si>
    <t>Taking Output 1.000 tonne</t>
  </si>
  <si>
    <t>Bricks</t>
  </si>
  <si>
    <t>Unit = 10 Sqm</t>
  </si>
  <si>
    <t>Cement Mortar (1:3)</t>
  </si>
  <si>
    <t xml:space="preserve">Cost of Cement  </t>
  </si>
  <si>
    <t>Man Mazdoor for mixing mortar</t>
  </si>
  <si>
    <t>BLD-CSTN    -1-4</t>
  </si>
  <si>
    <t>Cement Mortar (1:4)</t>
  </si>
  <si>
    <t>Cement Mortar (1:5)</t>
  </si>
  <si>
    <t>Cement Mortar (1:6)</t>
  </si>
  <si>
    <t>Cement Mortar (1:8)</t>
  </si>
  <si>
    <t>BLD-CSTN    -1-5</t>
  </si>
  <si>
    <t>BLD-CSTN    -1-6</t>
  </si>
  <si>
    <t>BLD-CSTN    -1-7</t>
  </si>
  <si>
    <t>BLD-CSTN    -1-8</t>
  </si>
  <si>
    <t>Filling with Sand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</si>
  <si>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Coarse aggregate 40mm metal</t>
  </si>
  <si>
    <t>water (including for curing)</t>
  </si>
  <si>
    <t>kl</t>
  </si>
  <si>
    <t>Kl</t>
  </si>
  <si>
    <t>A. Materials</t>
  </si>
  <si>
    <t>B. Machinery</t>
  </si>
  <si>
    <t>Concrete mixer 10/7 cft (0.2/0.8cum) capacity</t>
  </si>
  <si>
    <t>C. Labour</t>
  </si>
  <si>
    <t>Mason 1st class</t>
  </si>
  <si>
    <t>BLD-CSTN-2-7</t>
  </si>
  <si>
    <t>BLD-CSTN-2-13-A</t>
  </si>
  <si>
    <t xml:space="preserve">Plain Cement Concrete (1:5:10) proportion Nominal mix for foundations using 40mm size SS-5 metal including cost and conveyance of all materials and curing charges, labour charges, machine mixing and laying concrete in foundations ramming etc complete for Bed Concrete  (APSS No 402)  </t>
  </si>
  <si>
    <t>B. Labour</t>
  </si>
  <si>
    <t>Mason 2nd class</t>
  </si>
  <si>
    <t>Mazdoor (both Men and Women)</t>
  </si>
  <si>
    <t>Basic Cost for 1.00 Cum</t>
  </si>
  <si>
    <t>Columns Footings</t>
  </si>
  <si>
    <t>Rate for M-20 Nominal Basic Cost 1.00 Cum</t>
  </si>
  <si>
    <t>Columns Pedastals</t>
  </si>
  <si>
    <t>Plinth Beams</t>
  </si>
  <si>
    <t>BLD-CSTN-2-13-B</t>
  </si>
  <si>
    <t>sqm</t>
  </si>
  <si>
    <t>BLD-CSTN-2-13-C</t>
  </si>
  <si>
    <t>Roof Slabs and Beams</t>
  </si>
  <si>
    <t>Columns, Lintels and  RCC Walls in Buildings</t>
  </si>
  <si>
    <t>Foundations, plinth Beams and  Pedastals</t>
  </si>
  <si>
    <t>RM</t>
  </si>
  <si>
    <t>BLD-CSTN-    3-1a (iv)</t>
  </si>
  <si>
    <t>Unit = 1 Cum</t>
  </si>
  <si>
    <t>Mazdoor (un-skilled)</t>
  </si>
  <si>
    <t>Rate per 1.00 Cum</t>
  </si>
  <si>
    <t>BLD-CSTN-6-1</t>
  </si>
  <si>
    <t>Rate per 10.00 Sqm</t>
  </si>
  <si>
    <t>BLD-CSTN-6-3</t>
  </si>
  <si>
    <t>kg</t>
  </si>
  <si>
    <t>Cement for CM (1:8) proportion for basecoat</t>
  </si>
  <si>
    <t>Cement for slurry</t>
  </si>
  <si>
    <t>Cement for jointing</t>
  </si>
  <si>
    <t>Painter 1st class</t>
  </si>
  <si>
    <t>Sundries including brushes @ 1% overall above</t>
  </si>
  <si>
    <t>BLD-CSTN -10-6 &amp; 10-12 (iii)</t>
  </si>
  <si>
    <t>Primary Coat on New Wood Work</t>
  </si>
  <si>
    <t>Painting Two Coats on New Wood Work</t>
  </si>
  <si>
    <t>Total Rate per Primary &amp;Two coats 10.00 Sqm</t>
  </si>
  <si>
    <t>Unit = Each</t>
  </si>
  <si>
    <t>Earthwork Excavation</t>
  </si>
  <si>
    <t>Sqm</t>
  </si>
  <si>
    <t>Total Qty</t>
  </si>
  <si>
    <t>Rs</t>
  </si>
  <si>
    <t>Cement for CM (1:3) for basecoat</t>
  </si>
  <si>
    <t>a) Material</t>
  </si>
  <si>
    <t xml:space="preserve">Cement </t>
  </si>
  <si>
    <t>Day</t>
  </si>
  <si>
    <t>Sand for Concrete</t>
  </si>
  <si>
    <t>Sand for Plastering including 5% wastage</t>
  </si>
  <si>
    <t>Sand for Mortar including 5% wastage</t>
  </si>
  <si>
    <t xml:space="preserve">Sand for Concrete </t>
  </si>
  <si>
    <t xml:space="preserve">Fine aggregate (Sand) for Mortar </t>
  </si>
  <si>
    <t xml:space="preserve">Sand for Mortar CM (1:8) proportion </t>
  </si>
  <si>
    <t>No</t>
  </si>
  <si>
    <t>Grant</t>
  </si>
  <si>
    <t>Total</t>
  </si>
  <si>
    <t xml:space="preserve">Mazdoor (Un-Skilled) </t>
  </si>
  <si>
    <t xml:space="preserve">Rate per 1 Cum </t>
  </si>
  <si>
    <t xml:space="preserve">Bar bender  </t>
  </si>
  <si>
    <t>Rate per 1.00 Sqm</t>
  </si>
  <si>
    <t>Unskilled Labour Charges</t>
  </si>
  <si>
    <t>Measurements</t>
  </si>
  <si>
    <t xml:space="preserve">Supplying, fitting &amp; placing HYSD bar reinforcement in foundation complete including labour charges for cutting, bending to required sizes and shapes, placing in position and tying with binding wire, forming grills for reinforcement work including c/c of steel bars below 36mm dia including overlaps and wastage, where they are not welded </t>
  </si>
  <si>
    <t xml:space="preserve">Ceiling Plastering to Ceiling in CM (1:3) 12mm thick with dubara sponge finishing  including c/c of all materials including labour charges such as mixing cement mortar and curing etc complete for finished item of work (APSS 901 &amp; 903) </t>
  </si>
  <si>
    <t xml:space="preserve">Plastering in CM (1:5) 12mm thick  single coat including c/c of all materials and labour charges such as mixing cement mortar etc and curing etc complete for finished item of work (APSS 901,  903 &amp; 904) </t>
  </si>
  <si>
    <t>RCC  Columns</t>
  </si>
  <si>
    <t xml:space="preserve">RCC  Plinth Beam </t>
  </si>
  <si>
    <t>RCC Lintels</t>
  </si>
  <si>
    <t>RCC  Sunshades</t>
  </si>
  <si>
    <t>RCC  Roof Beams</t>
  </si>
  <si>
    <t>RCC Footings</t>
  </si>
  <si>
    <t>RCC Pedastals</t>
  </si>
  <si>
    <t>BM CM (1:8) Super</t>
  </si>
  <si>
    <t>Sand Filling</t>
  </si>
  <si>
    <t>Cement required</t>
  </si>
  <si>
    <t>Ceiling Plaster CM (1:3) 12mm</t>
  </si>
  <si>
    <t>Qty</t>
  </si>
  <si>
    <t>Metal</t>
  </si>
  <si>
    <t xml:space="preserve">Total  </t>
  </si>
  <si>
    <t>Kgs</t>
  </si>
  <si>
    <t>Bags</t>
  </si>
  <si>
    <t>Task Name</t>
  </si>
  <si>
    <t>Task Code</t>
  </si>
  <si>
    <t>Rate per Unit in Rs</t>
  </si>
  <si>
    <t>days</t>
  </si>
  <si>
    <t>CW09.40 mm nominal HBG/HBT Graded Metal</t>
  </si>
  <si>
    <t>BLD-CSTN- 8 -25</t>
  </si>
  <si>
    <t>Deputy Executive Engineer</t>
  </si>
  <si>
    <t>Painter</t>
  </si>
  <si>
    <t xml:space="preserve">Providing impervious coat to exposed RCC Roof Slab surface with CM (1:3) 12mm thick with 1Kg of water proof compound per bag of Cement laid over roof when it is green including c/c of all materials and labour charges for mixing mortar, laying, rendering smooth and thread lining of wall &amp; slab etc complete for finished item of work (APSS 901,903) </t>
  </si>
  <si>
    <t>Footings</t>
  </si>
  <si>
    <t>Grand Total :</t>
  </si>
  <si>
    <t>20mm HBG Machine Crushed Chips</t>
  </si>
  <si>
    <t>\</t>
  </si>
  <si>
    <t>Skilled Electrician</t>
  </si>
  <si>
    <t>Helper</t>
  </si>
  <si>
    <t>BLD-CSTN-2-5</t>
  </si>
  <si>
    <t xml:space="preserve">Plain Cement Concrete (1:4:8) proportion Nominal mix for foundations using 40mm size SS-5 metal including cost and conveyance of all materials and curing charges, labour charges, machine mixing and laying concrete in foundations ramming etc complete for Bed Concrete  (APSS No 402)  </t>
  </si>
  <si>
    <t>Needle Vibrator 40mm (Petrole)</t>
  </si>
  <si>
    <t>GF</t>
  </si>
  <si>
    <t>FF</t>
  </si>
  <si>
    <t>SF</t>
  </si>
  <si>
    <t xml:space="preserve">Centering charges for Columns material hire charges </t>
  </si>
  <si>
    <t xml:space="preserve">Centering charges for Columns Labour charges </t>
  </si>
  <si>
    <t xml:space="preserve">Centering charges for Lintels material hire charges </t>
  </si>
  <si>
    <t xml:space="preserve">Centering charges for Lintels Labour charges </t>
  </si>
  <si>
    <t>Basic Rate Chajja 1.00 Cum</t>
  </si>
  <si>
    <t>2.0M X 0.5M X 0.05M = 0.05Cum / 1.00 Sqm</t>
  </si>
  <si>
    <t>Add Lift Charges @ 10%, 20% on Labour charges on B</t>
  </si>
  <si>
    <t xml:space="preserve">Centering charges for Chajja material hire charges </t>
  </si>
  <si>
    <t xml:space="preserve">Centering charges for Chajja Labour charges </t>
  </si>
  <si>
    <t>Sunshades of 0.60M width with 3" &amp; 2" thick</t>
  </si>
  <si>
    <t>Basic Rate Sunshade 1.00 Cum</t>
  </si>
  <si>
    <t xml:space="preserve"> 1.00 Sqm</t>
  </si>
  <si>
    <t xml:space="preserve"> 1.00 RM</t>
  </si>
  <si>
    <t xml:space="preserve">Centering charges for Beams material hire charges </t>
  </si>
  <si>
    <t xml:space="preserve">Centering charges for Beams Labour charges </t>
  </si>
  <si>
    <t xml:space="preserve">Centering charges for Roof Slab material hire charges </t>
  </si>
  <si>
    <t xml:space="preserve">Centering charges for Roof Slab Labour charges </t>
  </si>
  <si>
    <t>1.00 Sqm</t>
  </si>
  <si>
    <t>1.00 Cum</t>
  </si>
  <si>
    <t xml:space="preserve">Centering charges for Waist Slab material hire charges </t>
  </si>
  <si>
    <t xml:space="preserve">Centering charges for Waist Slab Labour charges </t>
  </si>
  <si>
    <t>Supplying  &amp; fixing of Iron Doors and Windows Grills including labour charges for fabricating steel including cost of welding rods, power charges &amp; fixing the grill in position etc complete</t>
  </si>
  <si>
    <t>Unit = Kg</t>
  </si>
  <si>
    <t>Structural steel angles for grills including wastage</t>
  </si>
  <si>
    <t>Labour charge  fabricating steel grills BMM.V.14</t>
  </si>
  <si>
    <t>Labour charg fixing grill in position BMM.V.15</t>
  </si>
  <si>
    <t>Rate per 1.00 Kg</t>
  </si>
  <si>
    <t>scaffolding material hire charge Rs 10.32 / Sqm</t>
  </si>
  <si>
    <t>Basic Rate for Walls</t>
  </si>
  <si>
    <t>scaffolding Lab cha 79.46, 113.78 &amp; 148.09/Sqm</t>
  </si>
  <si>
    <t>10.00 Sqm</t>
  </si>
  <si>
    <t>BLD-CSTN-7-5</t>
  </si>
  <si>
    <t>Cement for pointing with CM (1:3)</t>
  </si>
  <si>
    <t xml:space="preserve">Sand for Mortar for CM (1:8) proportion </t>
  </si>
  <si>
    <t>Sand for Moratr for pointing</t>
  </si>
  <si>
    <t>BLD-CSTN-7-20</t>
  </si>
  <si>
    <t xml:space="preserve">Sand for Mortar for CM (1:5) proportion </t>
  </si>
  <si>
    <t>Cement for CM (1:5) base coat</t>
  </si>
  <si>
    <t>Cement for Slurry</t>
  </si>
  <si>
    <t>Vitrified tiles  600X600X8mm th BMT-C.09</t>
  </si>
  <si>
    <t>White Cement jointing &amp; pointing BMS.W.68</t>
  </si>
  <si>
    <t>BLD-CSTN-7-6</t>
  </si>
  <si>
    <t xml:space="preserve">Non-Skid Ceramic tiles 300X300 BMT.C.01 </t>
  </si>
  <si>
    <t>BLD-CSTN-7-18</t>
  </si>
  <si>
    <t>Glazed Ceramic wall tiles 6mm BMT.C.21</t>
  </si>
  <si>
    <t xml:space="preserve">Sand for Mortar CM (1:3) proportion </t>
  </si>
  <si>
    <t>Cement for CM (1:3) base coat</t>
  </si>
  <si>
    <t xml:space="preserve">Flooring with Ceramic non skid tiles of not less than 7-8mm thick 1st quality laid over floor bed / VRCC slab set over base coat of CM (1:8), 12mm thick and neat grey Cement slurry of honey like consistency spread @ 3.30 Kgs per Sqm &amp; jointed with neat white Cement paste to full depth mixed with pigment of matching shade including c/c of all materials to site including cost of mixing of mortar and watering and levelling to proper slope and curing including all labour charges etc for finished item of work  </t>
  </si>
  <si>
    <t xml:space="preserve">Flooring with Porcelain Vitrified tiles stain free double charged of 1st quality and of size not less than 600X600X8mm thickness glossy finish premium colours, set over base coat of CM (1:8), 12mm thick over already laid CC bed / RCC Roof slab, including neat Cement slurry of honey like consistency spread @ 3.30 Kgs per Sqm &amp; jointed with neat white Cement paste to full depth mixed with pigment of matching shade including c/c of all materials like Cement, Sand and Water and tiles etc complete including labour charges etc complete for finished item of work </t>
  </si>
  <si>
    <t xml:space="preserve">Providing Skirting to internal walls to 15cm height / risers of steps with Porcelain Vitrified tiles length equal to flooring stones, set over base coat of CM (1:5) 12mm thick with Cement slurry of honey like consistency spread @ 3.30 Kgs per Sqm &amp; jointed with white Cement paste mixed with pigment of matching shade to full depth, including c/c of materials like Cement, Sand and Water and tiles etc complete for finished item of work </t>
  </si>
  <si>
    <t xml:space="preserve">Providing Daddooing to walls with 5 to 7mm thick Glazed Ceramic wall tiles of 1st quality of 6mm thick set over base coat of CM (1:3) 12mm thick with Cement slurry of honey like consistency spread @ 3.30 Kgs per Sqm &amp; jointed with neat white Cement paste to full depth mixed with pigment of matching shade including c/c of all materials to site, cost of all materials like tiles, Cement, sand and water etc complete for finished item of work  </t>
  </si>
  <si>
    <t xml:space="preserve">White Cement for jointing and pointing </t>
  </si>
  <si>
    <t>Wood primer BMT.J.05</t>
  </si>
  <si>
    <t>Synthatic Enamil Paint at 20sqm/Lt BMT.J.29</t>
  </si>
  <si>
    <t xml:space="preserve">Man Mazdoor  </t>
  </si>
  <si>
    <t xml:space="preserve">Semi Skilled Electrician </t>
  </si>
  <si>
    <t>Ground Floor</t>
  </si>
  <si>
    <t>BLD-CSTN-     3-3</t>
  </si>
  <si>
    <t>Unit = 1 sqm</t>
  </si>
  <si>
    <t>Meeting Hall</t>
  </si>
  <si>
    <t>First Floor</t>
  </si>
  <si>
    <t xml:space="preserve">Reinforced Cement Concrete  M-25 Nominal mix (Cement: Fine aggregates: Coarse aggregates) corresponding Table 9 of IS 456 using 20mm size graded machine crushed hard granite metal (coarse aggregate) from approved quarry including cost and conveyance of all materials like Cement, fine aggregate( Sand), coarse aggregate, water etc to site and including sales and other taxes on all marerilas including all operational, incidental and labour charges such as machine mixing, laying concrete, curing etc complete but excluding cost of steel and its fabrication charges for finished item of work, but excluding centering, shttering </t>
  </si>
  <si>
    <t xml:space="preserve">Reinforced Cement Concrete  M-25 Nominal mix (Cement: Fine aggregates: Coarse aggregates) corresponding Table 9 of IS 456 using 20mm size graded machine crushed hard granite metal (coarse aggregate) from approved quarry including cost and conveyance of all materials like Cement, fine aggregate( Sand), coarse aggregate, water etc to site and including sales and other taxes on all marerilas including all operational, incidental and labour charges suxh as machine mixing, laying concrete, curing etc complete but excluding cost of steel and its fabrication charges for finished item of work, but excluding centering, shttering </t>
  </si>
  <si>
    <t xml:space="preserve">Total Quantity </t>
  </si>
  <si>
    <t xml:space="preserve">40mm Metal </t>
  </si>
  <si>
    <t>20mm HBG Chips</t>
  </si>
  <si>
    <t>20mm-12mm Chips</t>
  </si>
  <si>
    <t>Sand  Mortar</t>
  </si>
  <si>
    <t>Sand  Concrete</t>
  </si>
  <si>
    <t>Sand Plastering</t>
  </si>
  <si>
    <t>Rough Stone</t>
  </si>
  <si>
    <t>PCC (1:4:8)</t>
  </si>
  <si>
    <t>RCC Landing Slab 150mm th</t>
  </si>
  <si>
    <t>RCC  Roof Slab 125mm th</t>
  </si>
  <si>
    <t>Plaster'ing CM (1:5) 12mm th</t>
  </si>
  <si>
    <t>Ceramic Tiles Flooring</t>
  </si>
  <si>
    <t>Daddooing wall tiles</t>
  </si>
  <si>
    <t>Flooring Vetrified Tiles</t>
  </si>
  <si>
    <t>Skirting Vetrified Tiles</t>
  </si>
  <si>
    <t xml:space="preserve">CW-G01.Amount for wage component </t>
  </si>
  <si>
    <t>CW-G02.cement</t>
  </si>
  <si>
    <t>CW-G10.Cost towards engaging skilled labour,semi skilled labour,other materials and equipment charges including all other materials not covered above</t>
  </si>
  <si>
    <t>CW-G12.QC @0.50%</t>
  </si>
  <si>
    <t>CW-G13.Seigniorage charges</t>
  </si>
  <si>
    <t>CW-G14.cost of NP, other Pipes and Precast chambers etc.,</t>
  </si>
  <si>
    <t>Workwise File</t>
  </si>
  <si>
    <t>CW-G15.LS amount for unforcen items.</t>
  </si>
  <si>
    <t>Name Board using Brick Masonary of size 2'0"X3'0''</t>
  </si>
  <si>
    <t>CW-G20.cost and supply of Steel</t>
  </si>
  <si>
    <t>Lead in KM</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</si>
  <si>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</si>
  <si>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</si>
  <si>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</si>
  <si>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PANCHAYATI RAJ ENGINEERING DEPARTMENT</t>
  </si>
  <si>
    <t>NAME OF THE WORK</t>
  </si>
  <si>
    <t>:</t>
  </si>
  <si>
    <t>NAME OF THE MANDAL</t>
  </si>
  <si>
    <t>NAME OF SUB.DIVISION.</t>
  </si>
  <si>
    <t>NAME OF THE DIVISION</t>
  </si>
  <si>
    <t>NAME OF CIRCLE</t>
  </si>
  <si>
    <t>ONGOLE</t>
  </si>
  <si>
    <t>NAME OF DISTRICT</t>
  </si>
  <si>
    <t xml:space="preserve">PRAKASAM </t>
  </si>
  <si>
    <t>Landing slab</t>
  </si>
  <si>
    <t>Alround the building</t>
  </si>
  <si>
    <t>WORKING ESTIMATE</t>
  </si>
  <si>
    <t>Est.Rs.</t>
  </si>
  <si>
    <t>S.No</t>
  </si>
  <si>
    <t>Description of Item</t>
  </si>
  <si>
    <t>x</t>
  </si>
  <si>
    <t>1Cum</t>
  </si>
  <si>
    <t>1No</t>
  </si>
  <si>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</si>
  <si>
    <t>Rm</t>
  </si>
  <si>
    <t>Labour charges for laying, joining, welding, fixing and commissioning the C-PVC pipes including all specials such ascouplers/ bends/ tees etc including fixing necessary fittings like bends, plugs, couplers, junctions, tees, etc with welding the joint as per standard practice - up to 40 mm dia</t>
  </si>
  <si>
    <t>1Rm</t>
  </si>
  <si>
    <t>1MT</t>
  </si>
  <si>
    <t>Deduct columns</t>
  </si>
  <si>
    <t>Filling in foundation with excavated soil as per drawing and technical specification Clause 305.3.9 MORD &amp; 304 MORTH.</t>
  </si>
  <si>
    <t xml:space="preserve">S&amp; F 40  mm HDPE pipe 12.5 kg/sqcm  properties &amp; weight as per IS 1239 ISI mark with GI fittings including the cost of pipe &amp; its fittings &amp; labour charges </t>
  </si>
  <si>
    <t>S&amp;F of 180mm dia bore cap</t>
  </si>
  <si>
    <t>S&amp;F of 25mm dia GI pipe</t>
  </si>
  <si>
    <t>S&amp;F of 25mm dia GI Bends</t>
  </si>
  <si>
    <t>S&amp;F of 25mm dia Clamp set</t>
  </si>
  <si>
    <t>Supply of 3 core 1.50 sqm flat copper cable as per for submersible motors of makes polycab for service mains including cost of material and labour charges and taxes etc., complete.</t>
  </si>
  <si>
    <t>1rm</t>
  </si>
  <si>
    <t>Providing &amp; placing on Terrace polyethylene water storage tank with Double layer approved brand &amp; manufacture with cover and suitable locking arrangement &amp; making necessary holes for inlet &amp; outlets and overflow pipes but without fittings &amp; base support for tanks</t>
  </si>
  <si>
    <t>Ltr</t>
  </si>
  <si>
    <t>Unforseen items such as if any</t>
  </si>
  <si>
    <t>GROUND FLOOR</t>
  </si>
  <si>
    <t>Clearing light  jungle including up-rooting and removing of Juliflora stumps.</t>
  </si>
  <si>
    <t>Deduct Voids @ 40%</t>
  </si>
  <si>
    <t>Engaging Unskilled Labour for Earth work excavation &amp; depositing on bank with an initial lead &amp; initial lift in Loamy, Clayey soils like BC Soils, Red Earth &amp; Chodu Soils for Column Foundations RSSR</t>
  </si>
  <si>
    <t xml:space="preserve">Plain Cement Concrete (1:4:8) proportion Nominal mix for foundations using 40mm size SS-5 metal including c/c of all materials &amp; labour charges, machine mixing &amp; laying concrete in foundations ramming etc complete for Bed Concrete  (APSS No 402)  </t>
  </si>
  <si>
    <t>F1 footings</t>
  </si>
  <si>
    <t>F2 footings</t>
  </si>
  <si>
    <r>
      <t xml:space="preserve">~do~ for  </t>
    </r>
    <r>
      <rPr>
        <b/>
        <sz val="10"/>
        <rFont val="Calibri"/>
        <family val="2"/>
        <scheme val="minor"/>
      </rPr>
      <t>Pedastal concrete etc., complete</t>
    </r>
  </si>
  <si>
    <r>
      <t xml:space="preserve">~do~ for  </t>
    </r>
    <r>
      <rPr>
        <b/>
        <sz val="10"/>
        <rFont val="Calibri"/>
        <family val="2"/>
        <scheme val="minor"/>
      </rPr>
      <t>Columns etc., complete</t>
    </r>
  </si>
  <si>
    <r>
      <t xml:space="preserve">~do~ for  </t>
    </r>
    <r>
      <rPr>
        <b/>
        <sz val="10"/>
        <rFont val="Calibri"/>
        <family val="2"/>
        <scheme val="minor"/>
      </rPr>
      <t>Plinth beam etc., complete</t>
    </r>
  </si>
  <si>
    <r>
      <t xml:space="preserve">~do~ for  </t>
    </r>
    <r>
      <rPr>
        <b/>
        <sz val="10"/>
        <rFont val="Calibri"/>
        <family val="2"/>
        <scheme val="minor"/>
      </rPr>
      <t>Beams etc., complete</t>
    </r>
  </si>
  <si>
    <r>
      <t xml:space="preserve">~do~ for  </t>
    </r>
    <r>
      <rPr>
        <b/>
        <sz val="10"/>
        <rFont val="Calibri"/>
        <family val="2"/>
        <scheme val="minor"/>
      </rPr>
      <t>Waist slab 150mm thick etc., complete</t>
    </r>
  </si>
  <si>
    <r>
      <t xml:space="preserve">~do~ for  </t>
    </r>
    <r>
      <rPr>
        <b/>
        <sz val="10"/>
        <rFont val="Calibri"/>
        <family val="2"/>
        <scheme val="minor"/>
      </rPr>
      <t>Roof slab 125mm thick etc., complete</t>
    </r>
  </si>
  <si>
    <t xml:space="preserve">Brick Masonary for Superstructure with CM (1:8) proportion using 2nd class traditional bricks of size 23X11X7 cms having minimum crushing strength of 40kg/cm2  including c/c of all materials like Cement, Sand, Bricks, water etc including  labour charges such as mixing cement mortar, Scaffolding charges etc complete for finished item of work (APSS No 501 &amp; 504) </t>
  </si>
  <si>
    <t xml:space="preserve">Supplying and Fixing of 25mm dia 2.2 mm thick PVC Conduit pipe concealed in wall with all required accessories including chiseling the wall wherever necessity including masonry work for Light, Fan and separate plug point with wooden.Deep box including all labour charges etc </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</si>
  <si>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32mm dia</t>
    </r>
  </si>
  <si>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25mm dia</t>
    </r>
  </si>
  <si>
    <t>Tiolets</t>
  </si>
  <si>
    <t xml:space="preserve">Mazdoor </t>
  </si>
  <si>
    <t>Taking output-6 Cum</t>
  </si>
  <si>
    <t>Rate per 6 cum</t>
  </si>
  <si>
    <t>Steps</t>
  </si>
  <si>
    <t xml:space="preserve">Plain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t>
  </si>
  <si>
    <t xml:space="preserve">Plastering to brick masonary wall with  20mm thick double coat in CM (1:6) 16 mm thick base coat and CM (1:4) of 4mm thick top coat with dubara sponge finish including c/c of all materials including all operational, incidental and labour charges such as mixing cement mortar and curing etc complete for finished item of work (APSS 901,  903 &amp; 904) </t>
  </si>
  <si>
    <t>Base Coat in CM(1:6), 16 mm thick</t>
  </si>
  <si>
    <t>Sand Aggregate</t>
  </si>
  <si>
    <t>Base Coat in CM(1:4), 4 mm thick</t>
  </si>
  <si>
    <t>Shutters : Medium Teak Wood</t>
  </si>
  <si>
    <t>Index-code</t>
  </si>
  <si>
    <t>Description</t>
  </si>
  <si>
    <t>Rate Rs.</t>
  </si>
  <si>
    <t>Amount
 Rs.</t>
  </si>
  <si>
    <t>Nos</t>
  </si>
  <si>
    <t>10</t>
  </si>
  <si>
    <t>b) Material</t>
  </si>
  <si>
    <t>Supplying and Fixing European Water Closet of 1st quality make white glazed with 'P' trap with low down porcelain flushing tank 10 Lit Capacity internal components and Fixing best Indian make plastic seat and lid for European water closets with rubber or plastic Buffers including all labour charges for fixing etc., complete.</t>
  </si>
  <si>
    <t>European Water Closet of 1st quality BMW-D.13</t>
  </si>
  <si>
    <t>Flushing Tank 10 Lit capacity BMW-D.11</t>
  </si>
  <si>
    <t>plastic seat and lid BMW-D.16</t>
  </si>
  <si>
    <t>Contract profit @ 13.615%</t>
  </si>
  <si>
    <t>Supplying and fixing Indian make Flat Back Wash Hand Basin (HSW/Parryware/ Neycer) 1st quality conforming to IS:2556-Part-4:1972 of size 450mm x 300mm with 32 mm nominal size C.P. Fitting with parallel pipe thread onforming to IS:2963-1979 and fitted with 15 mm nominal bore Chromium Plated Pillar Tap of 1st quality Indian make 400 grams Seiko/Senior/Nice or equivalent complete with  tandard CI brackets including wooden blocks ,1 No.12.70mm PVC connection with brass union nuts CP  oated , 1 No.12.70mm NP bib tap 400 gms Seiko or equivalent , 31.75mm dia. PVC flexible waste pipe 914.4mm length of 1st quality including cost and  onveyance of all materials to site, labour charges , overheads &amp; contractors profit for finished item of work</t>
  </si>
  <si>
    <t>Cost of wash hand basin SSR  BMW-D.26   S.No.158</t>
  </si>
  <si>
    <t>12.70mm NP bib tap (400gms) BMW-E.07</t>
  </si>
  <si>
    <t>12.70mm dia PVC connection with brass union nuts BMW-I.48</t>
  </si>
  <si>
    <t>31.75mm dia. PVC flexible waste pipe BMW-G.05</t>
  </si>
  <si>
    <t>Initial cost BMW-G.118</t>
  </si>
  <si>
    <t>Supplying and fixing 4" (101.6 mm ) Floor Trap - UPVC/SWR Pipe fittings 1st quality ISI marked conforming to IS:1729-1979 with C.P. Grating fixing with  hite cement as per site requirements with standard practice for all floors  ncluding cost and conveyance of all materials to site, labour charges etc., complete for finished item of work.</t>
  </si>
  <si>
    <t>Initial cost BMW-G.125</t>
  </si>
  <si>
    <t xml:space="preserve">Prince/ Sudhakar make or equivalent quality PVC /SWR pipes &amp; fittings ( as per ISI standards) 4kg/cm2 110mm dia. double socket </t>
  </si>
  <si>
    <t>Taking out put = 3Mts</t>
  </si>
  <si>
    <t>110mm dia pipe BMW-G.13</t>
  </si>
  <si>
    <t>Rate per 3Mts</t>
  </si>
  <si>
    <t>Rate per 1Mts</t>
  </si>
  <si>
    <t xml:space="preserve">Prince/ Sudhakar make or equivalent quality PVC /SWR pipes &amp; fittings ( as per ISI standards) 4kg/cm2 90mm dia. double socket </t>
  </si>
  <si>
    <t>90mm dia pipe BMW-G.15</t>
  </si>
  <si>
    <t xml:space="preserve">Prince/ Sudhakar make or equivalent quality PVC /SWR pipes &amp; fittings ( as per ISI standards) 4kg/cm2 75mm dia. double socket </t>
  </si>
  <si>
    <t>75mm dia pipe BMW-G.14</t>
  </si>
  <si>
    <t>Labour charges for laying, fixing and commissioning the PVC pipes including couplers/ bends/ tees etc any diameter including fixing necessary fittings like bends, plugs, couplers, junctions, tees, etc with solvent jointing as per standard practice</t>
  </si>
  <si>
    <t>Initial cost BMW-G.152</t>
  </si>
  <si>
    <t>Supply &amp; fixing of tested NP bib taps at all levels of 12.70mm dia of Indian make 400g first quality including cost &amp; conveyance of all materials, labour charges for finished item of work, and all taxes complete for all floors</t>
  </si>
  <si>
    <t>Initial cost BMW-E.07</t>
  </si>
  <si>
    <t>Supply &amp; fixing bib cock cum health faucet with 1 m long flexible tube and wall hook of Jaquar make queen series with 7 years warranty Chrome plated / Jupiter Aqua Lines-JALor equivalent series including cost and conveyance of all materials, labour charges , overheads &amp; contractors profit complete for finished item of work in all floors.</t>
  </si>
  <si>
    <t>Initial cost BMW-I.141</t>
  </si>
  <si>
    <t>Cost of Liters(BMW-G.01)</t>
  </si>
  <si>
    <t>Litrs</t>
  </si>
  <si>
    <t>Labour charges(BMW-G.02)</t>
  </si>
  <si>
    <t>15.90mm ODPipe - SDR 13.5 BMW-I.220</t>
  </si>
  <si>
    <t>22.20mm ODPipe - SDR 13.5 BMW-I.221</t>
  </si>
  <si>
    <t>28.60mm ODPipe - SDR 13.5 BMW-I.221</t>
  </si>
  <si>
    <t>34.90mm ODPipe - SDR 13.5 BMW-I.223</t>
  </si>
  <si>
    <t>Labour charges for laying, joining, welding, fixing and
commissioning the C-PVC pipes including all specials such ascouplers/ bends/ tees etc including fixing necessary fittings like bends, plugs, couplers, junctions, tees, etc with welding the joint as per standard practice - up to 40 mm dia</t>
  </si>
  <si>
    <t>Initial cost BMW-I.415</t>
  </si>
  <si>
    <t>Supplying and fixing Gunmetal Gate ( GM peet ) valve as per IS-778 Class - I , Indian make heavy type including cost and conveyance of all materials , labour charges etc.  omplete for finished item of work.</t>
  </si>
  <si>
    <t>25mm Nominal bore BMW-F.17</t>
  </si>
  <si>
    <t>Supply and fixing of 110mm dia ISI mark PVC rain water spouts of 4 Kg/cm2 pressure including Cost of necessary pvc bends, shoes and M.S.clamps and all other accessories and fixing in position including cost and conveyance of all materials to site , seigniorage charges sales and other taxes on all materials, all operational, incidental and labour cahrges such as fixing in alignment etc., complete for finished item of work.(APSS NO1328) in All Floors</t>
  </si>
  <si>
    <t>Taking out put=3 Rm</t>
  </si>
  <si>
    <t>Basic rate as per ssr item BMW-G.13</t>
  </si>
  <si>
    <t>3Rm</t>
  </si>
  <si>
    <t>Cost of P.V.C. Bend BMW-G.57</t>
  </si>
  <si>
    <t>Cost of Clips BMW-G.106</t>
  </si>
  <si>
    <t>Plumber 1st Class</t>
  </si>
  <si>
    <t>Plumber 2nd class</t>
  </si>
  <si>
    <t>Man Mazdoor</t>
  </si>
  <si>
    <t>Cost of 3Rm</t>
  </si>
  <si>
    <t>Rate per 1.00 Rm</t>
  </si>
  <si>
    <t xml:space="preserve">6Kg per / cm2 </t>
  </si>
  <si>
    <t xml:space="preserve">Initial cost </t>
  </si>
  <si>
    <t>Initial cost</t>
  </si>
  <si>
    <t xml:space="preserve">Supply and Transportation of control panel for single phasesubmersible motors up to 3 HP @ 220V 50Hz operating range between 80 to 240V including supply and fixing of Direct - on - Line LTLK / SIEMENS / CROMPTON make Volt meter and Ammeter with starting and running capacitors assembled with ISI mark contactors and fitted with Legrand make ISI mark MCB etc., complete. 
</t>
  </si>
  <si>
    <t>Initial cost ELEC-5.4.15</t>
  </si>
  <si>
    <t>Unite</t>
  </si>
  <si>
    <t>a) Labour charges :</t>
  </si>
  <si>
    <t>Mtr</t>
  </si>
  <si>
    <t>Material Rate for 100 Mtrs</t>
  </si>
  <si>
    <t>Material Rate for  1 Mtr</t>
  </si>
  <si>
    <t>Total Cost of Material + Labour Charges</t>
  </si>
  <si>
    <t>Labour charges for Grooves 2-3mm thick for PVC pipes</t>
  </si>
  <si>
    <t xml:space="preserve"> Initial cost BMM-V.51</t>
  </si>
  <si>
    <t>Copper Cable Makes:Makes: Finolex / RR kabel / Havells /KEI/Polycab/Gloster</t>
  </si>
  <si>
    <t>Accessories Makes:Makes: Legrand Arteor / Schneider Zen celo/ Crabtree Murano or Amare/L&amp;Tenglaze/GM-Zenova/ Goldmedal (GIFA)</t>
  </si>
  <si>
    <t>Supply of  3 Plate Jumbo Ceiling Rose  of makes Anchor / Gold Medal Olive / Million Zoom.(ELEC-19-20-1.7.1-M)</t>
  </si>
  <si>
    <t>Supply of 14/0.3mm (1.0 Sqmm) FRLS / HFFR  PVC insulated 1100V grade as per IS:694/1990 specification for Copper cable of makes Makes: Finolex / RR kabel / Havells /KEI/Polycab/Gloster. (ELEC-19-20-1.5.1)</t>
  </si>
  <si>
    <t>Mtrs</t>
  </si>
  <si>
    <t>Cost of Material for 6 Points</t>
  </si>
  <si>
    <t>Cost of Material Rate per 1 Point</t>
  </si>
  <si>
    <t>Supply of 22/0.3mm (1.5 Sqmm) FRLS / HFFR  PVC insulated 1100V grade as per IS:694/1990 specification for Copper cable of makes Finolex / RR kabel / KEI. (ELEC-19-20-1.5.1-B)</t>
  </si>
  <si>
    <t>Cost of Material for 100 Metres</t>
  </si>
  <si>
    <t>Cost of Material Rate per Mtr= C/100</t>
  </si>
  <si>
    <t>Supply and  Run of 2 of 36/0.3mm (2.50 Sq.mm) with  Run 1 of 22/0.3mm(1.5Sqmm)  FRLS / HFFR PVC insulated flexible ISI mark copper cable in existing pipe for run of mains inlcuding all labour charges etc., complete.(Data No.             )</t>
  </si>
  <si>
    <t>Supply and  Run of 2 of 56/0.3mm (4.00 Sq.mm) with  Run 1 of 22/0.3mm(1.5Sqmm)  FRLS / HFFR PVC insulated flexible ISI mark copper cable in existing pipe for run of mains inlcuding all labour charges etc., complete.(Data No.             )</t>
  </si>
  <si>
    <t>Copper Cable Makes: Finolex / RR kabel / Havells /KEI/Polycab/Gloster</t>
  </si>
  <si>
    <t>BH Makes: GM G Home / Gold Medal Olive / Million Zoom / Great whiteOmega/Koncept/Vimal opel/ Anchor/Vihan/CPL</t>
  </si>
  <si>
    <t>Cost of Material</t>
  </si>
  <si>
    <r>
      <t xml:space="preserve">Supply, Transportation and Fixing of 48" (1200mm) Sweep </t>
    </r>
    <r>
      <rPr>
        <b/>
        <sz val="8"/>
        <color indexed="8"/>
        <rFont val="Calibri"/>
        <family val="2"/>
        <scheme val="minor"/>
      </rPr>
      <t>5 Star rated Ceiling Fan</t>
    </r>
    <r>
      <rPr>
        <sz val="8"/>
        <color indexed="8"/>
        <rFont val="Calibri"/>
        <family val="2"/>
        <scheme val="minor"/>
      </rPr>
      <t xml:space="preserve"> with double ball bearings but without regulator including all standard accessories and all labour charges etc., complete.(Data No.             )</t>
    </r>
  </si>
  <si>
    <t>Ceiling Fan Makes:  Crompton HS Decora / Bajaj Regal Star /
Havells Spark deco / Orient summer crown
/Halonix(Zephyr) /Polycab(India Glory</t>
  </si>
  <si>
    <t>Twin Core Wire Makes:  Finolex / Polycab / Havells / V-Guard / GoldMedal / GM / Million / Vimal /Airson/CRI/ Tamra/
ollvin/Avocab</t>
  </si>
  <si>
    <t xml:space="preserve">a) Labour charges  </t>
  </si>
  <si>
    <t xml:space="preserve">b) Material </t>
  </si>
  <si>
    <t>Transportation Charges on Unit Cost @1%</t>
  </si>
  <si>
    <t>Supply and Transportation and fixing of 1200 mm length,Box type powder coatedtube light luminaire with necessary wiring suitable for fixing 2 Nos retrofit T8 LED tubes but without tube and
choke Makes: Phillips / Crompton /Bajaj/Surya/Havells/HPL</t>
  </si>
  <si>
    <t>Providing independent earthling by excavating a pit to a depth of 2.25Mt in all soils, as per size specified in the Data, using 40mm dia 'B' class GI pipe of 2.5 Mtrs length with necessary No.8 G.I. double earth wire and accessories with 18" dia 2" thick hume pipe ring duly providing staggered holes  including filling with 20Kg Salt and 40Kg Charcoal or 40Kg bentonite powder in layers and all labour charges etc., complete.(Data No.             )</t>
  </si>
  <si>
    <t xml:space="preserve">b) labour charges for fixing pipe ring and connections </t>
  </si>
  <si>
    <t>Sets</t>
  </si>
  <si>
    <t>Set</t>
  </si>
  <si>
    <t>25% extra for narrow trench &amp; pit and back filling with Sand, Coke, Salt etc., and leveling</t>
  </si>
  <si>
    <t>Sundries such as Lugs and Saddles</t>
  </si>
  <si>
    <t>25mm dia</t>
  </si>
  <si>
    <r>
      <t xml:space="preserve">Cement Qty in </t>
    </r>
    <r>
      <rPr>
        <b/>
        <sz val="10"/>
        <rFont val="Calibri"/>
        <family val="2"/>
        <scheme val="minor"/>
      </rPr>
      <t>Kg</t>
    </r>
  </si>
  <si>
    <r>
      <t>M</t>
    </r>
    <r>
      <rPr>
        <vertAlign val="superscript"/>
        <sz val="10"/>
        <rFont val="Calibri"/>
        <family val="2"/>
        <scheme val="minor"/>
      </rPr>
      <t>3</t>
    </r>
  </si>
  <si>
    <r>
      <t>M</t>
    </r>
    <r>
      <rPr>
        <vertAlign val="superscript"/>
        <sz val="10"/>
        <rFont val="Calibri"/>
        <family val="2"/>
        <scheme val="minor"/>
      </rPr>
      <t>2</t>
    </r>
  </si>
  <si>
    <r>
      <t>Rate / M</t>
    </r>
    <r>
      <rPr>
        <vertAlign val="superscript"/>
        <sz val="10"/>
        <rFont val="Calibri"/>
        <family val="2"/>
        <scheme val="minor"/>
      </rPr>
      <t>3</t>
    </r>
  </si>
  <si>
    <t>To be done</t>
  </si>
  <si>
    <t>110mm dia</t>
  </si>
  <si>
    <t>Providing Electrification items</t>
  </si>
  <si>
    <t>Supply of  Hot Dip galvanized 20/18 SWG Module box with earthing terminal for 12 Module box</t>
  </si>
  <si>
    <t>Supply of  Hot Dip galvanized 20/18 SWG Module box with earthing terminal for 2 Module box</t>
  </si>
  <si>
    <t>Supply and  Run of 2 of 36/0.3mm (2.50 Sq.mm) with  Run 1 of 22/0.3mm(1.5Sqmm)  FRLS / HFFR PVC insulated flexible ISI mark copper cable in existing pipe for run of mains inlcuding all labour charges etc., complete.</t>
  </si>
  <si>
    <t>Supply and  Run of 2 of 56/0.3mm (4.00 Sq.mm) with  Run 1 of 22/0.3mm(1.5Sqmm)  FRLS / HFFR PVC insulated flexible ISI mark copper cable in existing pipe for run of mains inlcuding all labour charges etc., complete</t>
  </si>
  <si>
    <t>Point</t>
  </si>
  <si>
    <t>Supply and fixing of 6A 3/2 pin wall plug socket with 6A switch control on a common switch board with earth continuity including wire leads, earth connections along with all labour charges etc., complete.</t>
  </si>
  <si>
    <t xml:space="preserve"> Initial cost ELEC-1.3.1 f</t>
  </si>
  <si>
    <t xml:space="preserve"> Initial cost ELEC-1.3.1 a</t>
  </si>
  <si>
    <t>Wiring with run of 2 of 14/0.3mm (1.0 Sq.mm) FRLS / HFFR PVC insulated flexible ISI mark copper cable in existing PVC conduit pipe including Supply and fixing of Jumbo Ceiling rose and 6A/10A ISI Mark 1way Modular switch  in existing Surface or Concealed pipe wiring including cost and conveyance of all material and all labour charges etc., complete for Fan points</t>
  </si>
  <si>
    <t>Wiring with run of 2 of 14/0.3mm (1.0 Sq.mm) FRLS / HFFR PVC insulated flexible ISI mark copper cable in existing PVC conduit pipe including Supply and fixing of  6A/10A ISI Mark 1way Modular switch  in existing Surface or Concealed pipe wiring including cost and conveyance of all material and all labour charges etc., complete for light and bell  points</t>
  </si>
  <si>
    <t>Supply of Cover frames for 12 module box</t>
  </si>
  <si>
    <t xml:space="preserve"> Initial cost ELEC-1.8.3 f</t>
  </si>
  <si>
    <t>Supply of Cover frames for 2 module box</t>
  </si>
  <si>
    <t xml:space="preserve"> Initial cost ELEC-1.8.3 a</t>
  </si>
  <si>
    <t>ELE 2.1.4</t>
  </si>
  <si>
    <t>Supply and Transportation and fixing of 1200 mm length,Box type powder coatedtube light luminaire with necessary wiring suitable for fixing 2 Nos retrofit T8 LED tubes but without tube and choke</t>
  </si>
  <si>
    <t>S.No.</t>
  </si>
  <si>
    <t>Provision for Seignorage charges</t>
  </si>
  <si>
    <t>Provision for Name board</t>
  </si>
  <si>
    <t>PCC (1:5:10)</t>
  </si>
  <si>
    <t>CC Steps</t>
  </si>
  <si>
    <t>Drilling of 165mm dia Bore well by down the hole hammer at a fiished dia of 165mm dia in all formations suitable for down the hole hammer drilling such as meduim hard rock formation, all consolidated frormation etc and reaming the borewell to subinsertation of required casing pipe etc including insertion of casing pipe with couplings, caps any other relevant materials upto required depth as directed by the dept, transportation of drilling rigs and supporting vehicle and including bore development. Flushing of Borewell at an avarage pressure of 150PSI conducting yield test, crew charegs required in fixation of pipe assembly completely done to the satisfaction of the dept and incuding all labour charges, but excluding the cost of casing pipe etc. The entire work should be carried out as per IS-2800 part I and II 1979</t>
  </si>
  <si>
    <t>Providing PVC Casing pipe 180mm dia of 6 Kgs/cm2 including cost and conveyance of Pipe and labour charges etc complete for Borewell of 165mm dia. Item No 20 of PH items in SoR 2019-20 Page 67 Rs 636-00 per 1.00 RM</t>
  </si>
  <si>
    <t>Providing independent earthling by excavating a pit to a depth of 2.25Mt in all soils, as per size specified in the Data, using 40mm dia 'B' class GI pipe of 2.5 Mtrs length with necessary No.8 G.I. double earth wire and accessories with 18" dia 2" thick hume pipe ring duly providing staggered holes  including filling with 20Kg Salt and 40Kg Charcoal or 40Kg bentonite powder in layers and all labour charges etc., complete.</t>
  </si>
  <si>
    <t>COMPARATIVE STATEMENT</t>
  </si>
  <si>
    <t>Est Rs.</t>
  </si>
  <si>
    <t>As per Revised estimate</t>
  </si>
  <si>
    <t xml:space="preserve">Difference </t>
  </si>
  <si>
    <t>Remarks</t>
  </si>
  <si>
    <t xml:space="preserve">Quantity </t>
  </si>
  <si>
    <t xml:space="preserve">Rate </t>
  </si>
  <si>
    <t>Excess</t>
  </si>
  <si>
    <t>Less</t>
  </si>
  <si>
    <t>1</t>
  </si>
  <si>
    <t>2</t>
  </si>
  <si>
    <t>3</t>
  </si>
  <si>
    <t>4</t>
  </si>
  <si>
    <t>5</t>
  </si>
  <si>
    <t>6</t>
  </si>
  <si>
    <t>7</t>
  </si>
  <si>
    <t>8</t>
  </si>
  <si>
    <t>9</t>
  </si>
  <si>
    <t>11</t>
  </si>
  <si>
    <t>Construction of Ground floor</t>
  </si>
  <si>
    <t>Earthwork excavation for foundation</t>
  </si>
  <si>
    <t>12</t>
  </si>
  <si>
    <t>13</t>
  </si>
  <si>
    <t>14</t>
  </si>
  <si>
    <t>15</t>
  </si>
  <si>
    <t>16</t>
  </si>
  <si>
    <t>Cost of steel</t>
  </si>
  <si>
    <t>17</t>
  </si>
  <si>
    <t>18</t>
  </si>
  <si>
    <t>20</t>
  </si>
  <si>
    <t>Ornamental Plastering 12mm thick to ceiling</t>
  </si>
  <si>
    <t>21</t>
  </si>
  <si>
    <t>22</t>
  </si>
  <si>
    <t>23</t>
  </si>
  <si>
    <t>24</t>
  </si>
  <si>
    <t>25</t>
  </si>
  <si>
    <t>26</t>
  </si>
  <si>
    <t>27</t>
  </si>
  <si>
    <t>28</t>
  </si>
  <si>
    <t>29</t>
  </si>
  <si>
    <t>30</t>
  </si>
  <si>
    <t>32</t>
  </si>
  <si>
    <t>33</t>
  </si>
  <si>
    <t>34</t>
  </si>
  <si>
    <t>35</t>
  </si>
  <si>
    <t>Construction of First Floor</t>
  </si>
  <si>
    <t>41</t>
  </si>
  <si>
    <t>42</t>
  </si>
  <si>
    <t>43</t>
  </si>
  <si>
    <t>44</t>
  </si>
  <si>
    <t>45</t>
  </si>
  <si>
    <t>46</t>
  </si>
  <si>
    <t>47</t>
  </si>
  <si>
    <t>48</t>
  </si>
  <si>
    <t xml:space="preserve">Plastering 12mm thick inside in single coats </t>
  </si>
  <si>
    <t>49</t>
  </si>
  <si>
    <t xml:space="preserve">Flooring with vitrified tiles </t>
  </si>
  <si>
    <t>50</t>
  </si>
  <si>
    <t>Providing skirting to internal walls to 15 cm height</t>
  </si>
  <si>
    <t>51</t>
  </si>
  <si>
    <t>Flooring with Ceramic non skid tiles</t>
  </si>
  <si>
    <t>53</t>
  </si>
  <si>
    <t>54</t>
  </si>
  <si>
    <t>55</t>
  </si>
  <si>
    <t>56</t>
  </si>
  <si>
    <t>57</t>
  </si>
  <si>
    <t>58</t>
  </si>
  <si>
    <t>59</t>
  </si>
  <si>
    <t>60</t>
  </si>
  <si>
    <t>61</t>
  </si>
  <si>
    <t>62</t>
  </si>
  <si>
    <t>63</t>
  </si>
  <si>
    <t>Providing &amp; Supply of Water supply  and Sanitation items</t>
  </si>
  <si>
    <t>64</t>
  </si>
  <si>
    <t>65</t>
  </si>
  <si>
    <t>66</t>
  </si>
  <si>
    <t>67</t>
  </si>
  <si>
    <t>69</t>
  </si>
  <si>
    <t>71</t>
  </si>
  <si>
    <t>72</t>
  </si>
  <si>
    <t>73</t>
  </si>
  <si>
    <t>74</t>
  </si>
  <si>
    <t>76</t>
  </si>
  <si>
    <t>77</t>
  </si>
  <si>
    <t>TOTAL</t>
  </si>
  <si>
    <t>Difference in estimate</t>
  </si>
  <si>
    <t xml:space="preserve">Clearing light  jungle </t>
  </si>
  <si>
    <t>PCC (1:4:8) for bed concrete</t>
  </si>
  <si>
    <t>PCC (1:5:10) for bed concrete</t>
  </si>
  <si>
    <t>Refilling with excavated soil</t>
  </si>
  <si>
    <t>Plastering 20mm thick double coat</t>
  </si>
  <si>
    <t xml:space="preserve">Supplying  &amp; fixing of Iron  Grills </t>
  </si>
  <si>
    <t>S&amp;F of 32mm dia CPVC pipes</t>
  </si>
  <si>
    <t>S&amp;F of 25mm dia CPVC pipes</t>
  </si>
  <si>
    <t xml:space="preserve">Labour charges for CPVC PIPes </t>
  </si>
  <si>
    <t>S&amp;F of Bib Type Taps</t>
  </si>
  <si>
    <t>S&amp;F of 110mm dia PVC Pipes</t>
  </si>
  <si>
    <t>S&amp;F of 90mm dia PVC Pipes</t>
  </si>
  <si>
    <t>S&amp;F of 75mm dia PVC Pipes</t>
  </si>
  <si>
    <t xml:space="preserve">Labour charges for PVC PIPes </t>
  </si>
  <si>
    <t>S&amp;F of European type water closet</t>
  </si>
  <si>
    <t>S&amp;F of Synthatic Water storage tank</t>
  </si>
  <si>
    <t>Drilling with165mm dia borewell</t>
  </si>
  <si>
    <t>S&amp;F of 180mm dia casing pipe</t>
  </si>
  <si>
    <t xml:space="preserve">S&amp;F  of 25mm dia 2.2 mm thick PVC Conduit pipe </t>
  </si>
  <si>
    <t>200/18 SWG Module box w for 12 Module box</t>
  </si>
  <si>
    <t>200/18 SWG Module box w for 2 Module box</t>
  </si>
  <si>
    <t xml:space="preserve">Wiring with run of 2 of 14/0.3mm (1.0 Sq.mm) </t>
  </si>
  <si>
    <t>Supply and  Run of 2 of 36/0.3mm (2.50 Sq.mm)</t>
  </si>
  <si>
    <t>Supply and  Run of 2 of 56/0.3mm (4.00 Sq.mm)</t>
  </si>
  <si>
    <t>Supply and fixing of 6A 3/2 pin wall plug socket</t>
  </si>
  <si>
    <t>S&amp;F of ISI mark batten holder / angle holder</t>
  </si>
  <si>
    <t>S&amp;F of ceiling fan</t>
  </si>
  <si>
    <t>S&amp;F of Tube light</t>
  </si>
  <si>
    <t>Providng Independent earthing</t>
  </si>
  <si>
    <t xml:space="preserve">Provision for QC @0.5% </t>
  </si>
  <si>
    <t>Provision for Work file</t>
  </si>
  <si>
    <t>Poi</t>
  </si>
  <si>
    <t>As per working estimate</t>
  </si>
  <si>
    <t>Dadoing with Glazed tiles</t>
  </si>
  <si>
    <t>Painting  with Emulsion paint for inernal walls</t>
  </si>
  <si>
    <t>Labour  for Grooves 2-3mm thick for PVC pipes</t>
  </si>
  <si>
    <t>As per revised estimate</t>
  </si>
  <si>
    <t>lt</t>
  </si>
  <si>
    <t>SPECIFICATION REPORT</t>
  </si>
  <si>
    <t xml:space="preserve">                             Specification Report to accompany the working estimate for the work "</t>
  </si>
  <si>
    <t>Estt. Rs.</t>
  </si>
  <si>
    <t>Verandah</t>
  </si>
  <si>
    <t>Deduct door</t>
  </si>
  <si>
    <r>
      <t xml:space="preserve">~do~ for  </t>
    </r>
    <r>
      <rPr>
        <b/>
        <sz val="10"/>
        <rFont val="Calibri"/>
        <family val="2"/>
        <scheme val="minor"/>
      </rPr>
      <t>lintels etc., complete</t>
    </r>
  </si>
  <si>
    <t>Deduct ventilators</t>
  </si>
  <si>
    <r>
      <t xml:space="preserve">~do~ for  </t>
    </r>
    <r>
      <rPr>
        <b/>
        <sz val="10"/>
        <rFont val="Calibri"/>
        <family val="2"/>
        <scheme val="minor"/>
      </rPr>
      <t>Roof slab 100mm thick etc., complete</t>
    </r>
  </si>
  <si>
    <t>Ground floor</t>
  </si>
  <si>
    <t>First floor</t>
  </si>
  <si>
    <t>Supply and Fixing of ISI  25mm outer dia medium (1.80mm thickness) grade with IS:9537 part 3 regid PVC pipe with PVC / Metallic Junction boxes and all accessories  including Fixing of existing suitable size Consealed box PVC / MS with hook for fan including all labour charges etc., complete.</t>
  </si>
  <si>
    <t>Carridor</t>
  </si>
  <si>
    <t>Sarpanch room</t>
  </si>
  <si>
    <t>Upto 90 Mts</t>
  </si>
  <si>
    <t>90Mts to 150 Mts</t>
  </si>
  <si>
    <t>150Mts to 240 Mts</t>
  </si>
  <si>
    <t>S&amp; F 40  mm HDPE pipe pipe properties &amp; weight as per IS 1239 ISI mark with GI fittings including the cost of pipe &amp; its fittings &amp; labour charges.</t>
  </si>
  <si>
    <t>Supply and Transportation of 2.00HP single phase ISI  submersible mortor Pumpset subitable for 4" bore well Makes:Kirloskar/ Crompton/ CRI/ KSB/ Texmo/Aryan Varsha</t>
  </si>
  <si>
    <t xml:space="preserve">Plastering in CM (1:5) 20mm thick  single coat including c/c of all materials including all operational, incidental and labour charges such as mixing cement mortar and curing etc complete for finished item of work (APSS 901,  903 &amp; 904)  </t>
  </si>
  <si>
    <t>Frames : Medium Teak Wood</t>
  </si>
  <si>
    <t>Drilling of 165 mm dia Bore well by down the hole hammer drilling in all formations suitable for drilling with hammer drilling such as medium hard rock upto deepth specified by department including cost of trasportation charges crew charge
(Addendum minutes (LR No. RC/ENC (AW)/ADA/AEE/ 24686/Vol.XII/2019 Dt 03.03.2020 of the Engineer in Chief, Water resource department.</t>
  </si>
  <si>
    <t>Intial cost for Upto 90mts</t>
  </si>
  <si>
    <t>Intial cost for  90mts to 150mts</t>
  </si>
  <si>
    <t>Intial cost for  150mts to 250mts</t>
  </si>
  <si>
    <t>Initial cost  ELEC-5.4.1 e</t>
  </si>
  <si>
    <t>180mm dia PVC pipe for casing etc., complete
(Addendum minutes (LR No. RC/ENC (AW)/ADA/AEE/ 24686/Vol.XII/2019 Dt 03.03.2020 of the Engineer in Chief, Water resource department.</t>
  </si>
  <si>
    <t>Supply of 3 core 2.5 sqm flat copper cable as per for submersible motors of makes polycab for service mains including cost of material and labour charges and taxes etc., complete.</t>
  </si>
  <si>
    <t>Initial cost ELEC-1.6.3</t>
  </si>
  <si>
    <t>Plaster'ing 20mm thick double</t>
  </si>
  <si>
    <t>Plaster'ing 20mm thick single</t>
  </si>
  <si>
    <t>RCC  Roof Slab 100mm th</t>
  </si>
  <si>
    <t xml:space="preserve">Painting New Wood / iron work with Two coats of ready mixed Synthatic Enamil paint first quality of shades over primary coat of wood primary making Three coats in all given as even shade after thoroughly brushes the surface to remove all remains of loose provided materials including c/c of all materials and labour charges etc complete for finished item of work </t>
  </si>
  <si>
    <t>Qty.P.No.     of M.B.No.</t>
  </si>
  <si>
    <t>Supplying &amp; Fixing Indian pattern white glazed W.C 1st quality ISI marked conforming to IS:2556-Part-3-1981 with"P" or "S" trap: 630 mm Long</t>
  </si>
  <si>
    <t>Initial cost BMW-D.02</t>
  </si>
  <si>
    <t>Supply of  Hot Dip galvanized 20/18 SWG Module box with earthing terminal for 8 Module box</t>
  </si>
  <si>
    <t xml:space="preserve"> Initial cost ELEC-1.3.1 e</t>
  </si>
  <si>
    <t>Supply of  Hot Dip galvanized 20/18 SWG Module box with earthing terminal for 18 Module box</t>
  </si>
  <si>
    <t xml:space="preserve"> Initial cost ELEC-1.3.1 d 6M</t>
  </si>
  <si>
    <t xml:space="preserve"> Initial cost ELEC-1.3.1 f 12M</t>
  </si>
  <si>
    <t>Supply of Cover frames for 8 module box</t>
  </si>
  <si>
    <t xml:space="preserve"> Initial cost ELEC-1.8.3 e</t>
  </si>
  <si>
    <t>Supply of Cover frames for 18 module box</t>
  </si>
  <si>
    <t xml:space="preserve"> Initial cost ELEC-1.8.3 f 12M</t>
  </si>
  <si>
    <t xml:space="preserve"> Initial cost ELEC-1.8.3 d 6M</t>
  </si>
  <si>
    <t>Supply and fixing of 6A 2 pin wall plug socket with 6A switch control on a common switch board with earth continuity including wire leads, earth connections along with all labour charges etc., complete.</t>
  </si>
  <si>
    <t>Supply of  6A / 10A 1 Way flush type switch 1.7.1 a</t>
  </si>
  <si>
    <t>Supply of  6A / 10A 3/2 Pin flush type socket 1.7.1 d</t>
  </si>
  <si>
    <t>Supply of  6A / 10A 2 Pin flush type socket 1.7.1 c</t>
  </si>
  <si>
    <t>Supply and fixing of 6A flush type Neon Indicator.</t>
  </si>
  <si>
    <t xml:space="preserve"> Initial cost ELEC-1.7.1 e</t>
  </si>
  <si>
    <t>Supplying  &amp; fixing of MS tubes of any design including labour charges for fabricating steel including cost of welding rods, power charges &amp; fixing the grill in position etc complete</t>
  </si>
  <si>
    <t>Supplying  &amp; fixing of MS tubes &amp; Pipes including labour charges for fabricating steel including cost of welding rods, power charges &amp; fixing the grill in position etc complete</t>
  </si>
  <si>
    <t>MS Tubes and pipes BMT-F.04</t>
  </si>
  <si>
    <t>Labour charge  fabricating steel grills BMM.V.16</t>
  </si>
  <si>
    <t>Labour charg fixing grill in position BMM.V.17</t>
  </si>
  <si>
    <t>Plastering 20mm thick single coat</t>
  </si>
  <si>
    <t>Supplying  &amp; fixing of MS tube</t>
  </si>
  <si>
    <t>S&amp;F of Indian type water closet</t>
  </si>
  <si>
    <t>S&amp;F of Wash basin</t>
  </si>
  <si>
    <t>S&amp;F of 2 HP Submersible mortor</t>
  </si>
  <si>
    <t>S&amp; F 40  mm HDPE pip</t>
  </si>
  <si>
    <t>Supply of 3 core 1.50 sqm flat copper cable</t>
  </si>
  <si>
    <t xml:space="preserve">Supply and Transportation of control panel </t>
  </si>
  <si>
    <t>200/18 SWG Module box w for 8 Module box</t>
  </si>
  <si>
    <t>200/18 SWG Module box w for 18 Module box</t>
  </si>
  <si>
    <t>Supply and fixing of 6A 2 pin wall plug socket</t>
  </si>
  <si>
    <t>78</t>
  </si>
  <si>
    <t>79</t>
  </si>
  <si>
    <t>80</t>
  </si>
  <si>
    <t>86</t>
  </si>
  <si>
    <t>89</t>
  </si>
  <si>
    <t>94</t>
  </si>
  <si>
    <r>
      <t xml:space="preserve">~do~ for  </t>
    </r>
    <r>
      <rPr>
        <b/>
        <sz val="10"/>
        <rFont val="Calibri"/>
        <family val="2"/>
        <scheme val="minor"/>
      </rPr>
      <t>sunshades etc., complete</t>
    </r>
  </si>
  <si>
    <t xml:space="preserve">Brick Masonary for Superstructure with CM (1:6) proportion using 2nd class traditional bricks of size 23X11X7 cms having minimum crushing strength of 40kg/cm2  including c/c of all materials like Cement, Sand, Bricks, water etc including  labour charges such as mixing cement mortar, Scaffolding charges etc complete for finished item of work (APSS No 501 &amp; 504) </t>
  </si>
  <si>
    <t>Secretary room</t>
  </si>
  <si>
    <t>Front beam</t>
  </si>
  <si>
    <t>Verandah alround</t>
  </si>
  <si>
    <t>Store platform</t>
  </si>
  <si>
    <t>Ramp</t>
  </si>
  <si>
    <t>Front ramp</t>
  </si>
  <si>
    <t>Filling Basement with Gravel by watering and ramming including all operational, incidental and including c/c of material and labour charges etc complete for finished item of the work (APSS No 309&amp; 310) per 1 Cum</t>
  </si>
  <si>
    <t>Back side stair</t>
  </si>
  <si>
    <t>Front verandah</t>
  </si>
  <si>
    <t>Ladies tiolet</t>
  </si>
  <si>
    <t>Godown</t>
  </si>
  <si>
    <t>Staircase ventilators</t>
  </si>
  <si>
    <t>Filling Basement with Gravel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</si>
  <si>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Gravel filling</t>
  </si>
  <si>
    <t>Gravel</t>
  </si>
  <si>
    <t>Flooring with high polished granite 16 to 18 mm mm thick slabs other than black set over base coat of cement mortar (1:8), 20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tilesetc., complete, including seigniorage charges, labour charges for dressing of tilesetc., complete for finished item of work, but excluding the cost of conveyance of all materials</t>
  </si>
  <si>
    <t>BLD-CSTN-7-7</t>
  </si>
  <si>
    <t>High polished granite 16 to 18 mm thick slab other than black</t>
  </si>
  <si>
    <t>BLD-CSTN-7-21</t>
  </si>
  <si>
    <t xml:space="preserve">Sand for Moratr CM (1:3) proportion </t>
  </si>
  <si>
    <t>White cement</t>
  </si>
  <si>
    <t>Providing skirting to internal walls to 15 cm height/risers of steps with 16-18 mm thick  polished granite tiles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</si>
  <si>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Flooring with chequrred terrazzo tiles of 22 mm thick (medium shade) set over base coat of cement mortar (1:6) 12 mm thick over CC bed already laid or RCC roof slab, including near cement slurry of honey like consistency spread @ 3.3.kgs per sqm &amp; jointed with neat cement to full depth mixed with pigment of matching shade including cost of all materials like cement, sand water and tiles etc., complete, including seigniorage charges, complete for finished item of work,</t>
  </si>
  <si>
    <t>Flooring with chequrred terrazzo tiles of 22 mm thick (medium shade) set over base coat of cement mortar (1:6) 12 mm thick over CC bed already laid or RCC roof slab, including near cement slurry of honey like consistency spread @ 3.3.kgs per sqm &amp; jointed with neat cement to full depth mixed with pigment of matching shade including cost of all materials like cement, sand water and tiles etc., complete, including seigniorage charges, complete for finished item of work</t>
  </si>
  <si>
    <t>BLD-CSTN-7-4</t>
  </si>
  <si>
    <t>Cement for CM (1:6) proportion for basecoat</t>
  </si>
  <si>
    <t xml:space="preserve">Sand for Mortar CM (1:6) proportion </t>
  </si>
  <si>
    <t>Chequerred terrazzo tiles of 22 mm thick (medium shade) BMT-D.01</t>
  </si>
  <si>
    <t>Providing skirting to internal walls to 15 cm height/risers of steps with chequrred terrazzo tiles length equal to flooring stones, set over base coat of CM (1:5)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</si>
  <si>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 xml:space="preserve">Providing Skirting to internal walls to 15cm height / risers of steps with chequrred terrazzo tiles length equal to flooring stones, set over base coat of CM (1:5) 12mm thick with Cement slurry of honey like consistency spread @ 3.30 Kgs per Sqm &amp; jointed with white Cement paste mixed with pigment of matching shade to full depth, including c/c of materials like Cement, Sand and Water and tiles etc complete for finished item of work </t>
  </si>
  <si>
    <t>Supply &amp; fixing of Rolling shutter made of 80 x 1.25 mm machine rolled CRCA laths, interlocked together through their entire length and jointed together at the ends by endlocks, mounted on specially designed pipe shaft of 50mm dia nominal bore MS B class pipe with brackets, plates, guide channels, stoppers, bottom locking plates and arrangements for inside &amp; outside locking with push-pull operations including cost of hood cover and springs complete, painted with one coat of approved steel primer, locks, ball bearings, all accessories etc complete for finished item of work as per special spn: 1108</t>
  </si>
  <si>
    <t>Flooring Granite stone</t>
  </si>
  <si>
    <t>Skirting Granite stone</t>
  </si>
  <si>
    <t>Flooring Terrazo tiles</t>
  </si>
  <si>
    <t>Skirting Terrazo tiles</t>
  </si>
  <si>
    <t>Supplying &amp; fixing 15 mm bib tap with flange Chromeum plated Jaquar make queen series</t>
  </si>
  <si>
    <t>Initial cost BMW-I.140</t>
  </si>
  <si>
    <t>For water pipes</t>
  </si>
  <si>
    <t>Gents tiolet</t>
  </si>
  <si>
    <t>Sarpanch tiolet</t>
  </si>
  <si>
    <t>Supply of  Hot Dip galvanized 20/18 SWG Module box with earthing terminal for 6 Module box</t>
  </si>
  <si>
    <t xml:space="preserve"> Initial cost ELEC-1.3.1 d</t>
  </si>
  <si>
    <t>Wiring with run of 2 of 14/0.3mm (1.0 Sq.mm) FRLS / HFFR PVC insulated flexible ISI mark copper cable in existing PVC conduit pipe including Supply and fixing of Jumbo Ceiling rose and 6A/10A ISI Mark 1way flush type switch  in existing Surface or Concealed pipe wiring including cost and conveyance of all material and all labour charges etc., complete for light and bell  points</t>
  </si>
  <si>
    <t>Wiring with run of 2 of 14/0.3mm (1.0 Sq.mm) FRLS / HFFR PVC insulated flexible ISI mark copper cable in existing PVC conduit pipe including Supply and fixing of Jumbo Ceiling rose and 6A/10A ISI Mark 1way flush type switch  in existing Surface or Concealed pipe wiring including cost and conveyance of all material and all labour charges etc., complete for Fan points</t>
  </si>
  <si>
    <t>Supply of Cover frames for 6 module box</t>
  </si>
  <si>
    <t xml:space="preserve">Sal Wood </t>
  </si>
  <si>
    <t>Stainless Steel Tubes BMT-F.06</t>
  </si>
  <si>
    <t>Labour charge  fabricating stainless steel railing BMM-V.18</t>
  </si>
  <si>
    <t>Supply and fixing SPN Distribution board with IP-20 protection suitable for single phase Earth Leakage Circute Braker (ELCB) / Residual Current Circute Braker (RCCB) / Double Pole (DP) Isolator as incomer and 10kA SP MCBs as out going including internal connections and labour charges for surface / flush mounting etc., complete.</t>
  </si>
  <si>
    <t xml:space="preserve">Skilled Electrician. </t>
  </si>
  <si>
    <t>Helper (Electrical)</t>
  </si>
  <si>
    <t>SPN 4way D.B with IP-20 Protection suitable for single phase ECCB / RCCB/ DP Isolator. ELEC-2.13.1a</t>
  </si>
  <si>
    <t>40A D.P.Isolator / ECCB / RCCB ELEC-2.11.1 b</t>
  </si>
  <si>
    <t>10 kA - 6-32A range SP MCBs ELEC-2.10.1 a</t>
  </si>
  <si>
    <t>Filling basement with Sand filling</t>
  </si>
  <si>
    <t>Reinforced Brick Masonry for partition walls (11.5 cm thick) i</t>
  </si>
  <si>
    <t xml:space="preserve">Cost, Supply and Fixing of rolling shutter to Godown </t>
  </si>
  <si>
    <t xml:space="preserve">White washing three coats with whiting </t>
  </si>
  <si>
    <t>Flooring with Granite stones</t>
  </si>
  <si>
    <t>skirting to internal walls  with Granite stones</t>
  </si>
  <si>
    <t>Flooring with Terrazo tiles</t>
  </si>
  <si>
    <t>skirting to internal walls  with Terrazo tiles</t>
  </si>
  <si>
    <t>Supplying and fixing of  ventilator</t>
  </si>
  <si>
    <t>S&amp;F of Bib Type Taps  flange Chromeum plated Jaquar make queen series</t>
  </si>
  <si>
    <t>200/18 SWG Module box w for 6 Module box</t>
  </si>
  <si>
    <t>Supply and fixing SPN Distribution board</t>
  </si>
  <si>
    <t>Filling basement with Gravel</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</si>
  <si>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 inclusive of cost of Single / double glass panes,and silicon sealent
Two track two panels sliding window made of (small series) frame 52 x 44 mm &amp;sash 32 x 60 mm both having wall thickness of 1.9 ± 0.2 mm and single glazing bead of appropriate dimension. (Area of window upto 1.75 sqm)</t>
  </si>
  <si>
    <t>Supplying &amp; fixing 4" (101.6 mm ) Nahany trap with Jali-  PVC/SWR Pipe fittings</t>
  </si>
  <si>
    <t>Nahany trap with Jali-  PVC/SWR Pipe fittings</t>
  </si>
  <si>
    <t>For septic tank</t>
  </si>
  <si>
    <t>BLD-ELEC-2.1.1</t>
  </si>
  <si>
    <t>BLD-ELEC-2.1.4</t>
  </si>
  <si>
    <t>BLD-ELEC-3.1.4</t>
  </si>
  <si>
    <t>BLD-ELEC-3.1.5</t>
  </si>
  <si>
    <t>BLD-ELEC-2.1.8</t>
  </si>
  <si>
    <t>BLD-ELEC- 8.2.2 and 
7.9.3</t>
  </si>
  <si>
    <t xml:space="preserve"> BLD ELE 4.4.1</t>
  </si>
  <si>
    <t xml:space="preserve"> BLD ELE 5.1.1</t>
  </si>
  <si>
    <t>40mm Nominal Bore Medium grade G.I.Pipe. ELEC-8.4.17d</t>
  </si>
  <si>
    <t>25mm x 6 mm G.I.Strip (ELEC-8.3.6</t>
  </si>
  <si>
    <t>No.8 G.I.Wire (ELEC-8.3.6)</t>
  </si>
  <si>
    <t>Drilling of 16 Nos through holes of 12mm dia to G.I pipe. ELEC-8.4.20</t>
  </si>
  <si>
    <t>G.I Nuts, Bolts an Washers each set. ELEC-8.4.21</t>
  </si>
  <si>
    <t>18" dia  2" thick hume pipe ring. ELEC-8.4.22</t>
  </si>
  <si>
    <t>2" thick  CC cover for hume pipe ring with handle.ELEC-8.4.24</t>
  </si>
  <si>
    <t>Hard Coke  ELEC-8.1.10</t>
  </si>
  <si>
    <t>Salt. ELEC-8.1.11</t>
  </si>
  <si>
    <t>Earth Work Excavation of Hard gravel Soil with small boulder for trench 1st step of size 1.2 x 0.6 x 0.9 m (4'x2'x3') ELEC-8.4.19</t>
  </si>
  <si>
    <t>Excavation of Hard disteggrated rocks and boulders for trench 2nd Step of size 0.9 x 0.6 x 1.2 m  (3'x2'x4') ELEC-8.4.19</t>
  </si>
  <si>
    <t>Qty.p. 2 of M.B.No.435-C/2017-18</t>
  </si>
  <si>
    <t>Horizontal Top &amp; Bottom</t>
  </si>
  <si>
    <t>1) Name of the Work:</t>
  </si>
  <si>
    <t>2) Estimate Cost:</t>
  </si>
  <si>
    <t>3) Grant:</t>
  </si>
  <si>
    <t>CERTIFICATES</t>
  </si>
  <si>
    <t>STATEMENT OF VOUCHER WISE PARTCICULARS OF MGNREGS WORKS</t>
  </si>
  <si>
    <t>ID No</t>
  </si>
  <si>
    <t>Mandal</t>
  </si>
  <si>
    <t xml:space="preserve">Estt. Rs </t>
  </si>
  <si>
    <t>M.B.No.</t>
  </si>
  <si>
    <t>Description of Material</t>
  </si>
  <si>
    <t>Executive Quantity</t>
  </si>
  <si>
    <t>Voucher</t>
  </si>
  <si>
    <t>Net Amount</t>
  </si>
  <si>
    <t>VO No. &amp; Date</t>
  </si>
  <si>
    <t>CW-02 Cement</t>
  </si>
  <si>
    <t>CW-03 Sand for Filing</t>
  </si>
  <si>
    <t>Units</t>
  </si>
  <si>
    <t>CW-04 Sand for Mortor</t>
  </si>
  <si>
    <t>CW-09 40MM HBG Metal</t>
  </si>
  <si>
    <t>CW-19 Sand for Concrete</t>
  </si>
  <si>
    <t>CW-20 Steel</t>
  </si>
  <si>
    <t>CW-10 Other component</t>
  </si>
  <si>
    <t>HAND RECEIPT</t>
  </si>
  <si>
    <t xml:space="preserve">       Received an amount of Rs </t>
  </si>
  <si>
    <t>(Rupees</t>
  </si>
  <si>
    <t>purpose for which payment is made :</t>
  </si>
  <si>
    <t>Sand for Filling</t>
  </si>
  <si>
    <t>Payee</t>
  </si>
  <si>
    <t>Receiver</t>
  </si>
  <si>
    <t>Sand for Mortor</t>
  </si>
  <si>
    <t>Supply and cost of steel</t>
  </si>
  <si>
    <t>Building Labour Component total amount</t>
  </si>
  <si>
    <t>No.                         Receipt:                       Date:</t>
  </si>
  <si>
    <t>SRI VENKATESWARA LORRY SERVICE</t>
  </si>
  <si>
    <t>(SAI LAKSHMI STORE CRUSHERS)</t>
  </si>
  <si>
    <t>BUDAWADA, CHEEMAKURTHI MANDAL</t>
  </si>
  <si>
    <t>RAMATHERDHAM, CHEEMAKURTHI MANDAL</t>
  </si>
  <si>
    <t>Party Name:</t>
  </si>
  <si>
    <t>Sizes</t>
  </si>
  <si>
    <t>40mm</t>
  </si>
  <si>
    <t>20-12mm</t>
  </si>
  <si>
    <t>20MM</t>
  </si>
  <si>
    <t>12MM</t>
  </si>
  <si>
    <t>9.50 to 475mm</t>
  </si>
  <si>
    <t>4.75 to 2.36mm</t>
  </si>
  <si>
    <t>Dust</t>
  </si>
  <si>
    <t>Signature</t>
  </si>
  <si>
    <t>RELEASE AND DISCHARGE CERTIFICATE</t>
  </si>
  <si>
    <t>Supply of  Hot Dip galvanized 20/18 SWG Module box with earthing terminal for 4 Module box</t>
  </si>
  <si>
    <t xml:space="preserve"> Initial cost ELEC-1.3.1 c</t>
  </si>
  <si>
    <t>Supply of Cover frames for 4 module box</t>
  </si>
  <si>
    <t xml:space="preserve"> Initial cost ELEC-1.8.3 c </t>
  </si>
  <si>
    <t>Supply of 9" (225mm), Light duty exhaust fan with double ball bearing and wire guard etc complete.</t>
  </si>
  <si>
    <t xml:space="preserve"> Initial cost ELEC-5.1.12</t>
  </si>
  <si>
    <t>200/18 SWG Module box w for 4 Module box</t>
  </si>
  <si>
    <t>Light duty exhaust fan</t>
  </si>
  <si>
    <t>Deduct ventilator</t>
  </si>
  <si>
    <t>Hall</t>
  </si>
  <si>
    <t>2nd flight</t>
  </si>
  <si>
    <t>1st flight</t>
  </si>
  <si>
    <t>Staircase portion</t>
  </si>
  <si>
    <t>Supplying and fixing of  Door of size 1.20X2.10M with two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</si>
  <si>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Supplying and fixing of  Door of size 1.05X2.10M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</si>
  <si>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 xml:space="preserve">Plastering 20mm thick inside in single coats </t>
  </si>
  <si>
    <t>WORK ID</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</si>
  <si>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 inclusive of cost of Single / double glass panes,and silicon sealent Two track two panels sliding window made of (small series) frame 52 x 44 mm &amp;sash 32 x 60 mm both having wall thickness of 1.9 ± 0.2 mm and single glazing bead of appropriate dimension. (Area of window upto 1.75 sqm)</t>
  </si>
  <si>
    <t xml:space="preserve">Plastering to brick masonary wall with  12mm thick double coat in CM (1:5) 8 mm thick base coat and CM (1:3) of 4mm thick top coat with dubara sponge finish including c/c of all materials including all operational, incidental and labour charges such as mixing cement mortar and curing etc complete for finished item of work (APSS 901,  903 &amp; 904) </t>
  </si>
  <si>
    <t>Long walls A1 to E1</t>
  </si>
  <si>
    <t>Steps bottom</t>
  </si>
  <si>
    <t>1st step</t>
  </si>
  <si>
    <t>2nd step</t>
  </si>
  <si>
    <t>Front projection</t>
  </si>
  <si>
    <t>East side</t>
  </si>
  <si>
    <t>Room-1</t>
  </si>
  <si>
    <t>West side</t>
  </si>
  <si>
    <t>North side</t>
  </si>
  <si>
    <t>Hall alround</t>
  </si>
  <si>
    <t>Front entrane</t>
  </si>
  <si>
    <t>GF 1st flight raisers</t>
  </si>
  <si>
    <t>2nd flight raisers</t>
  </si>
  <si>
    <t>20 mm HBG  metal(SS 5)</t>
  </si>
  <si>
    <t>12 mm HBG  metal(SS 5)</t>
  </si>
  <si>
    <t>10 mm HBG  metal(SS 5)</t>
  </si>
  <si>
    <t>6 mm HBG  metal(SS 5)</t>
  </si>
  <si>
    <t>Rate per Cum</t>
  </si>
  <si>
    <t>20 mm GRADED METAL( CW 07 20 mm(48%) and 12 mm(12%)10 mm(12%) 6 mm(8)%  (34822))</t>
  </si>
  <si>
    <t>Brick masonery in CM (1:8) for basement</t>
  </si>
  <si>
    <t>Brick masonery in CM (1:6) for superstructure</t>
  </si>
  <si>
    <t>Plastering 12mm thick double coat</t>
  </si>
  <si>
    <t>Fan regulator</t>
  </si>
  <si>
    <t xml:space="preserve"> steel tube down rod for ceiling  fan</t>
  </si>
  <si>
    <t>Supply and  Run of  4 of 84/0.3mm (6.0 Sq.mm)</t>
  </si>
  <si>
    <t xml:space="preserve">Centering charges SS material hire charges </t>
  </si>
  <si>
    <t xml:space="preserve">Centering charges SS Labour charges </t>
  </si>
  <si>
    <t xml:space="preserve">Name of the Work: </t>
  </si>
  <si>
    <t>Sand</t>
  </si>
  <si>
    <t>Work ID</t>
  </si>
  <si>
    <t>Est. Rs.</t>
  </si>
  <si>
    <t>Sl. No.</t>
  </si>
  <si>
    <t>unit</t>
  </si>
  <si>
    <t>Quarry</t>
  </si>
  <si>
    <t>Convey-ance Charges</t>
  </si>
  <si>
    <t xml:space="preserve">Initial Cost </t>
  </si>
  <si>
    <t>Crushing charges</t>
  </si>
  <si>
    <t>Brick</t>
  </si>
  <si>
    <t>Cement</t>
  </si>
  <si>
    <t xml:space="preserve">MS Flats </t>
  </si>
  <si>
    <t>6mm Ms roads</t>
  </si>
  <si>
    <t>Sand for Mortar (screened)</t>
  </si>
  <si>
    <t>Sand for Mortar (concrete)</t>
  </si>
  <si>
    <t>1000 nos</t>
  </si>
  <si>
    <t>40mm HBG metal SS5, M/C</t>
  </si>
  <si>
    <t>20mm HBG SS5 M/c chips</t>
  </si>
  <si>
    <t>Aggregates 12 mm nominal size</t>
  </si>
  <si>
    <t>Aggregates 10mm nominal size</t>
  </si>
  <si>
    <t>Aggregates 6mm nominal size</t>
  </si>
  <si>
    <t>PRI Sub Division</t>
  </si>
  <si>
    <t>Mandal Praja parishad</t>
  </si>
  <si>
    <t>Selected earth</t>
  </si>
  <si>
    <t>Loading</t>
  </si>
  <si>
    <t>Unloading</t>
  </si>
  <si>
    <t>A. MATERIALS:</t>
  </si>
  <si>
    <t>Mazdoor (unskilled)</t>
  </si>
  <si>
    <t>1st Class Mason</t>
  </si>
  <si>
    <t>Lintels</t>
  </si>
  <si>
    <t xml:space="preserve">Basic Rate </t>
  </si>
  <si>
    <t>Unit = 10 sqm</t>
  </si>
  <si>
    <t>BASIC COST per 10 sqm</t>
  </si>
  <si>
    <t>Add Labour Comp on LC</t>
  </si>
  <si>
    <t>BASIC COST per 1 sqm GF</t>
  </si>
  <si>
    <t>kgs</t>
  </si>
  <si>
    <t>Cement for CM (1:8) for base coat</t>
  </si>
  <si>
    <t>Painter 2nd class</t>
  </si>
  <si>
    <t>Sundries including brushes, soaps, putty etc.,</t>
  </si>
  <si>
    <t>Painter 2nd Class</t>
  </si>
  <si>
    <t>Skirting with Granite stones</t>
  </si>
  <si>
    <t>BLD-CSTN-9-4</t>
  </si>
  <si>
    <t>White washing one coat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</si>
  <si>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Sundries including brushes, ladders, etc.,5%</t>
  </si>
  <si>
    <t>BLD-ELEC-6.1.1</t>
  </si>
  <si>
    <t>Supply and Run of 2 of 6 Sq.mm WPSC Aluminium cable along with No.10 SWG G.I bearer wire through PVC cleats with all accessories including labour charges etc., complete for service mains.</t>
  </si>
  <si>
    <t>6 Sq.mm WPSC Aluminium cable ELEC-1.6.1</t>
  </si>
  <si>
    <t>No.10 SWG G.I wire. (0.026 Kg / Mtr) Length 100 RM ELEC-8.3.6</t>
  </si>
  <si>
    <t>PVC Cleats ELEC-8.1.13</t>
  </si>
  <si>
    <t xml:space="preserve">Semi Skilled Electrician / Lineman </t>
  </si>
  <si>
    <t>75mm dia</t>
  </si>
  <si>
    <t xml:space="preserve">Providing and applying synthetic plaster putty </t>
  </si>
  <si>
    <t>Construction of Second Floor</t>
  </si>
  <si>
    <t>Providing Door, Windows, Ventilators and Grills</t>
  </si>
  <si>
    <t>Providing and applying Wall putty of White Cement or Polymer or Cement based of average 1 to 2 mm thickness over plastered surface to prepare the surface even and smooth after thoroughly brushing the surface to remove all dirt and remains of loose powdered materials, applying emery paper, Sand the surface, clean &amp; wipe off loose dust, applying knifing paste filler by putty knife / muslin pad, air dry for 2 - 3 hrs, sand with 180 and 320 No., emery paper for the surface preparation including cost and conveyance of all materials and all operational, incidental and all labour charges etc., complete for finished item of work in all floors for internal walls</t>
  </si>
  <si>
    <t>wall putty (BMT-J.31)</t>
  </si>
  <si>
    <t>Sundries</t>
  </si>
  <si>
    <t>Rate per 1.00 MT</t>
  </si>
  <si>
    <t>Water charges 1%</t>
  </si>
  <si>
    <t>Name of the  work</t>
  </si>
  <si>
    <t>Name of the  Sub work</t>
  </si>
  <si>
    <t xml:space="preserve">WORKING ESTIMATE </t>
  </si>
  <si>
    <t xml:space="preserve">Providing impervious coat to exposed RCC Roof Slab surface with CM (1:3) 20mm thick with 1Kg of water proof compound per bag of Cement laid over roof when it is green including c/c of all materials and labour charges for mixing mortar, laying, rendering smooth and thread lining, cutting, rounding off junctions of wall and slab etc for finished item of work (APSS 901,  903) </t>
  </si>
  <si>
    <t>Rate per 10 Sqm</t>
  </si>
  <si>
    <t xml:space="preserve">Reinforced Brick Masonry for partition walls (11.0 cm thick) in CM (1:6) prop. (Cement : Sand) using common burnt clay bricks of class as per Table- I of IS:1077-1992, Non- Modular or traditional size    23 x 11 x 7 cms from approved source having minimum crushing strength of 40 Kg/Sq.cm and placing 2 Nos. of 6mm M.S plain rods in every third layer with free ends of the reinforcement pegged into mortar joints of main brick walls where applicable including cost and conveyance of all materials and  all operational, incidental charges such as labour charges for mixing cement mortar, scaffolding charges, lift charges,and all labour charges etc., but excluding cost of steel and its fabrication charges complete for finished item of work. </t>
  </si>
  <si>
    <t>Or</t>
  </si>
  <si>
    <t>LEAD STATEMENT (2019-20)</t>
  </si>
  <si>
    <t>Plaster'ing 12mm thick double</t>
  </si>
  <si>
    <t>second floor</t>
  </si>
  <si>
    <t xml:space="preserve">BM CM (1:6) </t>
  </si>
  <si>
    <t>KANDUKUR</t>
  </si>
  <si>
    <t xml:space="preserve">CW.G07.20mm to 12mm HBG </t>
  </si>
  <si>
    <t>Rate per 2.556 Sqm</t>
  </si>
  <si>
    <t>Supply and fixing of  Wood Polymer Composite(WPC)  Door Frame section of 63.5x100 MM .The two Vertical members are to be joined together with the horizontal member using 8x75 MM long MS Star full thread screws to be used with reverse forward speed control hand drilling machine. The ready/assembled door frame is fixed to the wall using hold fast or bolt fasteners. A minimum of 4 No.s of screws to be provided for each vertical member &amp; minimum 2no.s for horizontal member, and fixing 28 -30 MM thick solid Wood Polymer Composite (WPC)  double extruded door shutter with 3MM top and bottom rigid layer with an overall density of 750kg/Cum. It will be fixed to the frame using 3 inch /4 inch hinges. A minimum of 4 hinges will be required for fixing the door with the frame 1200 x 2130mm</t>
  </si>
  <si>
    <t>Taking output Unit = 2.556 Sqm</t>
  </si>
  <si>
    <t>Cost of Aluminium door stopper</t>
  </si>
  <si>
    <t>50mm dia SS pipe ( 1 x 4.60)</t>
  </si>
  <si>
    <t>25mm dia SS pipe (8 x 0.90)</t>
  </si>
  <si>
    <t>Drilling of 25mm dia hole(13 x 0.10)</t>
  </si>
  <si>
    <t xml:space="preserve">Base Plate 75mm dia. </t>
  </si>
  <si>
    <t>Add for anchor bars</t>
  </si>
  <si>
    <t>Add for bonding</t>
  </si>
  <si>
    <t>Taking output = 4.60 Rm</t>
  </si>
  <si>
    <t>Rate per 4.60 Rm</t>
  </si>
  <si>
    <t>Rate per 1.00 Sqm (Rm Quantity / 0.90)</t>
  </si>
  <si>
    <t>50mm dia SS pipe ( 1 x 10.00)</t>
  </si>
  <si>
    <t>25mm dia SS pipe (9 x 0.30)</t>
  </si>
  <si>
    <t>Taking output = 10.00 Rm</t>
  </si>
  <si>
    <t xml:space="preserve">Base Plate 25mm dia. </t>
  </si>
  <si>
    <t>Rate per 10.00 Rm</t>
  </si>
  <si>
    <t>Drilling of 25mm dia hole(9 x 0.10)</t>
  </si>
  <si>
    <r>
      <t>Supplying and fixing of stainless steel (grade 304)</t>
    </r>
    <r>
      <rPr>
        <b/>
        <sz val="10"/>
        <rFont val="Calibri"/>
        <family val="2"/>
        <scheme val="minor"/>
      </rPr>
      <t xml:space="preserve"> hand railing </t>
    </r>
    <r>
      <rPr>
        <sz val="10"/>
        <rFont val="Calibri"/>
        <family val="2"/>
        <scheme val="minor"/>
      </rPr>
      <t>as per approved drawing with top rail of 50mm dia pipe and 2mm thick medium class and vertical posts of  25mm dia and 1.6mm thick medium class  1 No for each step fixed with base plate of  75mm dia using bonding agent and anchor fastner and welding,  drilling of 25mm dia holes with pneumatic compressor for fixing railing,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</si>
  <si>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t>1st class mason</t>
  </si>
  <si>
    <t>2nd class mason</t>
  </si>
  <si>
    <t>Mazdoor(unskilled)</t>
  </si>
  <si>
    <t>S&amp;F of Cement Jolleys 50mm thick</t>
  </si>
  <si>
    <t>Supply and fixing of ornamental grill made of 25mm x 10mm MS flats for fixing in fan light portion and side fixed panels for door cum window as per the approved drawing including cutting the flat to required length, welding, painting with red oxide single coat including cost and conveyance of all materials, labour charges etc., complete for finished otem of work.</t>
  </si>
  <si>
    <t>Cost of MS flats</t>
  </si>
  <si>
    <t>Cost of MS Grill</t>
  </si>
  <si>
    <t>Rate per 2.025 Sqm</t>
  </si>
  <si>
    <t>Full Rounding the edges of Marble/ Granite stone slabs of all thicknesses including polishing the same.</t>
  </si>
  <si>
    <t>Initial Cost BMM-V.11</t>
  </si>
  <si>
    <t>Staircase 1st flight</t>
  </si>
  <si>
    <t>Staircase 2nd flight</t>
  </si>
  <si>
    <t>Supply and fixing of 2 Nos of 32A, 240V Porcelain Rewirable Fuse Units of  makes : GM / Sputnik / Kundancab / Million / Gold Medal  / Vimal / Star / Benlo on 12" x 18" peta board with connections and labour charges etc complete.</t>
  </si>
  <si>
    <t>32 A  240V Porcelain Rewirable Fuse Units.2.7.1.a</t>
  </si>
  <si>
    <t>Supply of 6.0 Sqmm PVC  insulated flexible Copper cable. 1.5.2.e</t>
  </si>
  <si>
    <t>Peeta Board of Size 15" x 20" 1.4.3.c</t>
  </si>
  <si>
    <t>Cost of Material Rate</t>
  </si>
  <si>
    <t>Supply and Transportation of 48" (1200mm) Sweep 5 star rated Ceiling Fan , with double ball bearings, air delivery more than 200 cubic meter/min but without Regulator.</t>
  </si>
  <si>
    <t>Supply and fixing of Modular type Electronic fan regulator hum free step type socket size in the existing switch board.</t>
  </si>
  <si>
    <t>Labour charges for fixing of ceiling fan with regulator including transportation, 3 core  wire leads etc complete</t>
  </si>
  <si>
    <t xml:space="preserve">Supply of 23 / 0060 twin core twisted </t>
  </si>
  <si>
    <t>Supply and erecting 19/20mm steel tube down rod of one meter length with bolts &amp; nuts duly painted with matching colour of  fan complete</t>
  </si>
  <si>
    <t xml:space="preserve">S&amp;F of 48" dia(1.20Mts) 2" thick Precasted rcc hume rings including cost and conveyance of all material and labour charges etc., complete for septic Tank </t>
  </si>
  <si>
    <t xml:space="preserve">S&amp;F of 1200 mm dia 2" thick Precasted  cc cover for hume pipe including cost and conveyance of all material and labour charges etc., complete for septic Tank </t>
  </si>
  <si>
    <t>48" dia(1.20Mts) 2" thick hume pipe ring</t>
  </si>
  <si>
    <t>0.45= 250.00 : 1.20 = ?</t>
  </si>
  <si>
    <t>?=1.20 x 250.00 / 0.45</t>
  </si>
  <si>
    <t>?=666.66</t>
  </si>
  <si>
    <t>48.00" dia(1.20Mts) 2" thick hume pipe ring</t>
  </si>
  <si>
    <t>Full Rounding the edges of  Granite stone slabs of all thicknesses including polishing the same.</t>
  </si>
  <si>
    <t xml:space="preserve">White washing one coat with whiting </t>
  </si>
  <si>
    <t xml:space="preserve">Providing and applying Wall putty </t>
  </si>
  <si>
    <t>Painting New Wood / iron work with Two coats of ready mixed Synthatic Enamil paint</t>
  </si>
  <si>
    <t>Full Rounding the edges of  Granite stone slabs</t>
  </si>
  <si>
    <t>Supply and fixing of  Door  of size 1.05  x 2.10mt GF</t>
  </si>
  <si>
    <t>Supply and fixing of  Door  of size 1.05  x 2.10mt FF</t>
  </si>
  <si>
    <t>Providing and fixing factory made uPVC  windows 3track</t>
  </si>
  <si>
    <t>Providing and fixing factory made uPVC  windows single track</t>
  </si>
  <si>
    <t>Labour charges for fixing fan</t>
  </si>
  <si>
    <t>Supply and fixing of 2 Nos of 32A, 240V Porcelain Rewirable Fuse Units</t>
  </si>
  <si>
    <t>Supply and fixing of ornamental grill made of 20mm x 10mm MS flats and MS Grill 8mm x 8mm for fixing in fan light portion and side fixed panels for door cum window as per the approved drawing including cutting the flat to required length, welding, painting with red oxide single coat including cost and conveyance of all materials, labour charges etc., complete for finished otem of work.</t>
  </si>
  <si>
    <t>Cost of 48" Fan ELEC-5.1.4</t>
  </si>
  <si>
    <t>CW03.sand for filling</t>
  </si>
  <si>
    <t>CW-G04.Sand for Mortar</t>
  </si>
  <si>
    <t>CW-G19.Sand for Concrete</t>
  </si>
  <si>
    <t>BILL</t>
  </si>
  <si>
    <t>P.No.</t>
  </si>
  <si>
    <t>CW01</t>
  </si>
  <si>
    <t>CW02</t>
  </si>
  <si>
    <t>CW03</t>
  </si>
  <si>
    <t>CW10</t>
  </si>
  <si>
    <t xml:space="preserve">Metal </t>
  </si>
  <si>
    <t xml:space="preserve">Sand </t>
  </si>
  <si>
    <t>Steel</t>
  </si>
  <si>
    <t>Material Wise Abstract</t>
  </si>
  <si>
    <t>Sub Divisional Bill No.</t>
  </si>
  <si>
    <t>SUB DIVISION CHECK SLIP TO ACCOMPANYING  ALL WORK BILLS</t>
  </si>
  <si>
    <t>Name of the Grant:</t>
  </si>
  <si>
    <t>Name of the Sub Division</t>
  </si>
  <si>
    <t>Name of the Mandal</t>
  </si>
  <si>
    <t>Name of the Work:-</t>
  </si>
  <si>
    <t>Work ID No.</t>
  </si>
  <si>
    <t>Estimate Amount</t>
  </si>
  <si>
    <t>Admn. Sanction No. &amp; Date</t>
  </si>
  <si>
    <t>Rc.No. T3 / MGNREGS / 2020 Dt 30-6-20 of the District Collector &amp; District Programme Co-Ordinator,MGNREGS, Prakasam District, Ongole</t>
  </si>
  <si>
    <t>Tech. Sanction No. &amp; Date</t>
  </si>
  <si>
    <r>
      <t xml:space="preserve">DR.No. </t>
    </r>
    <r>
      <rPr>
        <sz val="10"/>
        <color theme="0"/>
        <rFont val="Calibri"/>
        <family val="2"/>
        <scheme val="minor"/>
      </rPr>
      <t xml:space="preserve">      </t>
    </r>
    <r>
      <rPr>
        <b/>
        <sz val="10"/>
        <color theme="0"/>
        <rFont val="Calibri"/>
        <family val="2"/>
        <scheme val="minor"/>
      </rPr>
      <t xml:space="preserve"> /18-19/MGNREGS</t>
    </r>
    <r>
      <rPr>
        <sz val="10"/>
        <rFont val="Calibri"/>
        <family val="2"/>
        <scheme val="minor"/>
      </rPr>
      <t xml:space="preserve"> Dt. </t>
    </r>
    <r>
      <rPr>
        <sz val="10"/>
        <color theme="0"/>
        <rFont val="Calibri"/>
        <family val="2"/>
        <scheme val="minor"/>
      </rPr>
      <t>10.07.2018</t>
    </r>
    <r>
      <rPr>
        <sz val="10"/>
        <rFont val="Calibri"/>
        <family val="2"/>
        <scheme val="minor"/>
      </rPr>
      <t xml:space="preserve">  of the Executive Engineer, PRI  Division, Kandukur</t>
    </r>
  </si>
  <si>
    <t>Work commencement order reference for MGRENS</t>
  </si>
  <si>
    <t>Name &amp; Address of the Contractor with PAN No.</t>
  </si>
  <si>
    <t>Bank Account Number (For NREGS works)</t>
  </si>
  <si>
    <t>No of Musters enclosed to this bill for NREGS works</t>
  </si>
  <si>
    <t>Nil</t>
  </si>
  <si>
    <t>Working estimate Amount</t>
  </si>
  <si>
    <t>Supplimental Agt. No./Dt &amp; Value</t>
  </si>
  <si>
    <t>Nature Contract</t>
  </si>
  <si>
    <t>Nomination basis</t>
  </si>
  <si>
    <t>Date of Agreement i.e DHS</t>
  </si>
  <si>
    <t>Date fixed for completion (DFC)</t>
  </si>
  <si>
    <t>Date of last recording of Measurement of Present bill</t>
  </si>
  <si>
    <t>Whether the work is completed with in the Agreement period, if not sanction of EOAT period &amp; Reference nO. &amp; date &amp; Fine if any</t>
  </si>
  <si>
    <t>Yes</t>
  </si>
  <si>
    <t>Date of Measurements recorded in M.Book by section Officer</t>
  </si>
  <si>
    <t>Date of Check measured by Dy. Executive Engineer</t>
  </si>
  <si>
    <t>Date of Check measured by Executive Engineer</t>
  </si>
  <si>
    <t>Date</t>
  </si>
  <si>
    <t>Super Check Measurement of work (Date/MB Page NO. &amp; % of value)</t>
  </si>
  <si>
    <t>i) By Executive Engineer</t>
  </si>
  <si>
    <t>ii) By Superintending Engineer</t>
  </si>
  <si>
    <t>Whether the Supercheck measurement statement enclosed</t>
  </si>
  <si>
    <t>Whether the Contractor has accepted the measurements</t>
  </si>
  <si>
    <t>Whether the contractor signed the bill</t>
  </si>
  <si>
    <t>Whether released &amp; Discharge certificate furnished by the Contractor for Final Bill</t>
  </si>
  <si>
    <t>QC inspection Date &amp; Recovery proposed if any</t>
  </si>
  <si>
    <t>Other Remarks of the DEE</t>
  </si>
  <si>
    <t>DIVISIONAL CHECK</t>
  </si>
  <si>
    <t>Seineorage charges amount &amp; OTP on Sand Vide Page of M.B.</t>
  </si>
  <si>
    <t>Whether the photos of the work in three stages Name board. Km, HM stones for NREGS work enclosed.</t>
  </si>
  <si>
    <t>EMD details DDs (or) B.G, if B.G its No. / Dt &amp; Validity. Whether extended if EOAT is sanctioned</t>
  </si>
  <si>
    <t>Insurance policty No. Date, Amount &amp; Validity Whether the insurance is extended if EOAT is sanctioned (For Tender works)</t>
  </si>
  <si>
    <t>Whether T.A Appointment letters willingness &amp; qualification certificates furnished or not Mensioned the Name ( for Tender works)</t>
  </si>
  <si>
    <t>Wheter the DEE has furnished the certificate in M.Book for engagement of techncial agents with Name (For tender works)</t>
  </si>
  <si>
    <t>Whether the contractor opted under VAT composition and produced the CTO letter or No</t>
  </si>
  <si>
    <t>Whether the asset Handling over to the concerned Dept certificate furnished.</t>
  </si>
  <si>
    <t>i) BY Executive Engineer</t>
  </si>
  <si>
    <t>Completion Reporst are received along with final bills</t>
  </si>
  <si>
    <t>Amount                 Approved by                      Date</t>
  </si>
  <si>
    <t>Whether the Quantities and Rate are as per approved estimate</t>
  </si>
  <si>
    <t>Remarks of the case worker in B.D.</t>
  </si>
  <si>
    <t>CONTRACT CERTIFICATE</t>
  </si>
  <si>
    <t xml:space="preserve">Work ID </t>
  </si>
  <si>
    <r>
      <t>Last Certificate if any</t>
    </r>
    <r>
      <rPr>
        <sz val="10"/>
        <rFont val="Calibri"/>
        <family val="2"/>
        <scheme val="minor"/>
      </rPr>
      <t xml:space="preserve"> : </t>
    </r>
  </si>
  <si>
    <r>
      <t xml:space="preserve">Month </t>
    </r>
    <r>
      <rPr>
        <sz val="10"/>
        <rFont val="Calibri"/>
        <family val="2"/>
        <scheme val="minor"/>
      </rPr>
      <t xml:space="preserve">:  </t>
    </r>
  </si>
  <si>
    <r>
      <t>Number and month of the last schedule if any</t>
    </r>
    <r>
      <rPr>
        <sz val="10"/>
        <rFont val="Calibri"/>
        <family val="2"/>
        <scheme val="minor"/>
      </rPr>
      <t xml:space="preserve"> :- </t>
    </r>
  </si>
  <si>
    <t>Voucher No:</t>
  </si>
  <si>
    <t>Overseer's No.</t>
  </si>
  <si>
    <t>Authority Covering list No.</t>
  </si>
  <si>
    <t>Schedule No.</t>
  </si>
  <si>
    <t>Quantity executed or Supplied</t>
  </si>
  <si>
    <t>Description of Items.</t>
  </si>
  <si>
    <t>Rate in Rs.</t>
  </si>
  <si>
    <t>Upto Date</t>
  </si>
  <si>
    <t>Since last certificate</t>
  </si>
  <si>
    <t>Upto Date in Rs.</t>
  </si>
  <si>
    <t>Since last certificate in Rs.</t>
  </si>
  <si>
    <t>Page No.</t>
  </si>
  <si>
    <t>Qty.</t>
  </si>
  <si>
    <t>amount</t>
  </si>
  <si>
    <t>CW01 Amount of wage component</t>
  </si>
  <si>
    <t>1day</t>
  </si>
  <si>
    <t>cement</t>
  </si>
  <si>
    <t>Bag</t>
  </si>
  <si>
    <t xml:space="preserve">CW02 Cement </t>
  </si>
  <si>
    <t>1Bag</t>
  </si>
  <si>
    <t>CW03 Sand for filling</t>
  </si>
  <si>
    <t>CW04 Sand for Mortor</t>
  </si>
  <si>
    <t>CW07  20-12MM HBG Metal</t>
  </si>
  <si>
    <t>CW09  40MM HBG Metal</t>
  </si>
  <si>
    <t>CW10 Other component</t>
  </si>
  <si>
    <t>CW G19 Sand for concrete</t>
  </si>
  <si>
    <t>CW G20 .Cost and supply of Steel</t>
  </si>
  <si>
    <t xml:space="preserve">Total value o work done or suplies made to date </t>
  </si>
  <si>
    <t>=</t>
  </si>
  <si>
    <t xml:space="preserve">Deduct value of work supplies shown on last certificate. </t>
  </si>
  <si>
    <t>Net value of work/supplies since lst certificate</t>
  </si>
  <si>
    <t xml:space="preserve">Signature of Contractor </t>
  </si>
  <si>
    <t>Date…………..……200</t>
  </si>
  <si>
    <t xml:space="preserve">CHECK MEASUREMENT CERTIFICATE </t>
  </si>
  <si>
    <t xml:space="preserve">Certified also that the materials billed for have been recived and brought to account.                                </t>
  </si>
  <si>
    <t>Certified that the work and materials were duly Checked and Measured by me on (Date………….)</t>
  </si>
  <si>
    <t>Date………….. OFFICE INCHARGE</t>
  </si>
  <si>
    <t>Date………………200</t>
  </si>
  <si>
    <t>DESIGNATION</t>
  </si>
  <si>
    <t xml:space="preserve">     MEMORANDUM OF PAYMENTS MADE</t>
  </si>
  <si>
    <t>Rs.</t>
  </si>
  <si>
    <t>P.</t>
  </si>
  <si>
    <t>Total value of work done</t>
  </si>
  <si>
    <t>Amount of prevont payment from last certificate No………………….</t>
  </si>
  <si>
    <t>of</t>
  </si>
  <si>
    <t>Forward</t>
  </si>
  <si>
    <t>With accouts for…………………………………</t>
  </si>
  <si>
    <t>Fines and other deduction up to date</t>
  </si>
  <si>
    <t>Payments now made</t>
  </si>
  <si>
    <t>By Cash</t>
  </si>
  <si>
    <t>By Cheque No………………..</t>
  </si>
  <si>
    <t>By Value of Stock supplied</t>
  </si>
  <si>
    <t>Balance due</t>
  </si>
  <si>
    <t>Allotment of the year</t>
  </si>
  <si>
    <t xml:space="preserve">              Rs       P</t>
  </si>
  <si>
    <t>Expenditure included in this bill</t>
  </si>
  <si>
    <t>Balance availabe</t>
  </si>
  <si>
    <t>PAY RUPEES (             ) RECEIVED (               )</t>
  </si>
  <si>
    <t xml:space="preserve">Only as final payments in settlement of all demands                                                                                                          </t>
  </si>
  <si>
    <t>……………………………………………………………………………….</t>
  </si>
  <si>
    <t>Witness</t>
  </si>
  <si>
    <t>Head Clerk</t>
  </si>
  <si>
    <t>Presented of</t>
  </si>
  <si>
    <t>Head Account</t>
  </si>
  <si>
    <t>Engineer</t>
  </si>
  <si>
    <t>Date …………………………..</t>
  </si>
  <si>
    <t>Payee……………………</t>
  </si>
  <si>
    <t>AUDIT ENFACEMENT</t>
  </si>
  <si>
    <t>Admitted Rs. ………………………….</t>
  </si>
  <si>
    <t>Objected Rs. ………………………….</t>
  </si>
  <si>
    <t>Total Rs. ………………..…………….</t>
  </si>
  <si>
    <t xml:space="preserve">                                             Date</t>
  </si>
  <si>
    <t>200</t>
  </si>
  <si>
    <t>Auditor</t>
  </si>
  <si>
    <t xml:space="preserve">                               INVERNACULAR</t>
  </si>
  <si>
    <t>DISTRICT ENGINEET'S REMARKS</t>
  </si>
  <si>
    <t xml:space="preserve">                                                               NOTES</t>
  </si>
  <si>
    <t xml:space="preserve">1. This form is intended for use in the case of running account i.e for works in progress or supplies in course  </t>
  </si>
  <si>
    <t>of delivery when the liability is discharged in full single payment Form No. of A should be used.</t>
  </si>
  <si>
    <t>2. Payment will be made only up to nineteenth of the total value of the work done. The balance being returned</t>
  </si>
  <si>
    <t xml:space="preserve">as a security both for the due performance of the contracts or to cover posible over payment which may be detected on                        cheque measurement in the case of work whose estimated cost does not exceed Rs. 50/- Payment may be made in full </t>
  </si>
  <si>
    <t>on the measuring officer's certificate subject to subsequent check measurement by the proper check measuring authority.</t>
  </si>
  <si>
    <t xml:space="preserve">3. In calculating the amount of each item dur to the contractor in this bill, sums of five pieces or less shall be </t>
  </si>
  <si>
    <t>omitted and sums exceeding five pieces shall be recorded.</t>
  </si>
  <si>
    <t>4. Payment made in case of sum exceeding Rs. 100/- should be attested by two witness and for smaller sum</t>
  </si>
  <si>
    <t>by one witness payment made by cheque to recognised firms of institutions need not be so witnessed.</t>
  </si>
  <si>
    <r>
      <t xml:space="preserve">5.  When the payee signs in </t>
    </r>
    <r>
      <rPr>
        <sz val="7"/>
        <rFont val="Arial"/>
        <family val="2"/>
      </rPr>
      <t>the vernacullar the</t>
    </r>
    <r>
      <rPr>
        <sz val="8"/>
        <rFont val="Arial"/>
        <family val="2"/>
      </rPr>
      <t xml:space="preserve"> amount acknowledged should also noted in the some vernacullar </t>
    </r>
  </si>
  <si>
    <t>as well as in English.</t>
  </si>
  <si>
    <r>
      <t xml:space="preserve">6. In the case of other </t>
    </r>
    <r>
      <rPr>
        <sz val="7"/>
        <rFont val="Arial"/>
        <family val="2"/>
      </rPr>
      <t>than well known</t>
    </r>
    <r>
      <rPr>
        <sz val="8"/>
        <rFont val="Arial"/>
        <family val="2"/>
      </rPr>
      <t xml:space="preserve"> firms all parties must sign if there by more the on contractor or the payee </t>
    </r>
  </si>
  <si>
    <t>must produce a power of atorney from the firm.</t>
  </si>
  <si>
    <r>
      <t xml:space="preserve">7. No contract certificate </t>
    </r>
    <r>
      <rPr>
        <sz val="7"/>
        <rFont val="Arial"/>
        <family val="2"/>
      </rPr>
      <t>bearing no remarks</t>
    </r>
    <r>
      <rPr>
        <sz val="8"/>
        <rFont val="Arial"/>
        <family val="2"/>
      </rPr>
      <t xml:space="preserve"> should be accepted if any corrections are necessary the incorrect</t>
    </r>
  </si>
  <si>
    <t xml:space="preserve">figures should be neatly scored out and initialed by the officer concerned in the case of corrections made in the Engineers         office the Head Accountant may be authorised no attest those due to clerical errors Etc. But the Engineer should affix his </t>
  </si>
  <si>
    <t>initials coare osnin the rate column as well as those in the total or the bill and the pass order. This rule applies MUIATIS MUTANDIS to payments from miscellaneous grants.</t>
  </si>
  <si>
    <t xml:space="preserve">8. In case in which the materials billed for are taken over charged an officer other than the officer sign in the </t>
  </si>
  <si>
    <t>certificate from of the bill the names of the form should be noted in the remarks column of the bill necessary amendment                                   being made at the same time of the excluding portion of the certificate relating to materials.</t>
  </si>
  <si>
    <t>CW-07 20-12MM HBG Metal</t>
  </si>
  <si>
    <t>Labour component</t>
  </si>
  <si>
    <t>Two lakhs fifty five thousand seven hundred and fifty only)</t>
  </si>
  <si>
    <t>Gram Panchayat</t>
  </si>
  <si>
    <t>/</t>
  </si>
  <si>
    <t>Certified that the item was recorded vide page no.      of M.B.No.  ……………………….  for the work</t>
  </si>
  <si>
    <t>84</t>
  </si>
  <si>
    <t>90</t>
  </si>
  <si>
    <t>100</t>
  </si>
  <si>
    <t>105</t>
  </si>
  <si>
    <t>106</t>
  </si>
  <si>
    <t>107</t>
  </si>
  <si>
    <t>108</t>
  </si>
  <si>
    <t>109</t>
  </si>
  <si>
    <t>110</t>
  </si>
  <si>
    <t>111</t>
  </si>
  <si>
    <t>113</t>
  </si>
  <si>
    <t>114</t>
  </si>
  <si>
    <t>116</t>
  </si>
  <si>
    <t>117</t>
  </si>
  <si>
    <t>119</t>
  </si>
  <si>
    <t>122</t>
  </si>
  <si>
    <t>137</t>
  </si>
  <si>
    <t>140</t>
  </si>
  <si>
    <t>144</t>
  </si>
  <si>
    <t>145</t>
  </si>
  <si>
    <t>154</t>
  </si>
  <si>
    <t>seigneorage statement</t>
  </si>
  <si>
    <t>Painting  with Emulsion paint for inernal walls GF</t>
  </si>
  <si>
    <t>Painting  with Emulsion paint for external walls  GF</t>
  </si>
  <si>
    <t>Painting to new walls with 2 coats of acrylic Emulsion paint Asian or equivalent and shade over Priming coat with Cement primer water base interior Gr-1 Asian or equivalent on new plastered surface after throughly brushing the surace remove all dirt and remains of loose powdered materials including cost and conveyance of all materials to worksite and all oparational, incidental, labour charges etc complete for  finished item of work as per SS 911 for internal walls</t>
  </si>
  <si>
    <t>Painting to new walls with 2 coats of acrylic Emulsion paint Asian or equivalent and shade over Priming coat with Cement primer water base interior Gr-1 Asian or equivalent on new plastered surface after throughly brushing the surace remove all dirt and remains of loose powdered materials including cost and conveyance of all materials to worksite and all oparational, incidental, labour charges etc complete for  finished item of work as per SS 911 for external walls</t>
  </si>
  <si>
    <t>EA room</t>
  </si>
  <si>
    <t>Visting Waiting area</t>
  </si>
  <si>
    <t>RCM facia 5cm thick in CM (1:3) for drop walls, fins  with rabbit wire mesh &amp; nominal reinforcement as directed by Engineer-in-charge with dubara sponge finishing, including cost &amp; conveyance of all materials to site, seigniorage charges, sales &amp; other taxes on all materials, operational &amp; incidental, cost and conveyance of cement, wire mesh, water to work site, centering, scaffolding and form work, lift charges etc., complete for finished items of work but excluding cost of steel &amp; its fabrication charges, for finished item of work. (APSS No.403 &amp; 903)</t>
  </si>
  <si>
    <t>Rabbit wire mesh (1.0 M panna for 0.6 M drop)</t>
  </si>
  <si>
    <t xml:space="preserve">Cement Mortar 1:3 for 25 mm thick </t>
  </si>
  <si>
    <t xml:space="preserve">Dry Cement for making Lumps </t>
  </si>
  <si>
    <t>12 mm Plastering 2 coats in 1:4 &amp; 1:2 cm both sides</t>
  </si>
  <si>
    <t>B) LABOUR CHARGES</t>
  </si>
  <si>
    <t>Miller Operator</t>
  </si>
  <si>
    <t>c) Machinery</t>
  </si>
  <si>
    <t>Machine Mixing Mortar with Miller - Hire charges</t>
  </si>
  <si>
    <t>Hrs</t>
  </si>
  <si>
    <t>Supply &amp; application of One Coat Water based Cement Primer, One coat of Deco / PMCC Orient Base Exterior Texture &amp; two coats of Altek Harmony (Emulsion paint exterior grade) inclusive of all taxes for finished item of work</t>
  </si>
  <si>
    <t>Basic coat per 1 sqm</t>
  </si>
  <si>
    <t>Supply &amp; applying Poly-Urethane Water Proof Polish Glossy/ Matt finish to the wood works duly cleaning the surface and applying emery paper, Sand the wood with 180 No., emery paper and then with 320 No., emery paper, clean &amp; wipe off loose dust, applying suitable knifing paste filler / wood filler by putty knife / muslin pad, air dry for 2 - 3 hrs, sand with 180 and 320 No., emery paper, applying two component wood sealer, after the surface preparation applying one coat of approved spraying PU thinner (for spraying) / applying one coat of approved brushing PU thinner or general purpose thinner (for brushing) and apply one coat of PU by brush or spray, air-dry overnight, Sand again with 180 No. emery paper and removing dust, applying second coat of PU, air drying for 4 - 6 Hrs, Sand with 320 No emery paper, and applying (either with spray or brush) two coats of approved brand PU including cost &amp; labour charges, emery papers, cost of thinner &amp; PU of approved brands such as Jenson &amp; Nicholson, Asian Paints, Berger Paints or equivalent etc., complete for finished item</t>
  </si>
  <si>
    <t xml:space="preserve">Painting, Lettering and Picturing to walls with  two coats over primary coat with Emulsion paint (Like Birds, Animals, Cartoons, Numbers etc.,) to Angnwadi center building as per the instructions of Engineer - in - charge including cost and conveyance of all paints and all labour charges etc complete. </t>
  </si>
  <si>
    <t>As per quotation rate</t>
  </si>
  <si>
    <t>Random Rubble mansonary in CM(1:6)  including Cost and Conveyance of all materials and curing charges but excluding unskilled wages etc., complete for finished item of work</t>
  </si>
  <si>
    <t>Filling Basement with Selected earth by watering and ramming including all operational, incidental and including c/c of material and labour charges etc complete for finished item of the work (APSS No 309&amp; 310) per 1 Cum</t>
  </si>
  <si>
    <t>for windows</t>
  </si>
  <si>
    <t>Roofing tiles</t>
  </si>
  <si>
    <t>Filling Basement with Selected earth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</si>
  <si>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S.Earth</t>
  </si>
  <si>
    <t>Selected Filling</t>
  </si>
  <si>
    <t>White washing one coat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t>
  </si>
  <si>
    <t>Rough stone</t>
  </si>
  <si>
    <t>Masonry work in CM (1:8) prop with Flyash Cement solid blocks of size 290 x 225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</si>
  <si>
    <t>Cost of Cement Mortar (1:6)</t>
  </si>
  <si>
    <t>Woman Mazdoor</t>
  </si>
  <si>
    <t>No of blocks required for one cum of Masonry BMT-A.03</t>
  </si>
  <si>
    <t>8mm dia rods</t>
  </si>
  <si>
    <t>Supplying and fixing of  ventilator of size 0.60 x 0.45 Mts including fixing of 8mm dia roads and 4mm plain glass including all labour charges etc., complete</t>
  </si>
  <si>
    <t>Masonry work in CM (1:8) prop with Flyash Cement solid blocks of size 290 x 150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</si>
  <si>
    <t>Flush Pointing with CM (1:3) to Brick Masonry</t>
  </si>
  <si>
    <t xml:space="preserve">Flooring with pressed clay flooring tiles, set over base coat of cement mortar (1:8) 12 mm thick over CC bed already laid or RCC roof slab, including neat cement slurry of honey like consistency spread @ 3.3.kgs per sqm &amp; jointed neatly with cement mixed with pigment of matching shade to full depth, including cost of all materials like cement, sand water and tiles etc., complete, for finished item of work,     </t>
  </si>
  <si>
    <t>20 X 20 cm pressed clay flooring tiles</t>
  </si>
  <si>
    <t>Cement for jointing &amp; pointing</t>
  </si>
  <si>
    <t>Pointing with CM (1:3)</t>
  </si>
  <si>
    <t>Deduct CM (1:3)</t>
  </si>
  <si>
    <t>Sand for CM (1:8)</t>
  </si>
  <si>
    <t>Pressed type tiles</t>
  </si>
  <si>
    <t>Ongole</t>
  </si>
  <si>
    <t xml:space="preserve">for  platforms and shelves.  </t>
  </si>
  <si>
    <t xml:space="preserve">Hire charges of centering and scaffolding 
(50% of roof slab) </t>
  </si>
  <si>
    <t xml:space="preserve">Centering charges for Roof Slab Labour charges  (50% of roof slab) </t>
  </si>
  <si>
    <t>Fly cement bricks</t>
  </si>
  <si>
    <t>RCM drop wall</t>
  </si>
  <si>
    <t>Pressed tiles</t>
  </si>
  <si>
    <t>VKC</t>
  </si>
  <si>
    <t>Fine aggregate (Sand) for Mortor</t>
  </si>
  <si>
    <t>Filling basement with Selected earth</t>
  </si>
  <si>
    <t>RR Masonary in CM (1:6) for basement</t>
  </si>
  <si>
    <t xml:space="preserve">Add water charges 1% </t>
  </si>
  <si>
    <t>Fly ash cement bricks</t>
  </si>
  <si>
    <t>Pressed floor tiles</t>
  </si>
  <si>
    <t>Supply &amp; applying Poly-Urethane Water Proof Polish</t>
  </si>
  <si>
    <t>PCC M30 for Steps</t>
  </si>
  <si>
    <t>Acco Plaster'g CM (1:3) 20mm</t>
  </si>
  <si>
    <t>Painting  with Emulsion paint for external walls</t>
  </si>
  <si>
    <t>Supply and fixing of  Door  of size 1.20 x 2.10mt</t>
  </si>
  <si>
    <t xml:space="preserve">Supply and fixing of  Door  of size 1.20 x 2.10mt </t>
  </si>
  <si>
    <t>50mm thick</t>
  </si>
  <si>
    <t>Precasted slab 50mm</t>
  </si>
  <si>
    <t xml:space="preserve">S&amp;F of 36" dia(0.90Mts) 2" thick Precasted rcc hume rings including cost and conveyance of all material and labour charges etc., complete for septic Tank </t>
  </si>
  <si>
    <t>0.45= 250.00 : 0.90 = ?</t>
  </si>
  <si>
    <t>?=0.90 x 250.00 / 0.45</t>
  </si>
  <si>
    <t>?=500.00</t>
  </si>
  <si>
    <t>36" dia(0.90Mts) 2" thick hume pipe ring</t>
  </si>
  <si>
    <t xml:space="preserve">CW G19 Sand for concrete </t>
  </si>
  <si>
    <t>Supply and fixing of 16A 3pin / 6A 3pin  plug socket with indicator lamp and 16Amps  fuse unit and 16 Amps  switch control (5 in one) on decolam sheet covered board including earth connection and all labour charges etc., complete on wall.</t>
  </si>
  <si>
    <t>Mid landing beam</t>
  </si>
  <si>
    <t>Deduct shutter</t>
  </si>
  <si>
    <t>Septic tank</t>
  </si>
  <si>
    <t>Plantation walls</t>
  </si>
  <si>
    <t>For water tank</t>
  </si>
  <si>
    <t>Beam sides</t>
  </si>
  <si>
    <t>Waiting room</t>
  </si>
  <si>
    <t>Front side</t>
  </si>
  <si>
    <t>Below staircase</t>
  </si>
  <si>
    <t xml:space="preserve">Hall </t>
  </si>
  <si>
    <t>Landing</t>
  </si>
  <si>
    <t>Steps godown</t>
  </si>
  <si>
    <t>Staircase steps</t>
  </si>
  <si>
    <t>Entrance steps risers</t>
  </si>
  <si>
    <t>Manufacture, Supply and Delivery of Unplasticised PVCs Pipes for potable water supplies conforming to IS : 4985/2000 (3rd revision) with bell ends (Socket) as per specification.</t>
  </si>
  <si>
    <t>Supplying &amp; Fixing white glazed flat back half stall urinals 1st quality conforming to IS:2556-1995 with standard C.P. Spreader of overall size 95 x 95 x 57 mm conforming to IS:2556-Part6, Sec-6-1974 fixed with screws complete Indian make : 410 x 265 x 305 mm</t>
  </si>
  <si>
    <t>Initial cost BMW-D.34</t>
  </si>
  <si>
    <t>S&amp;F of 25mm dia PVC pies</t>
  </si>
  <si>
    <t>S&amp;F of Urinals</t>
  </si>
  <si>
    <t>Supply and fixing of 16A 3/2 pin wall plug socket</t>
  </si>
  <si>
    <t>123</t>
  </si>
  <si>
    <t>126</t>
  </si>
  <si>
    <t>142</t>
  </si>
  <si>
    <t>Manufacture, Supply and Delivery of Unplasticised PVCs Pipes for potable water supplies conforming to IS : 4985/2000 (3rd revision) with bell ends (Socket) as per specification. 25mm dia</t>
  </si>
  <si>
    <t>BLD-ELEC-2.1.5</t>
  </si>
  <si>
    <t>20 x 15 cms (8" x6") Decolam sheet covered board ELEC-1.4.2 d</t>
  </si>
  <si>
    <t>16A 3 pin / 6A 3pin Plug socket with indicator lamp, fuse unit (5 in 1) ELEC-1.8.1 g</t>
  </si>
  <si>
    <t>16A / 20A 1 Way 1 Module Modular Switch. ELEC-1.8.1 h</t>
  </si>
  <si>
    <t>0.5W LED bulb ELEC-3.7.5 a</t>
  </si>
  <si>
    <t xml:space="preserve">Supply and fixing of ISI mark batten holder / angle holder on existing block, but with bulb including all connections etc., complete </t>
  </si>
  <si>
    <r>
      <rPr>
        <sz val="10"/>
        <rFont val="Calibri"/>
        <family val="2"/>
        <scheme val="minor"/>
      </rPr>
      <t>Roof Slabs 100mm Basic Rat</t>
    </r>
    <r>
      <rPr>
        <b/>
        <sz val="10"/>
        <rFont val="Calibri"/>
        <family val="2"/>
        <scheme val="minor"/>
      </rPr>
      <t xml:space="preserve">e </t>
    </r>
    <r>
      <rPr>
        <sz val="10"/>
        <rFont val="Calibri"/>
        <family val="2"/>
        <scheme val="minor"/>
      </rPr>
      <t>1sqm</t>
    </r>
  </si>
  <si>
    <r>
      <rPr>
        <sz val="10"/>
        <rFont val="Calibri"/>
        <family val="2"/>
        <scheme val="minor"/>
      </rPr>
      <t>Roof Slabs 125mm Basic Rat</t>
    </r>
    <r>
      <rPr>
        <b/>
        <sz val="10"/>
        <rFont val="Calibri"/>
        <family val="2"/>
        <scheme val="minor"/>
      </rPr>
      <t xml:space="preserve">e </t>
    </r>
    <r>
      <rPr>
        <sz val="10"/>
        <rFont val="Calibri"/>
        <family val="2"/>
        <scheme val="minor"/>
      </rPr>
      <t>1sqm</t>
    </r>
  </si>
  <si>
    <r>
      <t>1.0MX0.6MX(0.075+0.05)2 = 0.0375Cum/</t>
    </r>
    <r>
      <rPr>
        <b/>
        <sz val="10"/>
        <rFont val="Calibri"/>
        <family val="2"/>
        <scheme val="minor"/>
      </rPr>
      <t>1M</t>
    </r>
  </si>
  <si>
    <r>
      <rPr>
        <sz val="10"/>
        <rFont val="Calibri"/>
        <family val="2"/>
        <scheme val="minor"/>
      </rPr>
      <t>Roof Slabs 50mm Basic Rat</t>
    </r>
    <r>
      <rPr>
        <b/>
        <sz val="10"/>
        <rFont val="Calibri"/>
        <family val="2"/>
        <scheme val="minor"/>
      </rPr>
      <t xml:space="preserve">e </t>
    </r>
    <r>
      <rPr>
        <sz val="10"/>
        <rFont val="Calibri"/>
        <family val="2"/>
        <scheme val="minor"/>
      </rPr>
      <t>1sqm</t>
    </r>
  </si>
  <si>
    <r>
      <t xml:space="preserve">Labour </t>
    </r>
    <r>
      <rPr>
        <sz val="10"/>
        <rFont val="Calibri"/>
        <family val="2"/>
        <scheme val="minor"/>
      </rPr>
      <t>for cutting, bending, shifting to site, tying and placing in position</t>
    </r>
  </si>
  <si>
    <r>
      <rPr>
        <sz val="10"/>
        <rFont val="Calibri"/>
        <family val="2"/>
        <scheme val="minor"/>
      </rPr>
      <t>Basic Rate</t>
    </r>
    <r>
      <rPr>
        <b/>
        <sz val="10"/>
        <rFont val="Calibri"/>
        <family val="2"/>
        <scheme val="minor"/>
      </rPr>
      <t xml:space="preserve"> </t>
    </r>
    <r>
      <rPr>
        <sz val="10"/>
        <rFont val="Calibri"/>
        <family val="2"/>
        <scheme val="minor"/>
      </rPr>
      <t>10.00sqm</t>
    </r>
  </si>
  <si>
    <r>
      <rPr>
        <sz val="10"/>
        <rFont val="Calibri"/>
        <family val="2"/>
        <scheme val="minor"/>
      </rPr>
      <t>Basic Rate</t>
    </r>
    <r>
      <rPr>
        <b/>
        <sz val="10"/>
        <rFont val="Calibri"/>
        <family val="2"/>
        <scheme val="minor"/>
      </rPr>
      <t xml:space="preserve"> </t>
    </r>
    <r>
      <rPr>
        <sz val="10"/>
        <rFont val="Calibri"/>
        <family val="2"/>
        <scheme val="minor"/>
      </rPr>
      <t>10sqm</t>
    </r>
  </si>
  <si>
    <r>
      <t xml:space="preserve">Whiting / White Cement / </t>
    </r>
    <r>
      <rPr>
        <b/>
        <sz val="10"/>
        <rFont val="Calibri"/>
        <family val="2"/>
        <scheme val="minor"/>
      </rPr>
      <t>BMT-J.31</t>
    </r>
  </si>
  <si>
    <r>
      <rPr>
        <sz val="10"/>
        <rFont val="Calibri"/>
        <family val="2"/>
        <scheme val="minor"/>
      </rPr>
      <t>Basic Rate</t>
    </r>
    <r>
      <rPr>
        <b/>
        <sz val="10"/>
        <rFont val="Calibri"/>
        <family val="2"/>
        <scheme val="minor"/>
      </rPr>
      <t xml:space="preserve"> </t>
    </r>
    <r>
      <rPr>
        <sz val="10"/>
        <rFont val="Calibri"/>
        <family val="2"/>
        <scheme val="minor"/>
      </rPr>
      <t>10 sqm</t>
    </r>
  </si>
  <si>
    <r>
      <t xml:space="preserve">Engaging </t>
    </r>
    <r>
      <rPr>
        <b/>
        <sz val="10"/>
        <rFont val="Calibri"/>
        <family val="2"/>
        <scheme val="minor"/>
      </rPr>
      <t>Unskilled Labour</t>
    </r>
    <r>
      <rPr>
        <sz val="10"/>
        <rFont val="Calibri"/>
        <family val="2"/>
        <scheme val="minor"/>
      </rPr>
      <t xml:space="preserve"> for Earth work excavation and depositing on bank with an initial lead &amp; initial lift in Loamy and Clayey soils like BC Soils, Red Earth Soils (Ordinary Soils)</t>
    </r>
  </si>
  <si>
    <r>
      <t xml:space="preserve">Centering </t>
    </r>
    <r>
      <rPr>
        <b/>
        <sz val="10"/>
        <rFont val="Calibri"/>
        <family val="2"/>
        <scheme val="minor"/>
      </rPr>
      <t>:</t>
    </r>
    <r>
      <rPr>
        <sz val="10"/>
        <rFont val="Calibri"/>
        <family val="2"/>
        <scheme val="minor"/>
      </rPr>
      <t xml:space="preserve"> Columns Footings material hire charges </t>
    </r>
  </si>
  <si>
    <r>
      <t xml:space="preserve">Centering </t>
    </r>
    <r>
      <rPr>
        <b/>
        <sz val="10"/>
        <rFont val="Calibri"/>
        <family val="2"/>
        <scheme val="minor"/>
      </rPr>
      <t>:</t>
    </r>
    <r>
      <rPr>
        <sz val="10"/>
        <rFont val="Calibri"/>
        <family val="2"/>
        <scheme val="minor"/>
      </rPr>
      <t xml:space="preserve"> Columns Footings Labour charges</t>
    </r>
  </si>
  <si>
    <r>
      <t xml:space="preserve">Centering </t>
    </r>
    <r>
      <rPr>
        <b/>
        <sz val="10"/>
        <rFont val="Calibri"/>
        <family val="2"/>
        <scheme val="minor"/>
      </rPr>
      <t>:</t>
    </r>
    <r>
      <rPr>
        <sz val="10"/>
        <rFont val="Calibri"/>
        <family val="2"/>
        <scheme val="minor"/>
      </rPr>
      <t xml:space="preserve"> Column Pedastals material hire charges </t>
    </r>
  </si>
  <si>
    <r>
      <t xml:space="preserve">Centering </t>
    </r>
    <r>
      <rPr>
        <b/>
        <sz val="10"/>
        <rFont val="Calibri"/>
        <family val="2"/>
        <scheme val="minor"/>
      </rPr>
      <t>:</t>
    </r>
    <r>
      <rPr>
        <sz val="10"/>
        <rFont val="Calibri"/>
        <family val="2"/>
        <scheme val="minor"/>
      </rPr>
      <t xml:space="preserve"> Column Pedastals  Labour charges</t>
    </r>
  </si>
  <si>
    <r>
      <t xml:space="preserve">Centering </t>
    </r>
    <r>
      <rPr>
        <b/>
        <sz val="10"/>
        <rFont val="Calibri"/>
        <family val="2"/>
        <scheme val="minor"/>
      </rPr>
      <t>:</t>
    </r>
    <r>
      <rPr>
        <sz val="10"/>
        <rFont val="Calibri"/>
        <family val="2"/>
        <scheme val="minor"/>
      </rPr>
      <t xml:space="preserve"> Plinth Beams material hire charges </t>
    </r>
  </si>
  <si>
    <r>
      <t xml:space="preserve">Centering </t>
    </r>
    <r>
      <rPr>
        <b/>
        <sz val="10"/>
        <rFont val="Calibri"/>
        <family val="2"/>
        <scheme val="minor"/>
      </rPr>
      <t>:</t>
    </r>
    <r>
      <rPr>
        <sz val="10"/>
        <rFont val="Calibri"/>
        <family val="2"/>
        <scheme val="minor"/>
      </rPr>
      <t xml:space="preserve"> Plinth Beam  Labour charges</t>
    </r>
  </si>
  <si>
    <r>
      <t xml:space="preserve">Columns Basic Rate </t>
    </r>
    <r>
      <rPr>
        <sz val="10"/>
        <rFont val="Calibri"/>
        <family val="2"/>
        <scheme val="minor"/>
      </rPr>
      <t>for 1.00 Cum</t>
    </r>
  </si>
  <si>
    <r>
      <t xml:space="preserve">Add Lift Charges @ 10%, 20% on Labour charges </t>
    </r>
    <r>
      <rPr>
        <b/>
        <sz val="10"/>
        <rFont val="Calibri"/>
        <family val="2"/>
        <scheme val="minor"/>
      </rPr>
      <t>B</t>
    </r>
  </si>
  <si>
    <r>
      <t xml:space="preserve">Lintels Basic Rate </t>
    </r>
    <r>
      <rPr>
        <sz val="10"/>
        <rFont val="Calibri"/>
        <family val="2"/>
        <scheme val="minor"/>
      </rPr>
      <t>for 1.00 Cum</t>
    </r>
  </si>
  <si>
    <r>
      <t xml:space="preserve">Roof Beams Basic Rate </t>
    </r>
    <r>
      <rPr>
        <sz val="10"/>
        <rFont val="Calibri"/>
        <family val="2"/>
        <scheme val="minor"/>
      </rPr>
      <t>1.00 Cum</t>
    </r>
  </si>
  <si>
    <r>
      <t xml:space="preserve">Roof Slabs 100mm Basic Rate </t>
    </r>
    <r>
      <rPr>
        <sz val="10"/>
        <rFont val="Calibri"/>
        <family val="2"/>
        <scheme val="minor"/>
      </rPr>
      <t>1sqm</t>
    </r>
  </si>
  <si>
    <r>
      <t xml:space="preserve">Add Lift Charges @ 10%, 20% on Labour charges  </t>
    </r>
    <r>
      <rPr>
        <b/>
        <sz val="10"/>
        <rFont val="Calibri"/>
        <family val="2"/>
        <scheme val="minor"/>
      </rPr>
      <t>B</t>
    </r>
  </si>
  <si>
    <r>
      <t xml:space="preserve">Roof Slabs 125mm Basic Rate </t>
    </r>
    <r>
      <rPr>
        <sz val="10"/>
        <rFont val="Calibri"/>
        <family val="2"/>
        <scheme val="minor"/>
      </rPr>
      <t>1sqm</t>
    </r>
  </si>
  <si>
    <r>
      <t xml:space="preserve">Roof Slabs 150mm Basic Rate </t>
    </r>
    <r>
      <rPr>
        <sz val="10"/>
        <rFont val="Calibri"/>
        <family val="2"/>
        <scheme val="minor"/>
      </rPr>
      <t>1sqm</t>
    </r>
  </si>
  <si>
    <r>
      <t xml:space="preserve">Waist Slab 175mm Basic Rate </t>
    </r>
    <r>
      <rPr>
        <sz val="10"/>
        <rFont val="Calibri"/>
        <family val="2"/>
        <scheme val="minor"/>
      </rPr>
      <t>1sqm</t>
    </r>
  </si>
  <si>
    <r>
      <t xml:space="preserve">Chajjas of 0.50M width </t>
    </r>
    <r>
      <rPr>
        <sz val="10"/>
        <rFont val="Calibri"/>
        <family val="2"/>
        <scheme val="minor"/>
      </rPr>
      <t>with 2" thick</t>
    </r>
  </si>
  <si>
    <r>
      <t xml:space="preserve">50mm thick platforms / lofts: </t>
    </r>
    <r>
      <rPr>
        <sz val="10"/>
        <rFont val="Calibri"/>
        <family val="2"/>
        <scheme val="minor"/>
      </rPr>
      <t>1sqm</t>
    </r>
  </si>
  <si>
    <r>
      <t xml:space="preserve">25mm thick platforms / lofts: </t>
    </r>
    <r>
      <rPr>
        <sz val="10"/>
        <rFont val="Calibri"/>
        <family val="2"/>
        <scheme val="minor"/>
      </rPr>
      <t>1sqm</t>
    </r>
  </si>
  <si>
    <r>
      <t xml:space="preserve">For Steps Basic Rate </t>
    </r>
    <r>
      <rPr>
        <sz val="10"/>
        <rFont val="Calibri"/>
        <family val="2"/>
        <scheme val="minor"/>
      </rPr>
      <t>1.00 Cum</t>
    </r>
  </si>
  <si>
    <r>
      <t xml:space="preserve">Supplying and fixing of stainless steel (grade 304) </t>
    </r>
    <r>
      <rPr>
        <b/>
        <sz val="10"/>
        <rFont val="Calibri"/>
        <family val="2"/>
        <scheme val="minor"/>
      </rPr>
      <t>hand railing</t>
    </r>
    <r>
      <rPr>
        <sz val="10"/>
        <rFont val="Calibri"/>
        <family val="2"/>
        <scheme val="minor"/>
      </rPr>
      <t xml:space="preserve"> as per approved drawing with top rail of 50mm dia pipe and 2mm thick medium class and vertical posts of  25mm dia and 1.6mm thick medium class  1 No for each step fixed with base plate of  75mm dia using bonding agent and anchor fastner and welding,  drilling of 25mm dia holes with pneumatic compressor for fixing railing,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</si>
  <si>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r>
      <t xml:space="preserve">Supplying and fixing of stainless steel (grade 304) </t>
    </r>
    <r>
      <rPr>
        <b/>
        <sz val="10"/>
        <rFont val="Calibri"/>
        <family val="2"/>
        <scheme val="minor"/>
      </rPr>
      <t>railing for ramp</t>
    </r>
    <r>
      <rPr>
        <sz val="10"/>
        <rFont val="Calibri"/>
        <family val="2"/>
        <scheme val="minor"/>
      </rPr>
      <t xml:space="preserve"> as per approved drawing with top rail of 50mm dia pipe and 2mm thick medium class fixed in to wall with 25mm dia pipe of 0.30m length @ 1m centre to centre and welding,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</si>
  <si>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r>
      <t>Brick Masonary for Basement with CM (1:6) proportion using 2nd class traditional bricks of size 23X11X7 cms having minimum crushing strength of 40kg/cm</t>
    </r>
    <r>
      <rPr>
        <vertAlign val="superscript"/>
        <sz val="10"/>
        <rFont val="Calibri"/>
        <family val="2"/>
        <scheme val="minor"/>
      </rPr>
      <t>2</t>
    </r>
    <r>
      <rPr>
        <sz val="10"/>
        <rFont val="Calibri"/>
        <family val="2"/>
        <scheme val="minor"/>
      </rPr>
      <t xml:space="preserve">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r>
  </si>
  <si>
    <t>Bricks traditional size 23X11X7cms 2nd class</t>
  </si>
  <si>
    <r>
      <t>Brick Masonary for Superstructure with CM (1:8) proportion using 2nd class traditional bricks of size 23X11X7 cms having minimum crushing strength of 40kg/cm</t>
    </r>
    <r>
      <rPr>
        <vertAlign val="superscript"/>
        <sz val="10"/>
        <rFont val="Calibri"/>
        <family val="2"/>
        <scheme val="minor"/>
      </rPr>
      <t>2</t>
    </r>
    <r>
      <rPr>
        <sz val="10"/>
        <rFont val="Calibri"/>
        <family val="2"/>
        <scheme val="minor"/>
      </rPr>
      <t xml:space="preserve">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r>
  </si>
  <si>
    <t>Bricks traditional size 23X11X7cm 2nd class</t>
  </si>
  <si>
    <r>
      <t xml:space="preserve">Ceiling Plastering in CM (1:3) 12mm thick with dubara sponge finishing  including cost and conveyance of all materials including all labour charges such as mixing cement mortar and curing etc complete for finished item of work (APSS 901 &amp; 903) </t>
    </r>
    <r>
      <rPr>
        <b/>
        <sz val="10"/>
        <rFont val="Calibri"/>
        <family val="2"/>
        <scheme val="minor"/>
      </rPr>
      <t>as per Amendment Data SoR 16-17</t>
    </r>
  </si>
  <si>
    <r>
      <t xml:space="preserve">Plastering in CM (1:5) 12mm thick  single coat including c/c of all materials including all operational, incidental and labour charges such as mixing cement mortar and curing etc complete for finished item of work (APSS 901,  903 &amp; 904)  for internal walls </t>
    </r>
    <r>
      <rPr>
        <b/>
        <sz val="10"/>
        <rFont val="Calibri"/>
        <family val="2"/>
        <scheme val="minor"/>
      </rPr>
      <t>as per Amendment Data SoR 16-17</t>
    </r>
  </si>
  <si>
    <r>
      <t xml:space="preserve">Plastering in CM (1:5) 20mm thick  single coat including c/c of all materials including all operational, incidental and labour charges such as mixing cement mortar and curing etc complete for finished item of work (APSS 901,  903 &amp; 904)  for External walls </t>
    </r>
    <r>
      <rPr>
        <b/>
        <sz val="10"/>
        <rFont val="Calibri"/>
        <family val="2"/>
        <scheme val="minor"/>
      </rPr>
      <t>as per Amendment Data SoR 16-17</t>
    </r>
  </si>
  <si>
    <r>
      <t xml:space="preserve">Plastering in CM (1:3) 20mm thick  single coat including c/c of all materials including all operational, incidental and labour charges such as mixing cement mortar and curing etc complete for finished item of work (APSS 901,  903 &amp; 904)  for External walls </t>
    </r>
    <r>
      <rPr>
        <b/>
        <sz val="10"/>
        <rFont val="Calibri"/>
        <family val="2"/>
        <scheme val="minor"/>
      </rPr>
      <t>as per Amendment Data SoR 16-17</t>
    </r>
  </si>
  <si>
    <r>
      <rPr>
        <b/>
        <sz val="10"/>
        <rFont val="Calibri"/>
        <family val="2"/>
        <scheme val="minor"/>
      </rPr>
      <t>Painting New Wood work</t>
    </r>
    <r>
      <rPr>
        <sz val="10"/>
        <rFont val="Calibri"/>
        <family val="2"/>
        <scheme val="minor"/>
      </rPr>
      <t xml:space="preserve"> with Two coats of ready mixed Synthatic Enamil paint first quality of shades over primary coat of wood primary making Three coats in all given as even shade after thoroughly brushes the surface to remove all remains of loose provided materials including cost and conveyance of all materials, cost of brushes and other opartational incidental ,seigniorage charges, labour charges, scaffolding charges etc complete for finished item of work as per APSS </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</si>
  <si>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two panels of frames made with teak wood and Shutter made with </t>
    </r>
    <r>
      <rPr>
        <b/>
        <sz val="10"/>
        <rFont val="Calibri"/>
        <family val="2"/>
        <scheme val="minor"/>
      </rPr>
      <t>medium Teak wood</t>
    </r>
    <r>
      <rPr>
        <sz val="10"/>
        <rFont val="Calibri"/>
        <family val="2"/>
        <scheme val="minor"/>
      </rPr>
      <t xml:space="preserve"> including  MS Z hold fasts , brass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</si>
  <si>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single panels of frames made with sal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</si>
  <si>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1.05X2.10M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</si>
  <si>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 xml:space="preserve">Providing impervious coat to exposed RCC Roof Slab surface with CM (1:3) 12mm thick with 1Kg of water proof compound per bag of Cement laid over roof when it is green including c/c of all materials and labour charges for mixing mortar, laying, rendering smooth and thread lining, cutting, rounding off junctions of wall and slab etc for finished item of work (APSS 901,  903) </t>
  </si>
  <si>
    <t>BLD-CSTN-8-25</t>
  </si>
  <si>
    <t xml:space="preserve">Providing impervious coat to exposed RCC Roof Slab surface with CM (1:3) 20mm thick with 1Kg of water proof compound per bag of Cement laid over roof when it is green including c/c of all materials and labour charges for mixing mortar, laying, rendering smooth and thread lining of wall &amp; slab etc complete for finished item of work (APSS 901,903) </t>
  </si>
  <si>
    <r>
      <t xml:space="preserve">~do~ for  </t>
    </r>
    <r>
      <rPr>
        <b/>
        <sz val="10"/>
        <rFont val="Calibri"/>
        <family val="2"/>
        <scheme val="minor"/>
      </rPr>
      <t>Roof slab 50mm thick etc., complete</t>
    </r>
  </si>
  <si>
    <t xml:space="preserve">Reinforced Cement Concrete  M 25 nominal mix using 12mm size hard granite machine crushed graded metal (coarse aggregate - as per IS 383 - 1970 and IS 2386 Part 1 to Part 8) from approved quarry, using a minimum quantity of 350 kgs. of cement per 1 cum of concrete using concrete Mixer 10 / 7 cft (0.2 / 0.8 cum) capacity including cost and conveyance of  all materials  like cement,  fine aggregate (Sand), coarse aggregate, water etc., to site including centering, shuttering, labour charges such as weigh batching, machine mixing, hire charges of concrete mixer, laying concrete, lift charges, curing etc.,   for finished item of work (APSS No. 402 &amp; 403) </t>
  </si>
  <si>
    <r>
      <t xml:space="preserve">~do~ for  </t>
    </r>
    <r>
      <rPr>
        <b/>
        <sz val="10"/>
        <rFont val="Calibri"/>
        <family val="2"/>
        <scheme val="minor"/>
      </rPr>
      <t>Roof slab 25mm thick etc., complete</t>
    </r>
  </si>
  <si>
    <t>11.5 cm wide Brick masonry for super-structure on ground floor in cm (1:3) using second class traditional size bricks including cost of all materials, seigniorage charges, labour and all operations for constructing half brick masonry, mixing cement mortar, curing etc., complete for finished item of work, but excluding conveyance charges of materials.</t>
  </si>
  <si>
    <t>BLD-CSTN-6-18</t>
  </si>
  <si>
    <t xml:space="preserve">Common burnt clay bricks of class </t>
  </si>
  <si>
    <t xml:space="preserve">Loading charges
</t>
  </si>
  <si>
    <t xml:space="preserve">High Polished Granite 16 to 18 mm </t>
  </si>
  <si>
    <t>unloading charges</t>
  </si>
  <si>
    <t>RSSR 19-20</t>
  </si>
  <si>
    <t>BLD-CSTN-2-9
Amendment as per 2015-16</t>
  </si>
  <si>
    <t>RBR-FNDN    -2- (I)
Amendment as per 2015-16</t>
  </si>
  <si>
    <t>RBR-FNDN -        2- (I)
Amendment as per 2015-16</t>
  </si>
  <si>
    <t xml:space="preserve">BLD-CSTN-    2-18
Amendment </t>
  </si>
  <si>
    <t>Supplying, fitting &amp; placing HYSD bar reinforcement in foundation complete as per drawings and  technical Specifications including labour charges for cutting, bending to required sizes and shapes, placing in position and tying with binding wire, forming grills for reinforcement work including cost and conveyance of steel bars below 36mm dia including overlaps and wastage, where they are not welded</t>
  </si>
  <si>
    <t>Amendment ofasper Building SSR 2011-12</t>
  </si>
  <si>
    <t>Providing  Mild Steel (MS) steel bars  of different diameters for RCC works , including labour charges for straightening, cutting, bending to required sizes and shapes, placing in position with cover blocks of approved materials and size and tying and welding using electrodes, forming grills for reinforcement work as per approved designs and drawings, including cost and conveyance of steel bars, including all wastages such as overlaps, couplings, welding, chairs, spacer bars including cost and conveyance of binding wire, cover blocks and all incidental, operational, labour charges such as cutting, bending, placing in position, welding including sales and other taxes on all materials etc., complete for finished item of work.</t>
  </si>
  <si>
    <t>Unit = t</t>
  </si>
  <si>
    <t>(a) Material</t>
  </si>
  <si>
    <t>HYSD/ TMT/ MS bars including 2.5 per cent for wastage</t>
  </si>
  <si>
    <t>Welding Electrodes @ 5 per joint (14 joints / ton)</t>
  </si>
  <si>
    <t>each</t>
  </si>
  <si>
    <t>Binding wire ( MATERIAL &amp; WORK ITEM
RATES S.No.173)</t>
  </si>
  <si>
    <t>(b) Labour for cutting, bending, shifting to site, tying and placing in position</t>
  </si>
  <si>
    <t>Welder</t>
  </si>
  <si>
    <t>Black smith</t>
  </si>
  <si>
    <t>Mazdoor (Unskilled)</t>
  </si>
  <si>
    <t>Welding Charges (Hire charges of Welding Machine)</t>
  </si>
  <si>
    <t>Hr</t>
  </si>
  <si>
    <t>Rate per tonne</t>
  </si>
  <si>
    <t>Rate per Kg</t>
  </si>
  <si>
    <t>BLD-CSTN-4-9</t>
  </si>
  <si>
    <t>BLD-CSTN-    3-1a (v)</t>
  </si>
  <si>
    <t>BLD-CSTN-6-10</t>
  </si>
  <si>
    <t>BLD-CSTN-6-9</t>
  </si>
  <si>
    <t xml:space="preserve">Add Lift Charges @ 10%, 20% on Labour charges </t>
  </si>
  <si>
    <t>BLD-CSTN-5-1</t>
  </si>
  <si>
    <t>BLD-CSTN-7-11</t>
  </si>
  <si>
    <t>20Kg</t>
  </si>
  <si>
    <t>BLD-CSTN-10-2</t>
  </si>
  <si>
    <t>Painting, Priming Coat on New Plastered Surface for internal walls</t>
  </si>
  <si>
    <t>Unit: 10 sqm</t>
  </si>
  <si>
    <t>A. MATERIALS :</t>
  </si>
  <si>
    <t>B. LABOUR</t>
  </si>
  <si>
    <t>Total cost for 10 sqm</t>
  </si>
  <si>
    <t>Painting, Priming Coat on New Plastered Surface for external walls</t>
  </si>
  <si>
    <t>PRIMARY COAT:</t>
  </si>
  <si>
    <t>10 Sqm</t>
  </si>
  <si>
    <t xml:space="preserve">A) MATERIALS : </t>
  </si>
  <si>
    <t xml:space="preserve">acrylic Emulsion paint (at 20 sqm / liter as per British Paints (I) Ltd. </t>
  </si>
  <si>
    <t xml:space="preserve">B) LABOUR </t>
  </si>
  <si>
    <t xml:space="preserve">Painter - 1st Class </t>
  </si>
  <si>
    <t xml:space="preserve">Painter - 2nd class </t>
  </si>
  <si>
    <t>Lift Charges per 10 Sqmt.</t>
  </si>
  <si>
    <t>BASIC COST per 1 sqm</t>
  </si>
  <si>
    <t>Painting to new walls with 2 coats of acrylic Emulsion paint Asian  or equivalent and shade over Priming coat with Cement primer water base exterior Gr-2 Asian or equivalent on new plastered surface after throughly brushing the surace remove all dirt and remains of loose powdered materials including c/c of all materials to worksite and all oparational, incidental ,labour charges etc complete for finished item of work as per SS 912 for External walls</t>
  </si>
  <si>
    <t xml:space="preserve">Painting, Priming Coat with Cement Primer </t>
  </si>
  <si>
    <t xml:space="preserve">acrylic Emulsion paint </t>
  </si>
  <si>
    <t>BMT-F.29</t>
  </si>
  <si>
    <t xml:space="preserve">Teak Wood for Scantlings/Frames  </t>
  </si>
  <si>
    <t>BMT-E.01</t>
  </si>
  <si>
    <t xml:space="preserve">Teak Wood for Planks/Shutters </t>
  </si>
  <si>
    <t>BMT-E.04</t>
  </si>
  <si>
    <r>
      <t xml:space="preserve">150mm </t>
    </r>
    <r>
      <rPr>
        <sz val="10"/>
        <color rgb="FFFF0000"/>
        <rFont val="Calibri"/>
        <family val="2"/>
        <scheme val="minor"/>
      </rPr>
      <t>Brass</t>
    </r>
    <r>
      <rPr>
        <sz val="10"/>
        <rFont val="Calibri"/>
        <family val="2"/>
        <scheme val="minor"/>
      </rPr>
      <t xml:space="preserve"> tower bolts </t>
    </r>
  </si>
  <si>
    <t>BMT-G.02</t>
  </si>
  <si>
    <r>
      <t xml:space="preserve">Butt Hinges 125mm  </t>
    </r>
    <r>
      <rPr>
        <sz val="10"/>
        <color rgb="FFFF0000"/>
        <rFont val="Calibri"/>
        <family val="2"/>
        <scheme val="minor"/>
      </rPr>
      <t>Brass</t>
    </r>
    <r>
      <rPr>
        <sz val="10"/>
        <rFont val="Calibri"/>
        <family val="2"/>
        <scheme val="minor"/>
      </rPr>
      <t xml:space="preserve"> </t>
    </r>
  </si>
  <si>
    <t>BMT-G.21</t>
  </si>
  <si>
    <t xml:space="preserve">150mm Alluminium Door handle </t>
  </si>
  <si>
    <t>BMT-G.34</t>
  </si>
  <si>
    <r>
      <t xml:space="preserve">300mm </t>
    </r>
    <r>
      <rPr>
        <sz val="10"/>
        <color rgb="FFFF0000"/>
        <rFont val="Calibri"/>
        <family val="2"/>
        <scheme val="minor"/>
      </rPr>
      <t>Brass</t>
    </r>
    <r>
      <rPr>
        <sz val="10"/>
        <rFont val="Calibri"/>
        <family val="2"/>
        <scheme val="minor"/>
      </rPr>
      <t xml:space="preserve"> Aldrop </t>
    </r>
  </si>
  <si>
    <t>BMT-G.37</t>
  </si>
  <si>
    <t xml:space="preserve">Brass door stoppers </t>
  </si>
  <si>
    <t>BMT-G.46</t>
  </si>
  <si>
    <t xml:space="preserve">MS Z Hold fasts 300mm Long </t>
  </si>
  <si>
    <t>BMS-W.69</t>
  </si>
  <si>
    <t xml:space="preserve">wrought &amp; Putup Labour charges </t>
  </si>
  <si>
    <t>BMM-V.25</t>
  </si>
  <si>
    <t xml:space="preserve">WPC shutter door </t>
  </si>
  <si>
    <t>BMT-N.88</t>
  </si>
  <si>
    <t>BMM-V.42</t>
  </si>
  <si>
    <t xml:space="preserve">150mm Alluminium tower bolts </t>
  </si>
  <si>
    <t>BMT-G.08</t>
  </si>
  <si>
    <t xml:space="preserve">Butt Hinges 125mm  Alluminiu </t>
  </si>
  <si>
    <t>BMT-G.25</t>
  </si>
  <si>
    <t xml:space="preserve">300mm Alluminium Aldrop </t>
  </si>
  <si>
    <t>BMT-G.42</t>
  </si>
  <si>
    <t xml:space="preserve">Door stopper MS Powder coated </t>
  </si>
  <si>
    <t>BMT-G.53</t>
  </si>
  <si>
    <t>wrought &amp; Putup Labour charges 
For frames only (1/3)</t>
  </si>
  <si>
    <t>Rate per 1 Sqm</t>
  </si>
  <si>
    <t>Rate per 1 No</t>
  </si>
  <si>
    <t xml:space="preserve">Plain float glass </t>
  </si>
  <si>
    <t>BMT-I.01</t>
  </si>
  <si>
    <t>BMS-W.17</t>
  </si>
  <si>
    <t xml:space="preserve">Cost of  Frame  </t>
  </si>
  <si>
    <t>BMT-N.83.C</t>
  </si>
  <si>
    <t xml:space="preserve">Labour charges for frame work </t>
  </si>
  <si>
    <t xml:space="preserve">BMM-V.42 </t>
  </si>
  <si>
    <t xml:space="preserve">Labour charges for Shutter </t>
  </si>
  <si>
    <t xml:space="preserve">200mm Alluminium tower bolts </t>
  </si>
  <si>
    <t>BMT-G.09</t>
  </si>
  <si>
    <t>Initial cost  two track panels</t>
  </si>
  <si>
    <t>BMT-P.80.A</t>
  </si>
  <si>
    <t xml:space="preserve">Initial cost  Three track </t>
  </si>
  <si>
    <t>Initial cost  Glazed window</t>
  </si>
  <si>
    <t>BMT-P.79</t>
  </si>
  <si>
    <t>Initial cost  (SSR 2012-13)</t>
  </si>
  <si>
    <t>BMT-J.46</t>
  </si>
  <si>
    <t xml:space="preserve">Poly-Urethene Polish - exteritor Grade </t>
  </si>
  <si>
    <t>BMT-J.13</t>
  </si>
  <si>
    <t xml:space="preserve">Thinner for Polyurethane polish </t>
  </si>
  <si>
    <t xml:space="preserve">18" dia(0.45Mts) 2" thick hume pipe ring </t>
  </si>
  <si>
    <t>ELEC-8.4.22</t>
  </si>
  <si>
    <t xml:space="preserve">CC Cover for hume pipe </t>
  </si>
  <si>
    <t>ELEC-8.4.24</t>
  </si>
  <si>
    <t>Jungle</t>
  </si>
  <si>
    <t>Total tasl Amount</t>
  </si>
  <si>
    <t>Earthwork</t>
  </si>
  <si>
    <t>Selected earth filling</t>
  </si>
  <si>
    <t>Sand filling</t>
  </si>
  <si>
    <t>Columns</t>
  </si>
  <si>
    <t>Plinth beam</t>
  </si>
  <si>
    <t>Plain Cement Concrete  M30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Steps</t>
  </si>
  <si>
    <t>Poly-Urethane Water Proof Polish</t>
  </si>
  <si>
    <t xml:space="preserve">S&amp;F of 1200 &amp; 900 mm dia 2" thick Precasted  cc cover for hume pipe including cost and conveyance of all material and labour charges etc., complete for septic Tank </t>
  </si>
  <si>
    <t>Precasted slab 25mm</t>
  </si>
  <si>
    <t>Acco Plaster'g CM (1:3) 12mm</t>
  </si>
  <si>
    <t>As per Paid bill</t>
  </si>
  <si>
    <t>110mm dia pvc pipe</t>
  </si>
  <si>
    <t>90mm dia pvc pipe</t>
  </si>
  <si>
    <t>75mm dia pvc pipe</t>
  </si>
  <si>
    <t>Nahany trap</t>
  </si>
  <si>
    <t>180mm dia bore cap</t>
  </si>
  <si>
    <t>12 Module box</t>
  </si>
  <si>
    <t>8 Module box</t>
  </si>
  <si>
    <t>6 Module box</t>
  </si>
  <si>
    <t>18 Module box</t>
  </si>
  <si>
    <t>4 Module box</t>
  </si>
  <si>
    <t>2 Module box</t>
  </si>
  <si>
    <t>6A flush type Neon Indicator.</t>
  </si>
  <si>
    <t>exhaust fan</t>
  </si>
  <si>
    <t>Difference in cost of Steel rate</t>
  </si>
  <si>
    <t>Certified that the above leads are correct to the best of my knowledge.</t>
  </si>
  <si>
    <t>1)</t>
  </si>
  <si>
    <t>2)</t>
  </si>
  <si>
    <t>Certified that the rates are provided as per SSR 2019-20</t>
  </si>
  <si>
    <t>DIFFERENCE IN COST OF MATERIAL RATES</t>
  </si>
  <si>
    <t>CEMENT</t>
  </si>
  <si>
    <t>(As per working)</t>
  </si>
  <si>
    <t>(As per Bill)</t>
  </si>
  <si>
    <t>Sand filling Difference</t>
  </si>
  <si>
    <t>As per  bill</t>
  </si>
  <si>
    <t>SAND FOR MORTOR</t>
  </si>
  <si>
    <t>SAND FOR FILLING</t>
  </si>
  <si>
    <t>Sand for Mortor Difference</t>
  </si>
  <si>
    <t>SAND FOR CONCRETE</t>
  </si>
  <si>
    <t>Sand for Concrete Difference</t>
  </si>
  <si>
    <t>20 to 12mm graded material</t>
  </si>
  <si>
    <t>20-12 mm Graded Material</t>
  </si>
  <si>
    <t>20-12 mm Graded Material Difference</t>
  </si>
  <si>
    <t>40MM HBG Material</t>
  </si>
  <si>
    <t>40mm HBG Material</t>
  </si>
  <si>
    <t>40mm HBG Material Difference</t>
  </si>
  <si>
    <t>HYSD -500 steel</t>
  </si>
  <si>
    <t>Type of Material</t>
  </si>
  <si>
    <t>impervious coat over roof slab-12mm</t>
  </si>
  <si>
    <t>impervious coat over roof slab-20mm</t>
  </si>
  <si>
    <t xml:space="preserve">Providing skirting to vitrified tiles </t>
  </si>
  <si>
    <t>1200mm dia  2" thick Precasted rcc hume rings</t>
  </si>
  <si>
    <t>900mm dia  2" thick Precasted rcc hume rings</t>
  </si>
  <si>
    <t>Precasted hume ring slab</t>
  </si>
  <si>
    <t>CW-04</t>
  </si>
  <si>
    <t>cw-07</t>
  </si>
  <si>
    <t>CW-09</t>
  </si>
  <si>
    <t>CW-19</t>
  </si>
  <si>
    <t>CW-20</t>
  </si>
  <si>
    <t>50 thick</t>
  </si>
  <si>
    <t>Parapet wall</t>
  </si>
  <si>
    <t>Dummy columns</t>
  </si>
  <si>
    <t>Demo quipment</t>
  </si>
  <si>
    <t>Agristore</t>
  </si>
  <si>
    <t>Certified that the work is completed in all respect</t>
  </si>
  <si>
    <t>Ele 1.4.2 (b)</t>
  </si>
  <si>
    <t>Taking Output = 100 M</t>
  </si>
  <si>
    <t>25mm dia 1,2,3 &amp; 4 way deep Junction Box</t>
  </si>
  <si>
    <t>25mm PVC bends</t>
  </si>
  <si>
    <t>Semi Skilled Electrician</t>
  </si>
  <si>
    <t xml:space="preserve">Helper (Electrical) </t>
  </si>
  <si>
    <t>ELEC-1.2.6 b</t>
  </si>
  <si>
    <t>ELEC-1.2.8 b</t>
  </si>
  <si>
    <t>ELEC-1.2.2 b</t>
  </si>
  <si>
    <t>Supply and Fixing of 25mm dia 1.8mm thick PVC pipe (ISI MARK) concealed in Roof Slabs with all required accessories including masonary work  and labour charges etc., complete.</t>
  </si>
  <si>
    <t>U' Links</t>
  </si>
  <si>
    <t>Mason Ist class</t>
  </si>
  <si>
    <t>25mm dia 1.8mm thick PVC pipe</t>
  </si>
  <si>
    <t>Supply and Fixing of 25mm dia 1.8mm thick PVC pipe (ISI MARK) concealed in wall with all required accessories including masonary work  and labour charges etc., complete.</t>
  </si>
  <si>
    <t>ELEC-8.1.4</t>
  </si>
  <si>
    <t>Supply of  Hot Dip galvanized 20/18 SWG Module box with earthing terminal for 16 Module box</t>
  </si>
  <si>
    <t xml:space="preserve"> Initial cost ELEC-1.8.3 c  4M</t>
  </si>
  <si>
    <t>200/18 SWG Module box w for 16 Module box</t>
  </si>
  <si>
    <t>INPUT SHEET</t>
  </si>
  <si>
    <t>31</t>
  </si>
  <si>
    <t>36</t>
  </si>
  <si>
    <t>37</t>
  </si>
  <si>
    <t>38</t>
  </si>
  <si>
    <t>39</t>
  </si>
  <si>
    <t>40</t>
  </si>
  <si>
    <t>52</t>
  </si>
  <si>
    <t>Tiles</t>
  </si>
  <si>
    <t>Motravulapadu</t>
  </si>
  <si>
    <t>Kanigiri</t>
  </si>
  <si>
    <t>KANIGIRI</t>
  </si>
  <si>
    <t>Deduct staircase</t>
  </si>
  <si>
    <t>Mid landing beam-1</t>
  </si>
  <si>
    <t>Mid landing beam-2</t>
  </si>
  <si>
    <t>B1E1 &amp; B3E3</t>
  </si>
  <si>
    <t>Landing side</t>
  </si>
  <si>
    <t>B2C2</t>
  </si>
  <si>
    <t>C2D2</t>
  </si>
  <si>
    <t>Deduct counter</t>
  </si>
  <si>
    <t>Deduct opening</t>
  </si>
  <si>
    <t>Supply and Transportation of 1.00HP single phase ISI  submersible mortor Pumpset subitable for 4" bore well Makes:Kirloskar/ Crompton/ CRI/ KSB/ Texmo/Aryan Varsha</t>
  </si>
  <si>
    <t>windows grills</t>
  </si>
  <si>
    <t>Septic tank sides</t>
  </si>
  <si>
    <t>Aqua store</t>
  </si>
  <si>
    <t>Left side</t>
  </si>
  <si>
    <t>Secretary room alround</t>
  </si>
  <si>
    <t>Sunshade</t>
  </si>
  <si>
    <t>Staircase opening</t>
  </si>
  <si>
    <t>Ceiling</t>
  </si>
  <si>
    <t>long side</t>
  </si>
  <si>
    <t>Short side</t>
  </si>
  <si>
    <t>Back side</t>
  </si>
  <si>
    <t>Aqua room</t>
  </si>
  <si>
    <t>Staircase sides</t>
  </si>
  <si>
    <t>( Three Tracks)</t>
  </si>
  <si>
    <t>GF windows</t>
  </si>
  <si>
    <t>two tracks</t>
  </si>
  <si>
    <t>Frame and shutter</t>
  </si>
  <si>
    <t>8MM</t>
  </si>
  <si>
    <t>10MM</t>
  </si>
  <si>
    <t>16MM</t>
  </si>
  <si>
    <t>P.Beam</t>
  </si>
  <si>
    <t>SF beams</t>
  </si>
  <si>
    <t>GF Lintels</t>
  </si>
  <si>
    <t>FF Lintels</t>
  </si>
  <si>
    <t>GF sunshades</t>
  </si>
  <si>
    <t>FF sunshades</t>
  </si>
  <si>
    <t>SAND (DEPARTMENT SUPPLY)</t>
  </si>
  <si>
    <t>Sand cost</t>
  </si>
  <si>
    <t>Sand Difference amount</t>
  </si>
  <si>
    <t>Cost of sand</t>
  </si>
  <si>
    <t>Conveyance of sand</t>
  </si>
  <si>
    <t>SPN Distribution board</t>
  </si>
  <si>
    <t>Street light</t>
  </si>
  <si>
    <t>Stainless steel</t>
  </si>
  <si>
    <t>Initial cost  ELEC-5.4.1 c</t>
  </si>
  <si>
    <t>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column footings</t>
  </si>
  <si>
    <r>
      <t xml:space="preserve">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Columns etc., complete</t>
    </r>
  </si>
  <si>
    <t>S&amp;F of 12 / 15 MS plain rod fan hook</t>
  </si>
  <si>
    <t xml:space="preserve"> Initial cost ELEC-8.1.20</t>
  </si>
  <si>
    <t>Fan hook</t>
  </si>
  <si>
    <t>81</t>
  </si>
  <si>
    <t>96</t>
  </si>
  <si>
    <t>98</t>
  </si>
  <si>
    <t>99</t>
  </si>
  <si>
    <t>68</t>
  </si>
  <si>
    <t>70</t>
  </si>
  <si>
    <t>75</t>
  </si>
  <si>
    <t>82</t>
  </si>
  <si>
    <t>83</t>
  </si>
  <si>
    <t>85</t>
  </si>
  <si>
    <t>87</t>
  </si>
  <si>
    <t>88</t>
  </si>
  <si>
    <t>91</t>
  </si>
  <si>
    <t>92</t>
  </si>
  <si>
    <t>93</t>
  </si>
  <si>
    <t>95</t>
  </si>
  <si>
    <t>97</t>
  </si>
  <si>
    <t>101</t>
  </si>
  <si>
    <t>102</t>
  </si>
  <si>
    <t>103</t>
  </si>
  <si>
    <t>104</t>
  </si>
  <si>
    <t>124</t>
  </si>
  <si>
    <t>146</t>
  </si>
  <si>
    <t>148</t>
  </si>
  <si>
    <t>Name board</t>
  </si>
  <si>
    <t>F1 footing</t>
  </si>
  <si>
    <t>F2 footing</t>
  </si>
  <si>
    <t>Middle long wall</t>
  </si>
  <si>
    <t>Cross walls long</t>
  </si>
  <si>
    <t>Block-8</t>
  </si>
  <si>
    <t>C1/F1</t>
  </si>
  <si>
    <t>C1/F2</t>
  </si>
  <si>
    <t>C2/F2</t>
  </si>
  <si>
    <t>Deductions</t>
  </si>
  <si>
    <t>C2/F2 To C2/F2</t>
  </si>
  <si>
    <t>B1 to B4</t>
  </si>
  <si>
    <t>Deduction</t>
  </si>
  <si>
    <t>FB112</t>
  </si>
  <si>
    <t>Dead slab (1st flight)</t>
  </si>
  <si>
    <t>Dead slab (2nd flight)</t>
  </si>
  <si>
    <t>Qty.p.49 of M.B.No.481/A/ZP/19</t>
  </si>
  <si>
    <t>Elevation sides</t>
  </si>
  <si>
    <t>Middle</t>
  </si>
  <si>
    <t>1st landing step</t>
  </si>
  <si>
    <t>2nd landing step</t>
  </si>
  <si>
    <t>Lab</t>
  </si>
  <si>
    <t>Staff room windows grills</t>
  </si>
  <si>
    <t>Digital room</t>
  </si>
  <si>
    <t>Door frame and shutter</t>
  </si>
  <si>
    <t>Beam and slab</t>
  </si>
  <si>
    <t>1st flight (dead slab)</t>
  </si>
  <si>
    <t>Over first slab</t>
  </si>
  <si>
    <t>3rd landing step</t>
  </si>
  <si>
    <t>4th landing steps</t>
  </si>
  <si>
    <t>Head room slab</t>
  </si>
  <si>
    <t>North and south side</t>
  </si>
  <si>
    <t>head room side</t>
  </si>
  <si>
    <t>Supplying and fixing of  Door of size 0.90X2.10M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</si>
  <si>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Supplying and fixing of  Door of size 0.80X2.10M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</si>
  <si>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t>Supplying and fixing of  Door of size 0.80X2.10M with single panels of frames made with sal wood and Shutter made with sal wood including  MS Z hold fasts , Alluminium tower bolts, handle and butt hinges with all furniture fittings including c/c of all materials and furniture fittings etc complete as per specification  (APSS No 1001 &amp; 1002) Door Frame with Shutters</t>
  </si>
  <si>
    <t>( Single Tracks)</t>
  </si>
  <si>
    <t>Supplying and fixing of stainless steel (grade 304) railing for ramp as per approved drawing with top rail of 50mm dia pipe and 2mm thick medium class fixed in to wall with 25mm dia pipe of 0.30m length @ 1m centre to centre and welding,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</si>
  <si>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20mm dia</t>
    </r>
  </si>
  <si>
    <t>Lead Chart based on Common SOR-2020-21</t>
  </si>
  <si>
    <t>Conveyance charges-2020-21</t>
  </si>
  <si>
    <t>As per Machinery</t>
  </si>
  <si>
    <t>Earth/Sand/Gravel</t>
  </si>
  <si>
    <t xml:space="preserve">Bricks 1000Nos </t>
  </si>
  <si>
    <t>stone</t>
  </si>
  <si>
    <t xml:space="preserve">Initial lead Rete </t>
  </si>
  <si>
    <t xml:space="preserve">Add Loading &amp; Unloading </t>
  </si>
  <si>
    <t xml:space="preserve">Net Lead Charges </t>
  </si>
  <si>
    <t xml:space="preserve">scaffoldi material hire charge </t>
  </si>
  <si>
    <t>scaffold Lab charges</t>
  </si>
  <si>
    <t xml:space="preserve">scaffolding material hire charge </t>
  </si>
  <si>
    <t>scaffolding Lab charges</t>
  </si>
  <si>
    <t xml:space="preserve">scaffolding material hire charges </t>
  </si>
  <si>
    <t xml:space="preserve">scfolding Lab charg  </t>
  </si>
  <si>
    <t>scfolding Lab charges</t>
  </si>
  <si>
    <t xml:space="preserve">scfolding Lab charg </t>
  </si>
  <si>
    <t>Add extra for Scaffolding Material  Charges</t>
  </si>
  <si>
    <t xml:space="preserve">Add extra for Scaffolding labour  Charges  @   </t>
  </si>
  <si>
    <t>Impervious water proofing compound</t>
  </si>
  <si>
    <t>Ele 1.4.2 (a)</t>
  </si>
  <si>
    <t>Skilled Electrician.</t>
  </si>
  <si>
    <t>Semi Skilled Electrician / Lineman</t>
  </si>
  <si>
    <t xml:space="preserve">Supply of 3 Module box </t>
  </si>
  <si>
    <t>Ele 3.1.3</t>
  </si>
  <si>
    <t>Supply and run of 2 of 22/0.3mm (1.5 Sq.mm) F.R P.V.C. insulated flexible copper cable in existing pipe for mains inlcuding all labour charges etc., complete</t>
  </si>
  <si>
    <t>Supply of 36/0.3mm (2.5 Sqmm) FRLS / HFFR  PVC insulated 1100V grade as per IS:694/1990 specification for Copper cable of Finolex / RR kabel / Havells /KEI/Polycab/Gloster</t>
  </si>
  <si>
    <t xml:space="preserve">Supply of 56/0.3mm (4.0 Sqmm) FRLS / HFFR  PVC insulated 1100V grade as per IS:694/1990 specification for Copper cable of makes Finolex / RR kabel / Havells /KEI/Polycab/Gloster. </t>
  </si>
  <si>
    <t>Supply of  BH / SBH of makes GM G Home / Gold Medal Olive / Million Zoom / Great whiteOmega/Koncept/Vimal opel/ Anchor/Vihan/CPL.(ELEC--1.7.1-N)</t>
  </si>
  <si>
    <t>Ele 9.7.35</t>
  </si>
  <si>
    <t>Supply of 23 / 0060 twin core twisted  ELEC-1.5.6</t>
  </si>
  <si>
    <t>Stepped type fan regulator ELEC-1.7.1 I</t>
  </si>
  <si>
    <t xml:space="preserve">Supply of 48" (1200mm) Sweep 5 Star rated Ceiling Fan ELEC-5.1.4 </t>
  </si>
  <si>
    <t>Ele 9.7.2</t>
  </si>
  <si>
    <t>Ele 9.7.26</t>
  </si>
  <si>
    <t>Supply and fixing of  Stepped Electronic fan regulator hum free step type socket size in the existing switch board.</t>
  </si>
  <si>
    <t>Ele 9.7.25</t>
  </si>
  <si>
    <t>19/20mm steel tube down rod with bolts &amp; nuts for  fan with maching colour.</t>
  </si>
  <si>
    <t>Ele 9.7.24</t>
  </si>
  <si>
    <t>Supply and erecting fan hook of 12/15mm dia M.S. rod / bar grouted in RCC slab with making the slab as original.</t>
  </si>
  <si>
    <t>Mason</t>
  </si>
  <si>
    <t xml:space="preserve">Helper </t>
  </si>
  <si>
    <t>Supply of 23 / 0060 twin core twisted  ELEC-1.5.6)</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</si>
  <si>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</si>
  <si>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0.80X2.10M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</si>
  <si>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sal wood and Shutter made with </t>
    </r>
    <r>
      <rPr>
        <b/>
        <sz val="10"/>
        <rFont val="Calibri"/>
        <family val="2"/>
        <scheme val="minor"/>
      </rPr>
      <t>sal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</si>
  <si>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Shutters : Sal Wood</t>
  </si>
  <si>
    <t>BMT-E.15</t>
  </si>
  <si>
    <t xml:space="preserve">Sal Wood for Scantlings/Frames  </t>
  </si>
  <si>
    <t>BMT-E.16</t>
  </si>
  <si>
    <t xml:space="preserve">Sal Wood for Planks/Shutters </t>
  </si>
  <si>
    <r>
      <t xml:space="preserve">150mm </t>
    </r>
    <r>
      <rPr>
        <sz val="10"/>
        <color rgb="FFFF0000"/>
        <rFont val="Calibri"/>
        <family val="2"/>
        <scheme val="minor"/>
      </rPr>
      <t>Alluminium</t>
    </r>
    <r>
      <rPr>
        <sz val="10"/>
        <rFont val="Calibri"/>
        <family val="2"/>
        <scheme val="minor"/>
      </rPr>
      <t xml:space="preserve"> tower bolts </t>
    </r>
  </si>
  <si>
    <r>
      <t xml:space="preserve">300mm </t>
    </r>
    <r>
      <rPr>
        <sz val="10"/>
        <color rgb="FFFF0000"/>
        <rFont val="Calibri"/>
        <family val="2"/>
        <scheme val="minor"/>
      </rPr>
      <t>Alluminium</t>
    </r>
    <r>
      <rPr>
        <sz val="10"/>
        <rFont val="Calibri"/>
        <family val="2"/>
        <scheme val="minor"/>
      </rPr>
      <t xml:space="preserve"> Aldrop </t>
    </r>
  </si>
  <si>
    <t>BMT-G.57</t>
  </si>
  <si>
    <t xml:space="preserve">Alluminium door stoppers </t>
  </si>
  <si>
    <t>BMM-V.38</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</si>
  <si>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0.80X2.10M</t>
    </r>
    <r>
      <rPr>
        <sz val="10"/>
        <rFont val="Calibri"/>
        <family val="2"/>
        <scheme val="minor"/>
      </rPr>
      <t xml:space="preserve"> with single panels of frames made with sal wood and Shutter made with </t>
    </r>
    <r>
      <rPr>
        <b/>
        <sz val="10"/>
        <rFont val="Calibri"/>
        <family val="2"/>
        <scheme val="minor"/>
      </rPr>
      <t>sal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</si>
  <si>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MINI SSR 2020-21 OF BUILDING ITEMS</t>
  </si>
  <si>
    <t>Name</t>
  </si>
  <si>
    <t xml:space="preserve">Code </t>
  </si>
  <si>
    <t>Code</t>
  </si>
  <si>
    <t>Mason skilled</t>
  </si>
  <si>
    <t>LAB-00011</t>
  </si>
  <si>
    <t>MAT-00005</t>
  </si>
  <si>
    <t>Mason Semi skilled</t>
  </si>
  <si>
    <t>LAB-00091</t>
  </si>
  <si>
    <t xml:space="preserve">Steel Fe 500 </t>
  </si>
  <si>
    <t>Mazdoor</t>
  </si>
  <si>
    <t>LAB-00120</t>
  </si>
  <si>
    <t>Steel Fe 415</t>
  </si>
  <si>
    <t>Bar bender</t>
  </si>
  <si>
    <t>LAB-00001</t>
  </si>
  <si>
    <t>Painter skilled</t>
  </si>
  <si>
    <t>LAB-00035</t>
  </si>
  <si>
    <t>MAT-00029</t>
  </si>
  <si>
    <t>Painter semi skilled</t>
  </si>
  <si>
    <t>LAB-00093</t>
  </si>
  <si>
    <t>MAT-00027</t>
  </si>
  <si>
    <t>LAB-00041</t>
  </si>
  <si>
    <t>MAT-00028</t>
  </si>
  <si>
    <t>LAB-00002</t>
  </si>
  <si>
    <t>Common burnt clay bricks</t>
  </si>
  <si>
    <t>BMT-A.01</t>
  </si>
  <si>
    <t>MAT-00220</t>
  </si>
  <si>
    <t>Plumber skilled</t>
  </si>
  <si>
    <t>LAB-00036</t>
  </si>
  <si>
    <t>MAT-00218</t>
  </si>
  <si>
    <t>Plumber semi skilled</t>
  </si>
  <si>
    <t>12 mm nominal size</t>
  </si>
  <si>
    <t>MAT-00217</t>
  </si>
  <si>
    <t>10mm nominal size</t>
  </si>
  <si>
    <t>MAT-00216</t>
  </si>
  <si>
    <t>LAB-00005</t>
  </si>
  <si>
    <t>6mm nominal size</t>
  </si>
  <si>
    <t>MAT-00215</t>
  </si>
  <si>
    <t>LAB-00079</t>
  </si>
  <si>
    <t>MAT-00302</t>
  </si>
  <si>
    <t xml:space="preserve">Granite 16 to 18 mm </t>
  </si>
  <si>
    <t>BMT-B.11</t>
  </si>
  <si>
    <t>Terrazo tiles</t>
  </si>
  <si>
    <t>BMT-D.01</t>
  </si>
  <si>
    <t>Vitrified tiles double</t>
  </si>
  <si>
    <t>BMT-C.09</t>
  </si>
  <si>
    <t>Ceramic tiles non skid</t>
  </si>
  <si>
    <t xml:space="preserve">BMT.C.01 </t>
  </si>
  <si>
    <t>Glazed tiles for walls</t>
  </si>
  <si>
    <t>BMT.C.21</t>
  </si>
  <si>
    <t>BMT-A.04</t>
  </si>
  <si>
    <t>RSSR</t>
  </si>
  <si>
    <t>MAT-00252</t>
  </si>
  <si>
    <t>MAT-05253</t>
  </si>
  <si>
    <t>Fly ash cement brick</t>
  </si>
  <si>
    <t>BMT-A.03</t>
  </si>
  <si>
    <t>Brick work scaffolding</t>
  </si>
  <si>
    <t>Water for Rural</t>
  </si>
  <si>
    <t>MAT- 00333</t>
  </si>
  <si>
    <t>Hire</t>
  </si>
  <si>
    <t>Labour-GF</t>
  </si>
  <si>
    <t>Labour-FF</t>
  </si>
  <si>
    <t>Labour-SF</t>
  </si>
  <si>
    <t>Concrete mixer</t>
  </si>
  <si>
    <t>HIR-00018</t>
  </si>
  <si>
    <t>needle Vibration 40 petrol</t>
  </si>
  <si>
    <t>HIR-00040
HIR-00174</t>
  </si>
  <si>
    <t>Ceiling plastering</t>
  </si>
  <si>
    <t>MAT-00003</t>
  </si>
  <si>
    <t>Welding eletrodes</t>
  </si>
  <si>
    <t>MAT-00082</t>
  </si>
  <si>
    <t>Welding set</t>
  </si>
  <si>
    <t>HIR-00065
HIR-00199</t>
  </si>
  <si>
    <t xml:space="preserve"> plastering</t>
  </si>
  <si>
    <t>Grills Fabrication of steel</t>
  </si>
  <si>
    <t>BMM-V.14</t>
  </si>
  <si>
    <t xml:space="preserve">Grills  Labour charges </t>
  </si>
  <si>
    <t>BMM-V.15</t>
  </si>
  <si>
    <t xml:space="preserve">MS Tubes </t>
  </si>
  <si>
    <t>BMT-F.04</t>
  </si>
  <si>
    <t>Tube Fabrication of steel</t>
  </si>
  <si>
    <t>BMM-V.16</t>
  </si>
  <si>
    <t xml:space="preserve">Tube  Labour charges </t>
  </si>
  <si>
    <t>BMM-V.17</t>
  </si>
  <si>
    <t>BMT-F.06</t>
  </si>
  <si>
    <t>Wallputty</t>
  </si>
  <si>
    <t>BMT-J.31</t>
  </si>
  <si>
    <t>S.S.Steel  Fabrication</t>
  </si>
  <si>
    <t>BMM-V.18</t>
  </si>
  <si>
    <t>Cement Primer</t>
  </si>
  <si>
    <t>BMT-J.01</t>
  </si>
  <si>
    <t>Drilling hard rock</t>
  </si>
  <si>
    <t>BMS-W.76</t>
  </si>
  <si>
    <t>BMT-J.02</t>
  </si>
  <si>
    <t>Rabbit wire mesh</t>
  </si>
  <si>
    <t>BMT-F.28</t>
  </si>
  <si>
    <t>BMT-J.24</t>
  </si>
  <si>
    <t>Water proof compound</t>
  </si>
  <si>
    <t>BMT-J.34</t>
  </si>
  <si>
    <t>MAT-00478</t>
  </si>
  <si>
    <t>Wood primer</t>
  </si>
  <si>
    <t>BMT-J.05</t>
  </si>
  <si>
    <t>Full Rounding the edges</t>
  </si>
  <si>
    <t>BMM-V.11</t>
  </si>
  <si>
    <t>Enamel paint</t>
  </si>
  <si>
    <t>BMT-J.29</t>
  </si>
  <si>
    <t>Rolling shutter</t>
  </si>
  <si>
    <t>Poly-Urethene Polish</t>
  </si>
  <si>
    <t>BMT-J.18</t>
  </si>
  <si>
    <t>Hume pipe</t>
  </si>
  <si>
    <t>CC cover</t>
  </si>
  <si>
    <t>Labour</t>
  </si>
  <si>
    <t>Bed blocks</t>
  </si>
  <si>
    <t>Pedastal</t>
  </si>
  <si>
    <t>Beams</t>
  </si>
  <si>
    <t>Slab upto 150mm</t>
  </si>
  <si>
    <t>Slab upto 150 to 300mm</t>
  </si>
  <si>
    <t xml:space="preserve">European Water Closet of 1st quality </t>
  </si>
  <si>
    <t>BMW-D.13</t>
  </si>
  <si>
    <t>Water storage tank</t>
  </si>
  <si>
    <t>BMW-G.01)</t>
  </si>
  <si>
    <t xml:space="preserve">Flushing Tank 10 Lit capacity </t>
  </si>
  <si>
    <t>BMW-D.11</t>
  </si>
  <si>
    <t>Tank labour</t>
  </si>
  <si>
    <t>BMW-G.02)</t>
  </si>
  <si>
    <t xml:space="preserve">plastic seat and lid </t>
  </si>
  <si>
    <t>BMW-D.16</t>
  </si>
  <si>
    <t>15.90mm CPVC</t>
  </si>
  <si>
    <t>BMW-I.220</t>
  </si>
  <si>
    <t>Indian type WC</t>
  </si>
  <si>
    <t>BMW-D.02</t>
  </si>
  <si>
    <t>22.20mm CPVC</t>
  </si>
  <si>
    <t>BMW-I.221</t>
  </si>
  <si>
    <t>Urinals</t>
  </si>
  <si>
    <t>BMW-D.34</t>
  </si>
  <si>
    <t>28.60mm CPVC</t>
  </si>
  <si>
    <t>BMW-I.222</t>
  </si>
  <si>
    <t>Hand wash basin</t>
  </si>
  <si>
    <t>BMW-D.26</t>
  </si>
  <si>
    <t>34.90mm CPVC</t>
  </si>
  <si>
    <t>BMW-I.223</t>
  </si>
  <si>
    <t xml:space="preserve">NP bib taps </t>
  </si>
  <si>
    <t>BMW-E.07</t>
  </si>
  <si>
    <t>25mm PVC</t>
  </si>
  <si>
    <t>MAT-07665</t>
  </si>
  <si>
    <t>PVC connections</t>
  </si>
  <si>
    <t>BMW-I.48</t>
  </si>
  <si>
    <t>Labour for pvc</t>
  </si>
  <si>
    <t>BMW-I.415</t>
  </si>
  <si>
    <t>Waste pipe</t>
  </si>
  <si>
    <t>BMW-G.05</t>
  </si>
  <si>
    <t xml:space="preserve">Gunmetal Gate </t>
  </si>
  <si>
    <t>BMW-F.17</t>
  </si>
  <si>
    <t>BMW-G.118</t>
  </si>
  <si>
    <t>110mm bend</t>
  </si>
  <si>
    <t>BMW-G.57</t>
  </si>
  <si>
    <t>Nahany trap cover</t>
  </si>
  <si>
    <t>BMW-I.12</t>
  </si>
  <si>
    <t xml:space="preserve">Clips </t>
  </si>
  <si>
    <t>BMW-G.106</t>
  </si>
  <si>
    <t>Floor Trap - UPVC/SWR Pipe</t>
  </si>
  <si>
    <t>BMW-G.125</t>
  </si>
  <si>
    <t>BMW-G.13</t>
  </si>
  <si>
    <t>BMW-G.15</t>
  </si>
  <si>
    <t>BMW-G.14</t>
  </si>
  <si>
    <t>PVC Labour charges</t>
  </si>
  <si>
    <t>BMW-G.152</t>
  </si>
  <si>
    <t>Chromeum plated  tap</t>
  </si>
  <si>
    <t>BMW-I.140</t>
  </si>
  <si>
    <t xml:space="preserve"> health faucet</t>
  </si>
  <si>
    <t>BMW-I.141</t>
  </si>
  <si>
    <t>Drilling 0 to 90</t>
  </si>
  <si>
    <t>P.No.193</t>
  </si>
  <si>
    <t>Drilling 90 to 150</t>
  </si>
  <si>
    <t>Drilling 150 to 250</t>
  </si>
  <si>
    <t>2.00HP single phase</t>
  </si>
  <si>
    <t>ELEC-5.4.1 e</t>
  </si>
  <si>
    <t>ELEC-5.4.1 c</t>
  </si>
  <si>
    <t>180mm dia PVC pipe</t>
  </si>
  <si>
    <t>P.No.195</t>
  </si>
  <si>
    <t>40mm HDPE pipe</t>
  </si>
  <si>
    <t>MAT- 07334</t>
  </si>
  <si>
    <t>25mm dia clamp set</t>
  </si>
  <si>
    <t xml:space="preserve">MAT- 00260 </t>
  </si>
  <si>
    <t>32mm dia GI pipe</t>
  </si>
  <si>
    <t>32mm dia GI Bends</t>
  </si>
  <si>
    <t>BMW-F.09</t>
  </si>
  <si>
    <t>2.5 sqm flat copper</t>
  </si>
  <si>
    <t>ELEC-1.6.3</t>
  </si>
  <si>
    <t>Controle panel board</t>
  </si>
  <si>
    <t>ELEC-5.4.15</t>
  </si>
  <si>
    <t>Grooves</t>
  </si>
  <si>
    <t>BMM-V.51</t>
  </si>
  <si>
    <t>Box</t>
  </si>
  <si>
    <t>Cover</t>
  </si>
  <si>
    <t>ELEC-1.3.1 f</t>
  </si>
  <si>
    <t>ELEC-1.8.3 f</t>
  </si>
  <si>
    <t>ELEC-1.3.1 e</t>
  </si>
  <si>
    <t>ELEC-1.8.3 e</t>
  </si>
  <si>
    <t>ELEC-1.3.1 d</t>
  </si>
  <si>
    <t>ELEC-1.8.3 d</t>
  </si>
  <si>
    <t>ELEC-1.3.1 c</t>
  </si>
  <si>
    <t xml:space="preserve">ELEC-1.8.3 c </t>
  </si>
  <si>
    <t>18Module box</t>
  </si>
  <si>
    <t>16Module box</t>
  </si>
  <si>
    <t>2Module box</t>
  </si>
  <si>
    <t>ELEC-1.3.1 a</t>
  </si>
  <si>
    <t>ELEC-1.8.3 a</t>
  </si>
  <si>
    <t>Neon Indicator.</t>
  </si>
  <si>
    <t>ELEC-1.7.1 e</t>
  </si>
  <si>
    <t>battan holders</t>
  </si>
  <si>
    <t>1.7.1-N)</t>
  </si>
  <si>
    <t>ELEC-5.1.12</t>
  </si>
  <si>
    <t>0.5W LED bulb</t>
  </si>
  <si>
    <t xml:space="preserve"> ELEC-3.7.5 a</t>
  </si>
  <si>
    <t xml:space="preserve">6A / 10A 1 Way flush type switch </t>
  </si>
  <si>
    <t>1.7.1 a</t>
  </si>
  <si>
    <t>Supply of 23 / 0060 twin</t>
  </si>
  <si>
    <t>ELEC-1.5.6</t>
  </si>
  <si>
    <t xml:space="preserve"> flush type socket 2 pin</t>
  </si>
  <si>
    <t>1.7.1 c</t>
  </si>
  <si>
    <t>Stepped type fan regulator</t>
  </si>
  <si>
    <t xml:space="preserve"> ELEC-1.7.1 I</t>
  </si>
  <si>
    <t xml:space="preserve"> flush type socket 3/2 pin</t>
  </si>
  <si>
    <t>1.7.1 d</t>
  </si>
  <si>
    <t xml:space="preserve"> Ceiling Fan</t>
  </si>
  <si>
    <t xml:space="preserve">ELEC-5.1.4 </t>
  </si>
  <si>
    <t>Supply of 14/0.3mm (1.0 Sqmm)</t>
  </si>
  <si>
    <t>1.5.1</t>
  </si>
  <si>
    <t>19/20mm steel tube down</t>
  </si>
  <si>
    <t>ELEC-8.1.21</t>
  </si>
  <si>
    <t>Ceiling rose</t>
  </si>
  <si>
    <t>1.7.1-M)</t>
  </si>
  <si>
    <t>ELEC-8.1.20</t>
  </si>
  <si>
    <t xml:space="preserve">Decolam sheet </t>
  </si>
  <si>
    <t>ELEC-1.4.2 d</t>
  </si>
  <si>
    <t>Supply of 1200 mm length,Box type</t>
  </si>
  <si>
    <t>ELEC-3.8.18</t>
  </si>
  <si>
    <t xml:space="preserve">Module Modular Switch. </t>
  </si>
  <si>
    <t>ELEC-1.8.1 h</t>
  </si>
  <si>
    <t xml:space="preserve">SPN 4way D.B with IP-20 </t>
  </si>
  <si>
    <t>ELEC-2.13.1a</t>
  </si>
  <si>
    <t xml:space="preserve">16A 3 pin / 6A 3pin Plug socket with indicator lamp, fuse unit (5 in 1) </t>
  </si>
  <si>
    <t>ELEC-1.8.1 g</t>
  </si>
  <si>
    <t xml:space="preserve">40A D.P.Isolator / ECCB / RCCB </t>
  </si>
  <si>
    <t>ELEC-2.11.1 b</t>
  </si>
  <si>
    <t>Supply of  6A / 10A 1 Way Modular Switch</t>
  </si>
  <si>
    <t>1.8.1-A)</t>
  </si>
  <si>
    <t xml:space="preserve">10 kA - 6-32A range SP MCBs </t>
  </si>
  <si>
    <t>ELEC-2.10.1 a</t>
  </si>
  <si>
    <t>Supply of  6A / 10A 3/2 Pin Modular Socke</t>
  </si>
  <si>
    <t>1.8.1-D)</t>
  </si>
  <si>
    <t>32 A  240V Porcelain Rewirable Fuse Units.</t>
  </si>
  <si>
    <t>2.7.1.a</t>
  </si>
  <si>
    <t xml:space="preserve">1.3.1-B) </t>
  </si>
  <si>
    <t xml:space="preserve">Supply of 6.0 Sqmm PVC  insulated flexible Copper cable. </t>
  </si>
  <si>
    <t>1.5.2.e</t>
  </si>
  <si>
    <t>Supply of 3 Modular Cover Frame</t>
  </si>
  <si>
    <t>1.8.3 b</t>
  </si>
  <si>
    <t xml:space="preserve">Peeta Board of Size 15" x 20" </t>
  </si>
  <si>
    <t>1.4.3.c</t>
  </si>
  <si>
    <t xml:space="preserve">Supply of 22/0.3mm (1.5 Sqmm) </t>
  </si>
  <si>
    <t xml:space="preserve">40mm Nominal Bore Medium grade G.I.Pipe. </t>
  </si>
  <si>
    <t>ELEC-8.4.17d</t>
  </si>
  <si>
    <t>Supply of 36/0.3mm (2.5 Sqmm)</t>
  </si>
  <si>
    <t>1.5.1-c</t>
  </si>
  <si>
    <t xml:space="preserve">25mm x 6 mm G.I.Strip </t>
  </si>
  <si>
    <t>(ELEC-8.3.6</t>
  </si>
  <si>
    <t>Supply of 56/0.3mm (4.0 Sqmm)</t>
  </si>
  <si>
    <t>1.5.1-d</t>
  </si>
  <si>
    <t xml:space="preserve">No.8 G.I.Wire </t>
  </si>
  <si>
    <t>(ELEC-8.3.6)</t>
  </si>
  <si>
    <t xml:space="preserve">6 Sq.mm WPSC Aluminium cable </t>
  </si>
  <si>
    <t>ELEC-1.6.1</t>
  </si>
  <si>
    <t xml:space="preserve">Drilling of 16 Nos through holes of 12mm dia to G.I pipe. </t>
  </si>
  <si>
    <t>ELEC-8.4.20</t>
  </si>
  <si>
    <t>No.10 SWG G.I wire.</t>
  </si>
  <si>
    <t>ELEC-8.3.6</t>
  </si>
  <si>
    <t xml:space="preserve">G.I Nuts, Bolts an Washers each set. </t>
  </si>
  <si>
    <t>ELEC-8.4.21</t>
  </si>
  <si>
    <t>PVC Cleats</t>
  </si>
  <si>
    <t>ELEC-8.1.13</t>
  </si>
  <si>
    <t xml:space="preserve">18" dia  2" thick hume pipe ring. </t>
  </si>
  <si>
    <t>2" thick  CC cover for hume pipe ring with handle.</t>
  </si>
  <si>
    <t xml:space="preserve">Hard Coke  </t>
  </si>
  <si>
    <t>ELEC-8.1.10</t>
  </si>
  <si>
    <t xml:space="preserve">Salt. </t>
  </si>
  <si>
    <t>ELEC-8.1.11</t>
  </si>
  <si>
    <t xml:space="preserve">Earth Work Excavation </t>
  </si>
  <si>
    <t>ELEC-8.4.19</t>
  </si>
  <si>
    <t xml:space="preserve">Teak Wood Frames  </t>
  </si>
  <si>
    <t xml:space="preserve">Teak Wood Shutters </t>
  </si>
  <si>
    <t xml:space="preserve">Sal wood Frames  </t>
  </si>
  <si>
    <t xml:space="preserve">Sal Wood Shutters </t>
  </si>
  <si>
    <t>WPC Frame</t>
  </si>
  <si>
    <t>Door Labour (Teak wood)</t>
  </si>
  <si>
    <t>Door Labour (Sal wood)</t>
  </si>
  <si>
    <t>Door Labour (Flush)</t>
  </si>
  <si>
    <t>UPVC windows -3 Tier</t>
  </si>
  <si>
    <t>BMT-P.80.B</t>
  </si>
  <si>
    <t>UPVC windows -2 Tier</t>
  </si>
  <si>
    <t>Plain glass</t>
  </si>
  <si>
    <t>UPVC windows -1 Tier</t>
  </si>
  <si>
    <t>Cement Jolleys 50mm thick</t>
  </si>
  <si>
    <t>Door stopper Alluminum</t>
  </si>
  <si>
    <t>S&amp;F of 32mm dia GI pipe</t>
  </si>
  <si>
    <t>S&amp;F of 32mm dia GI Bends</t>
  </si>
  <si>
    <t xml:space="preserve">Supply and fixing of  Door  of size 0.90 x 2.10mt </t>
  </si>
  <si>
    <t xml:space="preserve">Supply and fixing of  Door  of size 0.80 x 2.10mt </t>
  </si>
  <si>
    <t xml:space="preserve">Supply and fixing of  Door  of size 0.75 x 2.10mt </t>
  </si>
  <si>
    <t>Supplying  &amp; fixing of stainless steel hand rail</t>
  </si>
  <si>
    <t>S&amp;F of 20mm dia CPVC pipes</t>
  </si>
  <si>
    <t>~do~ for pedastal concrete</t>
  </si>
  <si>
    <t>~do~ for columns</t>
  </si>
  <si>
    <t>~do~ for Plinth beam</t>
  </si>
  <si>
    <t>~do~ for Roof beams</t>
  </si>
  <si>
    <t xml:space="preserve">~do~   for Slab 125mm </t>
  </si>
  <si>
    <t xml:space="preserve">~do~   for Slab 150mm </t>
  </si>
  <si>
    <t>~do~   for Lintels</t>
  </si>
  <si>
    <t>~do~   for Sunshades</t>
  </si>
  <si>
    <t xml:space="preserve">Rolling shutter to Godown </t>
  </si>
  <si>
    <t>Painting  with Synthatic Enamil paint</t>
  </si>
  <si>
    <t>~do~   for Beams</t>
  </si>
  <si>
    <t xml:space="preserve">~do~  for Slab 125mm </t>
  </si>
  <si>
    <t>AS PER SSR 2019-20</t>
  </si>
  <si>
    <t>AS PER SSR 2020-21</t>
  </si>
  <si>
    <t>K.Bitrgunta</t>
  </si>
  <si>
    <t>Ramatherdham</t>
  </si>
  <si>
    <t>Cement (ssr 2019-20)</t>
  </si>
  <si>
    <t>Cement (ssr 2020-21)</t>
  </si>
  <si>
    <t>Sand filling(ssr 2019-20)</t>
  </si>
  <si>
    <t>Sand filling(ssr 2020-21)</t>
  </si>
  <si>
    <t>Sand for Mortor (ssr 2019-20)</t>
  </si>
  <si>
    <t>Sand for Mortor (ssr 2020-21)</t>
  </si>
  <si>
    <t>Sand for Concrete  (ssr 2019-20)</t>
  </si>
  <si>
    <t>Sand for Concrete  (ssr 2020-21)</t>
  </si>
  <si>
    <t>20-12 mm  Material   (ssr 2019-20)</t>
  </si>
  <si>
    <t>20-12 mm  Material  (ssr 2020-21)</t>
  </si>
  <si>
    <t>40mm HBG Material (ssr 2019-20)</t>
  </si>
  <si>
    <t>40mm HBG Material (ssr 2020-21)</t>
  </si>
  <si>
    <t>WPC door with with Bottom frame</t>
  </si>
  <si>
    <t>WPC door with without Bottom frame</t>
  </si>
  <si>
    <t>150</t>
  </si>
  <si>
    <t>152</t>
  </si>
  <si>
    <t>155</t>
  </si>
  <si>
    <t>156</t>
  </si>
  <si>
    <t>158</t>
  </si>
  <si>
    <t>159</t>
  </si>
  <si>
    <t>160</t>
  </si>
  <si>
    <t>162</t>
  </si>
  <si>
    <t>164</t>
  </si>
  <si>
    <t>165</t>
  </si>
  <si>
    <t>166</t>
  </si>
  <si>
    <t>167</t>
  </si>
  <si>
    <t>168</t>
  </si>
  <si>
    <t>169</t>
  </si>
  <si>
    <t>171</t>
  </si>
  <si>
    <t>173</t>
  </si>
  <si>
    <t>175</t>
  </si>
  <si>
    <t>177</t>
  </si>
  <si>
    <t>178</t>
  </si>
  <si>
    <t>181</t>
  </si>
  <si>
    <t>182</t>
  </si>
  <si>
    <t>199</t>
  </si>
  <si>
    <t>WPC door with bottom frame</t>
  </si>
  <si>
    <t>WPC door without bottom frame</t>
  </si>
  <si>
    <r>
      <t xml:space="preserve">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lintels etc., complete</t>
    </r>
  </si>
  <si>
    <r>
      <t xml:space="preserve">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Lintels etc., complete</t>
    </r>
  </si>
  <si>
    <t>Plain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Steps</t>
  </si>
  <si>
    <t>VRCC M25 design mix Concrete  for column footings</t>
  </si>
  <si>
    <t>VRCC M25 design mix Concrete  for Pedastal</t>
  </si>
  <si>
    <t>VRCC M25 design mix Concrete  for Columns</t>
  </si>
  <si>
    <t>VRCC M25 design mix Concrete  for Plinth beam</t>
  </si>
  <si>
    <t>VRCC M25 design mix Concrete  for Beams</t>
  </si>
  <si>
    <t xml:space="preserve">VRCC M25 design mix Concrete  for Slab 125mm </t>
  </si>
  <si>
    <t xml:space="preserve">VRCC M25 design mix Concrete  for Slab 150mm </t>
  </si>
  <si>
    <t xml:space="preserve">VRCC M25 design mix Concrete  for Slab 100mm </t>
  </si>
  <si>
    <t>VRCC M25 design mix Concrete  for Slab 50mm</t>
  </si>
  <si>
    <t>VRCC M25 design mix Concrete  for Slab 25mm</t>
  </si>
  <si>
    <t>VRCC M25 design mix Concrete  for Lintels</t>
  </si>
  <si>
    <t>VRCC M25 design mix Concrete  for Sunshades</t>
  </si>
  <si>
    <t>PCC M25 for Steps</t>
  </si>
  <si>
    <t xml:space="preserve">VRCC M25 design mix Concrete  for Slab 50mm </t>
  </si>
  <si>
    <t xml:space="preserve">VRCC M25 design mix Concrete  for Slab 25mm </t>
  </si>
  <si>
    <t>Sub Division : Kanigiri</t>
  </si>
  <si>
    <t>Supply, Transportation and Fixing of 48" (1200mm) Sweep 5 Star rated Ceiling Fan with double ball bearings but with regulator including all standard accessories and all labour charges etc., complete.</t>
  </si>
  <si>
    <t>Supplying  &amp; fixing of stainless steel RamP</t>
  </si>
  <si>
    <t>147</t>
  </si>
  <si>
    <t>161</t>
  </si>
  <si>
    <t>verandah</t>
  </si>
  <si>
    <t>GF and FF</t>
  </si>
  <si>
    <t>Ele 3.1.2</t>
  </si>
  <si>
    <t>14/0.3mm FR PVC copper wire 1.00 sqm</t>
  </si>
  <si>
    <t xml:space="preserve">Supply of 14/0.3mm (1.0 Sqmm) </t>
  </si>
  <si>
    <t>1.5.1-A</t>
  </si>
  <si>
    <t>1.5.1-B</t>
  </si>
  <si>
    <t>Supply and  run of 1 of 14 /0.3mm (1.0 Sq.mm) FR P.V.C. insulated flexible copper cable in existing pipe for earth and invertor continuity including all labour charges etc., complete.</t>
  </si>
  <si>
    <t>For Earthing &amp; invertor</t>
  </si>
  <si>
    <t xml:space="preserve"> ELEC-3.8.23 a</t>
  </si>
  <si>
    <t>Initial Cost ELEC-3.8.23 a</t>
  </si>
  <si>
    <t>Supply, transportation and fixing of 20Watt LED Street light Luminaire made of pressure diecast alluminium body with powder coated, having protective toughned glass, Supply Input voltage 120 - 270 V AC, P.F &gt; 0.90, high power LED's System efficacy &gt;110 lm/W and junction temprature &lt; 70°C, with Ingrees protection IP66,</t>
  </si>
  <si>
    <t>Supplying and fixing of  Door of size 1.05X2.10M with single panels of frames made with teak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</si>
  <si>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t>BMT-N.12</t>
  </si>
  <si>
    <t xml:space="preserve">Flush shutter door </t>
  </si>
  <si>
    <t>BMM-V.23</t>
  </si>
  <si>
    <t xml:space="preserve">Fixing flush door door </t>
  </si>
  <si>
    <t>Supplying and fixing of  Door of size 1.20X2.10M with single panels of frames made with teak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</si>
  <si>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single panels of frames made with teak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</si>
  <si>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Fixing flush door</t>
  </si>
  <si>
    <t>Supply of 1200 mm length,Box typ. (ELEC--3.8.18)</t>
  </si>
  <si>
    <t>Qty.p.     of M.B.No.</t>
  </si>
  <si>
    <t>Earthwork excavation</t>
  </si>
  <si>
    <t>~do~  for Beams</t>
  </si>
  <si>
    <t>VRCC M25 grade  for Columns</t>
  </si>
  <si>
    <t xml:space="preserve">~do~  for Slab 150mm </t>
  </si>
  <si>
    <t>BM in CM (1:8)</t>
  </si>
  <si>
    <t xml:space="preserve">Ornamental Plastering </t>
  </si>
  <si>
    <t>Plastering 12mm thick 2 coats</t>
  </si>
  <si>
    <t>Plastering 20mm thick 2 coats</t>
  </si>
  <si>
    <t>~do~ for skirting</t>
  </si>
  <si>
    <t>Ceramic non skid tiles</t>
  </si>
  <si>
    <t>Wall putty for internal walls</t>
  </si>
  <si>
    <t>UPVC windows for 3 tracks</t>
  </si>
  <si>
    <t xml:space="preserve">S&amp;F of Iron  Grills </t>
  </si>
  <si>
    <t>Granite stone full rounding</t>
  </si>
  <si>
    <t>180mm dia casing pipe</t>
  </si>
  <si>
    <t>3 core 1.50 sqm flat copper cable</t>
  </si>
  <si>
    <t xml:space="preserve"> control panel for pump set</t>
  </si>
  <si>
    <t>25mm dia pvc pipes for roof slab</t>
  </si>
  <si>
    <t>25mm dia pvc pipes for walls</t>
  </si>
  <si>
    <t>Wiring for bulb and fan points</t>
  </si>
  <si>
    <t>1Sqm copper cable</t>
  </si>
  <si>
    <t>6.0 Sqm copper cable</t>
  </si>
  <si>
    <t>2.5 Sqm copper cable</t>
  </si>
  <si>
    <t>~do~ for 8 M</t>
  </si>
  <si>
    <t>~do~ for 6 M</t>
  </si>
  <si>
    <t>~do~ for 4 M</t>
  </si>
  <si>
    <t>6A 3/2 pin wall plug socket</t>
  </si>
  <si>
    <t>S&amp;F of Fuse point</t>
  </si>
  <si>
    <t>Long walls</t>
  </si>
  <si>
    <t>cross wall left</t>
  </si>
  <si>
    <t>B1E2 A1A2</t>
  </si>
  <si>
    <t>E2E3 &amp; A2A3</t>
  </si>
  <si>
    <t>E1D1 &amp; E2D3</t>
  </si>
  <si>
    <t>deduct ventilators</t>
  </si>
  <si>
    <t>Qty.p.2 of M.B.No.114/A/ZP/20</t>
  </si>
  <si>
    <t>ramp</t>
  </si>
  <si>
    <t>Supplying and fixing of  Door of size 0.90X2.10M with single panels of frames made with teak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</si>
  <si>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0.90</t>
    </r>
    <r>
      <rPr>
        <b/>
        <sz val="10"/>
        <rFont val="Calibri"/>
        <family val="2"/>
        <scheme val="minor"/>
      </rPr>
      <t>X2.10M</t>
    </r>
    <r>
      <rPr>
        <sz val="10"/>
        <rFont val="Calibri"/>
        <family val="2"/>
        <scheme val="minor"/>
      </rPr>
      <t xml:space="preserve"> with single panels of frames made with teak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</si>
  <si>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BM in CM (1:6)</t>
  </si>
  <si>
    <t>RBM in CM (1:6)</t>
  </si>
  <si>
    <t xml:space="preserve">BM in CM (1:6) </t>
  </si>
  <si>
    <t xml:space="preserve">RBM in CM (1:6) </t>
  </si>
  <si>
    <t>VRCC M25  mix Concrete  for Columns</t>
  </si>
  <si>
    <t xml:space="preserve">RBM for (1:6) </t>
  </si>
  <si>
    <t>Door of size 1.20 x 1.20</t>
  </si>
  <si>
    <t>Door of size 0.90 x 1.20</t>
  </si>
  <si>
    <t>4 Sqm copper cable</t>
  </si>
  <si>
    <t>Battan holder</t>
  </si>
  <si>
    <t>Slab 125mm</t>
  </si>
  <si>
    <t>BM CM (1:8)</t>
  </si>
  <si>
    <t xml:space="preserve">RBM CM (1:6) </t>
  </si>
  <si>
    <t>Ornamental platering</t>
  </si>
  <si>
    <t>Plaster'ing 12mm</t>
  </si>
  <si>
    <t>Plaster'ing 20mm</t>
  </si>
  <si>
    <t>~do~ skirting</t>
  </si>
  <si>
    <t>Ramp wall</t>
  </si>
  <si>
    <t>Alround sarpanch</t>
  </si>
  <si>
    <t>Dummy pillars sides</t>
  </si>
  <si>
    <t xml:space="preserve">Projection </t>
  </si>
  <si>
    <t>left side</t>
  </si>
  <si>
    <t>Deduct landing sides</t>
  </si>
  <si>
    <t>1st flight steps</t>
  </si>
  <si>
    <t>2nd flight steps</t>
  </si>
  <si>
    <t>FF 1st and 2nd flight raisers</t>
  </si>
  <si>
    <t>~do~  for Lintels</t>
  </si>
  <si>
    <t>Plastering 12mm thick 1 coat</t>
  </si>
  <si>
    <t xml:space="preserve">Emulsion  for internal walls </t>
  </si>
  <si>
    <t xml:space="preserve">Emulsion  for external walls </t>
  </si>
  <si>
    <t>Emulsion  for internal walls</t>
  </si>
  <si>
    <t>Emulsion  for external walls</t>
  </si>
  <si>
    <t>UPVC windows for 1 track</t>
  </si>
  <si>
    <t>25mm dia cement jolleys</t>
  </si>
  <si>
    <t xml:space="preserve"> 25mm dia CPVC pipes</t>
  </si>
  <si>
    <t>20mm dia CPVC pipes</t>
  </si>
  <si>
    <t>110mm dia PVC Pipes</t>
  </si>
  <si>
    <t>75mm dia PVC Pipes</t>
  </si>
  <si>
    <t>Vetrified Tiles</t>
  </si>
  <si>
    <t>Granite stone</t>
  </si>
  <si>
    <t>front projection</t>
  </si>
  <si>
    <t>Deduct landing slab</t>
  </si>
  <si>
    <t>Deduct staircase landing side</t>
  </si>
  <si>
    <t>Deduct staircase opening</t>
  </si>
  <si>
    <t xml:space="preserve">Front verandah </t>
  </si>
  <si>
    <t>Deduct beam</t>
  </si>
  <si>
    <t>Qty.p.      of M.B.No.</t>
  </si>
  <si>
    <t>GF &amp; FF</t>
  </si>
  <si>
    <t>tiolet doors</t>
  </si>
  <si>
    <t xml:space="preserve">GF &amp; FF </t>
  </si>
  <si>
    <t>184</t>
  </si>
  <si>
    <t>Plastering 20mm thick 1 coat</t>
  </si>
  <si>
    <t>SS for Hand rail</t>
  </si>
  <si>
    <t>~do~ for 2 M</t>
  </si>
  <si>
    <t>16A 3/2 pin wall plug socket</t>
  </si>
  <si>
    <t>steps at main door</t>
  </si>
  <si>
    <t>deduct Staircase portion alround</t>
  </si>
  <si>
    <t>sapranch room</t>
  </si>
  <si>
    <t>survey room</t>
  </si>
  <si>
    <t>window sides</t>
  </si>
  <si>
    <t>deduct tiolet door</t>
  </si>
  <si>
    <t>parapet wall</t>
  </si>
  <si>
    <t>surveyor room</t>
  </si>
  <si>
    <t>First floor windows</t>
  </si>
  <si>
    <t>Supplying and fixing of  Door of size 1.20X2.10M with single panels of frames made with sal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</si>
  <si>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t xml:space="preserve">Difference in cost of Sand </t>
  </si>
  <si>
    <t>DIFFERENCE IN COST OF STEEL RATES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</si>
  <si>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1.05X2.10M</t>
    </r>
    <r>
      <rPr>
        <sz val="10"/>
        <rFont val="Calibri"/>
        <family val="2"/>
        <scheme val="minor"/>
      </rPr>
      <t xml:space="preserve"> with single panels of frames made with teak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</si>
  <si>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12 M  box - cover frame</t>
  </si>
  <si>
    <t>European  water closet</t>
  </si>
  <si>
    <t>~do~ 2 tracks</t>
  </si>
  <si>
    <t>Door of size 1.05 x 1.20</t>
  </si>
  <si>
    <t>SSR 19-20</t>
  </si>
  <si>
    <t>As per SSR 2019-20</t>
  </si>
  <si>
    <t>As per SSR 2020-21</t>
  </si>
  <si>
    <t>As per SSR 2021-22</t>
  </si>
  <si>
    <t>As per SSR 2022-23</t>
  </si>
  <si>
    <t>HYSD -500 steel -GF</t>
  </si>
  <si>
    <t>HYSD -500 steel -FF</t>
  </si>
  <si>
    <t>HYSD -500 steel -SF</t>
  </si>
  <si>
    <t>19-20</t>
  </si>
  <si>
    <t xml:space="preserve">~do~   for Slab 100mm </t>
  </si>
  <si>
    <t xml:space="preserve">~do~   for Slab 50mm </t>
  </si>
  <si>
    <t xml:space="preserve">~do~   for Slab 25mm </t>
  </si>
  <si>
    <t>impervious coat-12mm</t>
  </si>
  <si>
    <t>impervious coat-20mm</t>
  </si>
  <si>
    <t>VRCC M25  grade  for column footings</t>
  </si>
  <si>
    <t>RR Masonary in CM (1:6)</t>
  </si>
  <si>
    <t>White washing one coat</t>
  </si>
  <si>
    <t>1200mm dia  rcc hume rings</t>
  </si>
  <si>
    <t>900mm dia  rcc hume rings</t>
  </si>
  <si>
    <t>impervious coat -12mm</t>
  </si>
  <si>
    <t>impervious coat -20mm</t>
  </si>
  <si>
    <t>White washing single coat</t>
  </si>
  <si>
    <t xml:space="preserve">~do~  for Slab 100mm </t>
  </si>
  <si>
    <t xml:space="preserve">~do~  for Slab 50mm </t>
  </si>
  <si>
    <t xml:space="preserve">~do~  for Slab 25mm </t>
  </si>
  <si>
    <t>~do~  for Sunshades</t>
  </si>
  <si>
    <t xml:space="preserve"> Door  of size 0.90 x 2.10mt </t>
  </si>
  <si>
    <t xml:space="preserve">Door  of size 0.80 x 2.10mt </t>
  </si>
  <si>
    <t xml:space="preserve"> Door  of size 0.80 x 2.10mt </t>
  </si>
  <si>
    <t>Door  of size 1.05  x 2.10mt GF</t>
  </si>
  <si>
    <t>S&amp;F of MS tube</t>
  </si>
  <si>
    <t>S&amp;F of  ventilator</t>
  </si>
  <si>
    <t>Wiring for bulb and light points</t>
  </si>
  <si>
    <t>~do~ for 18 M</t>
  </si>
  <si>
    <t>~do~ for 16 M</t>
  </si>
  <si>
    <t>6A 2 pin wall plug socket</t>
  </si>
  <si>
    <t>Other component</t>
  </si>
  <si>
    <t>Supply of precast concrete blocks for paving of M-35 grade and thickness not less than 60 mm for Light traffic areas conforming to IS 15658:2006 in all shapes and designs for laying &amp; fixing of precast concrete blocks for paving of all grades, any thickness, all sizes &amp; shapes including all labour charges for loading &amp; unloading, laying to desired lines and levels complete</t>
  </si>
  <si>
    <t>Precasted concrete blocks BMT-D.13</t>
  </si>
  <si>
    <t>Labour charges  BMT-D.17</t>
  </si>
  <si>
    <t>BLD-CSTN-7-13</t>
  </si>
  <si>
    <t>Gronolithie Concrete Flooring 20 mm thick with (1:1:2), using 6mm to 12 mm size hard granite machine crushed metal laid over CC bed already laid or RCC roof slab, in alternate panels of size not exceeding 1.50 m x 1.50 m and finishing the top surface to required smoothness and slopes and thread lining including cost of all materials like cement, metal, sand and water etc., complete, including seigniorage charges, etc., complete for finished item of work, but excluding the cost of conveyance of all materials</t>
  </si>
  <si>
    <t>6mm to 12 mm H.G. Metal (Machine crushed)</t>
  </si>
  <si>
    <t xml:space="preserve">Supply and transportation of 20 W LED Street light Luminaire made of pressure diecast alluminium body with powder coated, having protective toughned glass, Supply Input voltage 120 - 270 V AC, P.F &gt; 0.90, high power LED's having System efficacy &gt; 100 lm/W and junction temprature &lt; 70°C, with Ingrees protection IP66, Luminaire performance complies to IS 10322 (Part 5 / Sec-3), Driver surge protection 4KV, external Surge protection 10 KV with optics distribution , THD&lt;10% at 110 Volts AC, driver efficiency &gt;90%, CCT: 3000K - 5700K, minimum CRI&gt;70, etc.,
complete </t>
  </si>
  <si>
    <t xml:space="preserve">Supply and transportation of 60 W LED Street light Luminaire made of pressure diecast alluminium body with powder coated, having protective toughned glass, Supply Input voltage 120 - 270 V AC, P.F &gt; 0.90, high power LED's having System efficacy &gt; 100 lm/W and junction temprature &lt; 70°C, with Ingrees protection IP66, Luminaire performance complies to IS 10322 (Part 5 / Sec-3), Driver surge protection 4KV, external Surge protection 10 KV with optics distribution , THD&lt;10% at 110 Volts AC, driver efficiency &gt;90%, CCT: 3000K - 5700K, minimum CRI&gt;70, etc.,
complete </t>
  </si>
  <si>
    <t>Supply and transportation of 60 W LED Street light Luminaire made of pressure diecast alluminium body with powder coated, having protective toughned glass, Supply Input voltage 120 - 270 V AC, P.F &gt; 0.90, high power LED's having System efficacy &gt; 100 lm/W and junction temprature &lt; 70°C, with Ingrees protection IP66, Luminaire performance complies to IS 10322 (Part 5 / Sec-3), Driver surge protection 4KV, external Surge protection 10 KV with optics distribution , THD&lt;10% at 110 Volts AC, driver efficiency &gt;90%, CCT: 3000K - 5700K, minimum CRI&gt;70, etc.,</t>
  </si>
  <si>
    <t>Supply and  Run of 2 of 22/0.3mm (1.50 Sq.mm) with  Run 1 of 22/0.3mm(1.5Sqmm)  FRLS / HFFR PVC insulated flexible ISI mark copper cable in existing pipe for run of mains inlcuding all labour charges etc., complete.</t>
  </si>
  <si>
    <t>Precasted concrete blocks</t>
  </si>
  <si>
    <t>BMT-D.13</t>
  </si>
  <si>
    <t>Labour charges</t>
  </si>
  <si>
    <t>BMT-D.17</t>
  </si>
  <si>
    <t>Initial Cost ELEC-3.8.23 d</t>
  </si>
  <si>
    <t xml:space="preserve"> ELEC-3.8.23 d</t>
  </si>
  <si>
    <t>Precasted blocks for flooring</t>
  </si>
  <si>
    <t>Gronolithic flooring</t>
  </si>
  <si>
    <t>Supply and  Run of 1 of 14/0.3mm (1.00 Sq.mm)</t>
  </si>
  <si>
    <t>Supply and  Run of 2 of 22/0.3mm (1.50 Sq.mm)</t>
  </si>
  <si>
    <t xml:space="preserve">S&amp;F of street 20 W light </t>
  </si>
  <si>
    <t>S&amp;F of street 60 W light</t>
  </si>
  <si>
    <t>Painting, Lettering and Picturing to walls</t>
  </si>
  <si>
    <t>SEIGNEORAGE CHARGES AND MATERIAL ABSTRACT</t>
  </si>
  <si>
    <t xml:space="preserve">Gronolithie Concrete </t>
  </si>
  <si>
    <t>Precasted floor tiles</t>
  </si>
  <si>
    <t>Gronolithic concrete</t>
  </si>
  <si>
    <t>1.50 Sqm copper cable</t>
  </si>
  <si>
    <t>Painting cartoon on walls</t>
  </si>
  <si>
    <t>S&amp;F of street 20W light</t>
  </si>
  <si>
    <t>S&amp;F of street 60W light</t>
  </si>
  <si>
    <t>granolithic concrete</t>
  </si>
  <si>
    <t>Carried over to Previous bill</t>
  </si>
  <si>
    <t>Add and Dedubt quantity in previous bill</t>
  </si>
  <si>
    <t>Flush  door shutter</t>
  </si>
  <si>
    <t>Door Labour (WPC)</t>
  </si>
  <si>
    <t>BMT-P.59</t>
  </si>
  <si>
    <t>Louvers Ventilator</t>
  </si>
  <si>
    <t>supply and fixing of Single fixed Louvers Ventilator including cost and labour charges etc., complete</t>
  </si>
  <si>
    <t>Single fixed Louvers Ventilator</t>
  </si>
  <si>
    <t>Supplying  &amp; fixing of Stainless Steel Tubes using stainless steel welding rods including buffing, polishing, lacquer finishing, to present seamless finish</t>
  </si>
  <si>
    <t>Rate per 1Kg</t>
  </si>
  <si>
    <t xml:space="preserve">Supplying  &amp; fixing of stainless steel </t>
  </si>
  <si>
    <t>SS for Ramp</t>
  </si>
  <si>
    <t>Conveyance charges-2019-20</t>
  </si>
  <si>
    <t>MINI SSR 2019-20 OF BUILDING ITEMS</t>
  </si>
  <si>
    <t>BMW-G.119</t>
  </si>
  <si>
    <t>1.00HP single phase</t>
  </si>
  <si>
    <t>DATA  SHEET</t>
  </si>
  <si>
    <t xml:space="preserve"> DATA SHEET (Electrification)</t>
  </si>
  <si>
    <t xml:space="preserve"> DATA SHEET (WATER AND SANITATION ITEMS)</t>
  </si>
  <si>
    <t>SSR 20-21</t>
  </si>
  <si>
    <t>LEAD STATEMENT (2020-21)</t>
  </si>
  <si>
    <t>20-21</t>
  </si>
  <si>
    <t>1 HP Submersible mortor</t>
  </si>
  <si>
    <t>LEAD STATEMENT (2021-22)</t>
  </si>
  <si>
    <t>Lead Chart based on Common SOR-2021-22</t>
  </si>
  <si>
    <t>Lead Chart based on Common SOR-2019-20</t>
  </si>
  <si>
    <t>Conveyance charges-2021-22</t>
  </si>
  <si>
    <t>MINI SSR 2021-22 OF BUILDING ITEMS</t>
  </si>
  <si>
    <t>Conveyance charges-2022-23</t>
  </si>
  <si>
    <t>MINI SSR 2022-23 OF BUILDING ITEMS</t>
  </si>
  <si>
    <t>SSR 21-22</t>
  </si>
  <si>
    <t>SSR 22-23</t>
  </si>
  <si>
    <t>AS PER SSR 2021-22</t>
  </si>
  <si>
    <t>AS PER SSR 2022-23</t>
  </si>
  <si>
    <t>21-22</t>
  </si>
  <si>
    <t>22-23</t>
  </si>
  <si>
    <t>Grand total</t>
  </si>
  <si>
    <t>Qty.p.4 of M.B.No.299/A/ZP/19</t>
  </si>
  <si>
    <t>Qty.p.7 of M.B.No.299/A/ZP/19</t>
  </si>
  <si>
    <t>Qty.p.23 of M.B.No.299/A/ZP/19</t>
  </si>
  <si>
    <t>Qty.p.62 of M.B.No.299/A/ZP/19</t>
  </si>
  <si>
    <t>Qty.p.60 of M.B.No.299/A/ZP/19</t>
  </si>
  <si>
    <t>Qty.p.8 of M.B.No.299/A/ZP/19</t>
  </si>
  <si>
    <t>Qty.p.61 of M.B.No.299/A/ZP/19</t>
  </si>
  <si>
    <t>Qty.p.12 of M.B.No.299/A/ZP/19</t>
  </si>
  <si>
    <t>Qty.p.86 of M.B.No.299/A/ZP/19</t>
  </si>
  <si>
    <t>Qty.p.89 of M.B.No.299/A/ZP/19</t>
  </si>
  <si>
    <t>Qty.p.15 of M.B.No.299/A/ZP/19</t>
  </si>
  <si>
    <t>Qty.p.54 of M.B.No.299/A/ZP/19</t>
  </si>
  <si>
    <t>Qty.p.55 of M.B.No.299/A/ZP/19</t>
  </si>
  <si>
    <t>Qty.p.72   of M.B.No.299/A/ZP/19</t>
  </si>
  <si>
    <t>Qty.p.66 of M.B.No.299/A/ZP/19</t>
  </si>
  <si>
    <t>Qty.p. 28 of M.B.No.299/A/ZP/19</t>
  </si>
  <si>
    <t>Qty.p.53 of M.B.No.299/A/ZP/19</t>
  </si>
  <si>
    <t>Qty.p. 31 of M.B.No.299/A/ZP/19</t>
  </si>
  <si>
    <t>Qty.P.No. 72 of M.B.No.299/A/ZP/19</t>
  </si>
  <si>
    <t>Qty.p.58  of M.B.No.299/A/ZP/19</t>
  </si>
  <si>
    <t>Qty.p.5 of M.B.No.299/A/ZP/19</t>
  </si>
  <si>
    <t>Qty.P.No. 99 of M.B.No.299/A/ZP/19</t>
  </si>
  <si>
    <t>Qty.p.22  of M.B.No.299/A/ZP/19</t>
  </si>
  <si>
    <t>Qty.p.9 of M.B.No.299/A/ZP/19</t>
  </si>
  <si>
    <t>Qty.p.    of M.B.No.299/A/ZP/19</t>
  </si>
  <si>
    <t>Qty.p. 1 of M.B.No.299/A/ZP/19</t>
  </si>
  <si>
    <t>Qty.p. 2 of M.B.No.299/A/ZP/19</t>
  </si>
  <si>
    <t>Qty.p.90 of M.B.No.299/A/ZP/19</t>
  </si>
  <si>
    <t>Qty.p. 3 of M.B.No.299/A/ZP/19</t>
  </si>
  <si>
    <t>Qty.p.6 of M.B.No.299/A/ZP/19</t>
  </si>
  <si>
    <t>Qty.p.3 of M.B.No.299/A/ZP/19</t>
  </si>
  <si>
    <t>Qty.p.10 of M.B.No.299/A/ZP/19</t>
  </si>
  <si>
    <t>Qty.p.       of M.B.No.299/A/ZP/19</t>
  </si>
  <si>
    <t>Qty.p.88 of M.B.No.299/A/ZP/19</t>
  </si>
  <si>
    <t>PB 107, 108, 110, 111</t>
  </si>
  <si>
    <t>PB 106, 109, 112</t>
  </si>
  <si>
    <t>Deduct windows</t>
  </si>
  <si>
    <t>Living room</t>
  </si>
  <si>
    <t>Staff room</t>
  </si>
  <si>
    <t>Kitchen</t>
  </si>
  <si>
    <t>Examination room</t>
  </si>
  <si>
    <t>Staff wash room</t>
  </si>
  <si>
    <t>Clinic wash room</t>
  </si>
  <si>
    <t>Qty.p.59  of M.B.No.299/A/ZP/19</t>
  </si>
  <si>
    <t>20mm dia</t>
  </si>
  <si>
    <t>Clinic steps</t>
  </si>
  <si>
    <t>Living room steps</t>
  </si>
  <si>
    <t>Kitchen steps</t>
  </si>
  <si>
    <t>Sunshades</t>
  </si>
  <si>
    <t>Deduct junction</t>
  </si>
  <si>
    <t>windows sides</t>
  </si>
  <si>
    <t>Ventilator sides</t>
  </si>
  <si>
    <t>Right side</t>
  </si>
  <si>
    <t>Deduct steps</t>
  </si>
  <si>
    <t>deduct windows</t>
  </si>
  <si>
    <t>back side</t>
  </si>
  <si>
    <t>Verandah projection with dom</t>
  </si>
  <si>
    <t>slab projection left and right</t>
  </si>
  <si>
    <t>roof beam</t>
  </si>
  <si>
    <t>dummy pillar</t>
  </si>
  <si>
    <t xml:space="preserve">Verandah </t>
  </si>
  <si>
    <t>pressed tiles</t>
  </si>
  <si>
    <t>LEAD STATEMENT (2022-23)</t>
  </si>
  <si>
    <t>Lead Chart based on Common SOR-2022-23</t>
  </si>
  <si>
    <t>Certified that the rates are provided as per SSR 2020-21</t>
  </si>
  <si>
    <t>Certified that the rates are provided as per SSR 2021-22</t>
  </si>
  <si>
    <t>Certified that the rates are provided as per SSR 2022-23</t>
  </si>
  <si>
    <t>As per SSR 2019-20-GF</t>
  </si>
  <si>
    <t>As per SSR 2019-20-FF</t>
  </si>
  <si>
    <t>As per SSR 2019-20-SF</t>
  </si>
  <si>
    <t>As per SSR 2020-21-GF</t>
  </si>
  <si>
    <t>As per SSR 2021-22-FF</t>
  </si>
  <si>
    <t>As per SSR 2022-23-SF</t>
  </si>
  <si>
    <t>As per SSR 2021-22-GF</t>
  </si>
  <si>
    <t>As per SSR 2021-22-SF</t>
  </si>
  <si>
    <t>As per SSR 2022-23-GF</t>
  </si>
  <si>
    <t>As per SSR 2022-23-FF</t>
  </si>
  <si>
    <t>As per SSR 2020-21-FF</t>
  </si>
  <si>
    <t>As per SSR 2020-21-SF</t>
  </si>
  <si>
    <t>Cement (ssr 2021-22)</t>
  </si>
  <si>
    <t>Cement (ssr 2022-23)</t>
  </si>
  <si>
    <t>Sand filling(ssr 2021-22)</t>
  </si>
  <si>
    <t>Sand filling(ssr 2022-23)</t>
  </si>
  <si>
    <t>Sand for Mortor (ssr 2021-22)</t>
  </si>
  <si>
    <t>Sand for Mortor (ssr 2022-23)</t>
  </si>
  <si>
    <t>Sand for Concrete  (ssr 2021-22)</t>
  </si>
  <si>
    <t>Sand for Concrete  (ssr 2022-23)</t>
  </si>
  <si>
    <t>20-12 mm  Material  (ssr 2021-22)</t>
  </si>
  <si>
    <t>20-12 mm  Material  (ssr 2022-23)</t>
  </si>
  <si>
    <t>40mm HBG Material (ssr 2021-22)</t>
  </si>
  <si>
    <t>40mm HBG Material (ssr 2022-23)</t>
  </si>
  <si>
    <t>Sep.20</t>
  </si>
  <si>
    <t>June.20</t>
  </si>
  <si>
    <t>Sep.21</t>
  </si>
  <si>
    <t>Sep.22</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</si>
  <si>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teak wood and Shutter made with Sal</t>
    </r>
    <r>
      <rPr>
        <b/>
        <sz val="10"/>
        <rFont val="Calibri"/>
        <family val="2"/>
        <scheme val="minor"/>
      </rPr>
      <t xml:space="preserve">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</si>
  <si>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Supplying and fixing of  Door of size 0.80X2.10M with single panels of frames made with teak wood and Shutter made with Sal wood including  MS Z hold fasts , Alluminium tower bolts, handle and butt hinges with all furniture fittings including c/c of all materials and furniture fittings etc complete as per specification  (APSS No 1001 &amp; 1002) Door Frame with Shutters</t>
  </si>
  <si>
    <t>Supplying and fixing of  Door of size 0.90X2.10M with double panels of frames made with teak wood and Shutter made with Sal wood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</si>
  <si>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0.80X2.10M</t>
    </r>
    <r>
      <rPr>
        <sz val="10"/>
        <rFont val="Calibri"/>
        <family val="2"/>
        <scheme val="minor"/>
      </rPr>
      <t xml:space="preserve"> with single panels of frames made with teak wood and Shutter made with </t>
    </r>
    <r>
      <rPr>
        <b/>
        <sz val="10"/>
        <rFont val="Calibri"/>
        <family val="2"/>
        <scheme val="minor"/>
      </rPr>
      <t>Sal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</si>
  <si>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Taking Output 6 Cum</t>
  </si>
  <si>
    <t>Rate per 6 Cum</t>
  </si>
  <si>
    <t>Unit = 6 Cum</t>
  </si>
  <si>
    <t xml:space="preserve"> Selected earth</t>
  </si>
  <si>
    <t>PRI Sub Division : Kanigiri</t>
  </si>
  <si>
    <t>Total amount difference amount in cost of sand (1+2+3)</t>
  </si>
  <si>
    <t>FIRST FLOOR</t>
  </si>
  <si>
    <t>SECOND FLOOR</t>
  </si>
  <si>
    <t>DOORS AND WINDOWS</t>
  </si>
  <si>
    <t>WATER AND SANITATION ITEMS</t>
  </si>
  <si>
    <t>Electrification items</t>
  </si>
  <si>
    <t>3.30 lakhs</t>
  </si>
  <si>
    <t>DATA  SHEET (SSR 2022-23)</t>
  </si>
  <si>
    <t>Provision for QC charges @ 0.50%</t>
  </si>
  <si>
    <t>1Sqm</t>
  </si>
  <si>
    <t>1Mt</t>
  </si>
  <si>
    <t>1Kg</t>
  </si>
  <si>
    <t>1Ltr</t>
  </si>
  <si>
    <t>1point</t>
  </si>
  <si>
    <t>Local vagu</t>
  </si>
  <si>
    <t>PART-A</t>
  </si>
  <si>
    <t>CW 21</t>
  </si>
  <si>
    <t>CW 22</t>
  </si>
  <si>
    <t>Certified that the Gram Panchayat has accepted all measurements recorded</t>
  </si>
  <si>
    <t>Certified that the Gram Panchayat has conveyed for all materials from the approved quarry for use on the work as per lead statement.</t>
  </si>
  <si>
    <t>Certified that the materials used the above work were brought from approved quarry</t>
  </si>
  <si>
    <t>Certified to the effect that no recoveries are out standing against the Gram Panchayat</t>
  </si>
  <si>
    <t>Certified that the contractor has engaged Technical persons Namely</t>
  </si>
  <si>
    <t>and they are available through out the execution</t>
  </si>
  <si>
    <t>Certified that there are no IR Paras/ Audit objections pending against this work.</t>
  </si>
  <si>
    <t>ESTIMATE COST &amp; Grant</t>
  </si>
  <si>
    <t>Inspection chamber</t>
  </si>
  <si>
    <t>Supplying and fixing 4" (101.6 mm ) Floor Trap</t>
  </si>
  <si>
    <t>Gunmetal gate value</t>
  </si>
  <si>
    <t>PVC water spouts</t>
  </si>
  <si>
    <t>DB with 1 No 20A single phase</t>
  </si>
  <si>
    <t>Modular telephone jack</t>
  </si>
  <si>
    <t>Supply,laying ,testing and commisioning of 4-pair</t>
  </si>
  <si>
    <t>Supply and run of 5 pair telephone copper wire</t>
  </si>
  <si>
    <t>Provision for GST charges</t>
  </si>
  <si>
    <t>VRCC M25  mix Concrete  for column footings</t>
  </si>
  <si>
    <t>2 Nos of 32A, 240V Porcelain Rewirable Fuse Units</t>
  </si>
  <si>
    <t xml:space="preserve">RBM for partition walls (11.5 cm thick) </t>
  </si>
  <si>
    <t>Clinic and lobby</t>
  </si>
  <si>
    <t>bed room</t>
  </si>
  <si>
    <t>Tiolet-1</t>
  </si>
  <si>
    <t>infront of tiolet</t>
  </si>
  <si>
    <t>Tiolet door shutters</t>
  </si>
  <si>
    <t>Tube light point</t>
  </si>
  <si>
    <t>Buld point</t>
  </si>
  <si>
    <t>Supply and fixing of  Wood Polymer Composite(WPC)  fixing 28 -30 MM thick solid Wood Polymer Composite (WPC)  double extruded door shutter with 3MM top and bottom rigid layer with an overall density of 750kg/Cum. It will be fixed to the frame using 3 inch /4 inch hinges. A minimum of 4 hinges will be required for fixing the door with the frame 1200 x 2130mm</t>
  </si>
  <si>
    <t>provision for Navaratnalu logo</t>
  </si>
  <si>
    <t>provision for navaratnalu logo</t>
  </si>
  <si>
    <t>19</t>
  </si>
  <si>
    <t>Part-B</t>
  </si>
  <si>
    <t xml:space="preserve">SUPPLEMENTAL DATA  SHEET </t>
  </si>
  <si>
    <t>PART-B</t>
  </si>
  <si>
    <t xml:space="preserve">Earthwork </t>
  </si>
  <si>
    <t>Slab 100mm</t>
  </si>
  <si>
    <t>Impervious coat</t>
  </si>
  <si>
    <t>Name of the work:</t>
  </si>
  <si>
    <t>Esimate Rs.</t>
  </si>
  <si>
    <t>May.23</t>
  </si>
  <si>
    <t xml:space="preserve"> DATA SHEET (WATER AND SANITATION ITEMS) (2022-23)</t>
  </si>
  <si>
    <t>PROFORMA-I</t>
  </si>
  <si>
    <t>Name of the GP</t>
  </si>
  <si>
    <t>Name of the Habitation</t>
  </si>
  <si>
    <t>Name of the work</t>
  </si>
  <si>
    <t>Est Cost in Lakhs</t>
  </si>
  <si>
    <t>NREGS %</t>
  </si>
  <si>
    <t>Convergence %</t>
  </si>
  <si>
    <t>Indent Details</t>
  </si>
  <si>
    <t>Total Qty. Supplied by Firm</t>
  </si>
  <si>
    <t>Total Quantity Utilized</t>
  </si>
  <si>
    <t>Balance Quantity</t>
  </si>
  <si>
    <t>Name of the Firm</t>
  </si>
  <si>
    <t>Invoice No.</t>
  </si>
  <si>
    <t>Indent Qty.</t>
  </si>
  <si>
    <t>Value</t>
  </si>
  <si>
    <t>Page and M.B.no.</t>
  </si>
  <si>
    <t>Mandal Praja Parishad</t>
  </si>
  <si>
    <t xml:space="preserve">                            The working estimate is prepared as per the agreement rates based on the SSR of  2019-2020, 2020-21, 2021-22 &amp; 2022-23 and the work has been  carried out as per APSS.</t>
  </si>
  <si>
    <t>Qty.p.51 of M.B.No.112/A/ZP/20</t>
  </si>
  <si>
    <t>deduct door</t>
  </si>
  <si>
    <t>Tiolet-2</t>
  </si>
  <si>
    <t>deduct opening</t>
  </si>
  <si>
    <t>Qty.p.87 of M.B.No.112/A/ZP/20</t>
  </si>
  <si>
    <t>DOORS, WINDOWS, GRILLS</t>
  </si>
  <si>
    <t>Water and Sanitation items</t>
  </si>
  <si>
    <t>Qty.p.1 of M.B.No.559/A/ZP/20</t>
  </si>
  <si>
    <t xml:space="preserve">Steps </t>
  </si>
  <si>
    <t xml:space="preserve">steps </t>
  </si>
  <si>
    <t>Steps front side</t>
  </si>
  <si>
    <t>Platform walls in kitchen</t>
  </si>
  <si>
    <t>Platform walls in lab</t>
  </si>
  <si>
    <t>Qty.p.2 of M.B.No.559/A/ZP/20</t>
  </si>
  <si>
    <t>Qty.p.3 of M.B.No.559/A/ZP/20</t>
  </si>
  <si>
    <t>Qty.p.4 of M.B.No.559/A/ZP/20</t>
  </si>
  <si>
    <t>Qty.p.5 of M.B.No.559/A/ZP/20</t>
  </si>
  <si>
    <t>For steps</t>
  </si>
  <si>
    <t>Front side steps risers</t>
  </si>
  <si>
    <t>Platfrom walls in kitchen</t>
  </si>
  <si>
    <t>Platfrom walls in Lab</t>
  </si>
  <si>
    <t>Qty.p.7 of M.B.No.559/A/ZP/20</t>
  </si>
  <si>
    <t>Lab and store room</t>
  </si>
  <si>
    <t>Infront of tiolet room</t>
  </si>
  <si>
    <t>Qty.p.9 of M.B.No.559/A/ZP/20</t>
  </si>
  <si>
    <t>Infront of tiolet</t>
  </si>
  <si>
    <t>steps</t>
  </si>
  <si>
    <t>Qty.p.11 of M.B.No.559/A/ZP/20</t>
  </si>
  <si>
    <t>Medical area</t>
  </si>
  <si>
    <t>Qty.p.12 of M.B.No.559/A/ZP/20</t>
  </si>
  <si>
    <t>Tiolet -1</t>
  </si>
  <si>
    <t>Tiolet -2</t>
  </si>
  <si>
    <t>Qty.p.15 of M.B.No.559/A/ZP/20</t>
  </si>
  <si>
    <t>Qty.p.23 of M.B.No.559/A/ZP/20</t>
  </si>
  <si>
    <t>Qty.p.24 of M.B.No.559/A/ZP/20</t>
  </si>
  <si>
    <t>Qty.p.25 of M.B.No.559/A/ZP/20</t>
  </si>
  <si>
    <t>Provision for Soil investigation charges</t>
  </si>
  <si>
    <t>Main door</t>
  </si>
  <si>
    <t>Grills</t>
  </si>
  <si>
    <t>CW-22</t>
  </si>
  <si>
    <t>CW-21</t>
  </si>
  <si>
    <t xml:space="preserve">Provision Navaratnalu Logo </t>
  </si>
  <si>
    <t>SEIGNEORAGE CHARGES AND MATERIAL ABSTRACT (PART-B)</t>
  </si>
  <si>
    <t xml:space="preserve">Earth </t>
  </si>
  <si>
    <t xml:space="preserve">CW04 Sand for Mortor </t>
  </si>
  <si>
    <t>PROFORMA-II</t>
  </si>
  <si>
    <t>Qty of cement transferred</t>
  </si>
  <si>
    <t>Dy.Executive Engineer</t>
  </si>
  <si>
    <t>logo</t>
  </si>
  <si>
    <t>Steps for 1st flight</t>
  </si>
  <si>
    <t>deduct staircase portion</t>
  </si>
  <si>
    <t>D2D3</t>
  </si>
  <si>
    <t>Landing slab bottom</t>
  </si>
  <si>
    <t>Qty.p.46 of M.B.No.108/A/ZP/20</t>
  </si>
  <si>
    <t>Qty.p.47 of M.B.No.108/A/ZP/20</t>
  </si>
  <si>
    <t>FB 201, 202</t>
  </si>
  <si>
    <t>FB 203, 204, 205</t>
  </si>
  <si>
    <t>FB 208, 209</t>
  </si>
  <si>
    <t>FB 207</t>
  </si>
  <si>
    <t>FB 206</t>
  </si>
  <si>
    <t>deduct staircase</t>
  </si>
  <si>
    <t>B2E2</t>
  </si>
  <si>
    <t>B1B2 C1C2 D1D2</t>
  </si>
  <si>
    <t>gents tiolet</t>
  </si>
  <si>
    <t>SF column</t>
  </si>
  <si>
    <t>Qty.p.55 of M.B.No.108/A/ZP/20</t>
  </si>
  <si>
    <t>Qty.p.6 of M.B.No.824/B/ZP/19</t>
  </si>
  <si>
    <t>Qty.p.       of M.B.No.824/B/ZP/19</t>
  </si>
  <si>
    <t>Qty.p.8 of M.B.No.824/B/ZP/19</t>
  </si>
  <si>
    <t>Construction of First floor</t>
  </si>
  <si>
    <t>Construction of Second floor</t>
  </si>
  <si>
    <t>Qty.p.    of M.B.No.824/B/ZP/19</t>
  </si>
  <si>
    <t>Supply &amp; Fixing of Bibcock cum Health Faucet with 1m long tube and wall hook</t>
  </si>
  <si>
    <t>Initial cost BMW-I.170</t>
  </si>
  <si>
    <t>Wall art</t>
  </si>
  <si>
    <t xml:space="preserve"> TOTAL</t>
  </si>
  <si>
    <t>Painting  with Emulsion paint for internal walls</t>
  </si>
  <si>
    <t>S&amp; F 40  mm HDPE pipe</t>
  </si>
  <si>
    <t>30mm thick Solid panel PVC door</t>
  </si>
  <si>
    <t>8 Way TPN DB Horizontal with IP 20</t>
  </si>
  <si>
    <t>112</t>
  </si>
  <si>
    <t>115</t>
  </si>
  <si>
    <t xml:space="preserve">                             During execution of work  the working estimate is prepared As per the instructions of higher authorities  items rates as per recording dates (adopting SSR 2019-20, SSR 2020-21, SSR 2021-22 and SSR 2022-23) and same may be submitted for your kind approval.</t>
  </si>
  <si>
    <t>Two thousand and five hundred only)</t>
  </si>
  <si>
    <t>ACTIVITY MASTER</t>
  </si>
  <si>
    <t>Material Task No.</t>
  </si>
  <si>
    <t>ACT1338</t>
  </si>
  <si>
    <t>Wage Component</t>
  </si>
  <si>
    <t>Material Component</t>
  </si>
  <si>
    <t>ACT0001</t>
  </si>
  <si>
    <t>ACT0026</t>
  </si>
  <si>
    <t>ACT0027</t>
  </si>
  <si>
    <t>ACT0409</t>
  </si>
  <si>
    <t>ACT0256</t>
  </si>
  <si>
    <t>ACT0020</t>
  </si>
  <si>
    <t>ACT0021</t>
  </si>
  <si>
    <t>ACT0029</t>
  </si>
  <si>
    <t>ACT0030</t>
  </si>
  <si>
    <t>ACT0031</t>
  </si>
  <si>
    <t>ACT0033</t>
  </si>
  <si>
    <t>ACT0036</t>
  </si>
  <si>
    <t>ACT0037</t>
  </si>
  <si>
    <t>ACT0034</t>
  </si>
  <si>
    <t>ACT0035</t>
  </si>
  <si>
    <t>ACT0052</t>
  </si>
  <si>
    <t>ACT0596</t>
  </si>
  <si>
    <t>ACT0198</t>
  </si>
  <si>
    <t>ACT0201</t>
  </si>
  <si>
    <t>ACT0202</t>
  </si>
  <si>
    <t>ACT0594</t>
  </si>
  <si>
    <t>ACT0197</t>
  </si>
  <si>
    <t>ACT0203</t>
  </si>
  <si>
    <t>ACT0204</t>
  </si>
  <si>
    <t>ACT0205</t>
  </si>
  <si>
    <t>ACT0061</t>
  </si>
  <si>
    <t>ACT0441</t>
  </si>
  <si>
    <t>ACT0079</t>
  </si>
  <si>
    <t>ACT0080</t>
  </si>
  <si>
    <t>ACT0200</t>
  </si>
  <si>
    <t>ACT0251</t>
  </si>
  <si>
    <t>ACT0081</t>
  </si>
  <si>
    <t>ACT0071</t>
  </si>
  <si>
    <t>ACT0062</t>
  </si>
  <si>
    <t>ACT0078</t>
  </si>
  <si>
    <t>ACT0084</t>
  </si>
  <si>
    <t>ACT0085</t>
  </si>
  <si>
    <t>ACT0060</t>
  </si>
  <si>
    <t>ACT0527</t>
  </si>
  <si>
    <t>ACT0087</t>
  </si>
  <si>
    <t>ACT0053</t>
  </si>
  <si>
    <t>ACT0584</t>
  </si>
  <si>
    <t>ACT0585</t>
  </si>
  <si>
    <t>ACT0586</t>
  </si>
  <si>
    <t>ACT0587</t>
  </si>
  <si>
    <t>ACT0588</t>
  </si>
  <si>
    <t>ACT0590</t>
  </si>
  <si>
    <t>ACT0589</t>
  </si>
  <si>
    <t>ACT0591</t>
  </si>
  <si>
    <t>ACT0592</t>
  </si>
  <si>
    <t>ACT0595</t>
  </si>
  <si>
    <t>ACT00052</t>
  </si>
  <si>
    <t>ACT0537</t>
  </si>
  <si>
    <t>ACT0598</t>
  </si>
  <si>
    <t xml:space="preserve">Reinforced Brick Masonry for partition walls </t>
  </si>
  <si>
    <t>ACT0602</t>
  </si>
  <si>
    <t>ACT0055</t>
  </si>
  <si>
    <t>ACT0056</t>
  </si>
  <si>
    <t>Supply and fixing of  Door  of size 1.05  x 2.10mt</t>
  </si>
  <si>
    <t>ACT0523</t>
  </si>
  <si>
    <t>ACT0526</t>
  </si>
  <si>
    <t>Providing and fixing factory made uPVC  windows 2track</t>
  </si>
  <si>
    <t>ACT0525</t>
  </si>
  <si>
    <t>ACT0077</t>
  </si>
  <si>
    <t>ACT0532</t>
  </si>
  <si>
    <t>ACT0064</t>
  </si>
  <si>
    <t>ACT0076</t>
  </si>
  <si>
    <t>ACT0125</t>
  </si>
  <si>
    <t>ACT0126</t>
  </si>
  <si>
    <t>ACT0127</t>
  </si>
  <si>
    <t>ACT0179</t>
  </si>
  <si>
    <t>ACT0115</t>
  </si>
  <si>
    <t>Bibcock cum Health Faucet with 1m long tube and wall hook</t>
  </si>
  <si>
    <t>ACT0141</t>
  </si>
  <si>
    <t>ACT0120</t>
  </si>
  <si>
    <t>ACT0121</t>
  </si>
  <si>
    <t>ACT0108</t>
  </si>
  <si>
    <t>ACT0175</t>
  </si>
  <si>
    <t>ACT0114</t>
  </si>
  <si>
    <t>ACT0174</t>
  </si>
  <si>
    <t>ACT0131</t>
  </si>
  <si>
    <t>ACT0135</t>
  </si>
  <si>
    <t>ACT0089</t>
  </si>
  <si>
    <t>ACT0092</t>
  </si>
  <si>
    <t>ACT0093</t>
  </si>
  <si>
    <t>ACT0094</t>
  </si>
  <si>
    <t>ACT0091</t>
  </si>
  <si>
    <t>ACT0095</t>
  </si>
  <si>
    <t>ACT0096</t>
  </si>
  <si>
    <t>ACT0098</t>
  </si>
  <si>
    <t>ACT0097</t>
  </si>
  <si>
    <t>ACT0099</t>
  </si>
  <si>
    <t>ACT0100</t>
  </si>
  <si>
    <t>ACT0102</t>
  </si>
  <si>
    <t>ACT0103</t>
  </si>
  <si>
    <t>ACT0104</t>
  </si>
  <si>
    <t>ACT0106</t>
  </si>
  <si>
    <t>ACT0090</t>
  </si>
  <si>
    <t>ACT0210</t>
  </si>
  <si>
    <t>ACT0212</t>
  </si>
  <si>
    <t>ACT0211</t>
  </si>
  <si>
    <t>ACT0214</t>
  </si>
  <si>
    <t>ACT0213</t>
  </si>
  <si>
    <t>ACT0216</t>
  </si>
  <si>
    <t>ACT0196</t>
  </si>
  <si>
    <t>ACT0066</t>
  </si>
  <si>
    <t>118</t>
  </si>
  <si>
    <t>120</t>
  </si>
  <si>
    <t>121</t>
  </si>
  <si>
    <t>125</t>
  </si>
  <si>
    <t>127</t>
  </si>
  <si>
    <t>128</t>
  </si>
  <si>
    <t>129</t>
  </si>
  <si>
    <t>130</t>
  </si>
  <si>
    <t>131</t>
  </si>
  <si>
    <t>133</t>
  </si>
  <si>
    <t>134</t>
  </si>
  <si>
    <t>135</t>
  </si>
  <si>
    <t>136</t>
  </si>
  <si>
    <t>138</t>
  </si>
  <si>
    <t>139</t>
  </si>
  <si>
    <t>141</t>
  </si>
  <si>
    <t>143</t>
  </si>
  <si>
    <t>149</t>
  </si>
  <si>
    <t>151</t>
  </si>
  <si>
    <t>153</t>
  </si>
  <si>
    <t>157</t>
  </si>
  <si>
    <t>163</t>
  </si>
  <si>
    <t>170</t>
  </si>
  <si>
    <t>172</t>
  </si>
  <si>
    <t>174</t>
  </si>
  <si>
    <t>176</t>
  </si>
  <si>
    <t>179</t>
  </si>
  <si>
    <t>183</t>
  </si>
  <si>
    <t>185</t>
  </si>
  <si>
    <t>186</t>
  </si>
  <si>
    <t>187</t>
  </si>
  <si>
    <t>189</t>
  </si>
  <si>
    <t>190</t>
  </si>
  <si>
    <t>191</t>
  </si>
  <si>
    <t>193</t>
  </si>
  <si>
    <t>195</t>
  </si>
  <si>
    <t>197</t>
  </si>
  <si>
    <t>201</t>
  </si>
  <si>
    <t>203</t>
  </si>
  <si>
    <t>204</t>
  </si>
  <si>
    <t>K.Bitragunta</t>
  </si>
  <si>
    <t>Deduct doors</t>
  </si>
  <si>
    <t>Dummy pillars</t>
  </si>
  <si>
    <t>3rd flight bottom</t>
  </si>
  <si>
    <t>4th flight bottom</t>
  </si>
  <si>
    <t>Head room</t>
  </si>
  <si>
    <t>Digital store</t>
  </si>
  <si>
    <t>Verandah steps</t>
  </si>
  <si>
    <t>landing</t>
  </si>
  <si>
    <t>Qty.p.17 of M.B.No.113/A/ZP/20</t>
  </si>
  <si>
    <t>3rd flight steps</t>
  </si>
  <si>
    <t>4th flight steps</t>
  </si>
  <si>
    <t>Qty.p.20 of M.B.No.113/A/ZP/20</t>
  </si>
  <si>
    <t>Qty.p.21 of M.B.No.113/A/ZP/20</t>
  </si>
  <si>
    <t>landing slab bottom</t>
  </si>
  <si>
    <t>Ventilators sides</t>
  </si>
  <si>
    <t>GF 1st and 2nd flight</t>
  </si>
  <si>
    <t>FF 1st and 2nd flight</t>
  </si>
  <si>
    <t>Frame</t>
  </si>
  <si>
    <t>Qty.p.43 of M.B.No.113/A/ZP/20</t>
  </si>
  <si>
    <t>Qty.p.3 of M.B.No.558/A/ZP/20</t>
  </si>
  <si>
    <t>Qty.p.4 of M.B.No.558/A/ZP/20</t>
  </si>
  <si>
    <t>Qty.p.6 of M.B.No.558/A/ZP/20</t>
  </si>
  <si>
    <t>Qty.p.10 of M.B.No.558/A/ZP/20</t>
  </si>
  <si>
    <t>Qty.p.5 of M.B.No.558/A/ZP/20</t>
  </si>
  <si>
    <t>Qty.p.8 of M.B.No.558/A/ZP/20</t>
  </si>
  <si>
    <t>Qty.p.7 of M.B.No.558/A/ZP/20</t>
  </si>
  <si>
    <t>Qty.p.9 of M.B.No.558/A/ZP/20</t>
  </si>
  <si>
    <t>Qty.p.       of M.B.No.558/A/ZP/20</t>
  </si>
  <si>
    <t>Supply and erecting, ISI mark submersible 1.0 HP,Single Phase  18stages pumpset suitable for 106 / 156mm dia borewell with high quality water resistant and dynamically balanced bronze impeller with stainless steel shaft sleeves, pump coupling and pivot of Single phase 250V, 50Hz.. A.C. power supply copper winding with water proof insulation and high precision strength not  to be effected by chemical in water and suitable bronze bearings with nut and bolts etc., with  necessary H-type clamp of suitable size and strength.</t>
  </si>
  <si>
    <t>1HP, Single Phase 18 stage submerisible pump set including all taxes  ELEC-5.4.1 c</t>
  </si>
  <si>
    <t>Transportation Charges on Unit Cost</t>
  </si>
  <si>
    <t>Skilled Fitter</t>
  </si>
  <si>
    <t>Plumber</t>
  </si>
  <si>
    <t>Special M.S. clamps with bolts and nuts ELEC-8.1.18</t>
  </si>
  <si>
    <t>Additional amount sanctioned</t>
  </si>
  <si>
    <t>Qty.p.      of M.B.No.558/A/ZP/20</t>
  </si>
  <si>
    <t>3.60 lakhs estimate</t>
  </si>
  <si>
    <t>3.60 lakhs</t>
  </si>
  <si>
    <t>WPC doors</t>
  </si>
  <si>
    <t>uPVC  windows 3track</t>
  </si>
  <si>
    <t>Grand Total</t>
  </si>
  <si>
    <t>Supplying and fixing of  Door of size 1.20X2.10M with single panels of frames made with teak wood  including c/c of all materials and furniture fittings etc complete as per specification  (APSS No 1001 &amp; 1002) Door Frames only</t>
  </si>
  <si>
    <t>Supplying and fixing of  Door of size 1.05X2.10M with single panels of frames made with teak wood  including c/c of all materials and furniture fittings etc complete as per specification  (APSS No 1001 &amp; 1002) Door Frames only</t>
  </si>
  <si>
    <t>Qty.p.43 of M.B.No.558/B/ZP/20</t>
  </si>
  <si>
    <t>Qty.p.41 of M.B.No.558/B/ZP/20</t>
  </si>
  <si>
    <t>Qty.p.15 of M.B.No.558/B/ZP/20</t>
  </si>
  <si>
    <t>Qty.p.16 of M.B.No.558/B/ZP/20</t>
  </si>
  <si>
    <t>Qty.p.11 of M.B.No.558/B/ZP/20</t>
  </si>
  <si>
    <t>Qty.p.12 of M.B.No.558/B/ZP/20</t>
  </si>
  <si>
    <t>Qty.p.13 of M.B.No.558/B/ZP/20</t>
  </si>
  <si>
    <t>Qty.p.14 of M.B.No.558/B/ZP/20</t>
  </si>
  <si>
    <t>Qty.p.     of M.B.No.558/A/ZP/20</t>
  </si>
  <si>
    <t>Frames : Teak wood</t>
  </si>
  <si>
    <t>Qty.p.      of M.B.No.558/B/ZP/20</t>
  </si>
  <si>
    <t>Supplying and fixing of  Door of size 1.20X2.10M with single panels of Shutter made with flush door shutters including  Alluminium tower bolts, handle and butt hinges with all furniture fittings including c/c of all materials and furniture fittings etc complete as per specification  (APSS No 1001 &amp; 1002) Door Shutter only</t>
  </si>
  <si>
    <t>Supplying and fixing of  Door of size 1.05X2.10M with single panels of Shutter made with flush door shutters including  Alluminium tower bolts, handle and butt hinges with all furniture fittings including c/c of all materials and furniture fittings etc complete as per specification  (APSS No 1001 &amp; 1002) Door Shutter only</t>
  </si>
  <si>
    <t>Shutters only</t>
  </si>
  <si>
    <t>206</t>
  </si>
  <si>
    <t>208</t>
  </si>
  <si>
    <t>214</t>
  </si>
  <si>
    <t>215</t>
  </si>
  <si>
    <t>216</t>
  </si>
  <si>
    <t>218</t>
  </si>
  <si>
    <t>221</t>
  </si>
  <si>
    <t xml:space="preserve">Nahany trap </t>
  </si>
  <si>
    <t>25mm dia GI pipe</t>
  </si>
  <si>
    <t>40  mm HDPE pip</t>
  </si>
  <si>
    <t>25mm dia GI Bends</t>
  </si>
  <si>
    <t>25mm dia Clamp set</t>
  </si>
  <si>
    <t xml:space="preserve">3 core 1.50 sqm </t>
  </si>
  <si>
    <t xml:space="preserve"> control panel </t>
  </si>
  <si>
    <t>6A 3/2  socket</t>
  </si>
  <si>
    <t>16A 3/2  socket</t>
  </si>
  <si>
    <t>Independent earthing</t>
  </si>
  <si>
    <t xml:space="preserve"> Soil investigation charges</t>
  </si>
  <si>
    <t>Qty.p.1 of M.B.No.441/A/ZP/19</t>
  </si>
  <si>
    <t>Qty.p.10 of M.B.No.441/A/ZP/19</t>
  </si>
  <si>
    <t>Qty.p.91 of M.B.No.441/A/ZP/19</t>
  </si>
  <si>
    <t>Qty.p.62 of M.B.No.441/A/ZP/19</t>
  </si>
  <si>
    <t>Qty.p.3 of M.B.No.441/A/ZP/19</t>
  </si>
  <si>
    <t>Qty.p.11 of M.B.No.441/A/ZP/19</t>
  </si>
  <si>
    <t>Qty.p.15 of M.B.No.441/A/ZP/19</t>
  </si>
  <si>
    <t>Qty.p.24 of M.B.No.441/A/ZP/19</t>
  </si>
  <si>
    <t>Qty.p.65 of M.B.No.441/A/ZP/19</t>
  </si>
  <si>
    <t>Qty.p.34 of M.B.No.441/A/ZP/19</t>
  </si>
  <si>
    <t>Qty.p.69 of M.B.No.441/A/ZP/19</t>
  </si>
  <si>
    <t>Qty.p.13 of M.B.No.441/A/ZP/19</t>
  </si>
  <si>
    <t>Qty.p.23 of M.B.No.441/A/ZP/19</t>
  </si>
  <si>
    <t>Qty.p.4 of M.B.No.441/A/ZP/19</t>
  </si>
  <si>
    <t>Qty.p.8 of M.B.No.441/A/ZP/19</t>
  </si>
  <si>
    <t>Qty.p.7 of M.B.No.441/A/ZP/19</t>
  </si>
  <si>
    <t>Qty.p.21 of M.B.No.441/A/ZP/19</t>
  </si>
  <si>
    <t>Qty.p.22 of M.B.No.441/A/ZP/19</t>
  </si>
  <si>
    <t>Qty.p.49 of M.B.No.441/A/ZP/19</t>
  </si>
  <si>
    <t>Qty.p.39 of M.B.No.441/A/ZP/19</t>
  </si>
  <si>
    <t>Qty.p.68 of M.B.No.441/A/ZP/19</t>
  </si>
  <si>
    <t>Qty.p.28 of M.B.No.441/A/ZP/19</t>
  </si>
  <si>
    <t>Qty.p.93 of M.B.No.441/A/ZP/19</t>
  </si>
  <si>
    <t>Qty.p.48 of M.B.No.441/A/ZP/19</t>
  </si>
  <si>
    <t>Qty.p.55 of M.B.No.441/A/ZP/19</t>
  </si>
  <si>
    <t>Qty.p.80 of M.B.No.441/A/ZP/19</t>
  </si>
  <si>
    <t>Qty.p.67 of M.B.No.441/A/ZP/19</t>
  </si>
  <si>
    <t>Qty.p.56 of M.B.No.441/A/ZP/19</t>
  </si>
  <si>
    <t>Qty.p.82 of M.B.No.441/A/ZP/19</t>
  </si>
  <si>
    <t>Qty.p.97 of M.B.No.441/A/ZP/19</t>
  </si>
  <si>
    <t>Qty.p. 27  of M.B.No.441/A/ZP/19</t>
  </si>
  <si>
    <t>Qty.p.40 of M.B.No.441/A/ZP/19</t>
  </si>
  <si>
    <t>Qty.p.12 of M.B.No.441/A/ZP/19</t>
  </si>
  <si>
    <t>Qty.p.94 of M.B.No.441/A/ZP/19</t>
  </si>
  <si>
    <t>Qty.p.42 of M.B.No.441/A/ZP/19</t>
  </si>
  <si>
    <t>Qty.p.59 of M.B.No.441/A/ZP/19</t>
  </si>
  <si>
    <t>Qty.p.71 of M.B.No.441/A/ZP/19</t>
  </si>
  <si>
    <t>Qty.p.44 of M.B.No.441/A/ZP/19</t>
  </si>
  <si>
    <t>Qty.p.51 of M.B.No.441/A/ZP/19</t>
  </si>
  <si>
    <t>Qty.p.61 of M.B.No.441/A/ZP/19</t>
  </si>
  <si>
    <t>Qty.p.86 of M.B.No.441/A/ZP/19</t>
  </si>
  <si>
    <t>Qty.p.60 of M.B.No.441/A/ZP/19</t>
  </si>
  <si>
    <t>Qty.p.47 of M.B.No.441/A/ZP/19</t>
  </si>
  <si>
    <t>Qty.p.100 of M.B.No.441/A/ZP/19</t>
  </si>
  <si>
    <t>Qty.p.77  of M.B.No.441/A/ZP/19</t>
  </si>
  <si>
    <t>Qty.p.43 of M.B.No.441/A/ZP/19</t>
  </si>
  <si>
    <t>Qty.p.45 of M.B.No.441/A/ZP/19</t>
  </si>
  <si>
    <t>Qty.p.46 of M.B.No.441/A/ZP/19</t>
  </si>
  <si>
    <t>Qty.p.14 of M.B.No.441/A/ZP/19</t>
  </si>
  <si>
    <t>Qty.p.31 of M.B.No.441/A/ZP/19</t>
  </si>
  <si>
    <t>Qty.p.17 of M.B.No.441/A/ZP/19</t>
  </si>
  <si>
    <t>Qty.p.88 of M.B.No.441/A/ZP/19</t>
  </si>
  <si>
    <t>Qty.p.76  of M.B.No.441/A/ZP/19</t>
  </si>
  <si>
    <t>Qty.p.78 of M.B.No.441/A/ZP/19</t>
  </si>
  <si>
    <t>Qty.p.5 of M.B.No.441/A/ZP/19</t>
  </si>
  <si>
    <t>Qty.p.20 of M.B.No.441/A/ZP/19</t>
  </si>
  <si>
    <t>Qty.p.35 of M.B.No.441/A/ZP/19</t>
  </si>
  <si>
    <t>Qty.p.64 of M.B.No.441/A/ZP/19</t>
  </si>
  <si>
    <t>Qty.p.76 of M.B.No.441/A/ZP/19</t>
  </si>
  <si>
    <t>Qty.p.63 of M.B.No.441/A/ZP/19</t>
  </si>
  <si>
    <t>Qty.p.75 of M.B.No.441/A/ZP/19</t>
  </si>
  <si>
    <t>Qty.p.14  of M.B.No.441/A/ZP/19</t>
  </si>
  <si>
    <t>Qty.p.44  of M.B.No.441/A/ZP/19</t>
  </si>
  <si>
    <t>Qty.p.52  of M.B.No.441/A/ZP/19</t>
  </si>
  <si>
    <t>Qty.p.55  of M.B.No.441/A/ZP/19</t>
  </si>
  <si>
    <t>Qty.p.17  of M.B.No.441/A/ZP/19</t>
  </si>
  <si>
    <t>Qty.p.45  of M.B.No.441/A/ZP/19</t>
  </si>
  <si>
    <t>Qty.p.95 of M.B.No.441/A/ZP/19</t>
  </si>
  <si>
    <t>Qty.p.81 of M.B.No.441/A/ZP/19</t>
  </si>
  <si>
    <t>Qty.p.83 of M.B.No.441/A/ZP/19</t>
  </si>
  <si>
    <t>Qty.p.72 of M.B.No.441/A/ZP/19</t>
  </si>
  <si>
    <t>Qty.p.12  of M.B.No.441/A/ZP/19</t>
  </si>
  <si>
    <t>Qty.p.     of M.B.No.441/A/ZP/19</t>
  </si>
  <si>
    <t>Qty.p.78  of M.B.No.441/A/ZP/19</t>
  </si>
  <si>
    <t>Qty.p.79 of M.B.No.441/A/ZP/19</t>
  </si>
  <si>
    <t>Qty.p.89 of M.B.No.441/A/ZP/19</t>
  </si>
  <si>
    <t>Qty.p.99 of M.B.No.441/A/ZP/19</t>
  </si>
  <si>
    <t>Qty.p.87 of M.B.No.441/A/ZP/19</t>
  </si>
  <si>
    <t>Qty.p.16 of M.B.No.441/A/ZP/19</t>
  </si>
  <si>
    <t>Qty.p.50 of M.B.No.441/A/ZP/19</t>
  </si>
  <si>
    <t>Qty.P.No. 53 of M.B.No.441/A/ZP/19</t>
  </si>
  <si>
    <t>Qty.p.66 of M.B.No.441/A/ZP/19</t>
  </si>
  <si>
    <t>Qty.p.65  of M.B.No.441/A/ZP/19</t>
  </si>
  <si>
    <t>Qty.p.26 of M.B.No.441/A/ZP/19</t>
  </si>
  <si>
    <t>Qty.p.57 of M.B.No.441/A/ZP/19</t>
  </si>
  <si>
    <t>Qty.p.96  of M.B.No.441/A/ZP/19</t>
  </si>
  <si>
    <t>Qty.P.No. 18 of M.B.No.441/A/ZP/19</t>
  </si>
  <si>
    <t>Qty.p.85  of M.B.No.441/A/ZP/19</t>
  </si>
  <si>
    <t>Qty.p.52 of M.B.No.441/A/ZP/19</t>
  </si>
  <si>
    <t>Qty.p. 72 of M.B.No.441/A/ZP/19</t>
  </si>
  <si>
    <t>Qty.P.No. 73 of M.B.No.441/A/ZP/19</t>
  </si>
  <si>
    <t>Qty.p.54  of M.B.No.441/A/ZP/19</t>
  </si>
  <si>
    <t>Qty.p.90 of M.B.No.441/A/ZP/19</t>
  </si>
  <si>
    <t>Qty.p.54 of M.B.No.441/A/ZP/19</t>
  </si>
  <si>
    <t>Qty.p.72   of M.B.No.441/A/ZP/19</t>
  </si>
  <si>
    <t>Qty.p.53 of M.B.No.441/A/ZP/19</t>
  </si>
  <si>
    <t>Qty.p. 31 of M.B.No.441/A/ZP/19</t>
  </si>
  <si>
    <t>Qty.P.No. 72 of M.B.No.441/A/ZP/19</t>
  </si>
  <si>
    <t>Qty.p. 32 of M.B.No.441/A/ZP/19</t>
  </si>
  <si>
    <t>Qty.p.58  of M.B.No.441/A/ZP/19</t>
  </si>
  <si>
    <t>Qty.p.22  of M.B.No.441/A/ZP/19</t>
  </si>
  <si>
    <t>Qty.p.9 of M.B.No.441/A/ZP/19</t>
  </si>
  <si>
    <t>Qty.p.    of M.B.No.441/A/ZP/19</t>
  </si>
  <si>
    <t>Qty.p. 1 of M.B.No.441/A/ZP/19</t>
  </si>
  <si>
    <t>Qty.p. 2 of M.B.No.441/A/ZP/19</t>
  </si>
  <si>
    <t>Qty.p. 3 of M.B.No.441/A/ZP/19</t>
  </si>
  <si>
    <t>Qty.p.6 of M.B.No.441/A/ZP/19</t>
  </si>
  <si>
    <t>Short walls</t>
  </si>
  <si>
    <t>Deduct bed concrete</t>
  </si>
  <si>
    <t>FB 204, 205</t>
  </si>
  <si>
    <t>FB 204</t>
  </si>
  <si>
    <t>FB 205</t>
  </si>
  <si>
    <t>FB 208</t>
  </si>
  <si>
    <t>FB 209</t>
  </si>
  <si>
    <t>Portico portion</t>
  </si>
  <si>
    <t>Qty.p.62  of M.B.No.441/A/ZP/19</t>
  </si>
  <si>
    <t>SF beam &amp; slab</t>
  </si>
  <si>
    <t>FB 206, 207, 208</t>
  </si>
  <si>
    <t>Deduct column portion</t>
  </si>
  <si>
    <t>B3 - E3 I/I</t>
  </si>
  <si>
    <t>E3-E1 I/I</t>
  </si>
  <si>
    <t>E1-B1 I/I</t>
  </si>
  <si>
    <t>A1-A1 &amp; B1-B1</t>
  </si>
  <si>
    <t>A1-B1</t>
  </si>
  <si>
    <t>Deduct Elevation opening</t>
  </si>
  <si>
    <t>A1-A2</t>
  </si>
  <si>
    <t>A2-A3</t>
  </si>
  <si>
    <t>A3-B3</t>
  </si>
  <si>
    <t>Deduct door opening</t>
  </si>
  <si>
    <t>B1-B3 I/I</t>
  </si>
  <si>
    <t>C1-C2 D1-D2</t>
  </si>
  <si>
    <t>B2-E2</t>
  </si>
  <si>
    <t>B2-E2 I/I</t>
  </si>
  <si>
    <t>Deduct bathroom door</t>
  </si>
  <si>
    <t>D2-D3</t>
  </si>
  <si>
    <t>Tiolet long wall D2-D3</t>
  </si>
  <si>
    <t>Tiolet block cross wall</t>
  </si>
  <si>
    <t>B1-E1</t>
  </si>
  <si>
    <t>Deduct column</t>
  </si>
  <si>
    <t>E1-E3</t>
  </si>
  <si>
    <t>E3-B3</t>
  </si>
  <si>
    <t>B1-B2 C1-C2 D1-D2</t>
  </si>
  <si>
    <t>B2-B3</t>
  </si>
  <si>
    <t>B2-C2</t>
  </si>
  <si>
    <t>C2-D2</t>
  </si>
  <si>
    <t>D2-E2</t>
  </si>
  <si>
    <t>Over tiolet cross wall</t>
  </si>
  <si>
    <t>E1-E2</t>
  </si>
  <si>
    <t>E2-E3</t>
  </si>
  <si>
    <t>Qty.p.85 of M.B.No.441/A/ZP/19</t>
  </si>
  <si>
    <t>Tiolet block ventilators</t>
  </si>
  <si>
    <t>B2E3</t>
  </si>
  <si>
    <t>Deduct beam portion</t>
  </si>
  <si>
    <t>Tiolet block long wall to D2-D3</t>
  </si>
  <si>
    <t>Deduct opening elevation portion</t>
  </si>
  <si>
    <t>Qty.p.93  of M.B.No.441/A/ZP/19</t>
  </si>
  <si>
    <t>2nd flight slab bottom</t>
  </si>
  <si>
    <t>N/S RB sides</t>
  </si>
  <si>
    <t>W/S RB sides</t>
  </si>
  <si>
    <t>S/S</t>
  </si>
  <si>
    <t>Tiolet - Sarpanch</t>
  </si>
  <si>
    <t>Combined bath room</t>
  </si>
  <si>
    <t>waiting hall</t>
  </si>
  <si>
    <t>Carridor cross beam sides</t>
  </si>
  <si>
    <t>meeting Hall RB sides</t>
  </si>
  <si>
    <t>Waiting hall RB sides</t>
  </si>
  <si>
    <t>Staircase 1st flight slab</t>
  </si>
  <si>
    <t>MLB1 sides</t>
  </si>
  <si>
    <t>Slab projection N/S</t>
  </si>
  <si>
    <t>W/S</t>
  </si>
  <si>
    <t>E/S</t>
  </si>
  <si>
    <t>E/S RB sides</t>
  </si>
  <si>
    <t>slab projection bottom</t>
  </si>
  <si>
    <t>Sides</t>
  </si>
  <si>
    <t>Slab edges</t>
  </si>
  <si>
    <t>Window sunshades</t>
  </si>
  <si>
    <t>A1-A2 &amp; B1-B2</t>
  </si>
  <si>
    <t>Agri room alround</t>
  </si>
  <si>
    <t>Qty.p.8 of M.B.No.432/A/ZP/19</t>
  </si>
  <si>
    <t>Carridor alround</t>
  </si>
  <si>
    <t>Sarpanch room alround</t>
  </si>
  <si>
    <t>Digital store room alround</t>
  </si>
  <si>
    <t>Staff room alround</t>
  </si>
  <si>
    <t>B1-B3</t>
  </si>
  <si>
    <t>Visitors room wall inside</t>
  </si>
  <si>
    <t>Staircase portion A1-B1 upto MLB</t>
  </si>
  <si>
    <t>Deduct opening for elevation</t>
  </si>
  <si>
    <t>Above MLB A1-B1</t>
  </si>
  <si>
    <t>Opening portion sides doors</t>
  </si>
  <si>
    <t>Tiolet doors</t>
  </si>
  <si>
    <t>Windows opening sides</t>
  </si>
  <si>
    <t>tiolet ventilators sides</t>
  </si>
  <si>
    <t>Elevation Glass fitting sides</t>
  </si>
  <si>
    <t>Staircase room alround</t>
  </si>
  <si>
    <t>Deduct Elevation glass fitting</t>
  </si>
  <si>
    <t>RB sides</t>
  </si>
  <si>
    <t>Elevation glass fittings sides</t>
  </si>
  <si>
    <t>South side</t>
  </si>
  <si>
    <t>Qty.p.12 of M.B.No.432/A/ZP/19</t>
  </si>
  <si>
    <t>west side</t>
  </si>
  <si>
    <t>Visitors  walls</t>
  </si>
  <si>
    <t>South side Staircase portion</t>
  </si>
  <si>
    <t>Deduct Staircase elevation opening</t>
  </si>
  <si>
    <t>Qty.p.13 of M.B.No.432/A/ZP/19</t>
  </si>
  <si>
    <t>head room alround</t>
  </si>
  <si>
    <t>Staircase elevation fitting</t>
  </si>
  <si>
    <t>Shutter room steps</t>
  </si>
  <si>
    <t>Front verandah steps -1</t>
  </si>
  <si>
    <t>Deduct steps portion</t>
  </si>
  <si>
    <t>Ramp portion</t>
  </si>
  <si>
    <t>Qty.p.25 of M.B.No.432/A/ZP/19</t>
  </si>
  <si>
    <t>Staircase room portion</t>
  </si>
  <si>
    <t>Front verandah portion</t>
  </si>
  <si>
    <t>Qty.p.26 of M.B.No.432/A/ZP/19</t>
  </si>
  <si>
    <t>staff room</t>
  </si>
  <si>
    <t>Visitors waiting hall</t>
  </si>
  <si>
    <t>Deduct partition wall door</t>
  </si>
  <si>
    <t>Deduct staricase room portion</t>
  </si>
  <si>
    <t>Qty.p.27 of M.B.No.432/A/ZP/19</t>
  </si>
  <si>
    <t>Qty.p.29 of M.B.No.432/A/ZP/19</t>
  </si>
  <si>
    <t>Qty.p.30 of M.B.No.432/A/ZP/19</t>
  </si>
  <si>
    <t>landing portion</t>
  </si>
  <si>
    <t>Qty.p.31 of M.B.No.432/A/ZP/19</t>
  </si>
  <si>
    <t>Verandah portion E/S</t>
  </si>
  <si>
    <t>Deduct wall column</t>
  </si>
  <si>
    <t>Qty.p.32 of M.B.No.432/A/ZP/19</t>
  </si>
  <si>
    <t>Qty.p.33 of M.B.No.432/A/ZP/19</t>
  </si>
  <si>
    <t>Deduct North side</t>
  </si>
  <si>
    <t>Deduct west side</t>
  </si>
  <si>
    <t>Qty.p.35 of M.B.No.432/A/ZP/19</t>
  </si>
  <si>
    <t>Spandana counter</t>
  </si>
  <si>
    <t>Elevation opening fixing panel</t>
  </si>
  <si>
    <t>Qty.p.38 of M.B.No.432/A/ZP/19</t>
  </si>
  <si>
    <t>Meeting Hall alround</t>
  </si>
  <si>
    <t>RB in Meeting Hall</t>
  </si>
  <si>
    <t>Sarpanch room ceiling</t>
  </si>
  <si>
    <t>Digital &amp; Staff room ceiling</t>
  </si>
  <si>
    <t>Visitors waiting hall ceiling</t>
  </si>
  <si>
    <t>Qty.p.42 of M.B.No.432/A/ZP/19</t>
  </si>
  <si>
    <t>spandana counter</t>
  </si>
  <si>
    <t>FF Windows</t>
  </si>
  <si>
    <t>Elevation grills</t>
  </si>
  <si>
    <t>Above landing</t>
  </si>
  <si>
    <t>Qty.p.49 of M.B.No.432/A/ZP/19</t>
  </si>
  <si>
    <t>Qty.p.50 of M.B.No.432/A/ZP/19</t>
  </si>
  <si>
    <t>Front projection bottom</t>
  </si>
  <si>
    <t>Slab thickness</t>
  </si>
  <si>
    <t>Qty.p.54 of M.B.No.432/A/ZP/19</t>
  </si>
  <si>
    <t>Slab projection E/S</t>
  </si>
  <si>
    <t>R/B sides</t>
  </si>
  <si>
    <t>Qty.p.55 of M.B.No.432/A/ZP/19</t>
  </si>
  <si>
    <t>Qty.p.59 of M.B.No.432/A/ZP/19</t>
  </si>
  <si>
    <t>Tiolet flooring</t>
  </si>
  <si>
    <t>Qty.p.60 of M.B.No.432/A/ZP/19</t>
  </si>
  <si>
    <t>Sarpanch bath room</t>
  </si>
  <si>
    <t>gents Bath room</t>
  </si>
  <si>
    <t xml:space="preserve">Provision for Name board  </t>
  </si>
  <si>
    <t>PS room</t>
  </si>
  <si>
    <t>Agri cum and aqua store</t>
  </si>
  <si>
    <t>First floor digital asst room</t>
  </si>
  <si>
    <t>Qty.p.5 of M.B.No.148/B/ZP/22</t>
  </si>
  <si>
    <t>Qty.p.12 of M.B.No.148/B/ZP/22</t>
  </si>
  <si>
    <t>Sarpa</t>
  </si>
  <si>
    <t>Visitor Waiting Hall</t>
  </si>
  <si>
    <t>Qty.p.13 of M.B.No.148/B/ZP/22</t>
  </si>
  <si>
    <t>Qty.p.14 of M.B.No.148/B/ZP/22</t>
  </si>
  <si>
    <t>Qty.p.15 of M.B.No.148/B/ZP/22</t>
  </si>
  <si>
    <t>Qty.p.17 of M.B.No.148/B/ZP/22</t>
  </si>
  <si>
    <t>Qty.p.20 of M.B.No.148/B/ZP/22</t>
  </si>
  <si>
    <t>Qty.p.21 of M.B.No.148/B/ZP/22</t>
  </si>
  <si>
    <t>Qty.p.23 of M.B.No.148/B/ZP/22</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</si>
  <si>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15mm dia</t>
    </r>
  </si>
  <si>
    <t>25mm</t>
  </si>
  <si>
    <t>32mm</t>
  </si>
  <si>
    <t>FF Open place</t>
  </si>
  <si>
    <t>Qty.p.26 of M.B.No.148/B/ZP/22</t>
  </si>
  <si>
    <t>Qty.p.15 of M.B.No.605/B/ZP/20</t>
  </si>
  <si>
    <t>Qty.p.16 of M.B.No.605/B/ZP/20</t>
  </si>
  <si>
    <t>Qty.p.2 of M.B.No.1186/A/ZP/20</t>
  </si>
  <si>
    <t>Qty.p.4 of M.B.No.1186/A/ZP/20</t>
  </si>
  <si>
    <t>Qty.p.24 of M.B.No.1186/A/ZP/20</t>
  </si>
  <si>
    <t>Qty.p.45 of M.B.No.1186/A/ZP/20</t>
  </si>
  <si>
    <t>MLB</t>
  </si>
  <si>
    <t>Qty.p.20 of M.B.No.605/B/ZP/20</t>
  </si>
  <si>
    <t>Qty.p.23 of M.B.No.605/B/ZP/20</t>
  </si>
  <si>
    <t>Qty.p.33 of M.B.No.605/B/ZP/20</t>
  </si>
  <si>
    <t>Qty.p.31 of M.B.No.605/B/ZP/20</t>
  </si>
  <si>
    <t>Qty.p.47 of M.B.No.605/B/ZP/20</t>
  </si>
  <si>
    <t>Qty.p.48 of M.B.No.605/B/ZP/20</t>
  </si>
  <si>
    <t>Qty.p.42 of M.B.No.605/B/ZP/20</t>
  </si>
  <si>
    <t>Qty.p.49 of M.B.No.605/B/ZP/20</t>
  </si>
  <si>
    <t>Qty.p.44 of M.B.No.605/B/ZP/20</t>
  </si>
  <si>
    <t>Qty.p.50 of M.B.No.605/B/ZP/20</t>
  </si>
  <si>
    <t>Qty.p.18 of M.B.No.1186/A/ZP/20</t>
  </si>
  <si>
    <t>Qty.p.22 of M.B.No.1186/A/ZP/20</t>
  </si>
  <si>
    <t>Qty.p.32 of M.B.No.1186/A/ZP/20</t>
  </si>
  <si>
    <t>Qty.p.35 of M.B.No.1186/A/ZP/20</t>
  </si>
  <si>
    <t>Qty.p.29 of M.B.No.1186/A/ZP/20</t>
  </si>
  <si>
    <t>Qty.p.42 of M.B.No.1186/A/ZP/20</t>
  </si>
  <si>
    <t>Qty.p.46 of M.B.No.1186/A/ZP/20</t>
  </si>
  <si>
    <t>Qty.p.18 of M.B.No.605/B/ZP/20</t>
  </si>
  <si>
    <t>Qty.p.21 of M.B.No.605/B/ZP/20</t>
  </si>
  <si>
    <t>Qty.p.30 of M.B.No.605/B/ZP/20</t>
  </si>
  <si>
    <t>Qty.p.45 of M.B.No.605/B/ZP/20</t>
  </si>
  <si>
    <t>Qty.p.37 of M.B.No.605/B/ZP/20</t>
  </si>
  <si>
    <t>Qty.p.40 of M.B.No.605/B/ZP/20</t>
  </si>
  <si>
    <t>Qty.p.5 of M.B.No.1186/A/ZP/20</t>
  </si>
  <si>
    <t>Qty.p.23 of M.B.No.1186/A/ZP/20</t>
  </si>
  <si>
    <t>Qty.p.35 of M.B.No.605/B/ZP/20</t>
  </si>
  <si>
    <t>Qty.p.38 of M.B.No.605/B/ZP/20</t>
  </si>
  <si>
    <t>Spandana desk</t>
  </si>
  <si>
    <t>Qty.p. 52  of M.B.No.1186/A/ZP/20</t>
  </si>
  <si>
    <t>Qty.p. 53  of M.B.No.1186/A/ZP/20</t>
  </si>
  <si>
    <t>Qty.p. 54  of M.B.No.1186/A/ZP/20</t>
  </si>
  <si>
    <t>Qty.p. 55  of M.B.No.1186/A/ZP/20</t>
  </si>
  <si>
    <t>Qty.p. 56  of M.B.No.1186/A/ZP/20</t>
  </si>
  <si>
    <t>Qty.p. 57  of M.B.No.1186/A/ZP/20</t>
  </si>
  <si>
    <t>Qty.p. 59  of M.B.No.1186/A/ZP/20</t>
  </si>
  <si>
    <t>Qty.p. 61  of M.B.No.1186/A/ZP/20</t>
  </si>
  <si>
    <t>Qty.p. 62  of M.B.No.1186/A/ZP/20</t>
  </si>
  <si>
    <t>Qty.p. 63  of M.B.No.1186/A/ZP/20</t>
  </si>
  <si>
    <t>Qty.p. 64  of M.B.No.1186/A/ZP/20</t>
  </si>
  <si>
    <t>Qty.p. 65  of M.B.No.1186/A/ZP/20</t>
  </si>
  <si>
    <t>C1</t>
  </si>
  <si>
    <t>C2</t>
  </si>
  <si>
    <t>C3</t>
  </si>
  <si>
    <t>Cross walls</t>
  </si>
  <si>
    <t>Cross wall front side</t>
  </si>
  <si>
    <t xml:space="preserve">2nd flight </t>
  </si>
  <si>
    <t>Extra beam</t>
  </si>
  <si>
    <t>3rd flight</t>
  </si>
  <si>
    <t>4th flight</t>
  </si>
  <si>
    <t>FB 201</t>
  </si>
  <si>
    <t>FB 202</t>
  </si>
  <si>
    <t>FB 203</t>
  </si>
  <si>
    <t>Two walls</t>
  </si>
  <si>
    <t>Cross wall between PS and Digital steps</t>
  </si>
  <si>
    <t>Between tiole and meeting hall</t>
  </si>
  <si>
    <t>At bath room</t>
  </si>
  <si>
    <t>Parapet wall at back side</t>
  </si>
  <si>
    <t>Deduct tiolet door</t>
  </si>
  <si>
    <t>Front wall</t>
  </si>
  <si>
    <t>back wall</t>
  </si>
  <si>
    <t>Side wall</t>
  </si>
  <si>
    <t>above landing</t>
  </si>
  <si>
    <t>below landing</t>
  </si>
  <si>
    <t>Front side parapet front wall</t>
  </si>
  <si>
    <t>Slope portion</t>
  </si>
  <si>
    <t>Cross wall</t>
  </si>
  <si>
    <t>3rd step</t>
  </si>
  <si>
    <t>Godown flooring</t>
  </si>
  <si>
    <t>Sloped portion</t>
  </si>
  <si>
    <t>tiolet room</t>
  </si>
  <si>
    <t>meeting Hall</t>
  </si>
  <si>
    <t>Front projecton</t>
  </si>
  <si>
    <t>back projection</t>
  </si>
  <si>
    <t>Sides of beam in carridor</t>
  </si>
  <si>
    <t>Head room ceiling</t>
  </si>
  <si>
    <t>Side projection</t>
  </si>
  <si>
    <t>Carridor two sides</t>
  </si>
  <si>
    <t>Front and back side</t>
  </si>
  <si>
    <t>meet</t>
  </si>
  <si>
    <t>Parapet back side</t>
  </si>
  <si>
    <t>At steps below landing</t>
  </si>
  <si>
    <t>Side of wall</t>
  </si>
  <si>
    <t>Wall at front side</t>
  </si>
  <si>
    <t>Two side wall</t>
  </si>
  <si>
    <t>Back wall</t>
  </si>
  <si>
    <t>fRont wall</t>
  </si>
  <si>
    <t>head room</t>
  </si>
  <si>
    <t>Agri aqua room</t>
  </si>
  <si>
    <t>Meeting hall</t>
  </si>
  <si>
    <t>Wall staff room</t>
  </si>
  <si>
    <t>digital room</t>
  </si>
  <si>
    <t>Steps below landing</t>
  </si>
  <si>
    <t>Sides of wall</t>
  </si>
  <si>
    <t>Inside step 1st flight</t>
  </si>
  <si>
    <t>Deduct colum</t>
  </si>
  <si>
    <t>Steps 2nd flight</t>
  </si>
  <si>
    <t>carridor</t>
  </si>
  <si>
    <t>Open area back side</t>
  </si>
  <si>
    <t>Open area front side</t>
  </si>
  <si>
    <t>steps 3rd flight</t>
  </si>
  <si>
    <t>steps 4th flight</t>
  </si>
  <si>
    <t>At steps</t>
  </si>
  <si>
    <t>Supplying and fixing of  Door of size 1.20X2.10M with single panels of frames made with Sal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</si>
  <si>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t>For wall staff room</t>
  </si>
  <si>
    <t>meeting hall</t>
  </si>
  <si>
    <t>Qty.p.43 of M.B.No.1186/A/ZP/20</t>
  </si>
  <si>
    <t>For sunshades</t>
  </si>
  <si>
    <t>Back wall of front wall</t>
  </si>
  <si>
    <t>ACT0564</t>
  </si>
  <si>
    <t>ACT0571</t>
  </si>
  <si>
    <t>ACT0572</t>
  </si>
  <si>
    <t>ACT0054</t>
  </si>
  <si>
    <t>APSPDCL ELECTRICAL CHARGES</t>
  </si>
  <si>
    <t>Drilling  borewell</t>
  </si>
  <si>
    <t>1.50 sqm  copper cable</t>
  </si>
  <si>
    <t>32mm dia CPVC pipes</t>
  </si>
  <si>
    <t>Slab 150mm</t>
  </si>
  <si>
    <t xml:space="preserve">Plaster'ing 20mm </t>
  </si>
  <si>
    <t xml:space="preserve">Provision towards QC Charges at 0.5% </t>
  </si>
  <si>
    <t>Provision for Seigniorage charges</t>
  </si>
  <si>
    <t>Provision towards unforeseen items of work</t>
  </si>
  <si>
    <t>Unit Price</t>
  </si>
  <si>
    <t>As per M.Book</t>
  </si>
  <si>
    <t>COMPLETION REPORT</t>
  </si>
  <si>
    <t>Cement Primer Interior Grade  BMT-J.01</t>
  </si>
  <si>
    <t>Cement Primer external Grade  BMT-J.02</t>
  </si>
  <si>
    <t>acrylic Emulsion paint  BMT-J.24</t>
  </si>
  <si>
    <t>acrylic Emulsion paint  BMT-J.34</t>
  </si>
  <si>
    <t>0.45= 275.00 : 0.90 = ?</t>
  </si>
  <si>
    <t>?=0.90 x 275.00 / 0.45</t>
  </si>
  <si>
    <t>?=550.00</t>
  </si>
  <si>
    <t>0.45= 303.00 : 1.20 = ?</t>
  </si>
  <si>
    <t>?=1.20 x 303.00 / 0.45</t>
  </si>
  <si>
    <t>?=808.00</t>
  </si>
  <si>
    <t>0.45= 303.00 : 0.90 = ?</t>
  </si>
  <si>
    <t>?=0.90 x 303.00 / 0.45</t>
  </si>
  <si>
    <t>?=606.00</t>
  </si>
  <si>
    <t>0.45= 275.00 : 1.20 = ?</t>
  </si>
  <si>
    <t>?=733.33</t>
  </si>
  <si>
    <t>?=1.20 x 275.00 / 0.45</t>
  </si>
  <si>
    <t>Helper Electrician</t>
  </si>
  <si>
    <t>heleer Electrician</t>
  </si>
  <si>
    <t>Helerb Electrician</t>
  </si>
  <si>
    <t>28.60mm ODPipe - SDR 13.5 BMW-I.222</t>
  </si>
  <si>
    <t>Other items like door, windows, Grills, Sanitation and Electrification</t>
  </si>
  <si>
    <t>BMT-D.23</t>
  </si>
  <si>
    <t>ELEC-1.1.3.a</t>
  </si>
  <si>
    <t>25mm dia 1,2,3 &amp; 4 way  Junction Box</t>
  </si>
  <si>
    <t>ELEC-1.1.3 a</t>
  </si>
  <si>
    <t>ELEC-1.1.3a</t>
  </si>
  <si>
    <t>pressed clay flooring tiles</t>
  </si>
  <si>
    <t>Cement Primer external Grade BMT-J.02</t>
  </si>
  <si>
    <t>acrylic Emulsion paint  BMT-J.28</t>
  </si>
  <si>
    <t>Cement Difference to be recovered</t>
  </si>
  <si>
    <t>Initial cost  MAT- 07334</t>
  </si>
  <si>
    <t xml:space="preserve">Initial cost  MAT- 00260 </t>
  </si>
  <si>
    <t xml:space="preserve">Initial cost  </t>
  </si>
  <si>
    <t>Initial cost BMW-F.09</t>
  </si>
  <si>
    <t xml:space="preserve">Roof tiles  BMT-D.23
</t>
  </si>
  <si>
    <t>Roof tiles   BMT-D.23</t>
  </si>
  <si>
    <r>
      <t xml:space="preserve">Engaging Unskilled Labour for </t>
    </r>
    <r>
      <rPr>
        <b/>
        <sz val="10"/>
        <rFont val="Calibri"/>
        <family val="2"/>
        <scheme val="minor"/>
      </rPr>
      <t xml:space="preserve">Earth work </t>
    </r>
    <r>
      <rPr>
        <sz val="10"/>
        <rFont val="Calibri"/>
        <family val="2"/>
        <scheme val="minor"/>
      </rPr>
      <t>excavation &amp; depositing on bank with an initial lead &amp; initial lift in Loamy, Clayey soils like BC Soils, Red Earth &amp; Chodu Soils</t>
    </r>
  </si>
  <si>
    <r>
      <rPr>
        <b/>
        <sz val="10"/>
        <rFont val="Calibri"/>
        <family val="2"/>
        <scheme val="minor"/>
      </rPr>
      <t>Plain Cement Concrete (1:4:8)</t>
    </r>
    <r>
      <rPr>
        <sz val="10"/>
        <rFont val="Calibri"/>
        <family val="2"/>
        <scheme val="minor"/>
      </rPr>
      <t xml:space="preserve"> proportion Nominal mix for foundations using 40mm size SS-5 metal including c/c of all materials &amp; labour charges, machine mixing &amp; laying concrete in foundation</t>
    </r>
  </si>
  <si>
    <r>
      <t>Filling Basement with</t>
    </r>
    <r>
      <rPr>
        <b/>
        <sz val="10"/>
        <rFont val="Calibri"/>
        <family val="2"/>
        <scheme val="minor"/>
      </rPr>
      <t xml:space="preserve"> Selected earth</t>
    </r>
    <r>
      <rPr>
        <sz val="10"/>
        <rFont val="Calibri"/>
        <family val="2"/>
        <scheme val="minor"/>
      </rPr>
      <t xml:space="preserve"> by watering and ramming including all operational, incidental and including c/c of material and labour charges etc complete for finished item of the work (APSS No 309&amp; 310) per 1 Cum</t>
    </r>
  </si>
  <si>
    <r>
      <rPr>
        <b/>
        <sz val="10"/>
        <rFont val="Calibri"/>
        <family val="2"/>
        <scheme val="minor"/>
      </rPr>
      <t>Filling with Sand</t>
    </r>
    <r>
      <rPr>
        <sz val="10"/>
        <rFont val="Calibri"/>
        <family val="2"/>
        <scheme val="minor"/>
      </rPr>
      <t xml:space="preserve"> in trenches, sides of foundations &amp; basement by watering and ramming including all operational, incidental, labour charges, hire charges of T&amp;P etc complete including cost and conveyance of material and labour charges etc complete for finished item of the work</t>
    </r>
  </si>
  <si>
    <r>
      <t xml:space="preserve">Spreading of </t>
    </r>
    <r>
      <rPr>
        <b/>
        <sz val="10"/>
        <rFont val="Calibri"/>
        <family val="2"/>
        <scheme val="minor"/>
      </rPr>
      <t>sand filling</t>
    </r>
  </si>
  <si>
    <r>
      <t xml:space="preserve">Filling in foundation with </t>
    </r>
    <r>
      <rPr>
        <b/>
        <sz val="10"/>
        <rFont val="Calibri"/>
        <family val="2"/>
        <scheme val="minor"/>
      </rPr>
      <t>excavated soil</t>
    </r>
    <r>
      <rPr>
        <sz val="10"/>
        <rFont val="Calibri"/>
        <family val="2"/>
        <scheme val="minor"/>
      </rPr>
      <t xml:space="preserve"> as per drawing and technical specification Clause 305.3.9 MORD &amp; 304 MORTH.</t>
    </r>
  </si>
  <si>
    <r>
      <t xml:space="preserve">RCC  M25 Nominal mix (Cement: Sand: Metal)  using 20mm size graded material including cost and conveyance of all material and labour charges etc., complete </t>
    </r>
    <r>
      <rPr>
        <b/>
        <sz val="10"/>
        <rFont val="Calibri"/>
        <family val="2"/>
        <scheme val="minor"/>
      </rPr>
      <t>for column footings</t>
    </r>
  </si>
  <si>
    <r>
      <t xml:space="preserve">RCC  M25 Nominal mix (Cement: Sand: Metal)  using 20mm size graded material including cost and conveyance of all material and labour charges etc., complete </t>
    </r>
    <r>
      <rPr>
        <b/>
        <sz val="10"/>
        <rFont val="Calibri"/>
        <family val="2"/>
        <scheme val="minor"/>
      </rPr>
      <t>for Pedastal</t>
    </r>
  </si>
  <si>
    <r>
      <t xml:space="preserve">RCC  M25 Nominal mix (Cement: Sand: Metal)  using 20mm size graded material including cost and conveyance of all material and labour charges etc., complete </t>
    </r>
    <r>
      <rPr>
        <b/>
        <sz val="10"/>
        <rFont val="Calibri"/>
        <family val="2"/>
        <scheme val="minor"/>
      </rPr>
      <t>for Columns</t>
    </r>
  </si>
  <si>
    <r>
      <t>RCC  M25 Nominal mix (Cement: Sand: Metal)  using 20mm size graded material including cost and conveyance of all material and labour charges etc., complete</t>
    </r>
    <r>
      <rPr>
        <b/>
        <sz val="10"/>
        <rFont val="Calibri"/>
        <family val="2"/>
        <scheme val="minor"/>
      </rPr>
      <t xml:space="preserve"> for Plinth beam</t>
    </r>
  </si>
  <si>
    <r>
      <t xml:space="preserve">RCC  M25 Nominal mix (Cement: Sand: Metal)  using 20mm size graded material including cost and conveyance of all material and labour charges etc., complete </t>
    </r>
    <r>
      <rPr>
        <b/>
        <sz val="10"/>
        <rFont val="Calibri"/>
        <family val="2"/>
        <scheme val="minor"/>
      </rPr>
      <t>for Roof beam</t>
    </r>
  </si>
  <si>
    <r>
      <t xml:space="preserve">RCC  M25 Nominal mix (Cement: Sand: Metal)  using 20mm size graded material including cost and conveyance of all material and labour charges etc., complete </t>
    </r>
    <r>
      <rPr>
        <b/>
        <sz val="10"/>
        <rFont val="Calibri"/>
        <family val="2"/>
        <scheme val="minor"/>
      </rPr>
      <t>for Roof slab 125mm</t>
    </r>
  </si>
  <si>
    <r>
      <t xml:space="preserve">RCC  M25 Nominal mix (Cement: Sand: Metal)  using 20mm size graded material including cost and conveyance of all material and labour charges etc., complete </t>
    </r>
    <r>
      <rPr>
        <b/>
        <sz val="10"/>
        <rFont val="Calibri"/>
        <family val="2"/>
        <scheme val="minor"/>
      </rPr>
      <t>for Roof slab 150mm</t>
    </r>
  </si>
  <si>
    <r>
      <t>RCC  M25 Nominal mix (Cement: Sand: Metal)  using 20mm size graded material including cost and conveyance of all material and labour charges etc., complete</t>
    </r>
    <r>
      <rPr>
        <b/>
        <sz val="10"/>
        <rFont val="Calibri"/>
        <family val="2"/>
        <scheme val="minor"/>
      </rPr>
      <t xml:space="preserve"> for Lintels</t>
    </r>
  </si>
  <si>
    <r>
      <t xml:space="preserve">RCC  M25 Nominal mix (Cement: Sand: Metal)  using 20mm size graded material including cost and conveyance of all material and labour charges etc., complete </t>
    </r>
    <r>
      <rPr>
        <b/>
        <sz val="10"/>
        <rFont val="Calibri"/>
        <family val="2"/>
        <scheme val="minor"/>
      </rPr>
      <t>for Sunshade</t>
    </r>
  </si>
  <si>
    <r>
      <t>PCC  M25 Nominal mix (Cement: Sand: Metal)  using 20mm size graded material including cost and conveyance of all material and labour charges etc., complete</t>
    </r>
    <r>
      <rPr>
        <b/>
        <sz val="10"/>
        <rFont val="Calibri"/>
        <family val="2"/>
        <scheme val="minor"/>
      </rPr>
      <t xml:space="preserve"> for Steps</t>
    </r>
  </si>
  <si>
    <r>
      <rPr>
        <b/>
        <sz val="10"/>
        <rFont val="Calibri"/>
        <family val="2"/>
        <scheme val="minor"/>
      </rPr>
      <t>Brick Masonary</t>
    </r>
    <r>
      <rPr>
        <sz val="10"/>
        <rFont val="Calibri"/>
        <family val="2"/>
        <scheme val="minor"/>
      </rPr>
      <t xml:space="preserve"> for Superstructure with </t>
    </r>
    <r>
      <rPr>
        <b/>
        <sz val="10"/>
        <rFont val="Calibri"/>
        <family val="2"/>
        <scheme val="minor"/>
      </rPr>
      <t>CM (1:8</t>
    </r>
    <r>
      <rPr>
        <sz val="10"/>
        <rFont val="Calibri"/>
        <family val="2"/>
        <scheme val="minor"/>
      </rPr>
      <t>) proportion using 2nd class traditional bricks including c/c of all materials like Cement, Sand, Bricks, water etc including  labour charges etc. complete</t>
    </r>
  </si>
  <si>
    <r>
      <rPr>
        <b/>
        <sz val="10"/>
        <rFont val="Calibri"/>
        <family val="2"/>
        <scheme val="minor"/>
      </rPr>
      <t xml:space="preserve">Brick Masonary </t>
    </r>
    <r>
      <rPr>
        <sz val="10"/>
        <rFont val="Calibri"/>
        <family val="2"/>
        <scheme val="minor"/>
      </rPr>
      <t>for Superstructure with</t>
    </r>
    <r>
      <rPr>
        <b/>
        <sz val="10"/>
        <rFont val="Calibri"/>
        <family val="2"/>
        <scheme val="minor"/>
      </rPr>
      <t xml:space="preserve"> CM (1:6) </t>
    </r>
    <r>
      <rPr>
        <sz val="10"/>
        <rFont val="Calibri"/>
        <family val="2"/>
        <scheme val="minor"/>
      </rPr>
      <t>proportion using 2nd class traditional bricks including c/c of all materials like Cement, Sand, Bricks, water etc including  labour charges etc. complete</t>
    </r>
  </si>
  <si>
    <r>
      <rPr>
        <b/>
        <sz val="10"/>
        <rFont val="Calibri"/>
        <family val="2"/>
        <scheme val="minor"/>
      </rPr>
      <t>Reinforced Brick Masonry</t>
    </r>
    <r>
      <rPr>
        <sz val="10"/>
        <rFont val="Calibri"/>
        <family val="2"/>
        <scheme val="minor"/>
      </rPr>
      <t xml:space="preserve"> for partition walls (11.0 cm thick) in </t>
    </r>
    <r>
      <rPr>
        <b/>
        <sz val="10"/>
        <rFont val="Calibri"/>
        <family val="2"/>
        <scheme val="minor"/>
      </rPr>
      <t>CM (1:6)</t>
    </r>
    <r>
      <rPr>
        <sz val="10"/>
        <rFont val="Calibri"/>
        <family val="2"/>
        <scheme val="minor"/>
      </rPr>
      <t xml:space="preserve"> prop. (Cement : Sand) using common burnt clay bricks including cost and conveyance of all materials etc., complete</t>
    </r>
  </si>
  <si>
    <r>
      <rPr>
        <b/>
        <sz val="10"/>
        <rFont val="Calibri"/>
        <family val="2"/>
        <scheme val="minor"/>
      </rPr>
      <t>Ceiling Plastering to Ceiling in CM (1:3)</t>
    </r>
    <r>
      <rPr>
        <sz val="10"/>
        <rFont val="Calibri"/>
        <family val="2"/>
        <scheme val="minor"/>
      </rPr>
      <t xml:space="preserve"> 12mm thick with dubara sponge finishing  including c/c of all materials including labour charges such as mixing cement mortar and curing etc complete for finished item of work (APSS 901 &amp; 903) </t>
    </r>
  </si>
  <si>
    <r>
      <rPr>
        <b/>
        <sz val="10"/>
        <rFont val="Calibri"/>
        <family val="2"/>
        <scheme val="minor"/>
      </rPr>
      <t xml:space="preserve">Plastering in CM (1:5) 20mm thick </t>
    </r>
    <r>
      <rPr>
        <sz val="10"/>
        <rFont val="Calibri"/>
        <family val="2"/>
        <scheme val="minor"/>
      </rPr>
      <t xml:space="preserve"> single coat including c/c of all materials including all operational, incidental and labour charges such as mixing cement mortar and curing etc complete for finished item of work (APSS 901,  903 &amp; 904)  </t>
    </r>
  </si>
  <si>
    <r>
      <rPr>
        <b/>
        <sz val="10"/>
        <rFont val="Calibri"/>
        <family val="2"/>
        <scheme val="minor"/>
      </rPr>
      <t>Plastering to brick masonary</t>
    </r>
    <r>
      <rPr>
        <sz val="10"/>
        <rFont val="Calibri"/>
        <family val="2"/>
        <scheme val="minor"/>
      </rPr>
      <t xml:space="preserve"> wall with  </t>
    </r>
    <r>
      <rPr>
        <b/>
        <sz val="10"/>
        <rFont val="Calibri"/>
        <family val="2"/>
        <scheme val="minor"/>
      </rPr>
      <t>12mm</t>
    </r>
    <r>
      <rPr>
        <sz val="10"/>
        <rFont val="Calibri"/>
        <family val="2"/>
        <scheme val="minor"/>
      </rPr>
      <t xml:space="preserve"> thick double coat in CM (1:5) 8 mm thick base coat and CM (1:3) of 4mm thick top coat with dubara sponge finish  etc., complete</t>
    </r>
  </si>
  <si>
    <r>
      <rPr>
        <b/>
        <sz val="10"/>
        <rFont val="Calibri"/>
        <family val="2"/>
        <scheme val="minor"/>
      </rPr>
      <t>Plastering to brick masonary</t>
    </r>
    <r>
      <rPr>
        <sz val="10"/>
        <rFont val="Calibri"/>
        <family val="2"/>
        <scheme val="minor"/>
      </rPr>
      <t xml:space="preserve"> wall with  </t>
    </r>
    <r>
      <rPr>
        <b/>
        <sz val="10"/>
        <rFont val="Calibri"/>
        <family val="2"/>
        <scheme val="minor"/>
      </rPr>
      <t>20mm</t>
    </r>
    <r>
      <rPr>
        <sz val="10"/>
        <rFont val="Calibri"/>
        <family val="2"/>
        <scheme val="minor"/>
      </rPr>
      <t xml:space="preserve"> thick double coat in CM (1:6) 16 mm thick base coat and CM (1:4) of 4mm thick top coat with dubara sponge finish  etc., complete</t>
    </r>
  </si>
  <si>
    <r>
      <rPr>
        <b/>
        <sz val="10"/>
        <rFont val="Calibri"/>
        <family val="2"/>
        <scheme val="minor"/>
      </rPr>
      <t>Flooring</t>
    </r>
    <r>
      <rPr>
        <sz val="10"/>
        <rFont val="Calibri"/>
        <family val="2"/>
        <scheme val="minor"/>
      </rPr>
      <t xml:space="preserve"> with Porcelain </t>
    </r>
    <r>
      <rPr>
        <b/>
        <sz val="10"/>
        <rFont val="Calibri"/>
        <family val="2"/>
        <scheme val="minor"/>
      </rPr>
      <t xml:space="preserve">Vitrified tiles stain free </t>
    </r>
    <r>
      <rPr>
        <sz val="10"/>
        <rFont val="Calibri"/>
        <family val="2"/>
        <scheme val="minor"/>
      </rPr>
      <t xml:space="preserve">double charged  including c/c of all materials like Cement, Sand and Water and tiles etc complete including labour charges etc complete for finished item of work </t>
    </r>
  </si>
  <si>
    <r>
      <t xml:space="preserve">Providing </t>
    </r>
    <r>
      <rPr>
        <b/>
        <sz val="10"/>
        <rFont val="Calibri"/>
        <family val="2"/>
        <scheme val="minor"/>
      </rPr>
      <t>Skirting</t>
    </r>
    <r>
      <rPr>
        <sz val="10"/>
        <rFont val="Calibri"/>
        <family val="2"/>
        <scheme val="minor"/>
      </rPr>
      <t xml:space="preserve"> to internal walls to 15cm height / risers of steps with </t>
    </r>
    <r>
      <rPr>
        <b/>
        <sz val="10"/>
        <rFont val="Calibri"/>
        <family val="2"/>
        <scheme val="minor"/>
      </rPr>
      <t xml:space="preserve">Porcelain Vitrified tiles </t>
    </r>
    <r>
      <rPr>
        <sz val="10"/>
        <rFont val="Calibri"/>
        <family val="2"/>
        <scheme val="minor"/>
      </rPr>
      <t xml:space="preserve">including c/c of materials like Cement, Sand and Water and tiles etc complete for finished item of work </t>
    </r>
  </si>
  <si>
    <r>
      <rPr>
        <b/>
        <sz val="10"/>
        <rFont val="Calibri"/>
        <family val="2"/>
        <scheme val="minor"/>
      </rPr>
      <t>Flooring</t>
    </r>
    <r>
      <rPr>
        <sz val="10"/>
        <rFont val="Calibri"/>
        <family val="2"/>
        <scheme val="minor"/>
      </rPr>
      <t xml:space="preserve"> with high </t>
    </r>
    <r>
      <rPr>
        <b/>
        <sz val="10"/>
        <rFont val="Calibri"/>
        <family val="2"/>
        <scheme val="minor"/>
      </rPr>
      <t>polished granite 16 to 18 mm</t>
    </r>
    <r>
      <rPr>
        <sz val="10"/>
        <rFont val="Calibri"/>
        <family val="2"/>
        <scheme val="minor"/>
      </rPr>
      <t xml:space="preserve">  thick slabs other than black set over base coat of cement mortar (1:8) including labour charges for dressing of tilesetc., complete for finished item of work,</t>
    </r>
  </si>
  <si>
    <r>
      <t xml:space="preserve">Providing </t>
    </r>
    <r>
      <rPr>
        <b/>
        <sz val="10"/>
        <rFont val="Calibri"/>
        <family val="2"/>
        <scheme val="minor"/>
      </rPr>
      <t>skirting</t>
    </r>
    <r>
      <rPr>
        <sz val="10"/>
        <rFont val="Calibri"/>
        <family val="2"/>
        <scheme val="minor"/>
      </rPr>
      <t xml:space="preserve"> to internal walls to 15 cm height/risers of steps with 16-18 mm thick </t>
    </r>
    <r>
      <rPr>
        <b/>
        <sz val="10"/>
        <rFont val="Calibri"/>
        <family val="2"/>
        <scheme val="minor"/>
      </rPr>
      <t xml:space="preserve"> polished granite stone </t>
    </r>
    <r>
      <rPr>
        <sz val="10"/>
        <rFont val="Calibri"/>
        <family val="2"/>
        <scheme val="minor"/>
      </rPr>
      <t>length equal to flooring stones,including cost of all materials like tiles, cement, sand and water etc., complete</t>
    </r>
  </si>
  <si>
    <r>
      <rPr>
        <b/>
        <sz val="10"/>
        <rFont val="Calibri"/>
        <family val="2"/>
        <scheme val="minor"/>
      </rPr>
      <t>Gronolithie Concrete Flooring 20 mm</t>
    </r>
    <r>
      <rPr>
        <sz val="10"/>
        <rFont val="Calibri"/>
        <family val="2"/>
        <scheme val="minor"/>
      </rPr>
      <t xml:space="preserve"> thick with (1:1:2), using 6mm to 12 mm size hard granite machine  including cost of all materials like cement, metal, sand and water etc., complete</t>
    </r>
  </si>
  <si>
    <r>
      <t xml:space="preserve">Providing and applying </t>
    </r>
    <r>
      <rPr>
        <b/>
        <sz val="10"/>
        <rFont val="Calibri"/>
        <family val="2"/>
        <scheme val="minor"/>
      </rPr>
      <t>Wall putty</t>
    </r>
    <r>
      <rPr>
        <sz val="10"/>
        <rFont val="Calibri"/>
        <family val="2"/>
        <scheme val="minor"/>
      </rPr>
      <t xml:space="preserve"> of White Cement or Polymer or Cement based of average 1 to 2 mm thickness  including all labour charges etc., complete</t>
    </r>
  </si>
  <si>
    <r>
      <t xml:space="preserve">Painting to new walls with 2 coats of acrylic </t>
    </r>
    <r>
      <rPr>
        <b/>
        <sz val="10"/>
        <rFont val="Calibri"/>
        <family val="2"/>
        <scheme val="minor"/>
      </rPr>
      <t>Emulsion</t>
    </r>
    <r>
      <rPr>
        <sz val="10"/>
        <rFont val="Calibri"/>
        <family val="2"/>
        <scheme val="minor"/>
      </rPr>
      <t xml:space="preserve"> paint Asian or equivalent and shade over Priming coat including all labour charges etc., complete </t>
    </r>
    <r>
      <rPr>
        <b/>
        <sz val="10"/>
        <rFont val="Calibri"/>
        <family val="2"/>
        <scheme val="minor"/>
      </rPr>
      <t>for internal wall</t>
    </r>
  </si>
  <si>
    <r>
      <t xml:space="preserve">Painting to new walls with 2 coats of acrylic </t>
    </r>
    <r>
      <rPr>
        <b/>
        <sz val="10"/>
        <rFont val="Calibri"/>
        <family val="2"/>
        <scheme val="minor"/>
      </rPr>
      <t>Emulsion</t>
    </r>
    <r>
      <rPr>
        <sz val="10"/>
        <rFont val="Calibri"/>
        <family val="2"/>
        <scheme val="minor"/>
      </rPr>
      <t xml:space="preserve"> paint Asian or equivalent and shade over Priming coat including all labour charges etc., complete </t>
    </r>
    <r>
      <rPr>
        <b/>
        <sz val="10"/>
        <rFont val="Calibri"/>
        <family val="2"/>
        <scheme val="minor"/>
      </rPr>
      <t>for external wall</t>
    </r>
  </si>
  <si>
    <r>
      <t xml:space="preserve">Supply &amp; fixing of </t>
    </r>
    <r>
      <rPr>
        <b/>
        <sz val="10"/>
        <rFont val="Calibri"/>
        <family val="2"/>
        <scheme val="minor"/>
      </rPr>
      <t xml:space="preserve">Rolling shutter </t>
    </r>
    <r>
      <rPr>
        <sz val="10"/>
        <rFont val="Calibri"/>
        <family val="2"/>
        <scheme val="minor"/>
      </rPr>
      <t>made of 80 x 1.25 mm machine rolled CRCA laths, interlocked together through their entire length and jointed together at the ends by endlocks</t>
    </r>
  </si>
  <si>
    <r>
      <t xml:space="preserve">Painting New Wood / iron work with Two coats of ready mixed </t>
    </r>
    <r>
      <rPr>
        <b/>
        <sz val="10"/>
        <rFont val="Calibri"/>
        <family val="2"/>
        <scheme val="minor"/>
      </rPr>
      <t xml:space="preserve">Synthatic Enamil paint </t>
    </r>
    <r>
      <rPr>
        <sz val="10"/>
        <rFont val="Calibri"/>
        <family val="2"/>
        <scheme val="minor"/>
      </rPr>
      <t xml:space="preserve"> including all labour charges etc., complete</t>
    </r>
  </si>
  <si>
    <r>
      <t xml:space="preserve">Supplying, fitting &amp; placing </t>
    </r>
    <r>
      <rPr>
        <b/>
        <sz val="10"/>
        <rFont val="Calibri"/>
        <family val="2"/>
        <scheme val="minor"/>
      </rPr>
      <t>HYSD fe-500</t>
    </r>
    <r>
      <rPr>
        <sz val="10"/>
        <rFont val="Calibri"/>
        <family val="2"/>
        <scheme val="minor"/>
      </rPr>
      <t xml:space="preserve"> bar reinforcement in foundation complete including labour charges for cutting, bending  etc., complete</t>
    </r>
  </si>
  <si>
    <r>
      <t xml:space="preserve">Supplying  &amp; fixing of Iron Doors and </t>
    </r>
    <r>
      <rPr>
        <b/>
        <sz val="10"/>
        <rFont val="Calibri"/>
        <family val="2"/>
        <scheme val="minor"/>
      </rPr>
      <t xml:space="preserve">Windows Grills </t>
    </r>
    <r>
      <rPr>
        <sz val="10"/>
        <rFont val="Calibri"/>
        <family val="2"/>
        <scheme val="minor"/>
      </rPr>
      <t>including labour charges for fabricating steel including cost of welding rods, power charges &amp; fixing the grill in position etc complete</t>
    </r>
  </si>
  <si>
    <r>
      <t xml:space="preserve">Providing </t>
    </r>
    <r>
      <rPr>
        <b/>
        <sz val="10"/>
        <rFont val="Calibri"/>
        <family val="2"/>
        <scheme val="minor"/>
      </rPr>
      <t>impervious</t>
    </r>
    <r>
      <rPr>
        <sz val="10"/>
        <rFont val="Calibri"/>
        <family val="2"/>
        <scheme val="minor"/>
      </rPr>
      <t xml:space="preserve"> coat to exposed RCC Roof Slab surface with CM (1:3) </t>
    </r>
    <r>
      <rPr>
        <b/>
        <sz val="10"/>
        <rFont val="Calibri"/>
        <family val="2"/>
        <scheme val="minor"/>
      </rPr>
      <t xml:space="preserve">20mm </t>
    </r>
    <r>
      <rPr>
        <sz val="10"/>
        <rFont val="Calibri"/>
        <family val="2"/>
        <scheme val="minor"/>
      </rPr>
      <t>thick including cost and conveyance of all material and labour charges etc., complete</t>
    </r>
  </si>
  <si>
    <r>
      <t xml:space="preserve">Flooring with </t>
    </r>
    <r>
      <rPr>
        <b/>
        <sz val="10"/>
        <rFont val="Calibri"/>
        <family val="2"/>
        <scheme val="minor"/>
      </rPr>
      <t>Ceramic</t>
    </r>
    <r>
      <rPr>
        <sz val="10"/>
        <rFont val="Calibri"/>
        <family val="2"/>
        <scheme val="minor"/>
      </rPr>
      <t xml:space="preserve"> non skid tiles of not less than 7-8mm thick 1st quality laid over floor bed  including cost and conveyance of all material and labour charges etc complete</t>
    </r>
  </si>
  <si>
    <r>
      <t xml:space="preserve">Providing </t>
    </r>
    <r>
      <rPr>
        <b/>
        <sz val="10"/>
        <rFont val="Calibri"/>
        <family val="2"/>
        <scheme val="minor"/>
      </rPr>
      <t>Daddooing</t>
    </r>
    <r>
      <rPr>
        <sz val="10"/>
        <rFont val="Calibri"/>
        <family val="2"/>
        <scheme val="minor"/>
      </rPr>
      <t xml:space="preserve"> to walls with 5 to 7mm thick Glazed </t>
    </r>
    <r>
      <rPr>
        <b/>
        <sz val="10"/>
        <rFont val="Calibri"/>
        <family val="2"/>
        <scheme val="minor"/>
      </rPr>
      <t>Ceramic</t>
    </r>
    <r>
      <rPr>
        <sz val="10"/>
        <rFont val="Calibri"/>
        <family val="2"/>
        <scheme val="minor"/>
      </rPr>
      <t xml:space="preserve"> wall tiles of 1st quality of 6mm thick set over base coat of CM (1:3) 12mm thick including cost and conveyance of all material and labour charges etc complete </t>
    </r>
  </si>
  <si>
    <r>
      <t xml:space="preserve">RCC  M25 Nominal mix (Cement: Sand: Metal)  using 20mm size graded material including cost and conveyance of all material and labour charges etc., complete </t>
    </r>
    <r>
      <rPr>
        <b/>
        <sz val="10"/>
        <rFont val="Calibri"/>
        <family val="2"/>
        <scheme val="minor"/>
      </rPr>
      <t>for Roof slab 100mm</t>
    </r>
  </si>
  <si>
    <r>
      <t xml:space="preserve">S&amp;F  Door  of size </t>
    </r>
    <r>
      <rPr>
        <b/>
        <sz val="10"/>
        <rFont val="Calibri"/>
        <family val="2"/>
        <scheme val="minor"/>
      </rPr>
      <t>1.20 x 2.10mt</t>
    </r>
    <r>
      <rPr>
        <sz val="10"/>
        <rFont val="Calibri"/>
        <family val="2"/>
        <scheme val="minor"/>
      </rPr>
      <t xml:space="preserve">   including c/c of all materials and furniture fittings etc complete as per specification  (APSS No 1001 &amp; 1002) Door Frame with Shutters</t>
    </r>
  </si>
  <si>
    <r>
      <t xml:space="preserve">S&amp;F  Door  of size </t>
    </r>
    <r>
      <rPr>
        <b/>
        <sz val="10"/>
        <rFont val="Calibri"/>
        <family val="2"/>
        <scheme val="minor"/>
      </rPr>
      <t>1.05 x 2.10mt</t>
    </r>
    <r>
      <rPr>
        <sz val="10"/>
        <rFont val="Calibri"/>
        <family val="2"/>
        <scheme val="minor"/>
      </rPr>
      <t xml:space="preserve">   including c/c of all materials and furniture fittings etc complete as per specification  (APSS No 1001 &amp; 1002) Door Frame with Shutters</t>
    </r>
  </si>
  <si>
    <r>
      <t xml:space="preserve">S&amp;F of </t>
    </r>
    <r>
      <rPr>
        <b/>
        <sz val="10"/>
        <rFont val="Calibri"/>
        <family val="2"/>
        <scheme val="minor"/>
      </rPr>
      <t>WPC door frame</t>
    </r>
    <r>
      <rPr>
        <sz val="10"/>
        <rFont val="Calibri"/>
        <family val="2"/>
        <scheme val="minor"/>
      </rPr>
      <t xml:space="preserve"> including c/c of all materials and furniture fittings etc complete as per specification  (APSS No 1001 &amp; 1002) </t>
    </r>
  </si>
  <si>
    <r>
      <t>S&amp;F o</t>
    </r>
    <r>
      <rPr>
        <b/>
        <sz val="10"/>
        <rFont val="Calibri"/>
        <family val="2"/>
        <scheme val="minor"/>
      </rPr>
      <t xml:space="preserve">f 30mm thick Solid panel PVC door </t>
    </r>
    <r>
      <rPr>
        <sz val="10"/>
        <rFont val="Calibri"/>
        <family val="2"/>
        <scheme val="minor"/>
      </rPr>
      <t xml:space="preserve">including c/c of all materials and furniture fittings etc complete as per specification  (APSS No 1001 &amp; 1002) </t>
    </r>
  </si>
  <si>
    <r>
      <t xml:space="preserve">Providing and fixing factory made </t>
    </r>
    <r>
      <rPr>
        <b/>
        <sz val="10"/>
        <rFont val="Calibri"/>
        <family val="2"/>
        <scheme val="minor"/>
      </rPr>
      <t>uPVC</t>
    </r>
    <r>
      <rPr>
        <sz val="10"/>
        <rFont val="Calibri"/>
        <family val="2"/>
        <scheme val="minor"/>
      </rPr>
      <t xml:space="preserve"> white colour sliding glazed </t>
    </r>
    <r>
      <rPr>
        <b/>
        <sz val="10"/>
        <rFont val="Calibri"/>
        <family val="2"/>
        <scheme val="minor"/>
      </rPr>
      <t>window</t>
    </r>
    <r>
      <rPr>
        <sz val="10"/>
        <rFont val="Calibri"/>
        <family val="2"/>
        <scheme val="minor"/>
      </rPr>
      <t xml:space="preserve"> including cost and labour charges etc., complete</t>
    </r>
  </si>
  <si>
    <r>
      <t>Supplying  &amp; fixing of Iron Doors and</t>
    </r>
    <r>
      <rPr>
        <b/>
        <sz val="10"/>
        <rFont val="Calibri"/>
        <family val="2"/>
        <scheme val="minor"/>
      </rPr>
      <t xml:space="preserve"> Windows Grills </t>
    </r>
    <r>
      <rPr>
        <sz val="10"/>
        <rFont val="Calibri"/>
        <family val="2"/>
        <scheme val="minor"/>
      </rPr>
      <t>including labour charges for fabricating steel including cost of welding rods, power charges &amp; fixing the grill in position etc complete</t>
    </r>
  </si>
  <si>
    <r>
      <t xml:space="preserve">Supplying and fixing of </t>
    </r>
    <r>
      <rPr>
        <b/>
        <sz val="10"/>
        <rFont val="Calibri"/>
        <family val="2"/>
        <scheme val="minor"/>
      </rPr>
      <t xml:space="preserve">stainless steel </t>
    </r>
    <r>
      <rPr>
        <sz val="10"/>
        <rFont val="Calibri"/>
        <family val="2"/>
        <scheme val="minor"/>
      </rPr>
      <t>(grade 304) hand railing as per approved drawing with top rail of 50mm dia pipe and 2mm thick</t>
    </r>
  </si>
  <si>
    <r>
      <t xml:space="preserve">Supply and Fixing of Premium make </t>
    </r>
    <r>
      <rPr>
        <b/>
        <sz val="10"/>
        <rFont val="Calibri"/>
        <family val="2"/>
        <scheme val="minor"/>
      </rPr>
      <t xml:space="preserve">CPVC Pipes </t>
    </r>
    <r>
      <rPr>
        <sz val="10"/>
        <rFont val="Calibri"/>
        <family val="2"/>
        <scheme val="minor"/>
      </rPr>
      <t xml:space="preserve">and Fittings to meet the requirement of ASTM-D 2846  for </t>
    </r>
    <r>
      <rPr>
        <b/>
        <sz val="10"/>
        <rFont val="Calibri"/>
        <family val="2"/>
        <scheme val="minor"/>
      </rPr>
      <t>32mm dia</t>
    </r>
  </si>
  <si>
    <r>
      <t xml:space="preserve">Supply and Fixing of Premium make </t>
    </r>
    <r>
      <rPr>
        <b/>
        <sz val="10"/>
        <rFont val="Calibri"/>
        <family val="2"/>
        <scheme val="minor"/>
      </rPr>
      <t xml:space="preserve">CPVC Pipes </t>
    </r>
    <r>
      <rPr>
        <sz val="10"/>
        <rFont val="Calibri"/>
        <family val="2"/>
        <scheme val="minor"/>
      </rPr>
      <t xml:space="preserve">and Fittings to meet the requirement of ASTM-D 2846  for </t>
    </r>
    <r>
      <rPr>
        <b/>
        <sz val="10"/>
        <rFont val="Calibri"/>
        <family val="2"/>
        <scheme val="minor"/>
      </rPr>
      <t>25mm dia</t>
    </r>
  </si>
  <si>
    <r>
      <t xml:space="preserve">Supply and Fixing of Premium make </t>
    </r>
    <r>
      <rPr>
        <b/>
        <sz val="10"/>
        <rFont val="Calibri"/>
        <family val="2"/>
        <scheme val="minor"/>
      </rPr>
      <t xml:space="preserve">PVC Pipes </t>
    </r>
    <r>
      <rPr>
        <sz val="10"/>
        <rFont val="Calibri"/>
        <family val="2"/>
        <scheme val="minor"/>
      </rPr>
      <t xml:space="preserve">and Fittings to meet the requirement of ASTM-D 2846  for </t>
    </r>
    <r>
      <rPr>
        <b/>
        <sz val="10"/>
        <rFont val="Calibri"/>
        <family val="2"/>
        <scheme val="minor"/>
      </rPr>
      <t>25mm dia</t>
    </r>
  </si>
  <si>
    <r>
      <t xml:space="preserve">Supply and Fixing of Premium make </t>
    </r>
    <r>
      <rPr>
        <b/>
        <sz val="10"/>
        <rFont val="Calibri"/>
        <family val="2"/>
        <scheme val="minor"/>
      </rPr>
      <t xml:space="preserve">CPVC Pipes </t>
    </r>
    <r>
      <rPr>
        <sz val="10"/>
        <rFont val="Calibri"/>
        <family val="2"/>
        <scheme val="minor"/>
      </rPr>
      <t xml:space="preserve">and Fittings to meet the requirement of ASTM-D 2846  for </t>
    </r>
    <r>
      <rPr>
        <b/>
        <sz val="10"/>
        <rFont val="Calibri"/>
        <family val="2"/>
        <scheme val="minor"/>
      </rPr>
      <t>15mm dia</t>
    </r>
  </si>
  <si>
    <r>
      <rPr>
        <b/>
        <sz val="10"/>
        <rFont val="Calibri"/>
        <family val="2"/>
        <scheme val="minor"/>
      </rPr>
      <t xml:space="preserve">Labour charges </t>
    </r>
    <r>
      <rPr>
        <sz val="10"/>
        <rFont val="Calibri"/>
        <family val="2"/>
        <scheme val="minor"/>
      </rPr>
      <t>for laying, joining, welding, fixing and commissioning the</t>
    </r>
    <r>
      <rPr>
        <b/>
        <sz val="10"/>
        <rFont val="Calibri"/>
        <family val="2"/>
        <scheme val="minor"/>
      </rPr>
      <t xml:space="preserve"> C-PVC pipes &amp; PVC pipes</t>
    </r>
  </si>
  <si>
    <r>
      <t xml:space="preserve">Supply &amp; fixing of tested </t>
    </r>
    <r>
      <rPr>
        <b/>
        <sz val="10"/>
        <rFont val="Calibri"/>
        <family val="2"/>
        <scheme val="minor"/>
      </rPr>
      <t>NP bib taps</t>
    </r>
    <r>
      <rPr>
        <sz val="10"/>
        <rFont val="Calibri"/>
        <family val="2"/>
        <scheme val="minor"/>
      </rPr>
      <t xml:space="preserve"> at all levels of 12.70mm dia of Indian make 400g first quality </t>
    </r>
  </si>
  <si>
    <r>
      <t xml:space="preserve">Prince/ Sudhakar make or equivalent quality </t>
    </r>
    <r>
      <rPr>
        <b/>
        <sz val="10"/>
        <rFont val="Calibri"/>
        <family val="2"/>
        <scheme val="minor"/>
      </rPr>
      <t>PVC</t>
    </r>
    <r>
      <rPr>
        <sz val="10"/>
        <rFont val="Calibri"/>
        <family val="2"/>
        <scheme val="minor"/>
      </rPr>
      <t xml:space="preserve"> /SWR pipes &amp; fittings ( as per ISI standards) 4kg/cm2 </t>
    </r>
    <r>
      <rPr>
        <b/>
        <sz val="10"/>
        <rFont val="Calibri"/>
        <family val="2"/>
        <scheme val="minor"/>
      </rPr>
      <t>110mm</t>
    </r>
    <r>
      <rPr>
        <sz val="10"/>
        <rFont val="Calibri"/>
        <family val="2"/>
        <scheme val="minor"/>
      </rPr>
      <t xml:space="preserve"> dia. double socket </t>
    </r>
  </si>
  <si>
    <r>
      <t xml:space="preserve">Prince/ Sudhakar make or equivalent quality </t>
    </r>
    <r>
      <rPr>
        <b/>
        <sz val="10"/>
        <rFont val="Calibri"/>
        <family val="2"/>
        <scheme val="minor"/>
      </rPr>
      <t>PVC</t>
    </r>
    <r>
      <rPr>
        <sz val="10"/>
        <rFont val="Calibri"/>
        <family val="2"/>
        <scheme val="minor"/>
      </rPr>
      <t xml:space="preserve"> /SWR pipes &amp; fittings ( as per ISI standards) 4kg/cm2 </t>
    </r>
    <r>
      <rPr>
        <b/>
        <sz val="10"/>
        <rFont val="Calibri"/>
        <family val="2"/>
        <scheme val="minor"/>
      </rPr>
      <t>90mm</t>
    </r>
    <r>
      <rPr>
        <sz val="10"/>
        <rFont val="Calibri"/>
        <family val="2"/>
        <scheme val="minor"/>
      </rPr>
      <t xml:space="preserve"> dia. double socket </t>
    </r>
  </si>
  <si>
    <r>
      <t xml:space="preserve">Prince/ Sudhakar make or equivalent quality </t>
    </r>
    <r>
      <rPr>
        <b/>
        <sz val="10"/>
        <rFont val="Calibri"/>
        <family val="2"/>
        <scheme val="minor"/>
      </rPr>
      <t>PVC</t>
    </r>
    <r>
      <rPr>
        <sz val="10"/>
        <rFont val="Calibri"/>
        <family val="2"/>
        <scheme val="minor"/>
      </rPr>
      <t xml:space="preserve"> /SWR pipes &amp; fittings ( as per ISI standards) 4kg/cm2 75</t>
    </r>
    <r>
      <rPr>
        <b/>
        <sz val="10"/>
        <rFont val="Calibri"/>
        <family val="2"/>
        <scheme val="minor"/>
      </rPr>
      <t>mm</t>
    </r>
    <r>
      <rPr>
        <sz val="10"/>
        <rFont val="Calibri"/>
        <family val="2"/>
        <scheme val="minor"/>
      </rPr>
      <t xml:space="preserve"> dia. double socket </t>
    </r>
  </si>
  <si>
    <r>
      <rPr>
        <b/>
        <sz val="10"/>
        <rFont val="Calibri"/>
        <family val="2"/>
        <scheme val="minor"/>
      </rPr>
      <t>Labour</t>
    </r>
    <r>
      <rPr>
        <sz val="10"/>
        <rFont val="Calibri"/>
        <family val="2"/>
        <scheme val="minor"/>
      </rPr>
      <t xml:space="preserve"> charges for laying, fixing and commissioning the </t>
    </r>
    <r>
      <rPr>
        <b/>
        <sz val="10"/>
        <rFont val="Calibri"/>
        <family val="2"/>
        <scheme val="minor"/>
      </rPr>
      <t>PVC pipes</t>
    </r>
  </si>
  <si>
    <r>
      <t xml:space="preserve">Supplying and Fixing </t>
    </r>
    <r>
      <rPr>
        <b/>
        <sz val="10"/>
        <rFont val="Calibri"/>
        <family val="2"/>
        <scheme val="minor"/>
      </rPr>
      <t>European Water Closet</t>
    </r>
    <r>
      <rPr>
        <sz val="10"/>
        <rFont val="Calibri"/>
        <family val="2"/>
        <scheme val="minor"/>
      </rPr>
      <t xml:space="preserve"> of 1st quality make white glazed including all labour charges for fixing etc., complete.</t>
    </r>
  </si>
  <si>
    <r>
      <t xml:space="preserve">Supplying and fixing Indian make Flat Back </t>
    </r>
    <r>
      <rPr>
        <b/>
        <sz val="10"/>
        <rFont val="Calibri"/>
        <family val="2"/>
        <scheme val="minor"/>
      </rPr>
      <t xml:space="preserve">Wash Hand Basin </t>
    </r>
    <r>
      <rPr>
        <sz val="10"/>
        <rFont val="Calibri"/>
        <family val="2"/>
        <scheme val="minor"/>
      </rPr>
      <t>(HSW/Parryware/ Neycer) 1st quality conforming</t>
    </r>
  </si>
  <si>
    <r>
      <t xml:space="preserve">Supplying &amp; fixing 4" (101.6 mm ) </t>
    </r>
    <r>
      <rPr>
        <b/>
        <sz val="10"/>
        <rFont val="Calibri"/>
        <family val="2"/>
        <scheme val="minor"/>
      </rPr>
      <t>Nahany trap</t>
    </r>
    <r>
      <rPr>
        <sz val="10"/>
        <rFont val="Calibri"/>
        <family val="2"/>
        <scheme val="minor"/>
      </rPr>
      <t xml:space="preserve"> with Jali-  PVC/SWR Pipe fittings</t>
    </r>
  </si>
  <si>
    <r>
      <t xml:space="preserve">Providing &amp; placing on </t>
    </r>
    <r>
      <rPr>
        <b/>
        <sz val="10"/>
        <rFont val="Calibri"/>
        <family val="2"/>
        <scheme val="minor"/>
      </rPr>
      <t>Terrace polyethylene water storage tank</t>
    </r>
    <r>
      <rPr>
        <sz val="10"/>
        <rFont val="Calibri"/>
        <family val="2"/>
        <scheme val="minor"/>
      </rPr>
      <t xml:space="preserve"> with Double layer approved brand</t>
    </r>
  </si>
  <si>
    <t xml:space="preserve">Drilling of 165mm dia Bore well by down the hole hammer at a fiished dia of 165mm dia </t>
  </si>
  <si>
    <t xml:space="preserve">Providing PVC Casing pipe 180mm dia of 6 Kgs/cm2 including cost and conveyance of Pipe </t>
  </si>
  <si>
    <t>Supply and Transportation of 2HP single phase ISI  submersible mortor Pumpset subitable for 4" bore well Makes:Kirloskar/ Crompton/ CRI/ KSB/ Texmo/Aryan Varsha</t>
  </si>
  <si>
    <t>Supply and Transportation of control panel for single phasesubmersible motors up to 3 HP</t>
  </si>
  <si>
    <t>Supply and Fixing of ISI  25mm outer dia medium (1.80mm thickness) grade with IS:9537 part 3 regid PVC pipe with PVC</t>
  </si>
  <si>
    <t>Wiring with run of 2 of 14/0.3mm (1.0 Sq.mm) FRLS / HFFR PVC insulated flexible ISI mark copper cable for light and tube point</t>
  </si>
  <si>
    <t>Wiring with run of 2 of 14/0.3mm (1.0 Sq.mm) FRLS / HFFR PVC insulated flexible ISI mark copper cable for fan point</t>
  </si>
  <si>
    <t>Supply and fixing of 6A 3/2 pin wall plug socket with 6A switch control on a common switch board</t>
  </si>
  <si>
    <t>Supply, Transportation and Fixing of 48" (1200mm) Sweep 5 Star rated Ceiling Fan  all labour charges etc., complete.</t>
  </si>
  <si>
    <t xml:space="preserve">Supply and fixing SPN Distribution board with IP-20 protection suitable for single phase Earth Leakage Circute Braker (ELCB) </t>
  </si>
  <si>
    <t xml:space="preserve">Providing independent earthling by excavating a pit to a depth of 2.25Mt in all soils, as per size specified </t>
  </si>
  <si>
    <t>21.02.2021</t>
  </si>
  <si>
    <t>16.06.2021</t>
  </si>
  <si>
    <t>16.05.2023</t>
  </si>
  <si>
    <t>02.06.2023</t>
  </si>
  <si>
    <t>12.06.2023</t>
  </si>
  <si>
    <t>26.06.2023</t>
  </si>
  <si>
    <t>10.07.2023</t>
  </si>
  <si>
    <t>24.07.2023</t>
  </si>
  <si>
    <t>12.12.2023</t>
  </si>
  <si>
    <t>21.12.2023</t>
  </si>
  <si>
    <t>01.06.2022</t>
  </si>
  <si>
    <t>13.06.2022</t>
  </si>
  <si>
    <t>21.06.2022</t>
  </si>
  <si>
    <t>01.07.2022</t>
  </si>
  <si>
    <t>01.07.22</t>
  </si>
  <si>
    <t>06.07.22</t>
  </si>
  <si>
    <t>14.07.2022</t>
  </si>
  <si>
    <t>22.07.2022</t>
  </si>
  <si>
    <t>29.07.2022</t>
  </si>
  <si>
    <t>05.08.2022</t>
  </si>
  <si>
    <t>17.08.2022</t>
  </si>
  <si>
    <t>GENERAL ABSTRACT</t>
  </si>
  <si>
    <t>Agri input shop</t>
  </si>
  <si>
    <t>Demo equipment</t>
  </si>
  <si>
    <t>Verandah basement</t>
  </si>
  <si>
    <t>Deduct plinth beams</t>
  </si>
  <si>
    <t>RB 106</t>
  </si>
  <si>
    <t>Deduct dummy columns</t>
  </si>
  <si>
    <t>Traingle portion</t>
  </si>
  <si>
    <t>Village knowledge center</t>
  </si>
  <si>
    <t>In Verandah</t>
  </si>
  <si>
    <t>Slab projection back side</t>
  </si>
  <si>
    <t>Sides of ventilators</t>
  </si>
  <si>
    <t>Demo equipment shop</t>
  </si>
  <si>
    <t>Demo equipment room</t>
  </si>
  <si>
    <t>examination room</t>
  </si>
  <si>
    <t>Agri input</t>
  </si>
  <si>
    <t>Qty.p.6 of M.B.No.158/B/ZP/22</t>
  </si>
  <si>
    <t xml:space="preserve">Provision for Name board </t>
  </si>
  <si>
    <t>HYSD -fe 500 steel -GF</t>
  </si>
  <si>
    <t>HYSD -fe 500 steel</t>
  </si>
  <si>
    <t>Supply of 14/0.3mm (1.0 Sqmm) FRLS / HFFR  PVC insulated 1100V grade as per IS:694/1990 specification for Copper cable of makes Makes: Finolex / RR kabel / Havells /KEI/Polycab/Gloster. (ELEC-1.5.1)</t>
  </si>
  <si>
    <t>Supply of 36/0.3mm (2.5 Sqmm)ELE 1.5.1 C</t>
  </si>
  <si>
    <t>Supply of  BH / SBH of makes .(ELEC--1.7.1-N)</t>
  </si>
  <si>
    <t>Provision for GST as per calculation sheets</t>
  </si>
  <si>
    <t>Providing impervious coat to exposed RCC Roof Slab surface with CM (1:3) 12mm thick ncluding cost and conveyance of all material and labour charges etc., complete</t>
  </si>
  <si>
    <t xml:space="preserve">RCM facia 5cm thick in CM (1:3) for drop walls, fins  with rabbit wire mesh &amp; nominal reinforcement </t>
  </si>
  <si>
    <t xml:space="preserve">Flooring with high polished granite 16 to 18 mm mm thick slabs other than black set over base coat of cement mortar (1:8)  including c/c of materials like Cement, Sand and Water and tiles etc complete for finished item of work </t>
  </si>
  <si>
    <t>Providing skirting to internal walls to 15 cm height/risers of steps with 16-18 mm thick  polished granite stone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</si>
  <si>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 xml:space="preserve">Providing skirting to internal walls to 15 cm height/risers of steps with 16-18 mm thick  polished granite stone including c/c of materials like Cement, Sand and Water and tiles etc complete for finished item of work </t>
  </si>
  <si>
    <t xml:space="preserve">Flooring with Ceramic non skid tiles of not less  than 7-8mm thick 1st quality laid over floor bed  including c/c of materials like Cement, Sand and Water and tiles etc complete for finished item of work </t>
  </si>
  <si>
    <t xml:space="preserve">Providing Daddooing to walls with 5 to 7mm thick Glazed Ceramic wall tiles of 1st quality of 6mm thick  including c/c of materials like Cement, Sand and Water and tiles etc complete for finished item of work </t>
  </si>
  <si>
    <t>Flooring with pressed clay flooring tiles, set over base coat of cement mortar (1:8) 12 mm thick over CC bed already laid</t>
  </si>
  <si>
    <r>
      <t xml:space="preserve">RCC  M25 Nominal mix (Cement: Sand: Metal)  using 20mm size graded material including cost and conveyance of all material and labour charges etc., complete </t>
    </r>
    <r>
      <rPr>
        <b/>
        <sz val="10"/>
        <rFont val="Calibri"/>
        <family val="2"/>
        <scheme val="minor"/>
      </rPr>
      <t>for Roof slab 50mm</t>
    </r>
  </si>
  <si>
    <t>Supply and  Run of 2 of 22/0.3mm (1.50 Sq.mm) FRLS / HFFR PVC insulated flexible ISI mark copper cable for light and tube point</t>
  </si>
  <si>
    <r>
      <t xml:space="preserve">Reinforced Cement Concrete  M25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t>
    </r>
    <r>
      <rPr>
        <b/>
        <sz val="10"/>
        <rFont val="Calibri"/>
        <family val="2"/>
        <scheme val="minor"/>
      </rPr>
      <t xml:space="preserve">lintels </t>
    </r>
  </si>
  <si>
    <t>Deduct beam junction</t>
  </si>
  <si>
    <t>RB 101 102 103</t>
  </si>
  <si>
    <t>RB 104 105</t>
  </si>
  <si>
    <t>RB 107 110</t>
  </si>
  <si>
    <t>RB 108 109</t>
  </si>
  <si>
    <t>slab</t>
  </si>
  <si>
    <t>Lintel</t>
  </si>
  <si>
    <t>VKC room</t>
  </si>
  <si>
    <t>North &amp; south side slab projection</t>
  </si>
  <si>
    <t>Work to be executed</t>
  </si>
  <si>
    <t>work to be Executed</t>
  </si>
  <si>
    <t>Work to be Executed</t>
  </si>
  <si>
    <t>Front elevation</t>
  </si>
  <si>
    <t xml:space="preserve">Roof tiles BMT-D.23 </t>
  </si>
  <si>
    <r>
      <rPr>
        <b/>
        <sz val="10"/>
        <rFont val="Calibri"/>
        <family val="2"/>
        <scheme val="minor"/>
      </rPr>
      <t>Filling with Sand</t>
    </r>
    <r>
      <rPr>
        <sz val="10"/>
        <rFont val="Calibri"/>
        <family val="2"/>
        <scheme val="minor"/>
      </rPr>
      <t xml:space="preserve"> in trenches, sides of foundations &amp; basement by watering and ramming including all operational, incidental, labour charges</t>
    </r>
  </si>
  <si>
    <t>Providing impervious coat to exposed RCC Roof Slab surface with CM (1:3) 20mm thick ncluding cost and conveyance of all material and labour charges etc., complete</t>
  </si>
  <si>
    <t>RCM facia 5cm thick in CM (1:3) for drop walls, fins  with rabbit wire mesh &amp; nominal reinforcement as directed by Engineer-in-charge with dubara sponge finishing</t>
  </si>
  <si>
    <t xml:space="preserve">Flooring with pressed clay flooring tiles, set over base coat of cement mortar (1:8) 12 mm thick over CC bed already laid </t>
  </si>
  <si>
    <t>Supply &amp; applying Poly-Urethane Water Proof Polish Glossy/ Matt finish to the wood works duly cleaning the surface and applying emery paper</t>
  </si>
  <si>
    <t xml:space="preserve">Painting New Wood / iron work with Two coats of ready mixed Synthatic Enamil paint first quality of shades over primary coat </t>
  </si>
  <si>
    <t>Supply and fixing of  Wood Polymer Composite(WPC)  Door Frame section of 63.5x100 MM .</t>
  </si>
  <si>
    <t>Constructing 457.2 mm x 457.2 mm (1'6"x1'6") brick in CM 1:6 prop. Masonry. Inspection chamber upto 914.4 mm (3'0")</t>
  </si>
  <si>
    <t xml:space="preserve">Supply and fixing of 110mm dia ISI mark PVC rain water spouts of 4 Kg/cm2 pressure including Cost of necessary pvc bends, shoes and M.S.clamps </t>
  </si>
  <si>
    <r>
      <t xml:space="preserve">S&amp;F  Door  of size </t>
    </r>
    <r>
      <rPr>
        <b/>
        <sz val="10"/>
        <rFont val="Calibri"/>
        <family val="2"/>
        <scheme val="minor"/>
      </rPr>
      <t>0.90 x 2.10mt</t>
    </r>
    <r>
      <rPr>
        <sz val="10"/>
        <rFont val="Calibri"/>
        <family val="2"/>
        <scheme val="minor"/>
      </rPr>
      <t xml:space="preserve">   including c/c of all materials and furniture fittings etc complete as per specification  (APSS No 1001 &amp; 1002) Door Frame with Shutters</t>
    </r>
  </si>
  <si>
    <t xml:space="preserve">Ceramic Tiles </t>
  </si>
  <si>
    <t>A1 C1 C4 A4 A1</t>
  </si>
  <si>
    <t>05.09.2020</t>
  </si>
  <si>
    <t>Building alround except front side</t>
  </si>
  <si>
    <t>Deduct front door</t>
  </si>
  <si>
    <t>Slab thickness portion</t>
  </si>
  <si>
    <t>Parapet both sides</t>
  </si>
  <si>
    <t>top width</t>
  </si>
  <si>
    <t>Wall Elevation front side wall</t>
  </si>
  <si>
    <t>RB 108 &amp; RB 109 Sides in VKC room</t>
  </si>
  <si>
    <t>RB 108 &amp; RB 109 Sides in portico portion</t>
  </si>
  <si>
    <t>RB 104 &amp; 105 portico inside portion</t>
  </si>
  <si>
    <t>agri input shop</t>
  </si>
  <si>
    <t>Deduct elevation dummy pillar</t>
  </si>
  <si>
    <t>Steps risers</t>
  </si>
  <si>
    <t>Difference in cost of Sand and cement rate</t>
  </si>
  <si>
    <t>Flooring with high polished granite 16 to 18 mm mm thick slabs other than black set over base coat of cement mortar (1:8), 20 mm thick over CC bed already laid or RCC roof slab</t>
  </si>
  <si>
    <t xml:space="preserve">Providing skirting to internal walls to 15 cm height/risers of steps with 16-18 mm thick  polished granite tiles </t>
  </si>
  <si>
    <t>A1-C1 &amp; A4-C4</t>
  </si>
  <si>
    <t>A1-C4 C1-C4</t>
  </si>
  <si>
    <t>A2-B2 A3-B3</t>
  </si>
  <si>
    <t>B1-B4</t>
  </si>
  <si>
    <t>Wall elevation</t>
  </si>
  <si>
    <t>RB 106 sides</t>
  </si>
  <si>
    <t>VKC room alround</t>
  </si>
  <si>
    <t>Agri input shop &amp; Demo room</t>
  </si>
  <si>
    <t>Building front face portion</t>
  </si>
  <si>
    <t>WPC door frame and shutter</t>
  </si>
  <si>
    <t>04.02.2021</t>
  </si>
  <si>
    <t>Three track three panels sliding window with fly proof SS wire mesh (Two nos. glazed &amp; one no. wire mesh panels) made of (small series) frame 92 x 44 mm &amp; sash 32 x 60 mmboth having wall thickness of 1.9 ± 0.2 mm and single glazingbead of appropriate dimension (Area of window upto 1.75 sqm).</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</si>
  <si>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 inclusive of cost of Single / double glass panes,and silicon sealent</t>
  </si>
  <si>
    <t>D36915-CW-GA01.Amount for wage component</t>
  </si>
  <si>
    <t>D16923-CW-GA02.cement</t>
  </si>
  <si>
    <t>D16939-Cost of Sand</t>
  </si>
  <si>
    <t>D16940-Transportion of Sand</t>
  </si>
  <si>
    <t xml:space="preserve">             -CW-GA03.sand for filling</t>
  </si>
  <si>
    <t>D16937-CW-GA19.sand for Concrete</t>
  </si>
  <si>
    <t xml:space="preserve">                     -GA04.sand for mortar</t>
  </si>
  <si>
    <t>D16928-CW-GA7.20mm to 12mm HBG/HBT graded Metal:Consisting of 20mm metal 60% and12mm metal 40%</t>
  </si>
  <si>
    <t>D16930-CW-GA9.40 mm nominal HBG/HBT Graded Metal</t>
  </si>
  <si>
    <t>CW-GA20.cost and supply of Steel</t>
  </si>
  <si>
    <t>D16931-CW-G10.Cost towards engaging skilled labour,semi skilled labour,other materials and equipment charges including all other materials</t>
  </si>
  <si>
    <t>D16932-CW-G12.QC @0.5%</t>
  </si>
  <si>
    <t>D16933-CW-G13.Seignorage charges</t>
  </si>
  <si>
    <t>Provision For Work Wise File</t>
  </si>
  <si>
    <t>amount for unforcen items.</t>
  </si>
  <si>
    <t>Front verandah wall</t>
  </si>
  <si>
    <t>Front portico portion</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</si>
  <si>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t>
  </si>
  <si>
    <t>MAT-00081</t>
  </si>
  <si>
    <t>Impervious water proofing compound MAT-00081</t>
  </si>
  <si>
    <t>10.05.2021</t>
  </si>
  <si>
    <t>25.05.2021</t>
  </si>
  <si>
    <t>04.04.2021</t>
  </si>
  <si>
    <t>Qty.p.1 of M.B.No.789/A/ZP/19</t>
  </si>
  <si>
    <t>Qty.p.62 of M.B.No.789/A/ZP/19</t>
  </si>
  <si>
    <t>Qty.p.3 of M.B.No.789/A/ZP/19</t>
  </si>
  <si>
    <t>Qty.p.48 of M.B.No.789/A/ZP/19</t>
  </si>
  <si>
    <t>Qty.p.65 of M.B.No.789/A/ZP/19</t>
  </si>
  <si>
    <t>Qty.p.34 of M.B.No.789/A/ZP/19</t>
  </si>
  <si>
    <t>Qty.p.69 of M.B.No.789/A/ZP/19</t>
  </si>
  <si>
    <t>Qty.p.15 &amp; 16 of M.B.No.789/A/ZP/19</t>
  </si>
  <si>
    <t>Qty.p.21 &amp; 22 of M.B.No.789/A/ZP/19</t>
  </si>
  <si>
    <t>Qty.p.4 of M.B.No.789/A/ZP/19</t>
  </si>
  <si>
    <t>Qty.p.7 of M.B.No.789/A/ZP/19</t>
  </si>
  <si>
    <t>Qty.p.21 of M.B.No.789/A/ZP/19</t>
  </si>
  <si>
    <t>Qty.p.22 of M.B.No.789/A/ZP/19</t>
  </si>
  <si>
    <t>Qty.p.23 of M.B.No.789/A/ZP/19</t>
  </si>
  <si>
    <t>Qty.p.49 of M.B.No.789/A/ZP/19</t>
  </si>
  <si>
    <t>Qty.p.29 of M.B.No.789/A/ZP/19</t>
  </si>
  <si>
    <t>Qty.p.30 of M.B.No.789/A/ZP/19</t>
  </si>
  <si>
    <t>Qty.p.68 of M.B.No.789/A/ZP/19</t>
  </si>
  <si>
    <t>Qty.p.37 of M.B.No.789/A/ZP/19</t>
  </si>
  <si>
    <t>Qty.p.31 of M.B.No.789/A/ZP/19</t>
  </si>
  <si>
    <t>Qty.p.93 of M.B.No.789/A/ZP/19</t>
  </si>
  <si>
    <t>Qty.p.67 of M.B.No.789/A/ZP/19</t>
  </si>
  <si>
    <t>Qty.p.36 of M.B.No.789/A/ZP/19</t>
  </si>
  <si>
    <t>Qty.p.82 of M.B.No.789/A/ZP/19</t>
  </si>
  <si>
    <t>Qty.p.97 of M.B.No.789/A/ZP/19</t>
  </si>
  <si>
    <t>Qty.p. 27  of M.B.No.789/A/ZP/19</t>
  </si>
  <si>
    <t>Qty.p.40 of M.B.No.789/A/ZP/19</t>
  </si>
  <si>
    <t>Qty.p.41 of M.B.No.789/A/ZP/19</t>
  </si>
  <si>
    <t>Qty.p.60 of M.B.No.789/A/ZP/19</t>
  </si>
  <si>
    <t>Qty.p.39 of M.B.No.789/A/ZP/19</t>
  </si>
  <si>
    <t>Qty.p.47 of M.B.No.789/A/ZP/19</t>
  </si>
  <si>
    <t>Qty.p.12 of M.B.No.789/A/ZP/19</t>
  </si>
  <si>
    <t>Qty.p.77  of M.B.No.789/A/ZP/19</t>
  </si>
  <si>
    <t>Qty.p.43 of M.B.No.789/A/ZP/19</t>
  </si>
  <si>
    <t>Qty.p.14 of M.B.No.789/A/ZP/19</t>
  </si>
  <si>
    <t>Qty.p.8 of M.B.No.789/A/ZP/19</t>
  </si>
  <si>
    <t>Qty.p.17 of M.B.No.789/A/ZP/19</t>
  </si>
  <si>
    <t>Qty.p.19  of M.B.No.789/A/ZP/19</t>
  </si>
  <si>
    <t>Qty.p.76  of M.B.No.789/A/ZP/19</t>
  </si>
  <si>
    <t>Qty.p.51 of M.B.No.789/A/ZP/19</t>
  </si>
  <si>
    <t>Qty.p.78 of M.B.No.789/A/ZP/19</t>
  </si>
  <si>
    <t>Qty.p.52 &amp; 53 of M.B.No.789/A/ZP/19</t>
  </si>
  <si>
    <t>Qty.p.54 &amp; 55 of M.B.No.789/A/ZP/19</t>
  </si>
  <si>
    <t>Qty.p.55 &amp; 56 of M.B.No.789/A/ZP/19</t>
  </si>
  <si>
    <t>Qty.p.6 of M.B.No.789/A/ZP/19</t>
  </si>
  <si>
    <t>Qty.p.28 of M.B.No.789/A/ZP/19</t>
  </si>
  <si>
    <t>Qty.p.11 of M.B.No.789/A/ZP/19</t>
  </si>
  <si>
    <t>Qty.p. 48     of M.B.No.789/A/ZP/19</t>
  </si>
  <si>
    <t>Qty.p. 53  of M.B.No.789/A/ZP/19</t>
  </si>
  <si>
    <t>Qty.p. 54  of M.B.No.789/A/ZP/19</t>
  </si>
  <si>
    <t>Qty.p. 55  of M.B.No.789/A/ZP/19</t>
  </si>
  <si>
    <t>Qty.p. 57  of M.B.No.789/A/ZP/19</t>
  </si>
  <si>
    <t>Qty.p.30 to 31   of M.B.No.789/A/ZP/19</t>
  </si>
  <si>
    <t>Qty.p.50 of M.B.No.789/A/ZP/19</t>
  </si>
  <si>
    <t>Front dome portion</t>
  </si>
  <si>
    <t>Side dome portion</t>
  </si>
  <si>
    <t>Qty.p.59 &amp; 60 of M.B.No.789/A/ZP/19</t>
  </si>
  <si>
    <t>Qty.p.60 &amp; 61 of M.B.No.789/A/ZP/19</t>
  </si>
  <si>
    <t>agri demo and carridor</t>
  </si>
  <si>
    <t>Qty.p. 63 of M.B.No.789/A/ZP/19</t>
  </si>
  <si>
    <t>Qty.p.      of M.B.No.789/A/ZP/19</t>
  </si>
  <si>
    <t>30.09.2020</t>
  </si>
  <si>
    <t>08.07.2020</t>
  </si>
  <si>
    <t>10.02.2021</t>
  </si>
  <si>
    <t>15.10.2020</t>
  </si>
  <si>
    <t>25.01.2021</t>
  </si>
  <si>
    <t>17.03.2021</t>
  </si>
  <si>
    <t>25.03.2021</t>
  </si>
  <si>
    <t>08.01.2024</t>
  </si>
  <si>
    <t>VRCC M25    for column footings</t>
  </si>
  <si>
    <t>21.80 Lakhs</t>
  </si>
  <si>
    <t>Assistant  Engineer</t>
  </si>
  <si>
    <t>Qty.p.52 of M.B.No.410/A/ZP/19</t>
  </si>
  <si>
    <t>Qty.p.58 of M.B.No.410/A/ZP/19</t>
  </si>
  <si>
    <t>Qty.p.64 of M.B.No.410/A/ZP/19</t>
  </si>
  <si>
    <t>Qty.p.56 of M.B.No.410/A/ZP/19</t>
  </si>
  <si>
    <t>Deduct footings</t>
  </si>
  <si>
    <t>Qty.p.55 of M.B.No.410/A/ZP/19</t>
  </si>
  <si>
    <t>Qty.p.63 of M.B.No.410/A/ZP/19</t>
  </si>
  <si>
    <t>Qty.p.77 of M.B.No.410/A/ZP/19</t>
  </si>
  <si>
    <t>Qty.p.6 of M.B.No.455/A/ZP/20</t>
  </si>
  <si>
    <t>Qty.p.81 of M.B.No.410/A/ZP/19</t>
  </si>
  <si>
    <t>Qty.p.14 of M.B.No.455/A/ZP/20</t>
  </si>
  <si>
    <t>Qty.p.18 of M.B.No.455/A/ZP/20</t>
  </si>
  <si>
    <t xml:space="preserve">Tube light </t>
  </si>
  <si>
    <t>Bulb point</t>
  </si>
  <si>
    <t>Qty.p.20 of M.B.No.455/A/ZP/20</t>
  </si>
  <si>
    <t>Qty.p.21 of M.B.No.455/A/ZP/20</t>
  </si>
  <si>
    <t>Qty.p.22 of M.B.No.455/A/ZP/20</t>
  </si>
  <si>
    <t>Qty.p.23 of M.B.No.455/A/ZP/20</t>
  </si>
  <si>
    <t>Bed concrete</t>
  </si>
  <si>
    <t>PB 102</t>
  </si>
  <si>
    <t>PB 105 106</t>
  </si>
  <si>
    <t>PB 101</t>
  </si>
  <si>
    <t>PB 103</t>
  </si>
  <si>
    <t>PB 104</t>
  </si>
  <si>
    <t>Deduct crossing</t>
  </si>
  <si>
    <t>PB 105</t>
  </si>
  <si>
    <t>PB 106</t>
  </si>
  <si>
    <t>PB 107</t>
  </si>
  <si>
    <t>RB 101</t>
  </si>
  <si>
    <t>RB 102</t>
  </si>
  <si>
    <t>RB 103</t>
  </si>
  <si>
    <t xml:space="preserve">RB 104 </t>
  </si>
  <si>
    <t>RB 105</t>
  </si>
  <si>
    <t>RB 107</t>
  </si>
  <si>
    <t>RB 108</t>
  </si>
  <si>
    <t>Extension</t>
  </si>
  <si>
    <t>RB 109</t>
  </si>
  <si>
    <t>RB 110</t>
  </si>
  <si>
    <t>Deduc crossing</t>
  </si>
  <si>
    <t>Verandah columns</t>
  </si>
  <si>
    <t>Qty.p.54 &amp; 55 of M.B.No.410/A/ZP/19</t>
  </si>
  <si>
    <t>Verandah column earthwork</t>
  </si>
  <si>
    <t>Verandah center wall</t>
  </si>
  <si>
    <t>Two sides wall</t>
  </si>
  <si>
    <t>Extension wall</t>
  </si>
  <si>
    <t>Qty.p.59 &amp; 60 of M.B.No.410/A/ZP/19</t>
  </si>
  <si>
    <t>Center wall</t>
  </si>
  <si>
    <t>Qty.p.62 &amp; 63 of M.B.No.410/A/ZP/19</t>
  </si>
  <si>
    <t>Front center wall</t>
  </si>
  <si>
    <t>For side wall</t>
  </si>
  <si>
    <t>Qty.p.64 &amp; 65 of M.B.No.410/A/ZP/19</t>
  </si>
  <si>
    <t>Verandah flooring</t>
  </si>
  <si>
    <t>Qty.p.65 &amp; 66 of M.B.No.410/A/ZP/19</t>
  </si>
  <si>
    <t>4th step</t>
  </si>
  <si>
    <t>5th step</t>
  </si>
  <si>
    <t>Platform</t>
  </si>
  <si>
    <t>Almarah</t>
  </si>
  <si>
    <t>Qty.p.69 &amp; 70 of M.B.No.410/A/ZP/19</t>
  </si>
  <si>
    <t>Qty.p.70 to 72 of M.B.No.410/A/ZP/19</t>
  </si>
  <si>
    <t>Parapet alround</t>
  </si>
  <si>
    <t>Qty.p.72 &amp; 73 of M.B.No.410/A/ZP/19</t>
  </si>
  <si>
    <t>Basement long walls</t>
  </si>
  <si>
    <t>Short wall back side</t>
  </si>
  <si>
    <t>Shrot wall front side</t>
  </si>
  <si>
    <t>Qty.p.74 &amp; 75 of M.B.No.410/A/ZP/19</t>
  </si>
  <si>
    <t>For walls</t>
  </si>
  <si>
    <t>Agri input shop ceiling</t>
  </si>
  <si>
    <t>In carridor ceiling</t>
  </si>
  <si>
    <t>Demo support ceiling</t>
  </si>
  <si>
    <t>Deduct for ventilators</t>
  </si>
  <si>
    <t>for walls</t>
  </si>
  <si>
    <t>Qty.p.75 to  77 of M.B.No.410/A/ZP/19</t>
  </si>
  <si>
    <t>Roof slab</t>
  </si>
  <si>
    <t>Qty.p.78 &amp; 79 of M.B.No.410/A/ZP/19</t>
  </si>
  <si>
    <t>Qty.p.80 &amp; 81 of M.B.No.410/A/ZP/19</t>
  </si>
  <si>
    <t>Basement long wall</t>
  </si>
  <si>
    <t>Parapet wall alround</t>
  </si>
  <si>
    <t>Window grills</t>
  </si>
  <si>
    <t>Carr</t>
  </si>
  <si>
    <t>Qty.p.11 to 13 of M.B.No.455/A/ZP/20</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</si>
  <si>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t>
  </si>
  <si>
    <t>Qty.p.18 &amp; 19 of M.B.No.455/A/ZP/20</t>
  </si>
  <si>
    <t>Qty.p.19 &amp; 20 of M.B.No.455/A/ZP/20</t>
  </si>
  <si>
    <t>Qty.p.20 &amp; 21 of M.B.No.455/A/ZP/20</t>
  </si>
  <si>
    <t>Qty.p.21 &amp; 22 of M.B.No.455/A/ZP/20</t>
  </si>
  <si>
    <t>Qty.p.22 &amp; 23 of M.B.No.455/A/ZP/20</t>
  </si>
  <si>
    <t>Qty.p.23 &amp; 24 of M.B.No.455/A/ZP/20</t>
  </si>
  <si>
    <t>Flooring</t>
  </si>
  <si>
    <t>Outside tiolet</t>
  </si>
  <si>
    <t>Out side Tiolet</t>
  </si>
  <si>
    <t>Out side tiolet Basement</t>
  </si>
  <si>
    <t xml:space="preserve">Outside tiolet </t>
  </si>
  <si>
    <t>Out side tiolet inside wall</t>
  </si>
  <si>
    <t>Out side tiolet Out side wall</t>
  </si>
  <si>
    <t>tiolet slab</t>
  </si>
  <si>
    <t>work to be executed</t>
  </si>
  <si>
    <t>Supply and  Run of 2 of 36/0.3mm (2.50 Sq.mm) with  in existing pipe for run of mains inlcuding all labour charges etc., complete.(Data No.             )</t>
  </si>
  <si>
    <r>
      <t>Mandal</t>
    </r>
    <r>
      <rPr>
        <sz val="10"/>
        <rFont val="Calibri"/>
        <family val="2"/>
        <scheme val="minor"/>
      </rPr>
      <t xml:space="preserve"> : Kanigiri</t>
    </r>
  </si>
  <si>
    <t>Assistant    Engineer</t>
  </si>
  <si>
    <t xml:space="preserve">Reinforced Brick Masonry for partition walls (11.0 cm thick) in CM (1:4) prop. (Cement : Sand) using common burnt clay bricks of class as per Table- I of IS:1077-1992, Non- Modular or traditional size    23 x 11 x 7 cms from approved source having minimum crushing strength of 40 Kg/Sq.cm and placing 2 Nos. of 6mm M.S plain rods in every third layer with free ends of the reinforcement pegged into mortar joints of main brick walls where applicable including cost and conveyance of all materials and  all operational, incidental charges such as labour charges for mixing cement mortar, scaffolding charges, lift charges,and all labour charges etc., but excluding cost of steel and its fabrication charges complete for finished item of work. </t>
  </si>
  <si>
    <t>11.5 cm wide Brick masonry for super-structure on ground floor in cm (1:4) using second class traditional size bricks including cost of all materials, seigniorage charges, labour and all operations for constructing half brick masonry, mixing cement mortar, curing etc., complete for finished item of work, but excluding conveyance charges of materials.</t>
  </si>
  <si>
    <t>BM CM (1:4) 115mm</t>
  </si>
  <si>
    <t>RBM in CM (1:4)</t>
  </si>
  <si>
    <t xml:space="preserve">RBM CM (1:4) </t>
  </si>
  <si>
    <t>12.05.2021</t>
  </si>
  <si>
    <t>08.06.2021</t>
  </si>
  <si>
    <t>18.06.2021</t>
  </si>
  <si>
    <t>12.07.2021</t>
  </si>
  <si>
    <t>21.10.2021</t>
  </si>
  <si>
    <t>24.05.2021</t>
  </si>
  <si>
    <t>01.07.2021</t>
  </si>
  <si>
    <t>02.08.2021</t>
  </si>
  <si>
    <t>22.07.2021</t>
  </si>
  <si>
    <t>07.10.2021</t>
  </si>
  <si>
    <t>11.08.2021</t>
  </si>
  <si>
    <t>05.11.2021</t>
  </si>
  <si>
    <t>Qty.p.21 of M.B.No.456/A/ZP/20</t>
  </si>
  <si>
    <t>Qty.p.20 of M.B.No.456/A/ZP/20</t>
  </si>
  <si>
    <t>Qty.p.7 of M.B.No.456/A/ZP/20</t>
  </si>
  <si>
    <t>Qty.p.14 of M.B.No.456/A/ZP/20</t>
  </si>
  <si>
    <t>Qty.p.30 of M.B.No.456/A/ZP/20</t>
  </si>
  <si>
    <t>Qty.p.39 of M.B.No.456/A/ZP/20</t>
  </si>
  <si>
    <t>Qty.p.2 of M.B.No.172/B/ZP/22</t>
  </si>
  <si>
    <t>Qty.p.4 of M.B.No.172/B/ZP/22</t>
  </si>
  <si>
    <t>Qty.p.45 of M.B.No.456/A/ZP/20</t>
  </si>
  <si>
    <t>Qty.p.5 of M.B.No.172/B/ZP/22</t>
  </si>
  <si>
    <t>Qty.p.6 of M.B.No.172/B/ZP/22</t>
  </si>
  <si>
    <t>Qty.p.8 of M.B.No.172/B/ZP/22</t>
  </si>
  <si>
    <t xml:space="preserve">Ground Floor </t>
  </si>
  <si>
    <t>Qty.p.9 of M.B.No.172/B/ZP/22</t>
  </si>
  <si>
    <t>Qty.p.10 of M.B.No.172/B/ZP/22</t>
  </si>
  <si>
    <t>Column footings</t>
  </si>
  <si>
    <t>for basement</t>
  </si>
  <si>
    <t>Qty.p.1 &amp; 2 of M.B.No.456/A/ZP/20</t>
  </si>
  <si>
    <t>cross wall</t>
  </si>
  <si>
    <t>Qty.p.2 &amp; 3 of M.B.No.456/A/ZP/20</t>
  </si>
  <si>
    <t>Carridor &amp; Meeting Hall</t>
  </si>
  <si>
    <t>Agri input  &amp; demo equipement</t>
  </si>
  <si>
    <t>Qty.p.3 &amp; 4 of M.B.No.456/A/ZP/20</t>
  </si>
  <si>
    <t>Qty.p.4 &amp; 5 of M.B.No.456/A/ZP/20</t>
  </si>
  <si>
    <t>Qty.p.6 &amp; 7 of M.B.No.456/A/ZP/20</t>
  </si>
  <si>
    <t>Middle wall</t>
  </si>
  <si>
    <t>Middle wall side wall</t>
  </si>
  <si>
    <t>Qty.p.8 &amp; 9 of M.B.No.456/A/ZP/20</t>
  </si>
  <si>
    <t>Qty.p.9 &amp; 10 of M.B.No.456/A/ZP/20</t>
  </si>
  <si>
    <t>Deduct lintel</t>
  </si>
  <si>
    <t>Qty.p.11 &amp; 12 of M.B.No.456/A/ZP/20</t>
  </si>
  <si>
    <t>Beam sides in VKC</t>
  </si>
  <si>
    <t>Slab projection</t>
  </si>
  <si>
    <t>Qty.p.12 &amp; 13 of M.B.No.456/A/ZP/20</t>
  </si>
  <si>
    <t>Outside of the building</t>
  </si>
  <si>
    <t>Basement 3 sides</t>
  </si>
  <si>
    <t>Qty.p.14 &amp; 15 of M.B.No.456/A/ZP/20</t>
  </si>
  <si>
    <t>Qty.p.16 &amp; 17 of M.B.No.456/A/ZP/20</t>
  </si>
  <si>
    <t>Verandah plinth wall</t>
  </si>
  <si>
    <t>Qty.p.17 &amp; 18 of M.B.No.456/A/ZP/20</t>
  </si>
  <si>
    <t>Qty.p.19 &amp; 20 of M.B.No.456/A/ZP/20</t>
  </si>
  <si>
    <t>front wall</t>
  </si>
  <si>
    <t>Verandah column</t>
  </si>
  <si>
    <t>Qty.p.21 &amp; 22 of M.B.No.456/A/ZP/20</t>
  </si>
  <si>
    <t>Qty.p.23 to 25 of M.B.No.456/A/ZP/20</t>
  </si>
  <si>
    <t>Elevation designs</t>
  </si>
  <si>
    <t>Dummy pillers</t>
  </si>
  <si>
    <t>Qty.p.25 &amp; 26 of M.B.No.456/A/ZP/20</t>
  </si>
  <si>
    <t>Qty.p.27 &amp; 28 of M.B.No.456/A/ZP/20</t>
  </si>
  <si>
    <t>4ths tep</t>
  </si>
  <si>
    <t>Dummy pillers arlound</t>
  </si>
  <si>
    <t>Qty.p.28 &amp; 29 of M.B.No.456/A/ZP/20</t>
  </si>
  <si>
    <t>Qty.p.31 &amp; 32 of M.B.No.456/A/ZP/20</t>
  </si>
  <si>
    <t>ceiling</t>
  </si>
  <si>
    <t>Qty.p.33 &amp; 34 of M.B.No.456/A/ZP/20</t>
  </si>
  <si>
    <t>Qty.p.34 &amp; 35 of M.B.No.456/A/ZP/20</t>
  </si>
  <si>
    <t>Qty.p.35 &amp; 36 of M.B.No.456/A/ZP/20</t>
  </si>
  <si>
    <t>Qty.p.36 &amp; 37 of M.B.No.456/A/ZP/20</t>
  </si>
  <si>
    <t>Qty.p.37 &amp; 38 of M.B.No.456/A/ZP/20</t>
  </si>
  <si>
    <t>Qty.p.38 &amp; 39 of M.B.No.456/A/ZP/20</t>
  </si>
  <si>
    <t>for steps</t>
  </si>
  <si>
    <t>Qty.p.40 &amp; 41 of M.B.No.456/A/ZP/20</t>
  </si>
  <si>
    <t>dedduct windows</t>
  </si>
  <si>
    <t>Qty.p.41 to 44 of M.B.No.456/A/ZP/20</t>
  </si>
  <si>
    <t>Out side building</t>
  </si>
  <si>
    <t>Slopes portion 1st step</t>
  </si>
  <si>
    <t>Dummy pillers alround</t>
  </si>
  <si>
    <t>Basement front side</t>
  </si>
  <si>
    <t>Qty.p.1 &amp; 2 of M.B.No.172/B/ZP/22</t>
  </si>
  <si>
    <t>Qty.p.2 to 4 of M.B.No.172/B/ZP/22</t>
  </si>
  <si>
    <t>2 tier</t>
  </si>
  <si>
    <t>Demo euipment</t>
  </si>
  <si>
    <t>Qty.p.5 &amp; 6 of M.B.No.172/B/ZP/22</t>
  </si>
  <si>
    <t>Qty.p.6 &amp; 7 of M.B.No.172/B/ZP/22</t>
  </si>
  <si>
    <t>Qty.p.7 &amp; 8 of M.B.No.172/B/ZP/22</t>
  </si>
  <si>
    <t>Qty.p.8 &amp; 9 of M.B.No.172/B/ZP/22</t>
  </si>
  <si>
    <t>Qty.p.9 &amp; 10 of M.B.No.172/B/ZP/22</t>
  </si>
  <si>
    <t>Qty.p.10 &amp; 11 of M.B.No.172/B/ZP/22</t>
  </si>
  <si>
    <t>Qty.p.44 &amp; 45 of M.B.No.456/A/ZP/20</t>
  </si>
  <si>
    <t>S.No. of the Bill: 6th  &amp;  final</t>
  </si>
  <si>
    <r>
      <t xml:space="preserve">Amount of estimate : </t>
    </r>
    <r>
      <rPr>
        <b/>
        <sz val="10"/>
        <color rgb="FFFF0000"/>
        <rFont val="Calibri"/>
        <family val="2"/>
        <scheme val="minor"/>
      </rPr>
      <t>21.80</t>
    </r>
    <r>
      <rPr>
        <b/>
        <sz val="10"/>
        <rFont val="Calibri"/>
        <family val="2"/>
        <scheme val="minor"/>
      </rPr>
      <t xml:space="preserve"> Lakhs</t>
    </r>
  </si>
  <si>
    <t>Nine hundred only)</t>
  </si>
  <si>
    <t>16.08.2021</t>
  </si>
  <si>
    <t>16.09.2021</t>
  </si>
  <si>
    <t>16.02.2022</t>
  </si>
  <si>
    <t>01.02.2022</t>
  </si>
  <si>
    <t>02.09.2021</t>
  </si>
  <si>
    <t>17.11.2023</t>
  </si>
  <si>
    <t>24.01.2022</t>
  </si>
  <si>
    <t>24.02.2022</t>
  </si>
  <si>
    <t>09.03.2022</t>
  </si>
  <si>
    <t>22.03.2022</t>
  </si>
  <si>
    <t>07.04.2022</t>
  </si>
  <si>
    <t>02.11.2023</t>
  </si>
  <si>
    <t>Qty.p.1 of M.B.No.1223/B/ZP/18</t>
  </si>
  <si>
    <t>Qty.p.8 of M.B.No.1223/B/ZP/18</t>
  </si>
  <si>
    <t>Qty.p.25 of M.B.No.525/A/ZP/20</t>
  </si>
  <si>
    <t>Qty.p.2 of M.B.No.1223/B/ZP/18</t>
  </si>
  <si>
    <t>Qty.p.27 of M.B.No.525/A/ZP/20</t>
  </si>
  <si>
    <t>Qty.p.35 of M.B.No.525/A/ZP/20</t>
  </si>
  <si>
    <t>Qty.p.34 of M.B.No.525/A/ZP/20</t>
  </si>
  <si>
    <t>Qty.p.12 of M.B.No.1223/B/ZP/18</t>
  </si>
  <si>
    <t>Qty.p.19 of M.B.No.1223/B/ZP/18</t>
  </si>
  <si>
    <t>Qty.p.6 of M.B.No.1223/B/ZP/18</t>
  </si>
  <si>
    <t>Qty.p.29 of M.B.No.525/A/ZP/20</t>
  </si>
  <si>
    <t>Qty.p.18 of M.B.No.1223/B/ZP/18</t>
  </si>
  <si>
    <t>Qty.p.33 of M.B.No.525/A/ZP/20</t>
  </si>
  <si>
    <t>Qty.p.40 of M.B.No.1223/B/ZP/18</t>
  </si>
  <si>
    <t>Qty.p.7 of M.B.No.525/A/ZP/20</t>
  </si>
  <si>
    <t>Qty.p.50 of M.B.No.525/A/ZP/20</t>
  </si>
  <si>
    <t>Qty.p.15 of M.B.No.525/A/ZP/20</t>
  </si>
  <si>
    <t>plinth beam</t>
  </si>
  <si>
    <t>Qty.p.37 of M.B.No.1223/B/ZP/18</t>
  </si>
  <si>
    <t>Verandah Plinth beam</t>
  </si>
  <si>
    <t>Qty.p.52 of M.B.No.525/A/ZP/20</t>
  </si>
  <si>
    <t>Qty.p.59 of M.B.No.525/A/ZP/20</t>
  </si>
  <si>
    <t>Qty.p.60 of M.B.No.525/A/ZP/20</t>
  </si>
  <si>
    <t>Ground Floor (Fan point)</t>
  </si>
  <si>
    <t>Qty.p.62 of M.B.No.525/A/ZP/20</t>
  </si>
  <si>
    <t>Qty.p.63 of M.B.No.525/A/ZP/20</t>
  </si>
  <si>
    <t>Qty.p.64 of M.B.No.525/A/ZP/20</t>
  </si>
  <si>
    <t>Providing Additional Space for Agriculture Staff in  Baduguleru GP of Kanigiri Mandal</t>
  </si>
  <si>
    <t>No: 087043102002090039</t>
  </si>
  <si>
    <t>Qty.p.2 to 4 of M.B.No.1223/B/ZP/18</t>
  </si>
  <si>
    <t>Qty.p.5 &amp; 6 of M.B.No.1223/B/ZP/18</t>
  </si>
  <si>
    <t>Qty.p.7 &amp; 8 of M.B.No.1223/B/ZP/18</t>
  </si>
  <si>
    <t>Qty.p.9 &amp; 10 of M.B.No.1223/B/ZP/18</t>
  </si>
  <si>
    <t>Qty.p.10 &amp; 11 of M.B.No.1223/B/ZP/18</t>
  </si>
  <si>
    <t>Basement</t>
  </si>
  <si>
    <t>Deduct colummns</t>
  </si>
  <si>
    <t>Qty.p.12 &amp; 13 of M.B.No.1223/B/ZP/18</t>
  </si>
  <si>
    <t>Qty.p.13 to 16 of M.B.No.1223/B/ZP/18</t>
  </si>
  <si>
    <t>Qty.p.17 &amp; 18 of M.B.No.1223/B/ZP/18</t>
  </si>
  <si>
    <t>Qty.p.20 &amp; 21 of M.B.No.1223/B/ZP/18</t>
  </si>
  <si>
    <t>Qty.p.29 to 37 of M.B.No.1223/B/ZP/18</t>
  </si>
  <si>
    <t>Qty.p.38 to 40 of M.B.No.1223/B/ZP/18</t>
  </si>
  <si>
    <t>Qty.p.1 &amp; 2 of M.B.No.525/A/ZP/20</t>
  </si>
  <si>
    <t>Qty.p.2 &amp; 3 of M.B.No.525/A/ZP/20</t>
  </si>
  <si>
    <t>village knowledge center and carridor</t>
  </si>
  <si>
    <t>Wall between agri input shop and demo equipment</t>
  </si>
  <si>
    <t>Qty.p.4 &amp; 5 of M.B.No.525/A/ZP/20</t>
  </si>
  <si>
    <t>Qty.p.6 &amp; 7 of M.B.No.525/A/ZP/20</t>
  </si>
  <si>
    <t>at middle wall</t>
  </si>
  <si>
    <t>Qty.p.7 to 9 of M.B.No.525/A/ZP/20</t>
  </si>
  <si>
    <t>Qty.p.9 &amp; 10 of M.B.No.525/A/ZP/20</t>
  </si>
  <si>
    <t>Qty.p.11 &amp; 12 of M.B.No.525/A/ZP/20</t>
  </si>
  <si>
    <t>beam sides</t>
  </si>
  <si>
    <t>Qty.p.12 to 14 of M.B.No.525/A/ZP/20</t>
  </si>
  <si>
    <t>Qty.p.14 &amp; 15 of M.B.No.525/A/ZP/20</t>
  </si>
  <si>
    <t>Qty.p.26 &amp; 27 of M.B.No.525/A/ZP/20</t>
  </si>
  <si>
    <t>Qty.p.28 &amp; 29 of M.B.No.525/A/ZP/20</t>
  </si>
  <si>
    <t>verandah footings</t>
  </si>
  <si>
    <t>Qty.p.29 &amp; 30 of M.B.No.525/A/ZP/20</t>
  </si>
  <si>
    <t>verandah center wall</t>
  </si>
  <si>
    <t>Qty.p.30 &amp; 31 of M.B.No.525/A/ZP/20</t>
  </si>
  <si>
    <t>Qty.p.32 &amp; 33 of M.B.No.525/A/ZP/20</t>
  </si>
  <si>
    <t>center wall</t>
  </si>
  <si>
    <t>side wall</t>
  </si>
  <si>
    <t>Qty.p.36 &amp; 37 of M.B.No.525/A/ZP/20</t>
  </si>
  <si>
    <t>elevation</t>
  </si>
  <si>
    <t>Qty.p.38 &amp; 39 of M.B.No.525/A/ZP/20</t>
  </si>
  <si>
    <t>Elevation</t>
  </si>
  <si>
    <t>Qty.p.39 &amp; 40 of M.B.No.525/A/ZP/20</t>
  </si>
  <si>
    <t>front side side wall</t>
  </si>
  <si>
    <t>Qty.p.41 to 43 of M.B.No.525/A/ZP/20</t>
  </si>
  <si>
    <t>Qty.p.43 to 45 of M.B.No.525/A/ZP/20</t>
  </si>
  <si>
    <t>Qty.p.45 &amp; 46 of M.B.No.525/A/ZP/20</t>
  </si>
  <si>
    <t>Qty.p.46 &amp; 47 of M.B.No.525/A/ZP/20</t>
  </si>
  <si>
    <t>Qty.p.47 to 49 of M.B.No.525/A/ZP/20</t>
  </si>
  <si>
    <t>Spandana desk ( 2 track)</t>
  </si>
  <si>
    <t>Qty.p.50 &amp; 51 of M.B.No.525/A/ZP/20</t>
  </si>
  <si>
    <t>Qty.p.51 &amp; 52 of M.B.No.525/A/ZP/20</t>
  </si>
  <si>
    <t>Qty.p.53 to 55 of M.B.No.525/A/ZP/20</t>
  </si>
  <si>
    <t>Qty.p.55 to 58 of M.B.No.525/A/ZP/20</t>
  </si>
  <si>
    <t>front and back side</t>
  </si>
  <si>
    <t>Verandah ceiling</t>
  </si>
  <si>
    <t>slab projection back side</t>
  </si>
  <si>
    <t>sunshade</t>
  </si>
  <si>
    <t>Over elevation</t>
  </si>
  <si>
    <t>for columns</t>
  </si>
  <si>
    <t>front beam top</t>
  </si>
  <si>
    <t>side beam</t>
  </si>
  <si>
    <t>slab edge alround</t>
  </si>
  <si>
    <t>sides</t>
  </si>
  <si>
    <t>Qty.p.59 &amp; 60 of M.B.No.525/A/ZP/20</t>
  </si>
  <si>
    <t>Qty.p.60 &amp; 61 of M.B.No.525/A/ZP/20</t>
  </si>
  <si>
    <t>Qty.p.61 &amp; 62 of M.B.No.525/A/ZP/20</t>
  </si>
  <si>
    <t>village knowledge center</t>
  </si>
  <si>
    <t>Qty.p.62 &amp; 63 of M.B.No.525/A/ZP/20</t>
  </si>
  <si>
    <t>Qty.p.63 &amp; 64 of M.B.No.525/A/ZP/20</t>
  </si>
  <si>
    <t>Qty.p.65 &amp; 66 of M.B.No.525/A/ZP/20</t>
  </si>
  <si>
    <t xml:space="preserve">                              The above road has been administratively sancationed for Rs. 21.80 Lakhs  vide Progs.Rc No  T3/MGNREGS/2020 Dt 30-06-2020 of the District Collector &amp; District Programme Co-Ordinator, MGNREGS, Prakasam District. Ongole under MGNREGS 90%  and Agriculture Department Grant 10% Grant during the year 2019-20.  The work was entrusted to Grama Panchayat, Baduguleru</t>
  </si>
  <si>
    <t>Connected M.Book Nos: 1223/B/ZP/18, 525/A/ZP/20 &amp; 386/C/ZP/20</t>
  </si>
  <si>
    <t>Dt 12.06.2020 of the Executive Engineer, PRI  Division, Kandukur</t>
  </si>
  <si>
    <t>Grama Panchayat, Baduguleru</t>
  </si>
  <si>
    <r>
      <t>Voucher</t>
    </r>
    <r>
      <rPr>
        <sz val="10"/>
        <rFont val="Calibri"/>
        <family val="2"/>
        <scheme val="minor"/>
      </rPr>
      <t xml:space="preserve"> : CC  6th &amp; final</t>
    </r>
  </si>
  <si>
    <t xml:space="preserve">Certificate that the proceeding claim is correct that the necessary measurements have been made by me on 200         and record on pages …………..  of  1223/B/ZP/18, 525/A/ZP/20 &amp; 386/C/ZP/20  of  and the work has been satisfactory performed </t>
  </si>
  <si>
    <t xml:space="preserve">                            I do here by release and discharge with the Executive Engineer, PRI Division, Kandukur all claims and demand what so ever arising out of the work or contracts with the contract vide commencement letter  Dt 12.06.2020 with full and final settlement of my all claims and demands of the work</t>
  </si>
  <si>
    <t>Baduguleru</t>
  </si>
  <si>
    <t>Constrution of Grama Sachivalayam Building in Baduguleru GP of Kanigiri Mandal.</t>
  </si>
  <si>
    <t>087043102002090039</t>
  </si>
  <si>
    <t>UltraTech Cement Limited</t>
  </si>
  <si>
    <t>03.03.2021</t>
  </si>
  <si>
    <t>Grama Panchayat</t>
  </si>
  <si>
    <t>Four hundred and fifty only)</t>
  </si>
  <si>
    <t>06.07.2020</t>
  </si>
  <si>
    <t>29.07.2020</t>
  </si>
  <si>
    <t>10.05.2023</t>
  </si>
  <si>
    <t>14.07.2020</t>
  </si>
  <si>
    <t>05.08.2020</t>
  </si>
  <si>
    <t>13.08.2020</t>
  </si>
  <si>
    <t>04.09.2020</t>
  </si>
  <si>
    <t>13.06.2023</t>
  </si>
  <si>
    <t>28.08.2020</t>
  </si>
  <si>
    <t>21.07.2020</t>
  </si>
  <si>
    <t>26.05.2023</t>
  </si>
  <si>
    <t>19.08.2020</t>
  </si>
  <si>
    <t>05.06.2023</t>
  </si>
  <si>
    <t>21.12.2020</t>
  </si>
  <si>
    <t>21.04.2021</t>
  </si>
  <si>
    <t>26.07.2023</t>
  </si>
  <si>
    <t>02.04.2021</t>
  </si>
  <si>
    <t>23.06.2023</t>
  </si>
  <si>
    <t>17.07.2023</t>
  </si>
  <si>
    <t>03.07.2023</t>
  </si>
  <si>
    <t>10.08.2023</t>
  </si>
  <si>
    <t>23.01.2024</t>
  </si>
  <si>
    <t>03.12.2020</t>
  </si>
  <si>
    <t>thirty three thousand and nine hundred only)</t>
  </si>
</sst>
</file>

<file path=xl/styles.xml><?xml version="1.0" encoding="utf-8"?>
<styleSheet xmlns="http://schemas.openxmlformats.org/spreadsheetml/2006/main">
  <numFmts count="15">
    <numFmt numFmtId="7" formatCode="&quot;$&quot;#,##0.00_);\(&quot;$&quot;#,##0.00\)"/>
    <numFmt numFmtId="44" formatCode="_(&quot;$&quot;* #,##0.00_);_(&quot;$&quot;* \(#,##0.00\);_(&quot;$&quot;* &quot;-&quot;??_);_(@_)"/>
    <numFmt numFmtId="43" formatCode="_(* #,##0.00_);_(* \(#,##0.00\);_(* &quot;-&quot;??_);_(@_)"/>
    <numFmt numFmtId="164" formatCode="_ * #,##0_ ;_ * \-#,##0_ ;_ * &quot;-&quot;_ ;_ @_ "/>
    <numFmt numFmtId="165" formatCode="0.000"/>
    <numFmt numFmtId="166" formatCode="0.0"/>
    <numFmt numFmtId="167" formatCode="0.0000"/>
    <numFmt numFmtId="168" formatCode="0.00;[Red]0.00"/>
    <numFmt numFmtId="169" formatCode="_-* #,##0_-;\-* #,##0_-;_-* &quot;-&quot;_-;_-@_-"/>
    <numFmt numFmtId="170" formatCode="0;[Red]0"/>
    <numFmt numFmtId="171" formatCode="#,##0.00;[Red]#,##0.00"/>
    <numFmt numFmtId="172" formatCode="0.000_)"/>
    <numFmt numFmtId="173" formatCode="_([$€-2]* #,##0.00_);_([$€-2]* \(#,##0.00\);_([$€-2]* &quot;-&quot;??_)"/>
    <numFmt numFmtId="174" formatCode="0.00_)"/>
    <numFmt numFmtId="175" formatCode="."/>
  </numFmts>
  <fonts count="18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2"/>
      <name val="Arial"/>
      <family val="2"/>
    </font>
    <font>
      <b/>
      <sz val="10"/>
      <name val="Arial"/>
      <family val="2"/>
    </font>
    <font>
      <sz val="10"/>
      <name val="Arial"/>
      <family val="2"/>
    </font>
    <font>
      <sz val="8"/>
      <name val="Arial"/>
      <family val="2"/>
    </font>
    <font>
      <sz val="10"/>
      <color indexed="8"/>
      <name val="Arial"/>
      <family val="2"/>
    </font>
    <font>
      <sz val="10"/>
      <name val="MS Serif"/>
      <family val="1"/>
    </font>
    <font>
      <sz val="10"/>
      <color indexed="16"/>
      <name val="MS Serif"/>
      <family val="1"/>
    </font>
    <font>
      <sz val="8"/>
      <name val="Helv"/>
    </font>
    <font>
      <b/>
      <sz val="8"/>
      <color indexed="8"/>
      <name val="Helv"/>
    </font>
    <font>
      <sz val="9"/>
      <name val="Arial"/>
      <family val="2"/>
    </font>
    <font>
      <sz val="10"/>
      <name val="Arial"/>
      <family val="2"/>
    </font>
    <font>
      <b/>
      <sz val="9"/>
      <name val="Arial"/>
      <family val="2"/>
    </font>
    <font>
      <b/>
      <sz val="16"/>
      <name val="Arial"/>
      <family val="2"/>
    </font>
    <font>
      <b/>
      <sz val="10"/>
      <name val="Times New Roman"/>
      <family val="1"/>
    </font>
    <font>
      <b/>
      <sz val="9"/>
      <name val="Verdana"/>
      <family val="2"/>
    </font>
    <font>
      <sz val="7"/>
      <name val="Small Fonts"/>
      <family val="2"/>
    </font>
    <font>
      <b/>
      <sz val="12"/>
      <name val="MS Sans Serif"/>
      <family val="2"/>
    </font>
    <font>
      <sz val="12"/>
      <name val="MS Sans Serif"/>
      <family val="2"/>
    </font>
    <font>
      <u/>
      <sz val="12"/>
      <name val="Verdana"/>
      <family val="2"/>
    </font>
    <font>
      <sz val="11"/>
      <color indexed="8"/>
      <name val="Calibri"/>
      <family val="2"/>
    </font>
    <font>
      <sz val="12"/>
      <name val="Arial"/>
      <family val="2"/>
    </font>
    <font>
      <sz val="10"/>
      <name val="Times New Roman"/>
      <family val="1"/>
    </font>
    <font>
      <sz val="10"/>
      <name val="Arial"/>
      <family val="2"/>
    </font>
    <font>
      <sz val="11"/>
      <color indexed="9"/>
      <name val="Calibri"/>
      <family val="2"/>
    </font>
    <font>
      <b/>
      <sz val="11"/>
      <color indexed="8"/>
      <name val="Calibri"/>
      <family val="2"/>
    </font>
    <font>
      <b/>
      <sz val="18"/>
      <color indexed="62"/>
      <name val="Cambria"/>
      <family val="2"/>
    </font>
    <font>
      <b/>
      <sz val="11"/>
      <name val="Times New Roman"/>
      <family val="1"/>
    </font>
    <font>
      <sz val="11"/>
      <name val="Times New Roman"/>
      <family val="1"/>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u/>
      <sz val="11"/>
      <color indexed="12"/>
      <name val="Calibri"/>
      <family val="2"/>
    </font>
    <font>
      <sz val="11.5"/>
      <name val="Times New Roman"/>
      <family val="1"/>
    </font>
    <font>
      <sz val="10"/>
      <name val="Helv"/>
      <charset val="204"/>
    </font>
    <font>
      <sz val="11"/>
      <color theme="1"/>
      <name val="Calibri"/>
      <family val="2"/>
      <scheme val="minor"/>
    </font>
    <font>
      <b/>
      <sz val="11"/>
      <color rgb="FFFA7D00"/>
      <name val="Calibri"/>
      <family val="2"/>
      <scheme val="minor"/>
    </font>
    <font>
      <sz val="10"/>
      <name val="Webdings"/>
      <family val="1"/>
      <charset val="2"/>
    </font>
    <font>
      <u/>
      <sz val="16"/>
      <name val="Arial Black"/>
      <family val="2"/>
    </font>
    <font>
      <u/>
      <sz val="12"/>
      <name val="Century"/>
      <family val="1"/>
    </font>
    <font>
      <u/>
      <sz val="16"/>
      <name val="Century"/>
      <family val="1"/>
    </font>
    <font>
      <sz val="16"/>
      <name val="Century"/>
      <family val="1"/>
    </font>
    <font>
      <sz val="10"/>
      <name val="Century"/>
      <family val="1"/>
    </font>
    <font>
      <sz val="14"/>
      <name val="Century"/>
      <family val="1"/>
    </font>
    <font>
      <sz val="11"/>
      <name val="Century"/>
      <family val="1"/>
    </font>
    <font>
      <sz val="12"/>
      <name val="Century"/>
      <family val="1"/>
    </font>
    <font>
      <sz val="10"/>
      <name val="Wingdings"/>
      <charset val="2"/>
    </font>
    <font>
      <sz val="11"/>
      <color indexed="16"/>
      <name val="Calibri"/>
      <family val="2"/>
    </font>
    <font>
      <b/>
      <sz val="11"/>
      <color indexed="53"/>
      <name val="Calibri"/>
      <family val="2"/>
    </font>
    <font>
      <b/>
      <sz val="15"/>
      <color indexed="62"/>
      <name val="Calibri"/>
      <family val="2"/>
    </font>
    <font>
      <b/>
      <sz val="13"/>
      <color indexed="62"/>
      <name val="Calibri"/>
      <family val="2"/>
    </font>
    <font>
      <b/>
      <sz val="11"/>
      <color indexed="62"/>
      <name val="Calibri"/>
      <family val="2"/>
    </font>
    <font>
      <u/>
      <sz val="10"/>
      <color indexed="12"/>
      <name val="Arial"/>
      <family val="2"/>
    </font>
    <font>
      <u/>
      <sz val="11"/>
      <color indexed="12"/>
      <name val="Times New Roman"/>
      <family val="1"/>
    </font>
    <font>
      <u/>
      <sz val="10"/>
      <color theme="10"/>
      <name val="Arial"/>
      <family val="2"/>
    </font>
    <font>
      <sz val="11"/>
      <color indexed="53"/>
      <name val="Calibri"/>
      <family val="2"/>
    </font>
    <font>
      <b/>
      <sz val="12"/>
      <name val="Courier New"/>
      <family val="3"/>
    </font>
    <font>
      <sz val="10"/>
      <name val="Century Gothic"/>
      <family val="2"/>
    </font>
    <font>
      <sz val="10"/>
      <name val="Bradley Hand ITC"/>
      <family val="4"/>
    </font>
    <font>
      <sz val="10"/>
      <name val="Helv"/>
      <family val="2"/>
    </font>
    <font>
      <sz val="10"/>
      <name val="Helv"/>
    </font>
    <font>
      <sz val="10"/>
      <color theme="1"/>
      <name val="Arial"/>
      <family val="2"/>
    </font>
    <font>
      <u/>
      <sz val="14"/>
      <name val="Calibri"/>
      <family val="2"/>
      <scheme val="minor"/>
    </font>
    <font>
      <sz val="10"/>
      <name val="Calibri"/>
      <family val="2"/>
      <scheme val="minor"/>
    </font>
    <font>
      <sz val="12"/>
      <name val="Calibri"/>
      <family val="2"/>
      <scheme val="minor"/>
    </font>
    <font>
      <b/>
      <sz val="12"/>
      <name val="Calibri"/>
      <family val="2"/>
      <scheme val="minor"/>
    </font>
    <font>
      <sz val="9"/>
      <name val="Calibri"/>
      <family val="2"/>
      <scheme val="minor"/>
    </font>
    <font>
      <sz val="10"/>
      <name val="Calibri"/>
      <family val="2"/>
    </font>
    <font>
      <sz val="10"/>
      <color theme="1" tint="4.9989318521683403E-2"/>
      <name val="Calibri"/>
      <family val="2"/>
      <scheme val="minor"/>
    </font>
    <font>
      <sz val="11"/>
      <name val="Calibri"/>
      <family val="2"/>
      <scheme val="minor"/>
    </font>
    <font>
      <b/>
      <sz val="10"/>
      <name val="Calibri"/>
      <family val="2"/>
      <scheme val="minor"/>
    </font>
    <font>
      <sz val="10"/>
      <name val="Tahoma"/>
      <family val="2"/>
    </font>
    <font>
      <b/>
      <u/>
      <sz val="10"/>
      <name val="Calibri"/>
      <family val="2"/>
      <scheme val="minor"/>
    </font>
    <font>
      <sz val="8"/>
      <name val="Calibri"/>
      <family val="2"/>
      <scheme val="minor"/>
    </font>
    <font>
      <b/>
      <i/>
      <sz val="9"/>
      <name val="Calibri"/>
      <family val="2"/>
      <scheme val="minor"/>
    </font>
    <font>
      <b/>
      <sz val="8"/>
      <name val="Calibri"/>
      <family val="2"/>
      <scheme val="minor"/>
    </font>
    <font>
      <b/>
      <sz val="9"/>
      <name val="Calibri"/>
      <family val="2"/>
      <scheme val="minor"/>
    </font>
    <font>
      <sz val="9"/>
      <color indexed="8"/>
      <name val="Calibri"/>
      <family val="2"/>
      <scheme val="minor"/>
    </font>
    <font>
      <sz val="10"/>
      <color indexed="8"/>
      <name val="Calibri"/>
      <family val="2"/>
      <scheme val="minor"/>
    </font>
    <font>
      <sz val="7"/>
      <name val="Calibri"/>
      <family val="2"/>
      <scheme val="minor"/>
    </font>
    <font>
      <sz val="14"/>
      <name val="Calibri"/>
      <family val="2"/>
      <scheme val="minor"/>
    </font>
    <font>
      <sz val="8"/>
      <color theme="1"/>
      <name val="Calibri"/>
      <family val="2"/>
      <scheme val="minor"/>
    </font>
    <font>
      <b/>
      <sz val="8"/>
      <color theme="1"/>
      <name val="Calibri"/>
      <family val="2"/>
      <scheme val="minor"/>
    </font>
    <font>
      <b/>
      <sz val="8"/>
      <color indexed="8"/>
      <name val="Calibri"/>
      <family val="2"/>
      <scheme val="minor"/>
    </font>
    <font>
      <sz val="8"/>
      <color indexed="8"/>
      <name val="Calibri"/>
      <family val="2"/>
      <scheme val="minor"/>
    </font>
    <font>
      <sz val="10"/>
      <color theme="1"/>
      <name val="Calibri"/>
      <family val="2"/>
      <scheme val="minor"/>
    </font>
    <font>
      <b/>
      <sz val="16"/>
      <name val="Calibri"/>
      <family val="2"/>
      <scheme val="minor"/>
    </font>
    <font>
      <vertAlign val="superscript"/>
      <sz val="10"/>
      <name val="Calibri"/>
      <family val="2"/>
      <scheme val="minor"/>
    </font>
    <font>
      <b/>
      <sz val="14"/>
      <name val="Calibri"/>
      <family val="2"/>
      <scheme val="minor"/>
    </font>
    <font>
      <b/>
      <u/>
      <sz val="13"/>
      <name val="Calibri"/>
      <family val="2"/>
      <scheme val="minor"/>
    </font>
    <font>
      <sz val="13"/>
      <name val="Calibri"/>
      <family val="2"/>
      <scheme val="minor"/>
    </font>
    <font>
      <b/>
      <sz val="11"/>
      <name val="Calibri"/>
      <family val="2"/>
      <scheme val="minor"/>
    </font>
    <font>
      <b/>
      <i/>
      <u/>
      <sz val="16"/>
      <name val="Calibri"/>
      <family val="2"/>
    </font>
    <font>
      <i/>
      <sz val="10"/>
      <name val="Calibri"/>
      <family val="2"/>
    </font>
    <font>
      <b/>
      <i/>
      <sz val="12"/>
      <name val="Calibri"/>
      <family val="2"/>
    </font>
    <font>
      <i/>
      <sz val="12"/>
      <name val="Calibri"/>
      <family val="2"/>
    </font>
    <font>
      <b/>
      <i/>
      <u/>
      <sz val="12"/>
      <name val="Calibri"/>
      <family val="2"/>
    </font>
    <font>
      <i/>
      <sz val="12"/>
      <name val="Calibri"/>
      <family val="2"/>
      <scheme val="minor"/>
    </font>
    <font>
      <sz val="11"/>
      <name val="Calibri"/>
      <family val="2"/>
    </font>
    <font>
      <i/>
      <sz val="11"/>
      <name val="Calibri"/>
      <family val="2"/>
    </font>
    <font>
      <sz val="10"/>
      <color theme="0"/>
      <name val="Calibri"/>
      <family val="2"/>
      <scheme val="minor"/>
    </font>
    <font>
      <b/>
      <sz val="11"/>
      <color theme="1"/>
      <name val="Calibri"/>
      <family val="2"/>
      <scheme val="minor"/>
    </font>
    <font>
      <sz val="12"/>
      <name val="Calibri"/>
      <family val="2"/>
    </font>
    <font>
      <b/>
      <u/>
      <sz val="12"/>
      <name val="Aharoni"/>
      <charset val="177"/>
    </font>
    <font>
      <u/>
      <sz val="12"/>
      <name val="Aharoni"/>
      <charset val="177"/>
    </font>
    <font>
      <b/>
      <u/>
      <sz val="13"/>
      <name val="Calibri"/>
      <family val="2"/>
    </font>
    <font>
      <sz val="13"/>
      <name val="Calibri"/>
      <family val="2"/>
    </font>
    <font>
      <b/>
      <sz val="11"/>
      <name val="Calibri"/>
      <family val="2"/>
    </font>
    <font>
      <sz val="8"/>
      <name val="Calibri"/>
      <family val="2"/>
    </font>
    <font>
      <sz val="8"/>
      <name val="Tahoma"/>
      <family val="2"/>
    </font>
    <font>
      <b/>
      <sz val="10"/>
      <name val="Calibri"/>
      <family val="2"/>
    </font>
    <font>
      <b/>
      <sz val="13"/>
      <color theme="1"/>
      <name val="Calibri"/>
      <family val="2"/>
      <scheme val="minor"/>
    </font>
    <font>
      <b/>
      <sz val="9"/>
      <color theme="1"/>
      <name val="Calibri"/>
      <family val="2"/>
      <scheme val="minor"/>
    </font>
    <font>
      <b/>
      <u/>
      <sz val="11"/>
      <color theme="1"/>
      <name val="Calibri"/>
      <family val="2"/>
      <scheme val="minor"/>
    </font>
    <font>
      <sz val="10"/>
      <color theme="0"/>
      <name val="Aharoni"/>
      <charset val="177"/>
    </font>
    <font>
      <sz val="10"/>
      <name val="Aharoni"/>
      <charset val="177"/>
    </font>
    <font>
      <sz val="8"/>
      <color theme="0"/>
      <name val="Aharoni"/>
      <charset val="177"/>
    </font>
    <font>
      <sz val="8"/>
      <name val="Aharoni"/>
      <charset val="177"/>
    </font>
    <font>
      <sz val="6"/>
      <name val="Aharoni"/>
      <charset val="177"/>
    </font>
    <font>
      <b/>
      <sz val="10"/>
      <color theme="0"/>
      <name val="Calibri"/>
      <family val="2"/>
      <scheme val="minor"/>
    </font>
    <font>
      <b/>
      <sz val="8"/>
      <color theme="0"/>
      <name val="Calibri"/>
      <family val="2"/>
      <scheme val="minor"/>
    </font>
    <font>
      <sz val="10"/>
      <color rgb="FFFF0000"/>
      <name val="Calibri"/>
      <family val="2"/>
      <scheme val="minor"/>
    </font>
    <font>
      <u/>
      <sz val="10"/>
      <name val="Calibri"/>
      <family val="2"/>
      <scheme val="minor"/>
    </font>
    <font>
      <u/>
      <sz val="10"/>
      <color rgb="FFFF0000"/>
      <name val="Calibri"/>
      <family val="2"/>
      <scheme val="minor"/>
    </font>
    <font>
      <b/>
      <i/>
      <sz val="8"/>
      <name val="Calibri"/>
      <family val="2"/>
      <scheme val="minor"/>
    </font>
    <font>
      <b/>
      <u/>
      <sz val="14"/>
      <name val="Calibri"/>
      <family val="2"/>
      <scheme val="minor"/>
    </font>
    <font>
      <b/>
      <u/>
      <sz val="14"/>
      <name val="Calibri"/>
      <family val="2"/>
    </font>
    <font>
      <u/>
      <sz val="11"/>
      <name val="Calibri"/>
      <family val="2"/>
    </font>
    <font>
      <b/>
      <i/>
      <u/>
      <sz val="12"/>
      <name val="Calibri"/>
      <family val="2"/>
      <scheme val="minor"/>
    </font>
    <font>
      <b/>
      <i/>
      <sz val="11"/>
      <name val="Calibri"/>
      <family val="2"/>
      <scheme val="minor"/>
    </font>
    <font>
      <b/>
      <i/>
      <sz val="12"/>
      <name val="Calibri"/>
      <family val="2"/>
      <scheme val="minor"/>
    </font>
    <font>
      <b/>
      <i/>
      <u/>
      <sz val="11"/>
      <name val="Calibri"/>
      <family val="2"/>
      <scheme val="minor"/>
    </font>
    <font>
      <b/>
      <u/>
      <sz val="9"/>
      <color rgb="FFFF0000"/>
      <name val="Calibri"/>
      <family val="2"/>
      <scheme val="minor"/>
    </font>
    <font>
      <sz val="8.5"/>
      <name val="Calibri"/>
      <family val="2"/>
      <scheme val="minor"/>
    </font>
    <font>
      <i/>
      <sz val="9"/>
      <name val="Calibri"/>
      <family val="2"/>
      <scheme val="minor"/>
    </font>
    <font>
      <sz val="7"/>
      <name val="Arial"/>
      <family val="2"/>
    </font>
    <font>
      <i/>
      <sz val="10"/>
      <name val="Calibri"/>
      <family val="2"/>
      <scheme val="minor"/>
    </font>
    <font>
      <b/>
      <i/>
      <sz val="10"/>
      <name val="Calibri"/>
      <family val="2"/>
      <scheme val="minor"/>
    </font>
    <font>
      <b/>
      <u/>
      <sz val="12"/>
      <name val="Calibri"/>
      <family val="2"/>
      <scheme val="minor"/>
    </font>
    <font>
      <b/>
      <sz val="10"/>
      <color indexed="8"/>
      <name val="Calibri"/>
      <family val="2"/>
      <scheme val="minor"/>
    </font>
    <font>
      <b/>
      <sz val="10"/>
      <color theme="1"/>
      <name val="Calibri"/>
      <family val="2"/>
      <scheme val="minor"/>
    </font>
    <font>
      <sz val="18"/>
      <name val="Arial"/>
      <family val="2"/>
    </font>
    <font>
      <b/>
      <sz val="14"/>
      <name val="Arial"/>
      <family val="2"/>
    </font>
    <font>
      <sz val="11"/>
      <name val="Tahoma"/>
      <family val="2"/>
    </font>
    <font>
      <b/>
      <sz val="11"/>
      <name val="Tahoma"/>
      <family val="2"/>
    </font>
    <font>
      <b/>
      <i/>
      <sz val="11"/>
      <name val="Tahoma"/>
      <family val="2"/>
    </font>
    <font>
      <sz val="10"/>
      <name val="Arial Narrow"/>
      <family val="2"/>
    </font>
    <font>
      <sz val="10"/>
      <color rgb="FF000099"/>
      <name val="Tahoma"/>
      <family val="2"/>
    </font>
    <font>
      <sz val="10"/>
      <color rgb="FFFF0000"/>
      <name val="Arial Narrow"/>
      <family val="2"/>
    </font>
    <font>
      <sz val="8"/>
      <color theme="1" tint="4.9989318521683403E-2"/>
      <name val="Calibri"/>
      <family val="2"/>
      <scheme val="minor"/>
    </font>
    <font>
      <b/>
      <sz val="11"/>
      <color theme="0"/>
      <name val="Calibri"/>
      <family val="2"/>
      <scheme val="minor"/>
    </font>
    <font>
      <b/>
      <i/>
      <u/>
      <sz val="10"/>
      <color rgb="FFFF0000"/>
      <name val="Calibri"/>
      <family val="2"/>
      <scheme val="minor"/>
    </font>
    <font>
      <b/>
      <u/>
      <sz val="14"/>
      <name val="Aharoni"/>
      <charset val="177"/>
    </font>
    <font>
      <b/>
      <u/>
      <sz val="13"/>
      <color theme="1"/>
      <name val="Calibri"/>
      <family val="2"/>
      <scheme val="minor"/>
    </font>
    <font>
      <b/>
      <sz val="10"/>
      <color theme="1" tint="4.9989318521683403E-2"/>
      <name val="Calibri"/>
      <family val="2"/>
      <scheme val="minor"/>
    </font>
    <font>
      <sz val="10"/>
      <color rgb="FF000000"/>
      <name val="Times New Roman"/>
      <family val="1"/>
    </font>
    <font>
      <b/>
      <sz val="10"/>
      <color rgb="FFFF0000"/>
      <name val="Calibri"/>
      <family val="2"/>
      <scheme val="minor"/>
    </font>
    <font>
      <sz val="8"/>
      <name val="Arial"/>
      <family val="2"/>
    </font>
  </fonts>
  <fills count="5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22"/>
      </patternFill>
    </fill>
    <fill>
      <patternFill patternType="solid">
        <fgColor indexed="5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solid">
        <fgColor indexed="9"/>
        <bgColor indexed="9"/>
      </patternFill>
    </fill>
    <fill>
      <patternFill patternType="solid">
        <fgColor rgb="FFF2F2F2"/>
      </patternFill>
    </fill>
    <fill>
      <patternFill patternType="solid">
        <fgColor indexed="54"/>
        <bgColor indexed="54"/>
      </patternFill>
    </fill>
    <fill>
      <patternFill patternType="solid">
        <fgColor indexed="25"/>
        <bgColor indexed="25"/>
      </patternFill>
    </fill>
    <fill>
      <patternFill patternType="solid">
        <fgColor indexed="49"/>
        <bgColor indexed="49"/>
      </patternFill>
    </fill>
    <fill>
      <patternFill patternType="solid">
        <fgColor indexed="52"/>
        <bgColor indexed="52"/>
      </patternFill>
    </fill>
    <fill>
      <patternFill patternType="solid">
        <fgColor indexed="45"/>
        <bgColor indexed="45"/>
      </patternFill>
    </fill>
    <fill>
      <patternFill patternType="solid">
        <fgColor indexed="43"/>
        <bgColor indexed="43"/>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
      <patternFill patternType="solid">
        <fgColor rgb="FFFF0000"/>
        <bgColor indexed="64"/>
      </patternFill>
    </fill>
    <fill>
      <patternFill patternType="solid">
        <fgColor theme="9" tint="-0.249977111117893"/>
        <bgColor indexed="64"/>
      </patternFill>
    </fill>
    <fill>
      <patternFill patternType="solid">
        <fgColor rgb="FF92D050"/>
        <bgColor indexed="64"/>
      </patternFill>
    </fill>
  </fills>
  <borders count="4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right style="thin">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top style="thin">
        <color indexed="64"/>
      </top>
      <bottom style="double">
        <color indexed="64"/>
      </bottom>
      <diagonal/>
    </border>
    <border>
      <left style="hair">
        <color indexed="64"/>
      </left>
      <right/>
      <top/>
      <bottom style="hair">
        <color indexed="64"/>
      </bottom>
      <diagonal/>
    </border>
    <border>
      <left/>
      <right/>
      <top/>
      <bottom style="hair">
        <color indexed="64"/>
      </bottom>
      <diagonal/>
    </border>
    <border>
      <left style="thin">
        <color rgb="FF7F7F7F"/>
      </left>
      <right style="thin">
        <color rgb="FF7F7F7F"/>
      </right>
      <top style="thin">
        <color rgb="FF7F7F7F"/>
      </top>
      <bottom style="thin">
        <color rgb="FF7F7F7F"/>
      </bottom>
      <diagonal/>
    </border>
    <border>
      <left/>
      <right/>
      <top/>
      <bottom style="thick">
        <color indexed="54"/>
      </bottom>
      <diagonal/>
    </border>
    <border>
      <left/>
      <right/>
      <top/>
      <bottom style="medium">
        <color indexed="44"/>
      </bottom>
      <diagonal/>
    </border>
    <border>
      <left style="thin">
        <color indexed="64"/>
      </left>
      <right style="thin">
        <color indexed="64"/>
      </right>
      <top style="hair">
        <color indexed="64"/>
      </top>
      <bottom style="hair">
        <color indexed="64"/>
      </bottom>
      <diagonal/>
    </border>
    <border>
      <left/>
      <right/>
      <top style="thin">
        <color indexed="54"/>
      </top>
      <bottom style="double">
        <color indexed="5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style="thin">
        <color indexed="64"/>
      </right>
      <top style="thin">
        <color indexed="64"/>
      </top>
      <bottom style="thin">
        <color indexed="64"/>
      </bottom>
      <diagonal/>
    </border>
    <border>
      <left style="thin">
        <color indexed="64"/>
      </left>
      <right style="thick">
        <color auto="1"/>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n">
        <color indexed="64"/>
      </left>
      <right/>
      <top/>
      <bottom/>
      <diagonal/>
    </border>
    <border>
      <left/>
      <right style="hair">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bottom/>
      <diagonal/>
    </border>
    <border>
      <left style="hair">
        <color indexed="64"/>
      </left>
      <right style="hair">
        <color indexed="64"/>
      </right>
      <top style="hair">
        <color indexed="64"/>
      </top>
      <bottom/>
      <diagonal/>
    </border>
  </borders>
  <cellStyleXfs count="1429">
    <xf numFmtId="0" fontId="0" fillId="0" borderId="0"/>
    <xf numFmtId="0" fontId="40" fillId="2" borderId="0" applyNumberFormat="0" applyBorder="0" applyAlignment="0" applyProtection="0"/>
    <xf numFmtId="0" fontId="40" fillId="3" borderId="0" applyNumberFormat="0" applyBorder="0" applyAlignment="0" applyProtection="0"/>
    <xf numFmtId="0" fontId="40" fillId="4" borderId="0" applyNumberFormat="0" applyBorder="0" applyAlignment="0" applyProtection="0"/>
    <xf numFmtId="0" fontId="40" fillId="5" borderId="0" applyNumberFormat="0" applyBorder="0" applyAlignment="0" applyProtection="0"/>
    <xf numFmtId="0" fontId="40" fillId="6" borderId="0" applyNumberFormat="0" applyBorder="0" applyAlignment="0" applyProtection="0"/>
    <xf numFmtId="0" fontId="40" fillId="7" borderId="0" applyNumberFormat="0" applyBorder="0" applyAlignment="0" applyProtection="0"/>
    <xf numFmtId="0" fontId="40" fillId="8" borderId="0" applyNumberFormat="0" applyBorder="0" applyAlignment="0" applyProtection="0"/>
    <xf numFmtId="0" fontId="40" fillId="9" borderId="0" applyNumberFormat="0" applyBorder="0" applyAlignment="0" applyProtection="0"/>
    <xf numFmtId="0" fontId="40" fillId="10" borderId="0" applyNumberFormat="0" applyBorder="0" applyAlignment="0" applyProtection="0"/>
    <xf numFmtId="0" fontId="40" fillId="5" borderId="0" applyNumberFormat="0" applyBorder="0" applyAlignment="0" applyProtection="0"/>
    <xf numFmtId="0" fontId="40" fillId="8" borderId="0" applyNumberFormat="0" applyBorder="0" applyAlignment="0" applyProtection="0"/>
    <xf numFmtId="0" fontId="40" fillId="11" borderId="0" applyNumberFormat="0" applyBorder="0" applyAlignment="0" applyProtection="0"/>
    <xf numFmtId="0" fontId="44" fillId="12" borderId="0" applyNumberFormat="0" applyBorder="0" applyAlignment="0" applyProtection="0"/>
    <xf numFmtId="0" fontId="44" fillId="9" borderId="0" applyNumberFormat="0" applyBorder="0" applyAlignment="0" applyProtection="0"/>
    <xf numFmtId="0" fontId="44" fillId="10"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5"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4" fillId="18" borderId="0" applyNumberFormat="0" applyBorder="0" applyAlignment="0" applyProtection="0"/>
    <xf numFmtId="0" fontId="44" fillId="16" borderId="0" applyNumberFormat="0" applyBorder="0" applyAlignment="0" applyProtection="0"/>
    <xf numFmtId="0" fontId="40" fillId="20" borderId="0" applyNumberFormat="0" applyBorder="0" applyAlignment="0" applyProtection="0"/>
    <xf numFmtId="0" fontId="40" fillId="21" borderId="0" applyNumberFormat="0" applyBorder="0" applyAlignment="0" applyProtection="0"/>
    <xf numFmtId="0" fontId="44" fillId="22" borderId="0" applyNumberFormat="0" applyBorder="0" applyAlignment="0" applyProtection="0"/>
    <xf numFmtId="0" fontId="44" fillId="19" borderId="0" applyNumberFormat="0" applyBorder="0" applyAlignment="0" applyProtection="0"/>
    <xf numFmtId="0" fontId="40" fillId="20" borderId="0" applyNumberFormat="0" applyBorder="0" applyAlignment="0" applyProtection="0"/>
    <xf numFmtId="0" fontId="40" fillId="24" borderId="0" applyNumberFormat="0" applyBorder="0" applyAlignment="0" applyProtection="0"/>
    <xf numFmtId="0" fontId="44" fillId="21" borderId="0" applyNumberFormat="0" applyBorder="0" applyAlignment="0" applyProtection="0"/>
    <xf numFmtId="0" fontId="44" fillId="23" borderId="0" applyNumberFormat="0" applyBorder="0" applyAlignment="0" applyProtection="0"/>
    <xf numFmtId="0" fontId="40" fillId="17" borderId="0" applyNumberFormat="0" applyBorder="0" applyAlignment="0" applyProtection="0"/>
    <xf numFmtId="0" fontId="40" fillId="21" borderId="0" applyNumberFormat="0" applyBorder="0" applyAlignment="0" applyProtection="0"/>
    <xf numFmtId="0" fontId="44" fillId="21" borderId="0" applyNumberFormat="0" applyBorder="0" applyAlignment="0" applyProtection="0"/>
    <xf numFmtId="0" fontId="44" fillId="13" borderId="0" applyNumberFormat="0" applyBorder="0" applyAlignment="0" applyProtection="0"/>
    <xf numFmtId="0" fontId="40" fillId="25" borderId="0" applyNumberFormat="0" applyBorder="0" applyAlignment="0" applyProtection="0"/>
    <xf numFmtId="0" fontId="40" fillId="17" borderId="0" applyNumberFormat="0" applyBorder="0" applyAlignment="0" applyProtection="0"/>
    <xf numFmtId="0" fontId="44" fillId="18" borderId="0" applyNumberFormat="0" applyBorder="0" applyAlignment="0" applyProtection="0"/>
    <xf numFmtId="0" fontId="44" fillId="14" borderId="0" applyNumberFormat="0" applyBorder="0" applyAlignment="0" applyProtection="0"/>
    <xf numFmtId="0" fontId="40" fillId="20" borderId="0" applyNumberFormat="0" applyBorder="0" applyAlignment="0" applyProtection="0"/>
    <xf numFmtId="0" fontId="40" fillId="27" borderId="0" applyNumberFormat="0" applyBorder="0" applyAlignment="0" applyProtection="0"/>
    <xf numFmtId="0" fontId="44" fillId="27" borderId="0" applyNumberFormat="0" applyBorder="0" applyAlignment="0" applyProtection="0"/>
    <xf numFmtId="0" fontId="44" fillId="26" borderId="0" applyNumberFormat="0" applyBorder="0" applyAlignment="0" applyProtection="0"/>
    <xf numFmtId="0" fontId="49" fillId="3" borderId="0" applyNumberFormat="0" applyBorder="0" applyAlignment="0" applyProtection="0"/>
    <xf numFmtId="0" fontId="25" fillId="0" borderId="0" applyFill="0" applyBorder="0" applyAlignment="0"/>
    <xf numFmtId="0" fontId="50" fillId="28" borderId="1" applyNumberFormat="0" applyAlignment="0" applyProtection="0"/>
    <xf numFmtId="0" fontId="51" fillId="29" borderId="2" applyNumberFormat="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170" fontId="42" fillId="0" borderId="0" applyFont="0" applyFill="0" applyBorder="0" applyAlignment="0" applyProtection="0"/>
    <xf numFmtId="43" fontId="23" fillId="0" borderId="0" applyFont="0" applyFill="0" applyBorder="0" applyAlignment="0" applyProtection="0"/>
    <xf numFmtId="7" fontId="42" fillId="0" borderId="0" applyFont="0" applyFill="0" applyBorder="0" applyAlignment="0" applyProtection="0"/>
    <xf numFmtId="168" fontId="4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7" fontId="42" fillId="0" borderId="0" applyFont="0" applyFill="0" applyBorder="0" applyAlignment="0" applyProtection="0"/>
    <xf numFmtId="7" fontId="42" fillId="0" borderId="0" applyFont="0" applyFill="0" applyBorder="0" applyAlignment="0" applyProtection="0"/>
    <xf numFmtId="0" fontId="26" fillId="0" borderId="0" applyNumberFormat="0" applyAlignment="0">
      <alignment horizontal="left"/>
    </xf>
    <xf numFmtId="0" fontId="45" fillId="30" borderId="0" applyNumberFormat="0" applyBorder="0" applyAlignment="0" applyProtection="0"/>
    <xf numFmtId="0" fontId="45" fillId="31" borderId="0" applyNumberFormat="0" applyBorder="0" applyAlignment="0" applyProtection="0"/>
    <xf numFmtId="0" fontId="45" fillId="32" borderId="0" applyNumberFormat="0" applyBorder="0" applyAlignment="0" applyProtection="0"/>
    <xf numFmtId="0" fontId="27" fillId="0" borderId="0" applyNumberFormat="0" applyAlignment="0">
      <alignment horizontal="left"/>
    </xf>
    <xf numFmtId="0" fontId="52" fillId="0" borderId="0" applyNumberFormat="0" applyFill="0" applyBorder="0" applyAlignment="0" applyProtection="0"/>
    <xf numFmtId="2" fontId="23" fillId="0" borderId="0" applyFont="0" applyFill="0" applyBorder="0" applyAlignment="0" applyProtection="0"/>
    <xf numFmtId="1" fontId="31" fillId="0" borderId="0"/>
    <xf numFmtId="1" fontId="23" fillId="0" borderId="0"/>
    <xf numFmtId="1" fontId="23" fillId="0" borderId="0"/>
    <xf numFmtId="1" fontId="23" fillId="0" borderId="0"/>
    <xf numFmtId="0" fontId="53" fillId="4" borderId="0" applyNumberFormat="0" applyBorder="0" applyAlignment="0" applyProtection="0"/>
    <xf numFmtId="38" fontId="24" fillId="33" borderId="0" applyNumberFormat="0" applyBorder="0" applyAlignment="0" applyProtection="0"/>
    <xf numFmtId="0" fontId="21" fillId="0" borderId="3" applyNumberFormat="0" applyAlignment="0" applyProtection="0">
      <alignment horizontal="left" vertical="center"/>
    </xf>
    <xf numFmtId="0" fontId="21" fillId="0" borderId="4">
      <alignment horizontal="left" vertical="center"/>
    </xf>
    <xf numFmtId="0" fontId="54" fillId="0" borderId="5" applyNumberFormat="0" applyFill="0" applyAlignment="0" applyProtection="0"/>
    <xf numFmtId="0" fontId="55" fillId="0" borderId="6" applyNumberFormat="0" applyFill="0" applyAlignment="0" applyProtection="0"/>
    <xf numFmtId="0" fontId="56" fillId="0" borderId="7" applyNumberFormat="0" applyFill="0" applyAlignment="0" applyProtection="0"/>
    <xf numFmtId="0" fontId="56" fillId="0" borderId="0" applyNumberFormat="0" applyFill="0" applyBorder="0" applyAlignment="0" applyProtection="0"/>
    <xf numFmtId="0" fontId="63" fillId="0" borderId="0" applyNumberFormat="0" applyFill="0" applyBorder="0" applyAlignment="0" applyProtection="0">
      <alignment vertical="top"/>
      <protection locked="0"/>
    </xf>
    <xf numFmtId="10" fontId="24" fillId="34" borderId="8" applyNumberFormat="0" applyBorder="0" applyAlignment="0" applyProtection="0"/>
    <xf numFmtId="0" fontId="57" fillId="7" borderId="1" applyNumberFormat="0" applyAlignment="0" applyProtection="0"/>
    <xf numFmtId="0" fontId="58" fillId="0" borderId="9" applyNumberFormat="0" applyFill="0" applyAlignment="0" applyProtection="0"/>
    <xf numFmtId="0" fontId="33" fillId="0" borderId="0" applyProtection="0">
      <alignment horizontal="center" vertical="center"/>
    </xf>
    <xf numFmtId="166" fontId="34" fillId="0" borderId="10">
      <alignment horizontal="right"/>
    </xf>
    <xf numFmtId="166" fontId="34" fillId="0" borderId="10">
      <alignment horizontal="right"/>
    </xf>
    <xf numFmtId="166" fontId="34" fillId="0" borderId="10">
      <alignment horizontal="right"/>
    </xf>
    <xf numFmtId="0" fontId="35" fillId="0" borderId="8">
      <alignment wrapText="1"/>
    </xf>
    <xf numFmtId="0" fontId="59" fillId="35" borderId="0" applyNumberFormat="0" applyBorder="0" applyAlignment="0" applyProtection="0"/>
    <xf numFmtId="37" fontId="36" fillId="0" borderId="0"/>
    <xf numFmtId="0" fontId="20" fillId="0" borderId="0"/>
    <xf numFmtId="0" fontId="23" fillId="0" borderId="0"/>
    <xf numFmtId="0" fontId="23" fillId="0" borderId="0"/>
    <xf numFmtId="0" fontId="23" fillId="0" borderId="0"/>
    <xf numFmtId="0" fontId="43" fillId="0" borderId="0"/>
    <xf numFmtId="0" fontId="23" fillId="0" borderId="0"/>
    <xf numFmtId="0" fontId="23" fillId="0" borderId="0"/>
    <xf numFmtId="0" fontId="23" fillId="0" borderId="0"/>
    <xf numFmtId="0" fontId="23" fillId="0" borderId="0"/>
    <xf numFmtId="0" fontId="40" fillId="0" borderId="0"/>
    <xf numFmtId="0" fontId="23" fillId="0" borderId="0"/>
    <xf numFmtId="0" fontId="23" fillId="0" borderId="0"/>
    <xf numFmtId="0" fontId="23" fillId="0" borderId="0"/>
    <xf numFmtId="0" fontId="42" fillId="0" borderId="0"/>
    <xf numFmtId="0" fontId="42" fillId="0" borderId="0"/>
    <xf numFmtId="0" fontId="42" fillId="0" borderId="0"/>
    <xf numFmtId="0" fontId="23" fillId="0" borderId="0"/>
    <xf numFmtId="0" fontId="31"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0" fillId="0" borderId="0"/>
    <xf numFmtId="0" fontId="42" fillId="0" borderId="0"/>
    <xf numFmtId="0" fontId="64"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1" fillId="0" borderId="0"/>
    <xf numFmtId="0" fontId="23" fillId="0" borderId="0"/>
    <xf numFmtId="0" fontId="23" fillId="0" borderId="0"/>
    <xf numFmtId="0" fontId="23" fillId="0" borderId="0"/>
    <xf numFmtId="0" fontId="66" fillId="0" borderId="0"/>
    <xf numFmtId="0" fontId="66" fillId="0" borderId="0"/>
    <xf numFmtId="0" fontId="42" fillId="0" borderId="0"/>
    <xf numFmtId="0" fontId="66" fillId="0" borderId="0"/>
    <xf numFmtId="0" fontId="23" fillId="36" borderId="11" applyNumberFormat="0" applyFont="0" applyAlignment="0" applyProtection="0"/>
    <xf numFmtId="0" fontId="60" fillId="28" borderId="12" applyNumberFormat="0" applyAlignment="0" applyProtection="0"/>
    <xf numFmtId="10" fontId="20" fillId="0" borderId="0" applyFont="0" applyFill="0" applyBorder="0" applyAlignment="0" applyProtection="0"/>
    <xf numFmtId="10" fontId="23" fillId="0" borderId="0" applyFont="0" applyFill="0" applyBorder="0" applyAlignment="0" applyProtection="0"/>
    <xf numFmtId="10" fontId="23" fillId="0" borderId="0" applyFont="0" applyFill="0" applyBorder="0" applyAlignment="0" applyProtection="0"/>
    <xf numFmtId="10" fontId="43"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3" fillId="0" borderId="0" applyFont="0" applyFill="0" applyBorder="0" applyAlignment="0" applyProtection="0"/>
    <xf numFmtId="9" fontId="42" fillId="0" borderId="0" applyFont="0" applyFill="0" applyBorder="0" applyAlignment="0" applyProtection="0"/>
    <xf numFmtId="9" fontId="66" fillId="0" borderId="0" applyFont="0" applyFill="0" applyBorder="0" applyAlignment="0" applyProtection="0"/>
    <xf numFmtId="9" fontId="42" fillId="0" borderId="0" applyFont="0" applyFill="0" applyBorder="0" applyAlignment="0" applyProtection="0"/>
    <xf numFmtId="14" fontId="28" fillId="0" borderId="0" applyNumberFormat="0" applyFill="0" applyBorder="0" applyAlignment="0" applyProtection="0">
      <alignment horizontal="left"/>
    </xf>
    <xf numFmtId="0" fontId="46" fillId="0" borderId="0" applyNumberFormat="0" applyFill="0" applyBorder="0" applyAlignment="0" applyProtection="0"/>
    <xf numFmtId="0" fontId="37" fillId="0" borderId="8">
      <alignment horizontal="center"/>
    </xf>
    <xf numFmtId="0" fontId="65" fillId="0" borderId="0"/>
    <xf numFmtId="0" fontId="37" fillId="0" borderId="8">
      <alignment horizontal="center"/>
    </xf>
    <xf numFmtId="0" fontId="37" fillId="0" borderId="0">
      <alignment horizontal="center" vertical="center"/>
    </xf>
    <xf numFmtId="0" fontId="38" fillId="37" borderId="0" applyNumberFormat="0" applyFill="0">
      <alignment horizontal="left" vertical="center"/>
    </xf>
    <xf numFmtId="0" fontId="39" fillId="0" borderId="8">
      <alignment horizontal="center" vertical="center" wrapText="1"/>
    </xf>
    <xf numFmtId="40" fontId="29" fillId="0" borderId="0" applyBorder="0">
      <alignment horizontal="right"/>
    </xf>
    <xf numFmtId="169" fontId="23" fillId="0" borderId="0" applyFont="0" applyFill="0" applyBorder="0" applyAlignment="0" applyProtection="0"/>
    <xf numFmtId="169" fontId="23" fillId="0" borderId="0" applyFont="0" applyFill="0" applyBorder="0" applyAlignment="0" applyProtection="0"/>
    <xf numFmtId="169" fontId="23" fillId="0" borderId="0" applyFont="0" applyFill="0" applyBorder="0" applyAlignment="0" applyProtection="0"/>
    <xf numFmtId="0" fontId="31" fillId="0" borderId="0"/>
    <xf numFmtId="0" fontId="23" fillId="0" borderId="0"/>
    <xf numFmtId="0" fontId="23" fillId="0" borderId="0"/>
    <xf numFmtId="0" fontId="23" fillId="0" borderId="0"/>
    <xf numFmtId="40" fontId="47" fillId="0" borderId="0"/>
    <xf numFmtId="0" fontId="61" fillId="0" borderId="0" applyNumberFormat="0" applyFill="0" applyBorder="0" applyAlignment="0" applyProtection="0"/>
    <xf numFmtId="0" fontId="45" fillId="0" borderId="13" applyNumberFormat="0" applyFill="0" applyAlignment="0" applyProtection="0"/>
    <xf numFmtId="0" fontId="23" fillId="0" borderId="14">
      <alignment horizontal="center"/>
    </xf>
    <xf numFmtId="0" fontId="62" fillId="0" borderId="0" applyNumberFormat="0" applyFill="0" applyBorder="0" applyAlignment="0" applyProtection="0"/>
    <xf numFmtId="0" fontId="42" fillId="0" borderId="0"/>
    <xf numFmtId="0" fontId="19" fillId="0" borderId="0"/>
    <xf numFmtId="0" fontId="48" fillId="0" borderId="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2"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7"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9"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10"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8"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12"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0"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16" borderId="0" applyNumberFormat="0" applyBorder="0" applyAlignment="0" applyProtection="0"/>
    <xf numFmtId="0" fontId="44" fillId="39" borderId="0" applyNumberFormat="0" applyBorder="0" applyAlignment="0" applyProtection="0"/>
    <xf numFmtId="0" fontId="44" fillId="16" borderId="0" applyNumberFormat="0" applyBorder="0" applyAlignment="0" applyProtection="0"/>
    <xf numFmtId="0" fontId="44" fillId="16"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1" borderId="0" applyNumberFormat="0" applyBorder="0" applyAlignment="0" applyProtection="0"/>
    <xf numFmtId="0" fontId="40" fillId="21" borderId="0" applyNumberFormat="0" applyBorder="0" applyAlignment="0" applyProtection="0"/>
    <xf numFmtId="0" fontId="40" fillId="21"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19" borderId="0" applyNumberFormat="0" applyBorder="0" applyAlignment="0" applyProtection="0"/>
    <xf numFmtId="0" fontId="44" fillId="40" borderId="0" applyNumberFormat="0" applyBorder="0" applyAlignment="0" applyProtection="0"/>
    <xf numFmtId="0" fontId="44" fillId="19" borderId="0" applyNumberFormat="0" applyBorder="0" applyAlignment="0" applyProtection="0"/>
    <xf numFmtId="0" fontId="44" fillId="19"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4" borderId="0" applyNumberFormat="0" applyBorder="0" applyAlignment="0" applyProtection="0"/>
    <xf numFmtId="0" fontId="40" fillId="24" borderId="0" applyNumberFormat="0" applyBorder="0" applyAlignment="0" applyProtection="0"/>
    <xf numFmtId="0" fontId="40" fillId="24"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3" borderId="0" applyNumberFormat="0" applyBorder="0" applyAlignment="0" applyProtection="0"/>
    <xf numFmtId="0" fontId="44" fillId="22" borderId="0" applyNumberFormat="0" applyBorder="0" applyAlignment="0" applyProtection="0"/>
    <xf numFmtId="0" fontId="44" fillId="23" borderId="0" applyNumberFormat="0" applyBorder="0" applyAlignment="0" applyProtection="0"/>
    <xf numFmtId="0" fontId="44" fillId="23"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4" fillId="22"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21" borderId="0" applyNumberFormat="0" applyBorder="0" applyAlignment="0" applyProtection="0"/>
    <xf numFmtId="0" fontId="40" fillId="21" borderId="0" applyNumberFormat="0" applyBorder="0" applyAlignment="0" applyProtection="0"/>
    <xf numFmtId="0" fontId="40" fillId="21"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13" borderId="0" applyNumberFormat="0" applyBorder="0" applyAlignment="0" applyProtection="0"/>
    <xf numFmtId="0" fontId="44" fillId="39" borderId="0" applyNumberFormat="0" applyBorder="0" applyAlignment="0" applyProtection="0"/>
    <xf numFmtId="0" fontId="44" fillId="13" borderId="0" applyNumberFormat="0" applyBorder="0" applyAlignment="0" applyProtection="0"/>
    <xf numFmtId="0" fontId="44" fillId="13"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4" fillId="39" borderId="0" applyNumberFormat="0" applyBorder="0" applyAlignment="0" applyProtection="0"/>
    <xf numFmtId="0" fontId="40" fillId="25" borderId="0" applyNumberFormat="0" applyBorder="0" applyAlignment="0" applyProtection="0"/>
    <xf numFmtId="0" fontId="40" fillId="25" borderId="0" applyNumberFormat="0" applyBorder="0" applyAlignment="0" applyProtection="0"/>
    <xf numFmtId="0" fontId="40" fillId="25"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0" fillId="17"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14" borderId="0" applyNumberFormat="0" applyBorder="0" applyAlignment="0" applyProtection="0"/>
    <xf numFmtId="0" fontId="44" fillId="41" borderId="0" applyNumberFormat="0" applyBorder="0" applyAlignment="0" applyProtection="0"/>
    <xf numFmtId="0" fontId="44" fillId="14" borderId="0" applyNumberFormat="0" applyBorder="0" applyAlignment="0" applyProtection="0"/>
    <xf numFmtId="0" fontId="44" fillId="14"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4" fillId="41"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0" borderId="0" applyNumberFormat="0" applyBorder="0" applyAlignment="0" applyProtection="0"/>
    <xf numFmtId="0" fontId="40" fillId="27" borderId="0" applyNumberFormat="0" applyBorder="0" applyAlignment="0" applyProtection="0"/>
    <xf numFmtId="0" fontId="40" fillId="27" borderId="0" applyNumberFormat="0" applyBorder="0" applyAlignment="0" applyProtection="0"/>
    <xf numFmtId="0" fontId="40" fillId="27"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26" borderId="0" applyNumberFormat="0" applyBorder="0" applyAlignment="0" applyProtection="0"/>
    <xf numFmtId="0" fontId="44" fillId="42" borderId="0" applyNumberFormat="0" applyBorder="0" applyAlignment="0" applyProtection="0"/>
    <xf numFmtId="0" fontId="44" fillId="26" borderId="0" applyNumberFormat="0" applyBorder="0" applyAlignment="0" applyProtection="0"/>
    <xf numFmtId="0" fontId="44" fillId="26"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44" fillId="42"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49" fillId="3" borderId="0" applyNumberFormat="0" applyBorder="0" applyAlignment="0" applyProtection="0"/>
    <xf numFmtId="0" fontId="78" fillId="4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78" fillId="43" borderId="0" applyNumberFormat="0" applyBorder="0" applyAlignment="0" applyProtection="0"/>
    <xf numFmtId="0" fontId="23" fillId="0" borderId="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50" fillId="28" borderId="1" applyNumberFormat="0" applyAlignment="0" applyProtection="0"/>
    <xf numFmtId="0" fontId="79" fillId="37" borderId="1" applyNumberFormat="0" applyAlignment="0" applyProtection="0"/>
    <xf numFmtId="0" fontId="50" fillId="28" borderId="1" applyNumberFormat="0" applyAlignment="0" applyProtection="0"/>
    <xf numFmtId="0" fontId="67" fillId="38" borderId="23" applyNumberFormat="0" applyAlignment="0" applyProtection="0"/>
    <xf numFmtId="0" fontId="50" fillId="28"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79" fillId="37" borderId="1"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9" borderId="2" applyNumberFormat="0" applyAlignment="0" applyProtection="0"/>
    <xf numFmtId="0" fontId="51" fillId="22" borderId="2" applyNumberFormat="0" applyAlignment="0" applyProtection="0"/>
    <xf numFmtId="0" fontId="51" fillId="29" borderId="2" applyNumberFormat="0" applyAlignment="0" applyProtection="0"/>
    <xf numFmtId="0" fontId="51" fillId="29"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51" fillId="22" borderId="2" applyNumberFormat="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43" fontId="48"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170" fontId="42" fillId="0" borderId="0" applyFont="0" applyFill="0" applyBorder="0" applyAlignment="0" applyProtection="0"/>
    <xf numFmtId="43" fontId="40"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171" fontId="23" fillId="0" borderId="0" applyFont="0" applyFill="0" applyBorder="0" applyAlignment="0" applyProtection="0"/>
    <xf numFmtId="43" fontId="48" fillId="0" borderId="0" applyFont="0" applyFill="0" applyBorder="0" applyAlignment="0" applyProtection="0"/>
    <xf numFmtId="43" fontId="40" fillId="0" borderId="0" applyFont="0" applyFill="0" applyBorder="0" applyAlignment="0" applyProtection="0"/>
    <xf numFmtId="43" fontId="48"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172" fontId="23" fillId="0" borderId="0" applyFont="0" applyFill="0" applyBorder="0" applyAlignment="0" applyProtection="0"/>
    <xf numFmtId="43" fontId="48" fillId="0" borderId="0" applyFont="0" applyFill="0" applyBorder="0" applyAlignment="0" applyProtection="0"/>
    <xf numFmtId="166" fontId="42" fillId="0" borderId="0" applyFont="0" applyFill="0" applyBorder="0" applyAlignment="0" applyProtection="0"/>
    <xf numFmtId="165" fontId="23" fillId="0" borderId="0" applyFill="0" applyBorder="0" applyAlignment="0" applyProtection="0"/>
    <xf numFmtId="165" fontId="23" fillId="0" borderId="0" applyFill="0" applyBorder="0" applyAlignment="0" applyProtection="0"/>
    <xf numFmtId="165" fontId="23" fillId="0" borderId="0" applyFill="0" applyBorder="0" applyAlignment="0" applyProtection="0"/>
    <xf numFmtId="166" fontId="23" fillId="0" borderId="0" applyFill="0" applyBorder="0" applyAlignment="0" applyProtection="0"/>
    <xf numFmtId="166" fontId="23" fillId="0" borderId="0" applyFill="0" applyBorder="0" applyAlignment="0" applyProtection="0"/>
    <xf numFmtId="166" fontId="23" fillId="0" borderId="0" applyFill="0" applyBorder="0" applyAlignment="0" applyProtection="0"/>
    <xf numFmtId="165" fontId="23" fillId="0" borderId="0" applyFill="0" applyBorder="0" applyAlignment="0" applyProtection="0"/>
    <xf numFmtId="43" fontId="48" fillId="0" borderId="0" applyFont="0" applyFill="0" applyBorder="0" applyAlignment="0" applyProtection="0"/>
    <xf numFmtId="43" fontId="23"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23"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0" fillId="0" borderId="0" applyFont="0" applyFill="0" applyBorder="0" applyAlignment="0" applyProtection="0"/>
    <xf numFmtId="43" fontId="23"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8"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0" fontId="26" fillId="0" borderId="0" applyNumberFormat="0" applyAlignment="0">
      <alignment horizontal="left"/>
    </xf>
    <xf numFmtId="0" fontId="26" fillId="0" borderId="0" applyNumberFormat="0" applyAlignment="0">
      <alignment horizontal="left"/>
    </xf>
    <xf numFmtId="0" fontId="26" fillId="0" borderId="0" applyNumberFormat="0" applyAlignment="0">
      <alignment horizontal="left"/>
    </xf>
    <xf numFmtId="0" fontId="26" fillId="0" borderId="0" applyNumberFormat="0" applyAlignment="0">
      <alignment horizontal="left"/>
    </xf>
    <xf numFmtId="0" fontId="26" fillId="0" borderId="0" applyNumberFormat="0" applyAlignment="0">
      <alignment horizontal="left"/>
    </xf>
    <xf numFmtId="0" fontId="26" fillId="0" borderId="0" applyNumberFormat="0" applyAlignment="0">
      <alignment horizontal="left"/>
    </xf>
    <xf numFmtId="44" fontId="23" fillId="0" borderId="0" applyFont="0" applyFill="0" applyBorder="0" applyAlignment="0" applyProtection="0"/>
    <xf numFmtId="44" fontId="23" fillId="0" borderId="0" applyFont="0" applyFill="0" applyBorder="0" applyAlignment="0" applyProtection="0"/>
    <xf numFmtId="44" fontId="4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40" fillId="0" borderId="0" applyFont="0" applyFill="0" applyBorder="0" applyAlignment="0" applyProtection="0"/>
    <xf numFmtId="0" fontId="27" fillId="0" borderId="0" applyNumberFormat="0" applyAlignment="0">
      <alignment horizontal="left"/>
    </xf>
    <xf numFmtId="0" fontId="27" fillId="0" borderId="0" applyNumberFormat="0" applyAlignment="0">
      <alignment horizontal="left"/>
    </xf>
    <xf numFmtId="0" fontId="27" fillId="0" borderId="0" applyNumberFormat="0" applyAlignment="0">
      <alignment horizontal="left"/>
    </xf>
    <xf numFmtId="0" fontId="27" fillId="0" borderId="0" applyNumberFormat="0" applyAlignment="0">
      <alignment horizontal="left"/>
    </xf>
    <xf numFmtId="0" fontId="27" fillId="0" borderId="0" applyNumberFormat="0" applyAlignment="0">
      <alignment horizontal="left"/>
    </xf>
    <xf numFmtId="0" fontId="27" fillId="0" borderId="0" applyNumberFormat="0" applyAlignment="0">
      <alignment horizontal="left"/>
    </xf>
    <xf numFmtId="173" fontId="23" fillId="0" borderId="0" applyFont="0" applyFill="0" applyBorder="0" applyAlignment="0" applyProtection="0"/>
    <xf numFmtId="0" fontId="40" fillId="0" borderId="0"/>
    <xf numFmtId="0" fontId="40" fillId="0" borderId="0"/>
    <xf numFmtId="0" fontId="45" fillId="0" borderId="13" applyNumberFormat="0" applyFill="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2" fontId="23" fillId="0" borderId="0" applyFont="0" applyFill="0" applyBorder="0" applyAlignment="0" applyProtection="0"/>
    <xf numFmtId="2" fontId="23" fillId="0" borderId="0" applyFont="0" applyFill="0" applyBorder="0" applyAlignment="0" applyProtection="0"/>
    <xf numFmtId="1" fontId="23" fillId="0" borderId="0"/>
    <xf numFmtId="1" fontId="23" fillId="0" borderId="0"/>
    <xf numFmtId="1" fontId="23" fillId="0" borderId="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4" borderId="0" applyNumberFormat="0" applyBorder="0" applyAlignment="0" applyProtection="0"/>
    <xf numFmtId="0" fontId="53" fillId="2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0" fontId="53" fillId="24" borderId="0" applyNumberFormat="0" applyBorder="0" applyAlignment="0" applyProtection="0"/>
    <xf numFmtId="38" fontId="24" fillId="33" borderId="0" applyNumberFormat="0" applyBorder="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54" fillId="0" borderId="5" applyNumberFormat="0" applyFill="0" applyAlignment="0" applyProtection="0"/>
    <xf numFmtId="0" fontId="80" fillId="0" borderId="24" applyNumberFormat="0" applyFill="0" applyAlignment="0" applyProtection="0"/>
    <xf numFmtId="0" fontId="54" fillId="0" borderId="5" applyNumberFormat="0" applyFill="0" applyAlignment="0" applyProtection="0"/>
    <xf numFmtId="0" fontId="54" fillId="0" borderId="5"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0" fillId="0" borderId="24"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55" fillId="0" borderId="6" applyNumberFormat="0" applyFill="0" applyAlignment="0" applyProtection="0"/>
    <xf numFmtId="0" fontId="81" fillId="0" borderId="6" applyNumberFormat="0" applyFill="0" applyAlignment="0" applyProtection="0"/>
    <xf numFmtId="0" fontId="55" fillId="0" borderId="6" applyNumberFormat="0" applyFill="0" applyAlignment="0" applyProtection="0"/>
    <xf numFmtId="0" fontId="55"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1" fillId="0" borderId="6"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56" fillId="0" borderId="7" applyNumberFormat="0" applyFill="0" applyAlignment="0" applyProtection="0"/>
    <xf numFmtId="0" fontId="82" fillId="0" borderId="25" applyNumberFormat="0" applyFill="0" applyAlignment="0" applyProtection="0"/>
    <xf numFmtId="0" fontId="56" fillId="0" borderId="7" applyNumberFormat="0" applyFill="0" applyAlignment="0" applyProtection="0"/>
    <xf numFmtId="0" fontId="56" fillId="0" borderId="7"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25" applyNumberFormat="0" applyFill="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56" fillId="0" borderId="0" applyNumberFormat="0" applyFill="0" applyBorder="0" applyAlignment="0" applyProtection="0"/>
    <xf numFmtId="0" fontId="82"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3"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83" fillId="0" borderId="0" applyNumberFormat="0" applyFill="0" applyBorder="0" applyAlignment="0" applyProtection="0">
      <alignment vertical="top"/>
      <protection locked="0"/>
    </xf>
    <xf numFmtId="0" fontId="85" fillId="0" borderId="0" applyNumberFormat="0" applyFill="0" applyBorder="0" applyAlignment="0" applyProtection="0">
      <alignment vertical="top"/>
      <protection locked="0"/>
    </xf>
    <xf numFmtId="10" fontId="24" fillId="34" borderId="8" applyNumberFormat="0" applyBorder="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7" borderId="1" applyNumberFormat="0" applyAlignment="0" applyProtection="0"/>
    <xf numFmtId="0" fontId="57" fillId="27" borderId="1" applyNumberFormat="0" applyAlignment="0" applyProtection="0"/>
    <xf numFmtId="0" fontId="57" fillId="7" borderId="1" applyNumberFormat="0" applyAlignment="0" applyProtection="0"/>
    <xf numFmtId="0" fontId="57" fillId="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57" fillId="27" borderId="1" applyNumberFormat="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58" fillId="0" borderId="9" applyNumberFormat="0" applyFill="0" applyAlignment="0" applyProtection="0"/>
    <xf numFmtId="0" fontId="86" fillId="0" borderId="9" applyNumberFormat="0" applyFill="0" applyAlignment="0" applyProtection="0"/>
    <xf numFmtId="0" fontId="58" fillId="0" borderId="9" applyNumberFormat="0" applyFill="0" applyAlignment="0" applyProtection="0"/>
    <xf numFmtId="0" fontId="58"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86" fillId="0" borderId="9" applyNumberFormat="0" applyFill="0" applyAlignment="0" applyProtection="0"/>
    <xf numFmtId="0" fontId="33" fillId="0" borderId="0" applyProtection="0">
      <alignment horizontal="center" vertical="center"/>
    </xf>
    <xf numFmtId="0" fontId="33" fillId="0" borderId="0" applyProtection="0">
      <alignment horizontal="center" vertical="center"/>
    </xf>
    <xf numFmtId="0" fontId="33" fillId="0" borderId="0" applyProtection="0">
      <alignment horizontal="center" vertical="center"/>
    </xf>
    <xf numFmtId="0" fontId="87" fillId="0" borderId="0">
      <alignment vertical="top"/>
    </xf>
    <xf numFmtId="166" fontId="34" fillId="0" borderId="10">
      <alignment horizontal="right"/>
    </xf>
    <xf numFmtId="166" fontId="34" fillId="0" borderId="10">
      <alignment horizontal="right"/>
    </xf>
    <xf numFmtId="166" fontId="34" fillId="0" borderId="10">
      <alignment horizontal="right"/>
    </xf>
    <xf numFmtId="166" fontId="34" fillId="0" borderId="10">
      <alignment horizontal="right"/>
    </xf>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35" borderId="0" applyNumberFormat="0" applyBorder="0" applyAlignment="0" applyProtection="0"/>
    <xf numFmtId="0" fontId="59" fillId="44" borderId="0" applyNumberFormat="0" applyBorder="0" applyAlignment="0" applyProtection="0"/>
    <xf numFmtId="0" fontId="59" fillId="35" borderId="0" applyNumberFormat="0" applyBorder="0" applyAlignment="0" applyProtection="0"/>
    <xf numFmtId="0" fontId="59" fillId="35"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0" fontId="59" fillId="44" borderId="0" applyNumberFormat="0" applyBorder="0" applyAlignment="0" applyProtection="0"/>
    <xf numFmtId="37" fontId="36" fillId="0" borderId="0"/>
    <xf numFmtId="37" fontId="36" fillId="0" borderId="0"/>
    <xf numFmtId="37" fontId="36" fillId="0" borderId="0"/>
    <xf numFmtId="37" fontId="36" fillId="0" borderId="0"/>
    <xf numFmtId="37" fontId="36" fillId="0" borderId="0"/>
    <xf numFmtId="37" fontId="36" fillId="0" borderId="0"/>
    <xf numFmtId="0" fontId="23" fillId="0" borderId="0"/>
    <xf numFmtId="0" fontId="23" fillId="0" borderId="0"/>
    <xf numFmtId="0" fontId="23" fillId="0" borderId="0"/>
    <xf numFmtId="0" fontId="23" fillId="0" borderId="0"/>
    <xf numFmtId="164" fontId="23" fillId="0" borderId="0"/>
    <xf numFmtId="164" fontId="23" fillId="0" borderId="0"/>
    <xf numFmtId="0" fontId="23" fillId="0" borderId="0"/>
    <xf numFmtId="0" fontId="23" fillId="0" borderId="0"/>
    <xf numFmtId="0" fontId="48" fillId="0" borderId="0"/>
    <xf numFmtId="0" fontId="48" fillId="0" borderId="0"/>
    <xf numFmtId="0" fontId="48" fillId="0" borderId="0"/>
    <xf numFmtId="0" fontId="18" fillId="0" borderId="0"/>
    <xf numFmtId="0" fontId="23" fillId="0" borderId="0"/>
    <xf numFmtId="0" fontId="18" fillId="0" borderId="0"/>
    <xf numFmtId="0" fontId="18" fillId="0" borderId="0"/>
    <xf numFmtId="0" fontId="48" fillId="0" borderId="0"/>
    <xf numFmtId="0" fontId="18" fillId="0" borderId="0"/>
    <xf numFmtId="0" fontId="18" fillId="0" borderId="0"/>
    <xf numFmtId="0" fontId="40" fillId="0" borderId="0"/>
    <xf numFmtId="0" fontId="48" fillId="0" borderId="0"/>
    <xf numFmtId="0" fontId="23" fillId="0" borderId="0"/>
    <xf numFmtId="0" fontId="48" fillId="0" borderId="0"/>
    <xf numFmtId="0" fontId="23" fillId="0" borderId="0">
      <alignment vertical="center"/>
    </xf>
    <xf numFmtId="0" fontId="48" fillId="0" borderId="0"/>
    <xf numFmtId="0" fontId="48" fillId="0" borderId="0"/>
    <xf numFmtId="0" fontId="48" fillId="0" borderId="0"/>
    <xf numFmtId="0" fontId="48" fillId="0" borderId="0"/>
    <xf numFmtId="0" fontId="48" fillId="0" borderId="0"/>
    <xf numFmtId="0" fontId="48" fillId="0" borderId="0"/>
    <xf numFmtId="0" fontId="23" fillId="0" borderId="0"/>
    <xf numFmtId="0" fontId="48" fillId="0" borderId="0"/>
    <xf numFmtId="0" fontId="23" fillId="0" borderId="0"/>
    <xf numFmtId="0" fontId="40" fillId="0" borderId="0"/>
    <xf numFmtId="0" fontId="4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8" fillId="0" borderId="0"/>
    <xf numFmtId="0" fontId="23" fillId="0" borderId="0"/>
    <xf numFmtId="0" fontId="42" fillId="0" borderId="0"/>
    <xf numFmtId="0" fontId="40" fillId="0" borderId="0"/>
    <xf numFmtId="0" fontId="48" fillId="0" borderId="0"/>
    <xf numFmtId="0" fontId="48" fillId="0" borderId="0"/>
    <xf numFmtId="0" fontId="4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8" fillId="0" borderId="0"/>
    <xf numFmtId="0" fontId="48" fillId="0" borderId="0"/>
    <xf numFmtId="0" fontId="48" fillId="0" borderId="0"/>
    <xf numFmtId="0" fontId="48" fillId="0" borderId="0"/>
    <xf numFmtId="0" fontId="48" fillId="0" borderId="0"/>
    <xf numFmtId="0" fontId="23" fillId="0" borderId="0"/>
    <xf numFmtId="0" fontId="48" fillId="0" borderId="0"/>
    <xf numFmtId="0" fontId="23" fillId="0" borderId="0"/>
    <xf numFmtId="0" fontId="18" fillId="0" borderId="0"/>
    <xf numFmtId="0" fontId="23" fillId="0" borderId="0"/>
    <xf numFmtId="0" fontId="23" fillId="0" borderId="0"/>
    <xf numFmtId="0" fontId="48" fillId="0" borderId="0"/>
    <xf numFmtId="0" fontId="42" fillId="0" borderId="0"/>
    <xf numFmtId="0" fontId="23" fillId="0" borderId="0"/>
    <xf numFmtId="0" fontId="48" fillId="0" borderId="0"/>
    <xf numFmtId="0" fontId="18" fillId="0" borderId="0"/>
    <xf numFmtId="0" fontId="48" fillId="0" borderId="0"/>
    <xf numFmtId="0" fontId="48" fillId="0" borderId="0"/>
    <xf numFmtId="0" fontId="48" fillId="0" borderId="0"/>
    <xf numFmtId="0" fontId="48" fillId="0" borderId="0"/>
    <xf numFmtId="0" fontId="18" fillId="0" borderId="0"/>
    <xf numFmtId="0" fontId="48" fillId="0" borderId="0"/>
    <xf numFmtId="0" fontId="48" fillId="0" borderId="0"/>
    <xf numFmtId="0" fontId="23" fillId="0" borderId="0"/>
    <xf numFmtId="0" fontId="23" fillId="0" borderId="0"/>
    <xf numFmtId="0" fontId="18" fillId="0" borderId="0"/>
    <xf numFmtId="0" fontId="18" fillId="0" borderId="0"/>
    <xf numFmtId="0" fontId="23" fillId="0" borderId="0"/>
    <xf numFmtId="0" fontId="23" fillId="0" borderId="0"/>
    <xf numFmtId="0" fontId="23"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18" fillId="0" borderId="0"/>
    <xf numFmtId="0" fontId="18" fillId="0" borderId="0"/>
    <xf numFmtId="0" fontId="23"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xf numFmtId="0" fontId="23" fillId="0" borderId="0"/>
    <xf numFmtId="0" fontId="18" fillId="0" borderId="0"/>
    <xf numFmtId="0" fontId="18" fillId="0" borderId="0"/>
    <xf numFmtId="0" fontId="23" fillId="0" borderId="0"/>
    <xf numFmtId="0" fontId="23" fillId="0" borderId="0"/>
    <xf numFmtId="0" fontId="23" fillId="0" borderId="0"/>
    <xf numFmtId="0" fontId="48" fillId="0" borderId="0"/>
    <xf numFmtId="0" fontId="40" fillId="0" borderId="0"/>
    <xf numFmtId="0" fontId="40" fillId="0" borderId="0"/>
    <xf numFmtId="0" fontId="40" fillId="0" borderId="0"/>
    <xf numFmtId="0" fontId="40" fillId="0" borderId="0"/>
    <xf numFmtId="0" fontId="23" fillId="0" borderId="0"/>
    <xf numFmtId="0" fontId="23" fillId="0" borderId="0"/>
    <xf numFmtId="0" fontId="23" fillId="0" borderId="0"/>
    <xf numFmtId="0" fontId="40" fillId="0" borderId="0"/>
    <xf numFmtId="0" fontId="18" fillId="0" borderId="0"/>
    <xf numFmtId="0" fontId="18" fillId="0" borderId="0"/>
    <xf numFmtId="0" fontId="18" fillId="0" borderId="0"/>
    <xf numFmtId="0" fontId="18" fillId="0" borderId="0"/>
    <xf numFmtId="0" fontId="23" fillId="0" borderId="0"/>
    <xf numFmtId="0" fontId="23" fillId="0" borderId="0"/>
    <xf numFmtId="0" fontId="18"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23" fillId="0" borderId="0"/>
    <xf numFmtId="0" fontId="23" fillId="0" borderId="0"/>
    <xf numFmtId="0" fontId="23" fillId="0" borderId="0"/>
    <xf numFmtId="0" fontId="18" fillId="0" borderId="0"/>
    <xf numFmtId="0" fontId="18" fillId="0" borderId="0"/>
    <xf numFmtId="0" fontId="23" fillId="0" borderId="0"/>
    <xf numFmtId="0" fontId="23" fillId="0" borderId="0"/>
    <xf numFmtId="0" fontId="18" fillId="0" borderId="0"/>
    <xf numFmtId="0" fontId="18" fillId="0" borderId="0"/>
    <xf numFmtId="0" fontId="18" fillId="0" borderId="0"/>
    <xf numFmtId="0" fontId="18" fillId="0" borderId="0"/>
    <xf numFmtId="0" fontId="18" fillId="0" borderId="0"/>
    <xf numFmtId="0" fontId="23" fillId="0" borderId="0"/>
    <xf numFmtId="0" fontId="23" fillId="0" borderId="0"/>
    <xf numFmtId="0" fontId="23" fillId="0" borderId="0"/>
    <xf numFmtId="0" fontId="18" fillId="0" borderId="0"/>
    <xf numFmtId="0" fontId="23" fillId="0" borderId="0"/>
    <xf numFmtId="0" fontId="23" fillId="0" borderId="0"/>
    <xf numFmtId="0" fontId="40" fillId="0" borderId="0"/>
    <xf numFmtId="0" fontId="23" fillId="0" borderId="0"/>
    <xf numFmtId="0" fontId="23" fillId="0" borderId="0"/>
    <xf numFmtId="0" fontId="23" fillId="0" borderId="0"/>
    <xf numFmtId="0" fontId="40" fillId="0" borderId="0"/>
    <xf numFmtId="0" fontId="23" fillId="0" borderId="0"/>
    <xf numFmtId="0" fontId="23" fillId="0" borderId="0"/>
    <xf numFmtId="0" fontId="23" fillId="0" borderId="0"/>
    <xf numFmtId="0" fontId="48" fillId="0" borderId="0"/>
    <xf numFmtId="0" fontId="18" fillId="0" borderId="0"/>
    <xf numFmtId="0" fontId="48" fillId="0" borderId="0"/>
    <xf numFmtId="0" fontId="18" fillId="0" borderId="0"/>
    <xf numFmtId="0" fontId="18" fillId="0" borderId="0"/>
    <xf numFmtId="0" fontId="18" fillId="0" borderId="0"/>
    <xf numFmtId="0" fontId="18" fillId="0" borderId="0"/>
    <xf numFmtId="0" fontId="18" fillId="0" borderId="0"/>
    <xf numFmtId="0" fontId="48" fillId="0" borderId="0"/>
    <xf numFmtId="0" fontId="23" fillId="0" borderId="0"/>
    <xf numFmtId="0" fontId="18" fillId="0" borderId="0"/>
    <xf numFmtId="0" fontId="18" fillId="0" borderId="0"/>
    <xf numFmtId="0" fontId="18" fillId="0" borderId="0"/>
    <xf numFmtId="0" fontId="4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8" fillId="0" borderId="0"/>
    <xf numFmtId="0" fontId="18" fillId="0" borderId="0"/>
    <xf numFmtId="0" fontId="23" fillId="0" borderId="0"/>
    <xf numFmtId="0" fontId="18" fillId="0" borderId="0"/>
    <xf numFmtId="0" fontId="42" fillId="0" borderId="0"/>
    <xf numFmtId="0" fontId="42" fillId="0" borderId="0"/>
    <xf numFmtId="0" fontId="42" fillId="0" borderId="0"/>
    <xf numFmtId="0" fontId="23" fillId="0" borderId="0"/>
    <xf numFmtId="0" fontId="23" fillId="0" borderId="0"/>
    <xf numFmtId="0" fontId="23" fillId="0" borderId="0"/>
    <xf numFmtId="0" fontId="23" fillId="0" borderId="0"/>
    <xf numFmtId="0" fontId="88" fillId="0" borderId="0"/>
    <xf numFmtId="0" fontId="23" fillId="0" borderId="0"/>
    <xf numFmtId="0" fontId="41" fillId="0" borderId="0"/>
    <xf numFmtId="0" fontId="41" fillId="0" borderId="0"/>
    <xf numFmtId="0" fontId="23" fillId="0" borderId="0"/>
    <xf numFmtId="0" fontId="23" fillId="0" borderId="0"/>
    <xf numFmtId="0" fontId="40" fillId="0" borderId="0"/>
    <xf numFmtId="0" fontId="18" fillId="0" borderId="0"/>
    <xf numFmtId="0" fontId="42" fillId="0" borderId="0"/>
    <xf numFmtId="0" fontId="42" fillId="0" borderId="0"/>
    <xf numFmtId="0" fontId="42" fillId="0" borderId="0"/>
    <xf numFmtId="0" fontId="42" fillId="0" borderId="0"/>
    <xf numFmtId="0" fontId="41" fillId="0" borderId="0"/>
    <xf numFmtId="0" fontId="23" fillId="0" borderId="0"/>
    <xf numFmtId="0" fontId="23" fillId="0" borderId="0"/>
    <xf numFmtId="0" fontId="23" fillId="0" borderId="0"/>
    <xf numFmtId="0" fontId="42" fillId="0" borderId="0"/>
    <xf numFmtId="0" fontId="42" fillId="0" borderId="0"/>
    <xf numFmtId="0" fontId="48" fillId="0" borderId="0"/>
    <xf numFmtId="0" fontId="23" fillId="0" borderId="0"/>
    <xf numFmtId="0" fontId="4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8" fillId="0" borderId="0"/>
    <xf numFmtId="0" fontId="48" fillId="0" borderId="0"/>
    <xf numFmtId="0" fontId="48" fillId="0" borderId="0"/>
    <xf numFmtId="0" fontId="42" fillId="0" borderId="0"/>
    <xf numFmtId="0" fontId="40" fillId="0" borderId="0"/>
    <xf numFmtId="0" fontId="23" fillId="0" borderId="0"/>
    <xf numFmtId="0" fontId="23" fillId="0" borderId="0"/>
    <xf numFmtId="0" fontId="42" fillId="0" borderId="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36" borderId="11" applyNumberFormat="0" applyFont="0" applyAlignment="0" applyProtection="0"/>
    <xf numFmtId="0" fontId="23" fillId="20" borderId="11" applyNumberFormat="0" applyFont="0" applyAlignment="0" applyProtection="0"/>
    <xf numFmtId="0" fontId="23" fillId="36" borderId="11" applyNumberFormat="0" applyFont="0" applyAlignment="0" applyProtection="0"/>
    <xf numFmtId="0" fontId="23" fillId="36"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23" fillId="20" borderId="11" applyNumberFormat="0" applyFon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28" borderId="12" applyNumberFormat="0" applyAlignment="0" applyProtection="0"/>
    <xf numFmtId="0" fontId="60" fillId="37" borderId="12" applyNumberFormat="0" applyAlignment="0" applyProtection="0"/>
    <xf numFmtId="0" fontId="60" fillId="28" borderId="12" applyNumberFormat="0" applyAlignment="0" applyProtection="0"/>
    <xf numFmtId="0" fontId="60" fillId="28"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0" fontId="60" fillId="37" borderId="12" applyNumberFormat="0" applyAlignment="0" applyProtection="0"/>
    <xf numFmtId="10" fontId="23" fillId="0" borderId="0" applyFont="0" applyFill="0" applyBorder="0" applyAlignment="0" applyProtection="0"/>
    <xf numFmtId="10" fontId="23" fillId="0" borderId="0" applyFont="0" applyFill="0" applyBorder="0" applyAlignment="0" applyProtection="0"/>
    <xf numFmtId="9" fontId="23"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2"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48"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2"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0"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89" fillId="0" borderId="0">
      <alignment vertical="top"/>
    </xf>
    <xf numFmtId="14" fontId="28" fillId="0" borderId="0" applyNumberFormat="0" applyFill="0" applyBorder="0" applyAlignment="0" applyProtection="0">
      <alignment horizontal="left"/>
    </xf>
    <xf numFmtId="0" fontId="90" fillId="0" borderId="0"/>
    <xf numFmtId="0" fontId="65" fillId="0" borderId="0"/>
    <xf numFmtId="0" fontId="91" fillId="0" borderId="0"/>
    <xf numFmtId="0" fontId="91" fillId="0" borderId="0"/>
    <xf numFmtId="0" fontId="92" fillId="0" borderId="26">
      <alignment wrapText="1"/>
    </xf>
    <xf numFmtId="0" fontId="37" fillId="0" borderId="8">
      <alignment horizontal="center"/>
    </xf>
    <xf numFmtId="0" fontId="37" fillId="0" borderId="8">
      <alignment horizontal="center"/>
    </xf>
    <xf numFmtId="0" fontId="37" fillId="0" borderId="8">
      <alignment horizontal="center"/>
    </xf>
    <xf numFmtId="0" fontId="37" fillId="0" borderId="8">
      <alignment horizontal="center"/>
    </xf>
    <xf numFmtId="0" fontId="37" fillId="0" borderId="0">
      <alignment horizontal="center" vertical="center"/>
    </xf>
    <xf numFmtId="0" fontId="37" fillId="0" borderId="0">
      <alignment horizontal="center" vertical="center"/>
    </xf>
    <xf numFmtId="0" fontId="37" fillId="0" borderId="0">
      <alignment horizontal="center" vertical="center"/>
    </xf>
    <xf numFmtId="0" fontId="37" fillId="0" borderId="0">
      <alignment horizontal="center" vertical="center"/>
    </xf>
    <xf numFmtId="0" fontId="37" fillId="0" borderId="0">
      <alignment horizontal="center" vertical="center"/>
    </xf>
    <xf numFmtId="0" fontId="37" fillId="0" borderId="0">
      <alignment horizontal="center" vertical="center"/>
    </xf>
    <xf numFmtId="0" fontId="38" fillId="37" borderId="0" applyNumberFormat="0" applyFill="0">
      <alignment horizontal="left" vertical="center"/>
    </xf>
    <xf numFmtId="0" fontId="38" fillId="37" borderId="0" applyNumberFormat="0" applyFill="0">
      <alignment horizontal="left" vertical="center"/>
    </xf>
    <xf numFmtId="0" fontId="38" fillId="37" borderId="0" applyNumberFormat="0" applyFill="0">
      <alignment horizontal="left" vertical="center"/>
    </xf>
    <xf numFmtId="0" fontId="38" fillId="37" borderId="0" applyNumberFormat="0" applyFill="0">
      <alignment horizontal="left" vertical="center"/>
    </xf>
    <xf numFmtId="0" fontId="38" fillId="37" borderId="0" applyNumberFormat="0" applyFill="0">
      <alignment horizontal="left" vertical="center"/>
    </xf>
    <xf numFmtId="0" fontId="38" fillId="37" borderId="0" applyNumberFormat="0" applyFill="0">
      <alignment horizontal="left" vertical="center"/>
    </xf>
    <xf numFmtId="49" fontId="23" fillId="0" borderId="0"/>
    <xf numFmtId="169" fontId="23" fillId="0" borderId="0" applyFont="0" applyFill="0" applyBorder="0" applyAlignment="0" applyProtection="0"/>
    <xf numFmtId="169" fontId="23" fillId="0" borderId="0" applyFont="0" applyFill="0" applyBorder="0" applyAlignment="0" applyProtection="0"/>
    <xf numFmtId="0" fontId="23" fillId="0" borderId="0"/>
    <xf numFmtId="0" fontId="23" fillId="0" borderId="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13" applyNumberFormat="0" applyFill="0" applyAlignment="0" applyProtection="0"/>
    <xf numFmtId="0" fontId="45" fillId="0" borderId="27" applyNumberFormat="0" applyFill="0" applyAlignment="0" applyProtection="0"/>
    <xf numFmtId="0" fontId="45" fillId="0" borderId="13" applyNumberFormat="0" applyFill="0" applyAlignment="0" applyProtection="0"/>
    <xf numFmtId="0" fontId="45" fillId="0" borderId="13"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0" fontId="45" fillId="0" borderId="27" applyNumberFormat="0" applyFill="0" applyAlignment="0" applyProtection="0"/>
    <xf numFmtId="174" fontId="32" fillId="0" borderId="8">
      <alignment horizontal="center" vertical="center"/>
    </xf>
    <xf numFmtId="174" fontId="32" fillId="0" borderId="8">
      <alignment horizontal="center" vertical="center"/>
    </xf>
    <xf numFmtId="174" fontId="32" fillId="0" borderId="8">
      <alignment horizontal="center" vertical="center"/>
    </xf>
    <xf numFmtId="174" fontId="32" fillId="0" borderId="8">
      <alignment horizontal="center" vertical="center"/>
    </xf>
    <xf numFmtId="174" fontId="32" fillId="0" borderId="8">
      <alignment horizontal="center" vertical="center"/>
    </xf>
    <xf numFmtId="174" fontId="32" fillId="0" borderId="8">
      <alignment horizontal="center" vertical="center"/>
    </xf>
    <xf numFmtId="174" fontId="32" fillId="0" borderId="8">
      <alignment horizontal="center" vertical="center"/>
    </xf>
    <xf numFmtId="174" fontId="32" fillId="0" borderId="8">
      <alignment horizontal="center" vertical="center"/>
    </xf>
    <xf numFmtId="0" fontId="23" fillId="0" borderId="14">
      <alignment horizontal="center"/>
    </xf>
    <xf numFmtId="0" fontId="23" fillId="0" borderId="14">
      <alignment horizontal="center"/>
    </xf>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17" fillId="0" borderId="0"/>
    <xf numFmtId="0" fontId="42" fillId="0" borderId="0"/>
    <xf numFmtId="0" fontId="16" fillId="0" borderId="0"/>
    <xf numFmtId="169" fontId="23" fillId="0" borderId="0" applyFont="0" applyFill="0" applyBorder="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3" fillId="0" borderId="0"/>
    <xf numFmtId="0" fontId="15" fillId="0" borderId="0"/>
    <xf numFmtId="0" fontId="15" fillId="0" borderId="0"/>
    <xf numFmtId="0" fontId="15" fillId="0" borderId="0"/>
    <xf numFmtId="0" fontId="15" fillId="0" borderId="0"/>
    <xf numFmtId="0" fontId="23" fillId="0" borderId="0"/>
    <xf numFmtId="0" fontId="23" fillId="0" borderId="0"/>
    <xf numFmtId="0" fontId="23" fillId="0" borderId="0"/>
    <xf numFmtId="0" fontId="23" fillId="0" borderId="0"/>
    <xf numFmtId="0" fontId="15" fillId="0" borderId="0"/>
    <xf numFmtId="0" fontId="15" fillId="0" borderId="0"/>
    <xf numFmtId="0" fontId="15" fillId="0" borderId="0"/>
    <xf numFmtId="0" fontId="23" fillId="0" borderId="0"/>
    <xf numFmtId="0" fontId="23" fillId="0" borderId="0"/>
    <xf numFmtId="0" fontId="23" fillId="0" borderId="0"/>
    <xf numFmtId="0" fontId="23" fillId="0" borderId="0"/>
    <xf numFmtId="0" fontId="14" fillId="0" borderId="0"/>
    <xf numFmtId="168" fontId="42" fillId="0" borderId="0" applyFont="0" applyFill="0" applyBorder="0" applyAlignment="0" applyProtection="0"/>
    <xf numFmtId="173" fontId="23" fillId="0" borderId="0" applyFont="0" applyFill="0" applyBorder="0" applyAlignment="0" applyProtection="0"/>
    <xf numFmtId="2" fontId="23" fillId="0" borderId="0" applyFont="0" applyFill="0" applyBorder="0" applyAlignment="0" applyProtection="0"/>
    <xf numFmtId="0" fontId="23" fillId="0" borderId="0"/>
    <xf numFmtId="0" fontId="23" fillId="0" borderId="0"/>
    <xf numFmtId="0" fontId="23" fillId="0" borderId="0"/>
    <xf numFmtId="0" fontId="42"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4" fontId="42" fillId="0" borderId="8" applyProtection="0"/>
    <xf numFmtId="0" fontId="42" fillId="0" borderId="0"/>
    <xf numFmtId="0" fontId="23" fillId="0" borderId="0"/>
    <xf numFmtId="0" fontId="42" fillId="0" borderId="0"/>
    <xf numFmtId="0" fontId="42" fillId="0" borderId="0"/>
    <xf numFmtId="0" fontId="42" fillId="0" borderId="0"/>
    <xf numFmtId="0" fontId="42" fillId="0" borderId="0"/>
    <xf numFmtId="0" fontId="4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2" fillId="0" borderId="0"/>
    <xf numFmtId="9" fontId="23" fillId="0" borderId="0" applyFont="0" applyFill="0" applyBorder="0" applyAlignment="0" applyProtection="0"/>
    <xf numFmtId="9" fontId="23" fillId="0" borderId="0" applyFill="0" applyBorder="0" applyAlignment="0" applyProtection="0"/>
    <xf numFmtId="0" fontId="23" fillId="0" borderId="0"/>
    <xf numFmtId="0" fontId="23" fillId="0" borderId="14">
      <alignment horizontal="center"/>
    </xf>
    <xf numFmtId="0" fontId="23" fillId="0" borderId="14">
      <alignment horizontal="center"/>
    </xf>
    <xf numFmtId="0" fontId="23" fillId="0" borderId="14">
      <alignment horizontal="center"/>
    </xf>
    <xf numFmtId="0" fontId="23" fillId="0" borderId="14">
      <alignment horizontal="center"/>
    </xf>
    <xf numFmtId="0" fontId="20" fillId="0" borderId="0"/>
    <xf numFmtId="0" fontId="20" fillId="0" borderId="0"/>
    <xf numFmtId="0" fontId="13" fillId="0" borderId="0"/>
    <xf numFmtId="0" fontId="42" fillId="0" borderId="0"/>
    <xf numFmtId="0" fontId="20" fillId="0" borderId="0"/>
    <xf numFmtId="0" fontId="20" fillId="0" borderId="0"/>
    <xf numFmtId="0" fontId="20" fillId="0" borderId="0"/>
    <xf numFmtId="0" fontId="12" fillId="0" borderId="0"/>
    <xf numFmtId="0" fontId="11" fillId="0" borderId="0"/>
    <xf numFmtId="0" fontId="1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48"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9" fillId="0" borderId="0"/>
    <xf numFmtId="0" fontId="9" fillId="0" borderId="0"/>
    <xf numFmtId="0" fontId="9" fillId="0" borderId="0"/>
    <xf numFmtId="0" fontId="20" fillId="0" borderId="0"/>
    <xf numFmtId="0" fontId="9" fillId="0" borderId="0"/>
    <xf numFmtId="0" fontId="20" fillId="0" borderId="0"/>
    <xf numFmtId="0" fontId="20" fillId="0" borderId="0"/>
    <xf numFmtId="0" fontId="9" fillId="0" borderId="0"/>
    <xf numFmtId="0" fontId="20" fillId="0" borderId="0"/>
    <xf numFmtId="0" fontId="20" fillId="0" borderId="0"/>
    <xf numFmtId="0" fontId="8" fillId="0" borderId="0"/>
    <xf numFmtId="0" fontId="7" fillId="0" borderId="0"/>
    <xf numFmtId="0" fontId="186" fillId="0" borderId="0"/>
    <xf numFmtId="0" fontId="186" fillId="0" borderId="0"/>
  </cellStyleXfs>
  <cellXfs count="2066">
    <xf numFmtId="0" fontId="0" fillId="0" borderId="0" xfId="0"/>
    <xf numFmtId="0" fontId="23" fillId="0" borderId="0" xfId="121" applyAlignment="1">
      <alignment vertical="center"/>
    </xf>
    <xf numFmtId="0" fontId="23" fillId="0" borderId="0" xfId="121" applyAlignment="1">
      <alignment horizontal="center"/>
    </xf>
    <xf numFmtId="0" fontId="70" fillId="0" borderId="0" xfId="121" applyFont="1" applyAlignment="1">
      <alignment horizontal="center" vertical="center"/>
    </xf>
    <xf numFmtId="0" fontId="73" fillId="0" borderId="0" xfId="121" applyFont="1"/>
    <xf numFmtId="0" fontId="74" fillId="0" borderId="0" xfId="121" applyFont="1" applyAlignment="1">
      <alignment horizontal="center"/>
    </xf>
    <xf numFmtId="0" fontId="74" fillId="0" borderId="0" xfId="121" applyFont="1" applyAlignment="1">
      <alignment horizontal="center" vertical="top"/>
    </xf>
    <xf numFmtId="0" fontId="74" fillId="0" borderId="0" xfId="121" applyFont="1" applyAlignment="1">
      <alignment horizontal="center" vertical="center"/>
    </xf>
    <xf numFmtId="0" fontId="77" fillId="0" borderId="0" xfId="121" applyFont="1" applyAlignment="1">
      <alignment horizontal="center" vertical="center"/>
    </xf>
    <xf numFmtId="2" fontId="94" fillId="0" borderId="15" xfId="0" applyNumberFormat="1" applyFont="1" applyBorder="1" applyAlignment="1">
      <alignment horizontal="right" vertical="top"/>
    </xf>
    <xf numFmtId="2" fontId="94" fillId="0" borderId="15" xfId="0" applyNumberFormat="1" applyFont="1" applyBorder="1" applyAlignment="1">
      <alignment horizontal="center" vertical="top"/>
    </xf>
    <xf numFmtId="2" fontId="94" fillId="0" borderId="15" xfId="95" applyNumberFormat="1" applyFont="1" applyBorder="1" applyAlignment="1">
      <alignment vertical="top"/>
    </xf>
    <xf numFmtId="0" fontId="94" fillId="0" borderId="0" xfId="0" applyFont="1" applyAlignment="1">
      <alignment horizontal="center" vertical="top"/>
    </xf>
    <xf numFmtId="0" fontId="94" fillId="0" borderId="15" xfId="95" applyFont="1" applyBorder="1" applyAlignment="1">
      <alignment horizontal="center" vertical="top" wrapText="1"/>
    </xf>
    <xf numFmtId="0" fontId="94" fillId="0" borderId="0" xfId="95" applyFont="1" applyAlignment="1">
      <alignment horizontal="center" vertical="top"/>
    </xf>
    <xf numFmtId="2" fontId="94" fillId="0" borderId="15" xfId="0" applyNumberFormat="1" applyFont="1" applyBorder="1" applyAlignment="1">
      <alignment horizontal="center"/>
    </xf>
    <xf numFmtId="0" fontId="94" fillId="0" borderId="15" xfId="0" applyFont="1" applyBorder="1" applyAlignment="1">
      <alignment horizontal="center" vertical="top"/>
    </xf>
    <xf numFmtId="49" fontId="94" fillId="0" borderId="0" xfId="969" applyNumberFormat="1" applyFont="1" applyAlignment="1">
      <alignment horizontal="center" vertical="center" wrapText="1"/>
    </xf>
    <xf numFmtId="49" fontId="100" fillId="0" borderId="0" xfId="969" applyNumberFormat="1" applyFont="1" applyAlignment="1">
      <alignment horizontal="center" vertical="center" wrapText="1"/>
    </xf>
    <xf numFmtId="49" fontId="122" fillId="0" borderId="0" xfId="969" applyNumberFormat="1" applyFont="1" applyAlignment="1">
      <alignment horizontal="left" vertical="center" wrapText="1"/>
    </xf>
    <xf numFmtId="0" fontId="100" fillId="0" borderId="0" xfId="969" applyFont="1" applyAlignment="1">
      <alignment horizontal="left"/>
    </xf>
    <xf numFmtId="2" fontId="100" fillId="0" borderId="0" xfId="969" applyNumberFormat="1" applyFont="1" applyAlignment="1">
      <alignment horizontal="right"/>
    </xf>
    <xf numFmtId="0" fontId="100" fillId="0" borderId="0" xfId="969" applyFont="1"/>
    <xf numFmtId="49" fontId="94" fillId="0" borderId="15" xfId="969" applyNumberFormat="1" applyFont="1" applyBorder="1" applyAlignment="1">
      <alignment horizontal="center" vertical="top" wrapText="1"/>
    </xf>
    <xf numFmtId="2" fontId="94" fillId="0" borderId="19" xfId="95" applyNumberFormat="1" applyFont="1" applyBorder="1" applyAlignment="1">
      <alignment horizontal="left" vertical="top"/>
    </xf>
    <xf numFmtId="2" fontId="94" fillId="0" borderId="15" xfId="95" applyNumberFormat="1" applyFont="1" applyBorder="1" applyAlignment="1">
      <alignment horizontal="right" vertical="top" wrapText="1"/>
    </xf>
    <xf numFmtId="49" fontId="94" fillId="0" borderId="0" xfId="969" applyNumberFormat="1" applyFont="1" applyAlignment="1">
      <alignment horizontal="center" vertical="top" wrapText="1"/>
    </xf>
    <xf numFmtId="0" fontId="94" fillId="0" borderId="15" xfId="96" applyFont="1" applyBorder="1" applyAlignment="1">
      <alignment horizontal="justify" vertical="top" wrapText="1"/>
    </xf>
    <xf numFmtId="2" fontId="94" fillId="0" borderId="17" xfId="969" applyNumberFormat="1" applyFont="1" applyBorder="1" applyAlignment="1">
      <alignment horizontal="right" vertical="top" wrapText="1"/>
    </xf>
    <xf numFmtId="2" fontId="94" fillId="0" borderId="15" xfId="969" applyNumberFormat="1" applyFont="1" applyBorder="1" applyAlignment="1">
      <alignment horizontal="center" vertical="top" wrapText="1"/>
    </xf>
    <xf numFmtId="49" fontId="94" fillId="0" borderId="15" xfId="969" applyNumberFormat="1" applyFont="1" applyBorder="1" applyAlignment="1">
      <alignment horizontal="justify" vertical="top" wrapText="1"/>
    </xf>
    <xf numFmtId="2" fontId="101" fillId="0" borderId="15" xfId="969" applyNumberFormat="1" applyFont="1" applyBorder="1" applyAlignment="1">
      <alignment horizontal="right" vertical="top" wrapText="1"/>
    </xf>
    <xf numFmtId="49" fontId="94" fillId="0" borderId="0" xfId="969" applyNumberFormat="1" applyFont="1" applyAlignment="1">
      <alignment horizontal="justify" vertical="center" wrapText="1"/>
    </xf>
    <xf numFmtId="2" fontId="94" fillId="0" borderId="0" xfId="969" applyNumberFormat="1" applyFont="1" applyAlignment="1">
      <alignment horizontal="right" vertical="center" wrapText="1"/>
    </xf>
    <xf numFmtId="49" fontId="94" fillId="0" borderId="0" xfId="969" applyNumberFormat="1" applyFont="1" applyAlignment="1">
      <alignment vertical="center" wrapText="1"/>
    </xf>
    <xf numFmtId="49" fontId="94" fillId="0" borderId="0" xfId="969" applyNumberFormat="1" applyFont="1" applyAlignment="1">
      <alignment horizontal="right" vertical="center" wrapText="1"/>
    </xf>
    <xf numFmtId="0" fontId="100" fillId="0" borderId="0" xfId="969" applyFont="1" applyAlignment="1">
      <alignment horizontal="center"/>
    </xf>
    <xf numFmtId="2" fontId="94" fillId="0" borderId="17" xfId="969" applyNumberFormat="1" applyFont="1" applyBorder="1" applyAlignment="1">
      <alignment horizontal="center" vertical="top" wrapText="1"/>
    </xf>
    <xf numFmtId="0" fontId="94" fillId="0" borderId="15" xfId="0" applyFont="1" applyBorder="1" applyAlignment="1">
      <alignment horizontal="right" vertical="top"/>
    </xf>
    <xf numFmtId="0" fontId="94" fillId="0" borderId="15" xfId="0" applyFont="1" applyBorder="1" applyAlignment="1">
      <alignment vertical="top"/>
    </xf>
    <xf numFmtId="165" fontId="94" fillId="0" borderId="15" xfId="0" applyNumberFormat="1" applyFont="1" applyBorder="1" applyAlignment="1">
      <alignment vertical="top"/>
    </xf>
    <xf numFmtId="0" fontId="94" fillId="0" borderId="0" xfId="95" applyFont="1" applyAlignment="1">
      <alignment vertical="top"/>
    </xf>
    <xf numFmtId="0" fontId="124" fillId="0" borderId="0" xfId="859" applyFont="1"/>
    <xf numFmtId="0" fontId="125" fillId="0" borderId="0" xfId="859" applyFont="1"/>
    <xf numFmtId="0" fontId="126" fillId="0" borderId="0" xfId="859" applyFont="1"/>
    <xf numFmtId="2" fontId="127" fillId="0" borderId="0" xfId="859" applyNumberFormat="1" applyFont="1"/>
    <xf numFmtId="0" fontId="127" fillId="0" borderId="0" xfId="859" applyFont="1"/>
    <xf numFmtId="0" fontId="128" fillId="0" borderId="0" xfId="96" applyFont="1"/>
    <xf numFmtId="0" fontId="129" fillId="0" borderId="0" xfId="0" applyFont="1" applyAlignment="1">
      <alignment horizontal="center"/>
    </xf>
    <xf numFmtId="0" fontId="129" fillId="0" borderId="0" xfId="0" applyFont="1" applyAlignment="1">
      <alignment vertical="top"/>
    </xf>
    <xf numFmtId="0" fontId="98" fillId="0" borderId="0" xfId="0" applyFont="1" applyAlignment="1">
      <alignment horizontal="center"/>
    </xf>
    <xf numFmtId="0" fontId="98" fillId="0" borderId="0" xfId="0" applyFont="1" applyAlignment="1">
      <alignment horizontal="right"/>
    </xf>
    <xf numFmtId="0" fontId="130" fillId="0" borderId="0" xfId="859" applyFont="1"/>
    <xf numFmtId="2" fontId="94" fillId="0" borderId="15" xfId="0" applyNumberFormat="1" applyFont="1" applyBorder="1" applyAlignment="1">
      <alignment vertical="top"/>
    </xf>
    <xf numFmtId="0" fontId="94" fillId="0" borderId="15" xfId="95" applyFont="1" applyBorder="1" applyAlignment="1">
      <alignment vertical="top" wrapText="1"/>
    </xf>
    <xf numFmtId="0" fontId="102" fillId="0" borderId="0" xfId="0" applyFont="1" applyAlignment="1">
      <alignment horizontal="center" vertical="top"/>
    </xf>
    <xf numFmtId="2" fontId="94" fillId="0" borderId="0" xfId="969" applyNumberFormat="1" applyFont="1" applyAlignment="1">
      <alignment horizontal="center" vertical="center" wrapText="1"/>
    </xf>
    <xf numFmtId="0" fontId="101" fillId="0" borderId="0" xfId="0" applyFont="1" applyAlignment="1">
      <alignment horizontal="right" vertical="center" wrapText="1"/>
    </xf>
    <xf numFmtId="0" fontId="94" fillId="0" borderId="0" xfId="0" applyFont="1" applyAlignment="1">
      <alignment vertical="top"/>
    </xf>
    <xf numFmtId="0" fontId="101" fillId="0" borderId="0" xfId="0" applyFont="1" applyAlignment="1">
      <alignment vertical="top"/>
    </xf>
    <xf numFmtId="0" fontId="94" fillId="0" borderId="0" xfId="0" applyFont="1"/>
    <xf numFmtId="0" fontId="98" fillId="0" borderId="0" xfId="1384" applyFont="1" applyAlignment="1">
      <alignment vertical="top"/>
    </xf>
    <xf numFmtId="0" fontId="158" fillId="0" borderId="22" xfId="1384" applyFont="1" applyBorder="1" applyAlignment="1">
      <alignment horizontal="center" vertical="center" wrapText="1"/>
    </xf>
    <xf numFmtId="0" fontId="158" fillId="0" borderId="22" xfId="1384" applyFont="1" applyBorder="1" applyAlignment="1">
      <alignment horizontal="right" vertical="center" wrapText="1"/>
    </xf>
    <xf numFmtId="0" fontId="158" fillId="0" borderId="0" xfId="1384" applyFont="1" applyAlignment="1">
      <alignment horizontal="right" vertical="center" wrapText="1"/>
    </xf>
    <xf numFmtId="2" fontId="129" fillId="0" borderId="22" xfId="1384" applyNumberFormat="1" applyFont="1" applyBorder="1" applyAlignment="1">
      <alignment horizontal="center" vertical="center" wrapText="1"/>
    </xf>
    <xf numFmtId="0" fontId="129" fillId="0" borderId="15" xfId="1384" applyFont="1" applyBorder="1" applyAlignment="1">
      <alignment horizontal="center" vertical="center"/>
    </xf>
    <xf numFmtId="0" fontId="129" fillId="0" borderId="15" xfId="1384" applyFont="1" applyBorder="1" applyAlignment="1">
      <alignment horizontal="center" vertical="center" wrapText="1"/>
    </xf>
    <xf numFmtId="0" fontId="129" fillId="0" borderId="0" xfId="1384" applyFont="1" applyAlignment="1">
      <alignment vertical="center"/>
    </xf>
    <xf numFmtId="0" fontId="129" fillId="0" borderId="15" xfId="1384" applyFont="1" applyBorder="1" applyAlignment="1">
      <alignment horizontal="center" vertical="top"/>
    </xf>
    <xf numFmtId="0" fontId="129" fillId="0" borderId="15" xfId="1384" applyFont="1" applyBorder="1" applyAlignment="1">
      <alignment vertical="top" wrapText="1"/>
    </xf>
    <xf numFmtId="2" fontId="138" fillId="0" borderId="15" xfId="1384" applyNumberFormat="1" applyFont="1" applyBorder="1" applyAlignment="1">
      <alignment vertical="top"/>
    </xf>
    <xf numFmtId="2" fontId="138" fillId="0" borderId="15" xfId="1384" applyNumberFormat="1" applyFont="1" applyBorder="1" applyAlignment="1">
      <alignment horizontal="center" vertical="top"/>
    </xf>
    <xf numFmtId="0" fontId="129" fillId="0" borderId="0" xfId="1384" applyFont="1" applyAlignment="1">
      <alignment vertical="top"/>
    </xf>
    <xf numFmtId="2" fontId="129" fillId="0" borderId="15" xfId="1384" applyNumberFormat="1" applyFont="1" applyBorder="1" applyAlignment="1">
      <alignment vertical="top"/>
    </xf>
    <xf numFmtId="0" fontId="129" fillId="0" borderId="0" xfId="1384" applyFont="1" applyAlignment="1">
      <alignment horizontal="center" vertical="top"/>
    </xf>
    <xf numFmtId="0" fontId="129" fillId="0" borderId="0" xfId="1384" applyFont="1" applyAlignment="1">
      <alignment vertical="top" wrapText="1"/>
    </xf>
    <xf numFmtId="2" fontId="129" fillId="0" borderId="0" xfId="1384" applyNumberFormat="1" applyFont="1" applyAlignment="1">
      <alignment vertical="top"/>
    </xf>
    <xf numFmtId="2" fontId="129" fillId="0" borderId="0" xfId="1384" applyNumberFormat="1" applyFont="1" applyAlignment="1">
      <alignment horizontal="right" vertical="top"/>
    </xf>
    <xf numFmtId="0" fontId="129" fillId="0" borderId="0" xfId="1384" applyFont="1" applyAlignment="1">
      <alignment horizontal="right" vertical="top"/>
    </xf>
    <xf numFmtId="0" fontId="98" fillId="0" borderId="0" xfId="1384" applyFont="1" applyAlignment="1">
      <alignment horizontal="right" vertical="top"/>
    </xf>
    <xf numFmtId="165" fontId="138" fillId="0" borderId="15" xfId="1384" applyNumberFormat="1" applyFont="1" applyBorder="1" applyAlignment="1">
      <alignment horizontal="center" vertical="top"/>
    </xf>
    <xf numFmtId="0" fontId="94" fillId="0" borderId="15" xfId="0" applyFont="1" applyBorder="1" applyAlignment="1">
      <alignment horizontal="center" wrapText="1"/>
    </xf>
    <xf numFmtId="0" fontId="162" fillId="0" borderId="0" xfId="1387" applyFont="1" applyAlignment="1">
      <alignment horizontal="center" vertical="top"/>
    </xf>
    <xf numFmtId="0" fontId="94" fillId="0" borderId="0" xfId="1388" applyFont="1" applyAlignment="1">
      <alignment vertical="top"/>
    </xf>
    <xf numFmtId="0" fontId="94" fillId="0" borderId="0" xfId="1388" applyFont="1"/>
    <xf numFmtId="0" fontId="116" fillId="0" borderId="0" xfId="1388" applyFont="1"/>
    <xf numFmtId="0" fontId="94" fillId="0" borderId="0" xfId="1388" applyFont="1" applyAlignment="1">
      <alignment horizontal="center"/>
    </xf>
    <xf numFmtId="2" fontId="101" fillId="0" borderId="0" xfId="1388" applyNumberFormat="1" applyFont="1" applyAlignment="1">
      <alignment horizontal="right" vertical="center"/>
    </xf>
    <xf numFmtId="0" fontId="101" fillId="0" borderId="0" xfId="1388" applyFont="1" applyAlignment="1">
      <alignment horizontal="justify" vertical="center"/>
    </xf>
    <xf numFmtId="2" fontId="101" fillId="0" borderId="0" xfId="1388" applyNumberFormat="1" applyFont="1" applyAlignment="1">
      <alignment horizontal="justify" vertical="center"/>
    </xf>
    <xf numFmtId="0" fontId="97" fillId="0" borderId="0" xfId="1388" applyFont="1" applyAlignment="1">
      <alignment vertical="top"/>
    </xf>
    <xf numFmtId="0" fontId="97" fillId="0" borderId="0" xfId="1388" applyFont="1"/>
    <xf numFmtId="2" fontId="107" fillId="0" borderId="8" xfId="1388" applyNumberFormat="1" applyFont="1" applyBorder="1" applyAlignment="1">
      <alignment horizontal="center" vertical="center" wrapText="1"/>
    </xf>
    <xf numFmtId="0" fontId="97" fillId="0" borderId="0" xfId="1388" applyFont="1" applyAlignment="1">
      <alignment horizontal="center" vertical="top"/>
    </xf>
    <xf numFmtId="49" fontId="107" fillId="0" borderId="8" xfId="1388" applyNumberFormat="1" applyFont="1" applyBorder="1" applyAlignment="1">
      <alignment horizontal="right" vertical="center" wrapText="1"/>
    </xf>
    <xf numFmtId="0" fontId="164" fillId="0" borderId="10" xfId="1388" applyFont="1" applyBorder="1" applyAlignment="1">
      <alignment horizontal="center" vertical="top"/>
    </xf>
    <xf numFmtId="2" fontId="164" fillId="0" borderId="40" xfId="1388" applyNumberFormat="1" applyFont="1" applyBorder="1" applyAlignment="1">
      <alignment horizontal="right" vertical="top" wrapText="1"/>
    </xf>
    <xf numFmtId="49" fontId="122" fillId="0" borderId="41" xfId="1389" applyNumberFormat="1" applyFont="1" applyBorder="1" applyAlignment="1">
      <alignment horizontal="center" vertical="center" wrapText="1"/>
    </xf>
    <xf numFmtId="2" fontId="164" fillId="0" borderId="42" xfId="1388" applyNumberFormat="1" applyFont="1" applyBorder="1" applyAlignment="1">
      <alignment horizontal="center" vertical="top" wrapText="1"/>
    </xf>
    <xf numFmtId="0" fontId="97" fillId="0" borderId="42" xfId="1384" applyFont="1" applyBorder="1" applyAlignment="1">
      <alignment horizontal="justify" vertical="top" wrapText="1"/>
    </xf>
    <xf numFmtId="49" fontId="164" fillId="0" borderId="42" xfId="1384" applyNumberFormat="1" applyFont="1" applyBorder="1" applyAlignment="1">
      <alignment horizontal="center" vertical="top" wrapText="1"/>
    </xf>
    <xf numFmtId="2" fontId="164" fillId="0" borderId="42" xfId="1388" applyNumberFormat="1" applyFont="1" applyBorder="1" applyAlignment="1">
      <alignment horizontal="right" vertical="top" wrapText="1"/>
    </xf>
    <xf numFmtId="49" fontId="164" fillId="0" borderId="40" xfId="1384" applyNumberFormat="1" applyFont="1" applyBorder="1" applyAlignment="1">
      <alignment horizontal="justify" vertical="top" wrapText="1"/>
    </xf>
    <xf numFmtId="2" fontId="164" fillId="0" borderId="0" xfId="1384" applyNumberFormat="1" applyFont="1" applyAlignment="1">
      <alignment vertical="top"/>
    </xf>
    <xf numFmtId="0" fontId="164" fillId="0" borderId="0" xfId="1384" applyFont="1" applyAlignment="1">
      <alignment vertical="top"/>
    </xf>
    <xf numFmtId="2" fontId="164" fillId="0" borderId="0" xfId="1388" applyNumberFormat="1" applyFont="1" applyAlignment="1">
      <alignment vertical="top"/>
    </xf>
    <xf numFmtId="49" fontId="94" fillId="0" borderId="41" xfId="1389" applyNumberFormat="1" applyFont="1" applyBorder="1" applyAlignment="1">
      <alignment vertical="top" wrapText="1"/>
    </xf>
    <xf numFmtId="1" fontId="164" fillId="0" borderId="42" xfId="1388" applyNumberFormat="1" applyFont="1" applyBorder="1" applyAlignment="1">
      <alignment horizontal="center" vertical="top" wrapText="1"/>
    </xf>
    <xf numFmtId="49" fontId="94" fillId="0" borderId="10" xfId="1389" applyNumberFormat="1" applyFont="1" applyBorder="1" applyAlignment="1">
      <alignment vertical="top" wrapText="1"/>
    </xf>
    <xf numFmtId="2" fontId="164" fillId="0" borderId="42" xfId="1384" applyNumberFormat="1" applyFont="1" applyBorder="1" applyAlignment="1">
      <alignment horizontal="center" vertical="top" wrapText="1"/>
    </xf>
    <xf numFmtId="1" fontId="164" fillId="0" borderId="0" xfId="1384" applyNumberFormat="1" applyFont="1" applyAlignment="1">
      <alignment vertical="top"/>
    </xf>
    <xf numFmtId="0" fontId="97" fillId="0" borderId="43" xfId="1384" applyFont="1" applyBorder="1" applyAlignment="1">
      <alignment horizontal="center" vertical="top"/>
    </xf>
    <xf numFmtId="2" fontId="97" fillId="0" borderId="44" xfId="1384" applyNumberFormat="1" applyFont="1" applyBorder="1" applyAlignment="1">
      <alignment horizontal="right" vertical="top" wrapText="1"/>
    </xf>
    <xf numFmtId="49" fontId="97" fillId="0" borderId="43" xfId="1384" applyNumberFormat="1" applyFont="1" applyBorder="1" applyAlignment="1">
      <alignment horizontal="left" vertical="top" wrapText="1"/>
    </xf>
    <xf numFmtId="2" fontId="97" fillId="0" borderId="45" xfId="1384" applyNumberFormat="1" applyFont="1" applyBorder="1" applyAlignment="1">
      <alignment horizontal="center" vertical="top" wrapText="1"/>
    </xf>
    <xf numFmtId="49" fontId="107" fillId="0" borderId="45" xfId="1384" applyNumberFormat="1" applyFont="1" applyBorder="1" applyAlignment="1">
      <alignment horizontal="right" vertical="top" wrapText="1"/>
    </xf>
    <xf numFmtId="2" fontId="107" fillId="0" borderId="45" xfId="1384" applyNumberFormat="1" applyFont="1" applyBorder="1" applyAlignment="1">
      <alignment horizontal="center" vertical="top" wrapText="1"/>
    </xf>
    <xf numFmtId="49" fontId="97" fillId="0" borderId="45" xfId="1384" applyNumberFormat="1" applyFont="1" applyBorder="1" applyAlignment="1">
      <alignment horizontal="center" vertical="top" wrapText="1"/>
    </xf>
    <xf numFmtId="2" fontId="97" fillId="0" borderId="45" xfId="1384" applyNumberFormat="1" applyFont="1" applyBorder="1" applyAlignment="1">
      <alignment horizontal="right" vertical="top" wrapText="1"/>
    </xf>
    <xf numFmtId="49" fontId="97" fillId="0" borderId="45" xfId="1384" applyNumberFormat="1" applyFont="1" applyBorder="1" applyAlignment="1">
      <alignment horizontal="justify" vertical="top" wrapText="1"/>
    </xf>
    <xf numFmtId="49" fontId="97" fillId="0" borderId="44" xfId="1384" applyNumberFormat="1" applyFont="1" applyBorder="1" applyAlignment="1">
      <alignment horizontal="justify" vertical="top" wrapText="1"/>
    </xf>
    <xf numFmtId="0" fontId="97" fillId="0" borderId="0" xfId="1384" applyFont="1" applyAlignment="1">
      <alignment vertical="top"/>
    </xf>
    <xf numFmtId="0" fontId="97" fillId="0" borderId="10" xfId="1389" applyFont="1" applyBorder="1" applyAlignment="1">
      <alignment horizontal="center" vertical="top"/>
    </xf>
    <xf numFmtId="2" fontId="97" fillId="0" borderId="40" xfId="1389" applyNumberFormat="1" applyFont="1" applyBorder="1" applyAlignment="1">
      <alignment horizontal="right" vertical="top" wrapText="1"/>
    </xf>
    <xf numFmtId="49" fontId="97" fillId="0" borderId="10" xfId="1389" applyNumberFormat="1" applyFont="1" applyBorder="1" applyAlignment="1">
      <alignment horizontal="left" vertical="top" wrapText="1"/>
    </xf>
    <xf numFmtId="2" fontId="97" fillId="0" borderId="42" xfId="1389" applyNumberFormat="1" applyFont="1" applyBorder="1" applyAlignment="1">
      <alignment horizontal="center" vertical="top" wrapText="1"/>
    </xf>
    <xf numFmtId="2" fontId="165" fillId="0" borderId="42" xfId="1389" applyNumberFormat="1" applyFont="1" applyBorder="1" applyAlignment="1">
      <alignment horizontal="center" vertical="center" wrapText="1"/>
    </xf>
    <xf numFmtId="2" fontId="155" fillId="0" borderId="42" xfId="1389" applyNumberFormat="1" applyFont="1" applyBorder="1" applyAlignment="1">
      <alignment horizontal="right" vertical="top" wrapText="1"/>
    </xf>
    <xf numFmtId="49" fontId="104" fillId="0" borderId="40" xfId="1389" applyNumberFormat="1" applyFont="1" applyBorder="1" applyAlignment="1">
      <alignment horizontal="center" vertical="top" wrapText="1"/>
    </xf>
    <xf numFmtId="0" fontId="100" fillId="0" borderId="0" xfId="1389" applyFont="1" applyAlignment="1">
      <alignment vertical="top"/>
    </xf>
    <xf numFmtId="49" fontId="155" fillId="0" borderId="42" xfId="1389" applyNumberFormat="1" applyFont="1" applyBorder="1" applyAlignment="1">
      <alignment horizontal="center" vertical="center" wrapText="1"/>
    </xf>
    <xf numFmtId="0" fontId="97" fillId="0" borderId="43" xfId="1389" applyFont="1" applyBorder="1" applyAlignment="1">
      <alignment horizontal="center" vertical="top"/>
    </xf>
    <xf numFmtId="2" fontId="97" fillId="0" borderId="44" xfId="1389" applyNumberFormat="1" applyFont="1" applyBorder="1" applyAlignment="1">
      <alignment horizontal="right" vertical="top" wrapText="1"/>
    </xf>
    <xf numFmtId="49" fontId="97" fillId="0" borderId="43" xfId="1389" applyNumberFormat="1" applyFont="1" applyBorder="1" applyAlignment="1">
      <alignment horizontal="left" vertical="top" wrapText="1"/>
    </xf>
    <xf numFmtId="2" fontId="97" fillId="0" borderId="45" xfId="1389" applyNumberFormat="1" applyFont="1" applyBorder="1" applyAlignment="1">
      <alignment horizontal="center" vertical="top" wrapText="1"/>
    </xf>
    <xf numFmtId="2" fontId="165" fillId="0" borderId="45" xfId="1389" applyNumberFormat="1" applyFont="1" applyBorder="1" applyAlignment="1">
      <alignment horizontal="center" vertical="center" wrapText="1"/>
    </xf>
    <xf numFmtId="2" fontId="155" fillId="0" borderId="45" xfId="1389" applyNumberFormat="1" applyFont="1" applyBorder="1" applyAlignment="1">
      <alignment horizontal="right" vertical="center" wrapText="1"/>
    </xf>
    <xf numFmtId="2" fontId="97" fillId="0" borderId="0" xfId="1388" applyNumberFormat="1" applyFont="1" applyAlignment="1">
      <alignment horizontal="right" vertical="center" wrapText="1"/>
    </xf>
    <xf numFmtId="49" fontId="97" fillId="0" borderId="0" xfId="1388" applyNumberFormat="1" applyFont="1" applyAlignment="1">
      <alignment horizontal="center" vertical="center" wrapText="1"/>
    </xf>
    <xf numFmtId="2" fontId="94" fillId="0" borderId="0" xfId="1388" applyNumberFormat="1" applyFont="1" applyAlignment="1">
      <alignment horizontal="right" vertical="center" wrapText="1"/>
    </xf>
    <xf numFmtId="49" fontId="94" fillId="0" borderId="0" xfId="1388" applyNumberFormat="1" applyFont="1" applyAlignment="1">
      <alignment horizontal="center" vertical="center" wrapText="1"/>
    </xf>
    <xf numFmtId="2" fontId="101" fillId="0" borderId="0" xfId="1388" applyNumberFormat="1" applyFont="1" applyAlignment="1">
      <alignment horizontal="center" vertical="center" wrapText="1"/>
    </xf>
    <xf numFmtId="0" fontId="94" fillId="0" borderId="0" xfId="1384" applyFont="1" applyAlignment="1">
      <alignment horizontal="center" vertical="top"/>
    </xf>
    <xf numFmtId="2" fontId="104" fillId="0" borderId="0" xfId="1388" applyNumberFormat="1" applyFont="1" applyAlignment="1">
      <alignment horizontal="right" vertical="center" wrapText="1"/>
    </xf>
    <xf numFmtId="49" fontId="104" fillId="0" borderId="0" xfId="1388" applyNumberFormat="1" applyFont="1" applyAlignment="1">
      <alignment horizontal="center" vertical="center" wrapText="1"/>
    </xf>
    <xf numFmtId="2" fontId="104" fillId="0" borderId="0" xfId="1388" applyNumberFormat="1" applyFont="1" applyAlignment="1">
      <alignment horizontal="center" vertical="center" wrapText="1"/>
    </xf>
    <xf numFmtId="2" fontId="94" fillId="0" borderId="0" xfId="1388" applyNumberFormat="1" applyFont="1" applyAlignment="1">
      <alignment horizontal="center" vertical="center" wrapText="1"/>
    </xf>
    <xf numFmtId="2" fontId="94" fillId="0" borderId="0" xfId="1388" applyNumberFormat="1" applyFont="1" applyAlignment="1">
      <alignment horizontal="right"/>
    </xf>
    <xf numFmtId="2" fontId="94" fillId="0" borderId="0" xfId="1388" applyNumberFormat="1" applyFont="1"/>
    <xf numFmtId="0" fontId="98" fillId="0" borderId="0" xfId="1384" applyFont="1" applyAlignment="1">
      <alignment horizontal="center" vertical="center"/>
    </xf>
    <xf numFmtId="0" fontId="98" fillId="0" borderId="0" xfId="1384" applyFont="1" applyAlignment="1">
      <alignment horizontal="center" vertical="top"/>
    </xf>
    <xf numFmtId="2" fontId="30" fillId="0" borderId="0" xfId="1384" applyNumberFormat="1" applyFont="1" applyAlignment="1">
      <alignment horizontal="center" vertical="top"/>
    </xf>
    <xf numFmtId="49" fontId="98" fillId="0" borderId="0" xfId="1389" applyNumberFormat="1" applyFont="1" applyAlignment="1">
      <alignment horizontal="center" vertical="center" wrapText="1"/>
    </xf>
    <xf numFmtId="49" fontId="129" fillId="0" borderId="0" xfId="1389" applyNumberFormat="1" applyFont="1" applyAlignment="1">
      <alignment horizontal="center" vertical="center" wrapText="1"/>
    </xf>
    <xf numFmtId="0" fontId="138" fillId="0" borderId="0" xfId="1389" applyFont="1" applyAlignment="1">
      <alignment horizontal="left" vertical="center" wrapText="1"/>
    </xf>
    <xf numFmtId="0" fontId="129" fillId="0" borderId="0" xfId="1389" applyFont="1" applyAlignment="1">
      <alignment horizontal="left"/>
    </xf>
    <xf numFmtId="0" fontId="129" fillId="0" borderId="0" xfId="1389" applyFont="1" applyAlignment="1">
      <alignment horizontal="center"/>
    </xf>
    <xf numFmtId="2" fontId="129" fillId="0" borderId="0" xfId="1389" applyNumberFormat="1" applyFont="1" applyAlignment="1">
      <alignment horizontal="left"/>
    </xf>
    <xf numFmtId="49" fontId="138" fillId="0" borderId="0" xfId="1389" applyNumberFormat="1" applyFont="1" applyAlignment="1">
      <alignment horizontal="left" vertical="center" wrapText="1"/>
    </xf>
    <xf numFmtId="2" fontId="129" fillId="0" borderId="0" xfId="1389" applyNumberFormat="1" applyFont="1" applyAlignment="1">
      <alignment horizontal="right"/>
    </xf>
    <xf numFmtId="0" fontId="138" fillId="0" borderId="0" xfId="1389" applyFont="1" applyAlignment="1">
      <alignment vertical="center" wrapText="1"/>
    </xf>
    <xf numFmtId="2" fontId="129" fillId="0" borderId="0" xfId="1389" applyNumberFormat="1" applyFont="1" applyAlignment="1">
      <alignment vertical="center" wrapText="1"/>
    </xf>
    <xf numFmtId="0" fontId="129" fillId="0" borderId="0" xfId="1389" applyFont="1" applyAlignment="1">
      <alignment vertical="center" wrapText="1"/>
    </xf>
    <xf numFmtId="0" fontId="138" fillId="0" borderId="0" xfId="1389" applyFont="1" applyAlignment="1">
      <alignment horizontal="left" vertical="center"/>
    </xf>
    <xf numFmtId="0" fontId="129" fillId="0" borderId="0" xfId="1389" applyFont="1" applyAlignment="1">
      <alignment horizontal="left" vertical="center" wrapText="1"/>
    </xf>
    <xf numFmtId="0" fontId="129" fillId="0" borderId="0" xfId="1389" applyFont="1" applyAlignment="1">
      <alignment horizontal="left" vertical="center"/>
    </xf>
    <xf numFmtId="49" fontId="139" fillId="0" borderId="15" xfId="1389" applyNumberFormat="1" applyFont="1" applyBorder="1" applyAlignment="1">
      <alignment horizontal="center" vertical="top" wrapText="1"/>
    </xf>
    <xf numFmtId="0" fontId="102" fillId="0" borderId="17" xfId="1384" applyFont="1" applyBorder="1" applyAlignment="1">
      <alignment horizontal="center" vertical="top" wrapText="1"/>
    </xf>
    <xf numFmtId="2" fontId="98" fillId="0" borderId="17" xfId="1389" applyNumberFormat="1" applyFont="1" applyBorder="1" applyAlignment="1">
      <alignment horizontal="right" vertical="top" wrapText="1"/>
    </xf>
    <xf numFmtId="2" fontId="98" fillId="0" borderId="15" xfId="1389" applyNumberFormat="1" applyFont="1" applyBorder="1" applyAlignment="1">
      <alignment vertical="top" wrapText="1"/>
    </xf>
    <xf numFmtId="2" fontId="98" fillId="0" borderId="19" xfId="1389" applyNumberFormat="1" applyFont="1" applyBorder="1" applyAlignment="1">
      <alignment horizontal="left" vertical="top" wrapText="1"/>
    </xf>
    <xf numFmtId="2" fontId="98" fillId="0" borderId="15" xfId="1389" applyNumberFormat="1" applyFont="1" applyBorder="1" applyAlignment="1">
      <alignment horizontal="right" vertical="top" wrapText="1"/>
    </xf>
    <xf numFmtId="2" fontId="98" fillId="0" borderId="0" xfId="1389" applyNumberFormat="1" applyFont="1" applyAlignment="1">
      <alignment horizontal="center" vertical="top" wrapText="1"/>
    </xf>
    <xf numFmtId="49" fontId="98" fillId="0" borderId="0" xfId="1389" applyNumberFormat="1" applyFont="1" applyAlignment="1">
      <alignment horizontal="center" vertical="top" wrapText="1"/>
    </xf>
    <xf numFmtId="0" fontId="140" fillId="0" borderId="15" xfId="1384" applyFont="1" applyBorder="1" applyAlignment="1">
      <alignment horizontal="justify" vertical="top" wrapText="1"/>
    </xf>
    <xf numFmtId="2" fontId="98" fillId="0" borderId="15" xfId="1389" applyNumberFormat="1" applyFont="1" applyBorder="1" applyAlignment="1">
      <alignment horizontal="left" vertical="top" wrapText="1"/>
    </xf>
    <xf numFmtId="2" fontId="98" fillId="0" borderId="19" xfId="1389" applyNumberFormat="1" applyFont="1" applyBorder="1" applyAlignment="1">
      <alignment horizontal="center" vertical="top" wrapText="1"/>
    </xf>
    <xf numFmtId="2" fontId="98" fillId="0" borderId="19" xfId="1389" applyNumberFormat="1" applyFont="1" applyBorder="1" applyAlignment="1">
      <alignment horizontal="right" vertical="top" wrapText="1"/>
    </xf>
    <xf numFmtId="2" fontId="141" fillId="0" borderId="15" xfId="1389" applyNumberFormat="1" applyFont="1" applyBorder="1" applyAlignment="1">
      <alignment horizontal="right" vertical="top" wrapText="1"/>
    </xf>
    <xf numFmtId="49" fontId="98" fillId="0" borderId="0" xfId="1389" applyNumberFormat="1" applyFont="1" applyAlignment="1">
      <alignment horizontal="justify" vertical="center" wrapText="1"/>
    </xf>
    <xf numFmtId="2" fontId="98" fillId="0" borderId="0" xfId="1389" applyNumberFormat="1" applyFont="1" applyAlignment="1">
      <alignment horizontal="right" vertical="center" wrapText="1"/>
    </xf>
    <xf numFmtId="49" fontId="98" fillId="0" borderId="0" xfId="1389" applyNumberFormat="1" applyFont="1" applyAlignment="1">
      <alignment horizontal="right" vertical="center" wrapText="1"/>
    </xf>
    <xf numFmtId="2" fontId="98" fillId="0" borderId="0" xfId="1389" applyNumberFormat="1" applyFont="1" applyAlignment="1">
      <alignment horizontal="center" vertical="center" wrapText="1"/>
    </xf>
    <xf numFmtId="0" fontId="98" fillId="0" borderId="0" xfId="1389" applyFont="1" applyAlignment="1">
      <alignment horizontal="center" vertical="center"/>
    </xf>
    <xf numFmtId="49" fontId="141" fillId="0" borderId="0" xfId="1389" applyNumberFormat="1" applyFont="1" applyAlignment="1">
      <alignment horizontal="center" vertical="center" wrapText="1"/>
    </xf>
    <xf numFmtId="0" fontId="12" fillId="0" borderId="0" xfId="1391"/>
    <xf numFmtId="0" fontId="12" fillId="0" borderId="0" xfId="1391" applyAlignment="1">
      <alignment vertical="justify"/>
    </xf>
    <xf numFmtId="2" fontId="12" fillId="0" borderId="0" xfId="1391" applyNumberFormat="1"/>
    <xf numFmtId="0" fontId="12" fillId="0" borderId="0" xfId="1391" applyAlignment="1">
      <alignment wrapText="1"/>
    </xf>
    <xf numFmtId="2" fontId="144" fillId="0" borderId="0" xfId="1391" applyNumberFormat="1" applyFont="1" applyAlignment="1">
      <alignment vertical="justify" wrapText="1"/>
    </xf>
    <xf numFmtId="0" fontId="132" fillId="0" borderId="0" xfId="1391" applyFont="1" applyAlignment="1">
      <alignment vertical="justify" wrapText="1"/>
    </xf>
    <xf numFmtId="0" fontId="12" fillId="0" borderId="0" xfId="1391" applyAlignment="1">
      <alignment vertical="justify" wrapText="1"/>
    </xf>
    <xf numFmtId="0" fontId="12" fillId="0" borderId="0" xfId="1391" applyAlignment="1">
      <alignment horizontal="justify" vertical="top" wrapText="1"/>
    </xf>
    <xf numFmtId="2" fontId="132" fillId="0" borderId="0" xfId="1391" applyNumberFormat="1" applyFont="1" applyAlignment="1">
      <alignment vertical="justify"/>
    </xf>
    <xf numFmtId="0" fontId="94" fillId="0" borderId="0" xfId="94" applyFont="1"/>
    <xf numFmtId="0" fontId="101" fillId="0" borderId="0" xfId="94" applyFont="1"/>
    <xf numFmtId="0" fontId="94" fillId="0" borderId="0" xfId="94" applyFont="1" applyAlignment="1">
      <alignment horizontal="center"/>
    </xf>
    <xf numFmtId="0" fontId="101" fillId="0" borderId="0" xfId="94" applyFont="1" applyAlignment="1">
      <alignment horizontal="center" vertical="center"/>
    </xf>
    <xf numFmtId="0" fontId="94" fillId="0" borderId="0" xfId="94" applyFont="1" applyAlignment="1">
      <alignment vertical="center"/>
    </xf>
    <xf numFmtId="0" fontId="94" fillId="0" borderId="0" xfId="94" applyFont="1" applyAlignment="1">
      <alignment horizontal="center" vertical="center"/>
    </xf>
    <xf numFmtId="0" fontId="106" fillId="0" borderId="0" xfId="94" applyFont="1" applyAlignment="1">
      <alignment horizontal="center" vertical="center" wrapText="1"/>
    </xf>
    <xf numFmtId="49" fontId="74" fillId="0" borderId="0" xfId="121" applyNumberFormat="1" applyFont="1" applyAlignment="1">
      <alignment vertical="center"/>
    </xf>
    <xf numFmtId="2" fontId="98" fillId="0" borderId="18" xfId="1389" applyNumberFormat="1" applyFont="1" applyBorder="1" applyAlignment="1">
      <alignment horizontal="left" vertical="top" wrapText="1"/>
    </xf>
    <xf numFmtId="2" fontId="98" fillId="0" borderId="18" xfId="1389" applyNumberFormat="1" applyFont="1" applyBorder="1" applyAlignment="1">
      <alignment horizontal="center" vertical="top" wrapText="1"/>
    </xf>
    <xf numFmtId="0" fontId="129" fillId="0" borderId="0" xfId="1389" applyFont="1" applyAlignment="1">
      <alignment horizontal="right"/>
    </xf>
    <xf numFmtId="0" fontId="98" fillId="0" borderId="0" xfId="1389" applyFont="1" applyAlignment="1">
      <alignment horizontal="right" vertical="center"/>
    </xf>
    <xf numFmtId="0" fontId="94" fillId="0" borderId="15" xfId="0" applyFont="1" applyBorder="1"/>
    <xf numFmtId="1" fontId="94" fillId="0" borderId="15" xfId="0" applyNumberFormat="1" applyFont="1" applyBorder="1" applyAlignment="1">
      <alignment horizontal="center" vertical="top"/>
    </xf>
    <xf numFmtId="1" fontId="101" fillId="0" borderId="15" xfId="0" applyNumberFormat="1" applyFont="1" applyBorder="1" applyAlignment="1">
      <alignment horizontal="center" wrapText="1"/>
    </xf>
    <xf numFmtId="2" fontId="101" fillId="0" borderId="15" xfId="0" applyNumberFormat="1" applyFont="1" applyBorder="1" applyAlignment="1">
      <alignment horizontal="center" wrapText="1"/>
    </xf>
    <xf numFmtId="0" fontId="101" fillId="0" borderId="19" xfId="0" applyFont="1" applyBorder="1"/>
    <xf numFmtId="0" fontId="101" fillId="0" borderId="0" xfId="0" applyFont="1"/>
    <xf numFmtId="2" fontId="94" fillId="0" borderId="0" xfId="0" applyNumberFormat="1" applyFont="1"/>
    <xf numFmtId="0" fontId="94" fillId="0" borderId="0" xfId="1385" applyFont="1" applyAlignment="1">
      <alignment vertical="center"/>
    </xf>
    <xf numFmtId="0" fontId="94" fillId="0" borderId="0" xfId="1385" applyFont="1"/>
    <xf numFmtId="0" fontId="168" fillId="0" borderId="0" xfId="1385" applyFont="1" applyAlignment="1">
      <alignment vertical="center"/>
    </xf>
    <xf numFmtId="0" fontId="101" fillId="0" borderId="0" xfId="0" applyFont="1" applyAlignment="1">
      <alignment horizontal="center" vertical="top"/>
    </xf>
    <xf numFmtId="0" fontId="94" fillId="0" borderId="0" xfId="0" applyFont="1" applyAlignment="1">
      <alignment horizontal="right" vertical="center"/>
    </xf>
    <xf numFmtId="0" fontId="104" fillId="0" borderId="15" xfId="0" applyFont="1" applyBorder="1" applyAlignment="1">
      <alignment horizontal="center" vertical="center" wrapText="1"/>
    </xf>
    <xf numFmtId="2" fontId="98" fillId="0" borderId="0" xfId="1389" applyNumberFormat="1" applyFont="1" applyAlignment="1">
      <alignment horizontal="center" vertical="center"/>
    </xf>
    <xf numFmtId="0" fontId="94" fillId="0" borderId="19" xfId="1384" applyFont="1" applyBorder="1" applyAlignment="1">
      <alignment horizontal="left" vertical="top"/>
    </xf>
    <xf numFmtId="165" fontId="164" fillId="0" borderId="40" xfId="1388" applyNumberFormat="1" applyFont="1" applyBorder="1" applyAlignment="1">
      <alignment horizontal="right" vertical="top" wrapText="1"/>
    </xf>
    <xf numFmtId="2" fontId="94" fillId="0" borderId="15" xfId="969" applyNumberFormat="1" applyFont="1" applyBorder="1" applyAlignment="1">
      <alignment horizontal="right" vertical="top" wrapText="1"/>
    </xf>
    <xf numFmtId="2" fontId="94" fillId="0" borderId="19" xfId="969" applyNumberFormat="1" applyFont="1" applyBorder="1" applyAlignment="1">
      <alignment vertical="top" wrapText="1"/>
    </xf>
    <xf numFmtId="49" fontId="94" fillId="0" borderId="19" xfId="969" applyNumberFormat="1" applyFont="1" applyBorder="1" applyAlignment="1">
      <alignment vertical="top" wrapText="1"/>
    </xf>
    <xf numFmtId="1" fontId="102" fillId="0" borderId="0" xfId="0" applyNumberFormat="1" applyFont="1" applyAlignment="1">
      <alignment horizontal="center" vertical="top"/>
    </xf>
    <xf numFmtId="0" fontId="98" fillId="0" borderId="0" xfId="0" applyFont="1" applyAlignment="1">
      <alignment vertical="top"/>
    </xf>
    <xf numFmtId="165" fontId="129" fillId="0" borderId="15" xfId="1384" applyNumberFormat="1" applyFont="1" applyBorder="1" applyAlignment="1">
      <alignment horizontal="center" vertical="top"/>
    </xf>
    <xf numFmtId="2" fontId="129" fillId="0" borderId="15" xfId="1384" applyNumberFormat="1" applyFont="1" applyBorder="1" applyAlignment="1">
      <alignment horizontal="center" vertical="top"/>
    </xf>
    <xf numFmtId="49" fontId="122" fillId="0" borderId="17" xfId="969" applyNumberFormat="1" applyFont="1" applyBorder="1" applyAlignment="1">
      <alignment vertical="center" wrapText="1"/>
    </xf>
    <xf numFmtId="0" fontId="76" fillId="0" borderId="0" xfId="121" applyFont="1" applyAlignment="1">
      <alignment horizontal="left" vertical="center"/>
    </xf>
    <xf numFmtId="0" fontId="76" fillId="0" borderId="0" xfId="121" applyFont="1" applyAlignment="1">
      <alignment horizontal="left" vertical="center" wrapText="1"/>
    </xf>
    <xf numFmtId="0" fontId="71" fillId="0" borderId="0" xfId="121" applyFont="1" applyAlignment="1">
      <alignment horizontal="center" vertical="center"/>
    </xf>
    <xf numFmtId="0" fontId="75" fillId="0" borderId="0" xfId="121" applyFont="1" applyAlignment="1">
      <alignment horizontal="left" vertical="top"/>
    </xf>
    <xf numFmtId="0" fontId="23" fillId="0" borderId="0" xfId="121"/>
    <xf numFmtId="2" fontId="74" fillId="0" borderId="0" xfId="121" applyNumberFormat="1" applyFont="1" applyAlignment="1">
      <alignment horizontal="left" vertical="center" wrapText="1"/>
    </xf>
    <xf numFmtId="0" fontId="74" fillId="0" borderId="0" xfId="121" applyFont="1" applyAlignment="1">
      <alignment horizontal="left" vertical="center" wrapText="1"/>
    </xf>
    <xf numFmtId="0" fontId="94" fillId="0" borderId="0" xfId="1388" applyFont="1" applyAlignment="1">
      <alignment horizontal="justify" vertical="center"/>
    </xf>
    <xf numFmtId="0" fontId="101" fillId="0" borderId="0" xfId="1388" applyFont="1" applyAlignment="1">
      <alignment horizontal="center" vertical="center"/>
    </xf>
    <xf numFmtId="0" fontId="94" fillId="0" borderId="0" xfId="1388" applyFont="1" applyAlignment="1">
      <alignment horizontal="center" vertical="center"/>
    </xf>
    <xf numFmtId="49" fontId="107" fillId="0" borderId="8" xfId="1388" applyNumberFormat="1" applyFont="1" applyBorder="1" applyAlignment="1">
      <alignment horizontal="center" vertical="center" wrapText="1"/>
    </xf>
    <xf numFmtId="49" fontId="107" fillId="0" borderId="28" xfId="1388" applyNumberFormat="1" applyFont="1" applyBorder="1" applyAlignment="1">
      <alignment horizontal="center" vertical="center" wrapText="1"/>
    </xf>
    <xf numFmtId="49" fontId="107" fillId="0" borderId="29" xfId="1388" applyNumberFormat="1" applyFont="1" applyBorder="1" applyAlignment="1">
      <alignment horizontal="center" vertical="center" wrapText="1"/>
    </xf>
    <xf numFmtId="49" fontId="97" fillId="0" borderId="0" xfId="1388" applyNumberFormat="1" applyFont="1" applyAlignment="1">
      <alignment horizontal="center" wrapText="1"/>
    </xf>
    <xf numFmtId="49" fontId="101" fillId="0" borderId="0" xfId="1388" applyNumberFormat="1" applyFont="1" applyAlignment="1">
      <alignment horizontal="center" vertical="center" wrapText="1"/>
    </xf>
    <xf numFmtId="0" fontId="94" fillId="0" borderId="0" xfId="1388" applyFont="1" applyAlignment="1">
      <alignment horizontal="center" vertical="center" wrapText="1"/>
    </xf>
    <xf numFmtId="49" fontId="138" fillId="0" borderId="15" xfId="1389" applyNumberFormat="1" applyFont="1" applyBorder="1" applyAlignment="1">
      <alignment horizontal="center" vertical="center" wrapText="1"/>
    </xf>
    <xf numFmtId="0" fontId="131" fillId="0" borderId="0" xfId="94" applyFont="1"/>
    <xf numFmtId="0" fontId="131" fillId="0" borderId="0" xfId="94" applyFont="1" applyAlignment="1">
      <alignment horizontal="center"/>
    </xf>
    <xf numFmtId="0" fontId="94" fillId="0" borderId="30" xfId="94" applyFont="1" applyBorder="1"/>
    <xf numFmtId="0" fontId="94" fillId="0" borderId="31" xfId="94" applyFont="1" applyBorder="1" applyAlignment="1">
      <alignment horizontal="center"/>
    </xf>
    <xf numFmtId="0" fontId="94" fillId="0" borderId="32" xfId="94" applyFont="1" applyBorder="1" applyAlignment="1">
      <alignment horizontal="center"/>
    </xf>
    <xf numFmtId="0" fontId="94" fillId="0" borderId="33" xfId="94" applyFont="1" applyBorder="1"/>
    <xf numFmtId="0" fontId="94" fillId="0" borderId="34" xfId="94" applyFont="1" applyBorder="1" applyAlignment="1">
      <alignment horizontal="center"/>
    </xf>
    <xf numFmtId="0" fontId="150" fillId="0" borderId="0" xfId="94" applyFont="1"/>
    <xf numFmtId="0" fontId="101" fillId="0" borderId="33" xfId="94" applyFont="1" applyBorder="1"/>
    <xf numFmtId="0" fontId="131" fillId="0" borderId="0" xfId="94" applyFont="1" applyAlignment="1">
      <alignment vertical="center"/>
    </xf>
    <xf numFmtId="0" fontId="150" fillId="0" borderId="0" xfId="94" applyFont="1" applyAlignment="1">
      <alignment horizontal="center" vertical="center"/>
    </xf>
    <xf numFmtId="0" fontId="101" fillId="0" borderId="35" xfId="94" applyFont="1" applyBorder="1" applyAlignment="1">
      <alignment horizontal="center" vertical="center"/>
    </xf>
    <xf numFmtId="0" fontId="101" fillId="0" borderId="8" xfId="94" applyFont="1" applyBorder="1" applyAlignment="1">
      <alignment horizontal="center" vertical="center"/>
    </xf>
    <xf numFmtId="0" fontId="101" fillId="0" borderId="36" xfId="94" applyFont="1" applyBorder="1" applyAlignment="1">
      <alignment horizontal="center" vertical="center"/>
    </xf>
    <xf numFmtId="0" fontId="131" fillId="0" borderId="0" xfId="94" applyFont="1" applyAlignment="1">
      <alignment horizontal="center" vertical="center"/>
    </xf>
    <xf numFmtId="2" fontId="94" fillId="0" borderId="8" xfId="94" applyNumberFormat="1" applyFont="1" applyBorder="1" applyAlignment="1">
      <alignment horizontal="center" vertical="center"/>
    </xf>
    <xf numFmtId="2" fontId="94" fillId="0" borderId="36" xfId="94" applyNumberFormat="1" applyFont="1" applyBorder="1" applyAlignment="1">
      <alignment horizontal="right" vertical="center"/>
    </xf>
    <xf numFmtId="0" fontId="94" fillId="0" borderId="8" xfId="94" applyFont="1" applyBorder="1" applyAlignment="1">
      <alignment horizontal="center" vertical="center"/>
    </xf>
    <xf numFmtId="0" fontId="94" fillId="0" borderId="36" xfId="94" applyFont="1" applyBorder="1" applyAlignment="1">
      <alignment horizontal="center" vertical="center"/>
    </xf>
    <xf numFmtId="0" fontId="151" fillId="0" borderId="0" xfId="94" applyFont="1" applyAlignment="1">
      <alignment horizontal="center" vertical="center" wrapText="1"/>
    </xf>
    <xf numFmtId="2" fontId="131" fillId="0" borderId="0" xfId="94" applyNumberFormat="1" applyFont="1" applyAlignment="1">
      <alignment horizontal="center" vertical="center"/>
    </xf>
    <xf numFmtId="2" fontId="131" fillId="0" borderId="0" xfId="94" applyNumberFormat="1" applyFont="1" applyAlignment="1">
      <alignment horizontal="right" vertical="center"/>
    </xf>
    <xf numFmtId="0" fontId="106" fillId="0" borderId="35" xfId="94" applyFont="1" applyBorder="1" applyAlignment="1">
      <alignment horizontal="center" vertical="center" wrapText="1"/>
    </xf>
    <xf numFmtId="2" fontId="150" fillId="0" borderId="0" xfId="94" applyNumberFormat="1" applyFont="1" applyAlignment="1">
      <alignment horizontal="right" vertical="center"/>
    </xf>
    <xf numFmtId="2" fontId="101" fillId="0" borderId="36" xfId="94" applyNumberFormat="1" applyFont="1" applyBorder="1" applyAlignment="1">
      <alignment horizontal="center" vertical="center"/>
    </xf>
    <xf numFmtId="0" fontId="94" fillId="0" borderId="37" xfId="94" applyFont="1" applyBorder="1" applyAlignment="1">
      <alignment horizontal="center"/>
    </xf>
    <xf numFmtId="0" fontId="94" fillId="0" borderId="38" xfId="94" applyFont="1" applyBorder="1" applyAlignment="1">
      <alignment horizontal="center"/>
    </xf>
    <xf numFmtId="0" fontId="94" fillId="0" borderId="39" xfId="94" applyFont="1" applyBorder="1" applyAlignment="1">
      <alignment horizontal="center"/>
    </xf>
    <xf numFmtId="2" fontId="143" fillId="0" borderId="0" xfId="1391" applyNumberFormat="1" applyFont="1" applyAlignment="1">
      <alignment vertical="justify"/>
    </xf>
    <xf numFmtId="0" fontId="98" fillId="0" borderId="0" xfId="1390" applyFont="1"/>
    <xf numFmtId="0" fontId="133" fillId="0" borderId="0" xfId="1388" applyFont="1" applyAlignment="1">
      <alignment horizontal="left" vertical="top"/>
    </xf>
    <xf numFmtId="0" fontId="133" fillId="0" borderId="0" xfId="1388" applyFont="1"/>
    <xf numFmtId="2" fontId="133" fillId="0" borderId="0" xfId="1388" applyNumberFormat="1" applyFont="1"/>
    <xf numFmtId="0" fontId="98" fillId="0" borderId="0" xfId="1388" applyFont="1"/>
    <xf numFmtId="0" fontId="135" fillId="0" borderId="0" xfId="1388" applyFont="1" applyAlignment="1">
      <alignment horizontal="center"/>
    </xf>
    <xf numFmtId="0" fontId="94" fillId="0" borderId="15" xfId="0" applyFont="1" applyBorder="1" applyAlignment="1">
      <alignment horizontal="center"/>
    </xf>
    <xf numFmtId="1" fontId="94" fillId="0" borderId="15" xfId="0" applyNumberFormat="1" applyFont="1" applyBorder="1"/>
    <xf numFmtId="2" fontId="94" fillId="0" borderId="15" xfId="0" applyNumberFormat="1" applyFont="1" applyBorder="1"/>
    <xf numFmtId="1" fontId="94" fillId="0" borderId="15" xfId="0" applyNumberFormat="1" applyFont="1" applyBorder="1" applyAlignment="1">
      <alignment horizontal="center"/>
    </xf>
    <xf numFmtId="0" fontId="94" fillId="0" borderId="15" xfId="0" applyFont="1" applyBorder="1" applyAlignment="1">
      <alignment horizontal="right"/>
    </xf>
    <xf numFmtId="2" fontId="94" fillId="0" borderId="15" xfId="0" applyNumberFormat="1" applyFont="1" applyBorder="1" applyAlignment="1">
      <alignment horizontal="right"/>
    </xf>
    <xf numFmtId="0" fontId="104" fillId="0" borderId="15" xfId="0" applyFont="1" applyBorder="1"/>
    <xf numFmtId="165" fontId="94" fillId="0" borderId="15" xfId="0" applyNumberFormat="1" applyFont="1" applyBorder="1"/>
    <xf numFmtId="0" fontId="101" fillId="0" borderId="15" xfId="0" applyFont="1" applyBorder="1"/>
    <xf numFmtId="2" fontId="94" fillId="0" borderId="15" xfId="0" applyNumberFormat="1" applyFont="1" applyBorder="1" applyAlignment="1">
      <alignment horizontal="center" wrapText="1"/>
    </xf>
    <xf numFmtId="0" fontId="101" fillId="0" borderId="15" xfId="0" applyFont="1" applyBorder="1" applyAlignment="1">
      <alignment horizontal="center" wrapText="1"/>
    </xf>
    <xf numFmtId="1" fontId="101" fillId="0" borderId="15" xfId="0" applyNumberFormat="1" applyFont="1" applyBorder="1" applyAlignment="1">
      <alignment horizontal="center"/>
    </xf>
    <xf numFmtId="0" fontId="101" fillId="0" borderId="15" xfId="0" applyFont="1" applyBorder="1" applyAlignment="1">
      <alignment horizontal="center"/>
    </xf>
    <xf numFmtId="0" fontId="107" fillId="0" borderId="15" xfId="0" applyFont="1" applyBorder="1" applyAlignment="1">
      <alignment horizontal="left" vertical="justify" wrapText="1"/>
    </xf>
    <xf numFmtId="0" fontId="21" fillId="0" borderId="0" xfId="1388" applyFont="1" applyAlignment="1">
      <alignment horizontal="left"/>
    </xf>
    <xf numFmtId="49" fontId="24" fillId="0" borderId="10" xfId="1388" applyNumberFormat="1" applyFont="1" applyBorder="1" applyAlignment="1">
      <alignment horizontal="center" vertical="center" wrapText="1"/>
    </xf>
    <xf numFmtId="49" fontId="24" fillId="0" borderId="45" xfId="1388" applyNumberFormat="1" applyFont="1" applyBorder="1" applyAlignment="1">
      <alignment horizontal="center" vertical="center" wrapText="1"/>
    </xf>
    <xf numFmtId="49" fontId="24" fillId="0" borderId="14" xfId="1388" applyNumberFormat="1" applyFont="1" applyBorder="1" applyAlignment="1">
      <alignment horizontal="center" vertical="center" wrapText="1"/>
    </xf>
    <xf numFmtId="49" fontId="24" fillId="0" borderId="0" xfId="1388" applyNumberFormat="1" applyFont="1" applyAlignment="1">
      <alignment horizontal="center" vertical="center" wrapText="1"/>
    </xf>
    <xf numFmtId="0" fontId="20" fillId="0" borderId="0" xfId="1388"/>
    <xf numFmtId="49" fontId="24" fillId="0" borderId="0" xfId="1388" applyNumberFormat="1" applyFont="1" applyAlignment="1">
      <alignment horizontal="left" vertical="center" wrapText="1"/>
    </xf>
    <xf numFmtId="49" fontId="24" fillId="0" borderId="42" xfId="1388" applyNumberFormat="1" applyFont="1" applyBorder="1" applyAlignment="1">
      <alignment horizontal="center" vertical="center" wrapText="1"/>
    </xf>
    <xf numFmtId="49" fontId="24" fillId="0" borderId="0" xfId="1388" applyNumberFormat="1" applyFont="1" applyAlignment="1">
      <alignment vertical="center" wrapText="1"/>
    </xf>
    <xf numFmtId="0" fontId="20" fillId="0" borderId="14" xfId="1388" applyBorder="1"/>
    <xf numFmtId="49" fontId="166" fillId="0" borderId="14" xfId="1388" applyNumberFormat="1" applyFont="1" applyBorder="1" applyAlignment="1">
      <alignment horizontal="center" vertical="center" wrapText="1"/>
    </xf>
    <xf numFmtId="49" fontId="24" fillId="0" borderId="14" xfId="1388" applyNumberFormat="1" applyFont="1" applyBorder="1" applyAlignment="1">
      <alignment vertical="center" wrapText="1"/>
    </xf>
    <xf numFmtId="0" fontId="24" fillId="0" borderId="0" xfId="1388" applyFont="1"/>
    <xf numFmtId="0" fontId="20" fillId="0" borderId="0" xfId="1388" applyAlignment="1">
      <alignment horizontal="left"/>
    </xf>
    <xf numFmtId="0" fontId="20" fillId="0" borderId="0" xfId="1388" applyAlignment="1">
      <alignment horizontal="center"/>
    </xf>
    <xf numFmtId="0" fontId="20" fillId="0" borderId="4" xfId="1388" applyBorder="1"/>
    <xf numFmtId="49" fontId="24" fillId="0" borderId="4" xfId="1388" applyNumberFormat="1" applyFont="1" applyBorder="1" applyAlignment="1">
      <alignment horizontal="center" vertical="center" wrapText="1"/>
    </xf>
    <xf numFmtId="49" fontId="20" fillId="0" borderId="0" xfId="1388" applyNumberFormat="1" applyAlignment="1">
      <alignment horizontal="center" vertical="center" wrapText="1"/>
    </xf>
    <xf numFmtId="0" fontId="94" fillId="0" borderId="0" xfId="1387" applyFont="1" applyAlignment="1">
      <alignment horizontal="center" vertical="top"/>
    </xf>
    <xf numFmtId="0" fontId="94" fillId="0" borderId="0" xfId="1387" applyFont="1"/>
    <xf numFmtId="0" fontId="159" fillId="0" borderId="0" xfId="1387" applyFont="1" applyAlignment="1">
      <alignment horizontal="center" vertical="top"/>
    </xf>
    <xf numFmtId="0" fontId="160" fillId="0" borderId="0" xfId="1387" applyFont="1" applyAlignment="1">
      <alignment horizontal="center" vertical="top"/>
    </xf>
    <xf numFmtId="0" fontId="161" fillId="0" borderId="0" xfId="1387" applyFont="1" applyAlignment="1">
      <alignment horizontal="left" vertical="top"/>
    </xf>
    <xf numFmtId="0" fontId="94" fillId="0" borderId="0" xfId="1387" applyFont="1" applyAlignment="1">
      <alignment vertical="top"/>
    </xf>
    <xf numFmtId="175" fontId="94" fillId="0" borderId="15" xfId="1387" applyNumberFormat="1" applyFont="1" applyBorder="1" applyAlignment="1">
      <alignment horizontal="center" vertical="top"/>
    </xf>
    <xf numFmtId="0" fontId="94" fillId="0" borderId="15" xfId="1387" applyFont="1" applyBorder="1" applyAlignment="1">
      <alignment horizontal="center" vertical="top"/>
    </xf>
    <xf numFmtId="0" fontId="94" fillId="0" borderId="15" xfId="1387" applyFont="1" applyBorder="1" applyAlignment="1">
      <alignment horizontal="center" vertical="top" wrapText="1"/>
    </xf>
    <xf numFmtId="0" fontId="94" fillId="0" borderId="0" xfId="1387" applyFont="1" applyAlignment="1">
      <alignment horizontal="center"/>
    </xf>
    <xf numFmtId="0" fontId="117" fillId="0" borderId="0" xfId="0" applyFont="1"/>
    <xf numFmtId="0" fontId="109" fillId="0" borderId="15" xfId="95" applyFont="1" applyBorder="1" applyAlignment="1">
      <alignment vertical="top" wrapText="1"/>
    </xf>
    <xf numFmtId="0" fontId="94" fillId="0" borderId="0" xfId="95" applyFont="1" applyAlignment="1">
      <alignment horizontal="right" vertical="top"/>
    </xf>
    <xf numFmtId="2" fontId="94" fillId="0" borderId="0" xfId="95" applyNumberFormat="1" applyFont="1" applyAlignment="1">
      <alignment horizontal="right" vertical="top"/>
    </xf>
    <xf numFmtId="2" fontId="94" fillId="0" borderId="0" xfId="95" applyNumberFormat="1" applyFont="1" applyAlignment="1">
      <alignment vertical="top"/>
    </xf>
    <xf numFmtId="2" fontId="94" fillId="0" borderId="0" xfId="95" applyNumberFormat="1" applyFont="1" applyAlignment="1">
      <alignment horizontal="center" vertical="top"/>
    </xf>
    <xf numFmtId="0" fontId="101" fillId="0" borderId="0" xfId="95" applyFont="1" applyAlignment="1">
      <alignment horizontal="left" vertical="top"/>
    </xf>
    <xf numFmtId="0" fontId="101" fillId="0" borderId="0" xfId="95" applyFont="1" applyAlignment="1">
      <alignment horizontal="center" vertical="top"/>
    </xf>
    <xf numFmtId="0" fontId="101" fillId="0" borderId="0" xfId="95" applyFont="1" applyAlignment="1">
      <alignment horizontal="right" vertical="top"/>
    </xf>
    <xf numFmtId="2" fontId="94" fillId="0" borderId="15" xfId="95" applyNumberFormat="1" applyFont="1" applyBorder="1" applyAlignment="1">
      <alignment horizontal="center" vertical="top" wrapText="1"/>
    </xf>
    <xf numFmtId="0" fontId="109" fillId="0" borderId="15" xfId="95" applyFont="1" applyBorder="1" applyAlignment="1">
      <alignment horizontal="center" vertical="top" wrapText="1"/>
    </xf>
    <xf numFmtId="0" fontId="101" fillId="0" borderId="15" xfId="95" applyFont="1" applyBorder="1" applyAlignment="1">
      <alignment horizontal="right" vertical="top" wrapText="1"/>
    </xf>
    <xf numFmtId="2" fontId="131" fillId="0" borderId="15" xfId="95" applyNumberFormat="1" applyFont="1" applyBorder="1" applyAlignment="1">
      <alignment vertical="top" wrapText="1"/>
    </xf>
    <xf numFmtId="2" fontId="94" fillId="0" borderId="15" xfId="95" applyNumberFormat="1" applyFont="1" applyBorder="1" applyAlignment="1">
      <alignment vertical="top" wrapText="1"/>
    </xf>
    <xf numFmtId="2" fontId="101" fillId="0" borderId="15" xfId="95" applyNumberFormat="1" applyFont="1" applyBorder="1" applyAlignment="1">
      <alignment horizontal="right" vertical="top" wrapText="1"/>
    </xf>
    <xf numFmtId="2" fontId="101" fillId="0" borderId="15" xfId="95" applyNumberFormat="1" applyFont="1" applyBorder="1" applyAlignment="1">
      <alignment vertical="top" wrapText="1"/>
    </xf>
    <xf numFmtId="2" fontId="152" fillId="0" borderId="15" xfId="95" applyNumberFormat="1" applyFont="1" applyBorder="1" applyAlignment="1">
      <alignment horizontal="right" vertical="top" wrapText="1"/>
    </xf>
    <xf numFmtId="0" fontId="109" fillId="0" borderId="15" xfId="95" applyFont="1" applyBorder="1" applyAlignment="1">
      <alignment horizontal="left" vertical="top" wrapText="1"/>
    </xf>
    <xf numFmtId="165" fontId="94" fillId="0" borderId="15" xfId="95" applyNumberFormat="1" applyFont="1" applyBorder="1" applyAlignment="1">
      <alignment horizontal="right" vertical="top" wrapText="1"/>
    </xf>
    <xf numFmtId="0" fontId="94" fillId="0" borderId="15" xfId="95" applyFont="1" applyBorder="1" applyAlignment="1">
      <alignment horizontal="right" vertical="top" wrapText="1"/>
    </xf>
    <xf numFmtId="165" fontId="101" fillId="0" borderId="15" xfId="95" applyNumberFormat="1" applyFont="1" applyBorder="1" applyAlignment="1">
      <alignment horizontal="right" vertical="top" wrapText="1"/>
    </xf>
    <xf numFmtId="1" fontId="94" fillId="0" borderId="15" xfId="95" applyNumberFormat="1" applyFont="1" applyBorder="1" applyAlignment="1">
      <alignment horizontal="right" vertical="top" wrapText="1"/>
    </xf>
    <xf numFmtId="1" fontId="101" fillId="0" borderId="0" xfId="95" applyNumberFormat="1" applyFont="1" applyAlignment="1">
      <alignment vertical="top"/>
    </xf>
    <xf numFmtId="0" fontId="101" fillId="0" borderId="0" xfId="95" applyFont="1" applyAlignment="1">
      <alignment vertical="top"/>
    </xf>
    <xf numFmtId="0" fontId="170" fillId="0" borderId="15" xfId="95" applyFont="1" applyBorder="1" applyAlignment="1">
      <alignment horizontal="center" vertical="top" wrapText="1"/>
    </xf>
    <xf numFmtId="0" fontId="170" fillId="0" borderId="15" xfId="95" applyFont="1" applyBorder="1" applyAlignment="1">
      <alignment vertical="top" wrapText="1"/>
    </xf>
    <xf numFmtId="2" fontId="101" fillId="0" borderId="0" xfId="95" applyNumberFormat="1" applyFont="1" applyAlignment="1">
      <alignment vertical="top"/>
    </xf>
    <xf numFmtId="2" fontId="101" fillId="0" borderId="0" xfId="95" applyNumberFormat="1" applyFont="1" applyAlignment="1">
      <alignment horizontal="right" vertical="top"/>
    </xf>
    <xf numFmtId="2" fontId="94" fillId="0" borderId="15" xfId="1384" applyNumberFormat="1" applyFont="1" applyBorder="1" applyAlignment="1">
      <alignment vertical="top"/>
    </xf>
    <xf numFmtId="2" fontId="94" fillId="0" borderId="19" xfId="1384" applyNumberFormat="1" applyFont="1" applyBorder="1" applyAlignment="1">
      <alignment horizontal="left" vertical="top"/>
    </xf>
    <xf numFmtId="2" fontId="94" fillId="0" borderId="17" xfId="1389" applyNumberFormat="1" applyFont="1" applyBorder="1" applyAlignment="1">
      <alignment horizontal="center" vertical="top" wrapText="1"/>
    </xf>
    <xf numFmtId="49" fontId="94" fillId="0" borderId="15" xfId="1389" applyNumberFormat="1" applyFont="1" applyBorder="1" applyAlignment="1">
      <alignment horizontal="center" vertical="top" wrapText="1"/>
    </xf>
    <xf numFmtId="0" fontId="94" fillId="0" borderId="15" xfId="1384" applyFont="1" applyBorder="1" applyAlignment="1">
      <alignment horizontal="justify" vertical="top" wrapText="1"/>
    </xf>
    <xf numFmtId="2" fontId="94" fillId="0" borderId="17" xfId="1389" applyNumberFormat="1" applyFont="1" applyBorder="1" applyAlignment="1">
      <alignment horizontal="right" vertical="top" wrapText="1"/>
    </xf>
    <xf numFmtId="2" fontId="94" fillId="0" borderId="15" xfId="1389" applyNumberFormat="1" applyFont="1" applyBorder="1" applyAlignment="1">
      <alignment horizontal="right" vertical="top" wrapText="1"/>
    </xf>
    <xf numFmtId="49" fontId="94" fillId="0" borderId="0" xfId="1389" applyNumberFormat="1" applyFont="1" applyAlignment="1">
      <alignment horizontal="center" vertical="top" wrapText="1"/>
    </xf>
    <xf numFmtId="2" fontId="94" fillId="0" borderId="19" xfId="1389" applyNumberFormat="1" applyFont="1" applyBorder="1" applyAlignment="1">
      <alignment vertical="top" wrapText="1"/>
    </xf>
    <xf numFmtId="2" fontId="94" fillId="0" borderId="15" xfId="1389" applyNumberFormat="1" applyFont="1" applyBorder="1" applyAlignment="1">
      <alignment horizontal="center" vertical="top" wrapText="1"/>
    </xf>
    <xf numFmtId="1" fontId="94" fillId="0" borderId="15" xfId="0" applyNumberFormat="1" applyFont="1" applyBorder="1" applyAlignment="1">
      <alignment horizontal="center" vertical="center"/>
    </xf>
    <xf numFmtId="1" fontId="94" fillId="0" borderId="0" xfId="0" applyNumberFormat="1" applyFont="1" applyAlignment="1">
      <alignment horizontal="center"/>
    </xf>
    <xf numFmtId="1" fontId="94" fillId="0" borderId="0" xfId="0" applyNumberFormat="1" applyFont="1"/>
    <xf numFmtId="0" fontId="94" fillId="0" borderId="0" xfId="1384" applyFont="1" applyAlignment="1">
      <alignment vertical="top"/>
    </xf>
    <xf numFmtId="0" fontId="109" fillId="0" borderId="15" xfId="1384" applyFont="1" applyBorder="1" applyAlignment="1">
      <alignment vertical="top" wrapText="1"/>
    </xf>
    <xf numFmtId="2" fontId="94" fillId="0" borderId="15" xfId="1384" applyNumberFormat="1" applyFont="1" applyBorder="1" applyAlignment="1">
      <alignment horizontal="right" vertical="top" wrapText="1"/>
    </xf>
    <xf numFmtId="2" fontId="101" fillId="0" borderId="15" xfId="1384" applyNumberFormat="1" applyFont="1" applyBorder="1" applyAlignment="1">
      <alignment horizontal="center"/>
    </xf>
    <xf numFmtId="0" fontId="103" fillId="0" borderId="0" xfId="1385" applyFont="1" applyAlignment="1">
      <alignment vertical="center" wrapText="1"/>
    </xf>
    <xf numFmtId="0" fontId="94" fillId="0" borderId="0" xfId="1385" applyFont="1" applyAlignment="1">
      <alignment horizontal="center" vertical="center"/>
    </xf>
    <xf numFmtId="0" fontId="103" fillId="0" borderId="0" xfId="1385" applyFont="1" applyAlignment="1">
      <alignment horizontal="center" vertical="center"/>
    </xf>
    <xf numFmtId="0" fontId="103" fillId="0" borderId="0" xfId="1385" applyFont="1" applyAlignment="1">
      <alignment vertical="center"/>
    </xf>
    <xf numFmtId="0" fontId="153" fillId="0" borderId="0" xfId="1385" applyFont="1" applyAlignment="1">
      <alignment horizontal="center" vertical="center"/>
    </xf>
    <xf numFmtId="0" fontId="153" fillId="0" borderId="0" xfId="1385" applyFont="1" applyAlignment="1">
      <alignment horizontal="centerContinuous" vertical="center"/>
    </xf>
    <xf numFmtId="0" fontId="94" fillId="0" borderId="0" xfId="1385" applyFont="1" applyAlignment="1">
      <alignment horizontal="centerContinuous" vertical="center"/>
    </xf>
    <xf numFmtId="0" fontId="101" fillId="0" borderId="0" xfId="1385" applyFont="1" applyAlignment="1">
      <alignment horizontal="right" vertical="center"/>
    </xf>
    <xf numFmtId="0" fontId="101" fillId="0" borderId="0" xfId="1385" applyFont="1" applyAlignment="1">
      <alignment horizontal="left" vertical="center"/>
    </xf>
    <xf numFmtId="2" fontId="168" fillId="0" borderId="0" xfId="1385" applyNumberFormat="1" applyFont="1" applyAlignment="1">
      <alignment vertical="center"/>
    </xf>
    <xf numFmtId="0" fontId="168" fillId="0" borderId="15" xfId="1385" applyFont="1" applyBorder="1" applyAlignment="1">
      <alignment horizontal="center" vertical="center"/>
    </xf>
    <xf numFmtId="0" fontId="168" fillId="0" borderId="0" xfId="1385" applyFont="1" applyAlignment="1">
      <alignment horizontal="center" vertical="center" wrapText="1"/>
    </xf>
    <xf numFmtId="0" fontId="94" fillId="0" borderId="15" xfId="1385" applyFont="1" applyBorder="1" applyAlignment="1">
      <alignment horizontal="center" vertical="top"/>
    </xf>
    <xf numFmtId="0" fontId="94" fillId="0" borderId="15" xfId="1385" applyFont="1" applyBorder="1" applyAlignment="1">
      <alignment horizontal="left" vertical="top" shrinkToFit="1"/>
    </xf>
    <xf numFmtId="0" fontId="94" fillId="0" borderId="15" xfId="1385" applyFont="1" applyBorder="1" applyAlignment="1">
      <alignment horizontal="center" vertical="top" shrinkToFit="1"/>
    </xf>
    <xf numFmtId="0" fontId="109" fillId="0" borderId="15" xfId="1385" applyFont="1" applyBorder="1" applyAlignment="1">
      <alignment horizontal="center" vertical="top" shrinkToFit="1"/>
    </xf>
    <xf numFmtId="2" fontId="94" fillId="0" borderId="15" xfId="1385" applyNumberFormat="1" applyFont="1" applyBorder="1" applyAlignment="1">
      <alignment horizontal="center" vertical="top" shrinkToFit="1"/>
    </xf>
    <xf numFmtId="2" fontId="101" fillId="0" borderId="15" xfId="1385" applyNumberFormat="1" applyFont="1" applyBorder="1" applyAlignment="1">
      <alignment horizontal="right" vertical="top" shrinkToFit="1"/>
    </xf>
    <xf numFmtId="0" fontId="94" fillId="0" borderId="0" xfId="1385" applyFont="1" applyAlignment="1">
      <alignment horizontal="center" vertical="top"/>
    </xf>
    <xf numFmtId="0" fontId="94" fillId="0" borderId="15" xfId="1385" applyFont="1" applyBorder="1" applyAlignment="1">
      <alignment horizontal="left" vertical="top" wrapText="1"/>
    </xf>
    <xf numFmtId="0" fontId="109" fillId="0" borderId="15" xfId="1385" applyFont="1" applyBorder="1" applyAlignment="1">
      <alignment horizontal="center" vertical="top" wrapText="1"/>
    </xf>
    <xf numFmtId="2" fontId="109" fillId="0" borderId="15" xfId="1385" applyNumberFormat="1" applyFont="1" applyBorder="1" applyAlignment="1">
      <alignment horizontal="center" vertical="top" wrapText="1"/>
    </xf>
    <xf numFmtId="0" fontId="94" fillId="0" borderId="0" xfId="1385" applyFont="1" applyAlignment="1">
      <alignment horizontal="center" vertical="top" wrapText="1"/>
    </xf>
    <xf numFmtId="0" fontId="109" fillId="0" borderId="15" xfId="1385" applyFont="1" applyBorder="1" applyAlignment="1">
      <alignment horizontal="left" vertical="top" wrapText="1"/>
    </xf>
    <xf numFmtId="0" fontId="94" fillId="0" borderId="15" xfId="1385" applyFont="1" applyBorder="1" applyAlignment="1">
      <alignment vertical="top"/>
    </xf>
    <xf numFmtId="0" fontId="94" fillId="0" borderId="15" xfId="1385" applyFont="1" applyBorder="1" applyAlignment="1">
      <alignment horizontal="right" vertical="top"/>
    </xf>
    <xf numFmtId="0" fontId="94" fillId="0" borderId="0" xfId="1385" applyFont="1" applyAlignment="1">
      <alignment vertical="top"/>
    </xf>
    <xf numFmtId="0" fontId="94" fillId="0" borderId="0" xfId="1385" applyFont="1" applyAlignment="1">
      <alignment horizontal="center"/>
    </xf>
    <xf numFmtId="0" fontId="9" fillId="0" borderId="0" xfId="1419"/>
    <xf numFmtId="0" fontId="20" fillId="0" borderId="8" xfId="1419" applyFont="1" applyBorder="1" applyAlignment="1">
      <alignment horizontal="center"/>
    </xf>
    <xf numFmtId="0" fontId="175" fillId="0" borderId="8" xfId="1419" applyFont="1" applyBorder="1" applyAlignment="1">
      <alignment horizontal="center" vertical="top" wrapText="1"/>
    </xf>
    <xf numFmtId="0" fontId="175" fillId="0" borderId="28" xfId="1419" applyFont="1" applyBorder="1" applyAlignment="1">
      <alignment vertical="top" wrapText="1"/>
    </xf>
    <xf numFmtId="0" fontId="175" fillId="0" borderId="4" xfId="1419" applyFont="1" applyBorder="1" applyAlignment="1">
      <alignment vertical="top" wrapText="1"/>
    </xf>
    <xf numFmtId="0" fontId="175" fillId="0" borderId="29" xfId="1419" applyFont="1" applyBorder="1" applyAlignment="1">
      <alignment vertical="top" wrapText="1"/>
    </xf>
    <xf numFmtId="0" fontId="174" fillId="0" borderId="8" xfId="1419" applyFont="1" applyBorder="1" applyAlignment="1">
      <alignment horizontal="center" vertical="top" wrapText="1"/>
    </xf>
    <xf numFmtId="0" fontId="174" fillId="0" borderId="8" xfId="1419" applyFont="1" applyBorder="1" applyAlignment="1">
      <alignment horizontal="justify" vertical="top" wrapText="1"/>
    </xf>
    <xf numFmtId="0" fontId="175" fillId="0" borderId="8" xfId="1419" applyFont="1" applyBorder="1" applyAlignment="1">
      <alignment horizontal="justify" vertical="top" wrapText="1"/>
    </xf>
    <xf numFmtId="0" fontId="176" fillId="0" borderId="8" xfId="1419" applyFont="1" applyBorder="1" applyAlignment="1">
      <alignment horizontal="center" vertical="center" wrapText="1"/>
    </xf>
    <xf numFmtId="0" fontId="176" fillId="0" borderId="8" xfId="1419" applyFont="1" applyBorder="1" applyAlignment="1">
      <alignment horizontal="center" vertical="top" wrapText="1"/>
    </xf>
    <xf numFmtId="0" fontId="177" fillId="0" borderId="8" xfId="1420" applyFont="1" applyBorder="1" applyAlignment="1">
      <alignment horizontal="center" vertical="center" wrapText="1"/>
    </xf>
    <xf numFmtId="2" fontId="177" fillId="0" borderId="8" xfId="1420" applyNumberFormat="1" applyFont="1" applyBorder="1" applyAlignment="1">
      <alignment horizontal="center" vertical="center" wrapText="1"/>
    </xf>
    <xf numFmtId="2" fontId="175" fillId="0" borderId="8" xfId="1419" applyNumberFormat="1" applyFont="1" applyBorder="1" applyAlignment="1">
      <alignment horizontal="center"/>
    </xf>
    <xf numFmtId="0" fontId="177" fillId="45" borderId="8" xfId="1420" applyFont="1" applyFill="1" applyBorder="1" applyAlignment="1">
      <alignment horizontal="center" vertical="center" wrapText="1"/>
    </xf>
    <xf numFmtId="0" fontId="179" fillId="0" borderId="8" xfId="1420" applyFont="1" applyBorder="1" applyAlignment="1">
      <alignment horizontal="center" vertical="center" wrapText="1"/>
    </xf>
    <xf numFmtId="0" fontId="177" fillId="47" borderId="8" xfId="1420" applyFont="1" applyFill="1" applyBorder="1" applyAlignment="1">
      <alignment horizontal="center" vertical="center" wrapText="1"/>
    </xf>
    <xf numFmtId="0" fontId="94" fillId="0" borderId="15" xfId="1385" applyFont="1" applyBorder="1" applyAlignment="1">
      <alignment horizontal="left" vertical="top" wrapText="1" shrinkToFit="1"/>
    </xf>
    <xf numFmtId="2" fontId="94" fillId="0" borderId="15" xfId="94" applyNumberFormat="1" applyFont="1" applyBorder="1" applyAlignment="1">
      <alignment horizontal="center" vertical="top" wrapText="1"/>
    </xf>
    <xf numFmtId="0" fontId="101" fillId="0" borderId="15" xfId="94" applyFont="1" applyBorder="1" applyAlignment="1">
      <alignment vertical="top" wrapText="1"/>
    </xf>
    <xf numFmtId="0" fontId="101" fillId="0" borderId="15" xfId="94" applyFont="1" applyBorder="1" applyAlignment="1">
      <alignment horizontal="center" vertical="top" wrapText="1"/>
    </xf>
    <xf numFmtId="0" fontId="94" fillId="0" borderId="15" xfId="94" applyFont="1" applyBorder="1" applyAlignment="1">
      <alignment horizontal="center" vertical="top" wrapText="1"/>
    </xf>
    <xf numFmtId="0" fontId="94" fillId="0" borderId="15" xfId="94" applyFont="1" applyBorder="1" applyAlignment="1">
      <alignment horizontal="left" vertical="top" wrapText="1"/>
    </xf>
    <xf numFmtId="0" fontId="97" fillId="0" borderId="15" xfId="1384" applyFont="1" applyBorder="1" applyAlignment="1">
      <alignment horizontal="justify" vertical="top" wrapText="1"/>
    </xf>
    <xf numFmtId="0" fontId="112" fillId="0" borderId="15" xfId="1384" applyFont="1" applyBorder="1" applyAlignment="1">
      <alignment horizontal="justify" vertical="top" wrapText="1"/>
    </xf>
    <xf numFmtId="0" fontId="112" fillId="0" borderId="15" xfId="1384" applyFont="1" applyBorder="1" applyAlignment="1">
      <alignment horizontal="center" vertical="top" wrapText="1"/>
    </xf>
    <xf numFmtId="0" fontId="97" fillId="0" borderId="15" xfId="94" quotePrefix="1" applyFont="1" applyBorder="1" applyAlignment="1">
      <alignment horizontal="justify" vertical="top" wrapText="1"/>
    </xf>
    <xf numFmtId="2" fontId="112" fillId="0" borderId="15" xfId="1384" applyNumberFormat="1" applyFont="1" applyBorder="1" applyAlignment="1">
      <alignment horizontal="justify" vertical="top" wrapText="1"/>
    </xf>
    <xf numFmtId="2" fontId="112" fillId="0" borderId="15" xfId="1384" applyNumberFormat="1" applyFont="1" applyBorder="1" applyAlignment="1">
      <alignment horizontal="left" vertical="top" wrapText="1"/>
    </xf>
    <xf numFmtId="0" fontId="94" fillId="0" borderId="15" xfId="94" applyFont="1" applyBorder="1" applyAlignment="1">
      <alignment horizontal="justify" vertical="justify" wrapText="1"/>
    </xf>
    <xf numFmtId="2" fontId="101" fillId="0" borderId="19" xfId="1384" applyNumberFormat="1" applyFont="1" applyBorder="1" applyAlignment="1">
      <alignment horizontal="left" vertical="top"/>
    </xf>
    <xf numFmtId="165" fontId="94" fillId="0" borderId="17" xfId="1389" applyNumberFormat="1" applyFont="1" applyBorder="1" applyAlignment="1">
      <alignment horizontal="right" vertical="top" wrapText="1"/>
    </xf>
    <xf numFmtId="165" fontId="94" fillId="0" borderId="17" xfId="1389" applyNumberFormat="1" applyFont="1" applyBorder="1" applyAlignment="1">
      <alignment horizontal="center" vertical="top" wrapText="1"/>
    </xf>
    <xf numFmtId="0" fontId="101" fillId="0" borderId="15" xfId="1384" applyFont="1" applyBorder="1" applyAlignment="1">
      <alignment horizontal="justify" vertical="top" wrapText="1"/>
    </xf>
    <xf numFmtId="1" fontId="94" fillId="0" borderId="15" xfId="0" applyNumberFormat="1" applyFont="1" applyBorder="1" applyAlignment="1">
      <alignment vertical="top"/>
    </xf>
    <xf numFmtId="0" fontId="104" fillId="0" borderId="15" xfId="0" applyFont="1" applyBorder="1" applyAlignment="1">
      <alignment vertical="top"/>
    </xf>
    <xf numFmtId="0" fontId="94" fillId="45" borderId="0" xfId="1384" applyFont="1" applyFill="1" applyAlignment="1">
      <alignment vertical="top"/>
    </xf>
    <xf numFmtId="0" fontId="109" fillId="45" borderId="15" xfId="1384" applyFont="1" applyFill="1" applyBorder="1" applyAlignment="1">
      <alignment horizontal="center" vertical="top" wrapText="1"/>
    </xf>
    <xf numFmtId="0" fontId="109" fillId="45" borderId="15" xfId="1384" applyFont="1" applyFill="1" applyBorder="1" applyAlignment="1">
      <alignment vertical="top" wrapText="1"/>
    </xf>
    <xf numFmtId="0" fontId="101" fillId="45" borderId="15" xfId="1384" applyFont="1" applyFill="1" applyBorder="1" applyAlignment="1">
      <alignment horizontal="right" vertical="top" wrapText="1"/>
    </xf>
    <xf numFmtId="2" fontId="94" fillId="45" borderId="15" xfId="1384" applyNumberFormat="1" applyFont="1" applyFill="1" applyBorder="1" applyAlignment="1">
      <alignment horizontal="right" vertical="top" wrapText="1"/>
    </xf>
    <xf numFmtId="2" fontId="131" fillId="45" borderId="15" xfId="1384" applyNumberFormat="1" applyFont="1" applyFill="1" applyBorder="1" applyAlignment="1">
      <alignment vertical="top" wrapText="1"/>
    </xf>
    <xf numFmtId="2" fontId="94" fillId="45" borderId="15" xfId="1384" applyNumberFormat="1" applyFont="1" applyFill="1" applyBorder="1" applyAlignment="1">
      <alignment vertical="top" wrapText="1"/>
    </xf>
    <xf numFmtId="2" fontId="101" fillId="45" borderId="15" xfId="1384" applyNumberFormat="1" applyFont="1" applyFill="1" applyBorder="1" applyAlignment="1">
      <alignment horizontal="right" vertical="top" wrapText="1"/>
    </xf>
    <xf numFmtId="0" fontId="101" fillId="0" borderId="18" xfId="95" applyFont="1" applyBorder="1" applyAlignment="1">
      <alignment vertical="top" wrapText="1"/>
    </xf>
    <xf numFmtId="0" fontId="101" fillId="0" borderId="19" xfId="95" applyFont="1" applyBorder="1" applyAlignment="1">
      <alignment vertical="top" wrapText="1"/>
    </xf>
    <xf numFmtId="0" fontId="129" fillId="0" borderId="17" xfId="1384" applyFont="1" applyBorder="1" applyAlignment="1">
      <alignment horizontal="center" vertical="top"/>
    </xf>
    <xf numFmtId="0" fontId="129" fillId="0" borderId="18" xfId="1384" applyFont="1" applyBorder="1" applyAlignment="1">
      <alignment vertical="top" wrapText="1"/>
    </xf>
    <xf numFmtId="2" fontId="138" fillId="0" borderId="18" xfId="1384" applyNumberFormat="1" applyFont="1" applyBorder="1" applyAlignment="1">
      <alignment horizontal="center" vertical="top"/>
    </xf>
    <xf numFmtId="2" fontId="138" fillId="0" borderId="19" xfId="1384" applyNumberFormat="1" applyFont="1" applyBorder="1" applyAlignment="1">
      <alignment vertical="top"/>
    </xf>
    <xf numFmtId="0" fontId="116" fillId="0" borderId="15" xfId="1393" applyFont="1" applyBorder="1" applyAlignment="1">
      <alignment vertical="top"/>
    </xf>
    <xf numFmtId="0" fontId="116" fillId="0" borderId="15" xfId="1393" applyFont="1" applyBorder="1" applyAlignment="1">
      <alignment horizontal="center" vertical="top"/>
    </xf>
    <xf numFmtId="2" fontId="94" fillId="0" borderId="15" xfId="1384" applyNumberFormat="1" applyFont="1" applyBorder="1" applyAlignment="1">
      <alignment vertical="top" wrapText="1"/>
    </xf>
    <xf numFmtId="2" fontId="94" fillId="0" borderId="0" xfId="1384" applyNumberFormat="1" applyFont="1" applyAlignment="1">
      <alignment vertical="top"/>
    </xf>
    <xf numFmtId="0" fontId="109" fillId="0" borderId="15" xfId="1384" applyFont="1" applyBorder="1" applyAlignment="1">
      <alignment horizontal="center" vertical="top" wrapText="1"/>
    </xf>
    <xf numFmtId="2" fontId="101" fillId="0" borderId="15" xfId="1384" applyNumberFormat="1" applyFont="1" applyBorder="1" applyAlignment="1">
      <alignment horizontal="right" vertical="top" wrapText="1"/>
    </xf>
    <xf numFmtId="49" fontId="154" fillId="0" borderId="0" xfId="1385" applyNumberFormat="1" applyFont="1" applyAlignment="1">
      <alignment horizontal="left" vertical="center"/>
    </xf>
    <xf numFmtId="0" fontId="94" fillId="0" borderId="15" xfId="0" applyFont="1" applyBorder="1" applyAlignment="1">
      <alignment horizontal="left" vertical="center"/>
    </xf>
    <xf numFmtId="2" fontId="94" fillId="45" borderId="15" xfId="0" applyNumberFormat="1" applyFont="1" applyFill="1" applyBorder="1" applyAlignment="1">
      <alignment horizontal="center" vertical="top" wrapText="1"/>
    </xf>
    <xf numFmtId="2" fontId="101" fillId="45" borderId="15" xfId="0" applyNumberFormat="1" applyFont="1" applyFill="1" applyBorder="1" applyAlignment="1">
      <alignment horizontal="center" vertical="top" wrapText="1"/>
    </xf>
    <xf numFmtId="0" fontId="101" fillId="45" borderId="15" xfId="0" applyFont="1" applyFill="1" applyBorder="1" applyAlignment="1">
      <alignment horizontal="center" vertical="top" wrapText="1"/>
    </xf>
    <xf numFmtId="0" fontId="94" fillId="45" borderId="15" xfId="0" applyFont="1" applyFill="1" applyBorder="1" applyAlignment="1">
      <alignment vertical="top" wrapText="1"/>
    </xf>
    <xf numFmtId="0" fontId="94" fillId="46" borderId="15" xfId="1385" applyFont="1" applyFill="1" applyBorder="1" applyAlignment="1">
      <alignment horizontal="left" vertical="top" wrapText="1"/>
    </xf>
    <xf numFmtId="0" fontId="109" fillId="46" borderId="15" xfId="1385" applyFont="1" applyFill="1" applyBorder="1" applyAlignment="1">
      <alignment horizontal="left" vertical="top" wrapText="1"/>
    </xf>
    <xf numFmtId="0" fontId="97" fillId="46" borderId="15" xfId="1384" applyFont="1" applyFill="1" applyBorder="1" applyAlignment="1">
      <alignment horizontal="justify" vertical="top" wrapText="1"/>
    </xf>
    <xf numFmtId="0" fontId="9" fillId="46" borderId="0" xfId="1419" applyFill="1"/>
    <xf numFmtId="0" fontId="20" fillId="46" borderId="8" xfId="1419" applyFont="1" applyFill="1" applyBorder="1" applyAlignment="1">
      <alignment horizontal="center"/>
    </xf>
    <xf numFmtId="0" fontId="175" fillId="46" borderId="8" xfId="1419" applyFont="1" applyFill="1" applyBorder="1" applyAlignment="1">
      <alignment horizontal="center" vertical="top" wrapText="1"/>
    </xf>
    <xf numFmtId="0" fontId="175" fillId="46" borderId="28" xfId="1419" applyFont="1" applyFill="1" applyBorder="1" applyAlignment="1">
      <alignment vertical="top" wrapText="1"/>
    </xf>
    <xf numFmtId="0" fontId="175" fillId="46" borderId="4" xfId="1419" applyFont="1" applyFill="1" applyBorder="1" applyAlignment="1">
      <alignment vertical="top" wrapText="1"/>
    </xf>
    <xf numFmtId="0" fontId="175" fillId="46" borderId="29" xfId="1419" applyFont="1" applyFill="1" applyBorder="1" applyAlignment="1">
      <alignment vertical="top" wrapText="1"/>
    </xf>
    <xf numFmtId="0" fontId="174" fillId="46" borderId="8" xfId="1419" applyFont="1" applyFill="1" applyBorder="1" applyAlignment="1">
      <alignment horizontal="center" vertical="top" wrapText="1"/>
    </xf>
    <xf numFmtId="0" fontId="174" fillId="46" borderId="8" xfId="1419" applyFont="1" applyFill="1" applyBorder="1" applyAlignment="1">
      <alignment horizontal="justify" vertical="top" wrapText="1"/>
    </xf>
    <xf numFmtId="0" fontId="175" fillId="46" borderId="8" xfId="1419" applyFont="1" applyFill="1" applyBorder="1" applyAlignment="1">
      <alignment horizontal="justify" vertical="top" wrapText="1"/>
    </xf>
    <xf numFmtId="0" fontId="176" fillId="46" borderId="8" xfId="1419" applyFont="1" applyFill="1" applyBorder="1" applyAlignment="1">
      <alignment horizontal="center" vertical="center" wrapText="1"/>
    </xf>
    <xf numFmtId="0" fontId="176" fillId="46" borderId="8" xfId="1419" applyFont="1" applyFill="1" applyBorder="1" applyAlignment="1">
      <alignment horizontal="center" vertical="top" wrapText="1"/>
    </xf>
    <xf numFmtId="0" fontId="177" fillId="46" borderId="8" xfId="1420" applyFont="1" applyFill="1" applyBorder="1" applyAlignment="1">
      <alignment horizontal="center" vertical="center" wrapText="1"/>
    </xf>
    <xf numFmtId="2" fontId="174" fillId="46" borderId="8" xfId="1419" applyNumberFormat="1" applyFont="1" applyFill="1" applyBorder="1" applyAlignment="1">
      <alignment horizontal="center"/>
    </xf>
    <xf numFmtId="2" fontId="178" fillId="46" borderId="8" xfId="1419" applyNumberFormat="1" applyFont="1" applyFill="1" applyBorder="1" applyAlignment="1">
      <alignment horizontal="center"/>
    </xf>
    <xf numFmtId="2" fontId="177" fillId="46" borderId="8" xfId="1420" applyNumberFormat="1" applyFont="1" applyFill="1" applyBorder="1" applyAlignment="1">
      <alignment horizontal="center" vertical="center" wrapText="1"/>
    </xf>
    <xf numFmtId="2" fontId="175" fillId="46" borderId="8" xfId="1419" applyNumberFormat="1" applyFont="1" applyFill="1" applyBorder="1" applyAlignment="1">
      <alignment horizontal="center"/>
    </xf>
    <xf numFmtId="2" fontId="178" fillId="46" borderId="8" xfId="1416" applyNumberFormat="1" applyFont="1" applyFill="1" applyBorder="1" applyAlignment="1">
      <alignment horizontal="center"/>
    </xf>
    <xf numFmtId="0" fontId="179" fillId="46" borderId="8" xfId="1420" applyFont="1" applyFill="1" applyBorder="1" applyAlignment="1">
      <alignment horizontal="center" vertical="center" wrapText="1"/>
    </xf>
    <xf numFmtId="0" fontId="94" fillId="46" borderId="0" xfId="94" applyFont="1" applyFill="1" applyAlignment="1">
      <alignment vertical="top" wrapText="1"/>
    </xf>
    <xf numFmtId="0" fontId="94" fillId="46" borderId="15" xfId="94" applyFont="1" applyFill="1" applyBorder="1" applyAlignment="1">
      <alignment vertical="top" wrapText="1"/>
    </xf>
    <xf numFmtId="0" fontId="94" fillId="46" borderId="15" xfId="94" applyFont="1" applyFill="1" applyBorder="1" applyAlignment="1">
      <alignment horizontal="center" vertical="top" wrapText="1"/>
    </xf>
    <xf numFmtId="0" fontId="94" fillId="46" borderId="15" xfId="94" applyFont="1" applyFill="1" applyBorder="1" applyAlignment="1">
      <alignment horizontal="left" vertical="top" wrapText="1"/>
    </xf>
    <xf numFmtId="2" fontId="94" fillId="46" borderId="15" xfId="94" applyNumberFormat="1" applyFont="1" applyFill="1" applyBorder="1" applyAlignment="1">
      <alignment horizontal="center" vertical="top" wrapText="1"/>
    </xf>
    <xf numFmtId="0" fontId="94" fillId="46" borderId="15" xfId="1385" applyFont="1" applyFill="1" applyBorder="1" applyAlignment="1">
      <alignment horizontal="left" vertical="top" wrapText="1" shrinkToFit="1"/>
    </xf>
    <xf numFmtId="2" fontId="94" fillId="46" borderId="15" xfId="1385" applyNumberFormat="1" applyFont="1" applyFill="1" applyBorder="1" applyAlignment="1">
      <alignment horizontal="center" vertical="top" wrapText="1" shrinkToFit="1"/>
    </xf>
    <xf numFmtId="0" fontId="101" fillId="46" borderId="15" xfId="94" applyFont="1" applyFill="1" applyBorder="1" applyAlignment="1">
      <alignment horizontal="left" vertical="top" wrapText="1"/>
    </xf>
    <xf numFmtId="0" fontId="101" fillId="46" borderId="15" xfId="94" applyFont="1" applyFill="1" applyBorder="1" applyAlignment="1">
      <alignment vertical="top" wrapText="1"/>
    </xf>
    <xf numFmtId="0" fontId="101" fillId="46" borderId="15" xfId="94" applyFont="1" applyFill="1" applyBorder="1" applyAlignment="1">
      <alignment horizontal="center" vertical="top" wrapText="1"/>
    </xf>
    <xf numFmtId="2" fontId="101" fillId="46" borderId="15" xfId="94" applyNumberFormat="1" applyFont="1" applyFill="1" applyBorder="1" applyAlignment="1">
      <alignment horizontal="center" vertical="top" wrapText="1"/>
    </xf>
    <xf numFmtId="0" fontId="112" fillId="46" borderId="15" xfId="1384" applyFont="1" applyFill="1" applyBorder="1" applyAlignment="1">
      <alignment horizontal="justify" vertical="top" wrapText="1"/>
    </xf>
    <xf numFmtId="0" fontId="112" fillId="46" borderId="15" xfId="1384" applyFont="1" applyFill="1" applyBorder="1" applyAlignment="1">
      <alignment horizontal="center" vertical="top" wrapText="1"/>
    </xf>
    <xf numFmtId="0" fontId="97" fillId="46" borderId="15" xfId="94" quotePrefix="1" applyFont="1" applyFill="1" applyBorder="1" applyAlignment="1">
      <alignment horizontal="justify" vertical="top" wrapText="1"/>
    </xf>
    <xf numFmtId="2" fontId="112" fillId="46" borderId="15" xfId="1384" applyNumberFormat="1" applyFont="1" applyFill="1" applyBorder="1" applyAlignment="1">
      <alignment horizontal="justify" vertical="top" wrapText="1"/>
    </xf>
    <xf numFmtId="2" fontId="112" fillId="46" borderId="15" xfId="1384" applyNumberFormat="1" applyFont="1" applyFill="1" applyBorder="1" applyAlignment="1">
      <alignment horizontal="left" vertical="top" wrapText="1"/>
    </xf>
    <xf numFmtId="0" fontId="94" fillId="46" borderId="15" xfId="94" applyFont="1" applyFill="1" applyBorder="1" applyAlignment="1">
      <alignment horizontal="justify" vertical="justify" wrapText="1"/>
    </xf>
    <xf numFmtId="0" fontId="94" fillId="46" borderId="0" xfId="94" applyFont="1" applyFill="1" applyAlignment="1">
      <alignment horizontal="center" vertical="top" wrapText="1"/>
    </xf>
    <xf numFmtId="0" fontId="94" fillId="46" borderId="0" xfId="94" applyFont="1" applyFill="1" applyAlignment="1">
      <alignment horizontal="left" vertical="top" wrapText="1"/>
    </xf>
    <xf numFmtId="2" fontId="94" fillId="46" borderId="0" xfId="94" applyNumberFormat="1" applyFont="1" applyFill="1" applyAlignment="1">
      <alignment horizontal="center" vertical="top" wrapText="1"/>
    </xf>
    <xf numFmtId="2" fontId="174" fillId="0" borderId="8" xfId="176" applyNumberFormat="1" applyFont="1" applyBorder="1" applyAlignment="1">
      <alignment horizontal="center"/>
    </xf>
    <xf numFmtId="2" fontId="178" fillId="0" borderId="8" xfId="176" applyNumberFormat="1" applyFont="1" applyBorder="1" applyAlignment="1">
      <alignment horizontal="center"/>
    </xf>
    <xf numFmtId="2" fontId="174" fillId="45" borderId="8" xfId="176" applyNumberFormat="1" applyFont="1" applyFill="1" applyBorder="1" applyAlignment="1">
      <alignment horizontal="center"/>
    </xf>
    <xf numFmtId="2" fontId="178" fillId="45" borderId="8" xfId="176" applyNumberFormat="1" applyFont="1" applyFill="1" applyBorder="1" applyAlignment="1">
      <alignment horizontal="center"/>
    </xf>
    <xf numFmtId="2" fontId="20" fillId="45" borderId="15" xfId="0" applyNumberFormat="1" applyFont="1" applyFill="1" applyBorder="1" applyAlignment="1">
      <alignment horizontal="center" wrapText="1"/>
    </xf>
    <xf numFmtId="2" fontId="94" fillId="45" borderId="15" xfId="94" applyNumberFormat="1" applyFont="1" applyFill="1" applyBorder="1" applyAlignment="1">
      <alignment horizontal="center" vertical="top" wrapText="1"/>
    </xf>
    <xf numFmtId="2" fontId="94" fillId="45" borderId="15" xfId="1423" applyNumberFormat="1" applyFont="1" applyFill="1" applyBorder="1" applyAlignment="1">
      <alignment horizontal="center" vertical="top" wrapText="1" shrinkToFit="1"/>
    </xf>
    <xf numFmtId="0" fontId="94" fillId="45" borderId="15" xfId="94" applyFont="1" applyFill="1" applyBorder="1" applyAlignment="1">
      <alignment horizontal="center" vertical="top" wrapText="1"/>
    </xf>
    <xf numFmtId="0" fontId="94" fillId="45" borderId="15" xfId="94" applyFont="1" applyFill="1" applyBorder="1" applyAlignment="1">
      <alignment horizontal="left" vertical="top" wrapText="1"/>
    </xf>
    <xf numFmtId="0" fontId="94" fillId="45" borderId="0" xfId="94" applyFont="1" applyFill="1" applyAlignment="1">
      <alignment horizontal="center" vertical="top" wrapText="1"/>
    </xf>
    <xf numFmtId="0" fontId="94" fillId="45" borderId="15" xfId="0" applyFont="1" applyFill="1" applyBorder="1" applyAlignment="1">
      <alignment horizontal="center" vertical="top" wrapText="1"/>
    </xf>
    <xf numFmtId="0" fontId="94" fillId="0" borderId="0" xfId="94" applyFont="1" applyAlignment="1">
      <alignment vertical="top" wrapText="1"/>
    </xf>
    <xf numFmtId="0" fontId="94" fillId="0" borderId="15" xfId="94" applyFont="1" applyBorder="1" applyAlignment="1">
      <alignment vertical="top" wrapText="1"/>
    </xf>
    <xf numFmtId="2" fontId="20" fillId="0" borderId="15" xfId="0" applyNumberFormat="1" applyFont="1" applyBorder="1" applyAlignment="1">
      <alignment horizontal="center" wrapText="1"/>
    </xf>
    <xf numFmtId="0" fontId="101" fillId="0" borderId="15" xfId="94" applyFont="1" applyBorder="1" applyAlignment="1">
      <alignment horizontal="left" vertical="top" wrapText="1"/>
    </xf>
    <xf numFmtId="0" fontId="94" fillId="0" borderId="0" xfId="94" applyFont="1" applyAlignment="1">
      <alignment horizontal="center" vertical="top" wrapText="1"/>
    </xf>
    <xf numFmtId="0" fontId="94" fillId="0" borderId="0" xfId="94" applyFont="1" applyAlignment="1">
      <alignment horizontal="left" vertical="top" wrapText="1"/>
    </xf>
    <xf numFmtId="2" fontId="94" fillId="0" borderId="0" xfId="94" applyNumberFormat="1" applyFont="1" applyAlignment="1">
      <alignment horizontal="center" vertical="top" wrapText="1"/>
    </xf>
    <xf numFmtId="0" fontId="101" fillId="45" borderId="15" xfId="0" applyFont="1" applyFill="1" applyBorder="1" applyAlignment="1">
      <alignment horizontal="left" vertical="top" wrapText="1"/>
    </xf>
    <xf numFmtId="0" fontId="94" fillId="45" borderId="15" xfId="0" applyFont="1" applyFill="1" applyBorder="1" applyAlignment="1">
      <alignment horizontal="left" vertical="top" wrapText="1"/>
    </xf>
    <xf numFmtId="2" fontId="20" fillId="0" borderId="8" xfId="94" applyNumberFormat="1" applyBorder="1" applyAlignment="1">
      <alignment horizontal="center" vertical="center"/>
    </xf>
    <xf numFmtId="2" fontId="178" fillId="0" borderId="8" xfId="0" applyNumberFormat="1" applyFont="1" applyBorder="1" applyAlignment="1">
      <alignment horizontal="center"/>
    </xf>
    <xf numFmtId="2" fontId="20" fillId="45" borderId="8" xfId="94" applyNumberFormat="1" applyFill="1" applyBorder="1" applyAlignment="1">
      <alignment horizontal="center" vertical="center"/>
    </xf>
    <xf numFmtId="2" fontId="178" fillId="45" borderId="8" xfId="0" applyNumberFormat="1" applyFont="1" applyFill="1" applyBorder="1" applyAlignment="1">
      <alignment horizontal="center"/>
    </xf>
    <xf numFmtId="0" fontId="94" fillId="0" borderId="0" xfId="0" applyFont="1" applyAlignment="1">
      <alignment vertical="top" wrapText="1"/>
    </xf>
    <xf numFmtId="0" fontId="94" fillId="0" borderId="0" xfId="0" applyFont="1" applyAlignment="1">
      <alignment horizontal="center" vertical="top" wrapText="1"/>
    </xf>
    <xf numFmtId="0" fontId="95" fillId="0" borderId="0" xfId="0" applyFont="1" applyAlignment="1">
      <alignment vertical="center" wrapText="1"/>
    </xf>
    <xf numFmtId="165" fontId="95" fillId="0" borderId="15" xfId="0" applyNumberFormat="1" applyFont="1" applyBorder="1" applyAlignment="1">
      <alignment horizontal="center" vertical="center" wrapText="1"/>
    </xf>
    <xf numFmtId="0" fontId="95" fillId="0" borderId="17" xfId="0" applyFont="1" applyBorder="1" applyAlignment="1">
      <alignment vertical="center" wrapText="1"/>
    </xf>
    <xf numFmtId="0" fontId="95" fillId="0" borderId="19" xfId="0" applyFont="1" applyBorder="1" applyAlignment="1">
      <alignment vertical="center" wrapText="1"/>
    </xf>
    <xf numFmtId="0" fontId="103" fillId="0" borderId="15" xfId="0" applyFont="1" applyBorder="1" applyAlignment="1">
      <alignment horizontal="center" vertical="top" wrapText="1"/>
    </xf>
    <xf numFmtId="165" fontId="94" fillId="0" borderId="15" xfId="0" applyNumberFormat="1" applyFont="1" applyBorder="1" applyAlignment="1">
      <alignment horizontal="center" vertical="top" wrapText="1"/>
    </xf>
    <xf numFmtId="0" fontId="94" fillId="0" borderId="17" xfId="0" applyFont="1" applyBorder="1" applyAlignment="1">
      <alignment vertical="top" wrapText="1"/>
    </xf>
    <xf numFmtId="0" fontId="94" fillId="0" borderId="19" xfId="0" applyFont="1" applyBorder="1" applyAlignment="1">
      <alignment vertical="top" wrapText="1"/>
    </xf>
    <xf numFmtId="1" fontId="94" fillId="0" borderId="15" xfId="0" applyNumberFormat="1" applyFont="1" applyBorder="1" applyAlignment="1">
      <alignment horizontal="center" vertical="top" wrapText="1"/>
    </xf>
    <xf numFmtId="0" fontId="95" fillId="0" borderId="0" xfId="0" applyFont="1" applyAlignment="1">
      <alignment vertical="top" wrapText="1"/>
    </xf>
    <xf numFmtId="0" fontId="94" fillId="0" borderId="17" xfId="0" applyFont="1" applyBorder="1" applyAlignment="1">
      <alignment horizontal="right" vertical="top"/>
    </xf>
    <xf numFmtId="0" fontId="94" fillId="0" borderId="19" xfId="0" applyFont="1" applyBorder="1" applyAlignment="1">
      <alignment horizontal="right" vertical="top"/>
    </xf>
    <xf numFmtId="0" fontId="94" fillId="0" borderId="18" xfId="0" applyFont="1" applyBorder="1" applyAlignment="1">
      <alignment horizontal="center" vertical="top"/>
    </xf>
    <xf numFmtId="0" fontId="94" fillId="0" borderId="19" xfId="0" applyFont="1" applyBorder="1" applyAlignment="1">
      <alignment horizontal="left" vertical="top"/>
    </xf>
    <xf numFmtId="165" fontId="94" fillId="0" borderId="15" xfId="0" applyNumberFormat="1" applyFont="1" applyBorder="1" applyAlignment="1">
      <alignment horizontal="center" vertical="top"/>
    </xf>
    <xf numFmtId="0" fontId="94" fillId="0" borderId="17" xfId="0" applyFont="1" applyBorder="1" applyAlignment="1">
      <alignment horizontal="center" vertical="top"/>
    </xf>
    <xf numFmtId="0" fontId="94" fillId="0" borderId="19" xfId="0" applyFont="1" applyBorder="1" applyAlignment="1">
      <alignment horizontal="center" vertical="top"/>
    </xf>
    <xf numFmtId="0" fontId="100" fillId="0" borderId="0" xfId="0" applyFont="1" applyAlignment="1">
      <alignment vertical="top"/>
    </xf>
    <xf numFmtId="2" fontId="99" fillId="0" borderId="17" xfId="0" applyNumberFormat="1" applyFont="1" applyBorder="1" applyAlignment="1">
      <alignment horizontal="right" vertical="top"/>
    </xf>
    <xf numFmtId="2" fontId="99" fillId="0" borderId="19" xfId="0" applyNumberFormat="1" applyFont="1" applyBorder="1" applyAlignment="1">
      <alignment horizontal="left" vertical="top"/>
    </xf>
    <xf numFmtId="0" fontId="94" fillId="0" borderId="15" xfId="1415" applyFont="1" applyBorder="1" applyAlignment="1">
      <alignment vertical="top" wrapText="1"/>
    </xf>
    <xf numFmtId="1" fontId="94" fillId="0" borderId="17" xfId="1415" applyNumberFormat="1" applyFont="1" applyBorder="1" applyAlignment="1">
      <alignment horizontal="right" vertical="top" wrapText="1"/>
    </xf>
    <xf numFmtId="1" fontId="94" fillId="0" borderId="18" xfId="1415" applyNumberFormat="1" applyFont="1" applyBorder="1" applyAlignment="1">
      <alignment horizontal="center" vertical="top" wrapText="1"/>
    </xf>
    <xf numFmtId="1" fontId="94" fillId="0" borderId="19" xfId="1415" applyNumberFormat="1" applyFont="1" applyBorder="1" applyAlignment="1">
      <alignment horizontal="left" vertical="top" wrapText="1"/>
    </xf>
    <xf numFmtId="165" fontId="94" fillId="0" borderId="15" xfId="1415" applyNumberFormat="1" applyFont="1" applyBorder="1" applyAlignment="1">
      <alignment horizontal="center" vertical="top" wrapText="1"/>
    </xf>
    <xf numFmtId="2" fontId="94" fillId="0" borderId="17" xfId="0" applyNumberFormat="1" applyFont="1" applyBorder="1" applyAlignment="1">
      <alignment horizontal="right" vertical="top"/>
    </xf>
    <xf numFmtId="2" fontId="99" fillId="0" borderId="19" xfId="0" applyNumberFormat="1" applyFont="1" applyBorder="1" applyAlignment="1">
      <alignment vertical="top"/>
    </xf>
    <xf numFmtId="0" fontId="94" fillId="0" borderId="17" xfId="0" applyFont="1" applyBorder="1" applyAlignment="1">
      <alignment vertical="top"/>
    </xf>
    <xf numFmtId="0" fontId="94" fillId="0" borderId="18" xfId="0" applyFont="1" applyBorder="1" applyAlignment="1">
      <alignment vertical="top"/>
    </xf>
    <xf numFmtId="0" fontId="94" fillId="0" borderId="15" xfId="1384" applyFont="1" applyBorder="1" applyAlignment="1">
      <alignment vertical="top" wrapText="1"/>
    </xf>
    <xf numFmtId="0" fontId="94" fillId="0" borderId="17" xfId="1384" applyFont="1" applyBorder="1" applyAlignment="1">
      <alignment horizontal="right" vertical="top"/>
    </xf>
    <xf numFmtId="0" fontId="94" fillId="0" borderId="18" xfId="1384" applyFont="1" applyBorder="1" applyAlignment="1">
      <alignment horizontal="center" vertical="top"/>
    </xf>
    <xf numFmtId="165" fontId="94" fillId="0" borderId="15" xfId="1384" applyNumberFormat="1" applyFont="1" applyBorder="1" applyAlignment="1">
      <alignment horizontal="center" vertical="top"/>
    </xf>
    <xf numFmtId="2" fontId="99" fillId="0" borderId="17" xfId="1384" applyNumberFormat="1" applyFont="1" applyBorder="1" applyAlignment="1">
      <alignment horizontal="right" vertical="top"/>
    </xf>
    <xf numFmtId="0" fontId="94" fillId="0" borderId="17" xfId="0" applyFont="1" applyBorder="1" applyAlignment="1">
      <alignment horizontal="right"/>
    </xf>
    <xf numFmtId="0" fontId="94" fillId="0" borderId="18" xfId="0" applyFont="1" applyBorder="1" applyAlignment="1">
      <alignment horizontal="center"/>
    </xf>
    <xf numFmtId="0" fontId="94" fillId="0" borderId="19" xfId="0" applyFont="1" applyBorder="1" applyAlignment="1">
      <alignment horizontal="left"/>
    </xf>
    <xf numFmtId="165" fontId="94" fillId="0" borderId="15" xfId="0" applyNumberFormat="1" applyFont="1" applyBorder="1" applyAlignment="1">
      <alignment horizontal="center"/>
    </xf>
    <xf numFmtId="0" fontId="94" fillId="0" borderId="17" xfId="0" applyFont="1" applyBorder="1" applyAlignment="1">
      <alignment horizontal="center"/>
    </xf>
    <xf numFmtId="0" fontId="98" fillId="0" borderId="17" xfId="0" applyFont="1" applyBorder="1" applyAlignment="1">
      <alignment vertical="top"/>
    </xf>
    <xf numFmtId="0" fontId="98" fillId="0" borderId="18" xfId="0" applyFont="1" applyBorder="1" applyAlignment="1">
      <alignment vertical="top"/>
    </xf>
    <xf numFmtId="0" fontId="98" fillId="0" borderId="19" xfId="0" applyFont="1" applyBorder="1" applyAlignment="1">
      <alignment horizontal="left" vertical="top"/>
    </xf>
    <xf numFmtId="165" fontId="98" fillId="0" borderId="15" xfId="0" applyNumberFormat="1" applyFont="1" applyBorder="1" applyAlignment="1">
      <alignment horizontal="center" vertical="top"/>
    </xf>
    <xf numFmtId="2" fontId="98" fillId="0" borderId="15" xfId="0" applyNumberFormat="1" applyFont="1" applyBorder="1" applyAlignment="1">
      <alignment horizontal="center" vertical="top"/>
    </xf>
    <xf numFmtId="2" fontId="98" fillId="0" borderId="17" xfId="0" applyNumberFormat="1" applyFont="1" applyBorder="1" applyAlignment="1">
      <alignment horizontal="right" vertical="top"/>
    </xf>
    <xf numFmtId="0" fontId="101" fillId="0" borderId="15" xfId="0" applyFont="1" applyBorder="1" applyAlignment="1">
      <alignment horizontal="justify" vertical="justify" wrapText="1"/>
    </xf>
    <xf numFmtId="0" fontId="101" fillId="0" borderId="15" xfId="0" applyFont="1" applyBorder="1" applyAlignment="1">
      <alignment horizontal="justify" vertical="top" wrapText="1"/>
    </xf>
    <xf numFmtId="0" fontId="94" fillId="0" borderId="15" xfId="1416" applyFont="1" applyBorder="1" applyAlignment="1">
      <alignment vertical="top" wrapText="1"/>
    </xf>
    <xf numFmtId="0" fontId="94" fillId="0" borderId="17" xfId="1416" applyFont="1" applyBorder="1" applyAlignment="1">
      <alignment horizontal="right" vertical="top"/>
    </xf>
    <xf numFmtId="0" fontId="94" fillId="0" borderId="19" xfId="1416" applyFont="1" applyBorder="1" applyAlignment="1">
      <alignment horizontal="left" vertical="top"/>
    </xf>
    <xf numFmtId="2" fontId="94" fillId="0" borderId="15" xfId="1416" applyNumberFormat="1" applyFont="1" applyBorder="1" applyAlignment="1">
      <alignment horizontal="center" vertical="top"/>
    </xf>
    <xf numFmtId="165" fontId="94" fillId="0" borderId="15" xfId="1416" applyNumberFormat="1" applyFont="1" applyBorder="1" applyAlignment="1">
      <alignment horizontal="center" vertical="top"/>
    </xf>
    <xf numFmtId="2" fontId="99" fillId="0" borderId="15" xfId="0" applyNumberFormat="1" applyFont="1" applyBorder="1" applyAlignment="1">
      <alignment horizontal="right" vertical="top"/>
    </xf>
    <xf numFmtId="2" fontId="99" fillId="0" borderId="18" xfId="0" applyNumberFormat="1" applyFont="1" applyBorder="1" applyAlignment="1">
      <alignment vertical="top"/>
    </xf>
    <xf numFmtId="166" fontId="94" fillId="0" borderId="19" xfId="1415" applyNumberFormat="1" applyFont="1" applyBorder="1" applyAlignment="1">
      <alignment horizontal="left" vertical="top" wrapText="1"/>
    </xf>
    <xf numFmtId="0" fontId="94" fillId="0" borderId="15" xfId="1273" applyFont="1" applyBorder="1" applyAlignment="1">
      <alignment vertical="top" wrapText="1"/>
    </xf>
    <xf numFmtId="1" fontId="94" fillId="0" borderId="17" xfId="1273" applyNumberFormat="1" applyFont="1" applyBorder="1" applyAlignment="1">
      <alignment horizontal="right" vertical="top" wrapText="1"/>
    </xf>
    <xf numFmtId="1" fontId="94" fillId="0" borderId="18" xfId="1273" applyNumberFormat="1" applyFont="1" applyBorder="1" applyAlignment="1">
      <alignment horizontal="center" vertical="top" wrapText="1"/>
    </xf>
    <xf numFmtId="1" fontId="94" fillId="0" borderId="19" xfId="1273" applyNumberFormat="1" applyFont="1" applyBorder="1" applyAlignment="1">
      <alignment horizontal="left" vertical="top" wrapText="1"/>
    </xf>
    <xf numFmtId="165" fontId="94" fillId="0" borderId="15" xfId="1273" applyNumberFormat="1" applyFont="1" applyBorder="1" applyAlignment="1">
      <alignment horizontal="center" vertical="top" wrapText="1"/>
    </xf>
    <xf numFmtId="2" fontId="94" fillId="0" borderId="19" xfId="1415" applyNumberFormat="1" applyFont="1" applyBorder="1" applyAlignment="1">
      <alignment horizontal="left" vertical="top" wrapText="1"/>
    </xf>
    <xf numFmtId="2" fontId="94" fillId="0" borderId="15" xfId="1273" applyNumberFormat="1" applyFont="1" applyBorder="1" applyAlignment="1">
      <alignment horizontal="center" vertical="top" wrapText="1"/>
    </xf>
    <xf numFmtId="2" fontId="94" fillId="0" borderId="15" xfId="1415" applyNumberFormat="1" applyFont="1" applyBorder="1" applyAlignment="1">
      <alignment horizontal="center" vertical="top" wrapText="1"/>
    </xf>
    <xf numFmtId="0" fontId="116" fillId="0" borderId="17" xfId="1417" applyFont="1" applyBorder="1" applyAlignment="1">
      <alignment vertical="top"/>
    </xf>
    <xf numFmtId="0" fontId="116" fillId="0" borderId="0" xfId="1417" applyFont="1" applyAlignment="1">
      <alignment horizontal="center" vertical="top"/>
    </xf>
    <xf numFmtId="165" fontId="94" fillId="0" borderId="17" xfId="0" applyNumberFormat="1" applyFont="1" applyBorder="1" applyAlignment="1">
      <alignment horizontal="right" vertical="top"/>
    </xf>
    <xf numFmtId="0" fontId="94" fillId="0" borderId="19" xfId="0" applyFont="1" applyBorder="1" applyAlignment="1">
      <alignment horizontal="left" vertical="top" wrapText="1"/>
    </xf>
    <xf numFmtId="165" fontId="94" fillId="0" borderId="15" xfId="0" applyNumberFormat="1" applyFont="1" applyBorder="1" applyAlignment="1">
      <alignment horizontal="justify" vertical="top" wrapText="1"/>
    </xf>
    <xf numFmtId="2" fontId="94" fillId="0" borderId="19" xfId="0" applyNumberFormat="1" applyFont="1" applyBorder="1" applyAlignment="1">
      <alignment horizontal="right" vertical="top"/>
    </xf>
    <xf numFmtId="2" fontId="101" fillId="0" borderId="15" xfId="0" applyNumberFormat="1" applyFont="1" applyBorder="1" applyAlignment="1">
      <alignment horizontal="right" vertical="top"/>
    </xf>
    <xf numFmtId="2" fontId="94" fillId="0" borderId="0" xfId="0" applyNumberFormat="1" applyFont="1" applyAlignment="1">
      <alignment vertical="top"/>
    </xf>
    <xf numFmtId="0" fontId="94" fillId="0" borderId="0" xfId="0" applyFont="1" applyAlignment="1">
      <alignment horizontal="left" vertical="top"/>
    </xf>
    <xf numFmtId="165" fontId="94" fillId="0" borderId="0" xfId="0" applyNumberFormat="1" applyFont="1" applyAlignment="1">
      <alignment horizontal="center" vertical="top"/>
    </xf>
    <xf numFmtId="165" fontId="94" fillId="0" borderId="0" xfId="0" applyNumberFormat="1" applyFont="1" applyAlignment="1">
      <alignment vertical="top"/>
    </xf>
    <xf numFmtId="0" fontId="94" fillId="0" borderId="0" xfId="0" applyFont="1" applyAlignment="1">
      <alignment horizontal="right" vertical="top"/>
    </xf>
    <xf numFmtId="1" fontId="94" fillId="0" borderId="0" xfId="0" applyNumberFormat="1" applyFont="1" applyAlignment="1">
      <alignment horizontal="center" vertical="top"/>
    </xf>
    <xf numFmtId="2" fontId="94" fillId="0" borderId="0" xfId="0" applyNumberFormat="1" applyFont="1" applyAlignment="1">
      <alignment horizontal="right" vertical="top"/>
    </xf>
    <xf numFmtId="0" fontId="102" fillId="0" borderId="0" xfId="95" applyFont="1" applyAlignment="1">
      <alignment horizontal="right" vertical="top"/>
    </xf>
    <xf numFmtId="0" fontId="102" fillId="0" borderId="0" xfId="95" applyFont="1" applyAlignment="1">
      <alignment horizontal="center" vertical="top"/>
    </xf>
    <xf numFmtId="2" fontId="94" fillId="0" borderId="0" xfId="0" applyNumberFormat="1" applyFont="1" applyAlignment="1">
      <alignment horizontal="center" vertical="top"/>
    </xf>
    <xf numFmtId="0" fontId="98" fillId="0" borderId="15" xfId="0" applyFont="1" applyBorder="1" applyAlignment="1">
      <alignment vertical="top" wrapText="1"/>
    </xf>
    <xf numFmtId="0" fontId="116" fillId="0" borderId="15" xfId="1393" applyFont="1" applyBorder="1"/>
    <xf numFmtId="0" fontId="116" fillId="0" borderId="15" xfId="1417" applyFont="1" applyBorder="1"/>
    <xf numFmtId="0" fontId="116" fillId="0" borderId="15" xfId="1417" applyFont="1" applyBorder="1" applyAlignment="1">
      <alignment horizontal="center" vertical="top"/>
    </xf>
    <xf numFmtId="165" fontId="94" fillId="0" borderId="19" xfId="1415" applyNumberFormat="1" applyFont="1" applyBorder="1" applyAlignment="1">
      <alignment horizontal="left" vertical="top" wrapText="1"/>
    </xf>
    <xf numFmtId="2" fontId="171" fillId="0" borderId="15" xfId="1393" applyNumberFormat="1" applyFont="1" applyBorder="1" applyAlignment="1">
      <alignment vertical="top"/>
    </xf>
    <xf numFmtId="1" fontId="94" fillId="0" borderId="17" xfId="0" applyNumberFormat="1" applyFont="1" applyBorder="1" applyAlignment="1">
      <alignment horizontal="right" vertical="top"/>
    </xf>
    <xf numFmtId="1" fontId="98" fillId="0" borderId="17" xfId="0" applyNumberFormat="1" applyFont="1" applyBorder="1" applyAlignment="1">
      <alignment horizontal="right" vertical="top"/>
    </xf>
    <xf numFmtId="1" fontId="94" fillId="0" borderId="0" xfId="1415" applyNumberFormat="1" applyFont="1" applyAlignment="1">
      <alignment horizontal="left" vertical="top" wrapText="1"/>
    </xf>
    <xf numFmtId="1" fontId="94" fillId="0" borderId="15" xfId="1415" applyNumberFormat="1" applyFont="1" applyBorder="1" applyAlignment="1">
      <alignment horizontal="center" vertical="top" wrapText="1"/>
    </xf>
    <xf numFmtId="0" fontId="94" fillId="0" borderId="15" xfId="1384" applyFont="1" applyBorder="1" applyAlignment="1">
      <alignment horizontal="center" vertical="top"/>
    </xf>
    <xf numFmtId="0" fontId="94" fillId="0" borderId="17" xfId="1384" applyFont="1" applyBorder="1" applyAlignment="1">
      <alignment vertical="top"/>
    </xf>
    <xf numFmtId="0" fontId="94" fillId="0" borderId="15" xfId="1384" applyFont="1" applyBorder="1" applyAlignment="1">
      <alignment vertical="top"/>
    </xf>
    <xf numFmtId="0" fontId="100" fillId="0" borderId="0" xfId="1384" applyFont="1" applyAlignment="1">
      <alignment vertical="top"/>
    </xf>
    <xf numFmtId="0" fontId="94" fillId="0" borderId="17" xfId="1384" applyFont="1" applyBorder="1" applyAlignment="1">
      <alignment horizontal="right" vertical="top" wrapText="1"/>
    </xf>
    <xf numFmtId="2" fontId="94" fillId="0" borderId="15" xfId="1384" applyNumberFormat="1" applyFont="1" applyBorder="1" applyAlignment="1">
      <alignment horizontal="center" vertical="top"/>
    </xf>
    <xf numFmtId="1" fontId="94" fillId="0" borderId="17" xfId="1384" applyNumberFormat="1" applyFont="1" applyBorder="1" applyAlignment="1">
      <alignment horizontal="right" vertical="top"/>
    </xf>
    <xf numFmtId="0" fontId="94" fillId="0" borderId="15" xfId="1384" applyFont="1" applyBorder="1" applyAlignment="1">
      <alignment horizontal="justify" vertical="top"/>
    </xf>
    <xf numFmtId="0" fontId="94" fillId="0" borderId="17" xfId="1384" applyFont="1" applyBorder="1" applyAlignment="1">
      <alignment horizontal="justify" vertical="top"/>
    </xf>
    <xf numFmtId="0" fontId="94" fillId="0" borderId="18" xfId="1384" applyFont="1" applyBorder="1" applyAlignment="1">
      <alignment horizontal="justify" vertical="top"/>
    </xf>
    <xf numFmtId="165" fontId="94" fillId="0" borderId="15" xfId="1384" applyNumberFormat="1" applyFont="1" applyBorder="1" applyAlignment="1">
      <alignment horizontal="justify" vertical="top"/>
    </xf>
    <xf numFmtId="2" fontId="94" fillId="0" borderId="15" xfId="1384" applyNumberFormat="1" applyFont="1" applyBorder="1" applyAlignment="1">
      <alignment horizontal="justify" vertical="top"/>
    </xf>
    <xf numFmtId="1" fontId="94" fillId="0" borderId="17" xfId="1384" applyNumberFormat="1" applyFont="1" applyBorder="1" applyAlignment="1">
      <alignment vertical="top"/>
    </xf>
    <xf numFmtId="2" fontId="94" fillId="0" borderId="15" xfId="1384" applyNumberFormat="1" applyFont="1" applyBorder="1" applyAlignment="1">
      <alignment horizontal="right" vertical="top"/>
    </xf>
    <xf numFmtId="166" fontId="94" fillId="0" borderId="15" xfId="1384" applyNumberFormat="1" applyFont="1" applyBorder="1" applyAlignment="1">
      <alignment horizontal="center" vertical="top"/>
    </xf>
    <xf numFmtId="2" fontId="94" fillId="0" borderId="17" xfId="1384" applyNumberFormat="1" applyFont="1" applyBorder="1" applyAlignment="1">
      <alignment horizontal="right" vertical="top"/>
    </xf>
    <xf numFmtId="2" fontId="94" fillId="0" borderId="17" xfId="1384" applyNumberFormat="1" applyFont="1" applyBorder="1" applyAlignment="1">
      <alignment vertical="top"/>
    </xf>
    <xf numFmtId="0" fontId="94" fillId="0" borderId="0" xfId="0" applyFont="1" applyAlignment="1">
      <alignment horizontal="center" vertical="center"/>
    </xf>
    <xf numFmtId="0" fontId="94" fillId="0" borderId="17" xfId="1384" applyFont="1" applyBorder="1" applyAlignment="1">
      <alignment horizontal="right" vertical="center"/>
    </xf>
    <xf numFmtId="0" fontId="94" fillId="0" borderId="18" xfId="1384" applyFont="1" applyBorder="1" applyAlignment="1">
      <alignment horizontal="center" vertical="center"/>
    </xf>
    <xf numFmtId="0" fontId="94" fillId="0" borderId="19" xfId="1384" applyFont="1" applyBorder="1" applyAlignment="1">
      <alignment horizontal="left" vertical="center"/>
    </xf>
    <xf numFmtId="165" fontId="94" fillId="0" borderId="15" xfId="1384" applyNumberFormat="1" applyFont="1" applyBorder="1" applyAlignment="1">
      <alignment horizontal="center" vertical="center"/>
    </xf>
    <xf numFmtId="0" fontId="94" fillId="0" borderId="21" xfId="1418" applyFont="1" applyBorder="1" applyAlignment="1">
      <alignment horizontal="left" vertical="justify" wrapText="1"/>
    </xf>
    <xf numFmtId="0" fontId="94" fillId="0" borderId="17" xfId="138" applyFont="1" applyBorder="1" applyAlignment="1">
      <alignment horizontal="right"/>
    </xf>
    <xf numFmtId="0" fontId="94" fillId="0" borderId="18" xfId="138" applyFont="1" applyBorder="1" applyAlignment="1">
      <alignment horizontal="center"/>
    </xf>
    <xf numFmtId="0" fontId="94" fillId="0" borderId="19" xfId="138" applyFont="1" applyBorder="1" applyAlignment="1">
      <alignment horizontal="left"/>
    </xf>
    <xf numFmtId="2" fontId="94" fillId="0" borderId="15" xfId="138" applyNumberFormat="1" applyFont="1" applyBorder="1" applyAlignment="1">
      <alignment horizontal="center"/>
    </xf>
    <xf numFmtId="0" fontId="94" fillId="0" borderId="17" xfId="1416" applyFont="1" applyBorder="1" applyAlignment="1">
      <alignment horizontal="right"/>
    </xf>
    <xf numFmtId="0" fontId="94" fillId="0" borderId="18" xfId="1416" applyFont="1" applyBorder="1" applyAlignment="1">
      <alignment horizontal="center"/>
    </xf>
    <xf numFmtId="0" fontId="94" fillId="0" borderId="19" xfId="1416" applyFont="1" applyBorder="1" applyAlignment="1">
      <alignment horizontal="left"/>
    </xf>
    <xf numFmtId="2" fontId="94" fillId="0" borderId="15" xfId="1416" applyNumberFormat="1" applyFont="1" applyBorder="1" applyAlignment="1">
      <alignment horizontal="center"/>
    </xf>
    <xf numFmtId="0" fontId="94" fillId="0" borderId="0" xfId="0" applyFont="1" applyAlignment="1">
      <alignment horizontal="justify" vertical="justify" wrapText="1"/>
    </xf>
    <xf numFmtId="0" fontId="94" fillId="0" borderId="15" xfId="0" applyFont="1" applyBorder="1" applyAlignment="1">
      <alignment horizontal="center" vertical="justify" wrapText="1"/>
    </xf>
    <xf numFmtId="0" fontId="101" fillId="0" borderId="15" xfId="0" applyFont="1" applyBorder="1" applyAlignment="1">
      <alignment horizontal="center" vertical="top" wrapText="1"/>
    </xf>
    <xf numFmtId="0" fontId="94" fillId="0" borderId="15" xfId="0" applyFont="1" applyBorder="1" applyAlignment="1">
      <alignment horizontal="justify" vertical="justify" wrapText="1"/>
    </xf>
    <xf numFmtId="2" fontId="94" fillId="0" borderId="15" xfId="0" applyNumberFormat="1" applyFont="1" applyBorder="1" applyAlignment="1">
      <alignment horizontal="right" vertical="top" wrapText="1"/>
    </xf>
    <xf numFmtId="0" fontId="94" fillId="0" borderId="15" xfId="0" applyFont="1" applyBorder="1" applyAlignment="1">
      <alignment wrapText="1"/>
    </xf>
    <xf numFmtId="2" fontId="94" fillId="0" borderId="15" xfId="0" applyNumberFormat="1" applyFont="1" applyBorder="1" applyAlignment="1">
      <alignment wrapText="1"/>
    </xf>
    <xf numFmtId="165" fontId="94" fillId="0" borderId="15" xfId="0" applyNumberFormat="1" applyFont="1" applyBorder="1" applyAlignment="1">
      <alignment wrapText="1"/>
    </xf>
    <xf numFmtId="167" fontId="94" fillId="0" borderId="15" xfId="0" applyNumberFormat="1" applyFont="1" applyBorder="1" applyAlignment="1">
      <alignment horizontal="right" wrapText="1"/>
    </xf>
    <xf numFmtId="167" fontId="101" fillId="0" borderId="15" xfId="0" applyNumberFormat="1" applyFont="1" applyBorder="1" applyAlignment="1">
      <alignment horizontal="right" vertical="top" wrapText="1"/>
    </xf>
    <xf numFmtId="167" fontId="94" fillId="0" borderId="15" xfId="0" applyNumberFormat="1" applyFont="1" applyBorder="1" applyAlignment="1">
      <alignment horizontal="center" vertical="top" wrapText="1"/>
    </xf>
    <xf numFmtId="2" fontId="94" fillId="0" borderId="15" xfId="0" applyNumberFormat="1" applyFont="1" applyBorder="1" applyAlignment="1">
      <alignment horizontal="center" vertical="top" wrapText="1"/>
    </xf>
    <xf numFmtId="2" fontId="101" fillId="0" borderId="15" xfId="0" applyNumberFormat="1" applyFont="1" applyBorder="1" applyAlignment="1">
      <alignment horizontal="center" vertical="top" wrapText="1"/>
    </xf>
    <xf numFmtId="2" fontId="101" fillId="0" borderId="15" xfId="0" applyNumberFormat="1" applyFont="1" applyBorder="1" applyAlignment="1">
      <alignment horizontal="right" vertical="top" wrapText="1"/>
    </xf>
    <xf numFmtId="2" fontId="94" fillId="0" borderId="20" xfId="0" applyNumberFormat="1" applyFont="1" applyBorder="1" applyAlignment="1">
      <alignment vertical="top"/>
    </xf>
    <xf numFmtId="167" fontId="101" fillId="0" borderId="15" xfId="0" applyNumberFormat="1" applyFont="1" applyBorder="1" applyAlignment="1">
      <alignment horizontal="right" wrapText="1"/>
    </xf>
    <xf numFmtId="0" fontId="94" fillId="0" borderId="15" xfId="1384" applyFont="1" applyBorder="1" applyAlignment="1">
      <alignment horizontal="justify" vertical="justify" wrapText="1"/>
    </xf>
    <xf numFmtId="2" fontId="138" fillId="0" borderId="15" xfId="1384" applyNumberFormat="1" applyFont="1" applyBorder="1" applyAlignment="1">
      <alignment horizontal="right" vertical="top"/>
    </xf>
    <xf numFmtId="0" fontId="117" fillId="0" borderId="0" xfId="0" applyFont="1" applyAlignment="1">
      <alignment horizontal="center"/>
    </xf>
    <xf numFmtId="0" fontId="94" fillId="0" borderId="15" xfId="0" applyFont="1" applyBorder="1" applyAlignment="1">
      <alignment horizontal="center" vertical="center" wrapText="1"/>
    </xf>
    <xf numFmtId="49" fontId="122" fillId="0" borderId="15" xfId="969" applyNumberFormat="1" applyFont="1" applyBorder="1" applyAlignment="1">
      <alignment horizontal="center" vertical="center" wrapText="1"/>
    </xf>
    <xf numFmtId="0" fontId="94" fillId="0" borderId="0" xfId="0" applyFont="1" applyAlignment="1">
      <alignment horizontal="justify" vertical="top" wrapText="1"/>
    </xf>
    <xf numFmtId="0" fontId="94" fillId="0" borderId="0" xfId="0" applyFont="1" applyAlignment="1">
      <alignment vertical="center"/>
    </xf>
    <xf numFmtId="0" fontId="112" fillId="0" borderId="8" xfId="1384" applyFont="1" applyBorder="1" applyAlignment="1">
      <alignment horizontal="center" vertical="top" wrapText="1"/>
    </xf>
    <xf numFmtId="2" fontId="94" fillId="0" borderId="15" xfId="0" applyNumberFormat="1" applyFont="1" applyBorder="1" applyAlignment="1">
      <alignment horizontal="center" vertical="top" shrinkToFit="1"/>
    </xf>
    <xf numFmtId="0" fontId="94" fillId="0" borderId="15" xfId="0" applyFont="1" applyBorder="1" applyAlignment="1">
      <alignment horizontal="center" vertical="top" wrapText="1"/>
    </xf>
    <xf numFmtId="0" fontId="101" fillId="0" borderId="15" xfId="0" applyFont="1" applyBorder="1" applyAlignment="1">
      <alignment horizontal="right" vertical="top" wrapText="1"/>
    </xf>
    <xf numFmtId="2" fontId="101" fillId="0" borderId="15" xfId="0" applyNumberFormat="1" applyFont="1" applyBorder="1" applyAlignment="1">
      <alignment vertical="top"/>
    </xf>
    <xf numFmtId="0" fontId="94" fillId="0" borderId="15" xfId="0" applyFont="1" applyBorder="1" applyAlignment="1">
      <alignment horizontal="right" vertical="top" wrapText="1"/>
    </xf>
    <xf numFmtId="0" fontId="98" fillId="0" borderId="15" xfId="0" applyFont="1" applyBorder="1" applyAlignment="1">
      <alignment horizontal="center" vertical="top" wrapText="1"/>
    </xf>
    <xf numFmtId="0" fontId="98" fillId="0" borderId="15" xfId="0" applyFont="1" applyBorder="1" applyAlignment="1">
      <alignment horizontal="justify" vertical="top" wrapText="1"/>
    </xf>
    <xf numFmtId="2" fontId="98" fillId="0" borderId="15" xfId="0" applyNumberFormat="1" applyFont="1" applyBorder="1" applyAlignment="1">
      <alignment horizontal="right" vertical="top"/>
    </xf>
    <xf numFmtId="0" fontId="98" fillId="0" borderId="15" xfId="0" applyFont="1" applyBorder="1" applyAlignment="1">
      <alignment horizontal="left" vertical="top" wrapText="1"/>
    </xf>
    <xf numFmtId="168" fontId="98" fillId="0" borderId="15" xfId="0" applyNumberFormat="1" applyFont="1" applyBorder="1" applyAlignment="1">
      <alignment horizontal="center" vertical="top" wrapText="1"/>
    </xf>
    <xf numFmtId="2" fontId="141" fillId="0" borderId="15" xfId="0" applyNumberFormat="1" applyFont="1" applyBorder="1" applyAlignment="1">
      <alignment horizontal="right" vertical="top"/>
    </xf>
    <xf numFmtId="2" fontId="101" fillId="0" borderId="15" xfId="0" applyNumberFormat="1" applyFont="1" applyBorder="1" applyAlignment="1">
      <alignment horizontal="center" vertical="top"/>
    </xf>
    <xf numFmtId="166" fontId="94" fillId="0" borderId="15" xfId="0" applyNumberFormat="1" applyFont="1" applyBorder="1" applyAlignment="1">
      <alignment horizontal="center" vertical="top" wrapText="1"/>
    </xf>
    <xf numFmtId="2" fontId="94" fillId="0" borderId="15" xfId="0" applyNumberFormat="1" applyFont="1" applyBorder="1" applyAlignment="1">
      <alignment horizontal="right" vertical="top" shrinkToFit="1"/>
    </xf>
    <xf numFmtId="2" fontId="101" fillId="0" borderId="15" xfId="0" applyNumberFormat="1" applyFont="1" applyBorder="1" applyAlignment="1">
      <alignment horizontal="center" vertical="top" shrinkToFit="1"/>
    </xf>
    <xf numFmtId="49" fontId="94" fillId="0" borderId="15" xfId="0" applyNumberFormat="1" applyFont="1" applyBorder="1" applyAlignment="1">
      <alignment horizontal="center" vertical="top" shrinkToFit="1"/>
    </xf>
    <xf numFmtId="9" fontId="94" fillId="0" borderId="15" xfId="1399" applyFont="1" applyFill="1" applyBorder="1" applyAlignment="1">
      <alignment horizontal="center" vertical="top" shrinkToFit="1"/>
    </xf>
    <xf numFmtId="0" fontId="94" fillId="0" borderId="15" xfId="0" applyFont="1" applyBorder="1" applyAlignment="1">
      <alignment horizontal="center" vertical="top" shrinkToFit="1"/>
    </xf>
    <xf numFmtId="170" fontId="101" fillId="0" borderId="15" xfId="0" applyNumberFormat="1" applyFont="1" applyBorder="1" applyAlignment="1">
      <alignment horizontal="center" vertical="top" wrapText="1"/>
    </xf>
    <xf numFmtId="0" fontId="94" fillId="0" borderId="15" xfId="0" applyFont="1" applyBorder="1" applyAlignment="1">
      <alignment vertical="top" wrapText="1"/>
    </xf>
    <xf numFmtId="170" fontId="94" fillId="0" borderId="0" xfId="0" applyNumberFormat="1" applyFont="1" applyAlignment="1">
      <alignment horizontal="center" vertical="top" wrapText="1"/>
    </xf>
    <xf numFmtId="165" fontId="94" fillId="0" borderId="15" xfId="0" applyNumberFormat="1" applyFont="1" applyBorder="1" applyAlignment="1">
      <alignment horizontal="center" vertical="top" shrinkToFit="1"/>
    </xf>
    <xf numFmtId="2" fontId="101" fillId="0" borderId="15" xfId="0" applyNumberFormat="1" applyFont="1" applyBorder="1" applyAlignment="1">
      <alignment horizontal="right" vertical="top" shrinkToFit="1"/>
    </xf>
    <xf numFmtId="170" fontId="101" fillId="0" borderId="0" xfId="0" applyNumberFormat="1" applyFont="1" applyAlignment="1">
      <alignment horizontal="center" vertical="top" wrapText="1"/>
    </xf>
    <xf numFmtId="0" fontId="94" fillId="0" borderId="15" xfId="0" applyFont="1" applyBorder="1" applyAlignment="1">
      <alignment horizontal="justify" vertical="top"/>
    </xf>
    <xf numFmtId="2" fontId="94" fillId="0" borderId="15" xfId="0" applyNumberFormat="1" applyFont="1" applyBorder="1" applyAlignment="1">
      <alignment vertical="top" shrinkToFit="1"/>
    </xf>
    <xf numFmtId="165" fontId="152" fillId="0" borderId="15" xfId="0" applyNumberFormat="1" applyFont="1" applyBorder="1" applyAlignment="1">
      <alignment horizontal="center" vertical="top"/>
    </xf>
    <xf numFmtId="165" fontId="129" fillId="0" borderId="0" xfId="1384" applyNumberFormat="1" applyFont="1" applyAlignment="1">
      <alignment vertical="top"/>
    </xf>
    <xf numFmtId="0" fontId="94" fillId="0" borderId="15" xfId="0" applyFont="1" applyBorder="1" applyAlignment="1">
      <alignment horizontal="justify" vertical="top" wrapText="1"/>
    </xf>
    <xf numFmtId="2" fontId="100" fillId="0" borderId="0" xfId="969" applyNumberFormat="1" applyFont="1" applyAlignment="1">
      <alignment vertical="top"/>
    </xf>
    <xf numFmtId="0" fontId="101" fillId="0" borderId="15" xfId="96" applyFont="1" applyBorder="1" applyAlignment="1">
      <alignment horizontal="justify" vertical="top" wrapText="1"/>
    </xf>
    <xf numFmtId="2" fontId="94" fillId="0" borderId="17" xfId="95" applyNumberFormat="1" applyFont="1" applyBorder="1" applyAlignment="1">
      <alignment vertical="top"/>
    </xf>
    <xf numFmtId="2" fontId="94" fillId="0" borderId="19" xfId="95" applyNumberFormat="1" applyFont="1" applyBorder="1" applyAlignment="1">
      <alignment vertical="top"/>
    </xf>
    <xf numFmtId="2" fontId="94" fillId="0" borderId="19" xfId="95" applyNumberFormat="1" applyFont="1" applyBorder="1" applyAlignment="1">
      <alignment horizontal="center" vertical="top"/>
    </xf>
    <xf numFmtId="2" fontId="100" fillId="0" borderId="0" xfId="969" applyNumberFormat="1" applyFont="1" applyAlignment="1">
      <alignment horizontal="center" vertical="center" wrapText="1"/>
    </xf>
    <xf numFmtId="0" fontId="94" fillId="0" borderId="17" xfId="1384" applyFont="1" applyBorder="1" applyAlignment="1">
      <alignment horizontal="justify" vertical="top" wrapText="1"/>
    </xf>
    <xf numFmtId="49" fontId="94" fillId="0" borderId="16" xfId="969" applyNumberFormat="1" applyFont="1" applyBorder="1" applyAlignment="1">
      <alignment vertical="center" wrapText="1"/>
    </xf>
    <xf numFmtId="2" fontId="94" fillId="0" borderId="17" xfId="0" applyNumberFormat="1" applyFont="1" applyBorder="1" applyAlignment="1">
      <alignment vertical="top"/>
    </xf>
    <xf numFmtId="2" fontId="94" fillId="0" borderId="17" xfId="1389" applyNumberFormat="1" applyFont="1" applyBorder="1" applyAlignment="1">
      <alignment vertical="top" wrapText="1"/>
    </xf>
    <xf numFmtId="2" fontId="94" fillId="0" borderId="17" xfId="0" applyNumberFormat="1" applyFont="1" applyBorder="1" applyAlignment="1">
      <alignment vertical="top" wrapText="1"/>
    </xf>
    <xf numFmtId="2" fontId="94" fillId="0" borderId="0" xfId="1389" applyNumberFormat="1" applyFont="1" applyAlignment="1">
      <alignment horizontal="center" vertical="top" wrapText="1"/>
    </xf>
    <xf numFmtId="2" fontId="98" fillId="0" borderId="17" xfId="95" applyNumberFormat="1" applyFont="1" applyBorder="1" applyAlignment="1">
      <alignment vertical="top"/>
    </xf>
    <xf numFmtId="2" fontId="98" fillId="0" borderId="19" xfId="969" applyNumberFormat="1" applyFont="1" applyBorder="1" applyAlignment="1">
      <alignment vertical="top" wrapText="1"/>
    </xf>
    <xf numFmtId="2" fontId="98" fillId="0" borderId="15" xfId="95" applyNumberFormat="1" applyFont="1" applyBorder="1" applyAlignment="1">
      <alignment horizontal="center" vertical="top"/>
    </xf>
    <xf numFmtId="2" fontId="98" fillId="0" borderId="15" xfId="95" applyNumberFormat="1" applyFont="1" applyBorder="1" applyAlignment="1">
      <alignment vertical="top"/>
    </xf>
    <xf numFmtId="2" fontId="94" fillId="0" borderId="17" xfId="1415" applyNumberFormat="1" applyFont="1" applyBorder="1" applyAlignment="1">
      <alignment vertical="top" wrapText="1"/>
    </xf>
    <xf numFmtId="2" fontId="101" fillId="0" borderId="15" xfId="1421" applyNumberFormat="1" applyFont="1" applyBorder="1" applyAlignment="1">
      <alignment horizontal="center" vertical="top" wrapText="1"/>
    </xf>
    <xf numFmtId="165" fontId="94" fillId="0" borderId="17" xfId="0" applyNumberFormat="1" applyFont="1" applyBorder="1" applyAlignment="1">
      <alignment vertical="top" wrapText="1"/>
    </xf>
    <xf numFmtId="2" fontId="98" fillId="0" borderId="17" xfId="0" applyNumberFormat="1" applyFont="1" applyBorder="1" applyAlignment="1">
      <alignment vertical="top"/>
    </xf>
    <xf numFmtId="0" fontId="98" fillId="0" borderId="19" xfId="95" applyFont="1" applyBorder="1" applyAlignment="1">
      <alignment horizontal="left" vertical="top"/>
    </xf>
    <xf numFmtId="2" fontId="98" fillId="0" borderId="19" xfId="0" applyNumberFormat="1" applyFont="1" applyBorder="1" applyAlignment="1">
      <alignment horizontal="center" vertical="top"/>
    </xf>
    <xf numFmtId="165" fontId="94" fillId="0" borderId="17" xfId="969" applyNumberFormat="1" applyFont="1" applyBorder="1" applyAlignment="1">
      <alignment horizontal="right" vertical="top" wrapText="1"/>
    </xf>
    <xf numFmtId="0" fontId="94" fillId="0" borderId="19" xfId="95" applyFont="1" applyBorder="1" applyAlignment="1">
      <alignment horizontal="left" vertical="top"/>
    </xf>
    <xf numFmtId="165" fontId="94" fillId="0" borderId="17" xfId="969" applyNumberFormat="1" applyFont="1" applyBorder="1" applyAlignment="1">
      <alignment horizontal="center" vertical="top" wrapText="1"/>
    </xf>
    <xf numFmtId="2" fontId="131" fillId="0" borderId="17" xfId="969" applyNumberFormat="1" applyFont="1" applyBorder="1" applyAlignment="1">
      <alignment horizontal="right" vertical="top" wrapText="1"/>
    </xf>
    <xf numFmtId="2" fontId="131" fillId="0" borderId="19" xfId="969" applyNumberFormat="1" applyFont="1" applyBorder="1" applyAlignment="1">
      <alignment vertical="top" wrapText="1"/>
    </xf>
    <xf numFmtId="2" fontId="131" fillId="0" borderId="17" xfId="969" applyNumberFormat="1" applyFont="1" applyBorder="1" applyAlignment="1">
      <alignment horizontal="center" vertical="top" wrapText="1"/>
    </xf>
    <xf numFmtId="2" fontId="94" fillId="0" borderId="17" xfId="94" applyNumberFormat="1" applyFont="1" applyBorder="1" applyAlignment="1">
      <alignment vertical="top"/>
    </xf>
    <xf numFmtId="2" fontId="94" fillId="0" borderId="15" xfId="94" applyNumberFormat="1" applyFont="1" applyBorder="1" applyAlignment="1">
      <alignment horizontal="center" vertical="top"/>
    </xf>
    <xf numFmtId="2" fontId="98" fillId="0" borderId="19" xfId="95" applyNumberFormat="1" applyFont="1" applyBorder="1" applyAlignment="1">
      <alignment horizontal="left" vertical="top"/>
    </xf>
    <xf numFmtId="2" fontId="131" fillId="0" borderId="19" xfId="95" applyNumberFormat="1" applyFont="1" applyBorder="1" applyAlignment="1">
      <alignment horizontal="left" vertical="top"/>
    </xf>
    <xf numFmtId="1" fontId="94" fillId="0" borderId="17" xfId="0" applyNumberFormat="1" applyFont="1" applyBorder="1" applyAlignment="1">
      <alignment vertical="top"/>
    </xf>
    <xf numFmtId="1" fontId="98" fillId="0" borderId="17" xfId="0" applyNumberFormat="1" applyFont="1" applyBorder="1" applyAlignment="1">
      <alignment vertical="top"/>
    </xf>
    <xf numFmtId="2" fontId="98" fillId="0" borderId="17" xfId="95" applyNumberFormat="1" applyFont="1" applyBorder="1" applyAlignment="1">
      <alignment vertical="top" wrapText="1"/>
    </xf>
    <xf numFmtId="2" fontId="98" fillId="0" borderId="19" xfId="95" applyNumberFormat="1" applyFont="1" applyBorder="1" applyAlignment="1">
      <alignment horizontal="center" vertical="top" wrapText="1"/>
    </xf>
    <xf numFmtId="2" fontId="94" fillId="0" borderId="17" xfId="95" applyNumberFormat="1" applyFont="1" applyBorder="1" applyAlignment="1">
      <alignment vertical="top" wrapText="1"/>
    </xf>
    <xf numFmtId="2" fontId="94" fillId="0" borderId="19" xfId="95" applyNumberFormat="1" applyFont="1" applyBorder="1" applyAlignment="1">
      <alignment horizontal="center" vertical="top" wrapText="1"/>
    </xf>
    <xf numFmtId="2" fontId="94" fillId="0" borderId="17" xfId="969" applyNumberFormat="1" applyFont="1" applyBorder="1" applyAlignment="1">
      <alignment vertical="top" wrapText="1"/>
    </xf>
    <xf numFmtId="2" fontId="94" fillId="0" borderId="0" xfId="969" applyNumberFormat="1" applyFont="1" applyAlignment="1">
      <alignment horizontal="right" vertical="top" wrapText="1"/>
    </xf>
    <xf numFmtId="2" fontId="94" fillId="0" borderId="0" xfId="969" applyNumberFormat="1" applyFont="1" applyAlignment="1">
      <alignment vertical="top" wrapText="1"/>
    </xf>
    <xf numFmtId="49" fontId="94" fillId="0" borderId="0" xfId="969" applyNumberFormat="1" applyFont="1" applyAlignment="1">
      <alignment vertical="top" wrapText="1"/>
    </xf>
    <xf numFmtId="2" fontId="94" fillId="0" borderId="15" xfId="1384" applyNumberFormat="1" applyFont="1" applyBorder="1" applyAlignment="1">
      <alignment horizontal="center" vertical="top" wrapText="1"/>
    </xf>
    <xf numFmtId="0" fontId="94" fillId="0" borderId="0" xfId="1384" applyFont="1" applyAlignment="1">
      <alignment horizontal="center"/>
    </xf>
    <xf numFmtId="0" fontId="94" fillId="0" borderId="0" xfId="1384" applyFont="1"/>
    <xf numFmtId="0" fontId="112" fillId="0" borderId="8" xfId="1384" applyFont="1" applyBorder="1" applyAlignment="1">
      <alignment horizontal="center" vertical="top"/>
    </xf>
    <xf numFmtId="2" fontId="112" fillId="0" borderId="28" xfId="1384" applyNumberFormat="1" applyFont="1" applyBorder="1" applyAlignment="1">
      <alignment horizontal="right" vertical="top" wrapText="1"/>
    </xf>
    <xf numFmtId="0" fontId="112" fillId="0" borderId="29" xfId="1384" applyFont="1" applyBorder="1" applyAlignment="1">
      <alignment horizontal="justify" vertical="top" wrapText="1"/>
    </xf>
    <xf numFmtId="1" fontId="112" fillId="0" borderId="28" xfId="1384" applyNumberFormat="1" applyFont="1" applyBorder="1" applyAlignment="1">
      <alignment vertical="top" wrapText="1"/>
    </xf>
    <xf numFmtId="0" fontId="112" fillId="0" borderId="29" xfId="1384" applyFont="1" applyBorder="1" applyAlignment="1">
      <alignment horizontal="left" vertical="top" wrapText="1"/>
    </xf>
    <xf numFmtId="2" fontId="112" fillId="0" borderId="8" xfId="1384" applyNumberFormat="1" applyFont="1" applyBorder="1" applyAlignment="1">
      <alignment horizontal="center" vertical="top"/>
    </xf>
    <xf numFmtId="2" fontId="112" fillId="0" borderId="8" xfId="1384" applyNumberFormat="1" applyFont="1" applyBorder="1" applyAlignment="1">
      <alignment vertical="top"/>
    </xf>
    <xf numFmtId="0" fontId="112" fillId="0" borderId="8" xfId="1384" applyFont="1" applyBorder="1" applyAlignment="1">
      <alignment horizontal="justify" vertical="top" wrapText="1"/>
    </xf>
    <xf numFmtId="0" fontId="112" fillId="0" borderId="28" xfId="1384" applyFont="1" applyBorder="1" applyAlignment="1">
      <alignment vertical="top" wrapText="1"/>
    </xf>
    <xf numFmtId="0" fontId="112" fillId="0" borderId="29" xfId="1384" applyFont="1" applyBorder="1" applyAlignment="1">
      <alignment vertical="top" wrapText="1"/>
    </xf>
    <xf numFmtId="0" fontId="112" fillId="0" borderId="8" xfId="1384" applyFont="1" applyBorder="1" applyAlignment="1">
      <alignment vertical="top" wrapText="1"/>
    </xf>
    <xf numFmtId="0" fontId="112" fillId="0" borderId="28" xfId="1384" applyFont="1" applyBorder="1" applyAlignment="1">
      <alignment horizontal="justify" vertical="top" wrapText="1"/>
    </xf>
    <xf numFmtId="0" fontId="113" fillId="0" borderId="8" xfId="1384" applyFont="1" applyBorder="1" applyAlignment="1">
      <alignment horizontal="justify" vertical="top" wrapText="1"/>
    </xf>
    <xf numFmtId="2" fontId="112" fillId="0" borderId="28" xfId="1384" applyNumberFormat="1" applyFont="1" applyBorder="1" applyAlignment="1">
      <alignment horizontal="center" vertical="top" wrapText="1"/>
    </xf>
    <xf numFmtId="2" fontId="112" fillId="0" borderId="29" xfId="1384" applyNumberFormat="1" applyFont="1" applyBorder="1" applyAlignment="1">
      <alignment horizontal="center" vertical="top" wrapText="1"/>
    </xf>
    <xf numFmtId="1" fontId="113" fillId="0" borderId="28" xfId="1384" applyNumberFormat="1" applyFont="1" applyBorder="1" applyAlignment="1">
      <alignment horizontal="center" vertical="top" wrapText="1"/>
    </xf>
    <xf numFmtId="1" fontId="113" fillId="0" borderId="29" xfId="1384" applyNumberFormat="1" applyFont="1" applyBorder="1" applyAlignment="1">
      <alignment horizontal="center" vertical="top" wrapText="1"/>
    </xf>
    <xf numFmtId="2" fontId="112" fillId="0" borderId="8" xfId="1384" applyNumberFormat="1" applyFont="1" applyBorder="1" applyAlignment="1">
      <alignment horizontal="right" vertical="top"/>
    </xf>
    <xf numFmtId="2" fontId="112" fillId="0" borderId="8" xfId="1384" applyNumberFormat="1" applyFont="1" applyBorder="1" applyAlignment="1">
      <alignment horizontal="left" vertical="top"/>
    </xf>
    <xf numFmtId="4" fontId="112" fillId="0" borderId="29" xfId="1384" applyNumberFormat="1" applyFont="1" applyBorder="1" applyAlignment="1">
      <alignment horizontal="left" vertical="top" wrapText="1"/>
    </xf>
    <xf numFmtId="0" fontId="112" fillId="0" borderId="8" xfId="1384" applyFont="1" applyBorder="1" applyAlignment="1">
      <alignment horizontal="left" vertical="top" wrapText="1"/>
    </xf>
    <xf numFmtId="1" fontId="113" fillId="0" borderId="28" xfId="1384" applyNumberFormat="1" applyFont="1" applyBorder="1" applyAlignment="1">
      <alignment vertical="top" wrapText="1"/>
    </xf>
    <xf numFmtId="2" fontId="113" fillId="0" borderId="8" xfId="1384" applyNumberFormat="1" applyFont="1" applyBorder="1" applyAlignment="1">
      <alignment horizontal="right" vertical="top"/>
    </xf>
    <xf numFmtId="0" fontId="94" fillId="0" borderId="8" xfId="1384" applyFont="1" applyBorder="1"/>
    <xf numFmtId="0" fontId="94" fillId="0" borderId="8" xfId="1384" applyFont="1" applyBorder="1" applyAlignment="1">
      <alignment horizontal="center" vertical="top"/>
    </xf>
    <xf numFmtId="0" fontId="112" fillId="0" borderId="28" xfId="1384" applyFont="1" applyBorder="1" applyAlignment="1">
      <alignment vertical="top"/>
    </xf>
    <xf numFmtId="0" fontId="112" fillId="0" borderId="8" xfId="1384" applyFont="1" applyBorder="1" applyAlignment="1">
      <alignment vertical="top"/>
    </xf>
    <xf numFmtId="0" fontId="94" fillId="0" borderId="28" xfId="1384" applyFont="1" applyBorder="1"/>
    <xf numFmtId="0" fontId="94" fillId="0" borderId="29" xfId="1384" applyFont="1" applyBorder="1"/>
    <xf numFmtId="2" fontId="94" fillId="0" borderId="8" xfId="1384" applyNumberFormat="1" applyFont="1" applyBorder="1"/>
    <xf numFmtId="2" fontId="112" fillId="0" borderId="8" xfId="1384" applyNumberFormat="1" applyFont="1" applyBorder="1" applyAlignment="1">
      <alignment horizontal="center" vertical="top" wrapText="1"/>
    </xf>
    <xf numFmtId="2" fontId="112" fillId="0" borderId="8" xfId="1384" applyNumberFormat="1" applyFont="1" applyBorder="1" applyAlignment="1">
      <alignment horizontal="justify" vertical="top" wrapText="1"/>
    </xf>
    <xf numFmtId="1" fontId="112" fillId="0" borderId="28" xfId="1384" applyNumberFormat="1" applyFont="1" applyBorder="1" applyAlignment="1">
      <alignment horizontal="right" vertical="top" wrapText="1"/>
    </xf>
    <xf numFmtId="165" fontId="112" fillId="0" borderId="28" xfId="1384" applyNumberFormat="1" applyFont="1" applyBorder="1" applyAlignment="1">
      <alignment horizontal="right" vertical="top" wrapText="1"/>
    </xf>
    <xf numFmtId="2" fontId="113" fillId="0" borderId="28" xfId="1384" applyNumberFormat="1" applyFont="1" applyBorder="1" applyAlignment="1">
      <alignment vertical="top" wrapText="1"/>
    </xf>
    <xf numFmtId="0" fontId="113" fillId="0" borderId="29" xfId="1384" applyFont="1" applyBorder="1" applyAlignment="1">
      <alignment horizontal="left" vertical="top" wrapText="1"/>
    </xf>
    <xf numFmtId="2" fontId="113" fillId="0" borderId="8" xfId="1384" applyNumberFormat="1" applyFont="1" applyBorder="1" applyAlignment="1">
      <alignment horizontal="center" vertical="top"/>
    </xf>
    <xf numFmtId="0" fontId="112" fillId="0" borderId="8" xfId="1384" applyFont="1" applyBorder="1" applyAlignment="1">
      <alignment horizontal="left" vertical="top"/>
    </xf>
    <xf numFmtId="10" fontId="112" fillId="0" borderId="8" xfId="1384" applyNumberFormat="1" applyFont="1" applyBorder="1" applyAlignment="1">
      <alignment horizontal="center" vertical="top"/>
    </xf>
    <xf numFmtId="0" fontId="112" fillId="0" borderId="29" xfId="1384" applyFont="1" applyBorder="1" applyAlignment="1">
      <alignment vertical="top"/>
    </xf>
    <xf numFmtId="0" fontId="104" fillId="0" borderId="0" xfId="1384" applyFont="1" applyAlignment="1">
      <alignment horizontal="center" vertical="center"/>
    </xf>
    <xf numFmtId="9" fontId="96" fillId="0" borderId="0" xfId="1384" applyNumberFormat="1" applyFont="1" applyAlignment="1">
      <alignment horizontal="center" vertical="top" wrapText="1"/>
    </xf>
    <xf numFmtId="0" fontId="105" fillId="0" borderId="0" xfId="1384" applyFont="1" applyAlignment="1">
      <alignment horizontal="center" vertical="center" wrapText="1"/>
    </xf>
    <xf numFmtId="0" fontId="105" fillId="0" borderId="0" xfId="1384" applyFont="1" applyAlignment="1">
      <alignment vertical="center" wrapText="1"/>
    </xf>
    <xf numFmtId="168" fontId="105" fillId="0" borderId="0" xfId="1384" applyNumberFormat="1" applyFont="1" applyAlignment="1">
      <alignment horizontal="center" vertical="center" wrapText="1"/>
    </xf>
    <xf numFmtId="168" fontId="105" fillId="0" borderId="0" xfId="1384" applyNumberFormat="1" applyFont="1" applyAlignment="1">
      <alignment horizontal="right" vertical="center" wrapText="1"/>
    </xf>
    <xf numFmtId="170" fontId="105" fillId="0" borderId="0" xfId="1384" applyNumberFormat="1" applyFont="1" applyAlignment="1">
      <alignment horizontal="center" vertical="center" wrapText="1"/>
    </xf>
    <xf numFmtId="0" fontId="97" fillId="0" borderId="15" xfId="1384" applyFont="1" applyBorder="1" applyAlignment="1">
      <alignment horizontal="center" vertical="top" wrapText="1"/>
    </xf>
    <xf numFmtId="0" fontId="97" fillId="0" borderId="15" xfId="1384" applyFont="1" applyBorder="1" applyAlignment="1">
      <alignment horizontal="justify" vertical="top"/>
    </xf>
    <xf numFmtId="0" fontId="97" fillId="0" borderId="15" xfId="1384" applyFont="1" applyBorder="1" applyAlignment="1">
      <alignment horizontal="center" vertical="top"/>
    </xf>
    <xf numFmtId="166" fontId="97" fillId="0" borderId="15" xfId="1384" applyNumberFormat="1" applyFont="1" applyBorder="1" applyAlignment="1">
      <alignment horizontal="center" vertical="top"/>
    </xf>
    <xf numFmtId="2" fontId="97" fillId="0" borderId="15" xfId="1384" applyNumberFormat="1" applyFont="1" applyBorder="1" applyAlignment="1">
      <alignment horizontal="center" vertical="top"/>
    </xf>
    <xf numFmtId="2" fontId="97" fillId="0" borderId="15" xfId="1384" applyNumberFormat="1" applyFont="1" applyBorder="1" applyAlignment="1">
      <alignment horizontal="right" vertical="top"/>
    </xf>
    <xf numFmtId="0" fontId="107" fillId="0" borderId="15" xfId="1384" applyFont="1" applyBorder="1" applyAlignment="1">
      <alignment horizontal="center" vertical="top" wrapText="1"/>
    </xf>
    <xf numFmtId="0" fontId="97" fillId="0" borderId="15" xfId="1384" applyFont="1" applyBorder="1" applyAlignment="1">
      <alignment vertical="top" wrapText="1"/>
    </xf>
    <xf numFmtId="168" fontId="97" fillId="0" borderId="15" xfId="1384" applyNumberFormat="1" applyFont="1" applyBorder="1" applyAlignment="1">
      <alignment horizontal="right" vertical="top" wrapText="1"/>
    </xf>
    <xf numFmtId="2" fontId="97" fillId="0" borderId="15" xfId="1384" applyNumberFormat="1" applyFont="1" applyBorder="1" applyAlignment="1">
      <alignment horizontal="center" vertical="top" shrinkToFit="1"/>
    </xf>
    <xf numFmtId="168" fontId="97" fillId="0" borderId="15" xfId="1384" applyNumberFormat="1" applyFont="1" applyBorder="1" applyAlignment="1">
      <alignment horizontal="center" vertical="top" wrapText="1"/>
    </xf>
    <xf numFmtId="0" fontId="97" fillId="0" borderId="15" xfId="1384" applyFont="1" applyBorder="1"/>
    <xf numFmtId="0" fontId="97" fillId="0" borderId="15" xfId="1384" applyFont="1" applyBorder="1" applyAlignment="1">
      <alignment horizontal="center"/>
    </xf>
    <xf numFmtId="2" fontId="97" fillId="0" borderId="15" xfId="1384" applyNumberFormat="1" applyFont="1" applyBorder="1" applyAlignment="1">
      <alignment horizontal="center"/>
    </xf>
    <xf numFmtId="2" fontId="97" fillId="0" borderId="15" xfId="1384" applyNumberFormat="1" applyFont="1" applyBorder="1" applyAlignment="1">
      <alignment horizontal="right" wrapText="1"/>
    </xf>
    <xf numFmtId="0" fontId="108" fillId="0" borderId="15" xfId="1274" applyFont="1" applyBorder="1" applyAlignment="1">
      <alignment horizontal="center" vertical="top"/>
    </xf>
    <xf numFmtId="0" fontId="108" fillId="0" borderId="15" xfId="1384" applyFont="1" applyBorder="1" applyAlignment="1">
      <alignment horizontal="left" vertical="top" wrapText="1"/>
    </xf>
    <xf numFmtId="0" fontId="108" fillId="0" borderId="15" xfId="1384" applyFont="1" applyBorder="1" applyAlignment="1">
      <alignment horizontal="center" vertical="top" wrapText="1"/>
    </xf>
    <xf numFmtId="0" fontId="108" fillId="0" borderId="15" xfId="1384" applyFont="1" applyBorder="1" applyAlignment="1">
      <alignment vertical="top"/>
    </xf>
    <xf numFmtId="0" fontId="108" fillId="0" borderId="15" xfId="1384" applyFont="1" applyBorder="1" applyAlignment="1">
      <alignment horizontal="left" vertical="top"/>
    </xf>
    <xf numFmtId="0" fontId="109" fillId="0" borderId="0" xfId="1274" applyFont="1" applyAlignment="1">
      <alignment horizontal="justify" vertical="top" wrapText="1"/>
    </xf>
    <xf numFmtId="0" fontId="108" fillId="0" borderId="15" xfId="1384" applyFont="1" applyBorder="1" applyAlignment="1">
      <alignment horizontal="justify" vertical="top" wrapText="1"/>
    </xf>
    <xf numFmtId="0" fontId="108" fillId="0" borderId="15" xfId="1274" applyFont="1" applyBorder="1" applyAlignment="1">
      <alignment horizontal="justify" vertical="top" wrapText="1"/>
    </xf>
    <xf numFmtId="0" fontId="97" fillId="0" borderId="15" xfId="1384" applyFont="1" applyBorder="1" applyAlignment="1">
      <alignment vertical="top"/>
    </xf>
    <xf numFmtId="2" fontId="97" fillId="0" borderId="15" xfId="1384" applyNumberFormat="1" applyFont="1" applyBorder="1" applyAlignment="1">
      <alignment vertical="top"/>
    </xf>
    <xf numFmtId="2" fontId="107" fillId="0" borderId="15" xfId="1384" applyNumberFormat="1" applyFont="1" applyBorder="1" applyAlignment="1">
      <alignment horizontal="right" vertical="top"/>
    </xf>
    <xf numFmtId="0" fontId="97" fillId="0" borderId="15" xfId="1384" applyFont="1" applyBorder="1" applyAlignment="1">
      <alignment horizontal="right" vertical="top"/>
    </xf>
    <xf numFmtId="0" fontId="94" fillId="0" borderId="0" xfId="1384" applyFont="1" applyAlignment="1">
      <alignment vertical="center"/>
    </xf>
    <xf numFmtId="2" fontId="97" fillId="0" borderId="15" xfId="1384" applyNumberFormat="1" applyFont="1" applyBorder="1" applyAlignment="1">
      <alignment horizontal="center" vertical="top" wrapText="1"/>
    </xf>
    <xf numFmtId="0" fontId="97" fillId="0" borderId="15" xfId="1384" applyFont="1" applyBorder="1" applyAlignment="1">
      <alignment horizontal="center" vertical="center" wrapText="1"/>
    </xf>
    <xf numFmtId="0" fontId="97" fillId="0" borderId="15" xfId="1384" applyFont="1" applyBorder="1" applyAlignment="1">
      <alignment horizontal="right" vertical="center"/>
    </xf>
    <xf numFmtId="0" fontId="97" fillId="0" borderId="15" xfId="1384" applyFont="1" applyBorder="1" applyAlignment="1">
      <alignment vertical="center" wrapText="1"/>
    </xf>
    <xf numFmtId="0" fontId="107" fillId="0" borderId="15" xfId="1384" applyFont="1" applyBorder="1" applyAlignment="1">
      <alignment vertical="center"/>
    </xf>
    <xf numFmtId="2" fontId="97" fillId="0" borderId="15" xfId="1384" applyNumberFormat="1" applyFont="1" applyBorder="1" applyAlignment="1">
      <alignment horizontal="center" vertical="center"/>
    </xf>
    <xf numFmtId="0" fontId="97" fillId="0" borderId="15" xfId="1384" applyFont="1" applyBorder="1" applyAlignment="1">
      <alignment horizontal="center" vertical="center"/>
    </xf>
    <xf numFmtId="2" fontId="97" fillId="0" borderId="15" xfId="1384" applyNumberFormat="1" applyFont="1" applyBorder="1" applyAlignment="1">
      <alignment horizontal="right" vertical="center"/>
    </xf>
    <xf numFmtId="0" fontId="97" fillId="0" borderId="15" xfId="1384" applyFont="1" applyBorder="1" applyAlignment="1">
      <alignment horizontal="justify" vertical="center" wrapText="1"/>
    </xf>
    <xf numFmtId="0" fontId="97" fillId="0" borderId="15" xfId="1384" applyFont="1" applyBorder="1" applyAlignment="1">
      <alignment vertical="center"/>
    </xf>
    <xf numFmtId="2" fontId="107" fillId="0" borderId="15" xfId="1384" applyNumberFormat="1" applyFont="1" applyBorder="1" applyAlignment="1">
      <alignment horizontal="right" vertical="center"/>
    </xf>
    <xf numFmtId="0" fontId="94" fillId="0" borderId="15" xfId="1384" applyFont="1" applyBorder="1" applyAlignment="1">
      <alignment horizontal="center" vertical="top" wrapText="1"/>
    </xf>
    <xf numFmtId="166" fontId="94" fillId="0" borderId="15" xfId="0" applyNumberFormat="1" applyFont="1" applyBorder="1" applyAlignment="1">
      <alignment horizontal="center" vertical="top"/>
    </xf>
    <xf numFmtId="0" fontId="94" fillId="0" borderId="15" xfId="1384" applyFont="1" applyBorder="1" applyAlignment="1">
      <alignment horizontal="right" vertical="top"/>
    </xf>
    <xf numFmtId="0" fontId="104" fillId="0" borderId="0" xfId="1384" applyFont="1" applyAlignment="1">
      <alignment horizontal="right" vertical="top" shrinkToFit="1"/>
    </xf>
    <xf numFmtId="0" fontId="104" fillId="0" borderId="0" xfId="1384" applyFont="1" applyAlignment="1">
      <alignment vertical="top"/>
    </xf>
    <xf numFmtId="0" fontId="104" fillId="0" borderId="0" xfId="1384" applyFont="1" applyAlignment="1">
      <alignment horizontal="justify" vertical="top" wrapText="1"/>
    </xf>
    <xf numFmtId="0" fontId="104" fillId="0" borderId="0" xfId="1384" applyFont="1" applyAlignment="1">
      <alignment horizontal="center" vertical="top"/>
    </xf>
    <xf numFmtId="0" fontId="104" fillId="0" borderId="0" xfId="1384" applyFont="1" applyAlignment="1">
      <alignment horizontal="center" vertical="top" shrinkToFit="1"/>
    </xf>
    <xf numFmtId="2" fontId="104" fillId="0" borderId="0" xfId="1384" applyNumberFormat="1" applyFont="1" applyAlignment="1">
      <alignment horizontal="center" vertical="top" shrinkToFit="1"/>
    </xf>
    <xf numFmtId="0" fontId="104" fillId="0" borderId="0" xfId="1384" applyFont="1"/>
    <xf numFmtId="0" fontId="104" fillId="0" borderId="0" xfId="1384" applyFont="1" applyAlignment="1">
      <alignment horizontal="center" vertical="top" wrapText="1"/>
    </xf>
    <xf numFmtId="0" fontId="106" fillId="0" borderId="0" xfId="1384" applyFont="1"/>
    <xf numFmtId="0" fontId="94" fillId="0" borderId="0" xfId="1384" applyFont="1" applyAlignment="1">
      <alignment horizontal="justify" vertical="top" wrapText="1"/>
    </xf>
    <xf numFmtId="0" fontId="110" fillId="0" borderId="0" xfId="1384" applyFont="1" applyAlignment="1">
      <alignment horizontal="center" vertical="top" wrapText="1"/>
    </xf>
    <xf numFmtId="168" fontId="94" fillId="0" borderId="0" xfId="1384" applyNumberFormat="1" applyFont="1" applyAlignment="1">
      <alignment horizontal="center" vertical="top" wrapText="1"/>
    </xf>
    <xf numFmtId="168" fontId="94" fillId="0" borderId="0" xfId="1384" applyNumberFormat="1" applyFont="1" applyAlignment="1">
      <alignment horizontal="right" vertical="top" wrapText="1"/>
    </xf>
    <xf numFmtId="2" fontId="94" fillId="0" borderId="15" xfId="1423" applyNumberFormat="1" applyFont="1" applyBorder="1" applyAlignment="1">
      <alignment horizontal="center" vertical="top" wrapText="1" shrinkToFit="1"/>
    </xf>
    <xf numFmtId="2" fontId="101" fillId="0" borderId="15" xfId="94" applyNumberFormat="1" applyFont="1" applyBorder="1" applyAlignment="1">
      <alignment horizontal="center" vertical="top" wrapText="1"/>
    </xf>
    <xf numFmtId="1" fontId="0" fillId="0" borderId="15" xfId="0" applyNumberFormat="1" applyBorder="1" applyAlignment="1">
      <alignment horizontal="center" vertical="center" wrapText="1"/>
    </xf>
    <xf numFmtId="1" fontId="0" fillId="0" borderId="15" xfId="0" applyNumberFormat="1" applyBorder="1" applyAlignment="1">
      <alignment horizontal="center"/>
    </xf>
    <xf numFmtId="1" fontId="20" fillId="0" borderId="15" xfId="0" applyNumberFormat="1" applyFont="1" applyBorder="1" applyAlignment="1">
      <alignment horizontal="center" vertical="center" wrapText="1"/>
    </xf>
    <xf numFmtId="1" fontId="20" fillId="0" borderId="15" xfId="0" applyNumberFormat="1" applyFont="1" applyBorder="1" applyAlignment="1">
      <alignment horizontal="center"/>
    </xf>
    <xf numFmtId="1" fontId="0" fillId="0" borderId="15" xfId="0" applyNumberFormat="1" applyBorder="1" applyAlignment="1">
      <alignment horizontal="center" vertical="top" wrapText="1"/>
    </xf>
    <xf numFmtId="0" fontId="101" fillId="0" borderId="15" xfId="0" applyFont="1" applyBorder="1" applyAlignment="1">
      <alignment horizontal="left" vertical="top" wrapText="1"/>
    </xf>
    <xf numFmtId="0" fontId="94" fillId="0" borderId="15" xfId="0" applyFont="1" applyBorder="1" applyAlignment="1">
      <alignment horizontal="left" vertical="top" wrapText="1"/>
    </xf>
    <xf numFmtId="0" fontId="133" fillId="0" borderId="0" xfId="1388" applyFont="1" applyAlignment="1">
      <alignment vertical="top"/>
    </xf>
    <xf numFmtId="0" fontId="133" fillId="0" borderId="0" xfId="1388" applyFont="1" applyAlignment="1">
      <alignment horizontal="justify" vertical="top" wrapText="1"/>
    </xf>
    <xf numFmtId="2" fontId="76" fillId="0" borderId="0" xfId="121" applyNumberFormat="1" applyFont="1" applyAlignment="1">
      <alignment vertical="center" wrapText="1"/>
    </xf>
    <xf numFmtId="2" fontId="94" fillId="0" borderId="19" xfId="1384" applyNumberFormat="1" applyFont="1" applyBorder="1" applyAlignment="1">
      <alignment vertical="top"/>
    </xf>
    <xf numFmtId="2" fontId="180" fillId="0" borderId="17" xfId="0" applyNumberFormat="1" applyFont="1" applyBorder="1" applyAlignment="1">
      <alignment horizontal="right" vertical="top"/>
    </xf>
    <xf numFmtId="2" fontId="104" fillId="0" borderId="17" xfId="0" applyNumberFormat="1" applyFont="1" applyBorder="1" applyAlignment="1">
      <alignment vertical="top"/>
    </xf>
    <xf numFmtId="2" fontId="104" fillId="0" borderId="17" xfId="0" applyNumberFormat="1" applyFont="1" applyBorder="1" applyAlignment="1">
      <alignment horizontal="center" vertical="top"/>
    </xf>
    <xf numFmtId="2" fontId="94" fillId="0" borderId="17" xfId="94" applyNumberFormat="1" applyFont="1" applyBorder="1" applyAlignment="1">
      <alignment horizontal="right" vertical="top"/>
    </xf>
    <xf numFmtId="2" fontId="116" fillId="0" borderId="15" xfId="1389" applyNumberFormat="1" applyFont="1" applyBorder="1" applyAlignment="1">
      <alignment horizontal="right" vertical="top" wrapText="1"/>
    </xf>
    <xf numFmtId="0" fontId="134" fillId="0" borderId="0" xfId="1390" applyFont="1" applyAlignment="1">
      <alignment horizontal="center" vertical="top"/>
    </xf>
    <xf numFmtId="2" fontId="102" fillId="0" borderId="0" xfId="0" applyNumberFormat="1" applyFont="1" applyAlignment="1">
      <alignment horizontal="center" vertical="top"/>
    </xf>
    <xf numFmtId="0" fontId="94" fillId="0" borderId="15" xfId="94" applyFont="1" applyBorder="1" applyAlignment="1">
      <alignment horizontal="center" vertical="top"/>
    </xf>
    <xf numFmtId="0" fontId="94" fillId="0" borderId="17" xfId="94" applyFont="1" applyBorder="1" applyAlignment="1">
      <alignment horizontal="right" vertical="top"/>
    </xf>
    <xf numFmtId="0" fontId="94" fillId="0" borderId="19" xfId="94" applyFont="1" applyBorder="1" applyAlignment="1">
      <alignment horizontal="right" vertical="top"/>
    </xf>
    <xf numFmtId="0" fontId="94" fillId="0" borderId="0" xfId="94" applyFont="1" applyAlignment="1">
      <alignment vertical="top"/>
    </xf>
    <xf numFmtId="2" fontId="101" fillId="0" borderId="15" xfId="94" applyNumberFormat="1" applyFont="1" applyBorder="1" applyAlignment="1">
      <alignment horizontal="right" vertical="top"/>
    </xf>
    <xf numFmtId="1" fontId="94" fillId="0" borderId="17" xfId="94" applyNumberFormat="1" applyFont="1" applyBorder="1" applyAlignment="1">
      <alignment horizontal="right" vertical="top"/>
    </xf>
    <xf numFmtId="2" fontId="94" fillId="0" borderId="0" xfId="94" applyNumberFormat="1" applyFont="1" applyAlignment="1">
      <alignment vertical="top"/>
    </xf>
    <xf numFmtId="2" fontId="94" fillId="0" borderId="19" xfId="0" applyNumberFormat="1" applyFont="1" applyBorder="1" applyAlignment="1">
      <alignment horizontal="center" vertical="top"/>
    </xf>
    <xf numFmtId="2" fontId="94" fillId="0" borderId="16" xfId="1384" applyNumberFormat="1" applyFont="1" applyBorder="1" applyAlignment="1">
      <alignment horizontal="center" vertical="top" wrapText="1"/>
    </xf>
    <xf numFmtId="2" fontId="94" fillId="0" borderId="16" xfId="1384" applyNumberFormat="1" applyFont="1" applyBorder="1" applyAlignment="1">
      <alignment horizontal="right" vertical="top" wrapText="1"/>
    </xf>
    <xf numFmtId="49" fontId="94" fillId="0" borderId="16" xfId="969" applyNumberFormat="1" applyFont="1" applyBorder="1" applyAlignment="1">
      <alignment horizontal="center" vertical="top" wrapText="1"/>
    </xf>
    <xf numFmtId="0" fontId="106" fillId="0" borderId="0" xfId="1384" applyFont="1" applyAlignment="1">
      <alignment horizontal="center"/>
    </xf>
    <xf numFmtId="49" fontId="122" fillId="0" borderId="17" xfId="969" applyNumberFormat="1" applyFont="1" applyBorder="1" applyAlignment="1">
      <alignment horizontal="center" vertical="center" wrapText="1"/>
    </xf>
    <xf numFmtId="49" fontId="122" fillId="0" borderId="19" xfId="969" applyNumberFormat="1" applyFont="1" applyBorder="1" applyAlignment="1">
      <alignment horizontal="center" vertical="center" wrapText="1"/>
    </xf>
    <xf numFmtId="0" fontId="101" fillId="0" borderId="17" xfId="96" applyFont="1" applyBorder="1" applyAlignment="1">
      <alignment horizontal="center" vertical="top" wrapText="1"/>
    </xf>
    <xf numFmtId="2" fontId="131" fillId="0" borderId="15" xfId="969" applyNumberFormat="1" applyFont="1" applyBorder="1" applyAlignment="1">
      <alignment horizontal="right" vertical="top" wrapText="1"/>
    </xf>
    <xf numFmtId="49" fontId="181" fillId="0" borderId="15" xfId="969" applyNumberFormat="1" applyFont="1" applyBorder="1" applyAlignment="1">
      <alignment horizontal="center" vertical="center" wrapText="1"/>
    </xf>
    <xf numFmtId="0" fontId="182" fillId="0" borderId="0" xfId="1387" applyFont="1" applyAlignment="1">
      <alignment horizontal="left" vertical="top"/>
    </xf>
    <xf numFmtId="0" fontId="101" fillId="0" borderId="0" xfId="1390" applyFont="1"/>
    <xf numFmtId="0" fontId="105" fillId="0" borderId="8" xfId="1384" applyFont="1" applyBorder="1" applyAlignment="1">
      <alignment horizontal="center" vertical="center" wrapText="1"/>
    </xf>
    <xf numFmtId="0" fontId="105" fillId="0" borderId="8" xfId="1384" applyFont="1" applyBorder="1" applyAlignment="1">
      <alignment vertical="center" wrapText="1"/>
    </xf>
    <xf numFmtId="168" fontId="105" fillId="0" borderId="8" xfId="1384" applyNumberFormat="1" applyFont="1" applyBorder="1" applyAlignment="1">
      <alignment horizontal="center" vertical="center" wrapText="1"/>
    </xf>
    <xf numFmtId="168" fontId="105" fillId="0" borderId="8" xfId="1384" applyNumberFormat="1" applyFont="1" applyBorder="1" applyAlignment="1">
      <alignment horizontal="right" vertical="center" wrapText="1"/>
    </xf>
    <xf numFmtId="170" fontId="105" fillId="0" borderId="8" xfId="1384" applyNumberFormat="1" applyFont="1" applyBorder="1" applyAlignment="1">
      <alignment horizontal="center" vertical="center" wrapText="1"/>
    </xf>
    <xf numFmtId="0" fontId="184" fillId="0" borderId="0" xfId="1426" applyFont="1"/>
    <xf numFmtId="0" fontId="7" fillId="0" borderId="0" xfId="1426"/>
    <xf numFmtId="0" fontId="132" fillId="0" borderId="0" xfId="1426" applyFont="1" applyAlignment="1">
      <alignment horizontal="center" vertical="center" wrapText="1"/>
    </xf>
    <xf numFmtId="2" fontId="132" fillId="0" borderId="15" xfId="1426" applyNumberFormat="1" applyFont="1" applyBorder="1" applyAlignment="1">
      <alignment horizontal="center" vertical="center" wrapText="1"/>
    </xf>
    <xf numFmtId="1" fontId="132" fillId="0" borderId="15" xfId="1426" applyNumberFormat="1" applyFont="1" applyBorder="1" applyAlignment="1">
      <alignment horizontal="center" vertical="center" wrapText="1"/>
    </xf>
    <xf numFmtId="0" fontId="7" fillId="0" borderId="15" xfId="1426" applyBorder="1" applyAlignment="1">
      <alignment horizontal="center" vertical="top" wrapText="1"/>
    </xf>
    <xf numFmtId="2" fontId="7" fillId="0" borderId="15" xfId="1426" applyNumberFormat="1" applyBorder="1" applyAlignment="1">
      <alignment horizontal="center" vertical="top" wrapText="1"/>
    </xf>
    <xf numFmtId="2" fontId="7" fillId="0" borderId="15" xfId="1426" applyNumberFormat="1" applyBorder="1" applyAlignment="1">
      <alignment horizontal="justify" vertical="top" wrapText="1"/>
    </xf>
    <xf numFmtId="49" fontId="7" fillId="0" borderId="15" xfId="1426" applyNumberFormat="1" applyBorder="1" applyAlignment="1">
      <alignment horizontal="center" vertical="top" wrapText="1"/>
    </xf>
    <xf numFmtId="2" fontId="112" fillId="0" borderId="15" xfId="1426" applyNumberFormat="1" applyFont="1" applyBorder="1" applyAlignment="1">
      <alignment horizontal="center" vertical="top" wrapText="1"/>
    </xf>
    <xf numFmtId="1" fontId="7" fillId="0" borderId="15" xfId="1426" applyNumberFormat="1" applyBorder="1" applyAlignment="1">
      <alignment horizontal="center" vertical="top" wrapText="1"/>
    </xf>
    <xf numFmtId="0" fontId="7" fillId="0" borderId="0" xfId="1426" applyAlignment="1">
      <alignment horizontal="center" vertical="top" wrapText="1"/>
    </xf>
    <xf numFmtId="2" fontId="7" fillId="0" borderId="0" xfId="1426" applyNumberFormat="1"/>
    <xf numFmtId="2" fontId="132" fillId="0" borderId="15" xfId="1426" applyNumberFormat="1" applyFont="1" applyBorder="1" applyAlignment="1">
      <alignment horizontal="center" vertical="top" wrapText="1"/>
    </xf>
    <xf numFmtId="0" fontId="132" fillId="0" borderId="15" xfId="1426" applyFont="1" applyBorder="1" applyAlignment="1">
      <alignment horizontal="center" vertical="top" wrapText="1"/>
    </xf>
    <xf numFmtId="2" fontId="7" fillId="0" borderId="0" xfId="1426" applyNumberFormat="1" applyAlignment="1">
      <alignment horizontal="center"/>
    </xf>
    <xf numFmtId="49" fontId="6" fillId="0" borderId="15" xfId="1426" applyNumberFormat="1" applyFont="1" applyBorder="1" applyAlignment="1">
      <alignment horizontal="center" vertical="top" wrapText="1"/>
    </xf>
    <xf numFmtId="1" fontId="6" fillId="0" borderId="15" xfId="1426" applyNumberFormat="1" applyFont="1" applyBorder="1" applyAlignment="1">
      <alignment horizontal="center" vertical="top" wrapText="1"/>
    </xf>
    <xf numFmtId="2" fontId="116" fillId="0" borderId="17" xfId="1389" applyNumberFormat="1" applyFont="1" applyBorder="1" applyAlignment="1">
      <alignment horizontal="center" vertical="top" wrapText="1"/>
    </xf>
    <xf numFmtId="2" fontId="101" fillId="0" borderId="15" xfId="95" applyNumberFormat="1" applyFont="1" applyBorder="1" applyAlignment="1">
      <alignment horizontal="right" vertical="center"/>
    </xf>
    <xf numFmtId="1" fontId="94" fillId="0" borderId="15" xfId="94" applyNumberFormat="1" applyFont="1" applyBorder="1" applyAlignment="1">
      <alignment horizontal="center" vertical="top"/>
    </xf>
    <xf numFmtId="0" fontId="94" fillId="0" borderId="18" xfId="0" applyFont="1" applyBorder="1" applyAlignment="1">
      <alignment horizontal="left" vertical="top"/>
    </xf>
    <xf numFmtId="165" fontId="94" fillId="0" borderId="18" xfId="0" applyNumberFormat="1" applyFont="1" applyBorder="1" applyAlignment="1">
      <alignment horizontal="center" vertical="top"/>
    </xf>
    <xf numFmtId="165" fontId="94" fillId="0" borderId="18" xfId="0" applyNumberFormat="1" applyFont="1" applyBorder="1" applyAlignment="1">
      <alignment vertical="top"/>
    </xf>
    <xf numFmtId="2" fontId="98" fillId="0" borderId="19" xfId="1384" applyNumberFormat="1" applyFont="1" applyBorder="1" applyAlignment="1">
      <alignment horizontal="left" vertical="top"/>
    </xf>
    <xf numFmtId="2" fontId="98" fillId="0" borderId="15" xfId="1384" applyNumberFormat="1" applyFont="1" applyBorder="1" applyAlignment="1">
      <alignment vertical="top"/>
    </xf>
    <xf numFmtId="2" fontId="141" fillId="0" borderId="19" xfId="1384" applyNumberFormat="1" applyFont="1" applyBorder="1" applyAlignment="1">
      <alignment horizontal="left" vertical="top"/>
    </xf>
    <xf numFmtId="0" fontId="98" fillId="0" borderId="19" xfId="1384" applyFont="1" applyBorder="1" applyAlignment="1">
      <alignment horizontal="left" vertical="top"/>
    </xf>
    <xf numFmtId="2" fontId="98" fillId="0" borderId="17" xfId="1384" applyNumberFormat="1" applyFont="1" applyBorder="1" applyAlignment="1">
      <alignment horizontal="center" vertical="top"/>
    </xf>
    <xf numFmtId="2" fontId="98" fillId="0" borderId="17" xfId="94" applyNumberFormat="1" applyFont="1" applyBorder="1" applyAlignment="1">
      <alignment vertical="top"/>
    </xf>
    <xf numFmtId="2" fontId="98" fillId="0" borderId="15" xfId="94" applyNumberFormat="1" applyFont="1" applyBorder="1" applyAlignment="1">
      <alignment horizontal="center" vertical="top"/>
    </xf>
    <xf numFmtId="2" fontId="122" fillId="0" borderId="0" xfId="969" applyNumberFormat="1" applyFont="1" applyAlignment="1">
      <alignment horizontal="center" vertical="center" wrapText="1"/>
    </xf>
    <xf numFmtId="0" fontId="100" fillId="0" borderId="0" xfId="969" applyFont="1" applyAlignment="1">
      <alignment horizontal="left" vertical="center" wrapText="1"/>
    </xf>
    <xf numFmtId="1" fontId="132" fillId="0" borderId="15" xfId="1426" applyNumberFormat="1" applyFont="1" applyBorder="1" applyAlignment="1">
      <alignment horizontal="center" vertical="top" wrapText="1"/>
    </xf>
    <xf numFmtId="0" fontId="122" fillId="0" borderId="0" xfId="969" applyFont="1" applyAlignment="1">
      <alignment horizontal="left"/>
    </xf>
    <xf numFmtId="49" fontId="94" fillId="0" borderId="17" xfId="1389" applyNumberFormat="1" applyFont="1" applyBorder="1" applyAlignment="1">
      <alignment horizontal="center" vertical="top" wrapText="1"/>
    </xf>
    <xf numFmtId="49" fontId="94" fillId="0" borderId="17" xfId="969" applyNumberFormat="1" applyFont="1" applyBorder="1" applyAlignment="1">
      <alignment horizontal="center" vertical="top" wrapText="1"/>
    </xf>
    <xf numFmtId="0" fontId="99" fillId="0" borderId="15" xfId="0" applyFont="1" applyBorder="1" applyAlignment="1">
      <alignment horizontal="center" vertical="top" wrapText="1"/>
    </xf>
    <xf numFmtId="0" fontId="99" fillId="0" borderId="17" xfId="0" applyFont="1" applyBorder="1" applyAlignment="1">
      <alignment horizontal="center" vertical="top" wrapText="1"/>
    </xf>
    <xf numFmtId="0" fontId="185" fillId="0" borderId="15" xfId="0" applyFont="1" applyBorder="1" applyAlignment="1">
      <alignment horizontal="center" vertical="top" wrapText="1"/>
    </xf>
    <xf numFmtId="0" fontId="152" fillId="0" borderId="17" xfId="1384" applyFont="1" applyBorder="1" applyAlignment="1">
      <alignment horizontal="justify" vertical="top" wrapText="1"/>
    </xf>
    <xf numFmtId="0" fontId="94" fillId="45" borderId="17" xfId="1384" applyFont="1" applyFill="1" applyBorder="1" applyAlignment="1">
      <alignment horizontal="justify" vertical="top" wrapText="1"/>
    </xf>
    <xf numFmtId="0" fontId="94" fillId="0" borderId="17" xfId="96" applyFont="1" applyBorder="1" applyAlignment="1">
      <alignment horizontal="justify" vertical="top" wrapText="1"/>
    </xf>
    <xf numFmtId="2" fontId="94" fillId="0" borderId="0" xfId="969" applyNumberFormat="1" applyFont="1" applyAlignment="1">
      <alignment horizontal="center" vertical="center"/>
    </xf>
    <xf numFmtId="0" fontId="122" fillId="0" borderId="0" xfId="969" applyFont="1" applyAlignment="1">
      <alignment vertical="center" wrapText="1"/>
    </xf>
    <xf numFmtId="0" fontId="121" fillId="0" borderId="0" xfId="969" applyFont="1" applyAlignment="1">
      <alignment vertical="center" wrapText="1"/>
    </xf>
    <xf numFmtId="1" fontId="95" fillId="0" borderId="15" xfId="0" applyNumberFormat="1" applyFont="1" applyBorder="1" applyAlignment="1">
      <alignment horizontal="center" vertical="center" wrapText="1"/>
    </xf>
    <xf numFmtId="0" fontId="95" fillId="0" borderId="15" xfId="0" applyFont="1" applyBorder="1" applyAlignment="1">
      <alignment horizontal="center" vertical="center" wrapText="1"/>
    </xf>
    <xf numFmtId="0" fontId="94" fillId="0" borderId="15" xfId="94" applyFont="1" applyBorder="1" applyAlignment="1">
      <alignment horizontal="justify" vertical="top" wrapText="1"/>
    </xf>
    <xf numFmtId="0" fontId="95" fillId="0" borderId="0" xfId="0" applyFont="1" applyAlignment="1">
      <alignment horizontal="center" vertical="top" wrapText="1"/>
    </xf>
    <xf numFmtId="0" fontId="94" fillId="46" borderId="15" xfId="94" applyFont="1" applyFill="1" applyBorder="1" applyAlignment="1">
      <alignment horizontal="center" vertical="top"/>
    </xf>
    <xf numFmtId="2" fontId="94" fillId="46" borderId="15" xfId="95" applyNumberFormat="1" applyFont="1" applyFill="1" applyBorder="1" applyAlignment="1">
      <alignment horizontal="right" vertical="center"/>
    </xf>
    <xf numFmtId="0" fontId="95" fillId="0" borderId="22" xfId="0" applyFont="1" applyBorder="1" applyAlignment="1">
      <alignment horizontal="right" vertical="top" wrapText="1"/>
    </xf>
    <xf numFmtId="0" fontId="94" fillId="0" borderId="17" xfId="0" applyFont="1" applyBorder="1" applyAlignment="1">
      <alignment horizontal="center" vertical="top" wrapText="1"/>
    </xf>
    <xf numFmtId="0" fontId="94" fillId="0" borderId="18" xfId="0" applyFont="1" applyBorder="1" applyAlignment="1">
      <alignment horizontal="center" vertical="top" wrapText="1"/>
    </xf>
    <xf numFmtId="0" fontId="94" fillId="0" borderId="19" xfId="0" applyFont="1" applyBorder="1" applyAlignment="1">
      <alignment horizontal="center" vertical="top" wrapText="1"/>
    </xf>
    <xf numFmtId="0" fontId="94" fillId="0" borderId="18" xfId="0" applyFont="1" applyBorder="1" applyAlignment="1">
      <alignment horizontal="justify" vertical="top" wrapText="1"/>
    </xf>
    <xf numFmtId="0" fontId="116" fillId="0" borderId="17" xfId="1393" applyFont="1" applyBorder="1" applyAlignment="1">
      <alignment vertical="top"/>
    </xf>
    <xf numFmtId="0" fontId="94" fillId="0" borderId="19" xfId="0" applyFont="1" applyBorder="1" applyAlignment="1">
      <alignment horizontal="center"/>
    </xf>
    <xf numFmtId="0" fontId="94" fillId="49" borderId="15" xfId="0" applyFont="1" applyFill="1" applyBorder="1" applyAlignment="1">
      <alignment horizontal="center" vertical="top"/>
    </xf>
    <xf numFmtId="0" fontId="94" fillId="49" borderId="17" xfId="0" applyFont="1" applyFill="1" applyBorder="1" applyAlignment="1">
      <alignment horizontal="right" vertical="top"/>
    </xf>
    <xf numFmtId="0" fontId="94" fillId="49" borderId="19" xfId="0" applyFont="1" applyFill="1" applyBorder="1" applyAlignment="1">
      <alignment horizontal="right" vertical="top"/>
    </xf>
    <xf numFmtId="0" fontId="94" fillId="49" borderId="15" xfId="0" applyFont="1" applyFill="1" applyBorder="1" applyAlignment="1">
      <alignment horizontal="right" vertical="top"/>
    </xf>
    <xf numFmtId="0" fontId="95" fillId="49" borderId="0" xfId="0" applyFont="1" applyFill="1" applyAlignment="1">
      <alignment vertical="top" wrapText="1"/>
    </xf>
    <xf numFmtId="0" fontId="94" fillId="49" borderId="0" xfId="0" applyFont="1" applyFill="1" applyAlignment="1">
      <alignment vertical="top"/>
    </xf>
    <xf numFmtId="0" fontId="94" fillId="49" borderId="15" xfId="0" applyFont="1" applyFill="1" applyBorder="1" applyAlignment="1">
      <alignment vertical="top"/>
    </xf>
    <xf numFmtId="0" fontId="98" fillId="49" borderId="17" xfId="0" applyFont="1" applyFill="1" applyBorder="1" applyAlignment="1">
      <alignment vertical="top"/>
    </xf>
    <xf numFmtId="0" fontId="98" fillId="49" borderId="18" xfId="0" applyFont="1" applyFill="1" applyBorder="1" applyAlignment="1">
      <alignment vertical="top"/>
    </xf>
    <xf numFmtId="0" fontId="98" fillId="49" borderId="19" xfId="0" applyFont="1" applyFill="1" applyBorder="1" applyAlignment="1">
      <alignment horizontal="left" vertical="top"/>
    </xf>
    <xf numFmtId="165" fontId="98" fillId="49" borderId="15" xfId="0" applyNumberFormat="1" applyFont="1" applyFill="1" applyBorder="1" applyAlignment="1">
      <alignment horizontal="center" vertical="top"/>
    </xf>
    <xf numFmtId="2" fontId="98" fillId="49" borderId="15" xfId="0" applyNumberFormat="1" applyFont="1" applyFill="1" applyBorder="1" applyAlignment="1">
      <alignment horizontal="center" vertical="top"/>
    </xf>
    <xf numFmtId="2" fontId="98" fillId="49" borderId="17" xfId="0" applyNumberFormat="1" applyFont="1" applyFill="1" applyBorder="1" applyAlignment="1">
      <alignment horizontal="right" vertical="top"/>
    </xf>
    <xf numFmtId="2" fontId="99" fillId="49" borderId="19" xfId="0" applyNumberFormat="1" applyFont="1" applyFill="1" applyBorder="1" applyAlignment="1">
      <alignment vertical="top"/>
    </xf>
    <xf numFmtId="0" fontId="100" fillId="49" borderId="0" xfId="0" applyFont="1" applyFill="1" applyAlignment="1">
      <alignment vertical="top"/>
    </xf>
    <xf numFmtId="0" fontId="94" fillId="49" borderId="15" xfId="1273" applyFont="1" applyFill="1" applyBorder="1" applyAlignment="1">
      <alignment vertical="top" wrapText="1"/>
    </xf>
    <xf numFmtId="1" fontId="94" fillId="49" borderId="17" xfId="1273" applyNumberFormat="1" applyFont="1" applyFill="1" applyBorder="1" applyAlignment="1">
      <alignment horizontal="right" vertical="top" wrapText="1"/>
    </xf>
    <xf numFmtId="1" fontId="94" fillId="49" borderId="18" xfId="1273" applyNumberFormat="1" applyFont="1" applyFill="1" applyBorder="1" applyAlignment="1">
      <alignment horizontal="center" vertical="top" wrapText="1"/>
    </xf>
    <xf numFmtId="1" fontId="94" fillId="49" borderId="19" xfId="1273" applyNumberFormat="1" applyFont="1" applyFill="1" applyBorder="1" applyAlignment="1">
      <alignment horizontal="left" vertical="top" wrapText="1"/>
    </xf>
    <xf numFmtId="165" fontId="94" fillId="49" borderId="15" xfId="1273" applyNumberFormat="1" applyFont="1" applyFill="1" applyBorder="1" applyAlignment="1">
      <alignment horizontal="center" vertical="top" wrapText="1"/>
    </xf>
    <xf numFmtId="2" fontId="94" fillId="49" borderId="17" xfId="0" applyNumberFormat="1" applyFont="1" applyFill="1" applyBorder="1" applyAlignment="1">
      <alignment horizontal="right" vertical="top"/>
    </xf>
    <xf numFmtId="0" fontId="94" fillId="49" borderId="15" xfId="1415" applyFont="1" applyFill="1" applyBorder="1" applyAlignment="1">
      <alignment vertical="top" wrapText="1"/>
    </xf>
    <xf numFmtId="1" fontId="94" fillId="49" borderId="17" xfId="1415" applyNumberFormat="1" applyFont="1" applyFill="1" applyBorder="1" applyAlignment="1">
      <alignment horizontal="right" vertical="top" wrapText="1"/>
    </xf>
    <xf numFmtId="1" fontId="94" fillId="49" borderId="18" xfId="1415" applyNumberFormat="1" applyFont="1" applyFill="1" applyBorder="1" applyAlignment="1">
      <alignment horizontal="center" vertical="top" wrapText="1"/>
    </xf>
    <xf numFmtId="1" fontId="94" fillId="49" borderId="19" xfId="1415" applyNumberFormat="1" applyFont="1" applyFill="1" applyBorder="1" applyAlignment="1">
      <alignment horizontal="left" vertical="top" wrapText="1"/>
    </xf>
    <xf numFmtId="165" fontId="94" fillId="49" borderId="15" xfId="1415" applyNumberFormat="1" applyFont="1" applyFill="1" applyBorder="1" applyAlignment="1">
      <alignment horizontal="center" vertical="top" wrapText="1"/>
    </xf>
    <xf numFmtId="0" fontId="94" fillId="49" borderId="17" xfId="0" applyFont="1" applyFill="1" applyBorder="1" applyAlignment="1">
      <alignment vertical="top"/>
    </xf>
    <xf numFmtId="0" fontId="94" fillId="49" borderId="18" xfId="0" applyFont="1" applyFill="1" applyBorder="1" applyAlignment="1">
      <alignment vertical="top"/>
    </xf>
    <xf numFmtId="0" fontId="94" fillId="49" borderId="19" xfId="0" applyFont="1" applyFill="1" applyBorder="1" applyAlignment="1">
      <alignment horizontal="left" vertical="top"/>
    </xf>
    <xf numFmtId="165" fontId="94" fillId="49" borderId="15" xfId="0" applyNumberFormat="1" applyFont="1" applyFill="1" applyBorder="1" applyAlignment="1">
      <alignment horizontal="center" vertical="top"/>
    </xf>
    <xf numFmtId="165" fontId="94" fillId="49" borderId="15" xfId="0" applyNumberFormat="1" applyFont="1" applyFill="1" applyBorder="1" applyAlignment="1">
      <alignment vertical="top"/>
    </xf>
    <xf numFmtId="2" fontId="94" fillId="49" borderId="15" xfId="0" applyNumberFormat="1" applyFont="1" applyFill="1" applyBorder="1" applyAlignment="1">
      <alignment horizontal="center" vertical="top"/>
    </xf>
    <xf numFmtId="1" fontId="94" fillId="49" borderId="15" xfId="0" applyNumberFormat="1" applyFont="1" applyFill="1" applyBorder="1" applyAlignment="1">
      <alignment horizontal="center" vertical="top"/>
    </xf>
    <xf numFmtId="2" fontId="94" fillId="49" borderId="15" xfId="0" applyNumberFormat="1" applyFont="1" applyFill="1" applyBorder="1" applyAlignment="1">
      <alignment horizontal="right" vertical="top"/>
    </xf>
    <xf numFmtId="0" fontId="94" fillId="49" borderId="15" xfId="0" applyFont="1" applyFill="1" applyBorder="1" applyAlignment="1">
      <alignment horizontal="justify" vertical="top" wrapText="1"/>
    </xf>
    <xf numFmtId="2" fontId="94" fillId="49" borderId="15" xfId="1415" applyNumberFormat="1" applyFont="1" applyFill="1" applyBorder="1" applyAlignment="1">
      <alignment horizontal="center" vertical="top" wrapText="1"/>
    </xf>
    <xf numFmtId="2" fontId="99" fillId="49" borderId="18" xfId="0" applyNumberFormat="1" applyFont="1" applyFill="1" applyBorder="1" applyAlignment="1">
      <alignment vertical="top"/>
    </xf>
    <xf numFmtId="2" fontId="94" fillId="49" borderId="15" xfId="1273" applyNumberFormat="1" applyFont="1" applyFill="1" applyBorder="1" applyAlignment="1">
      <alignment horizontal="center" vertical="top" wrapText="1"/>
    </xf>
    <xf numFmtId="1" fontId="94" fillId="49" borderId="17" xfId="0" applyNumberFormat="1" applyFont="1" applyFill="1" applyBorder="1" applyAlignment="1">
      <alignment horizontal="right" vertical="top"/>
    </xf>
    <xf numFmtId="0" fontId="94" fillId="49" borderId="18" xfId="0" applyFont="1" applyFill="1" applyBorder="1" applyAlignment="1">
      <alignment horizontal="justify" vertical="top" wrapText="1"/>
    </xf>
    <xf numFmtId="1" fontId="98" fillId="49" borderId="17" xfId="0" applyNumberFormat="1" applyFont="1" applyFill="1" applyBorder="1" applyAlignment="1">
      <alignment horizontal="right" vertical="top"/>
    </xf>
    <xf numFmtId="1" fontId="94" fillId="49" borderId="15" xfId="1273" applyNumberFormat="1" applyFont="1" applyFill="1" applyBorder="1" applyAlignment="1">
      <alignment horizontal="center" vertical="top" wrapText="1"/>
    </xf>
    <xf numFmtId="0" fontId="98" fillId="49" borderId="15" xfId="0" applyFont="1" applyFill="1" applyBorder="1" applyAlignment="1">
      <alignment vertical="top" wrapText="1"/>
    </xf>
    <xf numFmtId="0" fontId="101" fillId="0" borderId="0" xfId="1384" applyFont="1" applyAlignment="1">
      <alignment horizontal="center" vertical="top" wrapText="1"/>
    </xf>
    <xf numFmtId="0" fontId="105" fillId="0" borderId="8" xfId="1384" applyFont="1" applyBorder="1" applyAlignment="1">
      <alignment horizontal="center" vertical="top" wrapText="1"/>
    </xf>
    <xf numFmtId="168" fontId="105" fillId="0" borderId="8" xfId="1384" applyNumberFormat="1" applyFont="1" applyBorder="1" applyAlignment="1">
      <alignment horizontal="center" vertical="top" wrapText="1"/>
    </xf>
    <xf numFmtId="170" fontId="105" fillId="0" borderId="8" xfId="1384" applyNumberFormat="1" applyFont="1" applyBorder="1" applyAlignment="1">
      <alignment horizontal="center" vertical="top" wrapText="1"/>
    </xf>
    <xf numFmtId="165" fontId="94" fillId="49" borderId="17" xfId="0" applyNumberFormat="1" applyFont="1" applyFill="1" applyBorder="1" applyAlignment="1">
      <alignment horizontal="right" vertical="top"/>
    </xf>
    <xf numFmtId="0" fontId="94" fillId="49" borderId="17" xfId="0" applyFont="1" applyFill="1" applyBorder="1" applyAlignment="1">
      <alignment vertical="top" wrapText="1"/>
    </xf>
    <xf numFmtId="0" fontId="94" fillId="49" borderId="19" xfId="0" applyFont="1" applyFill="1" applyBorder="1" applyAlignment="1">
      <alignment horizontal="left" vertical="top" wrapText="1"/>
    </xf>
    <xf numFmtId="165" fontId="94" fillId="49" borderId="15" xfId="0" applyNumberFormat="1" applyFont="1" applyFill="1" applyBorder="1" applyAlignment="1">
      <alignment horizontal="justify" vertical="top" wrapText="1"/>
    </xf>
    <xf numFmtId="2" fontId="94" fillId="49" borderId="19" xfId="0" applyNumberFormat="1" applyFont="1" applyFill="1" applyBorder="1" applyAlignment="1">
      <alignment horizontal="right" vertical="top"/>
    </xf>
    <xf numFmtId="2" fontId="101" fillId="49" borderId="15" xfId="0" applyNumberFormat="1" applyFont="1" applyFill="1" applyBorder="1" applyAlignment="1">
      <alignment horizontal="right" vertical="top"/>
    </xf>
    <xf numFmtId="2" fontId="94" fillId="49" borderId="0" xfId="0" applyNumberFormat="1" applyFont="1" applyFill="1" applyAlignment="1">
      <alignment vertical="top"/>
    </xf>
    <xf numFmtId="2" fontId="100" fillId="49" borderId="0" xfId="0" applyNumberFormat="1" applyFont="1" applyFill="1" applyAlignment="1">
      <alignment vertical="top"/>
    </xf>
    <xf numFmtId="2" fontId="94" fillId="49" borderId="15" xfId="0" applyNumberFormat="1" applyFont="1" applyFill="1" applyBorder="1" applyAlignment="1">
      <alignment vertical="top"/>
    </xf>
    <xf numFmtId="0" fontId="101" fillId="49" borderId="15" xfId="0" applyFont="1" applyFill="1" applyBorder="1" applyAlignment="1">
      <alignment horizontal="justify" vertical="top" wrapText="1"/>
    </xf>
    <xf numFmtId="0" fontId="101" fillId="49" borderId="15" xfId="0" applyFont="1" applyFill="1" applyBorder="1" applyAlignment="1">
      <alignment horizontal="center" vertical="top" wrapText="1"/>
    </xf>
    <xf numFmtId="0" fontId="94" fillId="49" borderId="15" xfId="0" applyFont="1" applyFill="1" applyBorder="1" applyAlignment="1">
      <alignment horizontal="center" vertical="top" wrapText="1"/>
    </xf>
    <xf numFmtId="0" fontId="94" fillId="49" borderId="0" xfId="0" applyFont="1" applyFill="1" applyAlignment="1">
      <alignment horizontal="center" vertical="top"/>
    </xf>
    <xf numFmtId="0" fontId="101" fillId="49" borderId="15" xfId="0" applyFont="1" applyFill="1" applyBorder="1" applyAlignment="1">
      <alignment horizontal="right" vertical="top" wrapText="1"/>
    </xf>
    <xf numFmtId="2" fontId="101" fillId="49" borderId="15" xfId="0" applyNumberFormat="1" applyFont="1" applyFill="1" applyBorder="1" applyAlignment="1">
      <alignment vertical="top"/>
    </xf>
    <xf numFmtId="2" fontId="94" fillId="49" borderId="15" xfId="0" applyNumberFormat="1" applyFont="1" applyFill="1" applyBorder="1" applyAlignment="1">
      <alignment horizontal="right" vertical="top" wrapText="1"/>
    </xf>
    <xf numFmtId="2" fontId="94" fillId="49" borderId="15" xfId="0" applyNumberFormat="1" applyFont="1" applyFill="1" applyBorder="1" applyAlignment="1">
      <alignment horizontal="center" vertical="top" wrapText="1"/>
    </xf>
    <xf numFmtId="2" fontId="101" fillId="49" borderId="15" xfId="0" applyNumberFormat="1" applyFont="1" applyFill="1" applyBorder="1" applyAlignment="1">
      <alignment horizontal="right" vertical="top" wrapText="1"/>
    </xf>
    <xf numFmtId="0" fontId="94" fillId="49" borderId="15" xfId="0" applyFont="1" applyFill="1" applyBorder="1" applyAlignment="1">
      <alignment horizontal="justify" vertical="justify" wrapText="1"/>
    </xf>
    <xf numFmtId="0" fontId="101" fillId="49" borderId="15" xfId="0" applyFont="1" applyFill="1" applyBorder="1" applyAlignment="1">
      <alignment horizontal="justify" vertical="justify" wrapText="1"/>
    </xf>
    <xf numFmtId="0" fontId="94" fillId="49" borderId="0" xfId="0" applyFont="1" applyFill="1" applyAlignment="1">
      <alignment horizontal="right" vertical="top"/>
    </xf>
    <xf numFmtId="0" fontId="100" fillId="49" borderId="0" xfId="1384" applyFont="1" applyFill="1" applyAlignment="1">
      <alignment vertical="top"/>
    </xf>
    <xf numFmtId="0" fontId="112" fillId="49" borderId="8" xfId="1384" applyFont="1" applyFill="1" applyBorder="1" applyAlignment="1">
      <alignment horizontal="center" vertical="top"/>
    </xf>
    <xf numFmtId="0" fontId="112" fillId="49" borderId="8" xfId="1384" applyFont="1" applyFill="1" applyBorder="1" applyAlignment="1">
      <alignment horizontal="center" vertical="top" wrapText="1"/>
    </xf>
    <xf numFmtId="2" fontId="112" fillId="49" borderId="28" xfId="1384" applyNumberFormat="1" applyFont="1" applyFill="1" applyBorder="1" applyAlignment="1">
      <alignment horizontal="right" vertical="top" wrapText="1"/>
    </xf>
    <xf numFmtId="0" fontId="112" fillId="49" borderId="29" xfId="1384" applyFont="1" applyFill="1" applyBorder="1" applyAlignment="1">
      <alignment horizontal="justify" vertical="top" wrapText="1"/>
    </xf>
    <xf numFmtId="1" fontId="112" fillId="49" borderId="28" xfId="1384" applyNumberFormat="1" applyFont="1" applyFill="1" applyBorder="1" applyAlignment="1">
      <alignment vertical="top" wrapText="1"/>
    </xf>
    <xf numFmtId="0" fontId="112" fillId="49" borderId="29" xfId="1384" applyFont="1" applyFill="1" applyBorder="1" applyAlignment="1">
      <alignment horizontal="left" vertical="top" wrapText="1"/>
    </xf>
    <xf numFmtId="2" fontId="112" fillId="49" borderId="8" xfId="1384" applyNumberFormat="1" applyFont="1" applyFill="1" applyBorder="1" applyAlignment="1">
      <alignment horizontal="center" vertical="top"/>
    </xf>
    <xf numFmtId="2" fontId="112" fillId="49" borderId="8" xfId="1384" applyNumberFormat="1" applyFont="1" applyFill="1" applyBorder="1" applyAlignment="1">
      <alignment vertical="top"/>
    </xf>
    <xf numFmtId="0" fontId="94" fillId="49" borderId="0" xfId="1384" applyFont="1" applyFill="1"/>
    <xf numFmtId="0" fontId="112" fillId="49" borderId="8" xfId="1384" applyFont="1" applyFill="1" applyBorder="1" applyAlignment="1">
      <alignment horizontal="justify" vertical="top" wrapText="1"/>
    </xf>
    <xf numFmtId="0" fontId="112" fillId="49" borderId="28" xfId="1384" applyFont="1" applyFill="1" applyBorder="1" applyAlignment="1">
      <alignment vertical="top" wrapText="1"/>
    </xf>
    <xf numFmtId="0" fontId="112" fillId="49" borderId="29" xfId="1384" applyFont="1" applyFill="1" applyBorder="1" applyAlignment="1">
      <alignment vertical="top" wrapText="1"/>
    </xf>
    <xf numFmtId="0" fontId="112" fillId="49" borderId="8" xfId="1384" applyFont="1" applyFill="1" applyBorder="1" applyAlignment="1">
      <alignment vertical="top" wrapText="1"/>
    </xf>
    <xf numFmtId="0" fontId="112" fillId="49" borderId="28" xfId="1384" applyFont="1" applyFill="1" applyBorder="1" applyAlignment="1">
      <alignment horizontal="justify" vertical="top" wrapText="1"/>
    </xf>
    <xf numFmtId="0" fontId="113" fillId="49" borderId="8" xfId="1384" applyFont="1" applyFill="1" applyBorder="1" applyAlignment="1">
      <alignment horizontal="justify" vertical="top" wrapText="1"/>
    </xf>
    <xf numFmtId="2" fontId="112" fillId="49" borderId="28" xfId="1384" applyNumberFormat="1" applyFont="1" applyFill="1" applyBorder="1" applyAlignment="1">
      <alignment horizontal="center" vertical="top" wrapText="1"/>
    </xf>
    <xf numFmtId="2" fontId="112" fillId="49" borderId="29" xfId="1384" applyNumberFormat="1" applyFont="1" applyFill="1" applyBorder="1" applyAlignment="1">
      <alignment horizontal="center" vertical="top" wrapText="1"/>
    </xf>
    <xf numFmtId="1" fontId="113" fillId="49" borderId="28" xfId="1384" applyNumberFormat="1" applyFont="1" applyFill="1" applyBorder="1" applyAlignment="1">
      <alignment horizontal="center" vertical="top" wrapText="1"/>
    </xf>
    <xf numFmtId="1" fontId="113" fillId="49" borderId="29" xfId="1384" applyNumberFormat="1" applyFont="1" applyFill="1" applyBorder="1" applyAlignment="1">
      <alignment horizontal="center" vertical="top" wrapText="1"/>
    </xf>
    <xf numFmtId="2" fontId="112" fillId="49" borderId="8" xfId="1384" applyNumberFormat="1" applyFont="1" applyFill="1" applyBorder="1" applyAlignment="1">
      <alignment horizontal="right" vertical="top"/>
    </xf>
    <xf numFmtId="2" fontId="112" fillId="49" borderId="8" xfId="1384" applyNumberFormat="1" applyFont="1" applyFill="1" applyBorder="1" applyAlignment="1">
      <alignment horizontal="left" vertical="top"/>
    </xf>
    <xf numFmtId="4" fontId="112" fillId="49" borderId="29" xfId="1384" applyNumberFormat="1" applyFont="1" applyFill="1" applyBorder="1" applyAlignment="1">
      <alignment horizontal="left" vertical="top" wrapText="1"/>
    </xf>
    <xf numFmtId="0" fontId="112" fillId="49" borderId="8" xfId="1384" applyFont="1" applyFill="1" applyBorder="1" applyAlignment="1">
      <alignment horizontal="left" vertical="top" wrapText="1"/>
    </xf>
    <xf numFmtId="1" fontId="113" fillId="49" borderId="28" xfId="1384" applyNumberFormat="1" applyFont="1" applyFill="1" applyBorder="1" applyAlignment="1">
      <alignment vertical="top" wrapText="1"/>
    </xf>
    <xf numFmtId="2" fontId="113" fillId="49" borderId="8" xfId="1384" applyNumberFormat="1" applyFont="1" applyFill="1" applyBorder="1" applyAlignment="1">
      <alignment horizontal="right" vertical="top"/>
    </xf>
    <xf numFmtId="0" fontId="94" fillId="49" borderId="8" xfId="1384" applyFont="1" applyFill="1" applyBorder="1"/>
    <xf numFmtId="0" fontId="94" fillId="49" borderId="8" xfId="1384" applyFont="1" applyFill="1" applyBorder="1" applyAlignment="1">
      <alignment horizontal="center" vertical="top"/>
    </xf>
    <xf numFmtId="0" fontId="112" fillId="49" borderId="28" xfId="1384" applyFont="1" applyFill="1" applyBorder="1" applyAlignment="1">
      <alignment vertical="top"/>
    </xf>
    <xf numFmtId="0" fontId="112" fillId="49" borderId="8" xfId="1384" applyFont="1" applyFill="1" applyBorder="1" applyAlignment="1">
      <alignment vertical="top"/>
    </xf>
    <xf numFmtId="0" fontId="104" fillId="0" borderId="15" xfId="0" applyFont="1" applyBorder="1" applyAlignment="1">
      <alignment horizontal="justify" vertical="justify" wrapText="1"/>
    </xf>
    <xf numFmtId="0" fontId="104" fillId="49" borderId="15" xfId="0" applyFont="1" applyFill="1" applyBorder="1" applyAlignment="1">
      <alignment horizontal="justify" vertical="justify" wrapText="1"/>
    </xf>
    <xf numFmtId="2" fontId="101" fillId="49" borderId="15" xfId="0" applyNumberFormat="1" applyFont="1" applyFill="1" applyBorder="1" applyAlignment="1">
      <alignment horizontal="center" vertical="top"/>
    </xf>
    <xf numFmtId="0" fontId="97" fillId="49" borderId="15" xfId="1384" applyFont="1" applyFill="1" applyBorder="1" applyAlignment="1">
      <alignment horizontal="center" vertical="top" wrapText="1"/>
    </xf>
    <xf numFmtId="0" fontId="97" fillId="49" borderId="15" xfId="1384" applyFont="1" applyFill="1" applyBorder="1" applyAlignment="1">
      <alignment horizontal="justify" vertical="top" wrapText="1"/>
    </xf>
    <xf numFmtId="0" fontId="97" fillId="49" borderId="15" xfId="1384" applyFont="1" applyFill="1" applyBorder="1" applyAlignment="1">
      <alignment horizontal="right" vertical="top"/>
    </xf>
    <xf numFmtId="0" fontId="97" fillId="49" borderId="15" xfId="1384" applyFont="1" applyFill="1" applyBorder="1" applyAlignment="1">
      <alignment vertical="top"/>
    </xf>
    <xf numFmtId="2" fontId="97" fillId="49" borderId="15" xfId="1384" applyNumberFormat="1" applyFont="1" applyFill="1" applyBorder="1" applyAlignment="1">
      <alignment vertical="top"/>
    </xf>
    <xf numFmtId="2" fontId="97" fillId="49" borderId="15" xfId="1384" applyNumberFormat="1" applyFont="1" applyFill="1" applyBorder="1" applyAlignment="1">
      <alignment horizontal="center" vertical="top"/>
    </xf>
    <xf numFmtId="168" fontId="97" fillId="49" borderId="15" xfId="1384" applyNumberFormat="1" applyFont="1" applyFill="1" applyBorder="1" applyAlignment="1">
      <alignment horizontal="right" vertical="top" wrapText="1"/>
    </xf>
    <xf numFmtId="0" fontId="107" fillId="49" borderId="15" xfId="1384" applyFont="1" applyFill="1" applyBorder="1" applyAlignment="1">
      <alignment horizontal="center" vertical="top" wrapText="1"/>
    </xf>
    <xf numFmtId="0" fontId="97" fillId="49" borderId="15" xfId="1384" applyFont="1" applyFill="1" applyBorder="1"/>
    <xf numFmtId="0" fontId="97" fillId="49" borderId="15" xfId="1384" applyFont="1" applyFill="1" applyBorder="1" applyAlignment="1">
      <alignment horizontal="center"/>
    </xf>
    <xf numFmtId="2" fontId="97" fillId="49" borderId="15" xfId="1384" applyNumberFormat="1" applyFont="1" applyFill="1" applyBorder="1" applyAlignment="1">
      <alignment horizontal="center"/>
    </xf>
    <xf numFmtId="2" fontId="97" fillId="49" borderId="15" xfId="1384" applyNumberFormat="1" applyFont="1" applyFill="1" applyBorder="1" applyAlignment="1">
      <alignment horizontal="right" wrapText="1"/>
    </xf>
    <xf numFmtId="2" fontId="97" fillId="49" borderId="15" xfId="1384" applyNumberFormat="1" applyFont="1" applyFill="1" applyBorder="1" applyAlignment="1">
      <alignment horizontal="center" vertical="top" wrapText="1"/>
    </xf>
    <xf numFmtId="0" fontId="97" fillId="49" borderId="15" xfId="1384" applyFont="1" applyFill="1" applyBorder="1" applyAlignment="1">
      <alignment horizontal="justify" vertical="top"/>
    </xf>
    <xf numFmtId="0" fontId="97" fillId="49" borderId="15" xfId="1384" applyFont="1" applyFill="1" applyBorder="1" applyAlignment="1">
      <alignment horizontal="center" vertical="top"/>
    </xf>
    <xf numFmtId="2" fontId="107" fillId="49" borderId="15" xfId="1384" applyNumberFormat="1" applyFont="1" applyFill="1" applyBorder="1" applyAlignment="1">
      <alignment horizontal="right" vertical="top"/>
    </xf>
    <xf numFmtId="0" fontId="94" fillId="49" borderId="0" xfId="1384" applyFont="1" applyFill="1" applyAlignment="1">
      <alignment vertical="center"/>
    </xf>
    <xf numFmtId="0" fontId="97" fillId="49" borderId="15" xfId="1384" applyFont="1" applyFill="1" applyBorder="1" applyAlignment="1">
      <alignment vertical="top" wrapText="1"/>
    </xf>
    <xf numFmtId="166" fontId="97" fillId="49" borderId="15" xfId="1384" applyNumberFormat="1" applyFont="1" applyFill="1" applyBorder="1" applyAlignment="1">
      <alignment horizontal="center" vertical="top"/>
    </xf>
    <xf numFmtId="2" fontId="97" fillId="49" borderId="15" xfId="1384" applyNumberFormat="1" applyFont="1" applyFill="1" applyBorder="1" applyAlignment="1">
      <alignment horizontal="right" vertical="top"/>
    </xf>
    <xf numFmtId="0" fontId="97" fillId="49" borderId="16" xfId="1384" applyFont="1" applyFill="1" applyBorder="1" applyAlignment="1">
      <alignment horizontal="center" vertical="top" wrapText="1"/>
    </xf>
    <xf numFmtId="0" fontId="107" fillId="49" borderId="16" xfId="1384" applyFont="1" applyFill="1" applyBorder="1" applyAlignment="1">
      <alignment horizontal="center" vertical="top" wrapText="1"/>
    </xf>
    <xf numFmtId="0" fontId="97" fillId="49" borderId="16" xfId="1384" applyFont="1" applyFill="1" applyBorder="1" applyAlignment="1">
      <alignment vertical="top" wrapText="1"/>
    </xf>
    <xf numFmtId="168" fontId="97" fillId="49" borderId="16" xfId="1384" applyNumberFormat="1" applyFont="1" applyFill="1" applyBorder="1" applyAlignment="1">
      <alignment horizontal="right" vertical="top" wrapText="1"/>
    </xf>
    <xf numFmtId="0" fontId="94" fillId="49" borderId="0" xfId="1384" applyFont="1" applyFill="1" applyAlignment="1">
      <alignment vertical="top"/>
    </xf>
    <xf numFmtId="2" fontId="97" fillId="49" borderId="15" xfId="1384" applyNumberFormat="1" applyFont="1" applyFill="1" applyBorder="1" applyAlignment="1">
      <alignment horizontal="center" vertical="top" shrinkToFit="1"/>
    </xf>
    <xf numFmtId="168" fontId="97" fillId="49" borderId="15" xfId="1384" applyNumberFormat="1" applyFont="1" applyFill="1" applyBorder="1" applyAlignment="1">
      <alignment horizontal="center" vertical="top" wrapText="1"/>
    </xf>
    <xf numFmtId="0" fontId="108" fillId="49" borderId="15" xfId="1274" applyFont="1" applyFill="1" applyBorder="1" applyAlignment="1">
      <alignment horizontal="center" vertical="top"/>
    </xf>
    <xf numFmtId="0" fontId="108" fillId="49" borderId="15" xfId="1384" applyFont="1" applyFill="1" applyBorder="1" applyAlignment="1">
      <alignment horizontal="left" vertical="top" wrapText="1"/>
    </xf>
    <xf numFmtId="0" fontId="108" fillId="49" borderId="15" xfId="1384" applyFont="1" applyFill="1" applyBorder="1" applyAlignment="1">
      <alignment horizontal="center" vertical="top" wrapText="1"/>
    </xf>
    <xf numFmtId="0" fontId="108" fillId="49" borderId="15" xfId="1384" applyFont="1" applyFill="1" applyBorder="1" applyAlignment="1">
      <alignment vertical="top"/>
    </xf>
    <xf numFmtId="0" fontId="108" fillId="49" borderId="15" xfId="1384" applyFont="1" applyFill="1" applyBorder="1" applyAlignment="1">
      <alignment horizontal="left" vertical="top"/>
    </xf>
    <xf numFmtId="0" fontId="109" fillId="49" borderId="0" xfId="1274" applyFont="1" applyFill="1" applyAlignment="1">
      <alignment horizontal="justify" vertical="top" wrapText="1"/>
    </xf>
    <xf numFmtId="0" fontId="108" fillId="49" borderId="15" xfId="1384" applyFont="1" applyFill="1" applyBorder="1" applyAlignment="1">
      <alignment horizontal="justify" vertical="top" wrapText="1"/>
    </xf>
    <xf numFmtId="0" fontId="108" fillId="49" borderId="15" xfId="1274" applyFont="1" applyFill="1" applyBorder="1" applyAlignment="1">
      <alignment horizontal="justify" vertical="top" wrapText="1"/>
    </xf>
    <xf numFmtId="0" fontId="97" fillId="49" borderId="26" xfId="0" applyFont="1" applyFill="1" applyBorder="1" applyAlignment="1">
      <alignment horizontal="justify" vertical="top" wrapText="1"/>
    </xf>
    <xf numFmtId="0" fontId="97" fillId="49" borderId="26" xfId="0" quotePrefix="1" applyFont="1" applyFill="1" applyBorder="1" applyAlignment="1">
      <alignment horizontal="justify" vertical="top" wrapText="1"/>
    </xf>
    <xf numFmtId="2" fontId="112" fillId="49" borderId="8" xfId="1384" applyNumberFormat="1" applyFont="1" applyFill="1" applyBorder="1" applyAlignment="1">
      <alignment horizontal="center" vertical="top" wrapText="1"/>
    </xf>
    <xf numFmtId="2" fontId="112" fillId="49" borderId="8" xfId="1384" applyNumberFormat="1" applyFont="1" applyFill="1" applyBorder="1" applyAlignment="1">
      <alignment horizontal="justify" vertical="top" wrapText="1"/>
    </xf>
    <xf numFmtId="1" fontId="112" fillId="49" borderId="28" xfId="1384" applyNumberFormat="1" applyFont="1" applyFill="1" applyBorder="1" applyAlignment="1">
      <alignment horizontal="right" vertical="top" wrapText="1"/>
    </xf>
    <xf numFmtId="2" fontId="112" fillId="49" borderId="8" xfId="1384" applyNumberFormat="1" applyFont="1" applyFill="1" applyBorder="1" applyAlignment="1">
      <alignment horizontal="justify" vertical="top"/>
    </xf>
    <xf numFmtId="165" fontId="112" fillId="49" borderId="28" xfId="1384" applyNumberFormat="1" applyFont="1" applyFill="1" applyBorder="1" applyAlignment="1">
      <alignment horizontal="right" vertical="top" wrapText="1"/>
    </xf>
    <xf numFmtId="2" fontId="113" fillId="49" borderId="28" xfId="1384" applyNumberFormat="1" applyFont="1" applyFill="1" applyBorder="1" applyAlignment="1">
      <alignment vertical="top" wrapText="1"/>
    </xf>
    <xf numFmtId="0" fontId="113" fillId="49" borderId="29" xfId="1384" applyFont="1" applyFill="1" applyBorder="1" applyAlignment="1">
      <alignment horizontal="left" vertical="top" wrapText="1"/>
    </xf>
    <xf numFmtId="2" fontId="113" fillId="49" borderId="8" xfId="1384" applyNumberFormat="1" applyFont="1" applyFill="1" applyBorder="1" applyAlignment="1">
      <alignment horizontal="center" vertical="top"/>
    </xf>
    <xf numFmtId="2" fontId="112" fillId="49" borderId="28" xfId="1384" applyNumberFormat="1" applyFont="1" applyFill="1" applyBorder="1" applyAlignment="1">
      <alignment horizontal="justify" vertical="top" wrapText="1"/>
    </xf>
    <xf numFmtId="0" fontId="112" fillId="49" borderId="8" xfId="1384" applyFont="1" applyFill="1" applyBorder="1" applyAlignment="1">
      <alignment horizontal="left" vertical="top"/>
    </xf>
    <xf numFmtId="10" fontId="112" fillId="49" borderId="8" xfId="1384" applyNumberFormat="1" applyFont="1" applyFill="1" applyBorder="1" applyAlignment="1">
      <alignment horizontal="center" vertical="top"/>
    </xf>
    <xf numFmtId="0" fontId="112" fillId="49" borderId="29" xfId="1384" applyFont="1" applyFill="1" applyBorder="1" applyAlignment="1">
      <alignment vertical="top"/>
    </xf>
    <xf numFmtId="0" fontId="94" fillId="49" borderId="28" xfId="1384" applyFont="1" applyFill="1" applyBorder="1"/>
    <xf numFmtId="0" fontId="94" fillId="49" borderId="29" xfId="1384" applyFont="1" applyFill="1" applyBorder="1"/>
    <xf numFmtId="0" fontId="112" fillId="49" borderId="28" xfId="1384" applyFont="1" applyFill="1" applyBorder="1" applyAlignment="1">
      <alignment horizontal="right" vertical="top" wrapText="1"/>
    </xf>
    <xf numFmtId="2" fontId="112" fillId="49" borderId="8" xfId="1384" applyNumberFormat="1" applyFont="1" applyFill="1" applyBorder="1" applyAlignment="1">
      <alignment horizontal="right" vertical="top" wrapText="1"/>
    </xf>
    <xf numFmtId="0" fontId="113" fillId="49" borderId="8" xfId="1384" applyFont="1" applyFill="1" applyBorder="1" applyAlignment="1">
      <alignment horizontal="center" vertical="top" wrapText="1"/>
    </xf>
    <xf numFmtId="2" fontId="113" fillId="49" borderId="28" xfId="1384" applyNumberFormat="1" applyFont="1" applyFill="1" applyBorder="1" applyAlignment="1">
      <alignment horizontal="right" vertical="top" wrapText="1"/>
    </xf>
    <xf numFmtId="0" fontId="113" fillId="49" borderId="29" xfId="1384" applyFont="1" applyFill="1" applyBorder="1" applyAlignment="1">
      <alignment horizontal="justify" vertical="top" wrapText="1"/>
    </xf>
    <xf numFmtId="2" fontId="113" fillId="49" borderId="8" xfId="1384" applyNumberFormat="1" applyFont="1" applyFill="1" applyBorder="1" applyAlignment="1">
      <alignment vertical="top"/>
    </xf>
    <xf numFmtId="2" fontId="112" fillId="49" borderId="28" xfId="1384" applyNumberFormat="1" applyFont="1" applyFill="1" applyBorder="1" applyAlignment="1">
      <alignment horizontal="left" vertical="top"/>
    </xf>
    <xf numFmtId="4" fontId="112" fillId="49" borderId="29" xfId="1384" applyNumberFormat="1" applyFont="1" applyFill="1" applyBorder="1" applyAlignment="1">
      <alignment horizontal="left" vertical="top"/>
    </xf>
    <xf numFmtId="9" fontId="112" fillId="49" borderId="28" xfId="1384" applyNumberFormat="1" applyFont="1" applyFill="1" applyBorder="1" applyAlignment="1">
      <alignment vertical="top"/>
    </xf>
    <xf numFmtId="2" fontId="141" fillId="0" borderId="17" xfId="0" applyNumberFormat="1" applyFont="1" applyBorder="1" applyAlignment="1">
      <alignment horizontal="right" vertical="top"/>
    </xf>
    <xf numFmtId="0" fontId="98" fillId="0" borderId="17" xfId="0" applyFont="1" applyBorder="1" applyAlignment="1">
      <alignment horizontal="right" vertical="top"/>
    </xf>
    <xf numFmtId="2" fontId="98" fillId="0" borderId="17" xfId="1384" applyNumberFormat="1" applyFont="1" applyBorder="1" applyAlignment="1">
      <alignment vertical="top"/>
    </xf>
    <xf numFmtId="2" fontId="99" fillId="0" borderId="19" xfId="1384" applyNumberFormat="1" applyFont="1" applyBorder="1" applyAlignment="1">
      <alignment horizontal="left" vertical="top"/>
    </xf>
    <xf numFmtId="0" fontId="42" fillId="0" borderId="0" xfId="1427" applyFont="1" applyAlignment="1">
      <alignment horizontal="left" vertical="top"/>
    </xf>
    <xf numFmtId="0" fontId="35" fillId="0" borderId="15" xfId="1427" applyFont="1" applyBorder="1" applyAlignment="1">
      <alignment horizontal="center" vertical="top" wrapText="1"/>
    </xf>
    <xf numFmtId="0" fontId="35" fillId="0" borderId="15" xfId="1427" applyFont="1" applyBorder="1" applyAlignment="1">
      <alignment horizontal="left" vertical="top" wrapText="1" indent="1"/>
    </xf>
    <xf numFmtId="0" fontId="35" fillId="0" borderId="15" xfId="1427" applyFont="1" applyBorder="1" applyAlignment="1">
      <alignment horizontal="left" vertical="top" wrapText="1"/>
    </xf>
    <xf numFmtId="0" fontId="35" fillId="0" borderId="15" xfId="1427" applyFont="1" applyBorder="1" applyAlignment="1">
      <alignment horizontal="left" vertical="top" wrapText="1" indent="2"/>
    </xf>
    <xf numFmtId="0" fontId="42" fillId="0" borderId="15" xfId="1427" applyFont="1" applyBorder="1" applyAlignment="1">
      <alignment horizontal="left" vertical="top"/>
    </xf>
    <xf numFmtId="2" fontId="42" fillId="0" borderId="15" xfId="1427" applyNumberFormat="1" applyFont="1" applyBorder="1" applyAlignment="1">
      <alignment horizontal="left" vertical="top"/>
    </xf>
    <xf numFmtId="0" fontId="42" fillId="0" borderId="15" xfId="1427" applyFont="1" applyBorder="1" applyAlignment="1">
      <alignment horizontal="center" vertical="top"/>
    </xf>
    <xf numFmtId="0" fontId="42" fillId="0" borderId="0" xfId="1427" applyFont="1" applyAlignment="1">
      <alignment horizontal="center" vertical="top"/>
    </xf>
    <xf numFmtId="2" fontId="42" fillId="0" borderId="15" xfId="1427" applyNumberFormat="1" applyFont="1" applyBorder="1" applyAlignment="1">
      <alignment horizontal="right" vertical="top"/>
    </xf>
    <xf numFmtId="2" fontId="34" fillId="0" borderId="15" xfId="1427" applyNumberFormat="1" applyFont="1" applyBorder="1" applyAlignment="1">
      <alignment horizontal="right" vertical="top"/>
    </xf>
    <xf numFmtId="0" fontId="42" fillId="0" borderId="15" xfId="1427" applyFont="1" applyBorder="1" applyAlignment="1">
      <alignment horizontal="left" vertical="top" wrapText="1"/>
    </xf>
    <xf numFmtId="0" fontId="34" fillId="0" borderId="0" xfId="1427" applyFont="1" applyAlignment="1">
      <alignment horizontal="left" vertical="top"/>
    </xf>
    <xf numFmtId="1" fontId="42" fillId="0" borderId="0" xfId="1427" applyNumberFormat="1" applyFont="1" applyAlignment="1">
      <alignment horizontal="center" vertical="top"/>
    </xf>
    <xf numFmtId="2" fontId="122" fillId="0" borderId="15" xfId="969" applyNumberFormat="1" applyFont="1" applyBorder="1" applyAlignment="1">
      <alignment horizontal="center" vertical="center" wrapText="1"/>
    </xf>
    <xf numFmtId="49" fontId="100" fillId="0" borderId="0" xfId="969" applyNumberFormat="1" applyFont="1" applyAlignment="1">
      <alignment horizontal="center" vertical="top" wrapText="1"/>
    </xf>
    <xf numFmtId="49" fontId="122" fillId="0" borderId="0" xfId="969" applyNumberFormat="1" applyFont="1" applyAlignment="1">
      <alignment horizontal="left" vertical="top" wrapText="1"/>
    </xf>
    <xf numFmtId="0" fontId="100" fillId="0" borderId="0" xfId="969" applyFont="1" applyAlignment="1">
      <alignment horizontal="left" vertical="top"/>
    </xf>
    <xf numFmtId="0" fontId="100" fillId="0" borderId="0" xfId="969" applyFont="1" applyAlignment="1">
      <alignment vertical="top"/>
    </xf>
    <xf numFmtId="0" fontId="100" fillId="0" borderId="0" xfId="969" applyFont="1" applyAlignment="1">
      <alignment horizontal="center" vertical="top"/>
    </xf>
    <xf numFmtId="2" fontId="100" fillId="0" borderId="0" xfId="969" applyNumberFormat="1" applyFont="1" applyAlignment="1">
      <alignment horizontal="right" vertical="top"/>
    </xf>
    <xf numFmtId="49" fontId="122" fillId="0" borderId="15" xfId="969" applyNumberFormat="1" applyFont="1" applyBorder="1" applyAlignment="1">
      <alignment horizontal="center" vertical="top" wrapText="1"/>
    </xf>
    <xf numFmtId="2" fontId="100" fillId="0" borderId="0" xfId="969" applyNumberFormat="1" applyFont="1" applyAlignment="1">
      <alignment horizontal="center" vertical="top" wrapText="1"/>
    </xf>
    <xf numFmtId="49" fontId="94" fillId="0" borderId="16" xfId="969" applyNumberFormat="1" applyFont="1" applyBorder="1" applyAlignment="1">
      <alignment vertical="top" wrapText="1"/>
    </xf>
    <xf numFmtId="49" fontId="101" fillId="0" borderId="15" xfId="969" applyNumberFormat="1" applyFont="1" applyBorder="1" applyAlignment="1">
      <alignment horizontal="center" vertical="top" wrapText="1"/>
    </xf>
    <xf numFmtId="49" fontId="94" fillId="0" borderId="0" xfId="969" applyNumberFormat="1" applyFont="1" applyAlignment="1">
      <alignment horizontal="justify" vertical="top" wrapText="1"/>
    </xf>
    <xf numFmtId="49" fontId="94" fillId="0" borderId="0" xfId="969" applyNumberFormat="1" applyFont="1" applyAlignment="1">
      <alignment horizontal="right" vertical="top" wrapText="1"/>
    </xf>
    <xf numFmtId="49" fontId="101" fillId="0" borderId="0" xfId="969" applyNumberFormat="1" applyFont="1" applyAlignment="1">
      <alignment horizontal="center" vertical="top" wrapText="1"/>
    </xf>
    <xf numFmtId="2" fontId="94" fillId="0" borderId="0" xfId="969" applyNumberFormat="1" applyFont="1" applyAlignment="1">
      <alignment horizontal="center" vertical="top" wrapText="1"/>
    </xf>
    <xf numFmtId="0" fontId="101" fillId="0" borderId="18" xfId="0" applyFont="1" applyBorder="1" applyAlignment="1">
      <alignment horizontal="center" vertical="top"/>
    </xf>
    <xf numFmtId="2" fontId="5" fillId="0" borderId="15" xfId="1426" applyNumberFormat="1" applyFont="1" applyBorder="1" applyAlignment="1">
      <alignment horizontal="center" vertical="top" wrapText="1"/>
    </xf>
    <xf numFmtId="2" fontId="116" fillId="0" borderId="17" xfId="1389" applyNumberFormat="1" applyFont="1" applyBorder="1" applyAlignment="1">
      <alignment horizontal="right" vertical="top" wrapText="1"/>
    </xf>
    <xf numFmtId="0" fontId="154" fillId="0" borderId="0" xfId="1385" applyFont="1" applyAlignment="1">
      <alignment horizontal="left" vertical="center"/>
    </xf>
    <xf numFmtId="2" fontId="116" fillId="0" borderId="15" xfId="1393" applyNumberFormat="1" applyFont="1" applyBorder="1" applyAlignment="1">
      <alignment horizontal="center" vertical="top"/>
    </xf>
    <xf numFmtId="0" fontId="116" fillId="45" borderId="15" xfId="1393" applyFont="1" applyFill="1" applyBorder="1" applyAlignment="1">
      <alignment horizontal="center" vertical="top"/>
    </xf>
    <xf numFmtId="2" fontId="116" fillId="45" borderId="15" xfId="1393" applyNumberFormat="1" applyFont="1" applyFill="1" applyBorder="1" applyAlignment="1">
      <alignment horizontal="center" vertical="top"/>
    </xf>
    <xf numFmtId="0" fontId="116" fillId="45" borderId="15" xfId="1393" applyFont="1" applyFill="1" applyBorder="1" applyAlignment="1">
      <alignment vertical="top"/>
    </xf>
    <xf numFmtId="0" fontId="171" fillId="45" borderId="15" xfId="1393" applyFont="1" applyFill="1" applyBorder="1" applyAlignment="1">
      <alignment vertical="top"/>
    </xf>
    <xf numFmtId="2" fontId="171" fillId="45" borderId="15" xfId="1393" applyNumberFormat="1" applyFont="1" applyFill="1" applyBorder="1" applyAlignment="1">
      <alignment vertical="top"/>
    </xf>
    <xf numFmtId="2" fontId="116" fillId="45" borderId="15" xfId="1393" applyNumberFormat="1" applyFont="1" applyFill="1" applyBorder="1" applyAlignment="1">
      <alignment vertical="top"/>
    </xf>
    <xf numFmtId="0" fontId="94" fillId="0" borderId="15" xfId="0" applyFont="1" applyFill="1" applyBorder="1" applyAlignment="1">
      <alignment horizontal="center" vertical="top"/>
    </xf>
    <xf numFmtId="0" fontId="94" fillId="0" borderId="17" xfId="0" applyFont="1" applyFill="1" applyBorder="1" applyAlignment="1">
      <alignment horizontal="right" vertical="top"/>
    </xf>
    <xf numFmtId="0" fontId="94" fillId="0" borderId="19" xfId="0" applyFont="1" applyFill="1" applyBorder="1" applyAlignment="1">
      <alignment horizontal="right" vertical="top"/>
    </xf>
    <xf numFmtId="1" fontId="94" fillId="0" borderId="15" xfId="0" applyNumberFormat="1" applyFont="1" applyFill="1" applyBorder="1" applyAlignment="1">
      <alignment horizontal="center" vertical="top"/>
    </xf>
    <xf numFmtId="0" fontId="94" fillId="0" borderId="15" xfId="0" applyFont="1" applyFill="1" applyBorder="1" applyAlignment="1">
      <alignment horizontal="right" vertical="top"/>
    </xf>
    <xf numFmtId="0" fontId="95" fillId="0" borderId="0" xfId="0" applyFont="1" applyFill="1" applyAlignment="1">
      <alignment vertical="top" wrapText="1"/>
    </xf>
    <xf numFmtId="0" fontId="94" fillId="0" borderId="0" xfId="0" applyFont="1" applyFill="1" applyAlignment="1">
      <alignment vertical="top"/>
    </xf>
    <xf numFmtId="0" fontId="94" fillId="0" borderId="15" xfId="0" applyFont="1" applyFill="1" applyBorder="1"/>
    <xf numFmtId="0" fontId="94" fillId="0" borderId="18" xfId="0" applyFont="1" applyFill="1" applyBorder="1" applyAlignment="1">
      <alignment horizontal="center"/>
    </xf>
    <xf numFmtId="0" fontId="94" fillId="0" borderId="19" xfId="0" applyFont="1" applyFill="1" applyBorder="1" applyAlignment="1">
      <alignment horizontal="left" vertical="top"/>
    </xf>
    <xf numFmtId="165" fontId="94" fillId="0" borderId="15" xfId="0" applyNumberFormat="1" applyFont="1" applyFill="1" applyBorder="1" applyAlignment="1">
      <alignment horizontal="center" vertical="top"/>
    </xf>
    <xf numFmtId="0" fontId="94" fillId="0" borderId="17" xfId="0" applyFont="1" applyFill="1" applyBorder="1" applyAlignment="1">
      <alignment horizontal="center" vertical="top"/>
    </xf>
    <xf numFmtId="2" fontId="99" fillId="0" borderId="19" xfId="0" applyNumberFormat="1" applyFont="1" applyFill="1" applyBorder="1" applyAlignment="1">
      <alignment vertical="top"/>
    </xf>
    <xf numFmtId="0" fontId="94" fillId="0" borderId="15" xfId="0" applyFont="1" applyFill="1" applyBorder="1" applyAlignment="1">
      <alignment vertical="top"/>
    </xf>
    <xf numFmtId="0" fontId="100" fillId="0" borderId="0" xfId="0" applyFont="1" applyFill="1" applyAlignment="1">
      <alignment vertical="top"/>
    </xf>
    <xf numFmtId="0" fontId="94" fillId="0" borderId="18" xfId="0" applyFont="1" applyFill="1" applyBorder="1" applyAlignment="1">
      <alignment horizontal="center" vertical="top"/>
    </xf>
    <xf numFmtId="2" fontId="99" fillId="0" borderId="17" xfId="0" applyNumberFormat="1" applyFont="1" applyFill="1" applyBorder="1" applyAlignment="1">
      <alignment horizontal="right" vertical="top"/>
    </xf>
    <xf numFmtId="0" fontId="94" fillId="0" borderId="0" xfId="0" applyFont="1" applyFill="1"/>
    <xf numFmtId="0" fontId="96" fillId="0" borderId="0" xfId="0" applyFont="1" applyFill="1" applyAlignment="1">
      <alignment horizontal="left"/>
    </xf>
    <xf numFmtId="0" fontId="104" fillId="0" borderId="15" xfId="0" applyFont="1" applyFill="1" applyBorder="1" applyAlignment="1">
      <alignment horizontal="center" vertical="center" wrapText="1"/>
    </xf>
    <xf numFmtId="0" fontId="95" fillId="0" borderId="15" xfId="0" applyFont="1" applyFill="1" applyBorder="1" applyAlignment="1">
      <alignment horizontal="center" vertical="top" wrapText="1"/>
    </xf>
    <xf numFmtId="0" fontId="96" fillId="0" borderId="15" xfId="0" applyFont="1" applyFill="1" applyBorder="1" applyAlignment="1">
      <alignment horizontal="center" vertical="top" wrapText="1"/>
    </xf>
    <xf numFmtId="0" fontId="95" fillId="0" borderId="17" xfId="0" applyFont="1" applyFill="1" applyBorder="1" applyAlignment="1">
      <alignment horizontal="center" vertical="top" wrapText="1"/>
    </xf>
    <xf numFmtId="0" fontId="95" fillId="0" borderId="18" xfId="0" applyFont="1" applyFill="1" applyBorder="1" applyAlignment="1">
      <alignment horizontal="center" vertical="top" wrapText="1"/>
    </xf>
    <xf numFmtId="0" fontId="95" fillId="0" borderId="19" xfId="0" applyFont="1" applyFill="1" applyBorder="1" applyAlignment="1">
      <alignment horizontal="center" vertical="top" wrapText="1"/>
    </xf>
    <xf numFmtId="0" fontId="131" fillId="0" borderId="15" xfId="0" applyFont="1" applyFill="1" applyBorder="1" applyAlignment="1">
      <alignment horizontal="center" wrapText="1"/>
    </xf>
    <xf numFmtId="1" fontId="95" fillId="0" borderId="15" xfId="0" applyNumberFormat="1" applyFont="1" applyFill="1" applyBorder="1" applyAlignment="1">
      <alignment horizontal="center" vertical="top" wrapText="1"/>
    </xf>
    <xf numFmtId="0" fontId="95" fillId="0" borderId="17" xfId="0" applyFont="1" applyFill="1" applyBorder="1" applyAlignment="1">
      <alignment vertical="top" wrapText="1"/>
    </xf>
    <xf numFmtId="0" fontId="95" fillId="0" borderId="19" xfId="0" applyFont="1" applyFill="1" applyBorder="1" applyAlignment="1">
      <alignment vertical="top" wrapText="1"/>
    </xf>
    <xf numFmtId="0" fontId="94" fillId="0" borderId="15" xfId="0" applyFont="1" applyFill="1" applyBorder="1" applyAlignment="1">
      <alignment horizontal="center"/>
    </xf>
    <xf numFmtId="2" fontId="94" fillId="0" borderId="15" xfId="0" applyNumberFormat="1" applyFont="1" applyFill="1" applyBorder="1"/>
    <xf numFmtId="1" fontId="94" fillId="0" borderId="15" xfId="0" applyNumberFormat="1" applyFont="1" applyFill="1" applyBorder="1" applyAlignment="1">
      <alignment horizontal="center"/>
    </xf>
    <xf numFmtId="2" fontId="94" fillId="0" borderId="15" xfId="0" applyNumberFormat="1" applyFont="1" applyFill="1" applyBorder="1" applyAlignment="1">
      <alignment horizontal="center"/>
    </xf>
    <xf numFmtId="0" fontId="94" fillId="0" borderId="15" xfId="0" applyFont="1" applyFill="1" applyBorder="1" applyAlignment="1">
      <alignment horizontal="right"/>
    </xf>
    <xf numFmtId="2" fontId="94" fillId="0" borderId="15" xfId="0" applyNumberFormat="1" applyFont="1" applyFill="1" applyBorder="1" applyAlignment="1">
      <alignment horizontal="right"/>
    </xf>
    <xf numFmtId="0" fontId="104" fillId="0" borderId="15" xfId="0" applyFont="1" applyFill="1" applyBorder="1"/>
    <xf numFmtId="0" fontId="94" fillId="0" borderId="15" xfId="0" applyFont="1" applyFill="1" applyBorder="1" applyAlignment="1">
      <alignment horizontal="center" wrapText="1"/>
    </xf>
    <xf numFmtId="2" fontId="101" fillId="0" borderId="15" xfId="0" applyNumberFormat="1" applyFont="1" applyFill="1" applyBorder="1" applyAlignment="1">
      <alignment horizontal="center" wrapText="1"/>
    </xf>
    <xf numFmtId="0" fontId="101" fillId="0" borderId="15" xfId="0" applyFont="1" applyFill="1" applyBorder="1"/>
    <xf numFmtId="165" fontId="94" fillId="0" borderId="15" xfId="0" applyNumberFormat="1" applyFont="1" applyFill="1" applyBorder="1"/>
    <xf numFmtId="2" fontId="94" fillId="0" borderId="15" xfId="0" applyNumberFormat="1" applyFont="1" applyFill="1" applyBorder="1" applyAlignment="1">
      <alignment horizontal="center" wrapText="1"/>
    </xf>
    <xf numFmtId="2" fontId="101" fillId="0" borderId="15" xfId="1384" applyNumberFormat="1" applyFont="1" applyFill="1" applyBorder="1" applyAlignment="1">
      <alignment horizontal="center"/>
    </xf>
    <xf numFmtId="1" fontId="101" fillId="0" borderId="15" xfId="0" applyNumberFormat="1" applyFont="1" applyFill="1" applyBorder="1" applyAlignment="1">
      <alignment horizontal="center" wrapText="1"/>
    </xf>
    <xf numFmtId="0" fontId="101" fillId="0" borderId="15" xfId="0" applyFont="1" applyFill="1" applyBorder="1" applyAlignment="1">
      <alignment horizontal="center" wrapText="1"/>
    </xf>
    <xf numFmtId="1" fontId="101" fillId="0" borderId="15" xfId="0" applyNumberFormat="1" applyFont="1" applyFill="1" applyBorder="1" applyAlignment="1">
      <alignment horizontal="center"/>
    </xf>
    <xf numFmtId="0" fontId="101" fillId="0" borderId="15" xfId="0" applyFont="1" applyFill="1" applyBorder="1" applyAlignment="1">
      <alignment horizontal="center"/>
    </xf>
    <xf numFmtId="0" fontId="107" fillId="0" borderId="15" xfId="0" applyFont="1" applyFill="1" applyBorder="1" applyAlignment="1">
      <alignment horizontal="left" vertical="justify" wrapText="1"/>
    </xf>
    <xf numFmtId="0" fontId="101" fillId="0" borderId="0" xfId="0" applyFont="1" applyFill="1"/>
    <xf numFmtId="0" fontId="102" fillId="0" borderId="0" xfId="0" applyFont="1" applyFill="1" applyAlignment="1">
      <alignment horizontal="center" vertical="top"/>
    </xf>
    <xf numFmtId="0" fontId="94" fillId="0" borderId="0" xfId="0" applyFont="1" applyFill="1" applyAlignment="1">
      <alignment horizontal="center" vertical="top"/>
    </xf>
    <xf numFmtId="0" fontId="94" fillId="0" borderId="0" xfId="0" applyFont="1" applyFill="1" applyAlignment="1">
      <alignment horizontal="justify" vertical="top" wrapText="1"/>
    </xf>
    <xf numFmtId="0" fontId="101" fillId="0" borderId="0" xfId="0" applyFont="1" applyFill="1" applyAlignment="1">
      <alignment vertical="top"/>
    </xf>
    <xf numFmtId="0" fontId="101" fillId="0" borderId="0" xfId="0" applyFont="1" applyFill="1" applyAlignment="1">
      <alignment horizontal="center" vertical="top"/>
    </xf>
    <xf numFmtId="0" fontId="94" fillId="0" borderId="47" xfId="0" applyFont="1" applyFill="1" applyBorder="1" applyAlignment="1">
      <alignment horizontal="justify" vertical="top" wrapText="1"/>
    </xf>
    <xf numFmtId="0" fontId="94" fillId="0" borderId="0" xfId="0" applyFont="1" applyFill="1" applyAlignment="1">
      <alignment horizontal="center" vertical="center"/>
    </xf>
    <xf numFmtId="0" fontId="94" fillId="0" borderId="0" xfId="0" applyFont="1" applyFill="1" applyAlignment="1">
      <alignment vertical="center"/>
    </xf>
    <xf numFmtId="0" fontId="94" fillId="0" borderId="15" xfId="0" applyFont="1" applyFill="1" applyBorder="1" applyAlignment="1">
      <alignment horizontal="center" vertical="top" wrapText="1"/>
    </xf>
    <xf numFmtId="2" fontId="94" fillId="0" borderId="15" xfId="0" applyNumberFormat="1" applyFont="1" applyFill="1" applyBorder="1" applyAlignment="1">
      <alignment horizontal="center" vertical="top" wrapText="1"/>
    </xf>
    <xf numFmtId="2" fontId="94" fillId="0" borderId="15" xfId="0" applyNumberFormat="1" applyFont="1" applyFill="1" applyBorder="1" applyAlignment="1">
      <alignment vertical="top"/>
    </xf>
    <xf numFmtId="2" fontId="94" fillId="0" borderId="15" xfId="0" applyNumberFormat="1" applyFont="1" applyFill="1" applyBorder="1" applyAlignment="1">
      <alignment horizontal="right" vertical="top" wrapText="1"/>
    </xf>
    <xf numFmtId="2" fontId="94" fillId="0" borderId="15" xfId="0" applyNumberFormat="1" applyFont="1" applyFill="1" applyBorder="1" applyAlignment="1">
      <alignment horizontal="center" vertical="top" shrinkToFit="1"/>
    </xf>
    <xf numFmtId="2" fontId="101" fillId="0" borderId="15" xfId="0" applyNumberFormat="1" applyFont="1" applyFill="1" applyBorder="1" applyAlignment="1">
      <alignment horizontal="center" vertical="top" wrapText="1"/>
    </xf>
    <xf numFmtId="0" fontId="101" fillId="0" borderId="15" xfId="0" applyFont="1" applyFill="1" applyBorder="1" applyAlignment="1">
      <alignment horizontal="center" vertical="top" wrapText="1"/>
    </xf>
    <xf numFmtId="0" fontId="101" fillId="0" borderId="15" xfId="0" applyFont="1" applyFill="1" applyBorder="1" applyAlignment="1">
      <alignment horizontal="right" vertical="top" wrapText="1"/>
    </xf>
    <xf numFmtId="2" fontId="101" fillId="0" borderId="15" xfId="0" applyNumberFormat="1" applyFont="1" applyFill="1" applyBorder="1" applyAlignment="1">
      <alignment vertical="top"/>
    </xf>
    <xf numFmtId="2" fontId="94" fillId="0" borderId="15" xfId="0" applyNumberFormat="1" applyFont="1" applyFill="1" applyBorder="1" applyAlignment="1">
      <alignment horizontal="center" vertical="top"/>
    </xf>
    <xf numFmtId="2" fontId="101" fillId="0" borderId="15" xfId="0" applyNumberFormat="1" applyFont="1" applyFill="1" applyBorder="1" applyAlignment="1">
      <alignment horizontal="right" vertical="top" wrapText="1"/>
    </xf>
    <xf numFmtId="165" fontId="94" fillId="0" borderId="15" xfId="0" applyNumberFormat="1" applyFont="1" applyFill="1" applyBorder="1" applyAlignment="1">
      <alignment horizontal="center" vertical="top" wrapText="1"/>
    </xf>
    <xf numFmtId="2" fontId="94" fillId="0" borderId="15" xfId="0" applyNumberFormat="1" applyFont="1" applyFill="1" applyBorder="1" applyAlignment="1">
      <alignment horizontal="right" vertical="top"/>
    </xf>
    <xf numFmtId="0" fontId="94" fillId="0" borderId="15" xfId="0" applyFont="1" applyFill="1" applyBorder="1" applyAlignment="1">
      <alignment horizontal="right" vertical="top" wrapText="1"/>
    </xf>
    <xf numFmtId="167" fontId="94" fillId="0" borderId="15" xfId="0" applyNumberFormat="1" applyFont="1" applyFill="1" applyBorder="1" applyAlignment="1">
      <alignment horizontal="center" vertical="top" wrapText="1"/>
    </xf>
    <xf numFmtId="165" fontId="152" fillId="0" borderId="15" xfId="0" applyNumberFormat="1" applyFont="1" applyFill="1" applyBorder="1" applyAlignment="1">
      <alignment horizontal="center" vertical="top"/>
    </xf>
    <xf numFmtId="0" fontId="98" fillId="0" borderId="15" xfId="0" applyFont="1" applyFill="1" applyBorder="1" applyAlignment="1">
      <alignment horizontal="center" vertical="top" wrapText="1"/>
    </xf>
    <xf numFmtId="0" fontId="98" fillId="0" borderId="15" xfId="0" applyFont="1" applyFill="1" applyBorder="1" applyAlignment="1">
      <alignment horizontal="justify" vertical="top" wrapText="1"/>
    </xf>
    <xf numFmtId="0" fontId="98" fillId="0" borderId="15" xfId="0" applyFont="1" applyFill="1" applyBorder="1" applyAlignment="1">
      <alignment vertical="top" wrapText="1"/>
    </xf>
    <xf numFmtId="2" fontId="98" fillId="0" borderId="15" xfId="0" applyNumberFormat="1" applyFont="1" applyFill="1" applyBorder="1" applyAlignment="1">
      <alignment horizontal="right" vertical="top"/>
    </xf>
    <xf numFmtId="0" fontId="98" fillId="0" borderId="0" xfId="0" applyFont="1" applyFill="1" applyAlignment="1">
      <alignment vertical="top"/>
    </xf>
    <xf numFmtId="0" fontId="98" fillId="0" borderId="15" xfId="0" applyFont="1" applyFill="1" applyBorder="1" applyAlignment="1">
      <alignment horizontal="left" vertical="top" wrapText="1"/>
    </xf>
    <xf numFmtId="165" fontId="98" fillId="0" borderId="15" xfId="0" applyNumberFormat="1" applyFont="1" applyFill="1" applyBorder="1" applyAlignment="1">
      <alignment horizontal="center" vertical="top"/>
    </xf>
    <xf numFmtId="2" fontId="98" fillId="0" borderId="15" xfId="0" applyNumberFormat="1" applyFont="1" applyFill="1" applyBorder="1" applyAlignment="1">
      <alignment horizontal="center" vertical="top"/>
    </xf>
    <xf numFmtId="168" fontId="98" fillId="0" borderId="15" xfId="0" applyNumberFormat="1" applyFont="1" applyFill="1" applyBorder="1" applyAlignment="1">
      <alignment horizontal="center" vertical="top" wrapText="1"/>
    </xf>
    <xf numFmtId="2" fontId="141" fillId="0" borderId="15" xfId="0" applyNumberFormat="1" applyFont="1" applyFill="1" applyBorder="1" applyAlignment="1">
      <alignment horizontal="right" vertical="top"/>
    </xf>
    <xf numFmtId="2" fontId="101" fillId="0" borderId="15" xfId="0" applyNumberFormat="1" applyFont="1" applyFill="1" applyBorder="1" applyAlignment="1">
      <alignment horizontal="center" vertical="top"/>
    </xf>
    <xf numFmtId="166" fontId="94" fillId="0" borderId="15" xfId="0" applyNumberFormat="1" applyFont="1" applyFill="1" applyBorder="1" applyAlignment="1">
      <alignment horizontal="center" vertical="top" wrapText="1"/>
    </xf>
    <xf numFmtId="1" fontId="94" fillId="0" borderId="15" xfId="0" applyNumberFormat="1" applyFont="1" applyFill="1" applyBorder="1" applyAlignment="1">
      <alignment horizontal="center" vertical="top" wrapText="1"/>
    </xf>
    <xf numFmtId="2" fontId="94" fillId="0" borderId="15" xfId="0" applyNumberFormat="1" applyFont="1" applyFill="1" applyBorder="1" applyAlignment="1">
      <alignment horizontal="right" vertical="top" shrinkToFit="1"/>
    </xf>
    <xf numFmtId="2" fontId="101" fillId="0" borderId="15" xfId="0" applyNumberFormat="1" applyFont="1" applyFill="1" applyBorder="1" applyAlignment="1">
      <alignment horizontal="center" vertical="top" shrinkToFit="1"/>
    </xf>
    <xf numFmtId="49" fontId="94" fillId="0" borderId="15" xfId="0" applyNumberFormat="1" applyFont="1" applyFill="1" applyBorder="1" applyAlignment="1">
      <alignment horizontal="center" vertical="top" shrinkToFit="1"/>
    </xf>
    <xf numFmtId="0" fontId="94" fillId="0" borderId="15" xfId="0" applyFont="1" applyFill="1" applyBorder="1" applyAlignment="1">
      <alignment horizontal="center" vertical="top" shrinkToFit="1"/>
    </xf>
    <xf numFmtId="170" fontId="101" fillId="0" borderId="15" xfId="0" applyNumberFormat="1" applyFont="1" applyFill="1" applyBorder="1" applyAlignment="1">
      <alignment horizontal="center" vertical="top" wrapText="1"/>
    </xf>
    <xf numFmtId="0" fontId="94" fillId="0" borderId="15" xfId="0" applyFont="1" applyFill="1" applyBorder="1" applyAlignment="1">
      <alignment vertical="top" wrapText="1"/>
    </xf>
    <xf numFmtId="170" fontId="94" fillId="0" borderId="0" xfId="0" applyNumberFormat="1" applyFont="1" applyFill="1" applyAlignment="1">
      <alignment horizontal="center" vertical="top" wrapText="1"/>
    </xf>
    <xf numFmtId="165" fontId="94" fillId="0" borderId="15" xfId="0" applyNumberFormat="1" applyFont="1" applyFill="1" applyBorder="1" applyAlignment="1">
      <alignment horizontal="center" vertical="top" shrinkToFit="1"/>
    </xf>
    <xf numFmtId="2" fontId="101" fillId="0" borderId="15" xfId="0" applyNumberFormat="1" applyFont="1" applyFill="1" applyBorder="1" applyAlignment="1">
      <alignment horizontal="right" vertical="top" shrinkToFit="1"/>
    </xf>
    <xf numFmtId="170" fontId="101" fillId="0" borderId="0" xfId="0" applyNumberFormat="1" applyFont="1" applyFill="1" applyAlignment="1">
      <alignment horizontal="center" vertical="top" wrapText="1"/>
    </xf>
    <xf numFmtId="0" fontId="94" fillId="0" borderId="15" xfId="0" applyFont="1" applyFill="1" applyBorder="1" applyAlignment="1">
      <alignment horizontal="justify" vertical="top"/>
    </xf>
    <xf numFmtId="2" fontId="94" fillId="0" borderId="15" xfId="0" applyNumberFormat="1" applyFont="1" applyFill="1" applyBorder="1" applyAlignment="1">
      <alignment vertical="top" shrinkToFit="1"/>
    </xf>
    <xf numFmtId="0" fontId="94" fillId="0" borderId="15" xfId="0" applyFont="1" applyFill="1" applyBorder="1" applyAlignment="1">
      <alignment horizontal="justify" vertical="justify" wrapText="1"/>
    </xf>
    <xf numFmtId="0" fontId="94" fillId="0" borderId="15" xfId="1384" applyFont="1" applyFill="1" applyBorder="1" applyAlignment="1">
      <alignment horizontal="justify" vertical="justify" wrapText="1"/>
    </xf>
    <xf numFmtId="0" fontId="101" fillId="0" borderId="15" xfId="0" applyFont="1" applyFill="1" applyBorder="1" applyAlignment="1">
      <alignment horizontal="justify" vertical="justify" wrapText="1"/>
    </xf>
    <xf numFmtId="0" fontId="94" fillId="0" borderId="0" xfId="0" applyFont="1" applyFill="1" applyAlignment="1">
      <alignment horizontal="right" vertical="top"/>
    </xf>
    <xf numFmtId="0" fontId="112" fillId="0" borderId="8" xfId="1384" applyFont="1" applyFill="1" applyBorder="1" applyAlignment="1">
      <alignment horizontal="center" vertical="top" wrapText="1"/>
    </xf>
    <xf numFmtId="0" fontId="94" fillId="0" borderId="0" xfId="0" applyFont="1" applyFill="1" applyAlignment="1">
      <alignment horizontal="justify" vertical="justify" wrapText="1"/>
    </xf>
    <xf numFmtId="0" fontId="94" fillId="0" borderId="15" xfId="0" applyFont="1" applyFill="1" applyBorder="1" applyAlignment="1">
      <alignment horizontal="center" vertical="justify" wrapText="1"/>
    </xf>
    <xf numFmtId="2" fontId="94" fillId="0" borderId="0" xfId="0" applyNumberFormat="1" applyFont="1" applyFill="1" applyAlignment="1">
      <alignment vertical="top"/>
    </xf>
    <xf numFmtId="0" fontId="94" fillId="0" borderId="0" xfId="1384" applyFont="1" applyFill="1" applyAlignment="1">
      <alignment horizontal="center"/>
    </xf>
    <xf numFmtId="0" fontId="94" fillId="0" borderId="0" xfId="1384" applyFont="1" applyFill="1"/>
    <xf numFmtId="0" fontId="112" fillId="0" borderId="8" xfId="1384" applyFont="1" applyFill="1" applyBorder="1" applyAlignment="1">
      <alignment horizontal="center" vertical="top"/>
    </xf>
    <xf numFmtId="2" fontId="112" fillId="0" borderId="28" xfId="1384" applyNumberFormat="1" applyFont="1" applyFill="1" applyBorder="1" applyAlignment="1">
      <alignment horizontal="right" vertical="top" wrapText="1"/>
    </xf>
    <xf numFmtId="0" fontId="112" fillId="0" borderId="29" xfId="1384" applyFont="1" applyFill="1" applyBorder="1" applyAlignment="1">
      <alignment horizontal="justify" vertical="top" wrapText="1"/>
    </xf>
    <xf numFmtId="1" fontId="112" fillId="0" borderId="28" xfId="1384" applyNumberFormat="1" applyFont="1" applyFill="1" applyBorder="1" applyAlignment="1">
      <alignment vertical="top" wrapText="1"/>
    </xf>
    <xf numFmtId="0" fontId="112" fillId="0" borderId="29" xfId="1384" applyFont="1" applyFill="1" applyBorder="1" applyAlignment="1">
      <alignment horizontal="left" vertical="top" wrapText="1"/>
    </xf>
    <xf numFmtId="2" fontId="112" fillId="0" borderId="8" xfId="1384" applyNumberFormat="1" applyFont="1" applyFill="1" applyBorder="1" applyAlignment="1">
      <alignment horizontal="center" vertical="top"/>
    </xf>
    <xf numFmtId="2" fontId="112" fillId="0" borderId="8" xfId="1384" applyNumberFormat="1" applyFont="1" applyFill="1" applyBorder="1" applyAlignment="1">
      <alignment vertical="top"/>
    </xf>
    <xf numFmtId="0" fontId="112" fillId="0" borderId="8" xfId="1384" applyFont="1" applyFill="1" applyBorder="1" applyAlignment="1">
      <alignment horizontal="justify" vertical="top" wrapText="1"/>
    </xf>
    <xf numFmtId="0" fontId="112" fillId="0" borderId="28" xfId="1384" applyFont="1" applyFill="1" applyBorder="1" applyAlignment="1">
      <alignment vertical="top" wrapText="1"/>
    </xf>
    <xf numFmtId="0" fontId="112" fillId="0" borderId="29" xfId="1384" applyFont="1" applyFill="1" applyBorder="1" applyAlignment="1">
      <alignment vertical="top" wrapText="1"/>
    </xf>
    <xf numFmtId="0" fontId="112" fillId="0" borderId="8" xfId="1384" applyFont="1" applyFill="1" applyBorder="1" applyAlignment="1">
      <alignment vertical="top" wrapText="1"/>
    </xf>
    <xf numFmtId="0" fontId="112" fillId="0" borderId="28" xfId="1384" applyFont="1" applyFill="1" applyBorder="1" applyAlignment="1">
      <alignment horizontal="justify" vertical="top" wrapText="1"/>
    </xf>
    <xf numFmtId="0" fontId="113" fillId="0" borderId="8" xfId="1384" applyFont="1" applyFill="1" applyBorder="1" applyAlignment="1">
      <alignment horizontal="justify" vertical="top" wrapText="1"/>
    </xf>
    <xf numFmtId="2" fontId="112" fillId="0" borderId="28" xfId="1384" applyNumberFormat="1" applyFont="1" applyFill="1" applyBorder="1" applyAlignment="1">
      <alignment horizontal="center" vertical="top" wrapText="1"/>
    </xf>
    <xf numFmtId="2" fontId="112" fillId="0" borderId="29" xfId="1384" applyNumberFormat="1" applyFont="1" applyFill="1" applyBorder="1" applyAlignment="1">
      <alignment horizontal="center" vertical="top" wrapText="1"/>
    </xf>
    <xf numFmtId="1" fontId="113" fillId="0" borderId="28" xfId="1384" applyNumberFormat="1" applyFont="1" applyFill="1" applyBorder="1" applyAlignment="1">
      <alignment horizontal="center" vertical="top" wrapText="1"/>
    </xf>
    <xf numFmtId="1" fontId="113" fillId="0" borderId="29" xfId="1384" applyNumberFormat="1" applyFont="1" applyFill="1" applyBorder="1" applyAlignment="1">
      <alignment horizontal="center" vertical="top" wrapText="1"/>
    </xf>
    <xf numFmtId="2" fontId="112" fillId="0" borderId="8" xfId="1384" applyNumberFormat="1" applyFont="1" applyFill="1" applyBorder="1" applyAlignment="1">
      <alignment horizontal="right" vertical="top"/>
    </xf>
    <xf numFmtId="2" fontId="112" fillId="0" borderId="8" xfId="1384" applyNumberFormat="1" applyFont="1" applyFill="1" applyBorder="1" applyAlignment="1">
      <alignment horizontal="left" vertical="top"/>
    </xf>
    <xf numFmtId="4" fontId="112" fillId="0" borderId="29" xfId="1384" applyNumberFormat="1" applyFont="1" applyFill="1" applyBorder="1" applyAlignment="1">
      <alignment horizontal="left" vertical="top" wrapText="1"/>
    </xf>
    <xf numFmtId="0" fontId="112" fillId="0" borderId="8" xfId="1384" applyFont="1" applyFill="1" applyBorder="1" applyAlignment="1">
      <alignment horizontal="left" vertical="top" wrapText="1"/>
    </xf>
    <xf numFmtId="1" fontId="113" fillId="0" borderId="28" xfId="1384" applyNumberFormat="1" applyFont="1" applyFill="1" applyBorder="1" applyAlignment="1">
      <alignment vertical="top" wrapText="1"/>
    </xf>
    <xf numFmtId="2" fontId="113" fillId="0" borderId="8" xfId="1384" applyNumberFormat="1" applyFont="1" applyFill="1" applyBorder="1" applyAlignment="1">
      <alignment horizontal="right" vertical="top"/>
    </xf>
    <xf numFmtId="0" fontId="94" fillId="0" borderId="8" xfId="1384" applyFont="1" applyFill="1" applyBorder="1"/>
    <xf numFmtId="0" fontId="94" fillId="0" borderId="8" xfId="1384" applyFont="1" applyFill="1" applyBorder="1" applyAlignment="1">
      <alignment horizontal="center" vertical="top"/>
    </xf>
    <xf numFmtId="0" fontId="112" fillId="0" borderId="28" xfId="1384" applyFont="1" applyFill="1" applyBorder="1" applyAlignment="1">
      <alignment vertical="top"/>
    </xf>
    <xf numFmtId="0" fontId="112" fillId="0" borderId="8" xfId="1384" applyFont="1" applyFill="1" applyBorder="1" applyAlignment="1">
      <alignment vertical="top"/>
    </xf>
    <xf numFmtId="0" fontId="97" fillId="0" borderId="26" xfId="0" applyFont="1" applyFill="1" applyBorder="1" applyAlignment="1">
      <alignment horizontal="justify" vertical="top" wrapText="1"/>
    </xf>
    <xf numFmtId="0" fontId="97" fillId="0" borderId="26" xfId="0" quotePrefix="1" applyFont="1" applyFill="1" applyBorder="1" applyAlignment="1">
      <alignment horizontal="justify" vertical="top" wrapText="1"/>
    </xf>
    <xf numFmtId="0" fontId="94" fillId="0" borderId="28" xfId="1384" applyFont="1" applyFill="1" applyBorder="1"/>
    <xf numFmtId="0" fontId="94" fillId="0" borderId="29" xfId="1384" applyFont="1" applyFill="1" applyBorder="1"/>
    <xf numFmtId="2" fontId="94" fillId="0" borderId="8" xfId="1384" applyNumberFormat="1" applyFont="1" applyFill="1" applyBorder="1"/>
    <xf numFmtId="2" fontId="112" fillId="0" borderId="8" xfId="1384" applyNumberFormat="1" applyFont="1" applyFill="1" applyBorder="1" applyAlignment="1">
      <alignment horizontal="center" vertical="top" wrapText="1"/>
    </xf>
    <xf numFmtId="2" fontId="112" fillId="0" borderId="8" xfId="1384" applyNumberFormat="1" applyFont="1" applyFill="1" applyBorder="1" applyAlignment="1">
      <alignment horizontal="justify" vertical="top" wrapText="1"/>
    </xf>
    <xf numFmtId="1" fontId="112" fillId="0" borderId="28" xfId="1384" applyNumberFormat="1" applyFont="1" applyFill="1" applyBorder="1" applyAlignment="1">
      <alignment horizontal="right" vertical="top" wrapText="1"/>
    </xf>
    <xf numFmtId="2" fontId="112" fillId="0" borderId="8" xfId="1384" applyNumberFormat="1" applyFont="1" applyFill="1" applyBorder="1" applyAlignment="1">
      <alignment horizontal="justify" vertical="top"/>
    </xf>
    <xf numFmtId="165" fontId="112" fillId="0" borderId="28" xfId="1384" applyNumberFormat="1" applyFont="1" applyFill="1" applyBorder="1" applyAlignment="1">
      <alignment horizontal="right" vertical="top" wrapText="1"/>
    </xf>
    <xf numFmtId="2" fontId="113" fillId="0" borderId="28" xfId="1384" applyNumberFormat="1" applyFont="1" applyFill="1" applyBorder="1" applyAlignment="1">
      <alignment vertical="top" wrapText="1"/>
    </xf>
    <xf numFmtId="0" fontId="113" fillId="0" borderId="29" xfId="1384" applyFont="1" applyFill="1" applyBorder="1" applyAlignment="1">
      <alignment horizontal="left" vertical="top" wrapText="1"/>
    </xf>
    <xf numFmtId="2" fontId="113" fillId="0" borderId="8" xfId="1384" applyNumberFormat="1" applyFont="1" applyFill="1" applyBorder="1" applyAlignment="1">
      <alignment horizontal="center" vertical="top"/>
    </xf>
    <xf numFmtId="0" fontId="112" fillId="0" borderId="28" xfId="1384" applyFont="1" applyFill="1" applyBorder="1" applyAlignment="1">
      <alignment horizontal="right" vertical="top" wrapText="1"/>
    </xf>
    <xf numFmtId="2" fontId="112" fillId="0" borderId="8" xfId="1384" applyNumberFormat="1" applyFont="1" applyFill="1" applyBorder="1" applyAlignment="1">
      <alignment horizontal="right" vertical="top" wrapText="1"/>
    </xf>
    <xf numFmtId="0" fontId="113" fillId="0" borderId="8" xfId="1384" applyFont="1" applyFill="1" applyBorder="1" applyAlignment="1">
      <alignment horizontal="center" vertical="top" wrapText="1"/>
    </xf>
    <xf numFmtId="2" fontId="113" fillId="0" borderId="28" xfId="1384" applyNumberFormat="1" applyFont="1" applyFill="1" applyBorder="1" applyAlignment="1">
      <alignment horizontal="right" vertical="top" wrapText="1"/>
    </xf>
    <xf numFmtId="0" fontId="113" fillId="0" borderId="29" xfId="1384" applyFont="1" applyFill="1" applyBorder="1" applyAlignment="1">
      <alignment horizontal="justify" vertical="top" wrapText="1"/>
    </xf>
    <xf numFmtId="2" fontId="113" fillId="0" borderId="8" xfId="1384" applyNumberFormat="1" applyFont="1" applyFill="1" applyBorder="1" applyAlignment="1">
      <alignment vertical="top"/>
    </xf>
    <xf numFmtId="0" fontId="112" fillId="0" borderId="8" xfId="1384" applyFont="1" applyFill="1" applyBorder="1" applyAlignment="1">
      <alignment horizontal="left" vertical="top"/>
    </xf>
    <xf numFmtId="2" fontId="112" fillId="0" borderId="28" xfId="1384" applyNumberFormat="1" applyFont="1" applyFill="1" applyBorder="1" applyAlignment="1">
      <alignment horizontal="left" vertical="top"/>
    </xf>
    <xf numFmtId="4" fontId="112" fillId="0" borderId="29" xfId="1384" applyNumberFormat="1" applyFont="1" applyFill="1" applyBorder="1" applyAlignment="1">
      <alignment horizontal="left" vertical="top"/>
    </xf>
    <xf numFmtId="9" fontId="112" fillId="0" borderId="28" xfId="1384" applyNumberFormat="1" applyFont="1" applyFill="1" applyBorder="1" applyAlignment="1">
      <alignment vertical="top"/>
    </xf>
    <xf numFmtId="0" fontId="94" fillId="0" borderId="0" xfId="1384" applyFont="1" applyFill="1" applyAlignment="1">
      <alignment horizontal="center" vertical="top"/>
    </xf>
    <xf numFmtId="2" fontId="116" fillId="0" borderId="19" xfId="1384" applyNumberFormat="1" applyFont="1" applyBorder="1" applyAlignment="1">
      <alignment horizontal="left" vertical="top"/>
    </xf>
    <xf numFmtId="2" fontId="116" fillId="0" borderId="15" xfId="1384" applyNumberFormat="1" applyFont="1" applyBorder="1" applyAlignment="1">
      <alignment vertical="top"/>
    </xf>
    <xf numFmtId="2" fontId="171" fillId="0" borderId="19" xfId="1384" applyNumberFormat="1" applyFont="1" applyBorder="1" applyAlignment="1">
      <alignment horizontal="left" vertical="top"/>
    </xf>
    <xf numFmtId="0" fontId="116" fillId="0" borderId="19" xfId="1384" applyFont="1" applyBorder="1" applyAlignment="1">
      <alignment horizontal="left" vertical="top"/>
    </xf>
    <xf numFmtId="2" fontId="4" fillId="0" borderId="15" xfId="1426" applyNumberFormat="1" applyFont="1" applyBorder="1" applyAlignment="1">
      <alignment horizontal="center" vertical="top" wrapText="1"/>
    </xf>
    <xf numFmtId="0" fontId="94" fillId="0" borderId="15" xfId="1384" applyFont="1" applyBorder="1" applyAlignment="1">
      <alignment horizontal="justify" vertical="top" wrapText="1"/>
    </xf>
    <xf numFmtId="0" fontId="94" fillId="0" borderId="0" xfId="0" applyFont="1" applyFill="1" applyAlignment="1">
      <alignment vertical="top" wrapText="1"/>
    </xf>
    <xf numFmtId="0" fontId="95" fillId="0" borderId="22" xfId="0" applyFont="1" applyFill="1" applyBorder="1" applyAlignment="1">
      <alignment vertical="top" wrapText="1"/>
    </xf>
    <xf numFmtId="0" fontId="95" fillId="0" borderId="22" xfId="0" applyFont="1" applyFill="1" applyBorder="1" applyAlignment="1">
      <alignment horizontal="center" vertical="top" wrapText="1"/>
    </xf>
    <xf numFmtId="0" fontId="94" fillId="0" borderId="0" xfId="0" applyFont="1" applyFill="1" applyAlignment="1">
      <alignment horizontal="center" vertical="top" wrapText="1"/>
    </xf>
    <xf numFmtId="0" fontId="95" fillId="0" borderId="0" xfId="0" applyFont="1" applyFill="1" applyAlignment="1">
      <alignment vertical="center" wrapText="1"/>
    </xf>
    <xf numFmtId="165" fontId="95" fillId="0" borderId="15" xfId="0" applyNumberFormat="1" applyFont="1" applyFill="1" applyBorder="1" applyAlignment="1">
      <alignment horizontal="center" vertical="center" wrapText="1"/>
    </xf>
    <xf numFmtId="0" fontId="95" fillId="0" borderId="17" xfId="0" applyFont="1" applyFill="1" applyBorder="1" applyAlignment="1">
      <alignment vertical="center" wrapText="1"/>
    </xf>
    <xf numFmtId="0" fontId="95" fillId="0" borderId="19" xfId="0" applyFont="1" applyFill="1" applyBorder="1" applyAlignment="1">
      <alignment vertical="center" wrapText="1"/>
    </xf>
    <xf numFmtId="0" fontId="171" fillId="0" borderId="18" xfId="0" applyFont="1" applyFill="1" applyBorder="1" applyAlignment="1">
      <alignment horizontal="center"/>
    </xf>
    <xf numFmtId="0" fontId="94" fillId="0" borderId="19" xfId="0" applyFont="1" applyFill="1" applyBorder="1" applyAlignment="1">
      <alignment horizontal="center" vertical="top"/>
    </xf>
    <xf numFmtId="2" fontId="99" fillId="0" borderId="19" xfId="0" applyNumberFormat="1" applyFont="1" applyFill="1" applyBorder="1" applyAlignment="1">
      <alignment horizontal="left" vertical="top"/>
    </xf>
    <xf numFmtId="0" fontId="94" fillId="0" borderId="15" xfId="1415" applyFont="1" applyFill="1" applyBorder="1" applyAlignment="1">
      <alignment vertical="top" wrapText="1"/>
    </xf>
    <xf numFmtId="1" fontId="94" fillId="0" borderId="17" xfId="1415" applyNumberFormat="1" applyFont="1" applyFill="1" applyBorder="1" applyAlignment="1">
      <alignment horizontal="right" vertical="top" wrapText="1"/>
    </xf>
    <xf numFmtId="1" fontId="94" fillId="0" borderId="18" xfId="1415" applyNumberFormat="1" applyFont="1" applyFill="1" applyBorder="1" applyAlignment="1">
      <alignment horizontal="center" vertical="top" wrapText="1"/>
    </xf>
    <xf numFmtId="1" fontId="94" fillId="0" borderId="19" xfId="1415" applyNumberFormat="1" applyFont="1" applyFill="1" applyBorder="1" applyAlignment="1">
      <alignment horizontal="left" vertical="top" wrapText="1"/>
    </xf>
    <xf numFmtId="165" fontId="94" fillId="0" borderId="15" xfId="1415" applyNumberFormat="1" applyFont="1" applyFill="1" applyBorder="1" applyAlignment="1">
      <alignment horizontal="center" vertical="top" wrapText="1"/>
    </xf>
    <xf numFmtId="2" fontId="94" fillId="0" borderId="17" xfId="0" applyNumberFormat="1" applyFont="1" applyFill="1" applyBorder="1" applyAlignment="1">
      <alignment horizontal="right" vertical="top"/>
    </xf>
    <xf numFmtId="0" fontId="94" fillId="0" borderId="17" xfId="0" applyFont="1" applyFill="1" applyBorder="1" applyAlignment="1">
      <alignment vertical="top"/>
    </xf>
    <xf numFmtId="0" fontId="94" fillId="0" borderId="17" xfId="0" applyFont="1" applyFill="1" applyBorder="1" applyAlignment="1">
      <alignment horizontal="right"/>
    </xf>
    <xf numFmtId="0" fontId="94" fillId="0" borderId="19" xfId="0" applyFont="1" applyFill="1" applyBorder="1" applyAlignment="1">
      <alignment horizontal="left"/>
    </xf>
    <xf numFmtId="165" fontId="94" fillId="0" borderId="15" xfId="0" applyNumberFormat="1" applyFont="1" applyFill="1" applyBorder="1" applyAlignment="1">
      <alignment horizontal="center"/>
    </xf>
    <xf numFmtId="0" fontId="94" fillId="0" borderId="17" xfId="0" applyFont="1" applyFill="1" applyBorder="1" applyAlignment="1">
      <alignment horizontal="center"/>
    </xf>
    <xf numFmtId="0" fontId="94" fillId="0" borderId="19" xfId="0" applyFont="1" applyFill="1" applyBorder="1" applyAlignment="1">
      <alignment horizontal="center"/>
    </xf>
    <xf numFmtId="165" fontId="94" fillId="0" borderId="15" xfId="0" applyNumberFormat="1" applyFont="1" applyFill="1" applyBorder="1" applyAlignment="1">
      <alignment vertical="top"/>
    </xf>
    <xf numFmtId="0" fontId="94" fillId="0" borderId="15" xfId="1416" applyFont="1" applyFill="1" applyBorder="1" applyAlignment="1">
      <alignment vertical="top" wrapText="1"/>
    </xf>
    <xf numFmtId="0" fontId="94" fillId="0" borderId="17" xfId="1416" applyFont="1" applyFill="1" applyBorder="1" applyAlignment="1">
      <alignment horizontal="right" vertical="top"/>
    </xf>
    <xf numFmtId="0" fontId="94" fillId="0" borderId="18" xfId="1384" applyFont="1" applyFill="1" applyBorder="1" applyAlignment="1">
      <alignment horizontal="center" vertical="top"/>
    </xf>
    <xf numFmtId="0" fontId="94" fillId="0" borderId="19" xfId="1416" applyFont="1" applyFill="1" applyBorder="1" applyAlignment="1">
      <alignment horizontal="left" vertical="top"/>
    </xf>
    <xf numFmtId="2" fontId="94" fillId="0" borderId="15" xfId="1416" applyNumberFormat="1" applyFont="1" applyFill="1" applyBorder="1" applyAlignment="1">
      <alignment horizontal="center" vertical="top"/>
    </xf>
    <xf numFmtId="165" fontId="94" fillId="0" borderId="15" xfId="1416" applyNumberFormat="1" applyFont="1" applyFill="1" applyBorder="1" applyAlignment="1">
      <alignment horizontal="center" vertical="top"/>
    </xf>
    <xf numFmtId="2" fontId="99" fillId="0" borderId="17" xfId="1384" applyNumberFormat="1" applyFont="1" applyFill="1" applyBorder="1" applyAlignment="1">
      <alignment horizontal="right" vertical="top"/>
    </xf>
    <xf numFmtId="0" fontId="98" fillId="0" borderId="17" xfId="0" applyFont="1" applyFill="1" applyBorder="1" applyAlignment="1">
      <alignment vertical="top"/>
    </xf>
    <xf numFmtId="0" fontId="98" fillId="0" borderId="19" xfId="0" applyFont="1" applyFill="1" applyBorder="1" applyAlignment="1">
      <alignment horizontal="left" vertical="top"/>
    </xf>
    <xf numFmtId="2" fontId="98" fillId="0" borderId="17" xfId="0" applyNumberFormat="1" applyFont="1" applyFill="1" applyBorder="1" applyAlignment="1">
      <alignment horizontal="right" vertical="top"/>
    </xf>
    <xf numFmtId="0" fontId="94" fillId="0" borderId="17" xfId="1384" applyFont="1" applyFill="1" applyBorder="1" applyAlignment="1">
      <alignment horizontal="right" vertical="top"/>
    </xf>
    <xf numFmtId="0" fontId="94" fillId="0" borderId="19" xfId="1384" applyFont="1" applyFill="1" applyBorder="1" applyAlignment="1">
      <alignment horizontal="left" vertical="top"/>
    </xf>
    <xf numFmtId="165" fontId="94" fillId="0" borderId="15" xfId="1384" applyNumberFormat="1" applyFont="1" applyFill="1" applyBorder="1" applyAlignment="1">
      <alignment horizontal="center" vertical="top"/>
    </xf>
    <xf numFmtId="2" fontId="99" fillId="0" borderId="18" xfId="0" applyNumberFormat="1" applyFont="1" applyFill="1" applyBorder="1" applyAlignment="1">
      <alignment vertical="top"/>
    </xf>
    <xf numFmtId="0" fontId="94" fillId="0" borderId="15" xfId="1384" applyFont="1" applyFill="1" applyBorder="1" applyAlignment="1">
      <alignment vertical="top" wrapText="1"/>
    </xf>
    <xf numFmtId="0" fontId="94" fillId="0" borderId="15" xfId="1273" applyFont="1" applyFill="1" applyBorder="1" applyAlignment="1">
      <alignment vertical="top" wrapText="1"/>
    </xf>
    <xf numFmtId="1" fontId="94" fillId="0" borderId="17" xfId="1273" applyNumberFormat="1" applyFont="1" applyFill="1" applyBorder="1" applyAlignment="1">
      <alignment horizontal="right" vertical="top" wrapText="1"/>
    </xf>
    <xf numFmtId="1" fontId="94" fillId="0" borderId="18" xfId="1273" applyNumberFormat="1" applyFont="1" applyFill="1" applyBorder="1" applyAlignment="1">
      <alignment horizontal="center" vertical="top" wrapText="1"/>
    </xf>
    <xf numFmtId="1" fontId="94" fillId="0" borderId="19" xfId="1273" applyNumberFormat="1" applyFont="1" applyFill="1" applyBorder="1" applyAlignment="1">
      <alignment horizontal="left" vertical="top" wrapText="1"/>
    </xf>
    <xf numFmtId="165" fontId="94" fillId="0" borderId="15" xfId="1273" applyNumberFormat="1" applyFont="1" applyFill="1" applyBorder="1" applyAlignment="1">
      <alignment horizontal="center" vertical="top" wrapText="1"/>
    </xf>
    <xf numFmtId="165" fontId="94" fillId="0" borderId="17" xfId="0" applyNumberFormat="1" applyFont="1" applyFill="1" applyBorder="1" applyAlignment="1">
      <alignment horizontal="right" vertical="top"/>
    </xf>
    <xf numFmtId="0" fontId="94" fillId="0" borderId="15" xfId="95" applyFont="1" applyFill="1" applyBorder="1" applyAlignment="1">
      <alignment vertical="top" wrapText="1"/>
    </xf>
    <xf numFmtId="0" fontId="94" fillId="0" borderId="17" xfId="1384" applyFont="1" applyFill="1" applyBorder="1" applyAlignment="1">
      <alignment horizontal="right" vertical="center"/>
    </xf>
    <xf numFmtId="0" fontId="94" fillId="0" borderId="19" xfId="1384" applyFont="1" applyFill="1" applyBorder="1" applyAlignment="1">
      <alignment horizontal="left" vertical="center"/>
    </xf>
    <xf numFmtId="165" fontId="94" fillId="0" borderId="15" xfId="1384" applyNumberFormat="1" applyFont="1" applyFill="1" applyBorder="1" applyAlignment="1">
      <alignment horizontal="center" vertical="center"/>
    </xf>
    <xf numFmtId="0" fontId="94" fillId="0" borderId="21" xfId="1418" applyFont="1" applyFill="1" applyBorder="1" applyAlignment="1">
      <alignment horizontal="left" vertical="justify" wrapText="1"/>
    </xf>
    <xf numFmtId="0" fontId="94" fillId="0" borderId="17" xfId="138" applyFont="1" applyFill="1" applyBorder="1" applyAlignment="1">
      <alignment horizontal="right"/>
    </xf>
    <xf numFmtId="0" fontId="94" fillId="0" borderId="18" xfId="138" applyFont="1" applyFill="1" applyBorder="1" applyAlignment="1">
      <alignment horizontal="center"/>
    </xf>
    <xf numFmtId="0" fontId="94" fillId="0" borderId="19" xfId="138" applyFont="1" applyFill="1" applyBorder="1" applyAlignment="1">
      <alignment horizontal="left"/>
    </xf>
    <xf numFmtId="2" fontId="94" fillId="0" borderId="15" xfId="138" applyNumberFormat="1" applyFont="1" applyFill="1" applyBorder="1" applyAlignment="1">
      <alignment horizontal="center"/>
    </xf>
    <xf numFmtId="0" fontId="94" fillId="0" borderId="17" xfId="1416" applyFont="1" applyFill="1" applyBorder="1" applyAlignment="1">
      <alignment horizontal="right"/>
    </xf>
    <xf numFmtId="0" fontId="94" fillId="0" borderId="18" xfId="1416" applyFont="1" applyFill="1" applyBorder="1" applyAlignment="1">
      <alignment horizontal="center"/>
    </xf>
    <xf numFmtId="0" fontId="94" fillId="0" borderId="19" xfId="1416" applyFont="1" applyFill="1" applyBorder="1" applyAlignment="1">
      <alignment horizontal="left"/>
    </xf>
    <xf numFmtId="2" fontId="94" fillId="0" borderId="15" xfId="1416" applyNumberFormat="1" applyFont="1" applyFill="1" applyBorder="1" applyAlignment="1">
      <alignment horizontal="center"/>
    </xf>
    <xf numFmtId="2" fontId="94" fillId="0" borderId="19" xfId="0" applyNumberFormat="1" applyFont="1" applyFill="1" applyBorder="1" applyAlignment="1">
      <alignment horizontal="right" vertical="top"/>
    </xf>
    <xf numFmtId="2" fontId="101" fillId="0" borderId="15" xfId="0" applyNumberFormat="1" applyFont="1" applyFill="1" applyBorder="1" applyAlignment="1">
      <alignment horizontal="right" vertical="top"/>
    </xf>
    <xf numFmtId="0" fontId="94" fillId="0" borderId="15" xfId="94" applyFont="1" applyFill="1" applyBorder="1" applyAlignment="1">
      <alignment horizontal="center" vertical="top"/>
    </xf>
    <xf numFmtId="1" fontId="94" fillId="0" borderId="17" xfId="94" applyNumberFormat="1" applyFont="1" applyFill="1" applyBorder="1" applyAlignment="1">
      <alignment horizontal="right" vertical="top"/>
    </xf>
    <xf numFmtId="0" fontId="94" fillId="0" borderId="19" xfId="94" applyFont="1" applyFill="1" applyBorder="1" applyAlignment="1">
      <alignment horizontal="right" vertical="top"/>
    </xf>
    <xf numFmtId="2" fontId="94" fillId="0" borderId="15" xfId="95" applyNumberFormat="1" applyFont="1" applyFill="1" applyBorder="1" applyAlignment="1">
      <alignment horizontal="right" vertical="center"/>
    </xf>
    <xf numFmtId="0" fontId="94" fillId="0" borderId="0" xfId="94" applyFont="1" applyFill="1" applyAlignment="1">
      <alignment vertical="top"/>
    </xf>
    <xf numFmtId="2" fontId="94" fillId="0" borderId="0" xfId="94" applyNumberFormat="1" applyFont="1" applyFill="1" applyAlignment="1">
      <alignment vertical="top"/>
    </xf>
    <xf numFmtId="0" fontId="101" fillId="0" borderId="15" xfId="94" applyFont="1" applyFill="1" applyBorder="1" applyAlignment="1">
      <alignment horizontal="center" vertical="top" wrapText="1"/>
    </xf>
    <xf numFmtId="0" fontId="94" fillId="0" borderId="17" xfId="94" applyFont="1" applyFill="1" applyBorder="1" applyAlignment="1">
      <alignment horizontal="justify" vertical="top" wrapText="1"/>
    </xf>
    <xf numFmtId="0" fontId="94" fillId="0" borderId="18" xfId="94" applyFont="1" applyFill="1" applyBorder="1" applyAlignment="1">
      <alignment horizontal="center" vertical="top" wrapText="1"/>
    </xf>
    <xf numFmtId="0" fontId="94" fillId="0" borderId="19" xfId="94" applyFont="1" applyFill="1" applyBorder="1" applyAlignment="1">
      <alignment horizontal="justify" vertical="top" wrapText="1"/>
    </xf>
    <xf numFmtId="2" fontId="101" fillId="0" borderId="15" xfId="1384" applyNumberFormat="1" applyFont="1" applyFill="1" applyBorder="1" applyAlignment="1">
      <alignment horizontal="right" vertical="center"/>
    </xf>
    <xf numFmtId="0" fontId="94" fillId="0" borderId="0" xfId="0" applyFont="1" applyFill="1" applyAlignment="1">
      <alignment horizontal="left" vertical="top"/>
    </xf>
    <xf numFmtId="165" fontId="94" fillId="0" borderId="0" xfId="0" applyNumberFormat="1" applyFont="1" applyFill="1" applyAlignment="1">
      <alignment horizontal="center" vertical="top"/>
    </xf>
    <xf numFmtId="165" fontId="94" fillId="0" borderId="0" xfId="0" applyNumberFormat="1" applyFont="1" applyFill="1" applyAlignment="1">
      <alignment vertical="top"/>
    </xf>
    <xf numFmtId="1" fontId="94" fillId="0" borderId="0" xfId="0" applyNumberFormat="1" applyFont="1" applyFill="1" applyAlignment="1">
      <alignment horizontal="center" vertical="top"/>
    </xf>
    <xf numFmtId="0" fontId="102" fillId="0" borderId="0" xfId="95" applyFont="1" applyFill="1" applyAlignment="1">
      <alignment horizontal="right" vertical="top"/>
    </xf>
    <xf numFmtId="0" fontId="102" fillId="0" borderId="0" xfId="95" applyFont="1" applyFill="1" applyAlignment="1">
      <alignment horizontal="center" vertical="top"/>
    </xf>
    <xf numFmtId="1" fontId="102" fillId="0" borderId="0" xfId="0" applyNumberFormat="1" applyFont="1" applyFill="1" applyAlignment="1">
      <alignment horizontal="center" vertical="top"/>
    </xf>
    <xf numFmtId="2" fontId="94" fillId="0" borderId="0" xfId="0" applyNumberFormat="1" applyFont="1" applyFill="1" applyAlignment="1">
      <alignment horizontal="center" vertical="top"/>
    </xf>
    <xf numFmtId="2" fontId="94" fillId="0" borderId="19" xfId="1415" applyNumberFormat="1" applyFont="1" applyFill="1" applyBorder="1" applyAlignment="1">
      <alignment horizontal="left" vertical="top" wrapText="1"/>
    </xf>
    <xf numFmtId="0" fontId="98" fillId="0" borderId="18" xfId="0" applyFont="1" applyFill="1" applyBorder="1" applyAlignment="1">
      <alignment vertical="top"/>
    </xf>
    <xf numFmtId="2" fontId="94" fillId="0" borderId="15" xfId="1273" applyNumberFormat="1" applyFont="1" applyFill="1" applyBorder="1" applyAlignment="1">
      <alignment horizontal="center" vertical="top" wrapText="1"/>
    </xf>
    <xf numFmtId="0" fontId="94" fillId="0" borderId="0" xfId="0" applyFont="1" applyFill="1" applyBorder="1" applyAlignment="1">
      <alignment vertical="top"/>
    </xf>
    <xf numFmtId="0" fontId="102" fillId="0" borderId="0" xfId="95" applyFont="1" applyFill="1" applyBorder="1" applyAlignment="1">
      <alignment horizontal="right" vertical="top"/>
    </xf>
    <xf numFmtId="0" fontId="94" fillId="0" borderId="0" xfId="0" applyFont="1" applyFill="1" applyBorder="1" applyAlignment="1">
      <alignment horizontal="center" vertical="top"/>
    </xf>
    <xf numFmtId="0" fontId="94" fillId="0" borderId="0" xfId="0" applyFont="1" applyFill="1" applyBorder="1" applyAlignment="1">
      <alignment horizontal="right" vertical="top"/>
    </xf>
    <xf numFmtId="0" fontId="94" fillId="0" borderId="15" xfId="0" applyFont="1" applyFill="1" applyBorder="1" applyAlignment="1">
      <alignment wrapText="1"/>
    </xf>
    <xf numFmtId="2" fontId="94" fillId="0" borderId="15" xfId="0" applyNumberFormat="1" applyFont="1" applyFill="1" applyBorder="1" applyAlignment="1">
      <alignment wrapText="1"/>
    </xf>
    <xf numFmtId="165" fontId="94" fillId="0" borderId="15" xfId="0" applyNumberFormat="1" applyFont="1" applyFill="1" applyBorder="1" applyAlignment="1">
      <alignment wrapText="1"/>
    </xf>
    <xf numFmtId="167" fontId="94" fillId="0" borderId="15" xfId="0" applyNumberFormat="1" applyFont="1" applyFill="1" applyBorder="1" applyAlignment="1">
      <alignment horizontal="right" wrapText="1"/>
    </xf>
    <xf numFmtId="167" fontId="101" fillId="0" borderId="15" xfId="0" applyNumberFormat="1" applyFont="1" applyFill="1" applyBorder="1" applyAlignment="1">
      <alignment horizontal="right" vertical="top" wrapText="1"/>
    </xf>
    <xf numFmtId="2" fontId="94" fillId="0" borderId="20" xfId="0" applyNumberFormat="1" applyFont="1" applyFill="1" applyBorder="1" applyAlignment="1">
      <alignment vertical="top"/>
    </xf>
    <xf numFmtId="167" fontId="101" fillId="0" borderId="15" xfId="0" applyNumberFormat="1" applyFont="1" applyFill="1" applyBorder="1" applyAlignment="1">
      <alignment horizontal="right" wrapText="1"/>
    </xf>
    <xf numFmtId="0" fontId="104" fillId="0" borderId="15" xfId="0" applyFont="1" applyFill="1" applyBorder="1" applyAlignment="1">
      <alignment horizontal="justify" vertical="justify" wrapText="1"/>
    </xf>
    <xf numFmtId="0" fontId="97" fillId="0" borderId="15" xfId="0" applyFont="1" applyFill="1" applyBorder="1" applyAlignment="1">
      <alignment horizontal="justify" vertical="justify" wrapText="1"/>
    </xf>
    <xf numFmtId="0" fontId="94" fillId="0" borderId="15" xfId="1384" applyFont="1" applyBorder="1" applyAlignment="1">
      <alignment horizontal="justify" vertical="top" wrapText="1"/>
    </xf>
    <xf numFmtId="0" fontId="117" fillId="0" borderId="0" xfId="0" applyFont="1" applyFill="1" applyAlignment="1">
      <alignment horizontal="center"/>
    </xf>
    <xf numFmtId="0" fontId="94" fillId="0" borderId="15" xfId="0" applyFont="1" applyFill="1" applyBorder="1" applyAlignment="1">
      <alignment horizontal="center" vertical="center" wrapText="1"/>
    </xf>
    <xf numFmtId="0" fontId="98" fillId="0" borderId="18" xfId="0" applyFont="1" applyFill="1" applyBorder="1" applyAlignment="1">
      <alignment horizontal="center" vertical="top"/>
    </xf>
    <xf numFmtId="0" fontId="171" fillId="0" borderId="0" xfId="0" applyFont="1" applyFill="1" applyAlignment="1">
      <alignment horizontal="center"/>
    </xf>
    <xf numFmtId="2" fontId="100" fillId="0" borderId="0" xfId="0" applyNumberFormat="1" applyFont="1" applyFill="1" applyAlignment="1">
      <alignment vertical="top"/>
    </xf>
    <xf numFmtId="1" fontId="94" fillId="0" borderId="17" xfId="0" applyNumberFormat="1" applyFont="1" applyFill="1" applyBorder="1" applyAlignment="1">
      <alignment horizontal="right" vertical="top"/>
    </xf>
    <xf numFmtId="0" fontId="116" fillId="0" borderId="0" xfId="1393" applyFont="1" applyFill="1" applyAlignment="1">
      <alignment horizontal="center" vertical="top"/>
    </xf>
    <xf numFmtId="0" fontId="116" fillId="0" borderId="17" xfId="1417" applyFont="1" applyFill="1" applyBorder="1" applyAlignment="1">
      <alignment vertical="top"/>
    </xf>
    <xf numFmtId="0" fontId="116" fillId="0" borderId="0" xfId="1417" applyFont="1" applyFill="1" applyAlignment="1">
      <alignment horizontal="center" vertical="top"/>
    </xf>
    <xf numFmtId="1" fontId="98" fillId="0" borderId="17" xfId="0" applyNumberFormat="1" applyFont="1" applyFill="1" applyBorder="1" applyAlignment="1">
      <alignment horizontal="right" vertical="top"/>
    </xf>
    <xf numFmtId="49" fontId="94" fillId="0" borderId="0" xfId="969" applyNumberFormat="1" applyFont="1" applyFill="1" applyAlignment="1">
      <alignment horizontal="center" vertical="top" wrapText="1"/>
    </xf>
    <xf numFmtId="49" fontId="100" fillId="0" borderId="0" xfId="969" applyNumberFormat="1" applyFont="1" applyFill="1" applyAlignment="1">
      <alignment horizontal="center" vertical="top" wrapText="1"/>
    </xf>
    <xf numFmtId="49" fontId="122" fillId="0" borderId="0" xfId="969" applyNumberFormat="1" applyFont="1" applyFill="1" applyAlignment="1">
      <alignment horizontal="left" vertical="top" wrapText="1"/>
    </xf>
    <xf numFmtId="0" fontId="100" fillId="0" borderId="0" xfId="969" applyFont="1" applyFill="1" applyAlignment="1">
      <alignment horizontal="left" vertical="top"/>
    </xf>
    <xf numFmtId="2" fontId="100" fillId="0" borderId="0" xfId="969" applyNumberFormat="1" applyFont="1" applyFill="1" applyAlignment="1">
      <alignment vertical="top"/>
    </xf>
    <xf numFmtId="0" fontId="100" fillId="0" borderId="0" xfId="969" applyFont="1" applyFill="1" applyAlignment="1">
      <alignment vertical="top"/>
    </xf>
    <xf numFmtId="0" fontId="100" fillId="0" borderId="0" xfId="969" applyFont="1" applyFill="1" applyAlignment="1">
      <alignment horizontal="center" vertical="top"/>
    </xf>
    <xf numFmtId="2" fontId="100" fillId="0" borderId="0" xfId="969" applyNumberFormat="1" applyFont="1" applyFill="1" applyAlignment="1">
      <alignment horizontal="right" vertical="top"/>
    </xf>
    <xf numFmtId="49" fontId="122" fillId="0" borderId="17" xfId="969" applyNumberFormat="1" applyFont="1" applyFill="1" applyBorder="1" applyAlignment="1">
      <alignment horizontal="center" vertical="top" wrapText="1"/>
    </xf>
    <xf numFmtId="49" fontId="122" fillId="0" borderId="19" xfId="969" applyNumberFormat="1" applyFont="1" applyFill="1" applyBorder="1" applyAlignment="1">
      <alignment horizontal="center" vertical="top" wrapText="1"/>
    </xf>
    <xf numFmtId="49" fontId="94" fillId="0" borderId="15" xfId="1389" applyNumberFormat="1" applyFont="1" applyFill="1" applyBorder="1" applyAlignment="1">
      <alignment horizontal="center" vertical="top" wrapText="1"/>
    </xf>
    <xf numFmtId="0" fontId="94" fillId="0" borderId="17" xfId="1384" applyFont="1" applyFill="1" applyBorder="1" applyAlignment="1">
      <alignment horizontal="justify" vertical="top" wrapText="1"/>
    </xf>
    <xf numFmtId="2" fontId="104" fillId="0" borderId="17" xfId="0" applyNumberFormat="1" applyFont="1" applyFill="1" applyBorder="1" applyAlignment="1">
      <alignment horizontal="right" vertical="top"/>
    </xf>
    <xf numFmtId="2" fontId="94" fillId="0" borderId="19" xfId="1384" applyNumberFormat="1" applyFont="1" applyFill="1" applyBorder="1" applyAlignment="1">
      <alignment horizontal="left" vertical="top"/>
    </xf>
    <xf numFmtId="2" fontId="98" fillId="0" borderId="15" xfId="1384" applyNumberFormat="1" applyFont="1" applyFill="1" applyBorder="1" applyAlignment="1">
      <alignment vertical="top"/>
    </xf>
    <xf numFmtId="2" fontId="116" fillId="0" borderId="17" xfId="1389" applyNumberFormat="1" applyFont="1" applyFill="1" applyBorder="1" applyAlignment="1">
      <alignment horizontal="right" vertical="top" wrapText="1"/>
    </xf>
    <xf numFmtId="2" fontId="116" fillId="0" borderId="19" xfId="1384" applyNumberFormat="1" applyFont="1" applyFill="1" applyBorder="1" applyAlignment="1">
      <alignment horizontal="left" vertical="top"/>
    </xf>
    <xf numFmtId="2" fontId="116" fillId="0" borderId="17" xfId="1389" applyNumberFormat="1" applyFont="1" applyFill="1" applyBorder="1" applyAlignment="1">
      <alignment horizontal="center" vertical="top" wrapText="1"/>
    </xf>
    <xf numFmtId="2" fontId="116" fillId="0" borderId="15" xfId="1384" applyNumberFormat="1" applyFont="1" applyFill="1" applyBorder="1" applyAlignment="1">
      <alignment vertical="top"/>
    </xf>
    <xf numFmtId="49" fontId="94" fillId="0" borderId="16" xfId="969" applyNumberFormat="1" applyFont="1" applyFill="1" applyBorder="1" applyAlignment="1">
      <alignment vertical="top" wrapText="1"/>
    </xf>
    <xf numFmtId="2" fontId="94" fillId="0" borderId="15" xfId="969" applyNumberFormat="1" applyFont="1" applyFill="1" applyBorder="1" applyAlignment="1">
      <alignment horizontal="right" vertical="top" wrapText="1"/>
    </xf>
    <xf numFmtId="2" fontId="100" fillId="0" borderId="0" xfId="969" applyNumberFormat="1" applyFont="1" applyFill="1" applyAlignment="1">
      <alignment horizontal="center" vertical="top" wrapText="1"/>
    </xf>
    <xf numFmtId="49" fontId="94" fillId="0" borderId="0" xfId="1389" applyNumberFormat="1" applyFont="1" applyFill="1" applyAlignment="1">
      <alignment horizontal="center" vertical="top" wrapText="1"/>
    </xf>
    <xf numFmtId="2" fontId="94" fillId="0" borderId="17" xfId="0" applyNumberFormat="1" applyFont="1" applyFill="1" applyBorder="1" applyAlignment="1">
      <alignment vertical="top"/>
    </xf>
    <xf numFmtId="2" fontId="94" fillId="0" borderId="15" xfId="1384" applyNumberFormat="1" applyFont="1" applyFill="1" applyBorder="1" applyAlignment="1">
      <alignment vertical="top"/>
    </xf>
    <xf numFmtId="49" fontId="94" fillId="0" borderId="16" xfId="969" applyNumberFormat="1" applyFont="1" applyFill="1" applyBorder="1" applyAlignment="1">
      <alignment vertical="center" wrapText="1"/>
    </xf>
    <xf numFmtId="2" fontId="100" fillId="0" borderId="0" xfId="969" applyNumberFormat="1" applyFont="1" applyFill="1" applyAlignment="1">
      <alignment horizontal="center" vertical="center" wrapText="1"/>
    </xf>
    <xf numFmtId="2" fontId="94" fillId="0" borderId="17" xfId="1389" applyNumberFormat="1" applyFont="1" applyFill="1" applyBorder="1" applyAlignment="1">
      <alignment horizontal="right" vertical="top" wrapText="1"/>
    </xf>
    <xf numFmtId="2" fontId="94" fillId="0" borderId="17" xfId="1389" applyNumberFormat="1" applyFont="1" applyFill="1" applyBorder="1" applyAlignment="1">
      <alignment horizontal="center" vertical="top" wrapText="1"/>
    </xf>
    <xf numFmtId="2" fontId="94" fillId="0" borderId="17" xfId="1389" applyNumberFormat="1" applyFont="1" applyFill="1" applyBorder="1" applyAlignment="1">
      <alignment vertical="top" wrapText="1"/>
    </xf>
    <xf numFmtId="2" fontId="94" fillId="0" borderId="15" xfId="1389" applyNumberFormat="1" applyFont="1" applyFill="1" applyBorder="1" applyAlignment="1">
      <alignment horizontal="center" vertical="top" wrapText="1"/>
    </xf>
    <xf numFmtId="2" fontId="131" fillId="0" borderId="17" xfId="1389" applyNumberFormat="1" applyFont="1" applyFill="1" applyBorder="1" applyAlignment="1">
      <alignment horizontal="right" vertical="top" wrapText="1"/>
    </xf>
    <xf numFmtId="2" fontId="131" fillId="0" borderId="19" xfId="1384" applyNumberFormat="1" applyFont="1" applyFill="1" applyBorder="1" applyAlignment="1">
      <alignment horizontal="left" vertical="top"/>
    </xf>
    <xf numFmtId="2" fontId="131" fillId="0" borderId="17" xfId="1389" applyNumberFormat="1" applyFont="1" applyFill="1" applyBorder="1" applyAlignment="1">
      <alignment horizontal="center" vertical="top" wrapText="1"/>
    </xf>
    <xf numFmtId="2" fontId="104" fillId="0" borderId="17" xfId="0" applyNumberFormat="1" applyFont="1" applyFill="1" applyBorder="1" applyAlignment="1">
      <alignment vertical="top" wrapText="1"/>
    </xf>
    <xf numFmtId="2" fontId="94" fillId="0" borderId="19" xfId="1384" applyNumberFormat="1" applyFont="1" applyFill="1" applyBorder="1" applyAlignment="1">
      <alignment vertical="top"/>
    </xf>
    <xf numFmtId="2" fontId="94" fillId="0" borderId="17" xfId="0" applyNumberFormat="1" applyFont="1" applyFill="1" applyBorder="1" applyAlignment="1">
      <alignment vertical="top" wrapText="1"/>
    </xf>
    <xf numFmtId="2" fontId="106" fillId="0" borderId="17" xfId="0" applyNumberFormat="1" applyFont="1" applyFill="1" applyBorder="1" applyAlignment="1">
      <alignment horizontal="right" vertical="top"/>
    </xf>
    <xf numFmtId="2" fontId="180" fillId="0" borderId="17" xfId="0" applyNumberFormat="1" applyFont="1" applyFill="1" applyBorder="1" applyAlignment="1">
      <alignment horizontal="right" vertical="top"/>
    </xf>
    <xf numFmtId="2" fontId="101" fillId="0" borderId="19" xfId="1384" applyNumberFormat="1" applyFont="1" applyFill="1" applyBorder="1" applyAlignment="1">
      <alignment horizontal="left" vertical="top"/>
    </xf>
    <xf numFmtId="2" fontId="94" fillId="0" borderId="0" xfId="1389" applyNumberFormat="1" applyFont="1" applyFill="1" applyAlignment="1">
      <alignment horizontal="center" vertical="top" wrapText="1"/>
    </xf>
    <xf numFmtId="0" fontId="104" fillId="0" borderId="17" xfId="0" applyFont="1" applyFill="1" applyBorder="1" applyAlignment="1">
      <alignment horizontal="right" vertical="top"/>
    </xf>
    <xf numFmtId="165" fontId="104" fillId="0" borderId="17" xfId="0" applyNumberFormat="1" applyFont="1" applyFill="1" applyBorder="1" applyAlignment="1">
      <alignment horizontal="right" vertical="top"/>
    </xf>
    <xf numFmtId="165" fontId="116" fillId="0" borderId="17" xfId="1389" applyNumberFormat="1" applyFont="1" applyFill="1" applyBorder="1" applyAlignment="1">
      <alignment horizontal="right" vertical="top" wrapText="1"/>
    </xf>
    <xf numFmtId="0" fontId="116" fillId="0" borderId="19" xfId="1384" applyFont="1" applyFill="1" applyBorder="1" applyAlignment="1">
      <alignment horizontal="left" vertical="top"/>
    </xf>
    <xf numFmtId="165" fontId="116" fillId="0" borderId="17" xfId="1389" applyNumberFormat="1" applyFont="1" applyFill="1" applyBorder="1" applyAlignment="1">
      <alignment horizontal="center" vertical="top" wrapText="1"/>
    </xf>
    <xf numFmtId="49" fontId="94" fillId="0" borderId="15" xfId="969" applyNumberFormat="1" applyFont="1" applyFill="1" applyBorder="1" applyAlignment="1">
      <alignment horizontal="center" vertical="top" wrapText="1"/>
    </xf>
    <xf numFmtId="0" fontId="101" fillId="0" borderId="15" xfId="96" applyFont="1" applyFill="1" applyBorder="1" applyAlignment="1">
      <alignment horizontal="justify" vertical="top" wrapText="1"/>
    </xf>
    <xf numFmtId="2" fontId="98" fillId="0" borderId="17" xfId="0" applyNumberFormat="1" applyFont="1" applyFill="1" applyBorder="1" applyAlignment="1">
      <alignment vertical="top"/>
    </xf>
    <xf numFmtId="0" fontId="98" fillId="0" borderId="19" xfId="95" applyFont="1" applyFill="1" applyBorder="1" applyAlignment="1">
      <alignment horizontal="left" vertical="top"/>
    </xf>
    <xf numFmtId="2" fontId="98" fillId="0" borderId="19" xfId="0" applyNumberFormat="1" applyFont="1" applyFill="1" applyBorder="1" applyAlignment="1">
      <alignment horizontal="center" vertical="top"/>
    </xf>
    <xf numFmtId="2" fontId="98" fillId="0" borderId="15" xfId="95" applyNumberFormat="1" applyFont="1" applyFill="1" applyBorder="1" applyAlignment="1">
      <alignment vertical="top"/>
    </xf>
    <xf numFmtId="165" fontId="131" fillId="0" borderId="17" xfId="969" applyNumberFormat="1" applyFont="1" applyFill="1" applyBorder="1" applyAlignment="1">
      <alignment horizontal="right" vertical="top" wrapText="1"/>
    </xf>
    <xf numFmtId="0" fontId="131" fillId="0" borderId="19" xfId="95" applyFont="1" applyFill="1" applyBorder="1" applyAlignment="1">
      <alignment horizontal="left" vertical="top"/>
    </xf>
    <xf numFmtId="165" fontId="131" fillId="0" borderId="17" xfId="969" applyNumberFormat="1" applyFont="1" applyFill="1" applyBorder="1" applyAlignment="1">
      <alignment horizontal="center" vertical="top" wrapText="1"/>
    </xf>
    <xf numFmtId="2" fontId="94" fillId="0" borderId="15" xfId="95" applyNumberFormat="1" applyFont="1" applyFill="1" applyBorder="1" applyAlignment="1">
      <alignment vertical="top"/>
    </xf>
    <xf numFmtId="2" fontId="94" fillId="0" borderId="15" xfId="95" applyNumberFormat="1" applyFont="1" applyFill="1" applyBorder="1" applyAlignment="1">
      <alignment horizontal="right" vertical="top" wrapText="1"/>
    </xf>
    <xf numFmtId="2" fontId="94" fillId="0" borderId="17" xfId="1384" applyNumberFormat="1" applyFont="1" applyFill="1" applyBorder="1" applyAlignment="1">
      <alignment vertical="top"/>
    </xf>
    <xf numFmtId="2" fontId="94" fillId="0" borderId="15" xfId="1384" applyNumberFormat="1" applyFont="1" applyFill="1" applyBorder="1" applyAlignment="1">
      <alignment horizontal="center" vertical="top"/>
    </xf>
    <xf numFmtId="165" fontId="94" fillId="0" borderId="17" xfId="1389" applyNumberFormat="1" applyFont="1" applyFill="1" applyBorder="1" applyAlignment="1">
      <alignment horizontal="right" vertical="top" wrapText="1"/>
    </xf>
    <xf numFmtId="165" fontId="94" fillId="0" borderId="17" xfId="1389" applyNumberFormat="1" applyFont="1" applyFill="1" applyBorder="1" applyAlignment="1">
      <alignment horizontal="center" vertical="top" wrapText="1"/>
    </xf>
    <xf numFmtId="2" fontId="98" fillId="0" borderId="17" xfId="95" applyNumberFormat="1" applyFont="1" applyFill="1" applyBorder="1" applyAlignment="1">
      <alignment vertical="top"/>
    </xf>
    <xf numFmtId="2" fontId="98" fillId="0" borderId="19" xfId="969" applyNumberFormat="1" applyFont="1" applyFill="1" applyBorder="1" applyAlignment="1">
      <alignment vertical="top" wrapText="1"/>
    </xf>
    <xf numFmtId="2" fontId="98" fillId="0" borderId="19" xfId="95" applyNumberFormat="1" applyFont="1" applyFill="1" applyBorder="1" applyAlignment="1">
      <alignment horizontal="center" vertical="top"/>
    </xf>
    <xf numFmtId="2" fontId="131" fillId="0" borderId="17" xfId="969" applyNumberFormat="1" applyFont="1" applyFill="1" applyBorder="1" applyAlignment="1">
      <alignment horizontal="right" vertical="top" wrapText="1"/>
    </xf>
    <xf numFmtId="2" fontId="131" fillId="0" borderId="19" xfId="969" applyNumberFormat="1" applyFont="1" applyFill="1" applyBorder="1" applyAlignment="1">
      <alignment vertical="top" wrapText="1"/>
    </xf>
    <xf numFmtId="2" fontId="131" fillId="0" borderId="17" xfId="969" applyNumberFormat="1" applyFont="1" applyFill="1" applyBorder="1" applyAlignment="1">
      <alignment horizontal="center" vertical="top" wrapText="1"/>
    </xf>
    <xf numFmtId="2" fontId="94" fillId="0" borderId="17" xfId="94" applyNumberFormat="1" applyFont="1" applyFill="1" applyBorder="1" applyAlignment="1">
      <alignment horizontal="right" vertical="top"/>
    </xf>
    <xf numFmtId="2" fontId="94" fillId="0" borderId="15" xfId="94" applyNumberFormat="1" applyFont="1" applyFill="1" applyBorder="1" applyAlignment="1">
      <alignment horizontal="center" vertical="top"/>
    </xf>
    <xf numFmtId="2" fontId="94" fillId="0" borderId="15" xfId="1384" applyNumberFormat="1" applyFont="1" applyFill="1" applyBorder="1" applyAlignment="1">
      <alignment horizontal="center" vertical="top" wrapText="1"/>
    </xf>
    <xf numFmtId="2" fontId="94" fillId="0" borderId="15" xfId="1384" applyNumberFormat="1" applyFont="1" applyFill="1" applyBorder="1" applyAlignment="1">
      <alignment horizontal="right" vertical="top" wrapText="1"/>
    </xf>
    <xf numFmtId="2" fontId="98" fillId="0" borderId="19" xfId="95" applyNumberFormat="1" applyFont="1" applyFill="1" applyBorder="1" applyAlignment="1">
      <alignment horizontal="left" vertical="top"/>
    </xf>
    <xf numFmtId="2" fontId="98" fillId="0" borderId="15" xfId="95" applyNumberFormat="1" applyFont="1" applyFill="1" applyBorder="1" applyAlignment="1">
      <alignment horizontal="center" vertical="top"/>
    </xf>
    <xf numFmtId="2" fontId="131" fillId="0" borderId="19" xfId="95" applyNumberFormat="1" applyFont="1" applyFill="1" applyBorder="1" applyAlignment="1">
      <alignment horizontal="left" vertical="top"/>
    </xf>
    <xf numFmtId="1" fontId="94" fillId="0" borderId="17" xfId="0" applyNumberFormat="1" applyFont="1" applyFill="1" applyBorder="1" applyAlignment="1">
      <alignment vertical="top"/>
    </xf>
    <xf numFmtId="2" fontId="152" fillId="0" borderId="15" xfId="0" applyNumberFormat="1" applyFont="1" applyFill="1" applyBorder="1" applyAlignment="1">
      <alignment horizontal="center" vertical="top"/>
    </xf>
    <xf numFmtId="1" fontId="98" fillId="0" borderId="17" xfId="0" applyNumberFormat="1" applyFont="1" applyFill="1" applyBorder="1" applyAlignment="1">
      <alignment vertical="top"/>
    </xf>
    <xf numFmtId="2" fontId="98" fillId="0" borderId="19" xfId="1384" applyNumberFormat="1" applyFont="1" applyFill="1" applyBorder="1" applyAlignment="1">
      <alignment horizontal="left" vertical="top"/>
    </xf>
    <xf numFmtId="2" fontId="94" fillId="0" borderId="17" xfId="969" applyNumberFormat="1" applyFont="1" applyFill="1" applyBorder="1" applyAlignment="1">
      <alignment horizontal="right" vertical="top" wrapText="1"/>
    </xf>
    <xf numFmtId="2" fontId="94" fillId="0" borderId="19" xfId="95" applyNumberFormat="1" applyFont="1" applyFill="1" applyBorder="1" applyAlignment="1">
      <alignment horizontal="left" vertical="top"/>
    </xf>
    <xf numFmtId="2" fontId="94" fillId="0" borderId="17" xfId="969" applyNumberFormat="1" applyFont="1" applyFill="1" applyBorder="1" applyAlignment="1">
      <alignment horizontal="center" vertical="top" wrapText="1"/>
    </xf>
    <xf numFmtId="2" fontId="94" fillId="0" borderId="15" xfId="0" applyNumberFormat="1" applyFont="1" applyFill="1" applyBorder="1" applyAlignment="1">
      <alignment horizontal="right" vertical="center"/>
    </xf>
    <xf numFmtId="0" fontId="94" fillId="0" borderId="15" xfId="96" applyFont="1" applyFill="1" applyBorder="1" applyAlignment="1">
      <alignment horizontal="justify" vertical="top" wrapText="1"/>
    </xf>
    <xf numFmtId="2" fontId="98" fillId="0" borderId="17" xfId="95" applyNumberFormat="1" applyFont="1" applyFill="1" applyBorder="1" applyAlignment="1">
      <alignment vertical="top" wrapText="1"/>
    </xf>
    <xf numFmtId="2" fontId="98" fillId="0" borderId="19" xfId="95" applyNumberFormat="1" applyFont="1" applyFill="1" applyBorder="1" applyAlignment="1">
      <alignment horizontal="center" vertical="top" wrapText="1"/>
    </xf>
    <xf numFmtId="2" fontId="94" fillId="0" borderId="19" xfId="969" applyNumberFormat="1" applyFont="1" applyFill="1" applyBorder="1" applyAlignment="1">
      <alignment vertical="top" wrapText="1"/>
    </xf>
    <xf numFmtId="2" fontId="94" fillId="0" borderId="15" xfId="969" applyNumberFormat="1" applyFont="1" applyFill="1" applyBorder="1" applyAlignment="1">
      <alignment horizontal="center" vertical="top" wrapText="1"/>
    </xf>
    <xf numFmtId="2" fontId="94" fillId="0" borderId="17" xfId="95" applyNumberFormat="1" applyFont="1" applyFill="1" applyBorder="1" applyAlignment="1">
      <alignment vertical="top" wrapText="1"/>
    </xf>
    <xf numFmtId="2" fontId="94" fillId="0" borderId="19" xfId="95" applyNumberFormat="1" applyFont="1" applyFill="1" applyBorder="1" applyAlignment="1">
      <alignment horizontal="center" vertical="top" wrapText="1"/>
    </xf>
    <xf numFmtId="2" fontId="94" fillId="0" borderId="17" xfId="969" applyNumberFormat="1" applyFont="1" applyFill="1" applyBorder="1" applyAlignment="1">
      <alignment vertical="top" wrapText="1"/>
    </xf>
    <xf numFmtId="2" fontId="94" fillId="0" borderId="15" xfId="1389" applyNumberFormat="1" applyFont="1" applyFill="1" applyBorder="1" applyAlignment="1">
      <alignment horizontal="right" vertical="top" wrapText="1"/>
    </xf>
    <xf numFmtId="0" fontId="101" fillId="0" borderId="17" xfId="1384" applyFont="1" applyFill="1" applyBorder="1" applyAlignment="1">
      <alignment horizontal="center" vertical="top" wrapText="1"/>
    </xf>
    <xf numFmtId="2" fontId="94" fillId="0" borderId="19" xfId="1389" applyNumberFormat="1" applyFont="1" applyFill="1" applyBorder="1" applyAlignment="1">
      <alignment vertical="top" wrapText="1"/>
    </xf>
    <xf numFmtId="2" fontId="116" fillId="0" borderId="15" xfId="1389" applyNumberFormat="1" applyFont="1" applyFill="1" applyBorder="1" applyAlignment="1">
      <alignment horizontal="right" vertical="top" wrapText="1"/>
    </xf>
    <xf numFmtId="2" fontId="94" fillId="0" borderId="16" xfId="1384" applyNumberFormat="1" applyFont="1" applyFill="1" applyBorder="1" applyAlignment="1">
      <alignment horizontal="right" vertical="top" wrapText="1"/>
    </xf>
    <xf numFmtId="49" fontId="94" fillId="0" borderId="16" xfId="1389" applyNumberFormat="1" applyFont="1" applyFill="1" applyBorder="1" applyAlignment="1">
      <alignment horizontal="center" vertical="top" wrapText="1"/>
    </xf>
    <xf numFmtId="2" fontId="100" fillId="0" borderId="0" xfId="1389" applyNumberFormat="1" applyFont="1" applyFill="1" applyAlignment="1">
      <alignment horizontal="center" vertical="center" wrapText="1"/>
    </xf>
    <xf numFmtId="2" fontId="116" fillId="0" borderId="19" xfId="1389" applyNumberFormat="1" applyFont="1" applyFill="1" applyBorder="1" applyAlignment="1">
      <alignment horizontal="left" vertical="top" wrapText="1"/>
    </xf>
    <xf numFmtId="49" fontId="94" fillId="0" borderId="16" xfId="1389" applyNumberFormat="1" applyFont="1" applyFill="1" applyBorder="1" applyAlignment="1">
      <alignment vertical="center" wrapText="1"/>
    </xf>
    <xf numFmtId="2" fontId="94" fillId="0" borderId="19" xfId="0" applyNumberFormat="1" applyFont="1" applyFill="1" applyBorder="1" applyAlignment="1">
      <alignment horizontal="center" vertical="top"/>
    </xf>
    <xf numFmtId="2" fontId="98" fillId="0" borderId="17" xfId="1384" applyNumberFormat="1" applyFont="1" applyFill="1" applyBorder="1" applyAlignment="1">
      <alignment vertical="top" wrapText="1"/>
    </xf>
    <xf numFmtId="2" fontId="98" fillId="0" borderId="19" xfId="1389" applyNumberFormat="1" applyFont="1" applyFill="1" applyBorder="1" applyAlignment="1">
      <alignment vertical="top" wrapText="1"/>
    </xf>
    <xf numFmtId="2" fontId="98" fillId="0" borderId="19" xfId="1384" applyNumberFormat="1" applyFont="1" applyFill="1" applyBorder="1" applyAlignment="1">
      <alignment horizontal="center" vertical="top" wrapText="1"/>
    </xf>
    <xf numFmtId="2" fontId="98" fillId="0" borderId="15" xfId="1389" applyNumberFormat="1" applyFont="1" applyFill="1" applyBorder="1" applyAlignment="1">
      <alignment horizontal="right" vertical="top" wrapText="1"/>
    </xf>
    <xf numFmtId="2" fontId="94" fillId="0" borderId="0" xfId="969" applyNumberFormat="1" applyFont="1" applyFill="1" applyAlignment="1">
      <alignment horizontal="right" vertical="top" wrapText="1"/>
    </xf>
    <xf numFmtId="49" fontId="94" fillId="0" borderId="15" xfId="969" applyNumberFormat="1" applyFont="1" applyFill="1" applyBorder="1" applyAlignment="1">
      <alignment horizontal="justify" vertical="top" wrapText="1"/>
    </xf>
    <xf numFmtId="2" fontId="101" fillId="0" borderId="15" xfId="969" applyNumberFormat="1" applyFont="1" applyFill="1" applyBorder="1" applyAlignment="1">
      <alignment horizontal="right" vertical="top" wrapText="1"/>
    </xf>
    <xf numFmtId="49" fontId="94" fillId="0" borderId="19" xfId="969" applyNumberFormat="1" applyFont="1" applyFill="1" applyBorder="1" applyAlignment="1">
      <alignment vertical="top" wrapText="1"/>
    </xf>
    <xf numFmtId="49" fontId="101" fillId="0" borderId="15" xfId="969" applyNumberFormat="1" applyFont="1" applyFill="1" applyBorder="1" applyAlignment="1">
      <alignment horizontal="center" vertical="top" wrapText="1"/>
    </xf>
    <xf numFmtId="49" fontId="94" fillId="0" borderId="0" xfId="969" applyNumberFormat="1" applyFont="1" applyFill="1" applyAlignment="1">
      <alignment horizontal="justify" vertical="top" wrapText="1"/>
    </xf>
    <xf numFmtId="2" fontId="94" fillId="0" borderId="0" xfId="969" applyNumberFormat="1" applyFont="1" applyFill="1" applyAlignment="1">
      <alignment vertical="top" wrapText="1"/>
    </xf>
    <xf numFmtId="49" fontId="94" fillId="0" borderId="0" xfId="969" applyNumberFormat="1" applyFont="1" applyFill="1" applyAlignment="1">
      <alignment vertical="top" wrapText="1"/>
    </xf>
    <xf numFmtId="49" fontId="94" fillId="0" borderId="0" xfId="969" applyNumberFormat="1" applyFont="1" applyFill="1" applyAlignment="1">
      <alignment horizontal="right" vertical="top" wrapText="1"/>
    </xf>
    <xf numFmtId="2" fontId="102" fillId="0" borderId="0" xfId="0" applyNumberFormat="1" applyFont="1" applyFill="1" applyAlignment="1">
      <alignment horizontal="center" vertical="top"/>
    </xf>
    <xf numFmtId="49" fontId="101" fillId="0" borderId="0" xfId="969" applyNumberFormat="1" applyFont="1" applyFill="1" applyAlignment="1">
      <alignment horizontal="center" vertical="top" wrapText="1"/>
    </xf>
    <xf numFmtId="2" fontId="94" fillId="0" borderId="0" xfId="969" applyNumberFormat="1" applyFont="1" applyFill="1" applyAlignment="1">
      <alignment horizontal="center" vertical="top" wrapText="1"/>
    </xf>
    <xf numFmtId="2" fontId="3" fillId="0" borderId="0" xfId="1426" applyNumberFormat="1" applyFont="1" applyAlignment="1">
      <alignment horizontal="center"/>
    </xf>
    <xf numFmtId="1" fontId="94" fillId="0" borderId="15" xfId="0" applyNumberFormat="1" applyFont="1" applyFill="1" applyBorder="1"/>
    <xf numFmtId="0" fontId="94" fillId="0" borderId="15" xfId="1384" applyFont="1" applyBorder="1" applyAlignment="1">
      <alignment horizontal="justify" vertical="top" wrapText="1"/>
    </xf>
    <xf numFmtId="0" fontId="103" fillId="0" borderId="15" xfId="0" applyFont="1" applyFill="1" applyBorder="1" applyAlignment="1">
      <alignment horizontal="center" vertical="top" wrapText="1"/>
    </xf>
    <xf numFmtId="0" fontId="94" fillId="0" borderId="17" xfId="0" applyFont="1" applyFill="1" applyBorder="1" applyAlignment="1">
      <alignment vertical="top" wrapText="1"/>
    </xf>
    <xf numFmtId="0" fontId="94" fillId="0" borderId="19" xfId="0" applyFont="1" applyFill="1" applyBorder="1" applyAlignment="1">
      <alignment vertical="top" wrapText="1"/>
    </xf>
    <xf numFmtId="0" fontId="143" fillId="0" borderId="18" xfId="0" applyFont="1" applyFill="1" applyBorder="1" applyAlignment="1">
      <alignment horizontal="center"/>
    </xf>
    <xf numFmtId="166" fontId="94" fillId="0" borderId="19" xfId="1415" applyNumberFormat="1" applyFont="1" applyFill="1" applyBorder="1" applyAlignment="1">
      <alignment horizontal="left" vertical="top" wrapText="1"/>
    </xf>
    <xf numFmtId="2" fontId="94" fillId="0" borderId="15" xfId="1415" applyNumberFormat="1" applyFont="1" applyFill="1" applyBorder="1" applyAlignment="1">
      <alignment horizontal="center" vertical="top" wrapText="1"/>
    </xf>
    <xf numFmtId="1" fontId="94" fillId="0" borderId="0" xfId="1415" applyNumberFormat="1" applyFont="1" applyFill="1" applyAlignment="1">
      <alignment horizontal="left" vertical="top" wrapText="1"/>
    </xf>
    <xf numFmtId="1" fontId="94" fillId="0" borderId="15" xfId="1273" applyNumberFormat="1" applyFont="1" applyFill="1" applyBorder="1" applyAlignment="1">
      <alignment horizontal="center" vertical="top" wrapText="1"/>
    </xf>
    <xf numFmtId="1" fontId="94" fillId="0" borderId="15" xfId="1415" applyNumberFormat="1" applyFont="1" applyFill="1" applyBorder="1" applyAlignment="1">
      <alignment horizontal="center" vertical="top" wrapText="1"/>
    </xf>
    <xf numFmtId="0" fontId="94" fillId="0" borderId="15" xfId="1384" applyFont="1" applyFill="1" applyBorder="1" applyAlignment="1">
      <alignment horizontal="center" vertical="top"/>
    </xf>
    <xf numFmtId="0" fontId="94" fillId="0" borderId="17" xfId="1384" applyFont="1" applyFill="1" applyBorder="1" applyAlignment="1">
      <alignment vertical="top"/>
    </xf>
    <xf numFmtId="0" fontId="94" fillId="0" borderId="15" xfId="1384" applyFont="1" applyFill="1" applyBorder="1" applyAlignment="1">
      <alignment vertical="top"/>
    </xf>
    <xf numFmtId="0" fontId="100" fillId="0" borderId="0" xfId="1384" applyFont="1" applyFill="1" applyAlignment="1">
      <alignment vertical="top"/>
    </xf>
    <xf numFmtId="0" fontId="94" fillId="0" borderId="17" xfId="1384" applyFont="1" applyFill="1" applyBorder="1" applyAlignment="1">
      <alignment horizontal="right" vertical="top" wrapText="1"/>
    </xf>
    <xf numFmtId="1" fontId="94" fillId="0" borderId="17" xfId="1384" applyNumberFormat="1" applyFont="1" applyFill="1" applyBorder="1" applyAlignment="1">
      <alignment horizontal="right" vertical="top"/>
    </xf>
    <xf numFmtId="0" fontId="94" fillId="0" borderId="17" xfId="1384" applyFont="1" applyFill="1" applyBorder="1" applyAlignment="1">
      <alignment horizontal="justify" vertical="top"/>
    </xf>
    <xf numFmtId="165" fontId="94" fillId="0" borderId="15" xfId="1384" applyNumberFormat="1" applyFont="1" applyFill="1" applyBorder="1" applyAlignment="1">
      <alignment horizontal="justify" vertical="top"/>
    </xf>
    <xf numFmtId="2" fontId="94" fillId="0" borderId="15" xfId="1384" applyNumberFormat="1" applyFont="1" applyFill="1" applyBorder="1" applyAlignment="1">
      <alignment horizontal="justify" vertical="top"/>
    </xf>
    <xf numFmtId="1" fontId="94" fillId="0" borderId="17" xfId="1384" applyNumberFormat="1" applyFont="1" applyFill="1" applyBorder="1" applyAlignment="1">
      <alignment vertical="top"/>
    </xf>
    <xf numFmtId="2" fontId="94" fillId="0" borderId="15" xfId="1384" applyNumberFormat="1" applyFont="1" applyFill="1" applyBorder="1" applyAlignment="1">
      <alignment horizontal="right" vertical="top"/>
    </xf>
    <xf numFmtId="166" fontId="94" fillId="0" borderId="15" xfId="1384" applyNumberFormat="1" applyFont="1" applyFill="1" applyBorder="1" applyAlignment="1">
      <alignment horizontal="center" vertical="top"/>
    </xf>
    <xf numFmtId="2" fontId="94" fillId="0" borderId="17" xfId="1384" applyNumberFormat="1" applyFont="1" applyFill="1" applyBorder="1" applyAlignment="1">
      <alignment horizontal="right" vertical="top"/>
    </xf>
    <xf numFmtId="0" fontId="94" fillId="0" borderId="18" xfId="1384" applyFont="1" applyFill="1" applyBorder="1" applyAlignment="1">
      <alignment horizontal="center" vertical="center"/>
    </xf>
    <xf numFmtId="1" fontId="94" fillId="0" borderId="19" xfId="1273" applyNumberFormat="1" applyFont="1" applyFill="1" applyBorder="1" applyAlignment="1">
      <alignment horizontal="right" vertical="top" wrapText="1"/>
    </xf>
    <xf numFmtId="2" fontId="94" fillId="0" borderId="15" xfId="1384" applyNumberFormat="1" applyFont="1" applyFill="1" applyBorder="1" applyAlignment="1">
      <alignment horizontal="right" vertical="center"/>
    </xf>
    <xf numFmtId="0" fontId="94" fillId="50" borderId="15" xfId="0" applyFont="1" applyFill="1" applyBorder="1" applyAlignment="1">
      <alignment horizontal="center" vertical="top"/>
    </xf>
    <xf numFmtId="0" fontId="94" fillId="50" borderId="17" xfId="0" applyFont="1" applyFill="1" applyBorder="1" applyAlignment="1">
      <alignment horizontal="right" vertical="top"/>
    </xf>
    <xf numFmtId="0" fontId="94" fillId="50" borderId="19" xfId="0" applyFont="1" applyFill="1" applyBorder="1" applyAlignment="1">
      <alignment horizontal="right" vertical="top"/>
    </xf>
    <xf numFmtId="1" fontId="94" fillId="50" borderId="15" xfId="0" applyNumberFormat="1" applyFont="1" applyFill="1" applyBorder="1" applyAlignment="1">
      <alignment horizontal="center" vertical="top"/>
    </xf>
    <xf numFmtId="2" fontId="94" fillId="50" borderId="15" xfId="1384" applyNumberFormat="1" applyFont="1" applyFill="1" applyBorder="1" applyAlignment="1">
      <alignment horizontal="right" vertical="center"/>
    </xf>
    <xf numFmtId="0" fontId="94" fillId="50" borderId="0" xfId="0" applyFont="1" applyFill="1" applyAlignment="1">
      <alignment vertical="top"/>
    </xf>
    <xf numFmtId="2" fontId="94" fillId="50" borderId="15" xfId="1384" applyNumberFormat="1" applyFont="1" applyFill="1" applyBorder="1" applyAlignment="1">
      <alignment vertical="center"/>
    </xf>
    <xf numFmtId="0" fontId="94" fillId="50" borderId="15" xfId="0" applyFont="1" applyFill="1" applyBorder="1" applyAlignment="1">
      <alignment horizontal="right" vertical="top"/>
    </xf>
    <xf numFmtId="0" fontId="95" fillId="50" borderId="0" xfId="0" applyFont="1" applyFill="1" applyAlignment="1">
      <alignment vertical="top" wrapText="1"/>
    </xf>
    <xf numFmtId="0" fontId="94" fillId="50" borderId="15" xfId="0" applyFont="1" applyFill="1" applyBorder="1"/>
    <xf numFmtId="0" fontId="94" fillId="50" borderId="17" xfId="0" applyFont="1" applyFill="1" applyBorder="1" applyAlignment="1">
      <alignment horizontal="right"/>
    </xf>
    <xf numFmtId="0" fontId="94" fillId="50" borderId="19" xfId="0" applyFont="1" applyFill="1" applyBorder="1" applyAlignment="1">
      <alignment horizontal="left"/>
    </xf>
    <xf numFmtId="165" fontId="94" fillId="50" borderId="15" xfId="0" applyNumberFormat="1" applyFont="1" applyFill="1" applyBorder="1" applyAlignment="1">
      <alignment horizontal="center"/>
    </xf>
    <xf numFmtId="0" fontId="94" fillId="50" borderId="17" xfId="0" applyFont="1" applyFill="1" applyBorder="1" applyAlignment="1">
      <alignment horizontal="center"/>
    </xf>
    <xf numFmtId="0" fontId="94" fillId="50" borderId="19" xfId="0" applyFont="1" applyFill="1" applyBorder="1" applyAlignment="1">
      <alignment horizontal="center"/>
    </xf>
    <xf numFmtId="0" fontId="94" fillId="50" borderId="15" xfId="0" applyFont="1" applyFill="1" applyBorder="1" applyAlignment="1">
      <alignment vertical="top"/>
    </xf>
    <xf numFmtId="0" fontId="100" fillId="50" borderId="0" xfId="0" applyFont="1" applyFill="1" applyAlignment="1">
      <alignment vertical="top"/>
    </xf>
    <xf numFmtId="0" fontId="94" fillId="50" borderId="18" xfId="0" applyFont="1" applyFill="1" applyBorder="1" applyAlignment="1">
      <alignment horizontal="center" vertical="top"/>
    </xf>
    <xf numFmtId="0" fontId="94" fillId="50" borderId="19" xfId="0" applyFont="1" applyFill="1" applyBorder="1" applyAlignment="1">
      <alignment horizontal="left" vertical="top"/>
    </xf>
    <xf numFmtId="165" fontId="94" fillId="50" borderId="15" xfId="0" applyNumberFormat="1" applyFont="1" applyFill="1" applyBorder="1" applyAlignment="1">
      <alignment horizontal="center" vertical="top"/>
    </xf>
    <xf numFmtId="2" fontId="99" fillId="50" borderId="17" xfId="0" applyNumberFormat="1" applyFont="1" applyFill="1" applyBorder="1" applyAlignment="1">
      <alignment horizontal="right" vertical="top"/>
    </xf>
    <xf numFmtId="2" fontId="99" fillId="50" borderId="19" xfId="0" applyNumberFormat="1" applyFont="1" applyFill="1" applyBorder="1" applyAlignment="1">
      <alignment horizontal="left" vertical="top"/>
    </xf>
    <xf numFmtId="0" fontId="98" fillId="50" borderId="17" xfId="0" applyFont="1" applyFill="1" applyBorder="1" applyAlignment="1">
      <alignment vertical="top"/>
    </xf>
    <xf numFmtId="0" fontId="98" fillId="50" borderId="18" xfId="0" applyFont="1" applyFill="1" applyBorder="1" applyAlignment="1">
      <alignment vertical="top"/>
    </xf>
    <xf numFmtId="0" fontId="98" fillId="50" borderId="19" xfId="0" applyFont="1" applyFill="1" applyBorder="1" applyAlignment="1">
      <alignment horizontal="left" vertical="top"/>
    </xf>
    <xf numFmtId="165" fontId="98" fillId="50" borderId="15" xfId="0" applyNumberFormat="1" applyFont="1" applyFill="1" applyBorder="1" applyAlignment="1">
      <alignment horizontal="center" vertical="top"/>
    </xf>
    <xf numFmtId="2" fontId="98" fillId="50" borderId="15" xfId="0" applyNumberFormat="1" applyFont="1" applyFill="1" applyBorder="1" applyAlignment="1">
      <alignment horizontal="center" vertical="top"/>
    </xf>
    <xf numFmtId="2" fontId="98" fillId="50" borderId="17" xfId="0" applyNumberFormat="1" applyFont="1" applyFill="1" applyBorder="1" applyAlignment="1">
      <alignment horizontal="right" vertical="top"/>
    </xf>
    <xf numFmtId="2" fontId="99" fillId="50" borderId="19" xfId="0" applyNumberFormat="1" applyFont="1" applyFill="1" applyBorder="1" applyAlignment="1">
      <alignment vertical="top"/>
    </xf>
    <xf numFmtId="0" fontId="116" fillId="50" borderId="15" xfId="1393" applyFont="1" applyFill="1" applyBorder="1" applyAlignment="1">
      <alignment horizontal="center" vertical="top"/>
    </xf>
    <xf numFmtId="0" fontId="94" fillId="50" borderId="15" xfId="1415" applyFont="1" applyFill="1" applyBorder="1" applyAlignment="1">
      <alignment vertical="top" wrapText="1"/>
    </xf>
    <xf numFmtId="1" fontId="94" fillId="50" borderId="17" xfId="1415" applyNumberFormat="1" applyFont="1" applyFill="1" applyBorder="1" applyAlignment="1">
      <alignment horizontal="right" vertical="top" wrapText="1"/>
    </xf>
    <xf numFmtId="1" fontId="94" fillId="50" borderId="18" xfId="1415" applyNumberFormat="1" applyFont="1" applyFill="1" applyBorder="1" applyAlignment="1">
      <alignment horizontal="center" vertical="top" wrapText="1"/>
    </xf>
    <xf numFmtId="1" fontId="94" fillId="50" borderId="19" xfId="1415" applyNumberFormat="1" applyFont="1" applyFill="1" applyBorder="1" applyAlignment="1">
      <alignment horizontal="left" vertical="top" wrapText="1"/>
    </xf>
    <xf numFmtId="165" fontId="94" fillId="50" borderId="15" xfId="1415" applyNumberFormat="1" applyFont="1" applyFill="1" applyBorder="1" applyAlignment="1">
      <alignment horizontal="center" vertical="top" wrapText="1"/>
    </xf>
    <xf numFmtId="2" fontId="94" fillId="50" borderId="17" xfId="0" applyNumberFormat="1" applyFont="1" applyFill="1" applyBorder="1" applyAlignment="1">
      <alignment horizontal="right" vertical="top"/>
    </xf>
    <xf numFmtId="0" fontId="94" fillId="50" borderId="17" xfId="0" applyFont="1" applyFill="1" applyBorder="1" applyAlignment="1">
      <alignment vertical="top"/>
    </xf>
    <xf numFmtId="165" fontId="94" fillId="50" borderId="15" xfId="0" applyNumberFormat="1" applyFont="1" applyFill="1" applyBorder="1" applyAlignment="1">
      <alignment vertical="top"/>
    </xf>
    <xf numFmtId="2" fontId="94" fillId="50" borderId="15" xfId="0" applyNumberFormat="1" applyFont="1" applyFill="1" applyBorder="1" applyAlignment="1">
      <alignment horizontal="center" vertical="top"/>
    </xf>
    <xf numFmtId="2" fontId="94" fillId="50" borderId="15" xfId="0" applyNumberFormat="1" applyFont="1" applyFill="1" applyBorder="1" applyAlignment="1">
      <alignment horizontal="right" vertical="top"/>
    </xf>
    <xf numFmtId="0" fontId="101" fillId="50" borderId="15" xfId="0" applyFont="1" applyFill="1" applyBorder="1" applyAlignment="1">
      <alignment horizontal="justify" vertical="justify" wrapText="1"/>
    </xf>
    <xf numFmtId="0" fontId="98" fillId="50" borderId="18" xfId="0" applyFont="1" applyFill="1" applyBorder="1" applyAlignment="1">
      <alignment horizontal="center" vertical="top"/>
    </xf>
    <xf numFmtId="0" fontId="116" fillId="50" borderId="0" xfId="1393" applyFont="1" applyFill="1" applyAlignment="1">
      <alignment horizontal="center" vertical="top"/>
    </xf>
    <xf numFmtId="0" fontId="94" fillId="50" borderId="17" xfId="1384" applyFont="1" applyFill="1" applyBorder="1" applyAlignment="1">
      <alignment horizontal="right" vertical="center"/>
    </xf>
    <xf numFmtId="0" fontId="94" fillId="50" borderId="19" xfId="1384" applyFont="1" applyFill="1" applyBorder="1" applyAlignment="1">
      <alignment horizontal="left" vertical="center"/>
    </xf>
    <xf numFmtId="165" fontId="94" fillId="50" borderId="15" xfId="1384" applyNumberFormat="1" applyFont="1" applyFill="1" applyBorder="1" applyAlignment="1">
      <alignment horizontal="center" vertical="center"/>
    </xf>
    <xf numFmtId="2" fontId="99" fillId="50" borderId="18" xfId="0" applyNumberFormat="1" applyFont="1" applyFill="1" applyBorder="1" applyAlignment="1">
      <alignment vertical="top"/>
    </xf>
    <xf numFmtId="0" fontId="94" fillId="50" borderId="21" xfId="1418" applyFont="1" applyFill="1" applyBorder="1" applyAlignment="1">
      <alignment horizontal="left" vertical="justify" wrapText="1"/>
    </xf>
    <xf numFmtId="0" fontId="94" fillId="50" borderId="17" xfId="138" applyFont="1" applyFill="1" applyBorder="1" applyAlignment="1">
      <alignment horizontal="right"/>
    </xf>
    <xf numFmtId="0" fontId="94" fillId="50" borderId="18" xfId="138" applyFont="1" applyFill="1" applyBorder="1" applyAlignment="1">
      <alignment horizontal="center"/>
    </xf>
    <xf numFmtId="0" fontId="94" fillId="50" borderId="19" xfId="138" applyFont="1" applyFill="1" applyBorder="1" applyAlignment="1">
      <alignment horizontal="left"/>
    </xf>
    <xf numFmtId="2" fontId="94" fillId="50" borderId="15" xfId="138" applyNumberFormat="1" applyFont="1" applyFill="1" applyBorder="1" applyAlignment="1">
      <alignment horizontal="center"/>
    </xf>
    <xf numFmtId="165" fontId="94" fillId="50" borderId="15" xfId="1273" applyNumberFormat="1" applyFont="1" applyFill="1" applyBorder="1" applyAlignment="1">
      <alignment horizontal="center" vertical="top" wrapText="1"/>
    </xf>
    <xf numFmtId="0" fontId="94" fillId="50" borderId="15" xfId="1416" applyFont="1" applyFill="1" applyBorder="1" applyAlignment="1">
      <alignment vertical="top" wrapText="1"/>
    </xf>
    <xf numFmtId="0" fontId="94" fillId="50" borderId="17" xfId="1416" applyFont="1" applyFill="1" applyBorder="1" applyAlignment="1">
      <alignment horizontal="right" vertical="top"/>
    </xf>
    <xf numFmtId="0" fontId="94" fillId="50" borderId="18" xfId="1384" applyFont="1" applyFill="1" applyBorder="1" applyAlignment="1">
      <alignment horizontal="center" vertical="top"/>
    </xf>
    <xf numFmtId="0" fontId="94" fillId="50" borderId="19" xfId="1416" applyFont="1" applyFill="1" applyBorder="1" applyAlignment="1">
      <alignment horizontal="left" vertical="top"/>
    </xf>
    <xf numFmtId="2" fontId="94" fillId="50" borderId="15" xfId="1416" applyNumberFormat="1" applyFont="1" applyFill="1" applyBorder="1" applyAlignment="1">
      <alignment horizontal="center" vertical="top"/>
    </xf>
    <xf numFmtId="165" fontId="94" fillId="50" borderId="15" xfId="1416" applyNumberFormat="1" applyFont="1" applyFill="1" applyBorder="1" applyAlignment="1">
      <alignment horizontal="center" vertical="top"/>
    </xf>
    <xf numFmtId="2" fontId="99" fillId="50" borderId="17" xfId="1384" applyNumberFormat="1" applyFont="1" applyFill="1" applyBorder="1" applyAlignment="1">
      <alignment horizontal="right" vertical="top"/>
    </xf>
    <xf numFmtId="0" fontId="94" fillId="50" borderId="17" xfId="0" applyFont="1" applyFill="1" applyBorder="1" applyAlignment="1">
      <alignment horizontal="center" vertical="top"/>
    </xf>
    <xf numFmtId="0" fontId="94" fillId="50" borderId="19" xfId="0" applyFont="1" applyFill="1" applyBorder="1" applyAlignment="1">
      <alignment horizontal="center" vertical="top"/>
    </xf>
    <xf numFmtId="0" fontId="94" fillId="50" borderId="17" xfId="1384" applyFont="1" applyFill="1" applyBorder="1" applyAlignment="1">
      <alignment horizontal="right" vertical="top"/>
    </xf>
    <xf numFmtId="0" fontId="94" fillId="50" borderId="19" xfId="1384" applyFont="1" applyFill="1" applyBorder="1" applyAlignment="1">
      <alignment horizontal="left" vertical="top"/>
    </xf>
    <xf numFmtId="165" fontId="94" fillId="50" borderId="15" xfId="1384" applyNumberFormat="1" applyFont="1" applyFill="1" applyBorder="1" applyAlignment="1">
      <alignment horizontal="center" vertical="top"/>
    </xf>
    <xf numFmtId="2" fontId="99" fillId="50" borderId="15" xfId="1384" applyNumberFormat="1" applyFont="1" applyFill="1" applyBorder="1" applyAlignment="1">
      <alignment horizontal="right" vertical="top"/>
    </xf>
    <xf numFmtId="0" fontId="94" fillId="50" borderId="15" xfId="1384" applyFont="1" applyFill="1" applyBorder="1" applyAlignment="1">
      <alignment vertical="top" wrapText="1"/>
    </xf>
    <xf numFmtId="2" fontId="94" fillId="50" borderId="19" xfId="1415" applyNumberFormat="1" applyFont="1" applyFill="1" applyBorder="1" applyAlignment="1">
      <alignment horizontal="left" vertical="top" wrapText="1"/>
    </xf>
    <xf numFmtId="0" fontId="94" fillId="50" borderId="15" xfId="1273" applyFont="1" applyFill="1" applyBorder="1" applyAlignment="1">
      <alignment vertical="top" wrapText="1"/>
    </xf>
    <xf numFmtId="1" fontId="94" fillId="50" borderId="17" xfId="1273" applyNumberFormat="1" applyFont="1" applyFill="1" applyBorder="1" applyAlignment="1">
      <alignment horizontal="right" vertical="top" wrapText="1"/>
    </xf>
    <xf numFmtId="1" fontId="94" fillId="50" borderId="18" xfId="1273" applyNumberFormat="1" applyFont="1" applyFill="1" applyBorder="1" applyAlignment="1">
      <alignment horizontal="center" vertical="top" wrapText="1"/>
    </xf>
    <xf numFmtId="1" fontId="94" fillId="50" borderId="19" xfId="1273" applyNumberFormat="1" applyFont="1" applyFill="1" applyBorder="1" applyAlignment="1">
      <alignment horizontal="left" vertical="top" wrapText="1"/>
    </xf>
    <xf numFmtId="1" fontId="94" fillId="50" borderId="17" xfId="0" applyNumberFormat="1" applyFont="1" applyFill="1" applyBorder="1" applyAlignment="1">
      <alignment horizontal="right" vertical="top"/>
    </xf>
    <xf numFmtId="2" fontId="94" fillId="50" borderId="15" xfId="1273" applyNumberFormat="1" applyFont="1" applyFill="1" applyBorder="1" applyAlignment="1">
      <alignment horizontal="center" vertical="top" wrapText="1"/>
    </xf>
    <xf numFmtId="0" fontId="98" fillId="50" borderId="15" xfId="0" applyFont="1" applyFill="1" applyBorder="1" applyAlignment="1">
      <alignment vertical="top" wrapText="1"/>
    </xf>
    <xf numFmtId="2" fontId="94" fillId="50" borderId="15" xfId="1415" applyNumberFormat="1" applyFont="1" applyFill="1" applyBorder="1" applyAlignment="1">
      <alignment horizontal="center" vertical="top" wrapText="1"/>
    </xf>
    <xf numFmtId="1" fontId="94" fillId="50" borderId="19" xfId="1273" applyNumberFormat="1" applyFont="1" applyFill="1" applyBorder="1" applyAlignment="1">
      <alignment horizontal="right" vertical="top" wrapText="1"/>
    </xf>
    <xf numFmtId="2" fontId="99" fillId="50" borderId="15" xfId="0" applyNumberFormat="1" applyFont="1" applyFill="1" applyBorder="1" applyAlignment="1">
      <alignment horizontal="right" vertical="top"/>
    </xf>
    <xf numFmtId="10" fontId="112" fillId="0" borderId="8" xfId="1384" applyNumberFormat="1" applyFont="1" applyFill="1" applyBorder="1" applyAlignment="1">
      <alignment horizontal="center" vertical="top"/>
    </xf>
    <xf numFmtId="0" fontId="112" fillId="0" borderId="29" xfId="1384" applyFont="1" applyFill="1" applyBorder="1" applyAlignment="1">
      <alignment vertical="top"/>
    </xf>
    <xf numFmtId="0" fontId="94" fillId="50" borderId="15" xfId="0" applyFont="1" applyFill="1" applyBorder="1" applyAlignment="1">
      <alignment horizontal="center" vertical="center" wrapText="1"/>
    </xf>
    <xf numFmtId="0" fontId="94" fillId="50" borderId="17" xfId="0" applyFont="1" applyFill="1" applyBorder="1" applyAlignment="1">
      <alignment horizontal="center" vertical="center" wrapText="1"/>
    </xf>
    <xf numFmtId="0" fontId="112" fillId="50" borderId="15" xfId="1384" applyFont="1" applyFill="1" applyBorder="1" applyAlignment="1">
      <alignment horizontal="center" vertical="top" wrapText="1"/>
    </xf>
    <xf numFmtId="0" fontId="94" fillId="50" borderId="19" xfId="0" applyFont="1" applyFill="1" applyBorder="1" applyAlignment="1">
      <alignment horizontal="center" vertical="center" wrapText="1"/>
    </xf>
    <xf numFmtId="0" fontId="94" fillId="50" borderId="0" xfId="0" applyFont="1" applyFill="1" applyAlignment="1">
      <alignment horizontal="center" vertical="center"/>
    </xf>
    <xf numFmtId="0" fontId="94" fillId="50" borderId="0" xfId="0" applyFont="1" applyFill="1" applyAlignment="1">
      <alignment vertical="center"/>
    </xf>
    <xf numFmtId="0" fontId="94" fillId="50" borderId="15" xfId="0" applyFont="1" applyFill="1" applyBorder="1" applyAlignment="1">
      <alignment horizontal="center" vertical="top" wrapText="1"/>
    </xf>
    <xf numFmtId="0" fontId="101" fillId="50" borderId="16" xfId="0" applyFont="1" applyFill="1" applyBorder="1" applyAlignment="1">
      <alignment horizontal="justify" vertical="top" wrapText="1"/>
    </xf>
    <xf numFmtId="0" fontId="94" fillId="50" borderId="0" xfId="0" applyFont="1" applyFill="1" applyAlignment="1">
      <alignment horizontal="center" vertical="top"/>
    </xf>
    <xf numFmtId="2" fontId="94" fillId="50" borderId="15" xfId="0" applyNumberFormat="1" applyFont="1" applyFill="1" applyBorder="1" applyAlignment="1">
      <alignment horizontal="center" vertical="top" wrapText="1"/>
    </xf>
    <xf numFmtId="2" fontId="94" fillId="50" borderId="15" xfId="0" applyNumberFormat="1" applyFont="1" applyFill="1" applyBorder="1" applyAlignment="1">
      <alignment vertical="top"/>
    </xf>
    <xf numFmtId="2" fontId="94" fillId="50" borderId="15" xfId="0" applyNumberFormat="1" applyFont="1" applyFill="1" applyBorder="1" applyAlignment="1">
      <alignment horizontal="right" vertical="top" wrapText="1"/>
    </xf>
    <xf numFmtId="2" fontId="94" fillId="50" borderId="15" xfId="0" applyNumberFormat="1" applyFont="1" applyFill="1" applyBorder="1" applyAlignment="1">
      <alignment horizontal="center" vertical="top" shrinkToFit="1"/>
    </xf>
    <xf numFmtId="2" fontId="101" fillId="50" borderId="15" xfId="0" applyNumberFormat="1" applyFont="1" applyFill="1" applyBorder="1" applyAlignment="1">
      <alignment horizontal="center" vertical="top" wrapText="1"/>
    </xf>
    <xf numFmtId="0" fontId="101" fillId="50" borderId="15" xfId="0" applyFont="1" applyFill="1" applyBorder="1" applyAlignment="1">
      <alignment horizontal="center" vertical="top" wrapText="1"/>
    </xf>
    <xf numFmtId="0" fontId="101" fillId="50" borderId="15" xfId="0" applyFont="1" applyFill="1" applyBorder="1" applyAlignment="1">
      <alignment horizontal="right" vertical="top" wrapText="1"/>
    </xf>
    <xf numFmtId="2" fontId="101" fillId="50" borderId="15" xfId="0" applyNumberFormat="1" applyFont="1" applyFill="1" applyBorder="1" applyAlignment="1">
      <alignment vertical="top"/>
    </xf>
    <xf numFmtId="2" fontId="101" fillId="50" borderId="15" xfId="0" applyNumberFormat="1" applyFont="1" applyFill="1" applyBorder="1" applyAlignment="1">
      <alignment horizontal="right" vertical="top" wrapText="1"/>
    </xf>
    <xf numFmtId="165" fontId="94" fillId="50" borderId="15" xfId="0" applyNumberFormat="1" applyFont="1" applyFill="1" applyBorder="1" applyAlignment="1">
      <alignment horizontal="center" vertical="top" wrapText="1"/>
    </xf>
    <xf numFmtId="0" fontId="94" fillId="50" borderId="15" xfId="0" applyFont="1" applyFill="1" applyBorder="1" applyAlignment="1">
      <alignment horizontal="right" vertical="top" wrapText="1"/>
    </xf>
    <xf numFmtId="1" fontId="94" fillId="50" borderId="15" xfId="0" applyNumberFormat="1" applyFont="1" applyFill="1" applyBorder="1" applyAlignment="1">
      <alignment horizontal="center" vertical="top" wrapText="1"/>
    </xf>
    <xf numFmtId="165" fontId="152" fillId="50" borderId="15" xfId="0" applyNumberFormat="1" applyFont="1" applyFill="1" applyBorder="1" applyAlignment="1">
      <alignment horizontal="center" vertical="top"/>
    </xf>
    <xf numFmtId="0" fontId="94" fillId="50" borderId="0" xfId="0" applyFont="1" applyFill="1" applyAlignment="1">
      <alignment horizontal="right" vertical="top"/>
    </xf>
    <xf numFmtId="0" fontId="112" fillId="50" borderId="8" xfId="1384" applyFont="1" applyFill="1" applyBorder="1" applyAlignment="1">
      <alignment horizontal="center" vertical="top" wrapText="1"/>
    </xf>
    <xf numFmtId="167" fontId="94" fillId="50" borderId="15" xfId="0" applyNumberFormat="1" applyFont="1" applyFill="1" applyBorder="1" applyAlignment="1">
      <alignment horizontal="center" vertical="top" wrapText="1"/>
    </xf>
    <xf numFmtId="2" fontId="94" fillId="50" borderId="15" xfId="0" applyNumberFormat="1" applyFont="1" applyFill="1" applyBorder="1" applyAlignment="1">
      <alignment horizontal="right" vertical="top" shrinkToFit="1"/>
    </xf>
    <xf numFmtId="2" fontId="101" fillId="50" borderId="15" xfId="0" applyNumberFormat="1" applyFont="1" applyFill="1" applyBorder="1" applyAlignment="1">
      <alignment horizontal="center" vertical="top" shrinkToFit="1"/>
    </xf>
    <xf numFmtId="49" fontId="94" fillId="50" borderId="15" xfId="0" applyNumberFormat="1" applyFont="1" applyFill="1" applyBorder="1" applyAlignment="1">
      <alignment horizontal="center" vertical="top" shrinkToFit="1"/>
    </xf>
    <xf numFmtId="9" fontId="94" fillId="50" borderId="15" xfId="1399" applyFont="1" applyFill="1" applyBorder="1" applyAlignment="1">
      <alignment horizontal="center" vertical="top" shrinkToFit="1"/>
    </xf>
    <xf numFmtId="0" fontId="94" fillId="50" borderId="15" xfId="0" applyFont="1" applyFill="1" applyBorder="1" applyAlignment="1">
      <alignment horizontal="center" vertical="top" shrinkToFit="1"/>
    </xf>
    <xf numFmtId="170" fontId="101" fillId="50" borderId="15" xfId="0" applyNumberFormat="1" applyFont="1" applyFill="1" applyBorder="1" applyAlignment="1">
      <alignment horizontal="center" vertical="top" wrapText="1"/>
    </xf>
    <xf numFmtId="0" fontId="94" fillId="50" borderId="15" xfId="0" applyFont="1" applyFill="1" applyBorder="1" applyAlignment="1">
      <alignment vertical="top" wrapText="1"/>
    </xf>
    <xf numFmtId="170" fontId="94" fillId="50" borderId="0" xfId="0" applyNumberFormat="1" applyFont="1" applyFill="1" applyAlignment="1">
      <alignment horizontal="center" vertical="top" wrapText="1"/>
    </xf>
    <xf numFmtId="165" fontId="94" fillId="50" borderId="15" xfId="0" applyNumberFormat="1" applyFont="1" applyFill="1" applyBorder="1" applyAlignment="1">
      <alignment horizontal="center" vertical="top" shrinkToFit="1"/>
    </xf>
    <xf numFmtId="2" fontId="101" fillId="50" borderId="15" xfId="0" applyNumberFormat="1" applyFont="1" applyFill="1" applyBorder="1" applyAlignment="1">
      <alignment horizontal="right" vertical="top" shrinkToFit="1"/>
    </xf>
    <xf numFmtId="170" fontId="101" fillId="50" borderId="0" xfId="0" applyNumberFormat="1" applyFont="1" applyFill="1" applyAlignment="1">
      <alignment horizontal="center" vertical="top" wrapText="1"/>
    </xf>
    <xf numFmtId="0" fontId="94" fillId="50" borderId="15" xfId="0" applyFont="1" applyFill="1" applyBorder="1" applyAlignment="1">
      <alignment horizontal="justify" vertical="top"/>
    </xf>
    <xf numFmtId="2" fontId="94" fillId="50" borderId="15" xfId="0" applyNumberFormat="1" applyFont="1" applyFill="1" applyBorder="1" applyAlignment="1">
      <alignment vertical="top" shrinkToFit="1"/>
    </xf>
    <xf numFmtId="2" fontId="101" fillId="50" borderId="15" xfId="0" applyNumberFormat="1" applyFont="1" applyFill="1" applyBorder="1" applyAlignment="1">
      <alignment horizontal="center" vertical="top"/>
    </xf>
    <xf numFmtId="0" fontId="94" fillId="50" borderId="15" xfId="0" applyFont="1" applyFill="1" applyBorder="1" applyAlignment="1">
      <alignment horizontal="center" vertical="justify" wrapText="1"/>
    </xf>
    <xf numFmtId="0" fontId="94" fillId="50" borderId="15" xfId="0" applyFont="1" applyFill="1" applyBorder="1" applyAlignment="1">
      <alignment horizontal="justify" vertical="justify" wrapText="1"/>
    </xf>
    <xf numFmtId="0" fontId="94" fillId="50" borderId="15" xfId="0" applyFont="1" applyFill="1" applyBorder="1" applyAlignment="1">
      <alignment wrapText="1"/>
    </xf>
    <xf numFmtId="2" fontId="94" fillId="50" borderId="15" xfId="0" applyNumberFormat="1" applyFont="1" applyFill="1" applyBorder="1" applyAlignment="1">
      <alignment wrapText="1"/>
    </xf>
    <xf numFmtId="165" fontId="94" fillId="50" borderId="15" xfId="0" applyNumberFormat="1" applyFont="1" applyFill="1" applyBorder="1" applyAlignment="1">
      <alignment wrapText="1"/>
    </xf>
    <xf numFmtId="167" fontId="94" fillId="50" borderId="15" xfId="0" applyNumberFormat="1" applyFont="1" applyFill="1" applyBorder="1" applyAlignment="1">
      <alignment horizontal="right" wrapText="1"/>
    </xf>
    <xf numFmtId="167" fontId="101" fillId="50" borderId="15" xfId="0" applyNumberFormat="1" applyFont="1" applyFill="1" applyBorder="1" applyAlignment="1">
      <alignment horizontal="right" vertical="top" wrapText="1"/>
    </xf>
    <xf numFmtId="2" fontId="94" fillId="50" borderId="0" xfId="0" applyNumberFormat="1" applyFont="1" applyFill="1" applyAlignment="1">
      <alignment vertical="top"/>
    </xf>
    <xf numFmtId="2" fontId="94" fillId="50" borderId="20" xfId="0" applyNumberFormat="1" applyFont="1" applyFill="1" applyBorder="1" applyAlignment="1">
      <alignment vertical="top"/>
    </xf>
    <xf numFmtId="0" fontId="112" fillId="50" borderId="8" xfId="1384" applyFont="1" applyFill="1" applyBorder="1" applyAlignment="1">
      <alignment horizontal="center" vertical="top"/>
    </xf>
    <xf numFmtId="2" fontId="112" fillId="50" borderId="28" xfId="1384" applyNumberFormat="1" applyFont="1" applyFill="1" applyBorder="1" applyAlignment="1">
      <alignment horizontal="right" vertical="top" wrapText="1"/>
    </xf>
    <xf numFmtId="0" fontId="112" fillId="50" borderId="29" xfId="1384" applyFont="1" applyFill="1" applyBorder="1" applyAlignment="1">
      <alignment horizontal="justify" vertical="top" wrapText="1"/>
    </xf>
    <xf numFmtId="1" fontId="112" fillId="50" borderId="28" xfId="1384" applyNumberFormat="1" applyFont="1" applyFill="1" applyBorder="1" applyAlignment="1">
      <alignment vertical="top" wrapText="1"/>
    </xf>
    <xf numFmtId="0" fontId="112" fillId="50" borderId="29" xfId="1384" applyFont="1" applyFill="1" applyBorder="1" applyAlignment="1">
      <alignment horizontal="left" vertical="top" wrapText="1"/>
    </xf>
    <xf numFmtId="2" fontId="112" fillId="50" borderId="8" xfId="1384" applyNumberFormat="1" applyFont="1" applyFill="1" applyBorder="1" applyAlignment="1">
      <alignment horizontal="center" vertical="top"/>
    </xf>
    <xf numFmtId="2" fontId="112" fillId="50" borderId="8" xfId="1384" applyNumberFormat="1" applyFont="1" applyFill="1" applyBorder="1" applyAlignment="1">
      <alignment vertical="top"/>
    </xf>
    <xf numFmtId="0" fontId="94" fillId="50" borderId="0" xfId="1384" applyFont="1" applyFill="1"/>
    <xf numFmtId="0" fontId="112" fillId="50" borderId="8" xfId="1384" applyFont="1" applyFill="1" applyBorder="1" applyAlignment="1">
      <alignment horizontal="justify" vertical="top" wrapText="1"/>
    </xf>
    <xf numFmtId="0" fontId="112" fillId="50" borderId="28" xfId="1384" applyFont="1" applyFill="1" applyBorder="1" applyAlignment="1">
      <alignment vertical="top" wrapText="1"/>
    </xf>
    <xf numFmtId="0" fontId="112" fillId="50" borderId="29" xfId="1384" applyFont="1" applyFill="1" applyBorder="1" applyAlignment="1">
      <alignment vertical="top" wrapText="1"/>
    </xf>
    <xf numFmtId="0" fontId="112" fillId="50" borderId="8" xfId="1384" applyFont="1" applyFill="1" applyBorder="1" applyAlignment="1">
      <alignment vertical="top" wrapText="1"/>
    </xf>
    <xf numFmtId="0" fontId="112" fillId="50" borderId="28" xfId="1384" applyFont="1" applyFill="1" applyBorder="1" applyAlignment="1">
      <alignment horizontal="justify" vertical="top" wrapText="1"/>
    </xf>
    <xf numFmtId="0" fontId="113" fillId="50" borderId="8" xfId="1384" applyFont="1" applyFill="1" applyBorder="1" applyAlignment="1">
      <alignment horizontal="justify" vertical="top" wrapText="1"/>
    </xf>
    <xf numFmtId="2" fontId="112" fillId="50" borderId="28" xfId="1384" applyNumberFormat="1" applyFont="1" applyFill="1" applyBorder="1" applyAlignment="1">
      <alignment horizontal="center" vertical="top" wrapText="1"/>
    </xf>
    <xf numFmtId="2" fontId="112" fillId="50" borderId="29" xfId="1384" applyNumberFormat="1" applyFont="1" applyFill="1" applyBorder="1" applyAlignment="1">
      <alignment horizontal="center" vertical="top" wrapText="1"/>
    </xf>
    <xf numFmtId="1" fontId="113" fillId="50" borderId="28" xfId="1384" applyNumberFormat="1" applyFont="1" applyFill="1" applyBorder="1" applyAlignment="1">
      <alignment horizontal="center" vertical="top" wrapText="1"/>
    </xf>
    <xf numFmtId="1" fontId="113" fillId="50" borderId="29" xfId="1384" applyNumberFormat="1" applyFont="1" applyFill="1" applyBorder="1" applyAlignment="1">
      <alignment horizontal="center" vertical="top" wrapText="1"/>
    </xf>
    <xf numFmtId="2" fontId="112" fillId="50" borderId="8" xfId="1384" applyNumberFormat="1" applyFont="1" applyFill="1" applyBorder="1" applyAlignment="1">
      <alignment horizontal="right" vertical="top"/>
    </xf>
    <xf numFmtId="2" fontId="112" fillId="50" borderId="8" xfId="1384" applyNumberFormat="1" applyFont="1" applyFill="1" applyBorder="1" applyAlignment="1">
      <alignment horizontal="left" vertical="top"/>
    </xf>
    <xf numFmtId="4" fontId="112" fillId="50" borderId="29" xfId="1384" applyNumberFormat="1" applyFont="1" applyFill="1" applyBorder="1" applyAlignment="1">
      <alignment horizontal="left" vertical="top" wrapText="1"/>
    </xf>
    <xf numFmtId="0" fontId="112" fillId="50" borderId="8" xfId="1384" applyFont="1" applyFill="1" applyBorder="1" applyAlignment="1">
      <alignment horizontal="left" vertical="top" wrapText="1"/>
    </xf>
    <xf numFmtId="1" fontId="113" fillId="50" borderId="28" xfId="1384" applyNumberFormat="1" applyFont="1" applyFill="1" applyBorder="1" applyAlignment="1">
      <alignment vertical="top" wrapText="1"/>
    </xf>
    <xf numFmtId="2" fontId="113" fillId="50" borderId="8" xfId="1384" applyNumberFormat="1" applyFont="1" applyFill="1" applyBorder="1" applyAlignment="1">
      <alignment horizontal="right" vertical="top"/>
    </xf>
    <xf numFmtId="0" fontId="94" fillId="50" borderId="8" xfId="1384" applyFont="1" applyFill="1" applyBorder="1"/>
    <xf numFmtId="0" fontId="94" fillId="50" borderId="8" xfId="1384" applyFont="1" applyFill="1" applyBorder="1" applyAlignment="1">
      <alignment horizontal="center" vertical="top"/>
    </xf>
    <xf numFmtId="0" fontId="112" fillId="50" borderId="28" xfId="1384" applyFont="1" applyFill="1" applyBorder="1" applyAlignment="1">
      <alignment vertical="top"/>
    </xf>
    <xf numFmtId="0" fontId="112" fillId="50" borderId="8" xfId="1384" applyFont="1" applyFill="1" applyBorder="1" applyAlignment="1">
      <alignment vertical="top"/>
    </xf>
    <xf numFmtId="0" fontId="97" fillId="50" borderId="26" xfId="0" applyFont="1" applyFill="1" applyBorder="1" applyAlignment="1">
      <alignment horizontal="justify" vertical="top" wrapText="1"/>
    </xf>
    <xf numFmtId="0" fontId="97" fillId="50" borderId="26" xfId="0" quotePrefix="1" applyFont="1" applyFill="1" applyBorder="1" applyAlignment="1">
      <alignment horizontal="justify" vertical="top" wrapText="1"/>
    </xf>
    <xf numFmtId="2" fontId="112" fillId="50" borderId="8" xfId="1384" applyNumberFormat="1" applyFont="1" applyFill="1" applyBorder="1" applyAlignment="1">
      <alignment horizontal="center" vertical="top" wrapText="1"/>
    </xf>
    <xf numFmtId="2" fontId="112" fillId="50" borderId="8" xfId="1384" applyNumberFormat="1" applyFont="1" applyFill="1" applyBorder="1" applyAlignment="1">
      <alignment horizontal="justify" vertical="top" wrapText="1"/>
    </xf>
    <xf numFmtId="1" fontId="112" fillId="50" borderId="28" xfId="1384" applyNumberFormat="1" applyFont="1" applyFill="1" applyBorder="1" applyAlignment="1">
      <alignment horizontal="right" vertical="top" wrapText="1"/>
    </xf>
    <xf numFmtId="2" fontId="112" fillId="50" borderId="8" xfId="1384" applyNumberFormat="1" applyFont="1" applyFill="1" applyBorder="1" applyAlignment="1">
      <alignment horizontal="justify" vertical="top"/>
    </xf>
    <xf numFmtId="165" fontId="112" fillId="50" borderId="28" xfId="1384" applyNumberFormat="1" applyFont="1" applyFill="1" applyBorder="1" applyAlignment="1">
      <alignment horizontal="right" vertical="top" wrapText="1"/>
    </xf>
    <xf numFmtId="2" fontId="113" fillId="50" borderId="28" xfId="1384" applyNumberFormat="1" applyFont="1" applyFill="1" applyBorder="1" applyAlignment="1">
      <alignment vertical="top" wrapText="1"/>
    </xf>
    <xf numFmtId="0" fontId="113" fillId="50" borderId="29" xfId="1384" applyFont="1" applyFill="1" applyBorder="1" applyAlignment="1">
      <alignment horizontal="left" vertical="top" wrapText="1"/>
    </xf>
    <xf numFmtId="2" fontId="113" fillId="50" borderId="8" xfId="1384" applyNumberFormat="1" applyFont="1" applyFill="1" applyBorder="1" applyAlignment="1">
      <alignment horizontal="center" vertical="top"/>
    </xf>
    <xf numFmtId="0" fontId="112" fillId="50" borderId="8" xfId="1384" applyFont="1" applyFill="1" applyBorder="1" applyAlignment="1">
      <alignment horizontal="left" vertical="top"/>
    </xf>
    <xf numFmtId="10" fontId="112" fillId="50" borderId="8" xfId="1384" applyNumberFormat="1" applyFont="1" applyFill="1" applyBorder="1" applyAlignment="1">
      <alignment horizontal="center" vertical="top"/>
    </xf>
    <xf numFmtId="0" fontId="112" fillId="50" borderId="29" xfId="1384" applyFont="1" applyFill="1" applyBorder="1" applyAlignment="1">
      <alignment vertical="top"/>
    </xf>
    <xf numFmtId="0" fontId="94" fillId="50" borderId="28" xfId="1384" applyFont="1" applyFill="1" applyBorder="1"/>
    <xf numFmtId="0" fontId="94" fillId="50" borderId="29" xfId="1384" applyFont="1" applyFill="1" applyBorder="1"/>
    <xf numFmtId="0" fontId="112" fillId="50" borderId="28" xfId="1384" applyFont="1" applyFill="1" applyBorder="1" applyAlignment="1">
      <alignment horizontal="right" vertical="top" wrapText="1"/>
    </xf>
    <xf numFmtId="2" fontId="112" fillId="50" borderId="8" xfId="1384" applyNumberFormat="1" applyFont="1" applyFill="1" applyBorder="1" applyAlignment="1">
      <alignment horizontal="right" vertical="top" wrapText="1"/>
    </xf>
    <xf numFmtId="0" fontId="113" fillId="50" borderId="8" xfId="1384" applyFont="1" applyFill="1" applyBorder="1" applyAlignment="1">
      <alignment horizontal="center" vertical="top" wrapText="1"/>
    </xf>
    <xf numFmtId="2" fontId="113" fillId="50" borderId="28" xfId="1384" applyNumberFormat="1" applyFont="1" applyFill="1" applyBorder="1" applyAlignment="1">
      <alignment horizontal="right" vertical="top" wrapText="1"/>
    </xf>
    <xf numFmtId="0" fontId="113" fillId="50" borderId="29" xfId="1384" applyFont="1" applyFill="1" applyBorder="1" applyAlignment="1">
      <alignment horizontal="justify" vertical="top" wrapText="1"/>
    </xf>
    <xf numFmtId="2" fontId="113" fillId="50" borderId="8" xfId="1384" applyNumberFormat="1" applyFont="1" applyFill="1" applyBorder="1" applyAlignment="1">
      <alignment vertical="top"/>
    </xf>
    <xf numFmtId="0" fontId="2" fillId="0" borderId="15" xfId="1426" applyFont="1" applyBorder="1" applyAlignment="1">
      <alignment horizontal="center" vertical="top" wrapText="1"/>
    </xf>
    <xf numFmtId="2" fontId="2" fillId="0" borderId="15" xfId="1426" applyNumberFormat="1" applyFont="1" applyBorder="1" applyAlignment="1">
      <alignment horizontal="center" vertical="top" wrapText="1"/>
    </xf>
    <xf numFmtId="2" fontId="2" fillId="0" borderId="15" xfId="1426" applyNumberFormat="1" applyFont="1" applyBorder="1" applyAlignment="1">
      <alignment horizontal="justify" vertical="top" wrapText="1"/>
    </xf>
    <xf numFmtId="49" fontId="2" fillId="0" borderId="15" xfId="1426" applyNumberFormat="1" applyFont="1" applyBorder="1" applyAlignment="1">
      <alignment horizontal="center" vertical="top" wrapText="1"/>
    </xf>
    <xf numFmtId="1" fontId="2" fillId="0" borderId="15" xfId="1426" applyNumberFormat="1" applyFont="1" applyBorder="1" applyAlignment="1">
      <alignment horizontal="center" vertical="top" wrapText="1"/>
    </xf>
    <xf numFmtId="0" fontId="94" fillId="0" borderId="15" xfId="0" applyFont="1" applyFill="1" applyBorder="1" applyAlignment="1">
      <alignment horizontal="justify" vertical="top" wrapText="1"/>
    </xf>
    <xf numFmtId="0" fontId="94" fillId="50" borderId="15" xfId="0" applyFont="1" applyFill="1" applyBorder="1" applyAlignment="1">
      <alignment horizontal="justify" vertical="top" wrapText="1"/>
    </xf>
    <xf numFmtId="0" fontId="101" fillId="0" borderId="15" xfId="0" applyFont="1" applyFill="1" applyBorder="1" applyAlignment="1">
      <alignment horizontal="justify" vertical="top" wrapText="1"/>
    </xf>
    <xf numFmtId="0" fontId="101" fillId="50" borderId="15" xfId="0" applyFont="1" applyFill="1" applyBorder="1" applyAlignment="1">
      <alignment horizontal="justify" vertical="top" wrapText="1"/>
    </xf>
    <xf numFmtId="0" fontId="94" fillId="0" borderId="15" xfId="1384" applyFont="1" applyFill="1" applyBorder="1" applyAlignment="1">
      <alignment horizontal="justify" vertical="top"/>
    </xf>
    <xf numFmtId="0" fontId="94" fillId="0" borderId="15" xfId="1384" applyFont="1" applyFill="1" applyBorder="1" applyAlignment="1">
      <alignment horizontal="justify" vertical="top" wrapText="1"/>
    </xf>
    <xf numFmtId="0" fontId="94" fillId="0" borderId="15" xfId="94" applyFont="1" applyFill="1" applyBorder="1" applyAlignment="1">
      <alignment horizontal="justify" vertical="top" wrapText="1"/>
    </xf>
    <xf numFmtId="0" fontId="94" fillId="0" borderId="17" xfId="0" applyFont="1" applyFill="1" applyBorder="1" applyAlignment="1">
      <alignment horizontal="center" vertical="top" wrapText="1"/>
    </xf>
    <xf numFmtId="0" fontId="94" fillId="0" borderId="18" xfId="0" applyFont="1" applyFill="1" applyBorder="1" applyAlignment="1">
      <alignment horizontal="center" vertical="top" wrapText="1"/>
    </xf>
    <xf numFmtId="0" fontId="94" fillId="0" borderId="19" xfId="0" applyFont="1" applyFill="1" applyBorder="1" applyAlignment="1">
      <alignment horizontal="center" vertical="top" wrapText="1"/>
    </xf>
    <xf numFmtId="0" fontId="95" fillId="0" borderId="15" xfId="0" applyFont="1" applyFill="1" applyBorder="1" applyAlignment="1">
      <alignment horizontal="center" vertical="center" wrapText="1"/>
    </xf>
    <xf numFmtId="1" fontId="95" fillId="0" borderId="15" xfId="0" applyNumberFormat="1" applyFont="1" applyFill="1" applyBorder="1" applyAlignment="1">
      <alignment horizontal="center" vertical="center" wrapText="1"/>
    </xf>
    <xf numFmtId="0" fontId="94" fillId="0" borderId="15" xfId="0" applyFont="1" applyFill="1" applyBorder="1" applyAlignment="1">
      <alignment horizontal="center" vertical="center" wrapText="1"/>
    </xf>
    <xf numFmtId="0" fontId="105" fillId="0" borderId="8" xfId="1384" applyFont="1" applyFill="1" applyBorder="1" applyAlignment="1">
      <alignment horizontal="center" vertical="top" wrapText="1"/>
    </xf>
    <xf numFmtId="168" fontId="105" fillId="0" borderId="8" xfId="1384" applyNumberFormat="1" applyFont="1" applyFill="1" applyBorder="1" applyAlignment="1">
      <alignment horizontal="center" vertical="top" wrapText="1"/>
    </xf>
    <xf numFmtId="170" fontId="105" fillId="0" borderId="8" xfId="1384" applyNumberFormat="1" applyFont="1" applyFill="1" applyBorder="1" applyAlignment="1">
      <alignment horizontal="center" vertical="top" wrapText="1"/>
    </xf>
    <xf numFmtId="49" fontId="122" fillId="0" borderId="15" xfId="969" applyNumberFormat="1" applyFont="1" applyFill="1" applyBorder="1" applyAlignment="1">
      <alignment horizontal="center" vertical="top" wrapText="1"/>
    </xf>
    <xf numFmtId="2" fontId="122" fillId="0" borderId="15" xfId="969" applyNumberFormat="1" applyFont="1" applyFill="1" applyBorder="1" applyAlignment="1">
      <alignment horizontal="center" vertical="top" wrapText="1"/>
    </xf>
    <xf numFmtId="49" fontId="122" fillId="0" borderId="15" xfId="969" applyNumberFormat="1" applyFont="1" applyBorder="1" applyAlignment="1">
      <alignment horizontal="center" vertical="top" wrapText="1"/>
    </xf>
    <xf numFmtId="2" fontId="122" fillId="0" borderId="15" xfId="969" applyNumberFormat="1" applyFont="1" applyBorder="1" applyAlignment="1">
      <alignment horizontal="center" vertical="top" wrapText="1"/>
    </xf>
    <xf numFmtId="165" fontId="94" fillId="0" borderId="19" xfId="0" applyNumberFormat="1" applyFont="1" applyFill="1" applyBorder="1" applyAlignment="1">
      <alignment horizontal="left" vertical="top"/>
    </xf>
    <xf numFmtId="2" fontId="99" fillId="0" borderId="15" xfId="0" applyNumberFormat="1" applyFont="1" applyFill="1" applyBorder="1" applyAlignment="1">
      <alignment horizontal="right" vertical="top"/>
    </xf>
    <xf numFmtId="2" fontId="99" fillId="0" borderId="15" xfId="1384" applyNumberFormat="1" applyFont="1" applyFill="1" applyBorder="1" applyAlignment="1">
      <alignment horizontal="right" vertical="top"/>
    </xf>
    <xf numFmtId="165" fontId="94" fillId="0" borderId="19" xfId="1273" applyNumberFormat="1" applyFont="1" applyFill="1" applyBorder="1" applyAlignment="1">
      <alignment horizontal="left" vertical="top" wrapText="1"/>
    </xf>
    <xf numFmtId="0" fontId="116" fillId="0" borderId="15" xfId="1393" applyFont="1" applyFill="1" applyBorder="1" applyAlignment="1">
      <alignment horizontal="center" vertical="top"/>
    </xf>
    <xf numFmtId="0" fontId="101" fillId="0" borderId="15" xfId="0" applyFont="1" applyFill="1" applyBorder="1" applyAlignment="1">
      <alignment horizontal="center" vertical="justify" wrapText="1"/>
    </xf>
    <xf numFmtId="0" fontId="94" fillId="50" borderId="15" xfId="1384" applyFont="1" applyFill="1" applyBorder="1" applyAlignment="1">
      <alignment horizontal="justify" vertical="justify" wrapText="1"/>
    </xf>
    <xf numFmtId="2" fontId="112" fillId="50" borderId="28" xfId="1384" applyNumberFormat="1" applyFont="1" applyFill="1" applyBorder="1" applyAlignment="1">
      <alignment horizontal="justify" vertical="top" wrapText="1"/>
    </xf>
    <xf numFmtId="2" fontId="112" fillId="0" borderId="28" xfId="1384" applyNumberFormat="1" applyFont="1" applyFill="1" applyBorder="1" applyAlignment="1">
      <alignment horizontal="justify" vertical="top" wrapText="1"/>
    </xf>
    <xf numFmtId="2" fontId="99" fillId="0" borderId="19" xfId="1384" applyNumberFormat="1" applyFont="1" applyFill="1" applyBorder="1" applyAlignment="1">
      <alignment horizontal="left" vertical="top"/>
    </xf>
    <xf numFmtId="2" fontId="1" fillId="0" borderId="15" xfId="1426" applyNumberFormat="1" applyFont="1" applyBorder="1" applyAlignment="1">
      <alignment horizontal="center" vertical="top" wrapText="1"/>
    </xf>
    <xf numFmtId="2" fontId="1" fillId="0" borderId="15" xfId="1426" applyNumberFormat="1" applyFont="1" applyBorder="1" applyAlignment="1">
      <alignment horizontal="justify" vertical="top" wrapText="1"/>
    </xf>
    <xf numFmtId="49" fontId="1" fillId="0" borderId="15" xfId="1426" applyNumberFormat="1" applyFont="1" applyBorder="1" applyAlignment="1">
      <alignment horizontal="center" vertical="top" wrapText="1"/>
    </xf>
    <xf numFmtId="2" fontId="112" fillId="0" borderId="15" xfId="1425" applyNumberFormat="1" applyFont="1" applyBorder="1" applyAlignment="1">
      <alignment horizontal="center" vertical="top" wrapText="1"/>
    </xf>
    <xf numFmtId="1" fontId="1" fillId="0" borderId="15" xfId="1425" applyNumberFormat="1" applyFont="1" applyBorder="1" applyAlignment="1">
      <alignment horizontal="center" vertical="top" wrapText="1"/>
    </xf>
    <xf numFmtId="2" fontId="1" fillId="0" borderId="15" xfId="1425" applyNumberFormat="1" applyFont="1" applyBorder="1" applyAlignment="1">
      <alignment horizontal="center" vertical="top" wrapText="1"/>
    </xf>
    <xf numFmtId="2" fontId="98" fillId="45" borderId="17" xfId="0" applyNumberFormat="1" applyFont="1" applyFill="1" applyBorder="1" applyAlignment="1">
      <alignment horizontal="right" vertical="top"/>
    </xf>
    <xf numFmtId="2" fontId="100" fillId="50" borderId="0" xfId="0" applyNumberFormat="1" applyFont="1" applyFill="1" applyAlignment="1">
      <alignment vertical="top"/>
    </xf>
    <xf numFmtId="0" fontId="143" fillId="50" borderId="18" xfId="0" applyFont="1" applyFill="1" applyBorder="1" applyAlignment="1">
      <alignment horizontal="center"/>
    </xf>
    <xf numFmtId="0" fontId="68" fillId="0" borderId="0" xfId="121" applyFont="1" applyAlignment="1">
      <alignment horizontal="center" vertical="center"/>
    </xf>
    <xf numFmtId="0" fontId="76" fillId="0" borderId="0" xfId="121" applyFont="1" applyAlignment="1">
      <alignment horizontal="left" vertical="center"/>
    </xf>
    <xf numFmtId="0" fontId="76" fillId="0" borderId="0" xfId="121" applyFont="1" applyAlignment="1">
      <alignment horizontal="left" vertical="center" wrapText="1"/>
    </xf>
    <xf numFmtId="0" fontId="23" fillId="0" borderId="0" xfId="121"/>
    <xf numFmtId="0" fontId="68" fillId="0" borderId="0" xfId="121" applyFont="1" applyAlignment="1">
      <alignment horizontal="center" textRotation="90"/>
    </xf>
    <xf numFmtId="0" fontId="68" fillId="0" borderId="0" xfId="121" applyFont="1" applyAlignment="1">
      <alignment vertical="center" textRotation="90"/>
    </xf>
    <xf numFmtId="0" fontId="69" fillId="0" borderId="0" xfId="121" applyFont="1" applyAlignment="1">
      <alignment horizontal="center" vertical="center"/>
    </xf>
    <xf numFmtId="0" fontId="71" fillId="0" borderId="0" xfId="121" applyFont="1" applyAlignment="1">
      <alignment horizontal="center" vertical="center"/>
    </xf>
    <xf numFmtId="0" fontId="72" fillId="0" borderId="0" xfId="121" applyFont="1"/>
    <xf numFmtId="0" fontId="75" fillId="0" borderId="0" xfId="121" applyFont="1" applyAlignment="1">
      <alignment horizontal="left" vertical="top"/>
    </xf>
    <xf numFmtId="0" fontId="74" fillId="0" borderId="0" xfId="121" applyFont="1" applyAlignment="1">
      <alignment horizontal="justify" vertical="top" wrapText="1"/>
    </xf>
    <xf numFmtId="0" fontId="73" fillId="0" borderId="0" xfId="121" applyFont="1" applyAlignment="1">
      <alignment horizontal="left" vertical="center" wrapText="1"/>
    </xf>
    <xf numFmtId="0" fontId="128" fillId="0" borderId="0" xfId="96" applyFont="1" applyAlignment="1">
      <alignment horizontal="justify" vertical="top" wrapText="1"/>
    </xf>
    <xf numFmtId="0" fontId="123" fillId="0" borderId="0" xfId="859" applyFont="1" applyAlignment="1">
      <alignment horizontal="center"/>
    </xf>
    <xf numFmtId="0" fontId="126" fillId="0" borderId="0" xfId="859" applyFont="1" applyAlignment="1">
      <alignment horizontal="justify" vertical="top" wrapText="1"/>
    </xf>
    <xf numFmtId="0" fontId="126" fillId="0" borderId="0" xfId="859" applyFont="1" applyAlignment="1">
      <alignment horizontal="left" vertical="top" wrapText="1"/>
    </xf>
    <xf numFmtId="0" fontId="127" fillId="0" borderId="0" xfId="859" applyFont="1" applyAlignment="1">
      <alignment horizontal="right"/>
    </xf>
    <xf numFmtId="0" fontId="128" fillId="0" borderId="0" xfId="1384" applyFont="1" applyAlignment="1">
      <alignment horizontal="justify" vertical="top" wrapText="1"/>
    </xf>
    <xf numFmtId="0" fontId="34" fillId="0" borderId="0" xfId="1427" applyFont="1" applyAlignment="1">
      <alignment horizontal="center" vertical="top" wrapText="1"/>
    </xf>
    <xf numFmtId="0" fontId="122" fillId="0" borderId="0" xfId="969" applyFont="1" applyAlignment="1">
      <alignment horizontal="center" vertical="center" wrapText="1"/>
    </xf>
    <xf numFmtId="49" fontId="120" fillId="0" borderId="0" xfId="969" applyNumberFormat="1" applyFont="1" applyAlignment="1">
      <alignment horizontal="center" vertical="center" wrapText="1"/>
    </xf>
    <xf numFmtId="0" fontId="119" fillId="0" borderId="0" xfId="95" applyFont="1" applyAlignment="1">
      <alignment horizontal="center" vertical="top"/>
    </xf>
    <xf numFmtId="0" fontId="101" fillId="0" borderId="0" xfId="95" applyFont="1" applyAlignment="1">
      <alignment horizontal="center" vertical="top" wrapText="1"/>
    </xf>
    <xf numFmtId="0" fontId="101" fillId="0" borderId="15" xfId="95" applyFont="1" applyBorder="1" applyAlignment="1">
      <alignment horizontal="center" vertical="top" wrapText="1"/>
    </xf>
    <xf numFmtId="0" fontId="94" fillId="46" borderId="17" xfId="94" applyFont="1" applyFill="1" applyBorder="1" applyAlignment="1">
      <alignment horizontal="left" vertical="top" wrapText="1"/>
    </xf>
    <xf numFmtId="0" fontId="94" fillId="46" borderId="18" xfId="94" applyFont="1" applyFill="1" applyBorder="1" applyAlignment="1">
      <alignment horizontal="left" vertical="top" wrapText="1"/>
    </xf>
    <xf numFmtId="0" fontId="94" fillId="46" borderId="19" xfId="94" applyFont="1" applyFill="1" applyBorder="1" applyAlignment="1">
      <alignment horizontal="left" vertical="top" wrapText="1"/>
    </xf>
    <xf numFmtId="0" fontId="96" fillId="0" borderId="0" xfId="0" applyFont="1" applyAlignment="1">
      <alignment horizontal="right" vertical="top" wrapText="1"/>
    </xf>
    <xf numFmtId="2" fontId="96" fillId="0" borderId="0" xfId="0" applyNumberFormat="1" applyFont="1" applyAlignment="1">
      <alignment horizontal="left" vertical="top" wrapText="1"/>
    </xf>
    <xf numFmtId="0" fontId="93" fillId="0" borderId="0" xfId="0" applyFont="1" applyAlignment="1">
      <alignment horizontal="center" vertical="top"/>
    </xf>
    <xf numFmtId="0" fontId="94" fillId="0" borderId="0" xfId="0" applyFont="1" applyAlignment="1">
      <alignment horizontal="right" vertical="top" wrapText="1"/>
    </xf>
    <xf numFmtId="0" fontId="95" fillId="0" borderId="0" xfId="0" applyFont="1" applyAlignment="1">
      <alignment horizontal="left" vertical="top" wrapText="1"/>
    </xf>
    <xf numFmtId="1" fontId="95" fillId="0" borderId="15" xfId="0" applyNumberFormat="1" applyFont="1" applyBorder="1" applyAlignment="1">
      <alignment horizontal="center" vertical="center" wrapText="1"/>
    </xf>
    <xf numFmtId="0" fontId="95" fillId="0" borderId="15" xfId="0" applyFont="1" applyBorder="1" applyAlignment="1">
      <alignment horizontal="center" vertical="center" wrapText="1"/>
    </xf>
    <xf numFmtId="0" fontId="104" fillId="0" borderId="15" xfId="0" applyFont="1" applyFill="1" applyBorder="1" applyAlignment="1">
      <alignment horizontal="justify" vertical="top" wrapText="1"/>
    </xf>
    <xf numFmtId="0" fontId="94" fillId="0" borderId="15" xfId="0" applyFont="1" applyFill="1" applyBorder="1" applyAlignment="1">
      <alignment horizontal="justify" vertical="top" wrapText="1"/>
    </xf>
    <xf numFmtId="0" fontId="94" fillId="50" borderId="15" xfId="0" applyFont="1" applyFill="1" applyBorder="1" applyAlignment="1">
      <alignment horizontal="justify" vertical="top" wrapText="1"/>
    </xf>
    <xf numFmtId="0" fontId="101" fillId="0" borderId="15" xfId="0" applyFont="1" applyFill="1" applyBorder="1" applyAlignment="1">
      <alignment horizontal="justify" vertical="top" wrapText="1"/>
    </xf>
    <xf numFmtId="0" fontId="95" fillId="0" borderId="15" xfId="0" applyFont="1" applyFill="1" applyBorder="1" applyAlignment="1">
      <alignment horizontal="center" vertical="center" wrapText="1"/>
    </xf>
    <xf numFmtId="0" fontId="96" fillId="0" borderId="15" xfId="0" applyFont="1" applyFill="1" applyBorder="1" applyAlignment="1">
      <alignment horizontal="center" vertical="center" wrapText="1"/>
    </xf>
    <xf numFmtId="0" fontId="94" fillId="0" borderId="17" xfId="0" applyFont="1" applyFill="1" applyBorder="1" applyAlignment="1">
      <alignment horizontal="justify" vertical="top" wrapText="1"/>
    </xf>
    <xf numFmtId="0" fontId="94" fillId="0" borderId="18" xfId="0" applyFont="1" applyFill="1" applyBorder="1" applyAlignment="1">
      <alignment horizontal="justify" vertical="top" wrapText="1"/>
    </xf>
    <xf numFmtId="0" fontId="101" fillId="0" borderId="18" xfId="0" applyFont="1" applyFill="1" applyBorder="1" applyAlignment="1">
      <alignment horizontal="justify" vertical="top" wrapText="1"/>
    </xf>
    <xf numFmtId="0" fontId="94" fillId="0" borderId="19" xfId="0" applyFont="1" applyFill="1" applyBorder="1" applyAlignment="1">
      <alignment horizontal="justify" vertical="top" wrapText="1"/>
    </xf>
    <xf numFmtId="0" fontId="94" fillId="50" borderId="17" xfId="0" applyFont="1" applyFill="1" applyBorder="1" applyAlignment="1">
      <alignment horizontal="justify" vertical="top" wrapText="1"/>
    </xf>
    <xf numFmtId="0" fontId="94" fillId="50" borderId="18" xfId="0" applyFont="1" applyFill="1" applyBorder="1" applyAlignment="1">
      <alignment horizontal="justify" vertical="top" wrapText="1"/>
    </xf>
    <xf numFmtId="0" fontId="94" fillId="50" borderId="19" xfId="0" applyFont="1" applyFill="1" applyBorder="1" applyAlignment="1">
      <alignment horizontal="justify" vertical="top" wrapText="1"/>
    </xf>
    <xf numFmtId="0" fontId="93" fillId="0" borderId="0" xfId="0" applyFont="1" applyFill="1" applyAlignment="1">
      <alignment horizontal="center" vertical="top"/>
    </xf>
    <xf numFmtId="0" fontId="156" fillId="0" borderId="0" xfId="0" applyFont="1" applyFill="1" applyAlignment="1">
      <alignment horizontal="center" vertical="top"/>
    </xf>
    <xf numFmtId="0" fontId="94" fillId="0" borderId="0" xfId="0" applyFont="1" applyFill="1" applyAlignment="1">
      <alignment horizontal="right" vertical="top" wrapText="1"/>
    </xf>
    <xf numFmtId="0" fontId="95" fillId="0" borderId="0" xfId="0" applyFont="1" applyFill="1" applyAlignment="1">
      <alignment horizontal="left" vertical="top" wrapText="1"/>
    </xf>
    <xf numFmtId="0" fontId="96" fillId="0" borderId="0" xfId="0" applyFont="1" applyFill="1" applyAlignment="1">
      <alignment horizontal="left" vertical="top" wrapText="1"/>
    </xf>
    <xf numFmtId="0" fontId="96" fillId="0" borderId="0" xfId="0" applyFont="1" applyFill="1" applyAlignment="1">
      <alignment horizontal="right" vertical="top" wrapText="1"/>
    </xf>
    <xf numFmtId="2" fontId="96" fillId="0" borderId="0" xfId="0" applyNumberFormat="1" applyFont="1" applyFill="1" applyAlignment="1">
      <alignment horizontal="left" vertical="top" wrapText="1"/>
    </xf>
    <xf numFmtId="0" fontId="95" fillId="0" borderId="17" xfId="0" applyFont="1" applyFill="1" applyBorder="1" applyAlignment="1">
      <alignment horizontal="center" vertical="center" wrapText="1"/>
    </xf>
    <xf numFmtId="0" fontId="95" fillId="0" borderId="19" xfId="0" applyFont="1" applyFill="1" applyBorder="1" applyAlignment="1">
      <alignment horizontal="center" vertical="center" wrapText="1"/>
    </xf>
    <xf numFmtId="1" fontId="95" fillId="0" borderId="15" xfId="0" applyNumberFormat="1" applyFont="1" applyFill="1" applyBorder="1" applyAlignment="1">
      <alignment horizontal="center" vertical="center" wrapText="1"/>
    </xf>
    <xf numFmtId="0" fontId="94" fillId="0" borderId="15" xfId="94" applyFont="1" applyFill="1" applyBorder="1" applyAlignment="1">
      <alignment horizontal="justify" vertical="top" wrapText="1"/>
    </xf>
    <xf numFmtId="0" fontId="101" fillId="0" borderId="15" xfId="94" applyFont="1" applyFill="1" applyBorder="1" applyAlignment="1">
      <alignment horizontal="justify" vertical="top" wrapText="1"/>
    </xf>
    <xf numFmtId="0" fontId="94" fillId="0" borderId="17" xfId="0" applyFont="1" applyFill="1" applyBorder="1" applyAlignment="1">
      <alignment horizontal="center" vertical="top" wrapText="1"/>
    </xf>
    <xf numFmtId="0" fontId="94" fillId="0" borderId="18" xfId="0" applyFont="1" applyFill="1" applyBorder="1" applyAlignment="1">
      <alignment horizontal="center" vertical="top" wrapText="1"/>
    </xf>
    <xf numFmtId="0" fontId="101" fillId="0" borderId="18" xfId="0" applyFont="1" applyFill="1" applyBorder="1" applyAlignment="1">
      <alignment horizontal="center" vertical="top" wrapText="1"/>
    </xf>
    <xf numFmtId="0" fontId="94" fillId="0" borderId="19" xfId="0" applyFont="1" applyFill="1" applyBorder="1" applyAlignment="1">
      <alignment horizontal="center" vertical="top" wrapText="1"/>
    </xf>
    <xf numFmtId="0" fontId="101" fillId="50" borderId="15" xfId="0" applyFont="1" applyFill="1" applyBorder="1" applyAlignment="1">
      <alignment horizontal="justify" vertical="top" wrapText="1"/>
    </xf>
    <xf numFmtId="0" fontId="94" fillId="0" borderId="15" xfId="1384" applyFont="1" applyFill="1" applyBorder="1" applyAlignment="1">
      <alignment horizontal="justify" vertical="top"/>
    </xf>
    <xf numFmtId="0" fontId="94" fillId="0" borderId="15" xfId="1384" applyFont="1" applyFill="1" applyBorder="1" applyAlignment="1">
      <alignment horizontal="justify" vertical="top" wrapText="1"/>
    </xf>
    <xf numFmtId="0" fontId="104" fillId="50" borderId="15" xfId="0" applyFont="1" applyFill="1" applyBorder="1" applyAlignment="1">
      <alignment horizontal="justify" vertical="top" wrapText="1"/>
    </xf>
    <xf numFmtId="0" fontId="94" fillId="0" borderId="15" xfId="0" applyFont="1" applyBorder="1" applyAlignment="1">
      <alignment horizontal="justify" vertical="top" wrapText="1"/>
    </xf>
    <xf numFmtId="0" fontId="94" fillId="0" borderId="17" xfId="0" applyFont="1" applyBorder="1" applyAlignment="1">
      <alignment horizontal="justify" vertical="top" wrapText="1"/>
    </xf>
    <xf numFmtId="0" fontId="94" fillId="0" borderId="18" xfId="0" applyFont="1" applyBorder="1" applyAlignment="1">
      <alignment horizontal="justify" vertical="top" wrapText="1"/>
    </xf>
    <xf numFmtId="0" fontId="94" fillId="0" borderId="19" xfId="0" applyFont="1" applyBorder="1" applyAlignment="1">
      <alignment horizontal="justify" vertical="top" wrapText="1"/>
    </xf>
    <xf numFmtId="0" fontId="95" fillId="0" borderId="0" xfId="0" applyFont="1" applyAlignment="1">
      <alignment horizontal="center" vertical="top" wrapText="1"/>
    </xf>
    <xf numFmtId="0" fontId="95" fillId="0" borderId="17" xfId="0" applyFont="1" applyBorder="1" applyAlignment="1">
      <alignment horizontal="center" vertical="center" wrapText="1"/>
    </xf>
    <xf numFmtId="0" fontId="95" fillId="0" borderId="19" xfId="0" applyFont="1" applyBorder="1" applyAlignment="1">
      <alignment horizontal="center" vertical="center" wrapText="1"/>
    </xf>
    <xf numFmtId="0" fontId="101" fillId="0" borderId="17" xfId="94" applyFont="1" applyBorder="1" applyAlignment="1">
      <alignment horizontal="center" vertical="top" wrapText="1"/>
    </xf>
    <xf numFmtId="0" fontId="101" fillId="0" borderId="18" xfId="94" applyFont="1" applyBorder="1" applyAlignment="1">
      <alignment horizontal="center" vertical="top" wrapText="1"/>
    </xf>
    <xf numFmtId="0" fontId="101" fillId="0" borderId="19" xfId="94" applyFont="1" applyBorder="1" applyAlignment="1">
      <alignment horizontal="center" vertical="top" wrapText="1"/>
    </xf>
    <xf numFmtId="0" fontId="94" fillId="49" borderId="15" xfId="0" applyFont="1" applyFill="1" applyBorder="1" applyAlignment="1">
      <alignment horizontal="justify" vertical="top" wrapText="1"/>
    </xf>
    <xf numFmtId="0" fontId="94" fillId="0" borderId="15" xfId="1384" applyFont="1" applyBorder="1" applyAlignment="1">
      <alignment horizontal="justify" vertical="top" wrapText="1"/>
    </xf>
    <xf numFmtId="0" fontId="94" fillId="0" borderId="15" xfId="1384" applyFont="1" applyBorder="1" applyAlignment="1">
      <alignment horizontal="justify" vertical="top"/>
    </xf>
    <xf numFmtId="0" fontId="104" fillId="48" borderId="15" xfId="0" applyFont="1" applyFill="1" applyBorder="1" applyAlignment="1">
      <alignment horizontal="justify" vertical="top" wrapText="1"/>
    </xf>
    <xf numFmtId="0" fontId="94" fillId="49" borderId="17" xfId="0" applyFont="1" applyFill="1" applyBorder="1" applyAlignment="1">
      <alignment horizontal="justify" vertical="top" wrapText="1"/>
    </xf>
    <xf numFmtId="0" fontId="94" fillId="49" borderId="18" xfId="0" applyFont="1" applyFill="1" applyBorder="1" applyAlignment="1">
      <alignment horizontal="justify" vertical="top" wrapText="1"/>
    </xf>
    <xf numFmtId="0" fontId="94" fillId="49" borderId="19" xfId="0" applyFont="1" applyFill="1" applyBorder="1" applyAlignment="1">
      <alignment horizontal="justify" vertical="top" wrapText="1"/>
    </xf>
    <xf numFmtId="0" fontId="117" fillId="0" borderId="0" xfId="0" applyFont="1" applyAlignment="1">
      <alignment horizontal="center"/>
    </xf>
    <xf numFmtId="0" fontId="94" fillId="0" borderId="15" xfId="0" applyFont="1" applyBorder="1" applyAlignment="1">
      <alignment horizontal="center" vertical="center" wrapText="1"/>
    </xf>
    <xf numFmtId="0" fontId="96" fillId="0" borderId="22" xfId="0" applyFont="1" applyBorder="1" applyAlignment="1">
      <alignment horizontal="center"/>
    </xf>
    <xf numFmtId="0" fontId="117" fillId="0" borderId="0" xfId="0" applyFont="1" applyFill="1" applyAlignment="1">
      <alignment horizontal="center"/>
    </xf>
    <xf numFmtId="0" fontId="94" fillId="0" borderId="15" xfId="0" applyFont="1" applyFill="1" applyBorder="1" applyAlignment="1">
      <alignment horizontal="center" vertical="center" wrapText="1"/>
    </xf>
    <xf numFmtId="0" fontId="138" fillId="0" borderId="17" xfId="1384" applyFont="1" applyBorder="1" applyAlignment="1">
      <alignment horizontal="center" vertical="center"/>
    </xf>
    <xf numFmtId="0" fontId="138" fillId="0" borderId="18" xfId="1384" applyFont="1" applyBorder="1" applyAlignment="1">
      <alignment horizontal="center" vertical="center"/>
    </xf>
    <xf numFmtId="0" fontId="138" fillId="0" borderId="19" xfId="1384" applyFont="1" applyBorder="1" applyAlignment="1">
      <alignment horizontal="center" vertical="center"/>
    </xf>
    <xf numFmtId="0" fontId="157" fillId="0" borderId="0" xfId="1384" applyFont="1" applyAlignment="1">
      <alignment horizontal="center" vertical="center" wrapText="1"/>
    </xf>
    <xf numFmtId="0" fontId="157" fillId="0" borderId="0" xfId="1384" applyFont="1" applyAlignment="1">
      <alignment horizontal="center" vertical="center"/>
    </xf>
    <xf numFmtId="0" fontId="129" fillId="0" borderId="0" xfId="1384" applyFont="1" applyAlignment="1">
      <alignment horizontal="center" vertical="center" wrapText="1"/>
    </xf>
    <xf numFmtId="0" fontId="167" fillId="0" borderId="15" xfId="0" applyFont="1" applyBorder="1" applyAlignment="1">
      <alignment horizontal="center" vertical="center" wrapText="1"/>
    </xf>
    <xf numFmtId="2" fontId="167" fillId="0" borderId="15" xfId="0" applyNumberFormat="1" applyFont="1" applyBorder="1" applyAlignment="1">
      <alignment horizontal="center" vertical="center" wrapText="1"/>
    </xf>
    <xf numFmtId="0" fontId="169" fillId="0" borderId="0" xfId="1385" applyFont="1" applyAlignment="1">
      <alignment horizontal="center" vertical="center" wrapText="1"/>
    </xf>
    <xf numFmtId="0" fontId="96" fillId="0" borderId="0" xfId="0" applyFont="1" applyAlignment="1">
      <alignment horizontal="center" vertical="center" wrapText="1"/>
    </xf>
    <xf numFmtId="0" fontId="101" fillId="0" borderId="0" xfId="0" applyFont="1" applyAlignment="1">
      <alignment horizontal="left" vertical="center" wrapText="1"/>
    </xf>
    <xf numFmtId="0" fontId="103" fillId="0" borderId="0" xfId="0" applyFont="1" applyFill="1" applyAlignment="1">
      <alignment horizontal="center" vertical="top"/>
    </xf>
    <xf numFmtId="0" fontId="101" fillId="0" borderId="0" xfId="0" applyFont="1" applyFill="1" applyAlignment="1">
      <alignment horizontal="center" vertical="top" wrapText="1"/>
    </xf>
    <xf numFmtId="0" fontId="101" fillId="0" borderId="0" xfId="1384" applyFont="1" applyAlignment="1">
      <alignment horizontal="center" vertical="top" wrapText="1"/>
    </xf>
    <xf numFmtId="0" fontId="111" fillId="0" borderId="8" xfId="1384" applyFont="1" applyFill="1" applyBorder="1" applyAlignment="1">
      <alignment horizontal="center"/>
    </xf>
    <xf numFmtId="0" fontId="105" fillId="0" borderId="8" xfId="1384" applyFont="1" applyFill="1" applyBorder="1" applyAlignment="1">
      <alignment horizontal="center" vertical="top" wrapText="1"/>
    </xf>
    <xf numFmtId="168" fontId="105" fillId="0" borderId="8" xfId="1384" applyNumberFormat="1" applyFont="1" applyFill="1" applyBorder="1" applyAlignment="1">
      <alignment horizontal="center" vertical="top" wrapText="1"/>
    </xf>
    <xf numFmtId="170" fontId="105" fillId="0" borderId="8" xfId="1384" applyNumberFormat="1" applyFont="1" applyFill="1" applyBorder="1" applyAlignment="1">
      <alignment horizontal="center" vertical="top" wrapText="1"/>
    </xf>
    <xf numFmtId="0" fontId="172" fillId="0" borderId="8" xfId="1419" applyFont="1" applyBorder="1" applyAlignment="1">
      <alignment horizontal="center"/>
    </xf>
    <xf numFmtId="0" fontId="173" fillId="0" borderId="8" xfId="1419" applyFont="1" applyBorder="1" applyAlignment="1">
      <alignment horizontal="center"/>
    </xf>
    <xf numFmtId="0" fontId="174" fillId="0" borderId="8" xfId="1419" applyFont="1" applyBorder="1" applyAlignment="1">
      <alignment horizontal="center" vertical="center" wrapText="1"/>
    </xf>
    <xf numFmtId="0" fontId="119" fillId="0" borderId="15" xfId="94" applyFont="1" applyBorder="1" applyAlignment="1">
      <alignment horizontal="center" vertical="top" wrapText="1"/>
    </xf>
    <xf numFmtId="0" fontId="101" fillId="0" borderId="15" xfId="94" applyFont="1" applyBorder="1" applyAlignment="1">
      <alignment horizontal="center" vertical="top" wrapText="1"/>
    </xf>
    <xf numFmtId="0" fontId="103" fillId="0" borderId="0" xfId="0" applyFont="1" applyAlignment="1">
      <alignment horizontal="center" vertical="top"/>
    </xf>
    <xf numFmtId="0" fontId="101" fillId="0" borderId="0" xfId="0" applyFont="1" applyAlignment="1">
      <alignment horizontal="center" vertical="top" wrapText="1"/>
    </xf>
    <xf numFmtId="0" fontId="111" fillId="0" borderId="8" xfId="1384" applyFont="1" applyBorder="1" applyAlignment="1">
      <alignment horizontal="center"/>
    </xf>
    <xf numFmtId="0" fontId="105" fillId="0" borderId="8" xfId="1384" applyFont="1" applyBorder="1" applyAlignment="1">
      <alignment horizontal="center" vertical="top" wrapText="1"/>
    </xf>
    <xf numFmtId="168" fontId="105" fillId="0" borderId="8" xfId="1384" applyNumberFormat="1" applyFont="1" applyBorder="1" applyAlignment="1">
      <alignment horizontal="center" vertical="top" wrapText="1"/>
    </xf>
    <xf numFmtId="170" fontId="105" fillId="0" borderId="8" xfId="1384" applyNumberFormat="1" applyFont="1" applyBorder="1" applyAlignment="1">
      <alignment horizontal="center" vertical="top" wrapText="1"/>
    </xf>
    <xf numFmtId="0" fontId="119" fillId="46" borderId="15" xfId="94" applyFont="1" applyFill="1" applyBorder="1" applyAlignment="1">
      <alignment horizontal="center" vertical="top" wrapText="1"/>
    </xf>
    <xf numFmtId="0" fontId="101" fillId="46" borderId="15" xfId="94" applyFont="1" applyFill="1" applyBorder="1" applyAlignment="1">
      <alignment horizontal="center" vertical="top" wrapText="1"/>
    </xf>
    <xf numFmtId="2" fontId="94" fillId="0" borderId="47" xfId="1424" applyNumberFormat="1" applyFont="1" applyBorder="1" applyAlignment="1">
      <alignment horizontal="center" vertical="center" wrapText="1"/>
    </xf>
    <xf numFmtId="2" fontId="94" fillId="0" borderId="46" xfId="1424" applyNumberFormat="1" applyFont="1" applyBorder="1" applyAlignment="1">
      <alignment horizontal="center" vertical="center" wrapText="1"/>
    </xf>
    <xf numFmtId="2" fontId="94" fillId="0" borderId="16" xfId="1424" applyNumberFormat="1" applyFont="1" applyBorder="1" applyAlignment="1">
      <alignment horizontal="center" vertical="center" wrapText="1"/>
    </xf>
    <xf numFmtId="49" fontId="94" fillId="0" borderId="15" xfId="969" applyNumberFormat="1" applyFont="1" applyFill="1" applyBorder="1" applyAlignment="1">
      <alignment horizontal="left" vertical="top" wrapText="1"/>
    </xf>
    <xf numFmtId="0" fontId="94" fillId="0" borderId="15" xfId="969" applyFont="1" applyFill="1" applyBorder="1" applyAlignment="1">
      <alignment horizontal="left" vertical="top" wrapText="1"/>
    </xf>
    <xf numFmtId="49" fontId="120" fillId="0" borderId="0" xfId="969" applyNumberFormat="1" applyFont="1" applyFill="1" applyAlignment="1">
      <alignment horizontal="center" vertical="top" wrapText="1"/>
    </xf>
    <xf numFmtId="49" fontId="121" fillId="0" borderId="0" xfId="969" applyNumberFormat="1" applyFont="1" applyFill="1" applyAlignment="1">
      <alignment horizontal="center" vertical="top" wrapText="1"/>
    </xf>
    <xf numFmtId="2" fontId="121" fillId="0" borderId="0" xfId="969" applyNumberFormat="1" applyFont="1" applyFill="1" applyAlignment="1">
      <alignment horizontal="center" vertical="top" wrapText="1"/>
    </xf>
    <xf numFmtId="0" fontId="121" fillId="0" borderId="0" xfId="969" applyFont="1" applyFill="1" applyAlignment="1">
      <alignment horizontal="center" vertical="top" wrapText="1"/>
    </xf>
    <xf numFmtId="0" fontId="122" fillId="0" borderId="0" xfId="969" applyFont="1" applyFill="1" applyAlignment="1">
      <alignment horizontal="center" vertical="top" wrapText="1"/>
    </xf>
    <xf numFmtId="2" fontId="122" fillId="0" borderId="0" xfId="969" applyNumberFormat="1" applyFont="1" applyFill="1" applyAlignment="1">
      <alignment horizontal="center" vertical="top" wrapText="1"/>
    </xf>
    <xf numFmtId="2" fontId="122" fillId="0" borderId="0" xfId="969" applyNumberFormat="1" applyFont="1" applyFill="1" applyAlignment="1">
      <alignment horizontal="left" vertical="top" wrapText="1"/>
    </xf>
    <xf numFmtId="0" fontId="100" fillId="0" borderId="0" xfId="969" applyFont="1" applyFill="1" applyAlignment="1">
      <alignment horizontal="left" vertical="top" wrapText="1"/>
    </xf>
    <xf numFmtId="49" fontId="122" fillId="0" borderId="15" xfId="969" applyNumberFormat="1" applyFont="1" applyFill="1" applyBorder="1" applyAlignment="1">
      <alignment horizontal="center" vertical="top" wrapText="1"/>
    </xf>
    <xf numFmtId="0" fontId="122" fillId="0" borderId="15" xfId="969" applyFont="1" applyFill="1" applyBorder="1" applyAlignment="1">
      <alignment horizontal="center" vertical="top" wrapText="1"/>
    </xf>
    <xf numFmtId="2" fontId="122" fillId="0" borderId="15" xfId="969" applyNumberFormat="1" applyFont="1" applyFill="1" applyBorder="1" applyAlignment="1">
      <alignment horizontal="center" vertical="top" wrapText="1"/>
    </xf>
    <xf numFmtId="2" fontId="94" fillId="0" borderId="16" xfId="1424" applyNumberFormat="1" applyFont="1" applyBorder="1" applyAlignment="1">
      <alignment horizontal="center" vertical="top" wrapText="1"/>
    </xf>
    <xf numFmtId="49" fontId="94" fillId="0" borderId="15" xfId="969" applyNumberFormat="1" applyFont="1" applyBorder="1" applyAlignment="1">
      <alignment horizontal="left" vertical="top" wrapText="1"/>
    </xf>
    <xf numFmtId="0" fontId="94" fillId="0" borderId="15" xfId="969" applyFont="1" applyBorder="1" applyAlignment="1">
      <alignment horizontal="left" vertical="top" wrapText="1"/>
    </xf>
    <xf numFmtId="2" fontId="94" fillId="0" borderId="47" xfId="1424" applyNumberFormat="1" applyFont="1" applyBorder="1" applyAlignment="1">
      <alignment horizontal="center" vertical="top" wrapText="1"/>
    </xf>
    <xf numFmtId="2" fontId="94" fillId="0" borderId="46" xfId="1424" applyNumberFormat="1" applyFont="1" applyBorder="1" applyAlignment="1">
      <alignment horizontal="center" vertical="top" wrapText="1"/>
    </xf>
    <xf numFmtId="49" fontId="122" fillId="0" borderId="15" xfId="969" applyNumberFormat="1" applyFont="1" applyBorder="1" applyAlignment="1">
      <alignment horizontal="center" vertical="top" wrapText="1"/>
    </xf>
    <xf numFmtId="49" fontId="120" fillId="0" borderId="0" xfId="969" applyNumberFormat="1" applyFont="1" applyAlignment="1">
      <alignment horizontal="center" vertical="top" wrapText="1"/>
    </xf>
    <xf numFmtId="49" fontId="121" fillId="0" borderId="0" xfId="969" applyNumberFormat="1" applyFont="1" applyAlignment="1">
      <alignment horizontal="center" vertical="top" wrapText="1"/>
    </xf>
    <xf numFmtId="2" fontId="121" fillId="0" borderId="0" xfId="969" applyNumberFormat="1" applyFont="1" applyAlignment="1">
      <alignment horizontal="center" vertical="top" wrapText="1"/>
    </xf>
    <xf numFmtId="0" fontId="121" fillId="0" borderId="0" xfId="969" applyFont="1" applyAlignment="1">
      <alignment horizontal="center" vertical="top" wrapText="1"/>
    </xf>
    <xf numFmtId="0" fontId="122" fillId="0" borderId="0" xfId="969" applyFont="1" applyAlignment="1">
      <alignment horizontal="center" vertical="top" wrapText="1"/>
    </xf>
    <xf numFmtId="2" fontId="122" fillId="0" borderId="0" xfId="969" applyNumberFormat="1" applyFont="1" applyAlignment="1">
      <alignment horizontal="center" vertical="top" wrapText="1"/>
    </xf>
    <xf numFmtId="2" fontId="122" fillId="0" borderId="0" xfId="969" applyNumberFormat="1" applyFont="1" applyAlignment="1">
      <alignment horizontal="left" vertical="top" wrapText="1"/>
    </xf>
    <xf numFmtId="0" fontId="100" fillId="0" borderId="0" xfId="969" applyFont="1" applyAlignment="1">
      <alignment horizontal="left" vertical="top" wrapText="1"/>
    </xf>
    <xf numFmtId="0" fontId="122" fillId="0" borderId="15" xfId="969" applyFont="1" applyBorder="1" applyAlignment="1">
      <alignment horizontal="center" vertical="top" wrapText="1"/>
    </xf>
    <xf numFmtId="2" fontId="122" fillId="0" borderId="15" xfId="969" applyNumberFormat="1" applyFont="1" applyBorder="1" applyAlignment="1">
      <alignment horizontal="center" vertical="top" wrapText="1"/>
    </xf>
    <xf numFmtId="49" fontId="122" fillId="0" borderId="15" xfId="969" applyNumberFormat="1" applyFont="1" applyBorder="1" applyAlignment="1">
      <alignment horizontal="center" vertical="center" wrapText="1"/>
    </xf>
    <xf numFmtId="49" fontId="121" fillId="0" borderId="0" xfId="969" applyNumberFormat="1" applyFont="1" applyAlignment="1">
      <alignment horizontal="center" vertical="center" wrapText="1"/>
    </xf>
    <xf numFmtId="0" fontId="121" fillId="0" borderId="0" xfId="969" applyFont="1" applyAlignment="1">
      <alignment horizontal="center" vertical="center" wrapText="1"/>
    </xf>
    <xf numFmtId="2" fontId="122" fillId="0" borderId="0" xfId="969" applyNumberFormat="1" applyFont="1" applyAlignment="1">
      <alignment horizontal="left" vertical="center" wrapText="1"/>
    </xf>
    <xf numFmtId="0" fontId="100" fillId="0" borderId="0" xfId="969" applyFont="1" applyAlignment="1">
      <alignment horizontal="left" vertical="center" wrapText="1"/>
    </xf>
    <xf numFmtId="0" fontId="172" fillId="46" borderId="8" xfId="1419" applyFont="1" applyFill="1" applyBorder="1" applyAlignment="1">
      <alignment horizontal="center"/>
    </xf>
    <xf numFmtId="0" fontId="173" fillId="46" borderId="8" xfId="1419" applyFont="1" applyFill="1" applyBorder="1" applyAlignment="1">
      <alignment horizontal="center"/>
    </xf>
    <xf numFmtId="0" fontId="174" fillId="46" borderId="8" xfId="1419" applyFont="1" applyFill="1" applyBorder="1" applyAlignment="1">
      <alignment horizontal="center" vertical="center" wrapText="1"/>
    </xf>
    <xf numFmtId="1" fontId="117" fillId="0" borderId="0" xfId="0" applyNumberFormat="1" applyFont="1" applyAlignment="1">
      <alignment horizontal="center"/>
    </xf>
    <xf numFmtId="0" fontId="96" fillId="0" borderId="22" xfId="0" applyFont="1" applyBorder="1" applyAlignment="1">
      <alignment horizontal="center" vertical="center"/>
    </xf>
    <xf numFmtId="1" fontId="96" fillId="0" borderId="22" xfId="0" applyNumberFormat="1" applyFont="1" applyBorder="1" applyAlignment="1">
      <alignment horizontal="center" vertical="center"/>
    </xf>
    <xf numFmtId="0" fontId="159" fillId="0" borderId="0" xfId="1387" applyFont="1" applyAlignment="1">
      <alignment horizontal="center" vertical="top"/>
    </xf>
    <xf numFmtId="0" fontId="160" fillId="0" borderId="22" xfId="1387" applyFont="1" applyBorder="1" applyAlignment="1">
      <alignment horizontal="left" vertical="top"/>
    </xf>
    <xf numFmtId="0" fontId="100" fillId="0" borderId="17" xfId="1387" applyFont="1" applyBorder="1" applyAlignment="1">
      <alignment horizontal="left" vertical="top"/>
    </xf>
    <xf numFmtId="0" fontId="100" fillId="0" borderId="19" xfId="1387" applyFont="1" applyBorder="1" applyAlignment="1">
      <alignment horizontal="left" vertical="top"/>
    </xf>
    <xf numFmtId="0" fontId="94" fillId="0" borderId="17" xfId="1387" applyFont="1" applyBorder="1" applyAlignment="1">
      <alignment horizontal="justify" vertical="top" wrapText="1"/>
    </xf>
    <xf numFmtId="0" fontId="94" fillId="0" borderId="18" xfId="1387" applyFont="1" applyBorder="1" applyAlignment="1">
      <alignment horizontal="justify" vertical="top" wrapText="1"/>
    </xf>
    <xf numFmtId="0" fontId="94" fillId="0" borderId="19" xfId="1387" applyFont="1" applyBorder="1" applyAlignment="1">
      <alignment horizontal="justify" vertical="top" wrapText="1"/>
    </xf>
    <xf numFmtId="49" fontId="94" fillId="0" borderId="17" xfId="1387" applyNumberFormat="1" applyFont="1" applyBorder="1" applyAlignment="1">
      <alignment horizontal="justify" vertical="top" wrapText="1"/>
    </xf>
    <xf numFmtId="0" fontId="94" fillId="0" borderId="15" xfId="1387" applyFont="1" applyBorder="1" applyAlignment="1">
      <alignment horizontal="left" vertical="top" wrapText="1"/>
    </xf>
    <xf numFmtId="2" fontId="94" fillId="0" borderId="15" xfId="1387" applyNumberFormat="1" applyFont="1" applyBorder="1" applyAlignment="1">
      <alignment horizontal="left" vertical="top"/>
    </xf>
    <xf numFmtId="0" fontId="94" fillId="0" borderId="15" xfId="1387" applyFont="1" applyBorder="1" applyAlignment="1">
      <alignment horizontal="left" vertical="top"/>
    </xf>
    <xf numFmtId="0" fontId="116" fillId="0" borderId="15" xfId="1387" applyFont="1" applyBorder="1" applyAlignment="1">
      <alignment horizontal="left" vertical="top" wrapText="1"/>
    </xf>
    <xf numFmtId="0" fontId="94" fillId="0" borderId="17" xfId="1387" applyFont="1" applyBorder="1" applyAlignment="1">
      <alignment horizontal="left" vertical="top" wrapText="1"/>
    </xf>
    <xf numFmtId="0" fontId="94" fillId="0" borderId="18" xfId="1387" applyFont="1" applyBorder="1" applyAlignment="1">
      <alignment horizontal="left" vertical="top" wrapText="1"/>
    </xf>
    <xf numFmtId="0" fontId="94" fillId="0" borderId="19" xfId="1387" applyFont="1" applyBorder="1" applyAlignment="1">
      <alignment horizontal="left" vertical="top" wrapText="1"/>
    </xf>
    <xf numFmtId="0" fontId="94" fillId="0" borderId="15" xfId="1387" applyFont="1" applyBorder="1" applyAlignment="1">
      <alignment horizontal="center" vertical="top" wrapText="1"/>
    </xf>
    <xf numFmtId="0" fontId="103" fillId="0" borderId="17" xfId="1387" applyFont="1" applyBorder="1" applyAlignment="1">
      <alignment horizontal="left" vertical="top" wrapText="1"/>
    </xf>
    <xf numFmtId="0" fontId="103" fillId="0" borderId="18" xfId="1387" applyFont="1" applyBorder="1" applyAlignment="1">
      <alignment horizontal="left" vertical="top" wrapText="1"/>
    </xf>
    <xf numFmtId="0" fontId="103" fillId="0" borderId="19" xfId="1387" applyFont="1" applyBorder="1" applyAlignment="1">
      <alignment horizontal="left" vertical="top" wrapText="1"/>
    </xf>
    <xf numFmtId="0" fontId="94" fillId="0" borderId="15" xfId="1387" applyFont="1" applyBorder="1" applyAlignment="1">
      <alignment horizontal="justify" vertical="top" wrapText="1"/>
    </xf>
    <xf numFmtId="0" fontId="94" fillId="0" borderId="17" xfId="1387" applyFont="1" applyBorder="1" applyAlignment="1">
      <alignment horizontal="center" vertical="top" wrapText="1"/>
    </xf>
    <xf numFmtId="0" fontId="94" fillId="0" borderId="18" xfId="1387" applyFont="1" applyBorder="1" applyAlignment="1">
      <alignment horizontal="center" vertical="top" wrapText="1"/>
    </xf>
    <xf numFmtId="0" fontId="94" fillId="0" borderId="19" xfId="1387" applyFont="1" applyBorder="1" applyAlignment="1">
      <alignment horizontal="center" vertical="top" wrapText="1"/>
    </xf>
    <xf numFmtId="0" fontId="101" fillId="0" borderId="0" xfId="1388" applyFont="1" applyAlignment="1">
      <alignment horizontal="justify" vertical="center"/>
    </xf>
    <xf numFmtId="0" fontId="94" fillId="0" borderId="0" xfId="1388" applyFont="1" applyAlignment="1">
      <alignment horizontal="justify" vertical="center"/>
    </xf>
    <xf numFmtId="0" fontId="101" fillId="0" borderId="0" xfId="1388" applyFont="1" applyAlignment="1">
      <alignment horizontal="center" vertical="center"/>
    </xf>
    <xf numFmtId="0" fontId="94" fillId="0" borderId="0" xfId="1388" applyFont="1" applyAlignment="1">
      <alignment horizontal="center" vertical="center"/>
    </xf>
    <xf numFmtId="0" fontId="101" fillId="0" borderId="0" xfId="1388" applyFont="1" applyAlignment="1">
      <alignment horizontal="left" vertical="center"/>
    </xf>
    <xf numFmtId="0" fontId="94" fillId="0" borderId="0" xfId="1388" applyFont="1" applyAlignment="1">
      <alignment horizontal="left" vertical="center"/>
    </xf>
    <xf numFmtId="49" fontId="156" fillId="0" borderId="0" xfId="1388" applyNumberFormat="1" applyFont="1" applyAlignment="1">
      <alignment horizontal="center" vertical="center" wrapText="1"/>
    </xf>
    <xf numFmtId="0" fontId="93" fillId="0" borderId="0" xfId="1388" applyFont="1"/>
    <xf numFmtId="0" fontId="94" fillId="0" borderId="0" xfId="1388" applyFont="1" applyAlignment="1">
      <alignment horizontal="right" vertical="center"/>
    </xf>
    <xf numFmtId="0" fontId="163" fillId="0" borderId="0" xfId="1388" applyFont="1" applyAlignment="1">
      <alignment horizontal="center" vertical="center" wrapText="1"/>
    </xf>
    <xf numFmtId="0" fontId="101" fillId="0" borderId="0" xfId="1388" applyFont="1" applyAlignment="1">
      <alignment horizontal="left" vertical="top" wrapText="1"/>
    </xf>
    <xf numFmtId="0" fontId="101" fillId="0" borderId="0" xfId="1388" applyFont="1" applyAlignment="1">
      <alignment horizontal="left" vertical="center" wrapText="1"/>
    </xf>
    <xf numFmtId="0" fontId="107" fillId="0" borderId="29" xfId="1388" applyFont="1" applyBorder="1" applyAlignment="1">
      <alignment horizontal="center" vertical="center" wrapText="1"/>
    </xf>
    <xf numFmtId="49" fontId="107" fillId="0" borderId="8" xfId="1388" applyNumberFormat="1" applyFont="1" applyBorder="1" applyAlignment="1">
      <alignment horizontal="center" vertical="center" wrapText="1"/>
    </xf>
    <xf numFmtId="49" fontId="97" fillId="0" borderId="0" xfId="1388" applyNumberFormat="1" applyFont="1" applyAlignment="1">
      <alignment horizontal="left" vertical="center" wrapText="1"/>
    </xf>
    <xf numFmtId="49" fontId="97" fillId="0" borderId="0" xfId="1388" applyNumberFormat="1" applyFont="1" applyAlignment="1">
      <alignment horizontal="center" vertical="center" wrapText="1"/>
    </xf>
    <xf numFmtId="49" fontId="107" fillId="0" borderId="28" xfId="1388" applyNumberFormat="1" applyFont="1" applyBorder="1" applyAlignment="1">
      <alignment horizontal="center" vertical="center" wrapText="1"/>
    </xf>
    <xf numFmtId="49" fontId="107" fillId="0" borderId="29" xfId="1388" applyNumberFormat="1" applyFont="1" applyBorder="1" applyAlignment="1">
      <alignment horizontal="center" vertical="center" wrapText="1"/>
    </xf>
    <xf numFmtId="0" fontId="105" fillId="0" borderId="42" xfId="1389" applyFont="1" applyBorder="1" applyAlignment="1">
      <alignment horizontal="left" vertical="top" wrapText="1"/>
    </xf>
    <xf numFmtId="49" fontId="105" fillId="0" borderId="45" xfId="1389" applyNumberFormat="1" applyFont="1" applyBorder="1" applyAlignment="1">
      <alignment horizontal="left" vertical="center" wrapText="1"/>
    </xf>
    <xf numFmtId="49" fontId="155" fillId="0" borderId="44" xfId="1389" applyNumberFormat="1" applyFont="1" applyBorder="1" applyAlignment="1">
      <alignment horizontal="center" vertical="center" wrapText="1"/>
    </xf>
    <xf numFmtId="49" fontId="155" fillId="0" borderId="14" xfId="1389" applyNumberFormat="1" applyFont="1" applyBorder="1" applyAlignment="1">
      <alignment horizontal="center" vertical="center" wrapText="1"/>
    </xf>
    <xf numFmtId="49" fontId="97" fillId="0" borderId="0" xfId="1388" applyNumberFormat="1" applyFont="1" applyAlignment="1">
      <alignment horizontal="left" wrapText="1"/>
    </xf>
    <xf numFmtId="49" fontId="97" fillId="0" borderId="0" xfId="1388" applyNumberFormat="1" applyFont="1" applyAlignment="1">
      <alignment horizontal="center" wrapText="1"/>
    </xf>
    <xf numFmtId="0" fontId="97" fillId="0" borderId="0" xfId="1388" applyFont="1" applyAlignment="1">
      <alignment horizontal="justify" vertical="center" wrapText="1"/>
    </xf>
    <xf numFmtId="49" fontId="101" fillId="0" borderId="0" xfId="1388" applyNumberFormat="1" applyFont="1" applyAlignment="1">
      <alignment horizontal="center" vertical="center" wrapText="1"/>
    </xf>
    <xf numFmtId="49" fontId="94" fillId="0" borderId="0" xfId="1388" applyNumberFormat="1" applyFont="1" applyAlignment="1">
      <alignment horizontal="center" vertical="center" wrapText="1"/>
    </xf>
    <xf numFmtId="0" fontId="94" fillId="0" borderId="0" xfId="1388" applyFont="1" applyAlignment="1">
      <alignment horizontal="center" vertical="center" wrapText="1"/>
    </xf>
    <xf numFmtId="49" fontId="24" fillId="0" borderId="0" xfId="1388" applyNumberFormat="1" applyFont="1" applyAlignment="1">
      <alignment horizontal="left" vertical="center" wrapText="1"/>
    </xf>
    <xf numFmtId="0" fontId="21" fillId="0" borderId="0" xfId="1388" applyFont="1" applyAlignment="1">
      <alignment horizontal="left"/>
    </xf>
    <xf numFmtId="49" fontId="24" fillId="0" borderId="10" xfId="1388" applyNumberFormat="1" applyFont="1" applyBorder="1" applyAlignment="1">
      <alignment horizontal="left" vertical="center" wrapText="1"/>
    </xf>
    <xf numFmtId="49" fontId="166" fillId="0" borderId="0" xfId="1388" applyNumberFormat="1" applyFont="1" applyAlignment="1">
      <alignment horizontal="left" vertical="center" wrapText="1"/>
    </xf>
    <xf numFmtId="49" fontId="24" fillId="0" borderId="0" xfId="1388" applyNumberFormat="1" applyFont="1" applyAlignment="1">
      <alignment vertical="center" wrapText="1"/>
    </xf>
    <xf numFmtId="0" fontId="20" fillId="0" borderId="0" xfId="1388" applyAlignment="1">
      <alignment horizontal="center"/>
    </xf>
    <xf numFmtId="0" fontId="24" fillId="0" borderId="0" xfId="1388" applyFont="1" applyAlignment="1">
      <alignment horizontal="center"/>
    </xf>
    <xf numFmtId="49" fontId="22" fillId="0" borderId="14" xfId="1388" applyNumberFormat="1" applyFont="1" applyBorder="1" applyAlignment="1">
      <alignment horizontal="center" vertical="center" wrapText="1"/>
    </xf>
    <xf numFmtId="49" fontId="24" fillId="0" borderId="14" xfId="1388" applyNumberFormat="1" applyFont="1" applyBorder="1" applyAlignment="1">
      <alignment horizontal="center" vertical="center" wrapText="1"/>
    </xf>
    <xf numFmtId="49" fontId="24" fillId="0" borderId="0" xfId="1388" applyNumberFormat="1" applyFont="1" applyAlignment="1">
      <alignment horizontal="center" vertical="center" wrapText="1"/>
    </xf>
    <xf numFmtId="49" fontId="22" fillId="0" borderId="14" xfId="1388" applyNumberFormat="1" applyFont="1" applyBorder="1" applyAlignment="1">
      <alignment horizontal="left" wrapText="1"/>
    </xf>
    <xf numFmtId="49" fontId="22" fillId="0" borderId="4" xfId="1388" applyNumberFormat="1" applyFont="1" applyBorder="1" applyAlignment="1">
      <alignment horizontal="center" vertical="center" wrapText="1"/>
    </xf>
    <xf numFmtId="49" fontId="32" fillId="0" borderId="0" xfId="1388" applyNumberFormat="1" applyFont="1" applyAlignment="1">
      <alignment horizontal="left" vertical="center" wrapText="1"/>
    </xf>
    <xf numFmtId="49" fontId="24" fillId="0" borderId="0" xfId="1388" applyNumberFormat="1" applyFont="1" applyAlignment="1">
      <alignment horizontal="justify" vertical="center" wrapText="1"/>
    </xf>
    <xf numFmtId="0" fontId="133" fillId="0" borderId="0" xfId="1388" applyFont="1" applyAlignment="1">
      <alignment horizontal="left" vertical="top" wrapText="1"/>
    </xf>
    <xf numFmtId="0" fontId="133" fillId="0" borderId="0" xfId="1388" applyFont="1" applyAlignment="1">
      <alignment horizontal="justify" vertical="top" wrapText="1"/>
    </xf>
    <xf numFmtId="0" fontId="133" fillId="0" borderId="0" xfId="1388" applyFont="1" applyAlignment="1">
      <alignment horizontal="left" vertical="top"/>
    </xf>
    <xf numFmtId="0" fontId="134" fillId="0" borderId="0" xfId="1388" applyFont="1" applyAlignment="1">
      <alignment horizontal="center"/>
    </xf>
    <xf numFmtId="0" fontId="183" fillId="0" borderId="0" xfId="1390" applyFont="1" applyAlignment="1">
      <alignment horizontal="center" vertical="top"/>
    </xf>
    <xf numFmtId="0" fontId="133" fillId="0" borderId="0" xfId="1390" applyFont="1" applyAlignment="1">
      <alignment horizontal="justify" vertical="justify" wrapText="1"/>
    </xf>
    <xf numFmtId="0" fontId="133" fillId="0" borderId="0" xfId="1390" applyFont="1" applyAlignment="1">
      <alignment horizontal="justify" vertical="justify"/>
    </xf>
    <xf numFmtId="0" fontId="96" fillId="0" borderId="0" xfId="1390" applyFont="1" applyAlignment="1">
      <alignment horizontal="right" vertical="top"/>
    </xf>
    <xf numFmtId="0" fontId="96" fillId="0" borderId="0" xfId="1390" applyFont="1" applyAlignment="1">
      <alignment horizontal="left" vertical="top" wrapText="1"/>
    </xf>
    <xf numFmtId="0" fontId="184" fillId="0" borderId="0" xfId="1426" applyFont="1" applyAlignment="1">
      <alignment horizontal="center"/>
    </xf>
    <xf numFmtId="0" fontId="132" fillId="0" borderId="15" xfId="1426" applyFont="1" applyBorder="1" applyAlignment="1">
      <alignment horizontal="center" vertical="center" wrapText="1"/>
    </xf>
    <xf numFmtId="2" fontId="132" fillId="0" borderId="15" xfId="1426" applyNumberFormat="1" applyFont="1" applyBorder="1" applyAlignment="1">
      <alignment horizontal="center" vertical="center" wrapText="1"/>
    </xf>
    <xf numFmtId="49" fontId="138" fillId="0" borderId="17" xfId="1389" applyNumberFormat="1" applyFont="1" applyBorder="1" applyAlignment="1">
      <alignment horizontal="center" vertical="center" wrapText="1"/>
    </xf>
    <xf numFmtId="49" fontId="138" fillId="0" borderId="18" xfId="1389" applyNumberFormat="1" applyFont="1" applyBorder="1" applyAlignment="1">
      <alignment horizontal="center" vertical="center" wrapText="1"/>
    </xf>
    <xf numFmtId="49" fontId="138" fillId="0" borderId="19" xfId="1389" applyNumberFormat="1" applyFont="1" applyBorder="1" applyAlignment="1">
      <alignment horizontal="center" vertical="center" wrapText="1"/>
    </xf>
    <xf numFmtId="49" fontId="136" fillId="0" borderId="0" xfId="1389" applyNumberFormat="1" applyFont="1" applyAlignment="1">
      <alignment horizontal="center" vertical="center" wrapText="1"/>
    </xf>
    <xf numFmtId="49" fontId="137" fillId="0" borderId="0" xfId="1389" applyNumberFormat="1" applyFont="1" applyAlignment="1">
      <alignment horizontal="center" vertical="center" wrapText="1"/>
    </xf>
    <xf numFmtId="0" fontId="137" fillId="0" borderId="0" xfId="1389" applyFont="1" applyAlignment="1">
      <alignment horizontal="center" vertical="center" wrapText="1"/>
    </xf>
    <xf numFmtId="0" fontId="138" fillId="0" borderId="0" xfId="1389" applyFont="1" applyAlignment="1">
      <alignment horizontal="center" vertical="center" wrapText="1"/>
    </xf>
    <xf numFmtId="0" fontId="129" fillId="0" borderId="0" xfId="1389" applyFont="1" applyAlignment="1">
      <alignment horizontal="center"/>
    </xf>
    <xf numFmtId="49" fontId="138" fillId="0" borderId="15" xfId="1389" applyNumberFormat="1" applyFont="1" applyBorder="1" applyAlignment="1">
      <alignment horizontal="center" vertical="center" wrapText="1"/>
    </xf>
    <xf numFmtId="0" fontId="12" fillId="0" borderId="0" xfId="1391" applyAlignment="1">
      <alignment horizontal="justify" vertical="top" wrapText="1"/>
    </xf>
    <xf numFmtId="0" fontId="12" fillId="0" borderId="0" xfId="1391" applyAlignment="1">
      <alignment horizontal="left" vertical="top" wrapText="1"/>
    </xf>
    <xf numFmtId="0" fontId="142" fillId="0" borderId="0" xfId="1391" applyFont="1" applyAlignment="1">
      <alignment horizontal="center" vertical="top"/>
    </xf>
    <xf numFmtId="0" fontId="12" fillId="0" borderId="0" xfId="1391" applyAlignment="1">
      <alignment horizontal="center" vertical="justify"/>
    </xf>
    <xf numFmtId="0" fontId="132" fillId="0" borderId="0" xfId="1391" applyFont="1" applyAlignment="1">
      <alignment horizontal="left" vertical="center" shrinkToFit="1"/>
    </xf>
    <xf numFmtId="0" fontId="12" fillId="0" borderId="0" xfId="1391" applyAlignment="1">
      <alignment horizontal="left" vertical="justify" wrapText="1"/>
    </xf>
    <xf numFmtId="0" fontId="132" fillId="0" borderId="0" xfId="1391" applyFont="1" applyAlignment="1">
      <alignment horizontal="left" vertical="justify"/>
    </xf>
    <xf numFmtId="0" fontId="150" fillId="0" borderId="0" xfId="94" applyFont="1" applyAlignment="1">
      <alignment horizontal="left" wrapText="1"/>
    </xf>
    <xf numFmtId="0" fontId="101" fillId="0" borderId="0" xfId="94" applyFont="1" applyAlignment="1">
      <alignment horizontal="left" vertical="top" wrapText="1"/>
    </xf>
    <xf numFmtId="0" fontId="101" fillId="0" borderId="34" xfId="94" applyFont="1" applyBorder="1" applyAlignment="1">
      <alignment horizontal="left" vertical="top" wrapText="1"/>
    </xf>
    <xf numFmtId="0" fontId="131" fillId="0" borderId="0" xfId="94" applyFont="1" applyAlignment="1">
      <alignment horizontal="center"/>
    </xf>
    <xf numFmtId="0" fontId="94" fillId="0" borderId="0" xfId="94" applyFont="1" applyAlignment="1">
      <alignment horizontal="center"/>
    </xf>
    <xf numFmtId="0" fontId="94" fillId="0" borderId="34" xfId="94" applyFont="1" applyBorder="1" applyAlignment="1">
      <alignment horizontal="center"/>
    </xf>
    <xf numFmtId="0" fontId="145" fillId="0" borderId="0" xfId="94" applyFont="1" applyAlignment="1">
      <alignment horizontal="center"/>
    </xf>
    <xf numFmtId="0" fontId="146" fillId="0" borderId="33" xfId="94" applyFont="1" applyBorder="1" applyAlignment="1">
      <alignment horizontal="center"/>
    </xf>
    <xf numFmtId="0" fontId="146" fillId="0" borderId="0" xfId="94" applyFont="1" applyAlignment="1">
      <alignment horizontal="center"/>
    </xf>
    <xf numFmtId="0" fontId="146" fillId="0" borderId="34" xfId="94" applyFont="1" applyBorder="1" applyAlignment="1">
      <alignment horizontal="center"/>
    </xf>
    <xf numFmtId="0" fontId="147" fillId="0" borderId="0" xfId="94" applyFont="1" applyAlignment="1">
      <alignment horizontal="center"/>
    </xf>
    <xf numFmtId="0" fontId="148" fillId="0" borderId="33" xfId="94" applyFont="1" applyBorder="1" applyAlignment="1">
      <alignment horizontal="center"/>
    </xf>
    <xf numFmtId="0" fontId="148" fillId="0" borderId="0" xfId="94" applyFont="1" applyAlignment="1">
      <alignment horizontal="center"/>
    </xf>
    <xf numFmtId="0" fontId="148" fillId="0" borderId="34" xfId="94" applyFont="1" applyBorder="1" applyAlignment="1">
      <alignment horizontal="center"/>
    </xf>
    <xf numFmtId="0" fontId="149" fillId="0" borderId="33" xfId="94" applyFont="1" applyBorder="1" applyAlignment="1">
      <alignment horizontal="center"/>
    </xf>
    <xf numFmtId="0" fontId="149" fillId="0" borderId="0" xfId="94" applyFont="1" applyAlignment="1">
      <alignment horizontal="center"/>
    </xf>
    <xf numFmtId="0" fontId="149" fillId="0" borderId="34" xfId="94" applyFont="1" applyBorder="1" applyAlignment="1">
      <alignment horizontal="center"/>
    </xf>
    <xf numFmtId="0" fontId="94" fillId="0" borderId="0" xfId="94" applyFont="1" applyAlignment="1">
      <alignment horizontal="justify" vertical="top" wrapText="1"/>
    </xf>
    <xf numFmtId="0" fontId="131" fillId="0" borderId="0" xfId="94" applyFont="1" applyAlignment="1">
      <alignment horizontal="justify" vertical="top" wrapText="1"/>
    </xf>
  </cellXfs>
  <cellStyles count="1429">
    <cellStyle name="20% - Accent1 10" xfId="178"/>
    <cellStyle name="20% - Accent1 11" xfId="179"/>
    <cellStyle name="20% - Accent1 2" xfId="1"/>
    <cellStyle name="20% - Accent1 3" xfId="180"/>
    <cellStyle name="20% - Accent1 4" xfId="181"/>
    <cellStyle name="20% - Accent1 5" xfId="182"/>
    <cellStyle name="20% - Accent1 6" xfId="183"/>
    <cellStyle name="20% - Accent1 7" xfId="184"/>
    <cellStyle name="20% - Accent1 8" xfId="185"/>
    <cellStyle name="20% - Accent1 9" xfId="186"/>
    <cellStyle name="20% - Accent2 10" xfId="187"/>
    <cellStyle name="20% - Accent2 11" xfId="188"/>
    <cellStyle name="20% - Accent2 2" xfId="2"/>
    <cellStyle name="20% - Accent2 3" xfId="189"/>
    <cellStyle name="20% - Accent2 4" xfId="190"/>
    <cellStyle name="20% - Accent2 5" xfId="191"/>
    <cellStyle name="20% - Accent2 6" xfId="192"/>
    <cellStyle name="20% - Accent2 7" xfId="193"/>
    <cellStyle name="20% - Accent2 8" xfId="194"/>
    <cellStyle name="20% - Accent2 9" xfId="195"/>
    <cellStyle name="20% - Accent3 10" xfId="196"/>
    <cellStyle name="20% - Accent3 11" xfId="197"/>
    <cellStyle name="20% - Accent3 2" xfId="3"/>
    <cellStyle name="20% - Accent3 3" xfId="198"/>
    <cellStyle name="20% - Accent3 4" xfId="199"/>
    <cellStyle name="20% - Accent3 5" xfId="200"/>
    <cellStyle name="20% - Accent3 6" xfId="201"/>
    <cellStyle name="20% - Accent3 7" xfId="202"/>
    <cellStyle name="20% - Accent3 8" xfId="203"/>
    <cellStyle name="20% - Accent3 9" xfId="204"/>
    <cellStyle name="20% - Accent4 10" xfId="205"/>
    <cellStyle name="20% - Accent4 11" xfId="206"/>
    <cellStyle name="20% - Accent4 2" xfId="4"/>
    <cellStyle name="20% - Accent4 3" xfId="207"/>
    <cellStyle name="20% - Accent4 4" xfId="208"/>
    <cellStyle name="20% - Accent4 5" xfId="209"/>
    <cellStyle name="20% - Accent4 6" xfId="210"/>
    <cellStyle name="20% - Accent4 7" xfId="211"/>
    <cellStyle name="20% - Accent4 8" xfId="212"/>
    <cellStyle name="20% - Accent4 9" xfId="213"/>
    <cellStyle name="20% - Accent5 10" xfId="214"/>
    <cellStyle name="20% - Accent5 11" xfId="215"/>
    <cellStyle name="20% - Accent5 2" xfId="5"/>
    <cellStyle name="20% - Accent5 3" xfId="216"/>
    <cellStyle name="20% - Accent5 4" xfId="217"/>
    <cellStyle name="20% - Accent5 5" xfId="218"/>
    <cellStyle name="20% - Accent5 6" xfId="219"/>
    <cellStyle name="20% - Accent5 7" xfId="220"/>
    <cellStyle name="20% - Accent5 8" xfId="221"/>
    <cellStyle name="20% - Accent5 9" xfId="222"/>
    <cellStyle name="20% - Accent6 10" xfId="223"/>
    <cellStyle name="20% - Accent6 11" xfId="224"/>
    <cellStyle name="20% - Accent6 2" xfId="6"/>
    <cellStyle name="20% - Accent6 3" xfId="225"/>
    <cellStyle name="20% - Accent6 4" xfId="226"/>
    <cellStyle name="20% - Accent6 5" xfId="227"/>
    <cellStyle name="20% - Accent6 6" xfId="228"/>
    <cellStyle name="20% - Accent6 7" xfId="229"/>
    <cellStyle name="20% - Accent6 8" xfId="230"/>
    <cellStyle name="20% - Accent6 9" xfId="231"/>
    <cellStyle name="40% - Accent1 10" xfId="232"/>
    <cellStyle name="40% - Accent1 11" xfId="233"/>
    <cellStyle name="40% - Accent1 2" xfId="7"/>
    <cellStyle name="40% - Accent1 3" xfId="234"/>
    <cellStyle name="40% - Accent1 4" xfId="235"/>
    <cellStyle name="40% - Accent1 5" xfId="236"/>
    <cellStyle name="40% - Accent1 6" xfId="237"/>
    <cellStyle name="40% - Accent1 7" xfId="238"/>
    <cellStyle name="40% - Accent1 8" xfId="239"/>
    <cellStyle name="40% - Accent1 9" xfId="240"/>
    <cellStyle name="40% - Accent2 10" xfId="241"/>
    <cellStyle name="40% - Accent2 11" xfId="242"/>
    <cellStyle name="40% - Accent2 2" xfId="8"/>
    <cellStyle name="40% - Accent2 3" xfId="243"/>
    <cellStyle name="40% - Accent2 4" xfId="244"/>
    <cellStyle name="40% - Accent2 5" xfId="245"/>
    <cellStyle name="40% - Accent2 6" xfId="246"/>
    <cellStyle name="40% - Accent2 7" xfId="247"/>
    <cellStyle name="40% - Accent2 8" xfId="248"/>
    <cellStyle name="40% - Accent2 9" xfId="249"/>
    <cellStyle name="40% - Accent3 10" xfId="250"/>
    <cellStyle name="40% - Accent3 11" xfId="251"/>
    <cellStyle name="40% - Accent3 2" xfId="9"/>
    <cellStyle name="40% - Accent3 3" xfId="252"/>
    <cellStyle name="40% - Accent3 4" xfId="253"/>
    <cellStyle name="40% - Accent3 5" xfId="254"/>
    <cellStyle name="40% - Accent3 6" xfId="255"/>
    <cellStyle name="40% - Accent3 7" xfId="256"/>
    <cellStyle name="40% - Accent3 8" xfId="257"/>
    <cellStyle name="40% - Accent3 9" xfId="258"/>
    <cellStyle name="40% - Accent4 10" xfId="259"/>
    <cellStyle name="40% - Accent4 11" xfId="260"/>
    <cellStyle name="40% - Accent4 2" xfId="10"/>
    <cellStyle name="40% - Accent4 3" xfId="261"/>
    <cellStyle name="40% - Accent4 4" xfId="262"/>
    <cellStyle name="40% - Accent4 5" xfId="263"/>
    <cellStyle name="40% - Accent4 6" xfId="264"/>
    <cellStyle name="40% - Accent4 7" xfId="265"/>
    <cellStyle name="40% - Accent4 8" xfId="266"/>
    <cellStyle name="40% - Accent4 9" xfId="267"/>
    <cellStyle name="40% - Accent5 10" xfId="268"/>
    <cellStyle name="40% - Accent5 11" xfId="269"/>
    <cellStyle name="40% - Accent5 2" xfId="11"/>
    <cellStyle name="40% - Accent5 3" xfId="270"/>
    <cellStyle name="40% - Accent5 4" xfId="271"/>
    <cellStyle name="40% - Accent5 5" xfId="272"/>
    <cellStyle name="40% - Accent5 6" xfId="273"/>
    <cellStyle name="40% - Accent5 7" xfId="274"/>
    <cellStyle name="40% - Accent5 8" xfId="275"/>
    <cellStyle name="40% - Accent5 9" xfId="276"/>
    <cellStyle name="40% - Accent6 10" xfId="277"/>
    <cellStyle name="40% - Accent6 11" xfId="278"/>
    <cellStyle name="40% - Accent6 2" xfId="12"/>
    <cellStyle name="40% - Accent6 3" xfId="279"/>
    <cellStyle name="40% - Accent6 4" xfId="280"/>
    <cellStyle name="40% - Accent6 5" xfId="281"/>
    <cellStyle name="40% - Accent6 6" xfId="282"/>
    <cellStyle name="40% - Accent6 7" xfId="283"/>
    <cellStyle name="40% - Accent6 8" xfId="284"/>
    <cellStyle name="40% - Accent6 9" xfId="285"/>
    <cellStyle name="60% - Accent1 10" xfId="286"/>
    <cellStyle name="60% - Accent1 11" xfId="287"/>
    <cellStyle name="60% - Accent1 2" xfId="13"/>
    <cellStyle name="60% - Accent1 3" xfId="288"/>
    <cellStyle name="60% - Accent1 4" xfId="289"/>
    <cellStyle name="60% - Accent1 5" xfId="290"/>
    <cellStyle name="60% - Accent1 6" xfId="291"/>
    <cellStyle name="60% - Accent1 7" xfId="292"/>
    <cellStyle name="60% - Accent1 8" xfId="293"/>
    <cellStyle name="60% - Accent1 9" xfId="294"/>
    <cellStyle name="60% - Accent2 10" xfId="295"/>
    <cellStyle name="60% - Accent2 11" xfId="296"/>
    <cellStyle name="60% - Accent2 2" xfId="14"/>
    <cellStyle name="60% - Accent2 3" xfId="297"/>
    <cellStyle name="60% - Accent2 4" xfId="298"/>
    <cellStyle name="60% - Accent2 5" xfId="299"/>
    <cellStyle name="60% - Accent2 6" xfId="300"/>
    <cellStyle name="60% - Accent2 7" xfId="301"/>
    <cellStyle name="60% - Accent2 8" xfId="302"/>
    <cellStyle name="60% - Accent2 9" xfId="303"/>
    <cellStyle name="60% - Accent3 10" xfId="304"/>
    <cellStyle name="60% - Accent3 11" xfId="305"/>
    <cellStyle name="60% - Accent3 2" xfId="15"/>
    <cellStyle name="60% - Accent3 3" xfId="306"/>
    <cellStyle name="60% - Accent3 4" xfId="307"/>
    <cellStyle name="60% - Accent3 5" xfId="308"/>
    <cellStyle name="60% - Accent3 6" xfId="309"/>
    <cellStyle name="60% - Accent3 7" xfId="310"/>
    <cellStyle name="60% - Accent3 8" xfId="311"/>
    <cellStyle name="60% - Accent3 9" xfId="312"/>
    <cellStyle name="60% - Accent4 10" xfId="313"/>
    <cellStyle name="60% - Accent4 11" xfId="314"/>
    <cellStyle name="60% - Accent4 2" xfId="16"/>
    <cellStyle name="60% - Accent4 3" xfId="315"/>
    <cellStyle name="60% - Accent4 4" xfId="316"/>
    <cellStyle name="60% - Accent4 5" xfId="317"/>
    <cellStyle name="60% - Accent4 6" xfId="318"/>
    <cellStyle name="60% - Accent4 7" xfId="319"/>
    <cellStyle name="60% - Accent4 8" xfId="320"/>
    <cellStyle name="60% - Accent4 9" xfId="321"/>
    <cellStyle name="60% - Accent5 10" xfId="322"/>
    <cellStyle name="60% - Accent5 11" xfId="323"/>
    <cellStyle name="60% - Accent5 2" xfId="17"/>
    <cellStyle name="60% - Accent5 3" xfId="324"/>
    <cellStyle name="60% - Accent5 4" xfId="325"/>
    <cellStyle name="60% - Accent5 5" xfId="326"/>
    <cellStyle name="60% - Accent5 6" xfId="327"/>
    <cellStyle name="60% - Accent5 7" xfId="328"/>
    <cellStyle name="60% - Accent5 8" xfId="329"/>
    <cellStyle name="60% - Accent5 9" xfId="330"/>
    <cellStyle name="60% - Accent6 10" xfId="331"/>
    <cellStyle name="60% - Accent6 11" xfId="332"/>
    <cellStyle name="60% - Accent6 2" xfId="18"/>
    <cellStyle name="60% - Accent6 3" xfId="333"/>
    <cellStyle name="60% - Accent6 4" xfId="334"/>
    <cellStyle name="60% - Accent6 5" xfId="335"/>
    <cellStyle name="60% - Accent6 6" xfId="336"/>
    <cellStyle name="60% - Accent6 7" xfId="337"/>
    <cellStyle name="60% - Accent6 8" xfId="338"/>
    <cellStyle name="60% - Accent6 9" xfId="339"/>
    <cellStyle name="Accent1 - 20%" xfId="19"/>
    <cellStyle name="Accent1 - 20% 2" xfId="340"/>
    <cellStyle name="Accent1 - 20% 3" xfId="341"/>
    <cellStyle name="Accent1 - 20% 4" xfId="342"/>
    <cellStyle name="Accent1 - 40%" xfId="20"/>
    <cellStyle name="Accent1 - 40% 2" xfId="343"/>
    <cellStyle name="Accent1 - 40% 3" xfId="344"/>
    <cellStyle name="Accent1 - 40% 4" xfId="345"/>
    <cellStyle name="Accent1 - 60%" xfId="21"/>
    <cellStyle name="Accent1 10" xfId="346"/>
    <cellStyle name="Accent1 11" xfId="347"/>
    <cellStyle name="Accent1 12" xfId="348"/>
    <cellStyle name="Accent1 13" xfId="349"/>
    <cellStyle name="Accent1 14" xfId="350"/>
    <cellStyle name="Accent1 15" xfId="351"/>
    <cellStyle name="Accent1 16" xfId="352"/>
    <cellStyle name="Accent1 2" xfId="22"/>
    <cellStyle name="Accent1 2 2" xfId="353"/>
    <cellStyle name="Accent1 2 3" xfId="354"/>
    <cellStyle name="Accent1 3" xfId="355"/>
    <cellStyle name="Accent1 3 2" xfId="356"/>
    <cellStyle name="Accent1 4" xfId="357"/>
    <cellStyle name="Accent1 5" xfId="358"/>
    <cellStyle name="Accent1 6" xfId="359"/>
    <cellStyle name="Accent1 7" xfId="360"/>
    <cellStyle name="Accent1 8" xfId="361"/>
    <cellStyle name="Accent1 9" xfId="362"/>
    <cellStyle name="Accent2 - 20%" xfId="23"/>
    <cellStyle name="Accent2 - 20% 2" xfId="363"/>
    <cellStyle name="Accent2 - 20% 3" xfId="364"/>
    <cellStyle name="Accent2 - 20% 4" xfId="365"/>
    <cellStyle name="Accent2 - 40%" xfId="24"/>
    <cellStyle name="Accent2 - 40% 2" xfId="366"/>
    <cellStyle name="Accent2 - 40% 3" xfId="367"/>
    <cellStyle name="Accent2 - 40% 4" xfId="368"/>
    <cellStyle name="Accent2 - 60%" xfId="25"/>
    <cellStyle name="Accent2 10" xfId="369"/>
    <cellStyle name="Accent2 11" xfId="370"/>
    <cellStyle name="Accent2 12" xfId="371"/>
    <cellStyle name="Accent2 13" xfId="372"/>
    <cellStyle name="Accent2 14" xfId="373"/>
    <cellStyle name="Accent2 15" xfId="374"/>
    <cellStyle name="Accent2 16" xfId="375"/>
    <cellStyle name="Accent2 2" xfId="26"/>
    <cellStyle name="Accent2 2 2" xfId="376"/>
    <cellStyle name="Accent2 2 3" xfId="377"/>
    <cellStyle name="Accent2 3" xfId="378"/>
    <cellStyle name="Accent2 3 2" xfId="379"/>
    <cellStyle name="Accent2 4" xfId="380"/>
    <cellStyle name="Accent2 5" xfId="381"/>
    <cellStyle name="Accent2 6" xfId="382"/>
    <cellStyle name="Accent2 7" xfId="383"/>
    <cellStyle name="Accent2 8" xfId="384"/>
    <cellStyle name="Accent2 9" xfId="385"/>
    <cellStyle name="Accent3 - 20%" xfId="27"/>
    <cellStyle name="Accent3 - 20% 2" xfId="386"/>
    <cellStyle name="Accent3 - 20% 3" xfId="387"/>
    <cellStyle name="Accent3 - 20% 4" xfId="388"/>
    <cellStyle name="Accent3 - 40%" xfId="28"/>
    <cellStyle name="Accent3 - 40% 2" xfId="389"/>
    <cellStyle name="Accent3 - 40% 3" xfId="390"/>
    <cellStyle name="Accent3 - 40% 4" xfId="391"/>
    <cellStyle name="Accent3 - 60%" xfId="29"/>
    <cellStyle name="Accent3 10" xfId="392"/>
    <cellStyle name="Accent3 11" xfId="393"/>
    <cellStyle name="Accent3 12" xfId="394"/>
    <cellStyle name="Accent3 13" xfId="395"/>
    <cellStyle name="Accent3 14" xfId="396"/>
    <cellStyle name="Accent3 15" xfId="397"/>
    <cellStyle name="Accent3 16" xfId="398"/>
    <cellStyle name="Accent3 2" xfId="30"/>
    <cellStyle name="Accent3 2 2" xfId="399"/>
    <cellStyle name="Accent3 2 3" xfId="400"/>
    <cellStyle name="Accent3 3" xfId="401"/>
    <cellStyle name="Accent3 3 2" xfId="402"/>
    <cellStyle name="Accent3 4" xfId="403"/>
    <cellStyle name="Accent3 5" xfId="404"/>
    <cellStyle name="Accent3 6" xfId="405"/>
    <cellStyle name="Accent3 7" xfId="406"/>
    <cellStyle name="Accent3 8" xfId="407"/>
    <cellStyle name="Accent3 9" xfId="408"/>
    <cellStyle name="Accent4 - 20%" xfId="31"/>
    <cellStyle name="Accent4 - 20% 2" xfId="409"/>
    <cellStyle name="Accent4 - 20% 3" xfId="410"/>
    <cellStyle name="Accent4 - 20% 4" xfId="411"/>
    <cellStyle name="Accent4 - 40%" xfId="32"/>
    <cellStyle name="Accent4 - 40% 2" xfId="412"/>
    <cellStyle name="Accent4 - 40% 3" xfId="413"/>
    <cellStyle name="Accent4 - 40% 4" xfId="414"/>
    <cellStyle name="Accent4 - 60%" xfId="33"/>
    <cellStyle name="Accent4 10" xfId="415"/>
    <cellStyle name="Accent4 11" xfId="416"/>
    <cellStyle name="Accent4 12" xfId="417"/>
    <cellStyle name="Accent4 13" xfId="418"/>
    <cellStyle name="Accent4 14" xfId="419"/>
    <cellStyle name="Accent4 15" xfId="420"/>
    <cellStyle name="Accent4 16" xfId="421"/>
    <cellStyle name="Accent4 2" xfId="34"/>
    <cellStyle name="Accent4 2 2" xfId="422"/>
    <cellStyle name="Accent4 2 3" xfId="423"/>
    <cellStyle name="Accent4 3" xfId="424"/>
    <cellStyle name="Accent4 3 2" xfId="425"/>
    <cellStyle name="Accent4 4" xfId="426"/>
    <cellStyle name="Accent4 5" xfId="427"/>
    <cellStyle name="Accent4 6" xfId="428"/>
    <cellStyle name="Accent4 7" xfId="429"/>
    <cellStyle name="Accent4 8" xfId="430"/>
    <cellStyle name="Accent4 9" xfId="431"/>
    <cellStyle name="Accent5 - 20%" xfId="35"/>
    <cellStyle name="Accent5 - 20% 2" xfId="432"/>
    <cellStyle name="Accent5 - 20% 3" xfId="433"/>
    <cellStyle name="Accent5 - 20% 4" xfId="434"/>
    <cellStyle name="Accent5 - 40%" xfId="36"/>
    <cellStyle name="Accent5 - 40% 2" xfId="435"/>
    <cellStyle name="Accent5 - 40% 3" xfId="436"/>
    <cellStyle name="Accent5 - 40% 4" xfId="437"/>
    <cellStyle name="Accent5 - 60%" xfId="37"/>
    <cellStyle name="Accent5 10" xfId="438"/>
    <cellStyle name="Accent5 11" xfId="439"/>
    <cellStyle name="Accent5 12" xfId="440"/>
    <cellStyle name="Accent5 13" xfId="441"/>
    <cellStyle name="Accent5 14" xfId="442"/>
    <cellStyle name="Accent5 15" xfId="443"/>
    <cellStyle name="Accent5 16" xfId="444"/>
    <cellStyle name="Accent5 2" xfId="38"/>
    <cellStyle name="Accent5 2 2" xfId="445"/>
    <cellStyle name="Accent5 2 3" xfId="446"/>
    <cellStyle name="Accent5 3" xfId="447"/>
    <cellStyle name="Accent5 3 2" xfId="448"/>
    <cellStyle name="Accent5 4" xfId="449"/>
    <cellStyle name="Accent5 5" xfId="450"/>
    <cellStyle name="Accent5 6" xfId="451"/>
    <cellStyle name="Accent5 7" xfId="452"/>
    <cellStyle name="Accent5 8" xfId="453"/>
    <cellStyle name="Accent5 9" xfId="454"/>
    <cellStyle name="Accent6 - 20%" xfId="39"/>
    <cellStyle name="Accent6 - 20% 2" xfId="455"/>
    <cellStyle name="Accent6 - 20% 3" xfId="456"/>
    <cellStyle name="Accent6 - 20% 4" xfId="457"/>
    <cellStyle name="Accent6 - 40%" xfId="40"/>
    <cellStyle name="Accent6 - 40% 2" xfId="458"/>
    <cellStyle name="Accent6 - 40% 3" xfId="459"/>
    <cellStyle name="Accent6 - 40% 4" xfId="460"/>
    <cellStyle name="Accent6 - 60%" xfId="41"/>
    <cellStyle name="Accent6 10" xfId="461"/>
    <cellStyle name="Accent6 11" xfId="462"/>
    <cellStyle name="Accent6 12" xfId="463"/>
    <cellStyle name="Accent6 13" xfId="464"/>
    <cellStyle name="Accent6 14" xfId="465"/>
    <cellStyle name="Accent6 15" xfId="466"/>
    <cellStyle name="Accent6 16" xfId="467"/>
    <cellStyle name="Accent6 2" xfId="42"/>
    <cellStyle name="Accent6 2 2" xfId="468"/>
    <cellStyle name="Accent6 2 3" xfId="469"/>
    <cellStyle name="Accent6 3" xfId="470"/>
    <cellStyle name="Accent6 3 2" xfId="471"/>
    <cellStyle name="Accent6 4" xfId="472"/>
    <cellStyle name="Accent6 5" xfId="473"/>
    <cellStyle name="Accent6 6" xfId="474"/>
    <cellStyle name="Accent6 7" xfId="475"/>
    <cellStyle name="Accent6 8" xfId="476"/>
    <cellStyle name="Accent6 9" xfId="477"/>
    <cellStyle name="Bad 10" xfId="478"/>
    <cellStyle name="Bad 11" xfId="479"/>
    <cellStyle name="Bad 12" xfId="480"/>
    <cellStyle name="Bad 13" xfId="481"/>
    <cellStyle name="Bad 14" xfId="482"/>
    <cellStyle name="Bad 15" xfId="483"/>
    <cellStyle name="Bad 16" xfId="484"/>
    <cellStyle name="Bad 2" xfId="43"/>
    <cellStyle name="Bad 2 2" xfId="485"/>
    <cellStyle name="Bad 2 3" xfId="486"/>
    <cellStyle name="Bad 3" xfId="487"/>
    <cellStyle name="Bad 3 2" xfId="488"/>
    <cellStyle name="Bad 4" xfId="489"/>
    <cellStyle name="Bad 5" xfId="490"/>
    <cellStyle name="Bad 6" xfId="491"/>
    <cellStyle name="Bad 7" xfId="492"/>
    <cellStyle name="Bad 8" xfId="493"/>
    <cellStyle name="Bad 9" xfId="494"/>
    <cellStyle name="BOOKMAN" xfId="495"/>
    <cellStyle name="Calc Currency (0)" xfId="44"/>
    <cellStyle name="Calculation 10" xfId="496"/>
    <cellStyle name="Calculation 11" xfId="497"/>
    <cellStyle name="Calculation 12" xfId="498"/>
    <cellStyle name="Calculation 13" xfId="499"/>
    <cellStyle name="Calculation 14" xfId="500"/>
    <cellStyle name="Calculation 15" xfId="501"/>
    <cellStyle name="Calculation 16" xfId="502"/>
    <cellStyle name="Calculation 2" xfId="45"/>
    <cellStyle name="Calculation 2 2" xfId="503"/>
    <cellStyle name="Calculation 2 3" xfId="504"/>
    <cellStyle name="Calculation 2 4" xfId="505"/>
    <cellStyle name="Calculation 3" xfId="506"/>
    <cellStyle name="Calculation 3 2" xfId="507"/>
    <cellStyle name="Calculation 4" xfId="508"/>
    <cellStyle name="Calculation 5" xfId="509"/>
    <cellStyle name="Calculation 6" xfId="510"/>
    <cellStyle name="Calculation 7" xfId="511"/>
    <cellStyle name="Calculation 8" xfId="512"/>
    <cellStyle name="Calculation 9" xfId="513"/>
    <cellStyle name="Check Cell 10" xfId="514"/>
    <cellStyle name="Check Cell 11" xfId="515"/>
    <cellStyle name="Check Cell 12" xfId="516"/>
    <cellStyle name="Check Cell 13" xfId="517"/>
    <cellStyle name="Check Cell 14" xfId="518"/>
    <cellStyle name="Check Cell 15" xfId="519"/>
    <cellStyle name="Check Cell 16" xfId="520"/>
    <cellStyle name="Check Cell 2" xfId="46"/>
    <cellStyle name="Check Cell 2 2" xfId="521"/>
    <cellStyle name="Check Cell 2 3" xfId="522"/>
    <cellStyle name="Check Cell 3" xfId="523"/>
    <cellStyle name="Check Cell 3 2" xfId="524"/>
    <cellStyle name="Check Cell 4" xfId="525"/>
    <cellStyle name="Check Cell 5" xfId="526"/>
    <cellStyle name="Check Cell 6" xfId="527"/>
    <cellStyle name="Check Cell 7" xfId="528"/>
    <cellStyle name="Check Cell 8" xfId="529"/>
    <cellStyle name="Check Cell 9" xfId="530"/>
    <cellStyle name="Comma  - Style1" xfId="47"/>
    <cellStyle name="Comma  - Style1 2" xfId="531"/>
    <cellStyle name="Comma  - Style1 3" xfId="532"/>
    <cellStyle name="Comma  - Style1 4" xfId="533"/>
    <cellStyle name="Comma  - Style1 5" xfId="534"/>
    <cellStyle name="Comma  - Style1 6" xfId="535"/>
    <cellStyle name="Comma  - Style1_PMGSY_-NEW_-Seebai1" xfId="536"/>
    <cellStyle name="Comma  - Style2" xfId="48"/>
    <cellStyle name="Comma  - Style2 2" xfId="537"/>
    <cellStyle name="Comma  - Style2 3" xfId="538"/>
    <cellStyle name="Comma  - Style2 4" xfId="539"/>
    <cellStyle name="Comma  - Style2 5" xfId="540"/>
    <cellStyle name="Comma  - Style2 6" xfId="541"/>
    <cellStyle name="Comma  - Style2_PMGSY_-NEW_-Seebai1" xfId="542"/>
    <cellStyle name="Comma  - Style3" xfId="49"/>
    <cellStyle name="Comma  - Style3 2" xfId="543"/>
    <cellStyle name="Comma  - Style3 3" xfId="544"/>
    <cellStyle name="Comma  - Style3 4" xfId="545"/>
    <cellStyle name="Comma  - Style3 5" xfId="546"/>
    <cellStyle name="Comma  - Style3 6" xfId="547"/>
    <cellStyle name="Comma  - Style3_PMGSY_-NEW_-Seebai1" xfId="548"/>
    <cellStyle name="Comma  - Style4" xfId="50"/>
    <cellStyle name="Comma  - Style4 2" xfId="549"/>
    <cellStyle name="Comma  - Style4 3" xfId="550"/>
    <cellStyle name="Comma  - Style4 4" xfId="551"/>
    <cellStyle name="Comma  - Style4 5" xfId="552"/>
    <cellStyle name="Comma  - Style4 6" xfId="553"/>
    <cellStyle name="Comma  - Style4_PMGSY_-NEW_-Seebai1" xfId="554"/>
    <cellStyle name="Comma  - Style5" xfId="51"/>
    <cellStyle name="Comma  - Style5 2" xfId="555"/>
    <cellStyle name="Comma  - Style5 3" xfId="556"/>
    <cellStyle name="Comma  - Style5 4" xfId="557"/>
    <cellStyle name="Comma  - Style5 5" xfId="558"/>
    <cellStyle name="Comma  - Style5 6" xfId="559"/>
    <cellStyle name="Comma  - Style5_PMGSY_-NEW_-Seebai1" xfId="560"/>
    <cellStyle name="Comma  - Style6" xfId="52"/>
    <cellStyle name="Comma  - Style6 2" xfId="561"/>
    <cellStyle name="Comma  - Style6 3" xfId="562"/>
    <cellStyle name="Comma  - Style6 4" xfId="563"/>
    <cellStyle name="Comma  - Style6 5" xfId="564"/>
    <cellStyle name="Comma  - Style6 6" xfId="565"/>
    <cellStyle name="Comma  - Style6_PMGSY_-NEW_-Seebai1" xfId="566"/>
    <cellStyle name="Comma  - Style7" xfId="53"/>
    <cellStyle name="Comma  - Style7 2" xfId="567"/>
    <cellStyle name="Comma  - Style7 3" xfId="568"/>
    <cellStyle name="Comma  - Style7 4" xfId="569"/>
    <cellStyle name="Comma  - Style7 5" xfId="570"/>
    <cellStyle name="Comma  - Style7 6" xfId="571"/>
    <cellStyle name="Comma  - Style7_PMGSY_-NEW_-Seebai1" xfId="572"/>
    <cellStyle name="Comma  - Style8" xfId="54"/>
    <cellStyle name="Comma  - Style8 2" xfId="573"/>
    <cellStyle name="Comma  - Style8 3" xfId="574"/>
    <cellStyle name="Comma  - Style8 4" xfId="575"/>
    <cellStyle name="Comma  - Style8 5" xfId="576"/>
    <cellStyle name="Comma  - Style8 6" xfId="577"/>
    <cellStyle name="Comma  - Style8_PMGSY_-NEW_-Seebai1" xfId="578"/>
    <cellStyle name="Comma 2" xfId="55"/>
    <cellStyle name="Comma 2 10" xfId="579"/>
    <cellStyle name="Comma 2 11" xfId="580"/>
    <cellStyle name="Comma 2 12" xfId="581"/>
    <cellStyle name="Comma 2 13" xfId="582"/>
    <cellStyle name="Comma 2 2" xfId="56"/>
    <cellStyle name="Comma 2 2 10" xfId="583"/>
    <cellStyle name="Comma 2 2 11" xfId="584"/>
    <cellStyle name="Comma 2 2 2" xfId="585"/>
    <cellStyle name="Comma 2 2 3" xfId="586"/>
    <cellStyle name="Comma 2 2 4" xfId="587"/>
    <cellStyle name="Comma 2 2 5" xfId="588"/>
    <cellStyle name="Comma 2 2 6" xfId="589"/>
    <cellStyle name="Comma 2 2 7" xfId="590"/>
    <cellStyle name="Comma 2 2 8" xfId="591"/>
    <cellStyle name="Comma 2 2 9" xfId="592"/>
    <cellStyle name="Comma 2 3" xfId="593"/>
    <cellStyle name="Comma 2 3 2" xfId="594"/>
    <cellStyle name="Comma 2 3 3" xfId="595"/>
    <cellStyle name="Comma 2 3 4" xfId="596"/>
    <cellStyle name="Comma 2 4" xfId="597"/>
    <cellStyle name="Comma 2 4 2" xfId="598"/>
    <cellStyle name="Comma 2 5" xfId="599"/>
    <cellStyle name="Comma 2 6" xfId="600"/>
    <cellStyle name="Comma 2 7" xfId="601"/>
    <cellStyle name="Comma 2 8" xfId="602"/>
    <cellStyle name="Comma 2 9" xfId="603"/>
    <cellStyle name="Comma 2_CC Bill" xfId="604"/>
    <cellStyle name="Comma 3" xfId="57"/>
    <cellStyle name="Comma 3 10" xfId="605"/>
    <cellStyle name="Comma 3 11" xfId="606"/>
    <cellStyle name="Comma 3 2" xfId="607"/>
    <cellStyle name="Comma 3 2 2" xfId="608"/>
    <cellStyle name="Comma 3 2 2 2" xfId="609"/>
    <cellStyle name="Comma 3 2 2 2 2" xfId="610"/>
    <cellStyle name="Comma 3 2 2 2 3" xfId="611"/>
    <cellStyle name="Comma 3 2 2 2 4" xfId="612"/>
    <cellStyle name="Comma 3 2 2 2_RA-2 CC" xfId="613"/>
    <cellStyle name="Comma 3 3" xfId="614"/>
    <cellStyle name="Comma 3 3 2" xfId="615"/>
    <cellStyle name="Comma 3 4" xfId="616"/>
    <cellStyle name="Comma 3 5" xfId="617"/>
    <cellStyle name="Comma 3 6" xfId="618"/>
    <cellStyle name="Comma 3 7" xfId="619"/>
    <cellStyle name="Comma 3 8" xfId="620"/>
    <cellStyle name="Comma 3 9" xfId="621"/>
    <cellStyle name="Comma 3_CC Bill" xfId="622"/>
    <cellStyle name="Comma 4" xfId="58"/>
    <cellStyle name="Comma 4 2" xfId="59"/>
    <cellStyle name="Comma 4 2 2" xfId="623"/>
    <cellStyle name="Comma 4 3" xfId="624"/>
    <cellStyle name="Comma 4 4" xfId="625"/>
    <cellStyle name="Comma 4_CC Bill" xfId="626"/>
    <cellStyle name="Comma 5" xfId="60"/>
    <cellStyle name="Comma 5 2" xfId="627"/>
    <cellStyle name="Comma 5 3" xfId="628"/>
    <cellStyle name="Comma 6" xfId="61"/>
    <cellStyle name="Comma 6 2" xfId="629"/>
    <cellStyle name="Comma 6 3" xfId="630"/>
    <cellStyle name="Comma 7" xfId="62"/>
    <cellStyle name="Comma 7 2" xfId="631"/>
    <cellStyle name="Comma 7 3" xfId="632"/>
    <cellStyle name="Comma 8" xfId="63"/>
    <cellStyle name="Comma 9" xfId="1344"/>
    <cellStyle name="Copied" xfId="64"/>
    <cellStyle name="Copied 2" xfId="633"/>
    <cellStyle name="Copied 3" xfId="634"/>
    <cellStyle name="Copied 4" xfId="635"/>
    <cellStyle name="Copied 5" xfId="636"/>
    <cellStyle name="Copied 6" xfId="637"/>
    <cellStyle name="Copied_AKKAMPALLI - RACHANAPALLI RD TO N R R COLONY" xfId="638"/>
    <cellStyle name="Currency 2" xfId="639"/>
    <cellStyle name="Currency 2 2" xfId="640"/>
    <cellStyle name="Currency 3" xfId="641"/>
    <cellStyle name="Currency 4" xfId="642"/>
    <cellStyle name="Currency 5" xfId="643"/>
    <cellStyle name="Currency 6" xfId="644"/>
    <cellStyle name="Emphasis 1" xfId="65"/>
    <cellStyle name="Emphasis 2" xfId="66"/>
    <cellStyle name="Emphasis 3" xfId="67"/>
    <cellStyle name="Entered" xfId="68"/>
    <cellStyle name="Entered 2" xfId="645"/>
    <cellStyle name="Entered 3" xfId="646"/>
    <cellStyle name="Entered 4" xfId="647"/>
    <cellStyle name="Entered 5" xfId="648"/>
    <cellStyle name="Entered 6" xfId="649"/>
    <cellStyle name="Entered_AKKAMPALLI - RACHANAPALLI RD TO N R R COLONY" xfId="650"/>
    <cellStyle name="Euro" xfId="651"/>
    <cellStyle name="Euro 2" xfId="1345"/>
    <cellStyle name="Excel Built-in Normal" xfId="652"/>
    <cellStyle name="Excel Built-in Normal 2" xfId="653"/>
    <cellStyle name="Excel_BuiltIn_Total" xfId="654"/>
    <cellStyle name="Explanatory Text 10" xfId="655"/>
    <cellStyle name="Explanatory Text 11" xfId="656"/>
    <cellStyle name="Explanatory Text 2" xfId="69"/>
    <cellStyle name="Explanatory Text 3" xfId="657"/>
    <cellStyle name="Explanatory Text 4" xfId="658"/>
    <cellStyle name="Explanatory Text 5" xfId="659"/>
    <cellStyle name="Explanatory Text 6" xfId="660"/>
    <cellStyle name="Explanatory Text 7" xfId="661"/>
    <cellStyle name="Explanatory Text 8" xfId="662"/>
    <cellStyle name="Explanatory Text 9" xfId="663"/>
    <cellStyle name="Fixed" xfId="70"/>
    <cellStyle name="Fixed 2" xfId="664"/>
    <cellStyle name="Fixed 3" xfId="665"/>
    <cellStyle name="Fixed 4" xfId="1346"/>
    <cellStyle name="general" xfId="71"/>
    <cellStyle name="general 2" xfId="72"/>
    <cellStyle name="general 3" xfId="73"/>
    <cellStyle name="general 4" xfId="74"/>
    <cellStyle name="general 5" xfId="666"/>
    <cellStyle name="general 6" xfId="667"/>
    <cellStyle name="general_Nakkabokkalapdu Grn Anganwadi     6-11-2016 for Bill," xfId="668"/>
    <cellStyle name="Good 10" xfId="669"/>
    <cellStyle name="Good 11" xfId="670"/>
    <cellStyle name="Good 12" xfId="671"/>
    <cellStyle name="Good 13" xfId="672"/>
    <cellStyle name="Good 14" xfId="673"/>
    <cellStyle name="Good 15" xfId="674"/>
    <cellStyle name="Good 16" xfId="675"/>
    <cellStyle name="Good 2" xfId="75"/>
    <cellStyle name="Good 2 2" xfId="676"/>
    <cellStyle name="Good 2 3" xfId="677"/>
    <cellStyle name="Good 3" xfId="678"/>
    <cellStyle name="Good 3 2" xfId="679"/>
    <cellStyle name="Good 4" xfId="680"/>
    <cellStyle name="Good 5" xfId="681"/>
    <cellStyle name="Good 6" xfId="682"/>
    <cellStyle name="Good 7" xfId="683"/>
    <cellStyle name="Good 8" xfId="684"/>
    <cellStyle name="Good 9" xfId="685"/>
    <cellStyle name="Grey" xfId="76"/>
    <cellStyle name="Grey 2" xfId="686"/>
    <cellStyle name="Header1" xfId="77"/>
    <cellStyle name="Header2" xfId="78"/>
    <cellStyle name="Heading 1 10" xfId="687"/>
    <cellStyle name="Heading 1 11" xfId="688"/>
    <cellStyle name="Heading 1 12" xfId="689"/>
    <cellStyle name="Heading 1 13" xfId="690"/>
    <cellStyle name="Heading 1 14" xfId="691"/>
    <cellStyle name="Heading 1 15" xfId="692"/>
    <cellStyle name="Heading 1 16" xfId="693"/>
    <cellStyle name="Heading 1 2" xfId="79"/>
    <cellStyle name="Heading 1 2 2" xfId="694"/>
    <cellStyle name="Heading 1 2 3" xfId="695"/>
    <cellStyle name="Heading 1 3" xfId="696"/>
    <cellStyle name="Heading 1 3 2" xfId="697"/>
    <cellStyle name="Heading 1 4" xfId="698"/>
    <cellStyle name="Heading 1 5" xfId="699"/>
    <cellStyle name="Heading 1 6" xfId="700"/>
    <cellStyle name="Heading 1 7" xfId="701"/>
    <cellStyle name="Heading 1 8" xfId="702"/>
    <cellStyle name="Heading 1 9" xfId="703"/>
    <cellStyle name="Heading 2 10" xfId="704"/>
    <cellStyle name="Heading 2 11" xfId="705"/>
    <cellStyle name="Heading 2 12" xfId="706"/>
    <cellStyle name="Heading 2 13" xfId="707"/>
    <cellStyle name="Heading 2 14" xfId="708"/>
    <cellStyle name="Heading 2 15" xfId="709"/>
    <cellStyle name="Heading 2 16" xfId="710"/>
    <cellStyle name="Heading 2 2" xfId="80"/>
    <cellStyle name="Heading 2 2 2" xfId="711"/>
    <cellStyle name="Heading 2 2 3" xfId="712"/>
    <cellStyle name="Heading 2 3" xfId="713"/>
    <cellStyle name="Heading 2 3 2" xfId="714"/>
    <cellStyle name="Heading 2 4" xfId="715"/>
    <cellStyle name="Heading 2 5" xfId="716"/>
    <cellStyle name="Heading 2 6" xfId="717"/>
    <cellStyle name="Heading 2 7" xfId="718"/>
    <cellStyle name="Heading 2 8" xfId="719"/>
    <cellStyle name="Heading 2 9" xfId="720"/>
    <cellStyle name="Heading 3 10" xfId="721"/>
    <cellStyle name="Heading 3 11" xfId="722"/>
    <cellStyle name="Heading 3 12" xfId="723"/>
    <cellStyle name="Heading 3 13" xfId="724"/>
    <cellStyle name="Heading 3 14" xfId="725"/>
    <cellStyle name="Heading 3 15" xfId="726"/>
    <cellStyle name="Heading 3 16" xfId="727"/>
    <cellStyle name="Heading 3 2" xfId="81"/>
    <cellStyle name="Heading 3 2 2" xfId="728"/>
    <cellStyle name="Heading 3 2 3" xfId="729"/>
    <cellStyle name="Heading 3 3" xfId="730"/>
    <cellStyle name="Heading 3 3 2" xfId="731"/>
    <cellStyle name="Heading 3 4" xfId="732"/>
    <cellStyle name="Heading 3 5" xfId="733"/>
    <cellStyle name="Heading 3 6" xfId="734"/>
    <cellStyle name="Heading 3 7" xfId="735"/>
    <cellStyle name="Heading 3 8" xfId="736"/>
    <cellStyle name="Heading 3 9" xfId="737"/>
    <cellStyle name="Heading 4 10" xfId="738"/>
    <cellStyle name="Heading 4 11" xfId="739"/>
    <cellStyle name="Heading 4 12" xfId="740"/>
    <cellStyle name="Heading 4 13" xfId="741"/>
    <cellStyle name="Heading 4 14" xfId="742"/>
    <cellStyle name="Heading 4 15" xfId="743"/>
    <cellStyle name="Heading 4 16" xfId="744"/>
    <cellStyle name="Heading 4 2" xfId="82"/>
    <cellStyle name="Heading 4 2 2" xfId="745"/>
    <cellStyle name="Heading 4 2 3" xfId="746"/>
    <cellStyle name="Heading 4 3" xfId="747"/>
    <cellStyle name="Heading 4 3 2" xfId="748"/>
    <cellStyle name="Heading 4 4" xfId="749"/>
    <cellStyle name="Heading 4 5" xfId="750"/>
    <cellStyle name="Heading 4 6" xfId="751"/>
    <cellStyle name="Heading 4 7" xfId="752"/>
    <cellStyle name="Heading 4 8" xfId="753"/>
    <cellStyle name="Heading 4 9" xfId="754"/>
    <cellStyle name="Hyperlink 2" xfId="83"/>
    <cellStyle name="Hyperlink 2 2" xfId="755"/>
    <cellStyle name="Hyperlink 2 3" xfId="756"/>
    <cellStyle name="Hyperlink 2_500 KL OHSR 21.60m Staging" xfId="757"/>
    <cellStyle name="Hyperlink 3" xfId="758"/>
    <cellStyle name="Input [yellow]" xfId="84"/>
    <cellStyle name="Input [yellow] 2" xfId="759"/>
    <cellStyle name="Input 10" xfId="760"/>
    <cellStyle name="Input 11" xfId="761"/>
    <cellStyle name="Input 12" xfId="762"/>
    <cellStyle name="Input 13" xfId="763"/>
    <cellStyle name="Input 14" xfId="764"/>
    <cellStyle name="Input 15" xfId="765"/>
    <cellStyle name="Input 16" xfId="766"/>
    <cellStyle name="Input 2" xfId="85"/>
    <cellStyle name="Input 2 2" xfId="767"/>
    <cellStyle name="Input 2 3" xfId="768"/>
    <cellStyle name="Input 3" xfId="769"/>
    <cellStyle name="Input 3 2" xfId="770"/>
    <cellStyle name="Input 4" xfId="771"/>
    <cellStyle name="Input 5" xfId="772"/>
    <cellStyle name="Input 6" xfId="773"/>
    <cellStyle name="Input 7" xfId="774"/>
    <cellStyle name="Input 8" xfId="775"/>
    <cellStyle name="Input 9" xfId="776"/>
    <cellStyle name="Linked Cell 10" xfId="777"/>
    <cellStyle name="Linked Cell 11" xfId="778"/>
    <cellStyle name="Linked Cell 12" xfId="779"/>
    <cellStyle name="Linked Cell 13" xfId="780"/>
    <cellStyle name="Linked Cell 14" xfId="781"/>
    <cellStyle name="Linked Cell 15" xfId="782"/>
    <cellStyle name="Linked Cell 16" xfId="783"/>
    <cellStyle name="Linked Cell 2" xfId="86"/>
    <cellStyle name="Linked Cell 2 2" xfId="784"/>
    <cellStyle name="Linked Cell 2 3" xfId="785"/>
    <cellStyle name="Linked Cell 3" xfId="786"/>
    <cellStyle name="Linked Cell 3 2" xfId="787"/>
    <cellStyle name="Linked Cell 4" xfId="788"/>
    <cellStyle name="Linked Cell 5" xfId="789"/>
    <cellStyle name="Linked Cell 6" xfId="790"/>
    <cellStyle name="Linked Cell 7" xfId="791"/>
    <cellStyle name="Linked Cell 8" xfId="792"/>
    <cellStyle name="Linked Cell 9" xfId="793"/>
    <cellStyle name="M head" xfId="87"/>
    <cellStyle name="M head 2" xfId="794"/>
    <cellStyle name="M head 3" xfId="795"/>
    <cellStyle name="M head_con 2012" xfId="796"/>
    <cellStyle name="Main Heading" xfId="797"/>
    <cellStyle name="MANKAD" xfId="88"/>
    <cellStyle name="MANKAD 2" xfId="89"/>
    <cellStyle name="MANKAD 3" xfId="90"/>
    <cellStyle name="MANKAD 4" xfId="798"/>
    <cellStyle name="MANKAD 5" xfId="799"/>
    <cellStyle name="MANKAD 6" xfId="800"/>
    <cellStyle name="MANKAD_3 - ZP  BHAIRAVANAGAR 45.00L." xfId="801"/>
    <cellStyle name="Minor Head" xfId="91"/>
    <cellStyle name="Neutral 10" xfId="802"/>
    <cellStyle name="Neutral 11" xfId="803"/>
    <cellStyle name="Neutral 12" xfId="804"/>
    <cellStyle name="Neutral 13" xfId="805"/>
    <cellStyle name="Neutral 14" xfId="806"/>
    <cellStyle name="Neutral 15" xfId="807"/>
    <cellStyle name="Neutral 16" xfId="808"/>
    <cellStyle name="Neutral 2" xfId="92"/>
    <cellStyle name="Neutral 2 2" xfId="809"/>
    <cellStyle name="Neutral 2 3" xfId="810"/>
    <cellStyle name="Neutral 3" xfId="811"/>
    <cellStyle name="Neutral 3 2" xfId="812"/>
    <cellStyle name="Neutral 4" xfId="813"/>
    <cellStyle name="Neutral 5" xfId="814"/>
    <cellStyle name="Neutral 6" xfId="815"/>
    <cellStyle name="Neutral 7" xfId="816"/>
    <cellStyle name="Neutral 8" xfId="817"/>
    <cellStyle name="Neutral 9" xfId="818"/>
    <cellStyle name="no dec" xfId="93"/>
    <cellStyle name="no dec 2" xfId="819"/>
    <cellStyle name="no dec 3" xfId="820"/>
    <cellStyle name="no dec 4" xfId="821"/>
    <cellStyle name="no dec 5" xfId="822"/>
    <cellStyle name="no dec 6" xfId="823"/>
    <cellStyle name="no dec_3 - ZP  BHAIRAVANAGAR 45.00L." xfId="824"/>
    <cellStyle name="Normal" xfId="0" builtinId="0"/>
    <cellStyle name="Normal - Style1" xfId="94"/>
    <cellStyle name="Normal - Style1 2" xfId="95"/>
    <cellStyle name="Normal - Style1 2 2" xfId="96"/>
    <cellStyle name="Normal - Style1 2 2 2" xfId="825"/>
    <cellStyle name="Normal - Style1 2 2 3" xfId="1384"/>
    <cellStyle name="Normal - Style1 2 2 3 2" xfId="1424"/>
    <cellStyle name="Normal - Style1 2 3" xfId="826"/>
    <cellStyle name="Normal - Style1 2 4" xfId="827"/>
    <cellStyle name="Normal - Style1 2 4 2" xfId="1421"/>
    <cellStyle name="Normal - Style1 2 5" xfId="1342"/>
    <cellStyle name="Normal - Style1 2_1) NREGS  Report Uppudi" xfId="828"/>
    <cellStyle name="Normal - Style1 3" xfId="97"/>
    <cellStyle name="Normal - Style1 3 2" xfId="1347"/>
    <cellStyle name="Normal - Style1 3 3" xfId="1348"/>
    <cellStyle name="Normal - Style1 3 4" xfId="1349"/>
    <cellStyle name="Normal - Style1 4" xfId="98"/>
    <cellStyle name="Normal - Style1 5" xfId="829"/>
    <cellStyle name="Normal - Style1 6" xfId="830"/>
    <cellStyle name="Normal - Style1 7" xfId="831"/>
    <cellStyle name="Normal - Style1 8" xfId="832"/>
    <cellStyle name="Normal - Style1_1_Pattapupalem_road estt-NCRMP" xfId="99"/>
    <cellStyle name="Normal 10" xfId="100"/>
    <cellStyle name="Normal 10 2" xfId="101"/>
    <cellStyle name="Normal 10 2 2" xfId="833"/>
    <cellStyle name="Normal 10 3" xfId="834"/>
    <cellStyle name="Normal 10 3 2" xfId="1277"/>
    <cellStyle name="Normal 10 4" xfId="1278"/>
    <cellStyle name="Normal 10_Girls Hostel attached to Model School at Munipally WDE (Final) Modified (05.09.2014)" xfId="835"/>
    <cellStyle name="Normal 11" xfId="102"/>
    <cellStyle name="Normal 11 2" xfId="836"/>
    <cellStyle name="Normal 11 2 2" xfId="1279"/>
    <cellStyle name="Normal 11 2 2 2" xfId="1280"/>
    <cellStyle name="Normal 11 2 3" xfId="1281"/>
    <cellStyle name="Normal 11 2 3 2" xfId="1282"/>
    <cellStyle name="Normal 11 2 4" xfId="1283"/>
    <cellStyle name="Normal 11 3" xfId="1284"/>
    <cellStyle name="Normal 11 3 2" xfId="1285"/>
    <cellStyle name="Normal 11 4" xfId="1286"/>
    <cellStyle name="Normal 11 4 2" xfId="1287"/>
    <cellStyle name="Normal 11 5" xfId="1288"/>
    <cellStyle name="Normal 11_TIRUPATI  ELEC" xfId="837"/>
    <cellStyle name="Normal 12" xfId="103"/>
    <cellStyle name="Normal 12 2" xfId="838"/>
    <cellStyle name="Normal 12 2 2" xfId="839"/>
    <cellStyle name="Normal 12 2 2 2" xfId="1289"/>
    <cellStyle name="Normal 12 2 2 2 2" xfId="1290"/>
    <cellStyle name="Normal 12 2 2 3" xfId="1291"/>
    <cellStyle name="Normal 12 2 2 3 2" xfId="1292"/>
    <cellStyle name="Normal 12 2 2 4" xfId="1293"/>
    <cellStyle name="Normal 12 2 3" xfId="1294"/>
    <cellStyle name="Normal 12 2 3 2" xfId="1295"/>
    <cellStyle name="Normal 12 2 4" xfId="1296"/>
    <cellStyle name="Normal 12 2 4 2" xfId="1297"/>
    <cellStyle name="Normal 12 2 5" xfId="1298"/>
    <cellStyle name="Normal 12 3" xfId="840"/>
    <cellStyle name="Normal 12 3 2" xfId="1299"/>
    <cellStyle name="Normal 12 4" xfId="1275"/>
    <cellStyle name="Normal 12 4 2" xfId="1300"/>
    <cellStyle name="Normal 12 4 3" xfId="1301"/>
    <cellStyle name="Normal 12 4 3 2" xfId="1343"/>
    <cellStyle name="Normal 12 4 4" xfId="1386"/>
    <cellStyle name="Normal 12 4 5" xfId="1391"/>
    <cellStyle name="Normal 12 4 5 2" xfId="1422"/>
    <cellStyle name="Normal 12 5" xfId="1302"/>
    <cellStyle name="Normal 13" xfId="104"/>
    <cellStyle name="Normal 13 2" xfId="841"/>
    <cellStyle name="Normal 13 2 2" xfId="842"/>
    <cellStyle name="Normal 13_Girls Hostel attached to Model School at Munipally WDE (Final) Modified (05.09.2014)" xfId="843"/>
    <cellStyle name="Normal 14" xfId="105"/>
    <cellStyle name="Normal 14 2" xfId="844"/>
    <cellStyle name="Normal 14 2 2" xfId="845"/>
    <cellStyle name="Normal 15" xfId="106"/>
    <cellStyle name="Normal 15 2" xfId="846"/>
    <cellStyle name="Normal 15 3" xfId="847"/>
    <cellStyle name="Normal 16" xfId="107"/>
    <cellStyle name="Normal 16 2" xfId="848"/>
    <cellStyle name="Normal 16 3" xfId="849"/>
    <cellStyle name="Normal 17" xfId="108"/>
    <cellStyle name="Normal 17 2" xfId="109"/>
    <cellStyle name="Normal 17 2 2" xfId="850"/>
    <cellStyle name="Normal 17 3" xfId="851"/>
    <cellStyle name="Normal 17 4" xfId="852"/>
    <cellStyle name="Normal 17_Abst for J.P.nagar" xfId="853"/>
    <cellStyle name="Normal 18" xfId="110"/>
    <cellStyle name="Normal 18 2" xfId="854"/>
    <cellStyle name="Normal 18 3" xfId="855"/>
    <cellStyle name="Normal 19" xfId="856"/>
    <cellStyle name="Normal 19 2" xfId="857"/>
    <cellStyle name="Normal 19 3" xfId="858"/>
    <cellStyle name="Normal 2" xfId="111"/>
    <cellStyle name="Normal 2 10" xfId="859"/>
    <cellStyle name="Normal 2 10 2" xfId="860"/>
    <cellStyle name="Normal 2 10 3" xfId="1414"/>
    <cellStyle name="Normal 2 11" xfId="861"/>
    <cellStyle name="Normal 2 12" xfId="862"/>
    <cellStyle name="Normal 2 13" xfId="863"/>
    <cellStyle name="Normal 2 14" xfId="864"/>
    <cellStyle name="Normal 2 14 2" xfId="865"/>
    <cellStyle name="Normal 2 14 3" xfId="866"/>
    <cellStyle name="Normal 2 15" xfId="867"/>
    <cellStyle name="Normal 2 15 2" xfId="868"/>
    <cellStyle name="Normal 2 15 3" xfId="869"/>
    <cellStyle name="Normal 2 15 4" xfId="870"/>
    <cellStyle name="Normal 2 16" xfId="1394"/>
    <cellStyle name="Normal 2 17" xfId="1395"/>
    <cellStyle name="Normal 2 18" xfId="1396"/>
    <cellStyle name="Normal 2 19" xfId="1397"/>
    <cellStyle name="Normal 2 2" xfId="112"/>
    <cellStyle name="Normal 2 2 2" xfId="113"/>
    <cellStyle name="Normal 2 2 2 2" xfId="114"/>
    <cellStyle name="Normal 2 2 2 2 2" xfId="1350"/>
    <cellStyle name="Normal 2 2 2 3" xfId="871"/>
    <cellStyle name="Normal 2 2 2 4" xfId="872"/>
    <cellStyle name="Normal 2 2 3" xfId="115"/>
    <cellStyle name="Normal 2 2 3 2" xfId="873"/>
    <cellStyle name="Normal 2 2 4" xfId="116"/>
    <cellStyle name="Normal 2 2 4 2" xfId="874"/>
    <cellStyle name="Normal 2 2 5" xfId="875"/>
    <cellStyle name="Normal 2 2_1" xfId="876"/>
    <cellStyle name="Normal 2 20" xfId="1398"/>
    <cellStyle name="Normal 2 3" xfId="117"/>
    <cellStyle name="Normal 2 3 2" xfId="877"/>
    <cellStyle name="Normal 2 3 2 2" xfId="177"/>
    <cellStyle name="Normal 2 3 2 3" xfId="878"/>
    <cellStyle name="Normal 2 3 2 4" xfId="879"/>
    <cellStyle name="Normal 2 3 2_Copy of Uploaded Estimate ( Nellore)" xfId="880"/>
    <cellStyle name="Normal 2 3 3" xfId="881"/>
    <cellStyle name="Normal 2 3 3 2" xfId="882"/>
    <cellStyle name="Normal 2 3 3 2 2" xfId="883"/>
    <cellStyle name="Normal 2 3 3 2 2 2" xfId="1303"/>
    <cellStyle name="Normal 2 3 3 2 3" xfId="1304"/>
    <cellStyle name="Normal 2 3 3 2 3 2" xfId="1305"/>
    <cellStyle name="Normal 2 3 3 2 4" xfId="1306"/>
    <cellStyle name="Normal 2 3 3 3" xfId="1307"/>
    <cellStyle name="Normal 2 3 3 3 2" xfId="1308"/>
    <cellStyle name="Normal 2 3 3 4" xfId="1309"/>
    <cellStyle name="Normal 2 3 3 4 2" xfId="1310"/>
    <cellStyle name="Normal 2 3 3 5" xfId="1311"/>
    <cellStyle name="Normal 2 3 4" xfId="884"/>
    <cellStyle name="Normal 2 3 4 2" xfId="885"/>
    <cellStyle name="Normal 2 3 4 2 2" xfId="886"/>
    <cellStyle name="Normal 2 3 4 2 2 2" xfId="887"/>
    <cellStyle name="Normal 2 3 4 2 2 2 2" xfId="1312"/>
    <cellStyle name="Normal 2 3 4 2 2 3" xfId="1313"/>
    <cellStyle name="Normal 2 3 4 2 2 3 2" xfId="1314"/>
    <cellStyle name="Normal 2 3 4 2 2 4" xfId="1315"/>
    <cellStyle name="Normal 2 3 4 2 3" xfId="1316"/>
    <cellStyle name="Normal 2 3 4 2 3 2" xfId="1317"/>
    <cellStyle name="Normal 2 3 4 2 4" xfId="1318"/>
    <cellStyle name="Normal 2 3 4 2 4 2" xfId="1319"/>
    <cellStyle name="Normal 2 3 4 2 5" xfId="1320"/>
    <cellStyle name="Normal 2 3 4 3" xfId="1273"/>
    <cellStyle name="Normal 2 3 4 3 2" xfId="1321"/>
    <cellStyle name="Normal 2 3 4 3 3" xfId="1415"/>
    <cellStyle name="Normal 2 3 4 4" xfId="1322"/>
    <cellStyle name="Normal 2 3 4 4 2" xfId="1323"/>
    <cellStyle name="Normal 2 3 4 5" xfId="1324"/>
    <cellStyle name="Normal 2 3 5" xfId="888"/>
    <cellStyle name="Normal 2 3 5 2" xfId="1325"/>
    <cellStyle name="Normal 2 3 6" xfId="889"/>
    <cellStyle name="Normal 2 3 6 2" xfId="1326"/>
    <cellStyle name="Normal 2 3 7" xfId="890"/>
    <cellStyle name="Normal 2 3 8" xfId="891"/>
    <cellStyle name="Normal 2 3_BANGALORE 13-02-2012" xfId="892"/>
    <cellStyle name="Normal 2 4" xfId="118"/>
    <cellStyle name="Normal 2 4 2" xfId="893"/>
    <cellStyle name="Normal 2 4 2 2" xfId="894"/>
    <cellStyle name="Normal 2 4 2 3" xfId="1351"/>
    <cellStyle name="Normal 2 4 2 4" xfId="1352"/>
    <cellStyle name="Normal 2 4 2 5" xfId="1353"/>
    <cellStyle name="Normal 2 4 3" xfId="895"/>
    <cellStyle name="Normal 2 4 4" xfId="896"/>
    <cellStyle name="Normal 2 4 5" xfId="1327"/>
    <cellStyle name="Normal 2 4 6" xfId="1354"/>
    <cellStyle name="Normal 2 5" xfId="119"/>
    <cellStyle name="Normal 2 5 2" xfId="897"/>
    <cellStyle name="Normal 2 5 3" xfId="1355"/>
    <cellStyle name="Normal 2 5 4" xfId="1356"/>
    <cellStyle name="Normal 2 5 5" xfId="1388"/>
    <cellStyle name="Normal 2 6" xfId="120"/>
    <cellStyle name="Normal 2 6 2" xfId="1357"/>
    <cellStyle name="Normal 2 6 3" xfId="1358"/>
    <cellStyle name="Normal 2 6 4" xfId="1359"/>
    <cellStyle name="Normal 2 7" xfId="898"/>
    <cellStyle name="Normal 2 8" xfId="899"/>
    <cellStyle name="Normal 2 9" xfId="900"/>
    <cellStyle name="Normal 2_ ZPHS (G) at Enkoor (V&amp;M) 22.08 L" xfId="901"/>
    <cellStyle name="Normal 20" xfId="902"/>
    <cellStyle name="Normal 20 2" xfId="903"/>
    <cellStyle name="Normal 20 3" xfId="1360"/>
    <cellStyle name="Normal 21" xfId="904"/>
    <cellStyle name="Normal 21 2" xfId="905"/>
    <cellStyle name="Normal 21 3" xfId="906"/>
    <cellStyle name="Normal 21 4" xfId="907"/>
    <cellStyle name="Normal 21 4 2" xfId="908"/>
    <cellStyle name="Normal 21 4 2 2" xfId="909"/>
    <cellStyle name="Normal 21 4 3" xfId="910"/>
    <cellStyle name="Normal 21 5" xfId="911"/>
    <cellStyle name="Normal 21 6" xfId="912"/>
    <cellStyle name="Normal 21 6 2" xfId="913"/>
    <cellStyle name="Normal 22" xfId="914"/>
    <cellStyle name="Normal 22 2" xfId="1361"/>
    <cellStyle name="Normal 23" xfId="915"/>
    <cellStyle name="Normal 23 2" xfId="916"/>
    <cellStyle name="Normal 23 3" xfId="1362"/>
    <cellStyle name="Normal 24" xfId="917"/>
    <cellStyle name="Normal 25" xfId="918"/>
    <cellStyle name="Normal 25 2" xfId="919"/>
    <cellStyle name="Normal 25 2 2" xfId="920"/>
    <cellStyle name="Normal 25 2 2 2" xfId="921"/>
    <cellStyle name="Normal 25 2 3" xfId="922"/>
    <cellStyle name="Normal 25 3" xfId="923"/>
    <cellStyle name="Normal 25 3 2" xfId="924"/>
    <cellStyle name="Normal 26" xfId="925"/>
    <cellStyle name="Normal 26 2" xfId="926"/>
    <cellStyle name="Normal 26 2 2" xfId="927"/>
    <cellStyle name="Normal 26 2 2 2" xfId="928"/>
    <cellStyle name="Normal 26 2 3" xfId="929"/>
    <cellStyle name="Normal 26 3" xfId="930"/>
    <cellStyle name="Normal 26 3 2" xfId="931"/>
    <cellStyle name="Normal 27" xfId="932"/>
    <cellStyle name="Normal 27 2" xfId="933"/>
    <cellStyle name="Normal 27 2 2" xfId="934"/>
    <cellStyle name="Normal 27 2 2 2" xfId="935"/>
    <cellStyle name="Normal 27 2 3" xfId="936"/>
    <cellStyle name="Normal 27 3" xfId="937"/>
    <cellStyle name="Normal 27 3 2" xfId="938"/>
    <cellStyle name="Normal 28" xfId="939"/>
    <cellStyle name="Normal 28 2" xfId="940"/>
    <cellStyle name="Normal 28 2 2" xfId="941"/>
    <cellStyle name="Normal 28 2 2 2" xfId="942"/>
    <cellStyle name="Normal 28 2 3" xfId="943"/>
    <cellStyle name="Normal 28 3" xfId="944"/>
    <cellStyle name="Normal 28 3 2" xfId="945"/>
    <cellStyle name="Normal 29" xfId="946"/>
    <cellStyle name="Normal 29 2" xfId="947"/>
    <cellStyle name="Normal 29 2 2" xfId="948"/>
    <cellStyle name="Normal 29 2 2 2" xfId="949"/>
    <cellStyle name="Normal 29 2 3" xfId="950"/>
    <cellStyle name="Normal 29 3" xfId="951"/>
    <cellStyle name="Normal 29 3 2" xfId="952"/>
    <cellStyle name="Normal 29 4" xfId="953"/>
    <cellStyle name="Normal 29 5" xfId="954"/>
    <cellStyle name="Normal 29 6" xfId="955"/>
    <cellStyle name="Normal 3" xfId="121"/>
    <cellStyle name="Normal 3 10" xfId="956"/>
    <cellStyle name="Normal 3 10 2" xfId="957"/>
    <cellStyle name="Normal 3 10 3" xfId="958"/>
    <cellStyle name="Normal 3 11" xfId="959"/>
    <cellStyle name="Normal 3 12" xfId="960"/>
    <cellStyle name="Normal 3 13" xfId="961"/>
    <cellStyle name="Normal 3 14" xfId="962"/>
    <cellStyle name="Normal 3 15" xfId="963"/>
    <cellStyle name="Normal 3 16" xfId="964"/>
    <cellStyle name="Normal 3 2" xfId="122"/>
    <cellStyle name="Normal 3 2 2" xfId="965"/>
    <cellStyle name="Normal 3 2 2 2" xfId="966"/>
    <cellStyle name="Normal 3 2 2 2 2" xfId="967"/>
    <cellStyle name="Normal 3 2 2 3" xfId="968"/>
    <cellStyle name="Normal 3 2 3" xfId="969"/>
    <cellStyle name="Normal 3 2 3 2" xfId="970"/>
    <cellStyle name="Normal 3 2 3 3" xfId="1389"/>
    <cellStyle name="Normal 3 2 4" xfId="971"/>
    <cellStyle name="Normal 3 2_(GF) Reading Room Over Existing Building at Govt Jr. College  05.11.2013" xfId="972"/>
    <cellStyle name="Normal 3 3" xfId="123"/>
    <cellStyle name="Normal 3 3 2" xfId="973"/>
    <cellStyle name="Normal 3 3 2 2" xfId="974"/>
    <cellStyle name="Normal 3 3 2 3" xfId="1363"/>
    <cellStyle name="Normal 3 3 2 4" xfId="1364"/>
    <cellStyle name="Normal 3 3 2_KGVB-Mulugu-Wgl" xfId="975"/>
    <cellStyle name="Normal 3 3 3" xfId="1365"/>
    <cellStyle name="Normal 3 3 4" xfId="1366"/>
    <cellStyle name="Normal 3 3 5" xfId="1367"/>
    <cellStyle name="Normal 3 3_3 ACRs in GF - G+1 floor-2010-11" xfId="976"/>
    <cellStyle name="Normal 3 33" xfId="977"/>
    <cellStyle name="Normal 3 4" xfId="124"/>
    <cellStyle name="Normal 3 4 2" xfId="978"/>
    <cellStyle name="Normal 3 4 3" xfId="1368"/>
    <cellStyle name="Normal 3 4 4" xfId="1369"/>
    <cellStyle name="Normal 3 5" xfId="979"/>
    <cellStyle name="Normal 3 5 2" xfId="980"/>
    <cellStyle name="Normal 3 5 3" xfId="981"/>
    <cellStyle name="Normal 3 5 4" xfId="982"/>
    <cellStyle name="Normal 3 6" xfId="983"/>
    <cellStyle name="Normal 3 6 2" xfId="984"/>
    <cellStyle name="Normal 3 6 3" xfId="1370"/>
    <cellStyle name="Normal 3 6 4" xfId="1371"/>
    <cellStyle name="Normal 3 7" xfId="985"/>
    <cellStyle name="Normal 3 7 2" xfId="986"/>
    <cellStyle name="Normal 3 7 3" xfId="987"/>
    <cellStyle name="Normal 3 7_Girls Hostel attached to Model School at Munipally WDE (Final) Modified (05.09.2014)" xfId="988"/>
    <cellStyle name="Normal 3 8" xfId="989"/>
    <cellStyle name="Normal 3 8 2" xfId="990"/>
    <cellStyle name="Normal 3 9" xfId="991"/>
    <cellStyle name="Normal 3 9 2" xfId="992"/>
    <cellStyle name="Normal 3 9 3" xfId="993"/>
    <cellStyle name="Normal 3 9 4" xfId="994"/>
    <cellStyle name="Normal 3_1_Pattapupalem_road estt-NCRMP" xfId="125"/>
    <cellStyle name="Normal 30" xfId="995"/>
    <cellStyle name="Normal 30 2" xfId="996"/>
    <cellStyle name="Normal 30 2 2" xfId="997"/>
    <cellStyle name="Normal 30 2 2 2" xfId="998"/>
    <cellStyle name="Normal 30 2 3" xfId="999"/>
    <cellStyle name="Normal 30 3" xfId="1000"/>
    <cellStyle name="Normal 30 3 2" xfId="1001"/>
    <cellStyle name="Normal 31" xfId="1002"/>
    <cellStyle name="Normal 31 2" xfId="1003"/>
    <cellStyle name="Normal 31 2 2" xfId="1004"/>
    <cellStyle name="Normal 31 2 2 2" xfId="1005"/>
    <cellStyle name="Normal 31 2 3" xfId="1006"/>
    <cellStyle name="Normal 31 3" xfId="1007"/>
    <cellStyle name="Normal 31 3 2" xfId="1008"/>
    <cellStyle name="Normal 32" xfId="1009"/>
    <cellStyle name="Normal 32 2" xfId="1010"/>
    <cellStyle name="Normal 32 2 2" xfId="1011"/>
    <cellStyle name="Normal 32 2 2 2" xfId="1012"/>
    <cellStyle name="Normal 32 2 3" xfId="1013"/>
    <cellStyle name="Normal 32 3" xfId="1014"/>
    <cellStyle name="Normal 32 3 2" xfId="1015"/>
    <cellStyle name="Normal 33" xfId="1016"/>
    <cellStyle name="Normal 33 2" xfId="1017"/>
    <cellStyle name="Normal 33 2 2" xfId="1018"/>
    <cellStyle name="Normal 33 2 2 2" xfId="1019"/>
    <cellStyle name="Normal 33 2 3" xfId="1020"/>
    <cellStyle name="Normal 33 3" xfId="1021"/>
    <cellStyle name="Normal 33 3 2" xfId="1022"/>
    <cellStyle name="Normal 34" xfId="1023"/>
    <cellStyle name="Normal 34 2" xfId="1024"/>
    <cellStyle name="Normal 34 3" xfId="1025"/>
    <cellStyle name="Normal 35" xfId="1026"/>
    <cellStyle name="Normal 36" xfId="1027"/>
    <cellStyle name="Normal 37" xfId="1028"/>
    <cellStyle name="Normal 38" xfId="1029"/>
    <cellStyle name="Normal 39" xfId="1030"/>
    <cellStyle name="Normal 4" xfId="126"/>
    <cellStyle name="Normal 4 10" xfId="1031"/>
    <cellStyle name="Normal 4 11" xfId="1032"/>
    <cellStyle name="Normal 4 12" xfId="1418"/>
    <cellStyle name="Normal 4 2" xfId="127"/>
    <cellStyle name="Normal 4 2 2" xfId="128"/>
    <cellStyle name="Normal 4 2 2 2" xfId="1033"/>
    <cellStyle name="Normal 4 2 3" xfId="1034"/>
    <cellStyle name="Normal 4 2 4" xfId="1035"/>
    <cellStyle name="Normal 4 2 5" xfId="1372"/>
    <cellStyle name="Normal 4 2 6" xfId="1373"/>
    <cellStyle name="Normal 4 2 7" xfId="1387"/>
    <cellStyle name="Normal 4 2_Estimate" xfId="1374"/>
    <cellStyle name="Normal 4 3" xfId="129"/>
    <cellStyle name="Normal 4 3 2" xfId="130"/>
    <cellStyle name="Normal 4 4" xfId="131"/>
    <cellStyle name="Normal 4 4 2" xfId="1036"/>
    <cellStyle name="Normal 4 5" xfId="132"/>
    <cellStyle name="Normal 4 5 2" xfId="133"/>
    <cellStyle name="Normal 4 6" xfId="1037"/>
    <cellStyle name="Normal 4 7" xfId="1038"/>
    <cellStyle name="Normal 4 8" xfId="1039"/>
    <cellStyle name="Normal 4 9" xfId="1040"/>
    <cellStyle name="Normal 4_1. Infilteration Well " xfId="1041"/>
    <cellStyle name="Normal 40" xfId="1042"/>
    <cellStyle name="Normal 41" xfId="1043"/>
    <cellStyle name="Normal 42" xfId="1044"/>
    <cellStyle name="Normal 42 2" xfId="1045"/>
    <cellStyle name="Normal 43" xfId="1046"/>
    <cellStyle name="Normal 44" xfId="1047"/>
    <cellStyle name="Normal 45" xfId="1048"/>
    <cellStyle name="Normal 46" xfId="1049"/>
    <cellStyle name="Normal 47" xfId="1050"/>
    <cellStyle name="Normal 48" xfId="1051"/>
    <cellStyle name="Normal 49" xfId="1052"/>
    <cellStyle name="Normal 5" xfId="134"/>
    <cellStyle name="Normal 5 2" xfId="135"/>
    <cellStyle name="Normal 5 2 2" xfId="1053"/>
    <cellStyle name="Normal 5 2 2 2" xfId="1328"/>
    <cellStyle name="Normal 5 2 3" xfId="1329"/>
    <cellStyle name="Normal 5 2 3 2" xfId="1330"/>
    <cellStyle name="Normal 5 2 4" xfId="1331"/>
    <cellStyle name="Normal 5 3" xfId="136"/>
    <cellStyle name="Normal 5 3 2" xfId="1054"/>
    <cellStyle name="Normal 5 3 3" xfId="1055"/>
    <cellStyle name="Normal 5 3 3 2" xfId="1056"/>
    <cellStyle name="Normal 5 3 4" xfId="1057"/>
    <cellStyle name="Normal 5 3_Girls Hostel at Ibrahimnagar SSR 2014-15 _Full(1)" xfId="1058"/>
    <cellStyle name="Normal 5 4" xfId="137"/>
    <cellStyle name="Normal 5 4 2" xfId="1059"/>
    <cellStyle name="Normal 5 4 2 2" xfId="1060"/>
    <cellStyle name="Normal 5 4 3" xfId="1061"/>
    <cellStyle name="Normal 5 4 4" xfId="1332"/>
    <cellStyle name="Normal 5 4 5" xfId="1333"/>
    <cellStyle name="Normal 5 5" xfId="1062"/>
    <cellStyle name="Normal 5 5 2" xfId="1063"/>
    <cellStyle name="Normal 5 5 3" xfId="1334"/>
    <cellStyle name="Normal 5 5 4" xfId="1335"/>
    <cellStyle name="Normal 5 6" xfId="1064"/>
    <cellStyle name="Normal 5 6 2" xfId="1336"/>
    <cellStyle name="Normal 5 7" xfId="1065"/>
    <cellStyle name="Normal 5 7 2" xfId="1337"/>
    <cellStyle name="Normal 5 8" xfId="1338"/>
    <cellStyle name="Normal 5_2_AP02X016 - KP Kunta" xfId="1066"/>
    <cellStyle name="Normal 50" xfId="1067"/>
    <cellStyle name="Normal 50 2" xfId="1068"/>
    <cellStyle name="Normal 51" xfId="1069"/>
    <cellStyle name="Normal 51 2" xfId="1070"/>
    <cellStyle name="Normal 52" xfId="1375"/>
    <cellStyle name="Normal 53" xfId="1393"/>
    <cellStyle name="Normal 53 2" xfId="1417"/>
    <cellStyle name="Normal 53 3" xfId="1425"/>
    <cellStyle name="Normal 53 3 2" xfId="1426"/>
    <cellStyle name="Normal 54" xfId="1419"/>
    <cellStyle name="Normal 55" xfId="1427"/>
    <cellStyle name="Normal 55 2" xfId="1428"/>
    <cellStyle name="Normal 6" xfId="176"/>
    <cellStyle name="Normal 6 10" xfId="1071"/>
    <cellStyle name="Normal 6 11" xfId="1072"/>
    <cellStyle name="Normal 6 12" xfId="1073"/>
    <cellStyle name="Normal 6 13" xfId="1392"/>
    <cellStyle name="Normal 6 2" xfId="138"/>
    <cellStyle name="Normal 6 2 2" xfId="1074"/>
    <cellStyle name="Normal 6 2 2 2" xfId="1075"/>
    <cellStyle name="Normal 6 2 3" xfId="1076"/>
    <cellStyle name="Normal 6 2 3 2" xfId="1077"/>
    <cellStyle name="Normal 6 2 3 3" xfId="1390"/>
    <cellStyle name="Normal 6 2 4" xfId="1078"/>
    <cellStyle name="Normal 6 2 5" xfId="1416"/>
    <cellStyle name="Normal 6 3" xfId="1079"/>
    <cellStyle name="Normal 6 3 2" xfId="1080"/>
    <cellStyle name="Normal 6 3_Bhamanagar 5.2 - Copy" xfId="1081"/>
    <cellStyle name="Normal 6 4" xfId="1082"/>
    <cellStyle name="Normal 6 4 2" xfId="1083"/>
    <cellStyle name="Normal 6 4 3" xfId="1339"/>
    <cellStyle name="Normal 6 4 4" xfId="1340"/>
    <cellStyle name="Normal 6 4 5" xfId="1341"/>
    <cellStyle name="Normal 6 5" xfId="1084"/>
    <cellStyle name="Normal 6 5 2" xfId="1085"/>
    <cellStyle name="Normal 6 6" xfId="1086"/>
    <cellStyle name="Normal 6 7" xfId="1087"/>
    <cellStyle name="Normal 6 8" xfId="1088"/>
    <cellStyle name="Normal 6 9" xfId="1089"/>
    <cellStyle name="Normal 6_Bhamanagar 5.2" xfId="1090"/>
    <cellStyle name="Normal 7" xfId="1091"/>
    <cellStyle name="Normal 7 10" xfId="1092"/>
    <cellStyle name="Normal 7 11" xfId="1093"/>
    <cellStyle name="Normal 7 12" xfId="1094"/>
    <cellStyle name="Normal 7 12 2" xfId="1095"/>
    <cellStyle name="Normal 7 2" xfId="139"/>
    <cellStyle name="Normal 7 2 2" xfId="1096"/>
    <cellStyle name="Normal 7 2 3" xfId="1097"/>
    <cellStyle name="Normal 7 2 4" xfId="1376"/>
    <cellStyle name="Normal 7 3" xfId="1098"/>
    <cellStyle name="Normal 7 3 2" xfId="1099"/>
    <cellStyle name="Normal 7 4" xfId="1100"/>
    <cellStyle name="Normal 7 5" xfId="1101"/>
    <cellStyle name="Normal 7 6" xfId="1102"/>
    <cellStyle name="Normal 7 7" xfId="1103"/>
    <cellStyle name="Normal 7 8" xfId="1104"/>
    <cellStyle name="Normal 7 9" xfId="1105"/>
    <cellStyle name="Normal 7_2_AP02X016 - KP Kunta" xfId="1106"/>
    <cellStyle name="Normal 8" xfId="140"/>
    <cellStyle name="Normal 8 2" xfId="1107"/>
    <cellStyle name="Normal 8 2 2" xfId="1108"/>
    <cellStyle name="Normal 8 3" xfId="1109"/>
    <cellStyle name="Normal 8 4" xfId="1110"/>
    <cellStyle name="Normal 8_13th Fin Ponnugupadu 22.00 Lakhs" xfId="1111"/>
    <cellStyle name="Normal 9" xfId="141"/>
    <cellStyle name="Normal 9 2" xfId="1112"/>
    <cellStyle name="Normal 9 2 2" xfId="1113"/>
    <cellStyle name="Normal 9 3" xfId="1114"/>
    <cellStyle name="Normal_Lead chart 2" xfId="1420"/>
    <cellStyle name="Normal_LEAD STATEMENT OF JAMMALAMADUGU 2" xfId="1385"/>
    <cellStyle name="Normal_LEAD STATEMENT OF JAMMALAMADUGU 2 2" xfId="1423"/>
    <cellStyle name="Normal_Telka-Est-old" xfId="1274"/>
    <cellStyle name="Note 10" xfId="1115"/>
    <cellStyle name="Note 11" xfId="1116"/>
    <cellStyle name="Note 12" xfId="1117"/>
    <cellStyle name="Note 13" xfId="1118"/>
    <cellStyle name="Note 14" xfId="1119"/>
    <cellStyle name="Note 15" xfId="1120"/>
    <cellStyle name="Note 16" xfId="1121"/>
    <cellStyle name="Note 2" xfId="142"/>
    <cellStyle name="Note 2 2" xfId="1122"/>
    <cellStyle name="Note 2 3" xfId="1123"/>
    <cellStyle name="Note 3" xfId="1124"/>
    <cellStyle name="Note 3 2" xfId="1125"/>
    <cellStyle name="Note 4" xfId="1126"/>
    <cellStyle name="Note 5" xfId="1127"/>
    <cellStyle name="Note 6" xfId="1128"/>
    <cellStyle name="Note 7" xfId="1129"/>
    <cellStyle name="Note 8" xfId="1130"/>
    <cellStyle name="Note 9" xfId="1131"/>
    <cellStyle name="Output 10" xfId="1132"/>
    <cellStyle name="Output 11" xfId="1133"/>
    <cellStyle name="Output 12" xfId="1134"/>
    <cellStyle name="Output 13" xfId="1135"/>
    <cellStyle name="Output 14" xfId="1136"/>
    <cellStyle name="Output 15" xfId="1137"/>
    <cellStyle name="Output 16" xfId="1138"/>
    <cellStyle name="Output 2" xfId="143"/>
    <cellStyle name="Output 2 2" xfId="1139"/>
    <cellStyle name="Output 2 3" xfId="1140"/>
    <cellStyle name="Output 3" xfId="1141"/>
    <cellStyle name="Output 3 2" xfId="1142"/>
    <cellStyle name="Output 4" xfId="1143"/>
    <cellStyle name="Output 5" xfId="1144"/>
    <cellStyle name="Output 6" xfId="1145"/>
    <cellStyle name="Output 7" xfId="1146"/>
    <cellStyle name="Output 8" xfId="1147"/>
    <cellStyle name="Output 9" xfId="1148"/>
    <cellStyle name="Percent [2]" xfId="144"/>
    <cellStyle name="Percent [2] 2" xfId="145"/>
    <cellStyle name="Percent [2] 3" xfId="146"/>
    <cellStyle name="Percent [2] 4" xfId="147"/>
    <cellStyle name="Percent [2] 5" xfId="1149"/>
    <cellStyle name="Percent [2] 6" xfId="1150"/>
    <cellStyle name="Percent 15" xfId="1151"/>
    <cellStyle name="Percent 15 2" xfId="1377"/>
    <cellStyle name="Percent 2" xfId="148"/>
    <cellStyle name="Percent 2 10" xfId="1152"/>
    <cellStyle name="Percent 2 11" xfId="1153"/>
    <cellStyle name="Percent 2 12" xfId="1154"/>
    <cellStyle name="Percent 2 13" xfId="1155"/>
    <cellStyle name="Percent 2 14" xfId="1156"/>
    <cellStyle name="Percent 2 15" xfId="1399"/>
    <cellStyle name="Percent 2 16" xfId="1400"/>
    <cellStyle name="Percent 2 17" xfId="1401"/>
    <cellStyle name="Percent 2 18" xfId="1402"/>
    <cellStyle name="Percent 2 19" xfId="1403"/>
    <cellStyle name="Percent 2 2" xfId="149"/>
    <cellStyle name="Percent 2 2 10" xfId="1404"/>
    <cellStyle name="Percent 2 2 11" xfId="1405"/>
    <cellStyle name="Percent 2 2 12" xfId="1406"/>
    <cellStyle name="Percent 2 2 13" xfId="1407"/>
    <cellStyle name="Percent 2 2 14" xfId="1408"/>
    <cellStyle name="Percent 2 2 2" xfId="1157"/>
    <cellStyle name="Percent 2 2 2 2" xfId="1158"/>
    <cellStyle name="Percent 2 2 2 3" xfId="1159"/>
    <cellStyle name="Percent 2 2 2 4" xfId="1160"/>
    <cellStyle name="Percent 2 2 2 5" xfId="1409"/>
    <cellStyle name="Percent 2 2 2 6" xfId="1410"/>
    <cellStyle name="Percent 2 2 2 7" xfId="1411"/>
    <cellStyle name="Percent 2 2 2 8" xfId="1412"/>
    <cellStyle name="Percent 2 2 2 9" xfId="1413"/>
    <cellStyle name="Percent 2 2 3" xfId="1161"/>
    <cellStyle name="Percent 2 2 3 2" xfId="1162"/>
    <cellStyle name="Percent 2 2 3 3" xfId="1163"/>
    <cellStyle name="Percent 2 2 4" xfId="1164"/>
    <cellStyle name="Percent 2 2 4 2" xfId="1165"/>
    <cellStyle name="Percent 2 2 5" xfId="1166"/>
    <cellStyle name="Percent 2 2 6" xfId="1167"/>
    <cellStyle name="Percent 2 2 7" xfId="1168"/>
    <cellStyle name="Percent 2 2 8" xfId="1169"/>
    <cellStyle name="Percent 2 2 9" xfId="1170"/>
    <cellStyle name="Percent 2 3" xfId="150"/>
    <cellStyle name="Percent 2 3 2" xfId="1171"/>
    <cellStyle name="Percent 2 4" xfId="1172"/>
    <cellStyle name="Percent 2 5" xfId="1173"/>
    <cellStyle name="Percent 2 6" xfId="1174"/>
    <cellStyle name="Percent 2 7" xfId="1175"/>
    <cellStyle name="Percent 2 8" xfId="1176"/>
    <cellStyle name="Percent 2 9" xfId="1177"/>
    <cellStyle name="Percent 2_WE" xfId="1378"/>
    <cellStyle name="Percent 3" xfId="151"/>
    <cellStyle name="Percent 3 10" xfId="1178"/>
    <cellStyle name="Percent 3 11" xfId="1179"/>
    <cellStyle name="Percent 3 2" xfId="1180"/>
    <cellStyle name="Percent 3 2 2" xfId="1181"/>
    <cellStyle name="Percent 3 3" xfId="1182"/>
    <cellStyle name="Percent 3 4" xfId="1183"/>
    <cellStyle name="Percent 3 5" xfId="1184"/>
    <cellStyle name="Percent 3 6" xfId="1185"/>
    <cellStyle name="Percent 3 7" xfId="1186"/>
    <cellStyle name="Percent 3 8" xfId="1187"/>
    <cellStyle name="Percent 3 9" xfId="1188"/>
    <cellStyle name="Percent 4" xfId="152"/>
    <cellStyle name="Percent 4 2" xfId="1189"/>
    <cellStyle name="Percent 5" xfId="153"/>
    <cellStyle name="Percent 5 2" xfId="1190"/>
    <cellStyle name="Percent 6" xfId="1191"/>
    <cellStyle name="Percent 7" xfId="1192"/>
    <cellStyle name="Percent 8" xfId="1193"/>
    <cellStyle name="prabhakar" xfId="1194"/>
    <cellStyle name="RevList" xfId="154"/>
    <cellStyle name="RevList 2" xfId="1195"/>
    <cellStyle name="Sheet Title" xfId="155"/>
    <cellStyle name="style" xfId="156"/>
    <cellStyle name="Style 1" xfId="157"/>
    <cellStyle name="Style 1 2" xfId="1196"/>
    <cellStyle name="Style 1 2 2" xfId="1197"/>
    <cellStyle name="Style 1 3" xfId="1198"/>
    <cellStyle name="Style 1_ALGUNOOR,THIMMAPURTWO CLASS ROOMS 12-13(2+0)" xfId="1199"/>
    <cellStyle name="Style 2" xfId="1200"/>
    <cellStyle name="style 3" xfId="1201"/>
    <cellStyle name="style 4" xfId="1202"/>
    <cellStyle name="style 5" xfId="1203"/>
    <cellStyle name="style 6" xfId="1204"/>
    <cellStyle name="style_1_Pattapupalem_road estt-NCRMP" xfId="158"/>
    <cellStyle name="style1" xfId="159"/>
    <cellStyle name="style1 2" xfId="1205"/>
    <cellStyle name="style1 3" xfId="1206"/>
    <cellStyle name="style1 4" xfId="1207"/>
    <cellStyle name="style1 5" xfId="1208"/>
    <cellStyle name="style1 6" xfId="1209"/>
    <cellStyle name="style1_3 - ZP  BHAIRAVANAGAR 45.00L." xfId="1210"/>
    <cellStyle name="style2" xfId="160"/>
    <cellStyle name="style2 2" xfId="1211"/>
    <cellStyle name="style2 3" xfId="1212"/>
    <cellStyle name="style2 4" xfId="1213"/>
    <cellStyle name="style2 5" xfId="1214"/>
    <cellStyle name="style2 6" xfId="1215"/>
    <cellStyle name="style2_3 - ZP  BHAIRAVANAGAR 45.00L." xfId="1216"/>
    <cellStyle name="Sub Head" xfId="161"/>
    <cellStyle name="Subtotal" xfId="162"/>
    <cellStyle name="text" xfId="1217"/>
    <cellStyle name="þ_x001d_ð &amp;ý&amp;†ýG_x0008_ X&#10;_x0007__x0001__x0001_" xfId="1276"/>
    <cellStyle name="þ_x001d_ð &amp;ý&amp;†ýG_x0008_ X&#10;_x0007__x0001__x0001_ 2" xfId="163"/>
    <cellStyle name="þ_x001d_ð &amp;ý&amp;†ýG_x0008_ X&#10;_x0007__x0001__x0001_ 3" xfId="164"/>
    <cellStyle name="þ_x001d_ð &amp;ý&amp;†ýG_x0008_ X&#10;_x0007__x0001__x0001_ 4" xfId="165"/>
    <cellStyle name="þ_x001d_ð &amp;ý&amp;†ýG_x0008_ X&#10;_x0007__x0001__x0001_ 5" xfId="1218"/>
    <cellStyle name="þ_x001d_ð &amp;ý&amp;†ýG_x0008_ X&#10;_x0007__x0001__x0001_ 6" xfId="1219"/>
    <cellStyle name="þ_x001d_ð&quot;_x000c_Býò_x000c_5ýU_x0001_e_x0005_¹,_x0007__x0001__x0001_" xfId="166"/>
    <cellStyle name="þ_x001d_ð&quot;_x000c_Býò_x000c_5ýU_x0001_e_x0005_¹,_x0007__x0001__x0001_ 2" xfId="167"/>
    <cellStyle name="þ_x001d_ð&quot;_x000c_Býò_x000c_5ýU_x0001_e_x0005_¹,_x0007__x0001__x0001_ 3" xfId="168"/>
    <cellStyle name="þ_x001d_ð&quot;_x000c_Býò_x000c_5ýU_x0001_e_x0005_¹,_x0007__x0001__x0001_ 4" xfId="169"/>
    <cellStyle name="þ_x001d_ð&quot;_x000c_Býò_x000c_5ýU_x0001_e_x0005_¹,_x0007__x0001__x0001_ 5" xfId="1220"/>
    <cellStyle name="þ_x001d_ð&quot;_x000c_Býò_x000c_5ýU_x0001_e_x0005_¹,_x0007__x0001__x0001_ 6" xfId="1221"/>
    <cellStyle name="þ_x001d_ð&quot;_x000c_Býò_x000c_5ýU_x0001_e_x0005_¹,_x0007__x0001__x0001__Estimate" xfId="1379"/>
    <cellStyle name="Times New Roman" xfId="170"/>
    <cellStyle name="Title 10" xfId="1222"/>
    <cellStyle name="Title 11" xfId="1223"/>
    <cellStyle name="Title 2" xfId="171"/>
    <cellStyle name="Title 3" xfId="1224"/>
    <cellStyle name="Title 4" xfId="1225"/>
    <cellStyle name="Title 5" xfId="1226"/>
    <cellStyle name="Title 6" xfId="1227"/>
    <cellStyle name="Title 7" xfId="1228"/>
    <cellStyle name="Title 8" xfId="1229"/>
    <cellStyle name="Title 9" xfId="1230"/>
    <cellStyle name="Total 10" xfId="1231"/>
    <cellStyle name="Total 11" xfId="1232"/>
    <cellStyle name="Total 12" xfId="1233"/>
    <cellStyle name="Total 13" xfId="1234"/>
    <cellStyle name="Total 14" xfId="1235"/>
    <cellStyle name="Total 15" xfId="1236"/>
    <cellStyle name="Total 16" xfId="1237"/>
    <cellStyle name="Total 2" xfId="172"/>
    <cellStyle name="Total 2 2" xfId="1238"/>
    <cellStyle name="Total 2 3" xfId="1239"/>
    <cellStyle name="Total 3" xfId="1240"/>
    <cellStyle name="Total 3 2" xfId="1241"/>
    <cellStyle name="Total 4" xfId="1242"/>
    <cellStyle name="Total 5" xfId="1243"/>
    <cellStyle name="Total 6" xfId="1244"/>
    <cellStyle name="Total 7" xfId="1245"/>
    <cellStyle name="Total 8" xfId="1246"/>
    <cellStyle name="Total 9" xfId="1247"/>
    <cellStyle name="v" xfId="1248"/>
    <cellStyle name="v_25-8-2010  ABS &amp; Det" xfId="1249"/>
    <cellStyle name="v_25-8-2010  ABS &amp; Det_Est.-DFSD&amp;GTC-Atp 01.09.14" xfId="1250"/>
    <cellStyle name="v_25-8-2010  ABS &amp; Det_revised  Estimation-1" xfId="1251"/>
    <cellStyle name="v_25-8-2010  ABS &amp; Det_TIRUPATI  ELEC" xfId="1252"/>
    <cellStyle name="v_Est.-DFSD&amp;GTC-Atp 01.09.14" xfId="1253"/>
    <cellStyle name="v_revised  Estimation-1" xfId="1254"/>
    <cellStyle name="v_TIRUPATI  ELEC" xfId="1255"/>
    <cellStyle name="Value" xfId="173"/>
    <cellStyle name="Value 2" xfId="1256"/>
    <cellStyle name="Value 3" xfId="1257"/>
    <cellStyle name="Value 4" xfId="1380"/>
    <cellStyle name="Value 5" xfId="1381"/>
    <cellStyle name="Value 6" xfId="1382"/>
    <cellStyle name="Value_Estimate" xfId="1383"/>
    <cellStyle name="Warning Text 10" xfId="1258"/>
    <cellStyle name="Warning Text 11" xfId="1259"/>
    <cellStyle name="Warning Text 12" xfId="1260"/>
    <cellStyle name="Warning Text 13" xfId="1261"/>
    <cellStyle name="Warning Text 14" xfId="1262"/>
    <cellStyle name="Warning Text 15" xfId="1263"/>
    <cellStyle name="Warning Text 16" xfId="1264"/>
    <cellStyle name="Warning Text 2" xfId="174"/>
    <cellStyle name="Warning Text 2 2" xfId="1265"/>
    <cellStyle name="Warning Text 3" xfId="1266"/>
    <cellStyle name="Warning Text 4" xfId="1267"/>
    <cellStyle name="Warning Text 5" xfId="1268"/>
    <cellStyle name="Warning Text 6" xfId="1269"/>
    <cellStyle name="Warning Text 7" xfId="1270"/>
    <cellStyle name="Warning Text 8" xfId="1271"/>
    <cellStyle name="Warning Text 9" xfId="1272"/>
    <cellStyle name="సాధారణ_Copy of Model estimate-Basnapally--07-05-06-Final" xfId="175"/>
  </cellStyles>
  <dxfs count="6">
    <dxf>
      <fill>
        <patternFill patternType="solid">
          <fgColor rgb="FFE46D0A"/>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92D050"/>
          <bgColor rgb="FF000000"/>
        </patternFill>
      </fill>
    </dxf>
    <dxf>
      <fill>
        <patternFill patternType="solid">
          <fgColor rgb="FFE46D0A"/>
          <bgColor rgb="FF000000"/>
        </patternFill>
      </fill>
    </dxf>
    <dxf>
      <fill>
        <patternFill patternType="solid">
          <fgColor rgb="FF92D050"/>
          <bgColor rgb="FF0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2.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219075</xdr:colOff>
      <xdr:row>2</xdr:row>
      <xdr:rowOff>133350</xdr:rowOff>
    </xdr:from>
    <xdr:to>
      <xdr:col>9</xdr:col>
      <xdr:colOff>247650</xdr:colOff>
      <xdr:row>23</xdr:row>
      <xdr:rowOff>0</xdr:rowOff>
    </xdr:to>
    <xdr:sp macro="" textlink="">
      <xdr:nvSpPr>
        <xdr:cNvPr id="2" name="WordArt 1">
          <a:extLst>
            <a:ext uri="{FF2B5EF4-FFF2-40B4-BE49-F238E27FC236}">
              <a16:creationId xmlns:a16="http://schemas.microsoft.com/office/drawing/2014/main" xmlns="" id="{00000000-0008-0000-0100-000002000000}"/>
            </a:ext>
          </a:extLst>
        </xdr:cNvPr>
        <xdr:cNvSpPr>
          <a:spLocks noChangeArrowheads="1" noChangeShapeType="1" noTextEdit="1"/>
        </xdr:cNvSpPr>
      </xdr:nvSpPr>
      <xdr:spPr bwMode="auto">
        <a:xfrm>
          <a:off x="752475" y="466725"/>
          <a:ext cx="5038725" cy="4857750"/>
        </a:xfrm>
        <a:prstGeom prst="rect">
          <a:avLst/>
        </a:prstGeom>
      </xdr:spPr>
      <xdr:txBody>
        <a:bodyPr wrap="none" fromWordArt="1">
          <a:prstTxWarp prst="textArchUp">
            <a:avLst>
              <a:gd name="adj" fmla="val 11167051"/>
            </a:avLst>
          </a:prstTxWarp>
        </a:bodyPr>
        <a:lstStyle/>
        <a:p>
          <a:pPr algn="ctr" rtl="0"/>
          <a:r>
            <a:rPr lang="en-US" sz="4400" kern="10" spc="0">
              <a:ln w="9525">
                <a:solidFill>
                  <a:srgbClr val="000000"/>
                </a:solidFill>
                <a:round/>
                <a:headEnd/>
                <a:tailEnd/>
              </a:ln>
              <a:solidFill>
                <a:srgbClr val="000000"/>
              </a:solidFill>
              <a:effectLst/>
              <a:latin typeface="Batang"/>
            </a:rPr>
            <a:t>GOVERNMENT OF ANDHRA PRADESH</a:t>
          </a:r>
        </a:p>
      </xdr:txBody>
    </xdr:sp>
    <xdr:clientData/>
  </xdr:twoCellAnchor>
  <xdr:twoCellAnchor editAs="oneCell">
    <xdr:from>
      <xdr:col>4</xdr:col>
      <xdr:colOff>895350</xdr:colOff>
      <xdr:row>5</xdr:row>
      <xdr:rowOff>123825</xdr:rowOff>
    </xdr:from>
    <xdr:to>
      <xdr:col>6</xdr:col>
      <xdr:colOff>866775</xdr:colOff>
      <xdr:row>14</xdr:row>
      <xdr:rowOff>114300</xdr:rowOff>
    </xdr:to>
    <xdr:pic>
      <xdr:nvPicPr>
        <xdr:cNvPr id="3" name="Picture 2" descr="4_8252">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twoCellAnchor editAs="oneCell">
    <xdr:from>
      <xdr:col>4</xdr:col>
      <xdr:colOff>895350</xdr:colOff>
      <xdr:row>5</xdr:row>
      <xdr:rowOff>123825</xdr:rowOff>
    </xdr:from>
    <xdr:to>
      <xdr:col>6</xdr:col>
      <xdr:colOff>866775</xdr:colOff>
      <xdr:row>14</xdr:row>
      <xdr:rowOff>114300</xdr:rowOff>
    </xdr:to>
    <xdr:pic>
      <xdr:nvPicPr>
        <xdr:cNvPr id="4" name="Picture 14" descr="4_8252">
          <a:extLst>
            <a:ext uri="{FF2B5EF4-FFF2-40B4-BE49-F238E27FC236}">
              <a16:creationId xmlns:a16="http://schemas.microsoft.com/office/drawing/2014/main" xmlns="" id="{00000000-0008-0000-0100-000004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xmlns="" id="{00000000-0008-0000-29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xmlns="" id="{00000000-0008-0000-29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xmlns="" id="{00000000-0008-0000-29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xmlns="" id="{00000000-0008-0000-29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xmlns="" id="{00000000-0008-0000-29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xmlns="" id="{00000000-0008-0000-29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xmlns="" id="{00000000-0008-0000-29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xmlns="" id="{00000000-0008-0000-29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xmlns="" id="{00000000-0008-0000-29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xmlns="" id="{00000000-0008-0000-29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63948</xdr:colOff>
      <xdr:row>4</xdr:row>
      <xdr:rowOff>19707</xdr:rowOff>
    </xdr:from>
    <xdr:to>
      <xdr:col>6</xdr:col>
      <xdr:colOff>483969</xdr:colOff>
      <xdr:row>6</xdr:row>
      <xdr:rowOff>114197</xdr:rowOff>
    </xdr:to>
    <xdr:pic>
      <xdr:nvPicPr>
        <xdr:cNvPr id="2" name="Picture 1" descr="gods-clipart-lord-1.jpg">
          <a:extLst>
            <a:ext uri="{FF2B5EF4-FFF2-40B4-BE49-F238E27FC236}">
              <a16:creationId xmlns:a16="http://schemas.microsoft.com/office/drawing/2014/main" xmlns="" id="{00000000-0008-0000-3400-000002000000}"/>
            </a:ext>
          </a:extLst>
        </xdr:cNvPr>
        <xdr:cNvPicPr>
          <a:picLocks noChangeAspect="1"/>
        </xdr:cNvPicPr>
      </xdr:nvPicPr>
      <xdr:blipFill>
        <a:blip xmlns:r="http://schemas.openxmlformats.org/officeDocument/2006/relationships" r:embed="rId1" cstate="print"/>
        <a:stretch>
          <a:fillRect/>
        </a:stretch>
      </xdr:blipFill>
      <xdr:spPr>
        <a:xfrm>
          <a:off x="3616773" y="676932"/>
          <a:ext cx="420021" cy="418340"/>
        </a:xfrm>
        <a:prstGeom prst="rect">
          <a:avLst/>
        </a:prstGeom>
      </xdr:spPr>
    </xdr:pic>
    <xdr:clientData/>
  </xdr:twoCellAnchor>
  <xdr:twoCellAnchor editAs="oneCell">
    <xdr:from>
      <xdr:col>9</xdr:col>
      <xdr:colOff>262757</xdr:colOff>
      <xdr:row>3</xdr:row>
      <xdr:rowOff>151257</xdr:rowOff>
    </xdr:from>
    <xdr:to>
      <xdr:col>9</xdr:col>
      <xdr:colOff>656897</xdr:colOff>
      <xdr:row>7</xdr:row>
      <xdr:rowOff>16423</xdr:rowOff>
    </xdr:to>
    <xdr:pic>
      <xdr:nvPicPr>
        <xdr:cNvPr id="3" name="Picture 2" descr="gods-clipart-2.jpg">
          <a:extLst>
            <a:ext uri="{FF2B5EF4-FFF2-40B4-BE49-F238E27FC236}">
              <a16:creationId xmlns:a16="http://schemas.microsoft.com/office/drawing/2014/main" xmlns="" id="{00000000-0008-0000-3400-000003000000}"/>
            </a:ext>
          </a:extLst>
        </xdr:cNvPr>
        <xdr:cNvPicPr>
          <a:picLocks noChangeAspect="1"/>
        </xdr:cNvPicPr>
      </xdr:nvPicPr>
      <xdr:blipFill>
        <a:blip xmlns:r="http://schemas.openxmlformats.org/officeDocument/2006/relationships" r:embed="rId2" cstate="print"/>
        <a:stretch>
          <a:fillRect/>
        </a:stretch>
      </xdr:blipFill>
      <xdr:spPr>
        <a:xfrm>
          <a:off x="5901557" y="646557"/>
          <a:ext cx="394140" cy="5128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esktop/estimates/ALL%20MANDAL%20ESTIAMTES/Pullalacheruvu/National%20Health%20Mission/repairs%20to%20health%20and%20wellness%20center%20in%20marrivemula%20village%202.30%20lakhs%20new%20workin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thummagunta%20rbk%20center%2023.94%20lakhs%20working%20estimate%20new%2019%20to%2022%20ssr%20new.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esktop/estimates/Under%20Ground%20Drainage/Estimates/H.M.padu/Working/valicherla%203.00%20lakhs%20working%20ssr%202018-19%20&amp;%202019-20-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OVER"/>
      <sheetName val="SPE"/>
      <sheetName val="WORK"/>
      <sheetName val="SEIG (2)"/>
      <sheetName val="LEAD 2019-20"/>
      <sheetName val="DATA 2019-20"/>
      <sheetName val="CS"/>
      <sheetName val="CR"/>
      <sheetName val="CC f"/>
      <sheetName val="ccbc"/>
      <sheetName val="SEIG (3)"/>
      <sheetName val="CERT"/>
      <sheetName val="RE-DE"/>
      <sheetName val="CON 19-20"/>
    </sheetNames>
    <definedNames>
      <definedName name="Last_Row" refersTo="#REF!" sheetId="7"/>
      <definedName name="Number_of_Payments" refersTo="#REF!" sheetId="7"/>
      <definedName name="Values_Entered" refersTo="#REF!" sheetId="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0000000000000"/>
      <sheetName val="COVER"/>
      <sheetName val="SPE"/>
      <sheetName val="Genetic"/>
      <sheetName val="NIC"/>
      <sheetName val="INPUT"/>
      <sheetName val="work"/>
      <sheetName val="FF"/>
      <sheetName val="SF"/>
      <sheetName val="Electrification"/>
      <sheetName val="SEIG "/>
      <sheetName val="steel cal"/>
      <sheetName val="Differ- Material"/>
      <sheetName val="lead 19-20"/>
      <sheetName val="lead 20-21"/>
      <sheetName val="lead 21-22"/>
      <sheetName val="lead 22-23"/>
      <sheetName val="data"/>
      <sheetName val="Ele Data"/>
      <sheetName val="D&amp;W data"/>
      <sheetName val="SANITATION DTA"/>
      <sheetName val="con 2019-20"/>
      <sheetName val="MINI SSR 19-20"/>
      <sheetName val="CS"/>
      <sheetName val="CR"/>
      <sheetName val="R-1"/>
      <sheetName val="con 2020-21"/>
      <sheetName val="MINI SSR 2020-21"/>
      <sheetName val="R-2"/>
      <sheetName val="C-1"/>
      <sheetName val="CC f -2"/>
      <sheetName val="ccbc "/>
      <sheetName val="SEIG  (2)"/>
      <sheetName val="CERTI "/>
      <sheetName val="RE-DE"/>
      <sheetName val="Proforma-I"/>
      <sheetName val="voucer part (2)"/>
      <sheetName val="1 (2)"/>
      <sheetName val="2 (2)"/>
      <sheetName val="3 (2)"/>
      <sheetName val="4 (2)"/>
      <sheetName val="5 (2)"/>
      <sheetName val="M-1 (2)"/>
      <sheetName val="M-3 (2)"/>
      <sheetName val="con 2021-22"/>
      <sheetName val="MINI SSR 21-22"/>
      <sheetName val="con 2022-23"/>
      <sheetName val="MINI SSR 2022-23"/>
      <sheetName val="Part-B"/>
      <sheetName val="SEIG P-B"/>
      <sheetName val="lead 22-23 P-B"/>
      <sheetName val="data 2022-23"/>
      <sheetName val="Ele 2022-23"/>
      <sheetName val="door 2022-23"/>
      <sheetName val="SANITATION DTA (2)"/>
      <sheetName val="con 2022-23 (2)"/>
      <sheetName val="MINI SSR 2022-23 (2)"/>
    </sheetNames>
    <sheetDataSet>
      <sheetData sheetId="0"/>
      <sheetData sheetId="1">
        <row r="25">
          <cell r="H25" t="str">
            <v>(MGNREGS + Ag Dept Grant)</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C-W"/>
      <sheetName val="SPE"/>
      <sheetName val="WORK"/>
      <sheetName val="cement cal"/>
      <sheetName val="deduct quotation"/>
      <sheetName val="lead 2018-19"/>
      <sheetName val="CON 2018-19-1"/>
      <sheetName val="data 2018-19"/>
      <sheetName val="lead 2019-20"/>
      <sheetName val="data 2019-20"/>
      <sheetName val="CON 2019-20"/>
      <sheetName val="GENETIC"/>
      <sheetName val="CS"/>
      <sheetName val="CR"/>
      <sheetName val="CR-G"/>
      <sheetName val="C-1"/>
      <sheetName val="CC f -2"/>
      <sheetName val="ccbc "/>
      <sheetName val="Seigneorage"/>
      <sheetName val="CERTI "/>
      <sheetName val="RE-DE"/>
      <sheetName val="Q-1"/>
      <sheetName val="Q-2"/>
      <sheetName val="Q-3"/>
      <sheetName val="Q-4"/>
      <sheetName val="voucer part"/>
      <sheetName val="1"/>
      <sheetName val="5"/>
      <sheetName val="7"/>
      <sheetName val="10"/>
      <sheetName val="11"/>
      <sheetName val="12"/>
      <sheetName val="M-1"/>
      <sheetName val="M-2"/>
      <sheetName val="M-3"/>
      <sheetName val="Lead"/>
    </sheetNames>
    <sheetDataSet>
      <sheetData sheetId="0"/>
      <sheetData sheetId="1"/>
      <sheetData sheetId="2">
        <row r="11">
          <cell r="I11">
            <v>52.82</v>
          </cell>
        </row>
      </sheetData>
      <sheetData sheetId="3"/>
      <sheetData sheetId="4"/>
      <sheetData sheetId="5"/>
      <sheetData sheetId="6"/>
      <sheetData sheetId="7"/>
      <sheetData sheetId="8"/>
      <sheetData sheetId="9"/>
      <sheetData sheetId="10"/>
      <sheetData sheetId="11">
        <row r="32">
          <cell r="H32">
            <v>2066</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sheet1.xml><?xml version="1.0" encoding="utf-8"?>
<worksheet xmlns="http://schemas.openxmlformats.org/spreadsheetml/2006/main" xmlns:r="http://schemas.openxmlformats.org/officeDocument/2006/relationships">
  <dimension ref="A1"/>
  <sheetViews>
    <sheetView showGridLines="0" showRowColHeaders="0" showZeros="0" showOutlineSymbols="0" topLeftCell="B29282" zoomScaleNormal="97" zoomScaleSheetLayoutView="70" workbookViewId="0"/>
  </sheetViews>
  <sheetFormatPr defaultRowHeight="12.75"/>
  <sheetData/>
  <phoneticPr fontId="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sheetPr>
    <tabColor rgb="FFFF0000"/>
  </sheetPr>
  <dimension ref="A1:K40"/>
  <sheetViews>
    <sheetView defaultGridColor="0" topLeftCell="A17" colorId="22" zoomScale="85" zoomScaleNormal="85" workbookViewId="0">
      <selection activeCell="O23" sqref="O23"/>
    </sheetView>
  </sheetViews>
  <sheetFormatPr defaultColWidth="9.140625" defaultRowHeight="12.75"/>
  <cols>
    <col min="1" max="1" width="3.28515625" style="235" customWidth="1"/>
    <col min="2" max="2" width="4.7109375" style="235" customWidth="1"/>
    <col min="3" max="3" width="9.5703125" style="235" customWidth="1"/>
    <col min="4" max="4" width="9.85546875" style="235" customWidth="1"/>
    <col min="5" max="5" width="14.7109375" style="235" customWidth="1"/>
    <col min="6" max="6" width="5" style="2" customWidth="1"/>
    <col min="7" max="7" width="17.140625" style="235" customWidth="1"/>
    <col min="8" max="8" width="13" style="235" customWidth="1"/>
    <col min="9" max="9" width="4.85546875" style="235" customWidth="1"/>
    <col min="10" max="10" width="12.42578125" style="235" customWidth="1"/>
    <col min="11" max="11" width="3.5703125" style="235" customWidth="1"/>
    <col min="12" max="12" width="5.42578125" style="235" customWidth="1"/>
    <col min="13" max="16384" width="9.140625" style="235"/>
  </cols>
  <sheetData>
    <row r="1" spans="1:11" s="1" customFormat="1" ht="13.5" customHeight="1">
      <c r="A1" s="1795" t="s">
        <v>254</v>
      </c>
      <c r="B1" s="1791" t="s">
        <v>255</v>
      </c>
      <c r="C1" s="1791"/>
      <c r="D1" s="1791"/>
      <c r="E1" s="1791"/>
      <c r="F1" s="1791"/>
      <c r="G1" s="1791"/>
      <c r="H1" s="1791"/>
      <c r="I1" s="1791"/>
      <c r="J1" s="1791"/>
      <c r="K1" s="1796" t="s">
        <v>256</v>
      </c>
    </row>
    <row r="2" spans="1:11" ht="12.75" customHeight="1">
      <c r="A2" s="1795"/>
      <c r="K2" s="1796"/>
    </row>
    <row r="3" spans="1:11">
      <c r="A3" s="1795"/>
      <c r="K3" s="1796"/>
    </row>
    <row r="4" spans="1:11">
      <c r="A4" s="1795"/>
      <c r="K4" s="1796"/>
    </row>
    <row r="5" spans="1:11">
      <c r="A5" s="1795"/>
      <c r="K5" s="1796"/>
    </row>
    <row r="6" spans="1:11">
      <c r="A6" s="1795"/>
      <c r="K6" s="1796"/>
    </row>
    <row r="7" spans="1:11">
      <c r="A7" s="1795"/>
      <c r="K7" s="1796"/>
    </row>
    <row r="8" spans="1:11">
      <c r="A8" s="1795"/>
      <c r="K8" s="1796"/>
    </row>
    <row r="9" spans="1:11">
      <c r="A9" s="1795"/>
      <c r="K9" s="1796"/>
    </row>
    <row r="10" spans="1:11">
      <c r="A10" s="1795"/>
      <c r="K10" s="1796"/>
    </row>
    <row r="11" spans="1:11">
      <c r="A11" s="1795"/>
      <c r="K11" s="1796"/>
    </row>
    <row r="12" spans="1:11">
      <c r="A12" s="1795"/>
      <c r="E12" s="2"/>
      <c r="G12" s="2"/>
      <c r="K12" s="1796"/>
    </row>
    <row r="13" spans="1:11">
      <c r="A13" s="1795"/>
      <c r="K13" s="1796"/>
    </row>
    <row r="14" spans="1:11">
      <c r="A14" s="1795"/>
      <c r="K14" s="1796"/>
    </row>
    <row r="15" spans="1:11">
      <c r="A15" s="1795"/>
      <c r="K15" s="1796"/>
    </row>
    <row r="16" spans="1:11">
      <c r="A16" s="1795"/>
      <c r="K16" s="1796"/>
    </row>
    <row r="17" spans="1:11">
      <c r="A17" s="1795"/>
      <c r="K17" s="1796"/>
    </row>
    <row r="18" spans="1:11" ht="24" customHeight="1">
      <c r="A18" s="1795"/>
      <c r="B18" s="1797" t="s">
        <v>257</v>
      </c>
      <c r="C18" s="1794"/>
      <c r="D18" s="1794"/>
      <c r="E18" s="1794"/>
      <c r="F18" s="1794"/>
      <c r="G18" s="1794"/>
      <c r="H18" s="1794"/>
      <c r="I18" s="1794"/>
      <c r="J18" s="1794"/>
      <c r="K18" s="1796"/>
    </row>
    <row r="19" spans="1:11" ht="24" customHeight="1">
      <c r="A19" s="1795"/>
      <c r="C19" s="3"/>
      <c r="D19" s="3"/>
      <c r="E19" s="3"/>
      <c r="F19" s="3"/>
      <c r="G19" s="3"/>
      <c r="H19" s="3"/>
      <c r="I19" s="3"/>
      <c r="K19" s="1796"/>
    </row>
    <row r="20" spans="1:11" ht="20.25">
      <c r="A20" s="1795"/>
      <c r="B20" s="1798" t="s">
        <v>269</v>
      </c>
      <c r="C20" s="1799"/>
      <c r="D20" s="1799"/>
      <c r="E20" s="1799"/>
      <c r="F20" s="1799"/>
      <c r="G20" s="1799"/>
      <c r="H20" s="1799"/>
      <c r="I20" s="1799"/>
      <c r="J20" s="1799"/>
      <c r="K20" s="1796"/>
    </row>
    <row r="21" spans="1:11" ht="10.5" customHeight="1">
      <c r="A21" s="1795"/>
      <c r="C21" s="4"/>
      <c r="D21" s="4"/>
      <c r="E21" s="4"/>
      <c r="F21" s="5"/>
      <c r="G21" s="4"/>
      <c r="H21" s="4"/>
      <c r="I21" s="4"/>
      <c r="K21" s="1796"/>
    </row>
    <row r="22" spans="1:11" ht="11.25" customHeight="1">
      <c r="A22" s="1795"/>
      <c r="C22" s="4"/>
      <c r="D22" s="4"/>
      <c r="E22" s="4"/>
      <c r="F22" s="5"/>
      <c r="G22" s="4"/>
      <c r="H22" s="4"/>
      <c r="I22" s="4"/>
      <c r="K22" s="1796"/>
    </row>
    <row r="23" spans="1:11" ht="96" customHeight="1">
      <c r="A23" s="1795"/>
      <c r="C23" s="1800" t="s">
        <v>258</v>
      </c>
      <c r="D23" s="1800"/>
      <c r="E23" s="1800"/>
      <c r="F23" s="6" t="s">
        <v>259</v>
      </c>
      <c r="G23" s="1801" t="str">
        <f>'lead 19-20'!C2</f>
        <v>Providing Additional Space for Agriculture Staff in  Baduguleru GP of Kanigiri Mandal</v>
      </c>
      <c r="H23" s="1794"/>
      <c r="I23" s="1794"/>
      <c r="J23" s="1794"/>
      <c r="K23" s="1796"/>
    </row>
    <row r="24" spans="1:11" ht="15" customHeight="1">
      <c r="A24" s="1795"/>
      <c r="C24" s="234"/>
      <c r="D24" s="234"/>
      <c r="E24" s="234"/>
      <c r="F24" s="6"/>
      <c r="G24" s="237"/>
      <c r="H24" s="237"/>
      <c r="I24" s="237"/>
      <c r="K24" s="1796"/>
    </row>
    <row r="25" spans="1:11" ht="33" customHeight="1">
      <c r="A25" s="1795"/>
      <c r="C25" s="1792" t="s">
        <v>2453</v>
      </c>
      <c r="D25" s="1792"/>
      <c r="E25" s="1792"/>
      <c r="F25" s="7" t="s">
        <v>259</v>
      </c>
      <c r="G25" s="859" t="str">
        <f>'lead 19-20'!K4</f>
        <v>21.80 Lakhs</v>
      </c>
      <c r="H25" s="1802"/>
      <c r="I25" s="1802"/>
      <c r="J25" s="1802"/>
      <c r="K25" s="1796"/>
    </row>
    <row r="26" spans="1:11" ht="33" customHeight="1">
      <c r="A26" s="1795"/>
      <c r="C26" s="231"/>
      <c r="D26" s="231"/>
      <c r="E26" s="231"/>
      <c r="F26" s="7"/>
      <c r="G26" s="859"/>
      <c r="H26" s="1802"/>
      <c r="I26" s="1802"/>
      <c r="J26" s="1802"/>
      <c r="K26" s="1796"/>
    </row>
    <row r="27" spans="1:11" ht="33" customHeight="1">
      <c r="A27" s="1795"/>
      <c r="C27" s="1792" t="s">
        <v>806</v>
      </c>
      <c r="D27" s="1792"/>
      <c r="E27" s="1792"/>
      <c r="F27" s="7" t="s">
        <v>259</v>
      </c>
      <c r="G27" s="202" t="str">
        <f>'lead 19-20'!C4</f>
        <v>No: 087043102002090039</v>
      </c>
      <c r="H27" s="202"/>
      <c r="I27" s="202"/>
      <c r="K27" s="1796"/>
    </row>
    <row r="28" spans="1:11" ht="21" customHeight="1">
      <c r="A28" s="1795"/>
      <c r="C28" s="231"/>
      <c r="D28" s="231"/>
      <c r="E28" s="231"/>
      <c r="F28" s="7"/>
      <c r="G28" s="236"/>
      <c r="H28" s="237"/>
      <c r="I28" s="237"/>
      <c r="K28" s="1796"/>
    </row>
    <row r="29" spans="1:11" ht="18">
      <c r="A29" s="1795"/>
      <c r="C29" s="1792" t="s">
        <v>260</v>
      </c>
      <c r="D29" s="1792"/>
      <c r="E29" s="1792"/>
      <c r="F29" s="7" t="s">
        <v>259</v>
      </c>
      <c r="G29" s="1793" t="s">
        <v>1526</v>
      </c>
      <c r="H29" s="1793"/>
      <c r="I29" s="1793"/>
      <c r="K29" s="1796"/>
    </row>
    <row r="30" spans="1:11" ht="20.25" customHeight="1">
      <c r="A30" s="1795"/>
      <c r="C30" s="231"/>
      <c r="D30" s="231"/>
      <c r="E30" s="231"/>
      <c r="F30" s="7"/>
      <c r="G30" s="232"/>
      <c r="H30" s="232"/>
      <c r="I30" s="232"/>
      <c r="K30" s="1796"/>
    </row>
    <row r="31" spans="1:11" ht="32.25" customHeight="1">
      <c r="A31" s="1795"/>
      <c r="C31" s="1792" t="s">
        <v>261</v>
      </c>
      <c r="D31" s="1792"/>
      <c r="E31" s="1792"/>
      <c r="F31" s="7" t="s">
        <v>259</v>
      </c>
      <c r="G31" s="1793" t="s">
        <v>1526</v>
      </c>
      <c r="H31" s="1793"/>
      <c r="I31" s="1793"/>
      <c r="J31" s="1794"/>
      <c r="K31" s="1796"/>
    </row>
    <row r="32" spans="1:11" ht="14.25" customHeight="1">
      <c r="A32" s="1795"/>
      <c r="C32" s="231"/>
      <c r="D32" s="231"/>
      <c r="E32" s="231"/>
      <c r="F32" s="7"/>
      <c r="G32" s="232"/>
      <c r="H32" s="232"/>
      <c r="I32" s="232"/>
      <c r="K32" s="1796"/>
    </row>
    <row r="33" spans="1:11" ht="20.25">
      <c r="A33" s="1795"/>
      <c r="B33" s="233"/>
      <c r="C33" s="1792" t="s">
        <v>262</v>
      </c>
      <c r="D33" s="1792"/>
      <c r="E33" s="1792"/>
      <c r="F33" s="7" t="s">
        <v>259</v>
      </c>
      <c r="G33" s="1793" t="s">
        <v>907</v>
      </c>
      <c r="H33" s="1793"/>
      <c r="I33" s="1793"/>
      <c r="J33" s="233"/>
      <c r="K33" s="1796"/>
    </row>
    <row r="34" spans="1:11" ht="12.75" customHeight="1">
      <c r="A34" s="1795"/>
      <c r="B34" s="233"/>
      <c r="C34" s="231"/>
      <c r="D34" s="231"/>
      <c r="E34" s="231"/>
      <c r="F34" s="7"/>
      <c r="G34" s="232"/>
      <c r="H34" s="232"/>
      <c r="I34" s="232"/>
      <c r="J34" s="233"/>
      <c r="K34" s="1796"/>
    </row>
    <row r="35" spans="1:11" ht="20.25">
      <c r="A35" s="1795"/>
      <c r="B35" s="233"/>
      <c r="C35" s="1792" t="s">
        <v>263</v>
      </c>
      <c r="D35" s="1792"/>
      <c r="E35" s="1792"/>
      <c r="F35" s="7" t="s">
        <v>259</v>
      </c>
      <c r="G35" s="1793" t="s">
        <v>264</v>
      </c>
      <c r="H35" s="1793"/>
      <c r="I35" s="1793"/>
      <c r="J35" s="233"/>
      <c r="K35" s="1796"/>
    </row>
    <row r="36" spans="1:11" ht="16.5" customHeight="1">
      <c r="A36" s="1795"/>
      <c r="B36" s="233"/>
      <c r="C36" s="231"/>
      <c r="D36" s="231"/>
      <c r="E36" s="231"/>
      <c r="F36" s="7"/>
      <c r="G36" s="232"/>
      <c r="H36" s="232"/>
      <c r="I36" s="232"/>
      <c r="J36" s="233"/>
      <c r="K36" s="1796"/>
    </row>
    <row r="37" spans="1:11" ht="20.25">
      <c r="A37" s="1795"/>
      <c r="B37" s="233"/>
      <c r="C37" s="1792" t="s">
        <v>265</v>
      </c>
      <c r="D37" s="1792"/>
      <c r="E37" s="1792"/>
      <c r="F37" s="7" t="s">
        <v>259</v>
      </c>
      <c r="G37" s="1793" t="s">
        <v>266</v>
      </c>
      <c r="H37" s="1793"/>
      <c r="I37" s="1793"/>
      <c r="J37" s="233"/>
      <c r="K37" s="1796"/>
    </row>
    <row r="38" spans="1:11">
      <c r="A38" s="1795"/>
      <c r="K38" s="1796"/>
    </row>
    <row r="39" spans="1:11" s="1" customFormat="1" ht="14.25">
      <c r="A39" s="1791" t="s">
        <v>256</v>
      </c>
      <c r="B39" s="1791"/>
      <c r="C39" s="1791"/>
      <c r="D39" s="1791"/>
      <c r="E39" s="1791"/>
      <c r="F39" s="1791"/>
      <c r="G39" s="1791"/>
      <c r="H39" s="1791"/>
      <c r="I39" s="1791"/>
      <c r="J39" s="1791"/>
      <c r="K39" s="1791"/>
    </row>
    <row r="40" spans="1:11" s="1" customFormat="1">
      <c r="A40" s="8"/>
      <c r="B40" s="8"/>
      <c r="C40" s="8"/>
      <c r="D40" s="8"/>
      <c r="E40" s="8"/>
      <c r="F40" s="8"/>
      <c r="G40" s="8"/>
      <c r="H40" s="8"/>
      <c r="I40" s="8"/>
      <c r="J40" s="8"/>
      <c r="K40" s="8"/>
    </row>
  </sheetData>
  <mergeCells count="22">
    <mergeCell ref="G35:I35"/>
    <mergeCell ref="C37:E37"/>
    <mergeCell ref="G37:I37"/>
    <mergeCell ref="C27:E27"/>
    <mergeCell ref="H25:J25"/>
    <mergeCell ref="H26:J26"/>
    <mergeCell ref="A39:K39"/>
    <mergeCell ref="C29:E29"/>
    <mergeCell ref="G29:I29"/>
    <mergeCell ref="C31:E31"/>
    <mergeCell ref="G31:J31"/>
    <mergeCell ref="C33:E33"/>
    <mergeCell ref="G33:I33"/>
    <mergeCell ref="A1:A38"/>
    <mergeCell ref="B1:J1"/>
    <mergeCell ref="K1:K38"/>
    <mergeCell ref="B18:J18"/>
    <mergeCell ref="B20:J20"/>
    <mergeCell ref="C23:E23"/>
    <mergeCell ref="G23:J23"/>
    <mergeCell ref="C25:E25"/>
    <mergeCell ref="C35:E35"/>
  </mergeCells>
  <pageMargins left="0.39" right="0.17" top="0.56999999999999995" bottom="0.28999999999999998" header="0.35" footer="0.17"/>
  <pageSetup paperSize="9" orientation="portrait" verticalDpi="300" r:id="rId1"/>
  <headerFooter alignWithMargins="0"/>
  <rowBreaks count="1" manualBreakCount="1">
    <brk id="39" max="16383" man="1"/>
  </rowBreaks>
  <drawing r:id="rId2"/>
</worksheet>
</file>

<file path=xl/worksheets/sheet3.xml><?xml version="1.0" encoding="utf-8"?>
<worksheet xmlns="http://schemas.openxmlformats.org/spreadsheetml/2006/main" xmlns:r="http://schemas.openxmlformats.org/officeDocument/2006/relationships">
  <sheetPr>
    <tabColor rgb="FFFF0000"/>
  </sheetPr>
  <dimension ref="A1:I31"/>
  <sheetViews>
    <sheetView view="pageBreakPreview" topLeftCell="A7" zoomScale="115" zoomScaleNormal="85" zoomScaleSheetLayoutView="115" workbookViewId="0">
      <selection activeCell="A8" sqref="A8:I8"/>
    </sheetView>
  </sheetViews>
  <sheetFormatPr defaultColWidth="9.140625" defaultRowHeight="12.75"/>
  <cols>
    <col min="1" max="1" width="10.85546875" style="42" customWidth="1"/>
    <col min="2" max="4" width="9.140625" style="42"/>
    <col min="5" max="5" width="9" style="42" customWidth="1"/>
    <col min="6" max="7" width="9.140625" style="42"/>
    <col min="8" max="8" width="10" style="42" bestFit="1" customWidth="1"/>
    <col min="9" max="16384" width="9.140625" style="42"/>
  </cols>
  <sheetData>
    <row r="1" spans="1:9" ht="21">
      <c r="A1" s="1804" t="s">
        <v>575</v>
      </c>
      <c r="B1" s="1804"/>
      <c r="C1" s="1804"/>
      <c r="D1" s="1804"/>
      <c r="E1" s="1804"/>
      <c r="F1" s="1804"/>
      <c r="G1" s="1804"/>
      <c r="H1" s="1804"/>
      <c r="I1" s="1804"/>
    </row>
    <row r="2" spans="1:9" ht="12.75" customHeight="1">
      <c r="A2" s="43"/>
    </row>
    <row r="3" spans="1:9" ht="19.5" customHeight="1">
      <c r="A3" s="1805" t="s">
        <v>576</v>
      </c>
      <c r="B3" s="1805"/>
      <c r="C3" s="1805"/>
      <c r="D3" s="1805"/>
      <c r="E3" s="1805"/>
      <c r="F3" s="1805"/>
      <c r="G3" s="1805"/>
      <c r="H3" s="1805"/>
      <c r="I3" s="1805"/>
    </row>
    <row r="4" spans="1:9" ht="43.5" customHeight="1">
      <c r="A4" s="1806" t="str">
        <f>'lead 19-20'!C2</f>
        <v>Providing Additional Space for Agriculture Staff in  Baduguleru GP of Kanigiri Mandal</v>
      </c>
      <c r="B4" s="1806"/>
      <c r="C4" s="1806"/>
      <c r="D4" s="1806"/>
      <c r="E4" s="1806"/>
      <c r="F4" s="1806"/>
      <c r="G4" s="1806"/>
      <c r="H4" s="1806"/>
      <c r="I4" s="1806"/>
    </row>
    <row r="5" spans="1:9" ht="14.25" customHeight="1">
      <c r="A5" s="44"/>
      <c r="B5" s="44"/>
      <c r="C5" s="44"/>
      <c r="D5" s="44"/>
      <c r="E5" s="44"/>
      <c r="F5" s="1807" t="s">
        <v>577</v>
      </c>
      <c r="G5" s="1807"/>
      <c r="H5" s="45" t="str">
        <f>'lead 19-20'!K4</f>
        <v>21.80 Lakhs</v>
      </c>
      <c r="I5" s="46"/>
    </row>
    <row r="6" spans="1:9" ht="10.5" customHeight="1">
      <c r="A6" s="44"/>
      <c r="B6" s="44"/>
      <c r="C6" s="44"/>
      <c r="D6" s="44"/>
      <c r="E6" s="44"/>
      <c r="F6" s="44"/>
      <c r="G6" s="44"/>
      <c r="H6" s="44"/>
      <c r="I6" s="44"/>
    </row>
    <row r="7" spans="1:9" s="47" customFormat="1" ht="87" customHeight="1">
      <c r="A7" s="1808" t="s">
        <v>3843</v>
      </c>
      <c r="B7" s="1808"/>
      <c r="C7" s="1808"/>
      <c r="D7" s="1808"/>
      <c r="E7" s="1808"/>
      <c r="F7" s="1808"/>
      <c r="G7" s="1808"/>
      <c r="H7" s="1808"/>
      <c r="I7" s="1808"/>
    </row>
    <row r="8" spans="1:9" s="47" customFormat="1" ht="84" customHeight="1">
      <c r="A8" s="1808" t="s">
        <v>2587</v>
      </c>
      <c r="B8" s="1808"/>
      <c r="C8" s="1808"/>
      <c r="D8" s="1808"/>
      <c r="E8" s="1808"/>
      <c r="F8" s="1808"/>
      <c r="G8" s="1808"/>
      <c r="H8" s="1808"/>
      <c r="I8" s="1808"/>
    </row>
    <row r="9" spans="1:9" s="47" customFormat="1" ht="51" customHeight="1">
      <c r="A9" s="1803" t="s">
        <v>2504</v>
      </c>
      <c r="B9" s="1803"/>
      <c r="C9" s="1803"/>
      <c r="D9" s="1803"/>
      <c r="E9" s="1803"/>
      <c r="F9" s="1803"/>
      <c r="G9" s="1803"/>
      <c r="H9" s="1803"/>
      <c r="I9" s="1803"/>
    </row>
    <row r="11" spans="1:9" ht="13.5" customHeight="1">
      <c r="D11" s="48"/>
      <c r="E11" s="48"/>
      <c r="F11" s="49"/>
      <c r="G11" s="49"/>
      <c r="H11" s="48"/>
    </row>
    <row r="12" spans="1:9" ht="13.5" customHeight="1">
      <c r="D12" s="48"/>
      <c r="E12" s="55" t="str">
        <f>'lead 19-20'!$H$31</f>
        <v>Deputy Executive Engineer</v>
      </c>
      <c r="F12" s="51"/>
      <c r="G12" s="50"/>
      <c r="H12" s="226" t="str">
        <f>'lead 19-20'!$K$31</f>
        <v>Assistant  Engineer</v>
      </c>
    </row>
    <row r="13" spans="1:9" ht="13.5" customHeight="1">
      <c r="D13" s="48"/>
      <c r="E13" s="55" t="str">
        <f>'lead 19-20'!$H$32</f>
        <v>PRI Sub Division</v>
      </c>
      <c r="F13" s="51"/>
      <c r="G13" s="50"/>
      <c r="H13" s="226" t="str">
        <f>'lead 19-20'!$K$32</f>
        <v>Mandal Praja parishad</v>
      </c>
    </row>
    <row r="14" spans="1:9" ht="15.75">
      <c r="E14" s="55" t="str">
        <f>'lead 19-20'!$H$33</f>
        <v>Kanigiri</v>
      </c>
      <c r="F14" s="43"/>
      <c r="G14" s="43"/>
      <c r="H14" s="226" t="str">
        <f>'lead 19-20'!$K$33</f>
        <v>Kanigiri</v>
      </c>
    </row>
    <row r="15" spans="1:9">
      <c r="E15" s="12"/>
    </row>
    <row r="19" spans="4:4" ht="15">
      <c r="D19" s="52"/>
    </row>
    <row r="26" spans="4:4" ht="13.5" customHeight="1"/>
    <row r="27" spans="4:4" hidden="1"/>
    <row r="28" spans="4:4" hidden="1"/>
    <row r="29" spans="4:4" hidden="1"/>
    <row r="30" spans="4:4" hidden="1"/>
    <row r="31" spans="4:4" hidden="1"/>
  </sheetData>
  <mergeCells count="7">
    <mergeCell ref="A9:I9"/>
    <mergeCell ref="A1:I1"/>
    <mergeCell ref="A3:I3"/>
    <mergeCell ref="A4:I4"/>
    <mergeCell ref="F5:G5"/>
    <mergeCell ref="A7:I7"/>
    <mergeCell ref="A8:I8"/>
  </mergeCells>
  <pageMargins left="0.83" right="0.75" top="0.28999999999999998" bottom="0.31" header="0.17" footer="0.16"/>
  <pageSetup paperSize="9" scale="99" orientation="portrait" r:id="rId1"/>
  <headerFooter alignWithMargins="0"/>
  <rowBreaks count="1" manualBreakCount="1">
    <brk id="14" max="8" man="1"/>
  </rowBreaks>
</worksheet>
</file>

<file path=xl/worksheets/sheet4.xml><?xml version="1.0" encoding="utf-8"?>
<worksheet xmlns="http://schemas.openxmlformats.org/spreadsheetml/2006/main" xmlns:r="http://schemas.openxmlformats.org/officeDocument/2006/relationships">
  <dimension ref="A1:G40"/>
  <sheetViews>
    <sheetView view="pageBreakPreview" topLeftCell="A25" zoomScale="130" zoomScaleNormal="145" zoomScaleSheetLayoutView="130" workbookViewId="0">
      <selection activeCell="C8" sqref="C8"/>
    </sheetView>
  </sheetViews>
  <sheetFormatPr defaultColWidth="9.140625" defaultRowHeight="12.75"/>
  <cols>
    <col min="1" max="1" width="6.28515625" style="1124" customWidth="1"/>
    <col min="2" max="2" width="37.7109375" style="1116" customWidth="1"/>
    <col min="3" max="4" width="10.5703125" style="1116" customWidth="1"/>
    <col min="5" max="5" width="11.42578125" style="1116" customWidth="1"/>
    <col min="6" max="6" width="9.140625" style="1116"/>
    <col min="7" max="7" width="9.85546875" style="1116" bestFit="1" customWidth="1"/>
    <col min="8" max="16384" width="9.140625" style="1116"/>
  </cols>
  <sheetData>
    <row r="1" spans="1:5" ht="28.5" customHeight="1">
      <c r="A1" s="1809" t="str">
        <f>'lead 19-20'!B2&amp;'lead 19-20'!C2</f>
        <v>Name of the Work: Providing Additional Space for Agriculture Staff in  Baduguleru GP of Kanigiri Mandal</v>
      </c>
      <c r="B1" s="1809"/>
      <c r="C1" s="1809"/>
      <c r="D1" s="1809"/>
      <c r="E1" s="1809"/>
    </row>
    <row r="3" spans="1:5">
      <c r="C3" s="1128" t="s">
        <v>270</v>
      </c>
      <c r="D3" s="1128" t="str">
        <f>'lead 19-20'!K4</f>
        <v>21.80 Lakhs</v>
      </c>
    </row>
    <row r="5" spans="1:5" ht="12.75" customHeight="1">
      <c r="A5" s="1117" t="s">
        <v>271</v>
      </c>
      <c r="B5" s="1117" t="s">
        <v>22</v>
      </c>
      <c r="C5" s="1118" t="s">
        <v>6</v>
      </c>
      <c r="D5" s="1119" t="s">
        <v>3220</v>
      </c>
      <c r="E5" s="1120" t="s">
        <v>117</v>
      </c>
    </row>
    <row r="6" spans="1:5" ht="21.75" customHeight="1">
      <c r="A6" s="1123">
        <v>1</v>
      </c>
      <c r="B6" s="1121" t="s">
        <v>3217</v>
      </c>
      <c r="C6" s="1122">
        <f>INPUT!H113</f>
        <v>10680</v>
      </c>
      <c r="D6" s="1121">
        <v>1</v>
      </c>
      <c r="E6" s="1125">
        <f>ROUND(C6*D6,2)</f>
        <v>10680</v>
      </c>
    </row>
    <row r="7" spans="1:5" ht="21.75" customHeight="1">
      <c r="A7" s="1123">
        <v>2</v>
      </c>
      <c r="B7" s="1121" t="s">
        <v>3218</v>
      </c>
      <c r="C7" s="1122">
        <f>INPUT!H114</f>
        <v>22792</v>
      </c>
      <c r="D7" s="1121">
        <v>1</v>
      </c>
      <c r="E7" s="1125">
        <f>ROUND(C7*D7,2)</f>
        <v>22792</v>
      </c>
    </row>
    <row r="8" spans="1:5" ht="21.75" customHeight="1">
      <c r="A8" s="1123">
        <v>3</v>
      </c>
      <c r="B8" s="1121" t="s">
        <v>3219</v>
      </c>
      <c r="C8" s="1122">
        <f>2180000-E6-E7-E9</f>
        <v>2136311</v>
      </c>
      <c r="D8" s="1121">
        <v>1</v>
      </c>
      <c r="E8" s="1125">
        <f>ROUND(C8*D8,2)</f>
        <v>2136311</v>
      </c>
    </row>
    <row r="9" spans="1:5" ht="21.75" customHeight="1">
      <c r="A9" s="1123">
        <v>4</v>
      </c>
      <c r="B9" s="1121" t="s">
        <v>3441</v>
      </c>
      <c r="C9" s="1121">
        <f>ROUND(E9/D9,2)</f>
        <v>43.11</v>
      </c>
      <c r="D9" s="1121">
        <v>237</v>
      </c>
      <c r="E9" s="1125">
        <f>INPUT!H18</f>
        <v>10217</v>
      </c>
    </row>
    <row r="10" spans="1:5">
      <c r="A10" s="1123"/>
      <c r="B10" s="1121"/>
      <c r="C10" s="1121"/>
      <c r="D10" s="1121"/>
      <c r="E10" s="1126">
        <f>SUM(E6:E9)</f>
        <v>2180000</v>
      </c>
    </row>
    <row r="12" spans="1:5" ht="22.5">
      <c r="A12" s="1117" t="s">
        <v>271</v>
      </c>
      <c r="B12" s="1117" t="s">
        <v>22</v>
      </c>
      <c r="C12" s="1118" t="s">
        <v>6</v>
      </c>
      <c r="D12" s="1119" t="s">
        <v>3220</v>
      </c>
      <c r="E12" s="1120" t="s">
        <v>117</v>
      </c>
    </row>
    <row r="13" spans="1:5">
      <c r="A13" s="1123">
        <v>1</v>
      </c>
      <c r="B13" s="1121" t="s">
        <v>3442</v>
      </c>
      <c r="C13" s="1122">
        <f>INPUT!E29</f>
        <v>544.25</v>
      </c>
      <c r="D13" s="1122">
        <f>INPUT!F26</f>
        <v>235</v>
      </c>
      <c r="E13" s="1125">
        <f t="shared" ref="E13:E25" si="0">ROUND(C13*D13,0)</f>
        <v>127899</v>
      </c>
    </row>
    <row r="14" spans="1:5">
      <c r="A14" s="1123">
        <v>2</v>
      </c>
      <c r="B14" s="1121" t="s">
        <v>3443</v>
      </c>
      <c r="C14" s="1122">
        <f>INPUT!E31</f>
        <v>36</v>
      </c>
      <c r="D14" s="1122">
        <f>INPUT!F31</f>
        <v>375</v>
      </c>
      <c r="E14" s="1125">
        <f t="shared" si="0"/>
        <v>13500</v>
      </c>
    </row>
    <row r="15" spans="1:5">
      <c r="A15" s="1123">
        <v>3</v>
      </c>
      <c r="B15" s="1121" t="s">
        <v>3444</v>
      </c>
      <c r="C15" s="1122">
        <f>INPUT!E32</f>
        <v>22.5</v>
      </c>
      <c r="D15" s="1122">
        <f>INPUT!F32</f>
        <v>809</v>
      </c>
      <c r="E15" s="1125">
        <f t="shared" si="0"/>
        <v>18203</v>
      </c>
    </row>
    <row r="16" spans="1:5">
      <c r="A16" s="1123">
        <v>4</v>
      </c>
      <c r="B16" s="1121" t="s">
        <v>3445</v>
      </c>
      <c r="C16" s="1122">
        <f>INPUT!E42</f>
        <v>36.17</v>
      </c>
      <c r="D16" s="1122">
        <f>INPUT!F42</f>
        <v>1915.93</v>
      </c>
      <c r="E16" s="1125">
        <f t="shared" si="0"/>
        <v>69299</v>
      </c>
    </row>
    <row r="17" spans="1:7">
      <c r="A17" s="1123">
        <v>5</v>
      </c>
      <c r="B17" s="1121" t="s">
        <v>3446</v>
      </c>
      <c r="C17" s="1122">
        <f>INPUT!E63</f>
        <v>29.45</v>
      </c>
      <c r="D17" s="1122">
        <f>INPUT!F63</f>
        <v>2059.9299999999998</v>
      </c>
      <c r="E17" s="1125">
        <f t="shared" si="0"/>
        <v>60665</v>
      </c>
    </row>
    <row r="18" spans="1:7">
      <c r="A18" s="1123">
        <v>6</v>
      </c>
      <c r="B18" s="1121" t="s">
        <v>3446</v>
      </c>
      <c r="C18" s="1122">
        <f>INPUT!E64</f>
        <v>0</v>
      </c>
      <c r="D18" s="1122">
        <f>INPUT!F64</f>
        <v>1720.9999999999998</v>
      </c>
      <c r="E18" s="1125">
        <f t="shared" ref="E18" si="1">ROUND(C18*D18,0)</f>
        <v>0</v>
      </c>
    </row>
    <row r="19" spans="1:7">
      <c r="A19" s="1123">
        <v>7</v>
      </c>
      <c r="B19" s="1121" t="s">
        <v>3447</v>
      </c>
      <c r="C19" s="1122">
        <f>INPUT!E52</f>
        <v>21.72</v>
      </c>
      <c r="D19" s="1122">
        <f>INPUT!F52</f>
        <v>2059.9299999999998</v>
      </c>
      <c r="E19" s="1125">
        <f t="shared" si="0"/>
        <v>44742</v>
      </c>
    </row>
    <row r="20" spans="1:7">
      <c r="A20" s="1123">
        <v>8</v>
      </c>
      <c r="B20" s="1121" t="s">
        <v>3447</v>
      </c>
      <c r="C20" s="1122">
        <f>INPUT!E53</f>
        <v>0</v>
      </c>
      <c r="D20" s="1122">
        <f>INPUT!F53</f>
        <v>304.7</v>
      </c>
      <c r="E20" s="1125">
        <f t="shared" ref="E20" si="2">ROUND(C20*D20,0)</f>
        <v>0</v>
      </c>
    </row>
    <row r="21" spans="1:7" ht="38.25">
      <c r="A21" s="1123">
        <v>9</v>
      </c>
      <c r="B21" s="1127" t="s">
        <v>3448</v>
      </c>
      <c r="C21" s="1122">
        <f>INPUT!E73</f>
        <v>39.090000000000003</v>
      </c>
      <c r="D21" s="1122">
        <f>INPUT!F73</f>
        <v>1377.84</v>
      </c>
      <c r="E21" s="1125">
        <f t="shared" si="0"/>
        <v>53860</v>
      </c>
    </row>
    <row r="22" spans="1:7" ht="38.25">
      <c r="A22" s="1123">
        <v>10</v>
      </c>
      <c r="B22" s="1127" t="s">
        <v>3448</v>
      </c>
      <c r="C22" s="1122">
        <f>INPUT!E74</f>
        <v>0</v>
      </c>
      <c r="D22" s="1122">
        <f>INPUT!F74</f>
        <v>2046.91</v>
      </c>
      <c r="E22" s="1125">
        <f t="shared" ref="E22" si="3">ROUND(C22*D22,0)</f>
        <v>0</v>
      </c>
    </row>
    <row r="23" spans="1:7" ht="25.5">
      <c r="A23" s="1123">
        <v>11</v>
      </c>
      <c r="B23" s="1127" t="s">
        <v>3449</v>
      </c>
      <c r="C23" s="1122">
        <f>INPUT!E83</f>
        <v>19.829999999999998</v>
      </c>
      <c r="D23" s="1122">
        <f>INPUT!F83</f>
        <v>1375.8</v>
      </c>
      <c r="E23" s="1125">
        <f t="shared" si="0"/>
        <v>27282</v>
      </c>
    </row>
    <row r="24" spans="1:7">
      <c r="A24" s="1123">
        <v>12</v>
      </c>
      <c r="B24" s="1121" t="s">
        <v>3450</v>
      </c>
      <c r="C24" s="1122">
        <f>INPUT!E101</f>
        <v>2.2799999999999998</v>
      </c>
      <c r="D24" s="1122">
        <f>INPUT!F101</f>
        <v>48970</v>
      </c>
      <c r="E24" s="1125">
        <f t="shared" si="0"/>
        <v>111652</v>
      </c>
    </row>
    <row r="25" spans="1:7">
      <c r="A25" s="1123">
        <v>13</v>
      </c>
      <c r="B25" s="1121" t="s">
        <v>3450</v>
      </c>
      <c r="C25" s="1122">
        <f>INPUT!E102</f>
        <v>2.08</v>
      </c>
      <c r="D25" s="1122">
        <f>INPUT!F102</f>
        <v>48380</v>
      </c>
      <c r="E25" s="1125">
        <f t="shared" si="0"/>
        <v>100630</v>
      </c>
    </row>
    <row r="26" spans="1:7">
      <c r="A26" s="1123">
        <v>14</v>
      </c>
      <c r="B26" s="1121" t="s">
        <v>3450</v>
      </c>
      <c r="C26" s="1122">
        <f>INPUT!E103</f>
        <v>0.3</v>
      </c>
      <c r="D26" s="1122">
        <f>INPUT!F103</f>
        <v>62540</v>
      </c>
      <c r="E26" s="1125">
        <f t="shared" ref="E26" si="4">ROUND(C26*D26,0)</f>
        <v>18762</v>
      </c>
    </row>
    <row r="27" spans="1:7">
      <c r="A27" s="1123">
        <v>15</v>
      </c>
      <c r="B27" s="1121" t="s">
        <v>3450</v>
      </c>
      <c r="C27" s="1122">
        <f>INPUT!E104</f>
        <v>0.22</v>
      </c>
      <c r="D27" s="1122">
        <f>INPUT!F104</f>
        <v>71980</v>
      </c>
      <c r="E27" s="1125">
        <f t="shared" ref="E27" si="5">ROUND(C27*D27,0)</f>
        <v>15836</v>
      </c>
    </row>
    <row r="28" spans="1:7">
      <c r="A28" s="1123">
        <v>16</v>
      </c>
      <c r="B28" s="1121" t="s">
        <v>3450</v>
      </c>
      <c r="C28" s="1122">
        <f>INPUT!E105</f>
        <v>0</v>
      </c>
      <c r="D28" s="1122">
        <f>INPUT!F105</f>
        <v>75520</v>
      </c>
      <c r="E28" s="1125">
        <f t="shared" ref="E28" si="6">ROUND(C28*D28,0)</f>
        <v>0</v>
      </c>
    </row>
    <row r="29" spans="1:7" ht="51">
      <c r="A29" s="1123">
        <v>17</v>
      </c>
      <c r="B29" s="1127" t="s">
        <v>3451</v>
      </c>
      <c r="C29" s="1122">
        <v>1</v>
      </c>
      <c r="D29" s="1122">
        <f>G29-E13-E14-E15-E16-E17-E19-E21-E23-E24-E25-E30-E31-E32-E9-E33-E22-E26-E27-E28-E20-E18</f>
        <v>1473704</v>
      </c>
      <c r="E29" s="1125">
        <f>ROUND(C29*D29,2)</f>
        <v>1473704</v>
      </c>
      <c r="G29" s="1116">
        <v>2180000</v>
      </c>
    </row>
    <row r="30" spans="1:7">
      <c r="A30" s="1123">
        <v>18</v>
      </c>
      <c r="B30" s="1121" t="s">
        <v>3452</v>
      </c>
      <c r="C30" s="1122">
        <v>1</v>
      </c>
      <c r="D30" s="1122">
        <f>INPUT!H113</f>
        <v>10680</v>
      </c>
      <c r="E30" s="1125">
        <f>ROUND(C30*D30,2)</f>
        <v>10680</v>
      </c>
    </row>
    <row r="31" spans="1:7">
      <c r="A31" s="1123">
        <v>19</v>
      </c>
      <c r="B31" s="1121" t="s">
        <v>3453</v>
      </c>
      <c r="C31" s="1122">
        <v>1</v>
      </c>
      <c r="D31" s="1122">
        <f>INPUT!H114</f>
        <v>22792</v>
      </c>
      <c r="E31" s="1125">
        <f>ROUND(C31*D31,2)</f>
        <v>22792</v>
      </c>
    </row>
    <row r="32" spans="1:7">
      <c r="A32" s="1123">
        <v>20</v>
      </c>
      <c r="B32" s="1121" t="s">
        <v>3454</v>
      </c>
      <c r="C32" s="1122">
        <v>1</v>
      </c>
      <c r="D32" s="1122">
        <f>INPUT!H117</f>
        <v>0</v>
      </c>
      <c r="E32" s="1125">
        <f>ROUND(C32*D32,2)</f>
        <v>0</v>
      </c>
    </row>
    <row r="33" spans="1:5">
      <c r="A33" s="1123">
        <v>21</v>
      </c>
      <c r="B33" s="1121" t="s">
        <v>3455</v>
      </c>
      <c r="C33" s="1122">
        <v>1</v>
      </c>
      <c r="D33" s="1122">
        <f>INPUT!H118</f>
        <v>277</v>
      </c>
      <c r="E33" s="1125">
        <f>ROUND(C33*D33,2)</f>
        <v>277</v>
      </c>
    </row>
    <row r="34" spans="1:5">
      <c r="A34" s="1123"/>
      <c r="B34" s="1121"/>
      <c r="C34" s="1121"/>
      <c r="D34" s="1121"/>
      <c r="E34" s="1126">
        <f>SUM(E13:E33)</f>
        <v>2169783</v>
      </c>
    </row>
    <row r="38" spans="1:5">
      <c r="B38" s="1124" t="str">
        <f>INPUT!C125</f>
        <v>Deputy Executive Engineer</v>
      </c>
      <c r="D38" s="1129" t="str">
        <f>INPUT!G125</f>
        <v>Assistant  Engineer</v>
      </c>
    </row>
    <row r="39" spans="1:5">
      <c r="B39" s="1124" t="str">
        <f>INPUT!C126</f>
        <v>PRI Sub Division</v>
      </c>
      <c r="D39" s="1129" t="str">
        <f>INPUT!G126</f>
        <v>Mandal Praja parishad</v>
      </c>
    </row>
    <row r="40" spans="1:5">
      <c r="B40" s="1124" t="str">
        <f>INPUT!C127</f>
        <v>Kanigiri</v>
      </c>
      <c r="D40" s="1129" t="str">
        <f>INPUT!G127</f>
        <v>Kanigiri</v>
      </c>
    </row>
  </sheetData>
  <mergeCells count="1">
    <mergeCell ref="A1:E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sheetPr filterMode="1">
    <tabColor rgb="FF00B050"/>
  </sheetPr>
  <dimension ref="A1:J1251"/>
  <sheetViews>
    <sheetView showZeros="0" view="pageBreakPreview" topLeftCell="A1099" zoomScale="130" zoomScaleNormal="130" zoomScaleSheetLayoutView="130" workbookViewId="0">
      <selection activeCell="A1140" sqref="A1140"/>
    </sheetView>
  </sheetViews>
  <sheetFormatPr defaultColWidth="9.140625" defaultRowHeight="12.75"/>
  <cols>
    <col min="1" max="1" width="6.7109375" style="17" customWidth="1"/>
    <col min="2" max="2" width="9.42578125" style="17" customWidth="1"/>
    <col min="3" max="3" width="42.42578125" style="17" customWidth="1"/>
    <col min="4" max="4" width="9.7109375" style="33" customWidth="1"/>
    <col min="5" max="5" width="4.7109375" style="34" customWidth="1"/>
    <col min="6" max="6" width="9.42578125" style="17" bestFit="1" customWidth="1"/>
    <col min="7" max="7" width="11.42578125" style="17" customWidth="1"/>
    <col min="8" max="8" width="7.85546875" style="17" customWidth="1"/>
    <col min="9" max="9" width="10.42578125" style="17" bestFit="1" customWidth="1"/>
    <col min="10" max="16384" width="9.140625" style="17"/>
  </cols>
  <sheetData>
    <row r="1" spans="1:10" ht="19.5" customHeight="1">
      <c r="A1" s="1811" t="s">
        <v>2589</v>
      </c>
      <c r="B1" s="1811"/>
      <c r="C1" s="1811"/>
      <c r="D1" s="1811"/>
      <c r="E1" s="1811"/>
      <c r="F1" s="1811"/>
      <c r="G1" s="1811"/>
      <c r="H1" s="937"/>
    </row>
    <row r="2" spans="1:10" s="18" customFormat="1" ht="36.75" customHeight="1">
      <c r="A2" s="1810" t="str">
        <f>'lead 19-20'!B2&amp;'lead 19-20'!C2</f>
        <v>Name of the Work: Providing Additional Space for Agriculture Staff in  Baduguleru GP of Kanigiri Mandal</v>
      </c>
      <c r="B2" s="1810"/>
      <c r="C2" s="1810"/>
      <c r="D2" s="1810"/>
      <c r="E2" s="1810"/>
      <c r="F2" s="1810"/>
      <c r="G2" s="1810"/>
      <c r="H2" s="936"/>
    </row>
    <row r="3" spans="1:10" s="18" customFormat="1" ht="15">
      <c r="A3" s="19"/>
      <c r="B3" s="19"/>
      <c r="C3" s="20"/>
      <c r="D3" s="21"/>
      <c r="E3" s="22"/>
      <c r="F3" s="926" t="s">
        <v>452</v>
      </c>
      <c r="G3" s="923" t="str">
        <f>'lead 19-20'!K4</f>
        <v>21.80 Lakhs</v>
      </c>
      <c r="H3" s="924"/>
    </row>
    <row r="4" spans="1:10" s="18" customFormat="1" ht="30.75" customHeight="1">
      <c r="A4" s="668" t="s">
        <v>443</v>
      </c>
      <c r="B4" s="668" t="s">
        <v>2590</v>
      </c>
      <c r="C4" s="668" t="s">
        <v>272</v>
      </c>
      <c r="D4" s="880" t="s">
        <v>456</v>
      </c>
      <c r="E4" s="881" t="s">
        <v>9</v>
      </c>
      <c r="F4" s="668" t="s">
        <v>457</v>
      </c>
      <c r="G4" s="668" t="s">
        <v>10</v>
      </c>
      <c r="H4" s="668"/>
    </row>
    <row r="5" spans="1:10" s="18" customFormat="1" ht="16.5" customHeight="1">
      <c r="A5" s="668" t="s">
        <v>460</v>
      </c>
      <c r="B5" s="668" t="s">
        <v>461</v>
      </c>
      <c r="C5" s="668" t="s">
        <v>462</v>
      </c>
      <c r="D5" s="880" t="s">
        <v>463</v>
      </c>
      <c r="E5" s="881" t="s">
        <v>464</v>
      </c>
      <c r="F5" s="668" t="s">
        <v>465</v>
      </c>
      <c r="G5" s="668" t="s">
        <v>466</v>
      </c>
      <c r="H5" s="668"/>
    </row>
    <row r="6" spans="1:10" s="26" customFormat="1" ht="20.25" hidden="1" customHeight="1">
      <c r="A6" s="23"/>
      <c r="B6" s="23"/>
      <c r="C6" s="702" t="s">
        <v>470</v>
      </c>
      <c r="D6" s="28"/>
      <c r="E6" s="224"/>
      <c r="F6" s="29"/>
      <c r="G6" s="223"/>
      <c r="H6" s="23" t="s">
        <v>15</v>
      </c>
    </row>
    <row r="7" spans="1:10" s="26" customFormat="1" ht="20.25" customHeight="1">
      <c r="A7" s="23"/>
      <c r="B7" s="928"/>
      <c r="C7" s="882" t="s">
        <v>2592</v>
      </c>
      <c r="D7" s="28"/>
      <c r="E7" s="224"/>
      <c r="F7" s="37"/>
      <c r="G7" s="883">
        <v>1E-8</v>
      </c>
      <c r="H7" s="878"/>
    </row>
    <row r="8" spans="1:10" s="360" customFormat="1" ht="15" hidden="1" customHeight="1">
      <c r="A8" s="356" t="s">
        <v>460</v>
      </c>
      <c r="B8" s="929" t="s">
        <v>2594</v>
      </c>
      <c r="C8" s="707" t="s">
        <v>537</v>
      </c>
      <c r="D8" s="358">
        <f>WORK!I13</f>
        <v>0</v>
      </c>
      <c r="E8" s="354" t="s">
        <v>102</v>
      </c>
      <c r="F8" s="355">
        <f>WORK!K13</f>
        <v>5.22</v>
      </c>
      <c r="G8" s="353">
        <f t="shared" ref="G8:G22" si="0">ROUND(D8*F8,0)</f>
        <v>0</v>
      </c>
      <c r="H8" s="708" t="s">
        <v>2226</v>
      </c>
    </row>
    <row r="9" spans="1:10" s="360" customFormat="1" ht="15" hidden="1" customHeight="1">
      <c r="A9" s="356" t="s">
        <v>460</v>
      </c>
      <c r="B9" s="929" t="s">
        <v>2594</v>
      </c>
      <c r="C9" s="707" t="s">
        <v>537</v>
      </c>
      <c r="D9" s="358">
        <f>WORK!I19</f>
        <v>0</v>
      </c>
      <c r="E9" s="354" t="s">
        <v>102</v>
      </c>
      <c r="F9" s="355">
        <f>WORK!K19</f>
        <v>5.86</v>
      </c>
      <c r="G9" s="353">
        <f t="shared" si="0"/>
        <v>0</v>
      </c>
      <c r="H9" s="708" t="s">
        <v>2308</v>
      </c>
    </row>
    <row r="10" spans="1:10" s="360" customFormat="1" ht="15" hidden="1" customHeight="1">
      <c r="A10" s="356" t="s">
        <v>460</v>
      </c>
      <c r="B10" s="929" t="s">
        <v>2594</v>
      </c>
      <c r="C10" s="707" t="s">
        <v>537</v>
      </c>
      <c r="D10" s="358">
        <f>WORK!I25</f>
        <v>0</v>
      </c>
      <c r="E10" s="354" t="s">
        <v>102</v>
      </c>
      <c r="F10" s="355">
        <f>WORK!K25</f>
        <v>6.06</v>
      </c>
      <c r="G10" s="353">
        <f>ROUND(D10*F10,0)</f>
        <v>0</v>
      </c>
      <c r="H10" s="708" t="s">
        <v>2321</v>
      </c>
    </row>
    <row r="11" spans="1:10" s="360" customFormat="1" ht="15" hidden="1" customHeight="1">
      <c r="A11" s="356" t="s">
        <v>460</v>
      </c>
      <c r="B11" s="929" t="s">
        <v>2594</v>
      </c>
      <c r="C11" s="707" t="s">
        <v>537</v>
      </c>
      <c r="D11" s="358">
        <f>WORK!I31</f>
        <v>0</v>
      </c>
      <c r="E11" s="354" t="s">
        <v>102</v>
      </c>
      <c r="F11" s="355">
        <f>WORK!K31</f>
        <v>6.06</v>
      </c>
      <c r="G11" s="353">
        <f>ROUND(D11*F11,0)</f>
        <v>0</v>
      </c>
      <c r="H11" s="708" t="s">
        <v>2322</v>
      </c>
    </row>
    <row r="12" spans="1:10" s="360" customFormat="1">
      <c r="A12" s="356" t="s">
        <v>460</v>
      </c>
      <c r="B12" s="929" t="s">
        <v>2591</v>
      </c>
      <c r="C12" s="707" t="s">
        <v>471</v>
      </c>
      <c r="D12" s="358">
        <f>WORK!I48</f>
        <v>82.240000000000009</v>
      </c>
      <c r="E12" s="354" t="s">
        <v>5</v>
      </c>
      <c r="F12" s="355">
        <f>WORK!K48</f>
        <v>124.24</v>
      </c>
      <c r="G12" s="353">
        <f t="shared" si="0"/>
        <v>10217</v>
      </c>
      <c r="H12" s="708" t="s">
        <v>2226</v>
      </c>
      <c r="J12" s="353"/>
    </row>
    <row r="13" spans="1:10" s="360" customFormat="1" hidden="1">
      <c r="A13" s="356" t="s">
        <v>461</v>
      </c>
      <c r="B13" s="929" t="s">
        <v>2591</v>
      </c>
      <c r="C13" s="707" t="s">
        <v>471</v>
      </c>
      <c r="D13" s="358">
        <f>WORK!I54</f>
        <v>0</v>
      </c>
      <c r="E13" s="354" t="s">
        <v>5</v>
      </c>
      <c r="F13" s="355">
        <f>WORK!K54</f>
        <v>139.55000000000001</v>
      </c>
      <c r="G13" s="353">
        <f t="shared" si="0"/>
        <v>0</v>
      </c>
      <c r="H13" s="708" t="s">
        <v>2308</v>
      </c>
    </row>
    <row r="14" spans="1:10" s="360" customFormat="1" ht="15" hidden="1" customHeight="1">
      <c r="A14" s="356" t="s">
        <v>461</v>
      </c>
      <c r="B14" s="929" t="s">
        <v>2591</v>
      </c>
      <c r="C14" s="707" t="s">
        <v>471</v>
      </c>
      <c r="D14" s="358">
        <f>WORK!I61</f>
        <v>0</v>
      </c>
      <c r="E14" s="354" t="s">
        <v>5</v>
      </c>
      <c r="F14" s="355">
        <f>WORK!K61</f>
        <v>144.26</v>
      </c>
      <c r="G14" s="353">
        <f>ROUND(D14*F14,0)</f>
        <v>0</v>
      </c>
      <c r="H14" s="708" t="s">
        <v>2321</v>
      </c>
    </row>
    <row r="15" spans="1:10" s="360" customFormat="1" ht="15" hidden="1" customHeight="1">
      <c r="A15" s="356" t="s">
        <v>461</v>
      </c>
      <c r="B15" s="929" t="s">
        <v>2591</v>
      </c>
      <c r="C15" s="707" t="s">
        <v>471</v>
      </c>
      <c r="D15" s="358">
        <f>WORK!I68</f>
        <v>0</v>
      </c>
      <c r="E15" s="354" t="s">
        <v>5</v>
      </c>
      <c r="F15" s="355">
        <f>WORK!K68</f>
        <v>144.26</v>
      </c>
      <c r="G15" s="353">
        <f>ROUND(D15*F15,0)</f>
        <v>0</v>
      </c>
      <c r="H15" s="708" t="s">
        <v>2322</v>
      </c>
    </row>
    <row r="16" spans="1:10" s="360" customFormat="1" ht="15" customHeight="1">
      <c r="A16" s="356"/>
      <c r="B16" s="930"/>
      <c r="C16" s="931" t="s">
        <v>2593</v>
      </c>
      <c r="D16" s="358"/>
      <c r="E16" s="354"/>
      <c r="F16" s="355"/>
      <c r="G16" s="883">
        <v>1E-8</v>
      </c>
      <c r="H16" s="708"/>
    </row>
    <row r="17" spans="1:8" s="360" customFormat="1">
      <c r="A17" s="356" t="s">
        <v>461</v>
      </c>
      <c r="B17" s="929" t="s">
        <v>2595</v>
      </c>
      <c r="C17" s="707" t="s">
        <v>538</v>
      </c>
      <c r="D17" s="358">
        <f>WORK!I96</f>
        <v>22.029999999999998</v>
      </c>
      <c r="E17" s="354" t="s">
        <v>5</v>
      </c>
      <c r="F17" s="355">
        <f>WORK!K96</f>
        <v>3877.2799999999997</v>
      </c>
      <c r="G17" s="353">
        <f t="shared" si="0"/>
        <v>85416</v>
      </c>
      <c r="H17" s="708" t="s">
        <v>2226</v>
      </c>
    </row>
    <row r="18" spans="1:8" s="360" customFormat="1" hidden="1">
      <c r="A18" s="356" t="s">
        <v>463</v>
      </c>
      <c r="B18" s="929" t="s">
        <v>2595</v>
      </c>
      <c r="C18" s="707" t="s">
        <v>538</v>
      </c>
      <c r="D18" s="358">
        <f>WORK!I110</f>
        <v>0</v>
      </c>
      <c r="E18" s="354" t="s">
        <v>5</v>
      </c>
      <c r="F18" s="355">
        <f>WORK!K110</f>
        <v>4067.8399999999997</v>
      </c>
      <c r="G18" s="353">
        <f t="shared" si="0"/>
        <v>0</v>
      </c>
      <c r="H18" s="708" t="s">
        <v>2308</v>
      </c>
    </row>
    <row r="19" spans="1:8" s="360" customFormat="1" ht="15" hidden="1" customHeight="1">
      <c r="A19" s="356" t="s">
        <v>463</v>
      </c>
      <c r="B19" s="929" t="s">
        <v>2595</v>
      </c>
      <c r="C19" s="707" t="s">
        <v>538</v>
      </c>
      <c r="D19" s="358">
        <f>WORK!I120</f>
        <v>0</v>
      </c>
      <c r="E19" s="354" t="s">
        <v>5</v>
      </c>
      <c r="F19" s="355">
        <f>WORK!K120</f>
        <v>4332.55</v>
      </c>
      <c r="G19" s="353">
        <f>ROUND(D19*F19,0)</f>
        <v>0</v>
      </c>
      <c r="H19" s="708" t="s">
        <v>2321</v>
      </c>
    </row>
    <row r="20" spans="1:8" s="360" customFormat="1" ht="15" hidden="1" customHeight="1">
      <c r="A20" s="356" t="s">
        <v>463</v>
      </c>
      <c r="B20" s="929" t="s">
        <v>2595</v>
      </c>
      <c r="C20" s="707" t="s">
        <v>538</v>
      </c>
      <c r="D20" s="358">
        <f>WORK!I128</f>
        <v>0</v>
      </c>
      <c r="E20" s="354" t="s">
        <v>5</v>
      </c>
      <c r="F20" s="355">
        <f>WORK!K128</f>
        <v>4583.3100000000004</v>
      </c>
      <c r="G20" s="353">
        <f>ROUND(D20*F20,0)</f>
        <v>0</v>
      </c>
      <c r="H20" s="708" t="s">
        <v>2322</v>
      </c>
    </row>
    <row r="21" spans="1:8" s="360" customFormat="1" ht="15" hidden="1" customHeight="1">
      <c r="A21" s="356" t="s">
        <v>463</v>
      </c>
      <c r="B21" s="929" t="s">
        <v>2596</v>
      </c>
      <c r="C21" s="707" t="s">
        <v>539</v>
      </c>
      <c r="D21" s="358">
        <f>WORK!I137</f>
        <v>0</v>
      </c>
      <c r="E21" s="354" t="s">
        <v>5</v>
      </c>
      <c r="F21" s="355">
        <f>WORK!K137</f>
        <v>3725</v>
      </c>
      <c r="G21" s="353">
        <f t="shared" si="0"/>
        <v>0</v>
      </c>
      <c r="H21" s="708" t="s">
        <v>2226</v>
      </c>
    </row>
    <row r="22" spans="1:8" s="360" customFormat="1" ht="15" hidden="1" customHeight="1">
      <c r="A22" s="356" t="s">
        <v>463</v>
      </c>
      <c r="B22" s="929" t="s">
        <v>2596</v>
      </c>
      <c r="C22" s="707" t="s">
        <v>539</v>
      </c>
      <c r="D22" s="358">
        <f>WORK!I146</f>
        <v>0</v>
      </c>
      <c r="E22" s="354" t="s">
        <v>5</v>
      </c>
      <c r="F22" s="355">
        <f>WORK!K146</f>
        <v>3915.56</v>
      </c>
      <c r="G22" s="353">
        <f t="shared" si="0"/>
        <v>0</v>
      </c>
      <c r="H22" s="708" t="s">
        <v>2308</v>
      </c>
    </row>
    <row r="23" spans="1:8" s="360" customFormat="1" ht="15" hidden="1" customHeight="1">
      <c r="A23" s="356" t="s">
        <v>463</v>
      </c>
      <c r="B23" s="929" t="s">
        <v>2596</v>
      </c>
      <c r="C23" s="707" t="s">
        <v>539</v>
      </c>
      <c r="D23" s="358">
        <f>WORK!I155</f>
        <v>0</v>
      </c>
      <c r="E23" s="354" t="s">
        <v>5</v>
      </c>
      <c r="F23" s="355">
        <f>WORK!K155</f>
        <v>4180.2700000000004</v>
      </c>
      <c r="G23" s="353">
        <f>ROUND(D23*F23,0)</f>
        <v>0</v>
      </c>
      <c r="H23" s="708" t="s">
        <v>2321</v>
      </c>
    </row>
    <row r="24" spans="1:8" s="360" customFormat="1" ht="15" hidden="1" customHeight="1">
      <c r="A24" s="356" t="s">
        <v>463</v>
      </c>
      <c r="B24" s="929" t="s">
        <v>2596</v>
      </c>
      <c r="C24" s="707" t="s">
        <v>539</v>
      </c>
      <c r="D24" s="358">
        <f>WORK!I164</f>
        <v>0</v>
      </c>
      <c r="E24" s="354" t="s">
        <v>5</v>
      </c>
      <c r="F24" s="355">
        <f>WORK!K164</f>
        <v>4431.03</v>
      </c>
      <c r="G24" s="353">
        <f>ROUND(D24*F24,0)</f>
        <v>0</v>
      </c>
      <c r="H24" s="708" t="s">
        <v>2322</v>
      </c>
    </row>
    <row r="25" spans="1:8" s="360" customFormat="1" ht="15" customHeight="1">
      <c r="A25" s="356" t="s">
        <v>462</v>
      </c>
      <c r="B25" s="927" t="s">
        <v>2597</v>
      </c>
      <c r="C25" s="707" t="s">
        <v>1219</v>
      </c>
      <c r="D25" s="358">
        <f>WORK!I170</f>
        <v>13.280000000000001</v>
      </c>
      <c r="E25" s="354" t="s">
        <v>5</v>
      </c>
      <c r="F25" s="355">
        <f>WORK!K170</f>
        <v>183</v>
      </c>
      <c r="G25" s="353">
        <f t="shared" ref="G25" si="1">ROUND(D25*F25,0)</f>
        <v>2430</v>
      </c>
      <c r="H25" s="708" t="s">
        <v>2226</v>
      </c>
    </row>
    <row r="26" spans="1:8" s="360" customFormat="1" ht="15" hidden="1" customHeight="1">
      <c r="A26" s="356" t="s">
        <v>462</v>
      </c>
      <c r="B26" s="927" t="s">
        <v>2597</v>
      </c>
      <c r="C26" s="707" t="s">
        <v>1219</v>
      </c>
      <c r="D26" s="358">
        <f>WORK!I176</f>
        <v>0</v>
      </c>
      <c r="E26" s="354" t="s">
        <v>5</v>
      </c>
      <c r="F26" s="355">
        <f>WORK!K176</f>
        <v>205.87</v>
      </c>
      <c r="G26" s="353">
        <f>ROUND(D26*F26,0)</f>
        <v>0</v>
      </c>
      <c r="H26" s="708" t="s">
        <v>2308</v>
      </c>
    </row>
    <row r="27" spans="1:8" s="360" customFormat="1" ht="15" hidden="1" customHeight="1">
      <c r="A27" s="356" t="s">
        <v>462</v>
      </c>
      <c r="B27" s="927" t="s">
        <v>2597</v>
      </c>
      <c r="C27" s="707" t="s">
        <v>1219</v>
      </c>
      <c r="D27" s="358">
        <f>WORK!I182</f>
        <v>0</v>
      </c>
      <c r="E27" s="354" t="s">
        <v>5</v>
      </c>
      <c r="F27" s="355">
        <f>WORK!K182</f>
        <v>199.97</v>
      </c>
      <c r="G27" s="353">
        <f>ROUND(D27*F27,0)</f>
        <v>0</v>
      </c>
      <c r="H27" s="708" t="s">
        <v>2321</v>
      </c>
    </row>
    <row r="28" spans="1:8" s="360" customFormat="1" ht="15" hidden="1" customHeight="1">
      <c r="A28" s="356" t="s">
        <v>462</v>
      </c>
      <c r="B28" s="927" t="s">
        <v>2597</v>
      </c>
      <c r="C28" s="707" t="s">
        <v>1219</v>
      </c>
      <c r="D28" s="358">
        <f>WORK!I188</f>
        <v>0</v>
      </c>
      <c r="E28" s="354" t="s">
        <v>5</v>
      </c>
      <c r="F28" s="355">
        <f>WORK!K188</f>
        <v>216.13</v>
      </c>
      <c r="G28" s="353">
        <f>ROUND(D28*F28,0)</f>
        <v>0</v>
      </c>
      <c r="H28" s="708" t="s">
        <v>2322</v>
      </c>
    </row>
    <row r="29" spans="1:8" s="360" customFormat="1" ht="15" hidden="1" customHeight="1">
      <c r="A29" s="356" t="s">
        <v>464</v>
      </c>
      <c r="B29" s="927" t="s">
        <v>2598</v>
      </c>
      <c r="C29" s="707" t="s">
        <v>716</v>
      </c>
      <c r="D29" s="358">
        <f>WORK!I194</f>
        <v>0</v>
      </c>
      <c r="E29" s="354" t="s">
        <v>5</v>
      </c>
      <c r="F29" s="355">
        <f>WORK!K194</f>
        <v>210</v>
      </c>
      <c r="G29" s="353">
        <f t="shared" ref="G29:G109" si="2">ROUND(D29*F29,0)</f>
        <v>0</v>
      </c>
      <c r="H29" s="708" t="s">
        <v>2226</v>
      </c>
    </row>
    <row r="30" spans="1:8" s="360" customFormat="1" ht="15" hidden="1" customHeight="1">
      <c r="A30" s="356" t="s">
        <v>464</v>
      </c>
      <c r="B30" s="927" t="s">
        <v>2598</v>
      </c>
      <c r="C30" s="707" t="s">
        <v>716</v>
      </c>
      <c r="D30" s="358">
        <f>WORK!I200</f>
        <v>0</v>
      </c>
      <c r="E30" s="354" t="s">
        <v>5</v>
      </c>
      <c r="F30" s="355">
        <f>WORK!K200</f>
        <v>247.07</v>
      </c>
      <c r="G30" s="353">
        <f>ROUND(D30*F30,0)</f>
        <v>0</v>
      </c>
      <c r="H30" s="708" t="s">
        <v>2308</v>
      </c>
    </row>
    <row r="31" spans="1:8" s="360" customFormat="1" ht="15" hidden="1" customHeight="1">
      <c r="A31" s="356" t="s">
        <v>464</v>
      </c>
      <c r="B31" s="927" t="s">
        <v>2598</v>
      </c>
      <c r="C31" s="707" t="s">
        <v>716</v>
      </c>
      <c r="D31" s="358">
        <f>WORK!I206</f>
        <v>0</v>
      </c>
      <c r="E31" s="354" t="s">
        <v>5</v>
      </c>
      <c r="F31" s="355">
        <f>WORK!K206</f>
        <v>266.72000000000003</v>
      </c>
      <c r="G31" s="353">
        <f>ROUND(D31*F31,0)</f>
        <v>0</v>
      </c>
      <c r="H31" s="708" t="s">
        <v>2321</v>
      </c>
    </row>
    <row r="32" spans="1:8" s="360" customFormat="1" ht="15" hidden="1" customHeight="1">
      <c r="A32" s="356" t="s">
        <v>464</v>
      </c>
      <c r="B32" s="927" t="s">
        <v>2598</v>
      </c>
      <c r="C32" s="707" t="s">
        <v>716</v>
      </c>
      <c r="D32" s="358">
        <f>WORK!I212</f>
        <v>0</v>
      </c>
      <c r="E32" s="354" t="s">
        <v>5</v>
      </c>
      <c r="F32" s="355">
        <f>WORK!K212</f>
        <v>272.13</v>
      </c>
      <c r="G32" s="353">
        <f>ROUND(D32*F32,0)</f>
        <v>0</v>
      </c>
      <c r="H32" s="708" t="s">
        <v>2322</v>
      </c>
    </row>
    <row r="33" spans="1:8" s="360" customFormat="1">
      <c r="A33" s="356" t="s">
        <v>463</v>
      </c>
      <c r="B33" s="927" t="s">
        <v>2599</v>
      </c>
      <c r="C33" s="707" t="s">
        <v>704</v>
      </c>
      <c r="D33" s="358">
        <f>WORK!I223</f>
        <v>99.320000000000007</v>
      </c>
      <c r="E33" s="354" t="s">
        <v>5</v>
      </c>
      <c r="F33" s="355">
        <f>WORK!K223</f>
        <v>1271.5</v>
      </c>
      <c r="G33" s="353">
        <f t="shared" si="2"/>
        <v>126285</v>
      </c>
      <c r="H33" s="708" t="s">
        <v>2226</v>
      </c>
    </row>
    <row r="34" spans="1:8" s="360" customFormat="1" ht="15" hidden="1" customHeight="1">
      <c r="A34" s="356" t="s">
        <v>466</v>
      </c>
      <c r="B34" s="927" t="s">
        <v>2599</v>
      </c>
      <c r="C34" s="707" t="s">
        <v>704</v>
      </c>
      <c r="D34" s="358">
        <f>WORK!I236</f>
        <v>0</v>
      </c>
      <c r="E34" s="354" t="s">
        <v>5</v>
      </c>
      <c r="F34" s="355">
        <f>WORK!K236</f>
        <v>1340.37</v>
      </c>
      <c r="G34" s="353">
        <f>ROUND(D34*F34,0)</f>
        <v>0</v>
      </c>
      <c r="H34" s="708" t="s">
        <v>2308</v>
      </c>
    </row>
    <row r="35" spans="1:8" s="360" customFormat="1" ht="15" hidden="1" customHeight="1">
      <c r="A35" s="356" t="s">
        <v>466</v>
      </c>
      <c r="B35" s="927" t="s">
        <v>2599</v>
      </c>
      <c r="C35" s="707" t="s">
        <v>704</v>
      </c>
      <c r="D35" s="358">
        <f>WORK!I242</f>
        <v>0</v>
      </c>
      <c r="E35" s="354" t="s">
        <v>5</v>
      </c>
      <c r="F35" s="355">
        <f>WORK!K242</f>
        <v>1528.72</v>
      </c>
      <c r="G35" s="353">
        <f>ROUND(D35*F35,0)</f>
        <v>0</v>
      </c>
      <c r="H35" s="708" t="s">
        <v>2321</v>
      </c>
    </row>
    <row r="36" spans="1:8" s="360" customFormat="1" ht="15" hidden="1" customHeight="1">
      <c r="A36" s="356" t="s">
        <v>466</v>
      </c>
      <c r="B36" s="927" t="s">
        <v>2599</v>
      </c>
      <c r="C36" s="707" t="s">
        <v>704</v>
      </c>
      <c r="D36" s="358">
        <f>WORK!I248</f>
        <v>0</v>
      </c>
      <c r="E36" s="354" t="s">
        <v>5</v>
      </c>
      <c r="F36" s="355">
        <f>WORK!K248</f>
        <v>1603.13</v>
      </c>
      <c r="G36" s="353">
        <f>ROUND(D36*F36,0)</f>
        <v>0</v>
      </c>
      <c r="H36" s="708" t="s">
        <v>2322</v>
      </c>
    </row>
    <row r="37" spans="1:8" s="360" customFormat="1">
      <c r="A37" s="356" t="s">
        <v>464</v>
      </c>
      <c r="B37" s="927" t="s">
        <v>2600</v>
      </c>
      <c r="C37" s="707" t="s">
        <v>540</v>
      </c>
      <c r="D37" s="358">
        <f>WORK!I261</f>
        <v>50.43</v>
      </c>
      <c r="E37" s="354" t="s">
        <v>5</v>
      </c>
      <c r="F37" s="355">
        <f>WORK!K261</f>
        <v>228</v>
      </c>
      <c r="G37" s="353">
        <f t="shared" si="2"/>
        <v>11498</v>
      </c>
      <c r="H37" s="708" t="s">
        <v>2226</v>
      </c>
    </row>
    <row r="38" spans="1:8" s="360" customFormat="1" ht="15" hidden="1" customHeight="1">
      <c r="A38" s="356" t="s">
        <v>326</v>
      </c>
      <c r="B38" s="927" t="s">
        <v>2600</v>
      </c>
      <c r="C38" s="707" t="s">
        <v>540</v>
      </c>
      <c r="D38" s="358">
        <f>WORK!I269</f>
        <v>0</v>
      </c>
      <c r="E38" s="354" t="s">
        <v>5</v>
      </c>
      <c r="F38" s="355">
        <f>WORK!K269</f>
        <v>249.16</v>
      </c>
      <c r="G38" s="353">
        <f>ROUND(D38*F38,0)</f>
        <v>0</v>
      </c>
      <c r="H38" s="708" t="s">
        <v>2308</v>
      </c>
    </row>
    <row r="39" spans="1:8" s="360" customFormat="1" ht="15" hidden="1" customHeight="1">
      <c r="A39" s="356" t="s">
        <v>326</v>
      </c>
      <c r="B39" s="927" t="s">
        <v>2600</v>
      </c>
      <c r="C39" s="707" t="s">
        <v>540</v>
      </c>
      <c r="D39" s="358">
        <f>WORK!I276</f>
        <v>0</v>
      </c>
      <c r="E39" s="354" t="s">
        <v>5</v>
      </c>
      <c r="F39" s="355">
        <f>WORK!K276</f>
        <v>265.36</v>
      </c>
      <c r="G39" s="353">
        <f>ROUND(D39*F39,0)</f>
        <v>0</v>
      </c>
      <c r="H39" s="708" t="s">
        <v>2321</v>
      </c>
    </row>
    <row r="40" spans="1:8" s="360" customFormat="1" ht="15" hidden="1" customHeight="1">
      <c r="A40" s="356" t="s">
        <v>326</v>
      </c>
      <c r="B40" s="927" t="s">
        <v>2600</v>
      </c>
      <c r="C40" s="707" t="s">
        <v>540</v>
      </c>
      <c r="D40" s="358">
        <f>WORK!I283</f>
        <v>0</v>
      </c>
      <c r="E40" s="354" t="s">
        <v>5</v>
      </c>
      <c r="F40" s="355">
        <f>WORK!K283</f>
        <v>284.39999999999998</v>
      </c>
      <c r="G40" s="353">
        <f>ROUND(D40*F40,0)</f>
        <v>0</v>
      </c>
      <c r="H40" s="708" t="s">
        <v>2322</v>
      </c>
    </row>
    <row r="41" spans="1:8" s="360" customFormat="1">
      <c r="A41" s="356" t="s">
        <v>465</v>
      </c>
      <c r="B41" s="927" t="s">
        <v>2601</v>
      </c>
      <c r="C41" s="707" t="s">
        <v>2463</v>
      </c>
      <c r="D41" s="358">
        <f>WORK!I291</f>
        <v>11.870000000000001</v>
      </c>
      <c r="E41" s="354" t="s">
        <v>5</v>
      </c>
      <c r="F41" s="355">
        <f>WORK!K291</f>
        <v>6979.88</v>
      </c>
      <c r="G41" s="353">
        <f t="shared" si="2"/>
        <v>82851</v>
      </c>
      <c r="H41" s="708" t="s">
        <v>2226</v>
      </c>
    </row>
    <row r="42" spans="1:8" s="360" customFormat="1" ht="15" hidden="1" customHeight="1">
      <c r="A42" s="356" t="s">
        <v>465</v>
      </c>
      <c r="B42" s="927" t="s">
        <v>2601</v>
      </c>
      <c r="C42" s="707" t="s">
        <v>2463</v>
      </c>
      <c r="D42" s="358">
        <f>WORK!I296</f>
        <v>0</v>
      </c>
      <c r="E42" s="354" t="s">
        <v>5</v>
      </c>
      <c r="F42" s="355">
        <f>WORK!K296</f>
        <v>7288.23</v>
      </c>
      <c r="G42" s="353">
        <f>ROUND(D42*F42,0)</f>
        <v>0</v>
      </c>
      <c r="H42" s="708" t="s">
        <v>2308</v>
      </c>
    </row>
    <row r="43" spans="1:8" s="360" customFormat="1" ht="15" hidden="1" customHeight="1">
      <c r="A43" s="356" t="s">
        <v>465</v>
      </c>
      <c r="B43" s="927" t="s">
        <v>2601</v>
      </c>
      <c r="C43" s="707" t="s">
        <v>2463</v>
      </c>
      <c r="D43" s="358">
        <f>WORK!I301</f>
        <v>0</v>
      </c>
      <c r="E43" s="354" t="s">
        <v>5</v>
      </c>
      <c r="F43" s="355">
        <f>WORK!K301</f>
        <v>7685.43</v>
      </c>
      <c r="G43" s="353">
        <f>ROUND(D43*F43,0)</f>
        <v>0</v>
      </c>
      <c r="H43" s="708" t="s">
        <v>2321</v>
      </c>
    </row>
    <row r="44" spans="1:8" s="360" customFormat="1" ht="15" hidden="1" customHeight="1">
      <c r="A44" s="356" t="s">
        <v>465</v>
      </c>
      <c r="B44" s="927" t="s">
        <v>2601</v>
      </c>
      <c r="C44" s="707" t="s">
        <v>2463</v>
      </c>
      <c r="D44" s="358">
        <f>WORK!I306</f>
        <v>0</v>
      </c>
      <c r="E44" s="354" t="s">
        <v>5</v>
      </c>
      <c r="F44" s="355">
        <f>WORK!K306</f>
        <v>8062.18</v>
      </c>
      <c r="G44" s="353">
        <f>ROUND(D44*F44,0)</f>
        <v>0</v>
      </c>
      <c r="H44" s="708" t="s">
        <v>2322</v>
      </c>
    </row>
    <row r="45" spans="1:8" s="360" customFormat="1">
      <c r="A45" s="356" t="s">
        <v>466</v>
      </c>
      <c r="B45" s="927" t="s">
        <v>2602</v>
      </c>
      <c r="C45" s="707" t="s">
        <v>2067</v>
      </c>
      <c r="D45" s="358">
        <f>WORK!I311</f>
        <v>1.28</v>
      </c>
      <c r="E45" s="354" t="s">
        <v>5</v>
      </c>
      <c r="F45" s="355">
        <f>WORK!K311</f>
        <v>7392.88</v>
      </c>
      <c r="G45" s="353">
        <f t="shared" si="2"/>
        <v>9463</v>
      </c>
      <c r="H45" s="708" t="s">
        <v>2226</v>
      </c>
    </row>
    <row r="46" spans="1:8" s="360" customFormat="1" ht="15" hidden="1" customHeight="1">
      <c r="A46" s="356" t="s">
        <v>466</v>
      </c>
      <c r="B46" s="927" t="s">
        <v>2602</v>
      </c>
      <c r="C46" s="707" t="s">
        <v>2067</v>
      </c>
      <c r="D46" s="358">
        <f>WORK!I316</f>
        <v>0</v>
      </c>
      <c r="E46" s="354" t="s">
        <v>5</v>
      </c>
      <c r="F46" s="355">
        <f>WORK!K316</f>
        <v>7701.23</v>
      </c>
      <c r="G46" s="353">
        <f>ROUND(D46*F46,0)</f>
        <v>0</v>
      </c>
      <c r="H46" s="708" t="s">
        <v>2308</v>
      </c>
    </row>
    <row r="47" spans="1:8" s="360" customFormat="1" ht="15" hidden="1" customHeight="1">
      <c r="A47" s="356" t="s">
        <v>466</v>
      </c>
      <c r="B47" s="927" t="s">
        <v>2602</v>
      </c>
      <c r="C47" s="707" t="s">
        <v>2067</v>
      </c>
      <c r="D47" s="358">
        <f>WORK!I321</f>
        <v>0</v>
      </c>
      <c r="E47" s="354" t="s">
        <v>5</v>
      </c>
      <c r="F47" s="355">
        <f>WORK!K321</f>
        <v>8124.43</v>
      </c>
      <c r="G47" s="353">
        <f>ROUND(D47*F47,0)</f>
        <v>0</v>
      </c>
      <c r="H47" s="708" t="s">
        <v>2321</v>
      </c>
    </row>
    <row r="48" spans="1:8" s="360" customFormat="1" ht="15" hidden="1" customHeight="1">
      <c r="A48" s="356" t="s">
        <v>466</v>
      </c>
      <c r="B48" s="927" t="s">
        <v>2602</v>
      </c>
      <c r="C48" s="707" t="s">
        <v>2067</v>
      </c>
      <c r="D48" s="358">
        <f>WORK!I326</f>
        <v>0</v>
      </c>
      <c r="E48" s="354" t="s">
        <v>5</v>
      </c>
      <c r="F48" s="355">
        <f>WORK!K326</f>
        <v>8501.18</v>
      </c>
      <c r="G48" s="353">
        <f>ROUND(D48*F48,0)</f>
        <v>0</v>
      </c>
      <c r="H48" s="708" t="s">
        <v>2322</v>
      </c>
    </row>
    <row r="49" spans="1:9" s="360" customFormat="1">
      <c r="A49" s="356" t="s">
        <v>467</v>
      </c>
      <c r="B49" s="927" t="s">
        <v>2603</v>
      </c>
      <c r="C49" s="707" t="s">
        <v>2068</v>
      </c>
      <c r="D49" s="358">
        <f>WORK!I342</f>
        <v>5.7099999999999991</v>
      </c>
      <c r="E49" s="354" t="s">
        <v>5</v>
      </c>
      <c r="F49" s="355">
        <f>WORK!K342</f>
        <v>9116.880000000001</v>
      </c>
      <c r="G49" s="353">
        <f t="shared" si="2"/>
        <v>52057</v>
      </c>
      <c r="H49" s="708" t="s">
        <v>2226</v>
      </c>
    </row>
    <row r="50" spans="1:9" s="360" customFormat="1" ht="15" hidden="1" customHeight="1">
      <c r="A50" s="356" t="s">
        <v>469</v>
      </c>
      <c r="B50" s="927" t="s">
        <v>2603</v>
      </c>
      <c r="C50" s="707" t="s">
        <v>2068</v>
      </c>
      <c r="D50" s="358">
        <f>WORK!I349</f>
        <v>0</v>
      </c>
      <c r="E50" s="354" t="s">
        <v>5</v>
      </c>
      <c r="F50" s="355">
        <f>WORK!K349</f>
        <v>9466.93</v>
      </c>
      <c r="G50" s="353">
        <f>ROUND(D50*F50,0)</f>
        <v>0</v>
      </c>
      <c r="H50" s="708" t="s">
        <v>2308</v>
      </c>
    </row>
    <row r="51" spans="1:9" s="360" customFormat="1" ht="15" hidden="1" customHeight="1">
      <c r="A51" s="356" t="s">
        <v>467</v>
      </c>
      <c r="B51" s="927" t="s">
        <v>2603</v>
      </c>
      <c r="C51" s="707" t="s">
        <v>2068</v>
      </c>
      <c r="D51" s="358">
        <f>WORK!I354</f>
        <v>0</v>
      </c>
      <c r="E51" s="354" t="s">
        <v>5</v>
      </c>
      <c r="F51" s="355">
        <f>WORK!K354</f>
        <v>10004.82</v>
      </c>
      <c r="G51" s="353">
        <f>ROUND(D51*F51,0)</f>
        <v>0</v>
      </c>
      <c r="H51" s="708" t="s">
        <v>2321</v>
      </c>
    </row>
    <row r="52" spans="1:9" s="360" customFormat="1" ht="15" hidden="1" customHeight="1">
      <c r="A52" s="356" t="s">
        <v>467</v>
      </c>
      <c r="B52" s="927" t="s">
        <v>2603</v>
      </c>
      <c r="C52" s="707" t="s">
        <v>2068</v>
      </c>
      <c r="D52" s="358">
        <f>WORK!I366</f>
        <v>0</v>
      </c>
      <c r="E52" s="354" t="s">
        <v>5</v>
      </c>
      <c r="F52" s="355">
        <f>WORK!K366</f>
        <v>10417.6</v>
      </c>
      <c r="G52" s="353">
        <f>ROUND(D52*F52,0)</f>
        <v>0</v>
      </c>
      <c r="H52" s="708" t="s">
        <v>2322</v>
      </c>
    </row>
    <row r="53" spans="1:9" s="360" customFormat="1">
      <c r="A53" s="356" t="s">
        <v>468</v>
      </c>
      <c r="B53" s="927" t="s">
        <v>2604</v>
      </c>
      <c r="C53" s="707" t="s">
        <v>2069</v>
      </c>
      <c r="D53" s="358">
        <f>WORK!I384</f>
        <v>5.8000000000000007</v>
      </c>
      <c r="E53" s="354" t="s">
        <v>5</v>
      </c>
      <c r="F53" s="355">
        <f>WORK!K384</f>
        <v>8971.880000000001</v>
      </c>
      <c r="G53" s="353">
        <f t="shared" si="2"/>
        <v>52037</v>
      </c>
      <c r="H53" s="708" t="s">
        <v>2226</v>
      </c>
    </row>
    <row r="54" spans="1:9" s="360" customFormat="1" ht="15" hidden="1" customHeight="1">
      <c r="A54" s="356" t="s">
        <v>468</v>
      </c>
      <c r="B54" s="927" t="s">
        <v>2604</v>
      </c>
      <c r="C54" s="707" t="s">
        <v>2069</v>
      </c>
      <c r="D54" s="358">
        <f>WORK!I392</f>
        <v>0</v>
      </c>
      <c r="E54" s="354" t="s">
        <v>5</v>
      </c>
      <c r="F54" s="355">
        <f>WORK!K392</f>
        <v>9280.23</v>
      </c>
      <c r="G54" s="353">
        <f>ROUND(D54*F54,0)</f>
        <v>0</v>
      </c>
      <c r="H54" s="708" t="s">
        <v>2308</v>
      </c>
    </row>
    <row r="55" spans="1:9" s="360" customFormat="1" ht="15" hidden="1" customHeight="1">
      <c r="A55" s="356" t="s">
        <v>468</v>
      </c>
      <c r="B55" s="927" t="s">
        <v>2604</v>
      </c>
      <c r="C55" s="707" t="s">
        <v>2069</v>
      </c>
      <c r="D55" s="358">
        <f>WORK!I400</f>
        <v>0</v>
      </c>
      <c r="E55" s="354" t="s">
        <v>5</v>
      </c>
      <c r="F55" s="355">
        <f>WORK!K400</f>
        <v>9785.43</v>
      </c>
      <c r="G55" s="353">
        <f>ROUND(D55*F55,0)</f>
        <v>0</v>
      </c>
      <c r="H55" s="708" t="s">
        <v>2321</v>
      </c>
    </row>
    <row r="56" spans="1:9" s="360" customFormat="1" ht="15" hidden="1" customHeight="1">
      <c r="A56" s="356" t="s">
        <v>468</v>
      </c>
      <c r="B56" s="927" t="s">
        <v>2604</v>
      </c>
      <c r="C56" s="707" t="s">
        <v>2069</v>
      </c>
      <c r="D56" s="358">
        <f>WORK!I406</f>
        <v>0</v>
      </c>
      <c r="E56" s="354" t="s">
        <v>5</v>
      </c>
      <c r="F56" s="355">
        <f>WORK!K406</f>
        <v>10162.18</v>
      </c>
      <c r="G56" s="353">
        <f>ROUND(D56*F56,0)</f>
        <v>0</v>
      </c>
      <c r="H56" s="708" t="s">
        <v>2322</v>
      </c>
    </row>
    <row r="57" spans="1:9" s="360" customFormat="1">
      <c r="A57" s="356" t="s">
        <v>326</v>
      </c>
      <c r="B57" s="927" t="s">
        <v>2605</v>
      </c>
      <c r="C57" s="707" t="s">
        <v>2070</v>
      </c>
      <c r="D57" s="358">
        <f>WORK!I428</f>
        <v>6.2000000000000011</v>
      </c>
      <c r="E57" s="428" t="s">
        <v>5</v>
      </c>
      <c r="F57" s="355">
        <f>WORK!K428</f>
        <v>8954.36</v>
      </c>
      <c r="G57" s="353">
        <f t="shared" si="2"/>
        <v>55517</v>
      </c>
      <c r="H57" s="708" t="s">
        <v>2226</v>
      </c>
      <c r="I57" s="712"/>
    </row>
    <row r="58" spans="1:9" s="360" customFormat="1" ht="15" hidden="1" customHeight="1">
      <c r="A58" s="356" t="s">
        <v>474</v>
      </c>
      <c r="B58" s="927" t="s">
        <v>2605</v>
      </c>
      <c r="C58" s="707" t="s">
        <v>2070</v>
      </c>
      <c r="D58" s="358">
        <f>WORK!I440</f>
        <v>0</v>
      </c>
      <c r="E58" s="428" t="s">
        <v>5</v>
      </c>
      <c r="F58" s="355">
        <f>WORK!K440</f>
        <v>9169.52</v>
      </c>
      <c r="G58" s="353">
        <f>ROUND(D58*F58,0)</f>
        <v>0</v>
      </c>
      <c r="H58" s="708" t="s">
        <v>2308</v>
      </c>
      <c r="I58" s="712"/>
    </row>
    <row r="59" spans="1:9" s="360" customFormat="1" ht="15" hidden="1" customHeight="1">
      <c r="A59" s="356" t="s">
        <v>326</v>
      </c>
      <c r="B59" s="927" t="s">
        <v>2605</v>
      </c>
      <c r="C59" s="707" t="s">
        <v>2070</v>
      </c>
      <c r="D59" s="358">
        <f>WORK!I467</f>
        <v>0</v>
      </c>
      <c r="E59" s="428" t="s">
        <v>5</v>
      </c>
      <c r="F59" s="355">
        <f>WORK!K467</f>
        <v>9635.33</v>
      </c>
      <c r="G59" s="353">
        <f>ROUND(D59*F59,0)</f>
        <v>0</v>
      </c>
      <c r="H59" s="708" t="s">
        <v>2321</v>
      </c>
      <c r="I59" s="712"/>
    </row>
    <row r="60" spans="1:9" s="360" customFormat="1" ht="15" hidden="1" customHeight="1">
      <c r="A60" s="356" t="s">
        <v>326</v>
      </c>
      <c r="B60" s="927" t="s">
        <v>2605</v>
      </c>
      <c r="C60" s="707" t="s">
        <v>2070</v>
      </c>
      <c r="D60" s="358">
        <f>WORK!I475</f>
        <v>0</v>
      </c>
      <c r="E60" s="428" t="s">
        <v>5</v>
      </c>
      <c r="F60" s="355">
        <f>WORK!K475</f>
        <v>9921.19</v>
      </c>
      <c r="G60" s="353">
        <f>ROUND(D60*F60,0)</f>
        <v>0</v>
      </c>
      <c r="H60" s="708" t="s">
        <v>2322</v>
      </c>
      <c r="I60" s="712"/>
    </row>
    <row r="61" spans="1:9" s="360" customFormat="1">
      <c r="A61" s="356" t="s">
        <v>469</v>
      </c>
      <c r="B61" s="927" t="s">
        <v>2606</v>
      </c>
      <c r="C61" s="932" t="s">
        <v>2071</v>
      </c>
      <c r="D61" s="358">
        <f>WORK!I506</f>
        <v>128.13</v>
      </c>
      <c r="E61" s="354" t="s">
        <v>102</v>
      </c>
      <c r="F61" s="355">
        <f>WORK!K506</f>
        <v>1071.8</v>
      </c>
      <c r="G61" s="353">
        <f t="shared" si="2"/>
        <v>137330</v>
      </c>
      <c r="H61" s="708" t="s">
        <v>2226</v>
      </c>
    </row>
    <row r="62" spans="1:9" s="360" customFormat="1" ht="15" hidden="1" customHeight="1">
      <c r="A62" s="356" t="s">
        <v>476</v>
      </c>
      <c r="B62" s="927" t="s">
        <v>2606</v>
      </c>
      <c r="C62" s="932" t="s">
        <v>2071</v>
      </c>
      <c r="D62" s="358">
        <f>WORK!I512</f>
        <v>0</v>
      </c>
      <c r="E62" s="354" t="s">
        <v>102</v>
      </c>
      <c r="F62" s="355">
        <f>WORK!K512</f>
        <v>1109.69</v>
      </c>
      <c r="G62" s="353">
        <f>ROUND(D62*F62,0)</f>
        <v>0</v>
      </c>
      <c r="H62" s="708" t="s">
        <v>2308</v>
      </c>
    </row>
    <row r="63" spans="1:9" s="360" customFormat="1" ht="15" hidden="1" customHeight="1">
      <c r="A63" s="356" t="s">
        <v>469</v>
      </c>
      <c r="B63" s="927" t="s">
        <v>2606</v>
      </c>
      <c r="C63" s="932" t="s">
        <v>2071</v>
      </c>
      <c r="D63" s="358">
        <f>WORK!I519</f>
        <v>0</v>
      </c>
      <c r="E63" s="354" t="s">
        <v>102</v>
      </c>
      <c r="F63" s="355">
        <f>WORK!K519</f>
        <v>1166.67</v>
      </c>
      <c r="G63" s="353">
        <f>ROUND(D63*F63,0)</f>
        <v>0</v>
      </c>
      <c r="H63" s="708" t="s">
        <v>2321</v>
      </c>
    </row>
    <row r="64" spans="1:9" s="360" customFormat="1" ht="15" hidden="1" customHeight="1">
      <c r="A64" s="356" t="s">
        <v>469</v>
      </c>
      <c r="B64" s="927" t="s">
        <v>2606</v>
      </c>
      <c r="C64" s="932" t="s">
        <v>2071</v>
      </c>
      <c r="D64" s="358">
        <f>WORK!I525</f>
        <v>0</v>
      </c>
      <c r="E64" s="354" t="s">
        <v>102</v>
      </c>
      <c r="F64" s="355">
        <f>WORK!K525</f>
        <v>1202.4000000000001</v>
      </c>
      <c r="G64" s="353">
        <f>ROUND(D64*F64,0)</f>
        <v>0</v>
      </c>
      <c r="H64" s="708" t="s">
        <v>2322</v>
      </c>
    </row>
    <row r="65" spans="1:8" s="360" customFormat="1">
      <c r="A65" s="356" t="s">
        <v>472</v>
      </c>
      <c r="B65" s="927" t="s">
        <v>2641</v>
      </c>
      <c r="C65" s="707" t="s">
        <v>2072</v>
      </c>
      <c r="D65" s="358">
        <f>WORK!I483</f>
        <v>0</v>
      </c>
      <c r="E65" s="354" t="s">
        <v>102</v>
      </c>
      <c r="F65" s="355">
        <f>WORK!K483</f>
        <v>1195.95</v>
      </c>
      <c r="G65" s="353">
        <f t="shared" si="2"/>
        <v>0</v>
      </c>
      <c r="H65" s="708" t="s">
        <v>2226</v>
      </c>
    </row>
    <row r="66" spans="1:8" s="360" customFormat="1" ht="15" hidden="1" customHeight="1">
      <c r="A66" s="356" t="s">
        <v>472</v>
      </c>
      <c r="B66" s="927" t="s">
        <v>2641</v>
      </c>
      <c r="C66" s="707" t="s">
        <v>2072</v>
      </c>
      <c r="D66" s="358">
        <f>WORK!I489</f>
        <v>0</v>
      </c>
      <c r="E66" s="354" t="s">
        <v>102</v>
      </c>
      <c r="F66" s="355">
        <f>WORK!K489</f>
        <v>1239.23</v>
      </c>
      <c r="G66" s="353">
        <f>ROUND(D66*F66,0)</f>
        <v>0</v>
      </c>
      <c r="H66" s="708" t="s">
        <v>2308</v>
      </c>
    </row>
    <row r="67" spans="1:8" s="360" customFormat="1" ht="15" hidden="1" customHeight="1">
      <c r="A67" s="356" t="s">
        <v>472</v>
      </c>
      <c r="B67" s="927" t="s">
        <v>2641</v>
      </c>
      <c r="C67" s="707" t="s">
        <v>2072</v>
      </c>
      <c r="D67" s="358">
        <f>WORK!I494</f>
        <v>0</v>
      </c>
      <c r="E67" s="354" t="s">
        <v>102</v>
      </c>
      <c r="F67" s="355">
        <f>WORK!K494</f>
        <v>1302.4000000000001</v>
      </c>
      <c r="G67" s="353">
        <f>ROUND(D67*F67,0)</f>
        <v>0</v>
      </c>
      <c r="H67" s="708" t="s">
        <v>2321</v>
      </c>
    </row>
    <row r="68" spans="1:8" s="360" customFormat="1" ht="15" hidden="1" customHeight="1">
      <c r="A68" s="356" t="s">
        <v>472</v>
      </c>
      <c r="B68" s="927" t="s">
        <v>2641</v>
      </c>
      <c r="C68" s="707" t="s">
        <v>2072</v>
      </c>
      <c r="D68" s="358">
        <f>WORK!I500</f>
        <v>0</v>
      </c>
      <c r="E68" s="354" t="s">
        <v>102</v>
      </c>
      <c r="F68" s="355">
        <f>WORK!K500</f>
        <v>1345.28</v>
      </c>
      <c r="G68" s="353">
        <f>ROUND(D68*F68,0)</f>
        <v>0</v>
      </c>
      <c r="H68" s="708" t="s">
        <v>2322</v>
      </c>
    </row>
    <row r="69" spans="1:8" s="360" customFormat="1" ht="15" hidden="1" customHeight="1">
      <c r="A69" s="356" t="s">
        <v>469</v>
      </c>
      <c r="B69" s="927" t="s">
        <v>2606</v>
      </c>
      <c r="C69" s="932" t="s">
        <v>2073</v>
      </c>
      <c r="D69" s="358">
        <f>WORK!I531</f>
        <v>0</v>
      </c>
      <c r="E69" s="354" t="s">
        <v>102</v>
      </c>
      <c r="F69" s="355">
        <f>WORK!K531</f>
        <v>947.64</v>
      </c>
      <c r="G69" s="353">
        <f t="shared" si="2"/>
        <v>0</v>
      </c>
      <c r="H69" s="708" t="s">
        <v>2226</v>
      </c>
    </row>
    <row r="70" spans="1:8" s="360" customFormat="1" ht="15" hidden="1" customHeight="1">
      <c r="A70" s="356" t="s">
        <v>478</v>
      </c>
      <c r="B70" s="927" t="s">
        <v>2606</v>
      </c>
      <c r="C70" s="932" t="s">
        <v>2073</v>
      </c>
      <c r="D70" s="358">
        <f>WORK!I536</f>
        <v>0</v>
      </c>
      <c r="E70" s="354" t="s">
        <v>102</v>
      </c>
      <c r="F70" s="355">
        <f>WORK!K536</f>
        <v>980.15</v>
      </c>
      <c r="G70" s="353">
        <f>ROUND(D70*F70,0)</f>
        <v>0</v>
      </c>
      <c r="H70" s="708" t="s">
        <v>2308</v>
      </c>
    </row>
    <row r="71" spans="1:8" s="360" customFormat="1" ht="15" hidden="1" customHeight="1">
      <c r="A71" s="356" t="s">
        <v>469</v>
      </c>
      <c r="B71" s="927" t="s">
        <v>2606</v>
      </c>
      <c r="C71" s="932" t="s">
        <v>2073</v>
      </c>
      <c r="D71" s="358">
        <f>WORK!I542</f>
        <v>0</v>
      </c>
      <c r="E71" s="354" t="s">
        <v>102</v>
      </c>
      <c r="F71" s="355">
        <f>WORK!K542</f>
        <v>1030.9299999999998</v>
      </c>
      <c r="G71" s="353">
        <f>ROUND(D71*F71,0)</f>
        <v>0</v>
      </c>
      <c r="H71" s="708" t="s">
        <v>2321</v>
      </c>
    </row>
    <row r="72" spans="1:8" s="360" customFormat="1" ht="15" hidden="1" customHeight="1">
      <c r="A72" s="356" t="s">
        <v>469</v>
      </c>
      <c r="B72" s="927" t="s">
        <v>2606</v>
      </c>
      <c r="C72" s="932" t="s">
        <v>2073</v>
      </c>
      <c r="D72" s="358">
        <f>WORK!I547</f>
        <v>0</v>
      </c>
      <c r="E72" s="354" t="s">
        <v>102</v>
      </c>
      <c r="F72" s="355">
        <f>WORK!K547</f>
        <v>1059.52</v>
      </c>
      <c r="G72" s="353">
        <f>ROUND(D72*F72,0)</f>
        <v>0</v>
      </c>
      <c r="H72" s="708" t="s">
        <v>2322</v>
      </c>
    </row>
    <row r="73" spans="1:8" s="360" customFormat="1" ht="15" hidden="1" customHeight="1">
      <c r="A73" s="356" t="s">
        <v>479</v>
      </c>
      <c r="B73" s="927" t="s">
        <v>2606</v>
      </c>
      <c r="C73" s="932" t="s">
        <v>2074</v>
      </c>
      <c r="D73" s="358">
        <f>WORK!I553</f>
        <v>0</v>
      </c>
      <c r="E73" s="354" t="s">
        <v>102</v>
      </c>
      <c r="F73" s="355">
        <f>WORK!K553</f>
        <v>471.03</v>
      </c>
      <c r="G73" s="353">
        <f t="shared" si="2"/>
        <v>0</v>
      </c>
      <c r="H73" s="708" t="s">
        <v>2226</v>
      </c>
    </row>
    <row r="74" spans="1:8" s="360" customFormat="1" ht="15" hidden="1" customHeight="1">
      <c r="A74" s="356" t="s">
        <v>469</v>
      </c>
      <c r="B74" s="927" t="s">
        <v>2606</v>
      </c>
      <c r="C74" s="932" t="s">
        <v>2074</v>
      </c>
      <c r="D74" s="358">
        <f>WORK!I559</f>
        <v>0</v>
      </c>
      <c r="E74" s="354" t="s">
        <v>102</v>
      </c>
      <c r="F74" s="355">
        <f>WORK!K559</f>
        <v>487.1</v>
      </c>
      <c r="G74" s="353">
        <f>ROUND(D74*F74,0)</f>
        <v>0</v>
      </c>
      <c r="H74" s="708" t="s">
        <v>2308</v>
      </c>
    </row>
    <row r="75" spans="1:8" s="360" customFormat="1" ht="15" hidden="1" customHeight="1">
      <c r="A75" s="356" t="s">
        <v>469</v>
      </c>
      <c r="B75" s="927" t="s">
        <v>2606</v>
      </c>
      <c r="C75" s="932" t="s">
        <v>2074</v>
      </c>
      <c r="D75" s="358">
        <f>WORK!I565</f>
        <v>0</v>
      </c>
      <c r="E75" s="354" t="s">
        <v>102</v>
      </c>
      <c r="F75" s="355">
        <f>WORK!K565</f>
        <v>512.26</v>
      </c>
      <c r="G75" s="353">
        <f>ROUND(D75*F75,0)</f>
        <v>0</v>
      </c>
      <c r="H75" s="708" t="s">
        <v>2321</v>
      </c>
    </row>
    <row r="76" spans="1:8" s="360" customFormat="1" ht="15" hidden="1" customHeight="1">
      <c r="A76" s="356" t="s">
        <v>469</v>
      </c>
      <c r="B76" s="927" t="s">
        <v>2606</v>
      </c>
      <c r="C76" s="932" t="s">
        <v>2074</v>
      </c>
      <c r="D76" s="358">
        <f>WORK!I571</f>
        <v>0</v>
      </c>
      <c r="E76" s="354" t="s">
        <v>102</v>
      </c>
      <c r="F76" s="355">
        <f>WORK!K571</f>
        <v>526.29999999999995</v>
      </c>
      <c r="G76" s="353">
        <f>ROUND(D76*F76,0)</f>
        <v>0</v>
      </c>
      <c r="H76" s="708" t="s">
        <v>2322</v>
      </c>
    </row>
    <row r="77" spans="1:8" s="360" customFormat="1" ht="15" hidden="1" customHeight="1">
      <c r="A77" s="356" t="s">
        <v>475</v>
      </c>
      <c r="B77" s="927" t="s">
        <v>2606</v>
      </c>
      <c r="C77" s="932" t="s">
        <v>2075</v>
      </c>
      <c r="D77" s="358">
        <f>WORK!I578</f>
        <v>0</v>
      </c>
      <c r="E77" s="354" t="s">
        <v>102</v>
      </c>
      <c r="F77" s="355">
        <f>WORK!K578</f>
        <v>348.26</v>
      </c>
      <c r="G77" s="353">
        <f t="shared" si="2"/>
        <v>0</v>
      </c>
      <c r="H77" s="708" t="s">
        <v>2226</v>
      </c>
    </row>
    <row r="78" spans="1:8" s="360" customFormat="1" ht="15" hidden="1" customHeight="1">
      <c r="A78" s="356" t="s">
        <v>475</v>
      </c>
      <c r="B78" s="927" t="s">
        <v>2606</v>
      </c>
      <c r="C78" s="932" t="s">
        <v>2075</v>
      </c>
      <c r="D78" s="358">
        <f>WORK!I585</f>
        <v>0</v>
      </c>
      <c r="E78" s="354" t="s">
        <v>102</v>
      </c>
      <c r="F78" s="355">
        <f>WORK!K585</f>
        <v>359.05</v>
      </c>
      <c r="G78" s="353">
        <f>ROUND(D78*F78,0)</f>
        <v>0</v>
      </c>
      <c r="H78" s="708" t="s">
        <v>2308</v>
      </c>
    </row>
    <row r="79" spans="1:8" s="360" customFormat="1" ht="15" hidden="1" customHeight="1">
      <c r="A79" s="356" t="s">
        <v>475</v>
      </c>
      <c r="B79" s="927" t="s">
        <v>2606</v>
      </c>
      <c r="C79" s="932" t="s">
        <v>2075</v>
      </c>
      <c r="D79" s="358">
        <f>WORK!I592</f>
        <v>0</v>
      </c>
      <c r="E79" s="354" t="s">
        <v>102</v>
      </c>
      <c r="F79" s="355">
        <f>WORK!K592</f>
        <v>378.13</v>
      </c>
      <c r="G79" s="353">
        <f>ROUND(D79*F79,0)</f>
        <v>0</v>
      </c>
      <c r="H79" s="708" t="s">
        <v>2321</v>
      </c>
    </row>
    <row r="80" spans="1:8" s="360" customFormat="1" ht="15" hidden="1" customHeight="1">
      <c r="A80" s="356" t="s">
        <v>475</v>
      </c>
      <c r="B80" s="927" t="s">
        <v>2606</v>
      </c>
      <c r="C80" s="932" t="s">
        <v>2075</v>
      </c>
      <c r="D80" s="358">
        <f>WORK!I599</f>
        <v>0</v>
      </c>
      <c r="E80" s="354" t="s">
        <v>102</v>
      </c>
      <c r="F80" s="355">
        <f>WORK!K599</f>
        <v>385.15</v>
      </c>
      <c r="G80" s="353">
        <f>ROUND(D80*F80,0)</f>
        <v>0</v>
      </c>
      <c r="H80" s="708" t="s">
        <v>2322</v>
      </c>
    </row>
    <row r="81" spans="1:8" s="360" customFormat="1">
      <c r="A81" s="356" t="s">
        <v>473</v>
      </c>
      <c r="B81" s="927" t="s">
        <v>2607</v>
      </c>
      <c r="C81" s="707" t="s">
        <v>2076</v>
      </c>
      <c r="D81" s="358">
        <f>WORK!I609</f>
        <v>1.53</v>
      </c>
      <c r="E81" s="354" t="s">
        <v>5</v>
      </c>
      <c r="F81" s="355">
        <f>WORK!K609</f>
        <v>9288.880000000001</v>
      </c>
      <c r="G81" s="353">
        <f t="shared" si="2"/>
        <v>14212</v>
      </c>
      <c r="H81" s="708" t="s">
        <v>2226</v>
      </c>
    </row>
    <row r="82" spans="1:8" s="360" customFormat="1" ht="15" hidden="1" customHeight="1">
      <c r="A82" s="356" t="s">
        <v>474</v>
      </c>
      <c r="B82" s="927" t="s">
        <v>2607</v>
      </c>
      <c r="C82" s="707" t="s">
        <v>2076</v>
      </c>
      <c r="D82" s="358">
        <f>WORK!I619</f>
        <v>0</v>
      </c>
      <c r="E82" s="354" t="s">
        <v>5</v>
      </c>
      <c r="F82" s="355">
        <f>WORK!K619</f>
        <v>9638.93</v>
      </c>
      <c r="G82" s="353">
        <f>ROUND(D82*F82,0)</f>
        <v>0</v>
      </c>
      <c r="H82" s="708" t="s">
        <v>2308</v>
      </c>
    </row>
    <row r="83" spans="1:8" s="360" customFormat="1" ht="15" hidden="1" customHeight="1">
      <c r="A83" s="356" t="s">
        <v>475</v>
      </c>
      <c r="B83" s="927" t="s">
        <v>2607</v>
      </c>
      <c r="C83" s="707" t="s">
        <v>2076</v>
      </c>
      <c r="D83" s="358">
        <f>WORK!I628</f>
        <v>0</v>
      </c>
      <c r="E83" s="354" t="s">
        <v>5</v>
      </c>
      <c r="F83" s="355">
        <f>WORK!K628</f>
        <v>10171.82</v>
      </c>
      <c r="G83" s="353">
        <f>ROUND(D83*F83,0)</f>
        <v>0</v>
      </c>
      <c r="H83" s="708" t="s">
        <v>2321</v>
      </c>
    </row>
    <row r="84" spans="1:8" s="360" customFormat="1" ht="15" hidden="1" customHeight="1">
      <c r="A84" s="356" t="s">
        <v>475</v>
      </c>
      <c r="B84" s="927" t="s">
        <v>2607</v>
      </c>
      <c r="C84" s="707" t="s">
        <v>2076</v>
      </c>
      <c r="D84" s="358">
        <f>WORK!I639</f>
        <v>0</v>
      </c>
      <c r="E84" s="354" t="s">
        <v>5</v>
      </c>
      <c r="F84" s="355">
        <f>WORK!K639</f>
        <v>10584.6</v>
      </c>
      <c r="G84" s="353">
        <f>ROUND(D84*F84,0)</f>
        <v>0</v>
      </c>
      <c r="H84" s="708" t="s">
        <v>2322</v>
      </c>
    </row>
    <row r="85" spans="1:8" s="360" customFormat="1">
      <c r="A85" s="356" t="s">
        <v>474</v>
      </c>
      <c r="B85" s="927" t="s">
        <v>2608</v>
      </c>
      <c r="C85" s="707" t="s">
        <v>2077</v>
      </c>
      <c r="D85" s="358">
        <f>WORK!I644</f>
        <v>12</v>
      </c>
      <c r="E85" s="354" t="s">
        <v>277</v>
      </c>
      <c r="F85" s="355">
        <f>WORK!K644</f>
        <v>474.83999999999992</v>
      </c>
      <c r="G85" s="353">
        <f t="shared" si="2"/>
        <v>5698</v>
      </c>
      <c r="H85" s="708" t="s">
        <v>2226</v>
      </c>
    </row>
    <row r="86" spans="1:8" s="360" customFormat="1" ht="15" hidden="1" customHeight="1">
      <c r="A86" s="356" t="s">
        <v>475</v>
      </c>
      <c r="B86" s="927" t="s">
        <v>2608</v>
      </c>
      <c r="C86" s="707" t="s">
        <v>2077</v>
      </c>
      <c r="D86" s="358">
        <f>WORK!I649</f>
        <v>0</v>
      </c>
      <c r="E86" s="354" t="s">
        <v>277</v>
      </c>
      <c r="F86" s="355">
        <f>WORK!K649</f>
        <v>482.90999999999997</v>
      </c>
      <c r="G86" s="353">
        <f>ROUND(D86*F86,0)</f>
        <v>0</v>
      </c>
      <c r="H86" s="708" t="s">
        <v>2308</v>
      </c>
    </row>
    <row r="87" spans="1:8" s="360" customFormat="1" ht="15" hidden="1" customHeight="1">
      <c r="A87" s="356" t="s">
        <v>478</v>
      </c>
      <c r="B87" s="927" t="s">
        <v>2608</v>
      </c>
      <c r="C87" s="707" t="s">
        <v>2077</v>
      </c>
      <c r="D87" s="358">
        <f>WORK!I655</f>
        <v>0</v>
      </c>
      <c r="E87" s="354" t="s">
        <v>277</v>
      </c>
      <c r="F87" s="355">
        <f>WORK!K655</f>
        <v>507.79999999999995</v>
      </c>
      <c r="G87" s="353">
        <f>ROUND(D87*F87,0)</f>
        <v>0</v>
      </c>
      <c r="H87" s="708" t="s">
        <v>2321</v>
      </c>
    </row>
    <row r="88" spans="1:8" s="360" customFormat="1" ht="15" hidden="1" customHeight="1">
      <c r="A88" s="356" t="s">
        <v>478</v>
      </c>
      <c r="B88" s="927" t="s">
        <v>2608</v>
      </c>
      <c r="C88" s="707" t="s">
        <v>2077</v>
      </c>
      <c r="D88" s="358">
        <f>WORK!I660</f>
        <v>0</v>
      </c>
      <c r="E88" s="354" t="s">
        <v>277</v>
      </c>
      <c r="F88" s="355">
        <f>WORK!K660</f>
        <v>518.52</v>
      </c>
      <c r="G88" s="353">
        <f>ROUND(D88*F88,0)</f>
        <v>0</v>
      </c>
      <c r="H88" s="708" t="s">
        <v>2322</v>
      </c>
    </row>
    <row r="89" spans="1:8" s="360" customFormat="1" ht="15" hidden="1" customHeight="1">
      <c r="A89" s="356" t="s">
        <v>480</v>
      </c>
      <c r="B89" s="927" t="s">
        <v>2609</v>
      </c>
      <c r="C89" s="932" t="s">
        <v>1480</v>
      </c>
      <c r="D89" s="358">
        <f>WORK!I666</f>
        <v>108</v>
      </c>
      <c r="E89" s="221" t="s">
        <v>102</v>
      </c>
      <c r="F89" s="355">
        <f>WORK!K666</f>
        <v>259.97000000000003</v>
      </c>
      <c r="G89" s="353">
        <f t="shared" si="2"/>
        <v>28077</v>
      </c>
      <c r="H89" s="708" t="s">
        <v>2226</v>
      </c>
    </row>
    <row r="90" spans="1:8" s="360" customFormat="1" ht="15" hidden="1" customHeight="1">
      <c r="A90" s="356" t="s">
        <v>484</v>
      </c>
      <c r="B90" s="927" t="s">
        <v>2609</v>
      </c>
      <c r="C90" s="932" t="s">
        <v>1480</v>
      </c>
      <c r="D90" s="358">
        <f>WORK!I672</f>
        <v>0</v>
      </c>
      <c r="E90" s="221" t="s">
        <v>102</v>
      </c>
      <c r="F90" s="355">
        <f>WORK!K672</f>
        <v>280.02999999999997</v>
      </c>
      <c r="G90" s="353">
        <f t="shared" si="2"/>
        <v>0</v>
      </c>
      <c r="H90" s="708" t="s">
        <v>2308</v>
      </c>
    </row>
    <row r="91" spans="1:8" s="360" customFormat="1" ht="15" hidden="1" customHeight="1">
      <c r="A91" s="356" t="s">
        <v>480</v>
      </c>
      <c r="B91" s="927" t="s">
        <v>2609</v>
      </c>
      <c r="C91" s="932" t="s">
        <v>1480</v>
      </c>
      <c r="D91" s="358">
        <f>WORK!I678</f>
        <v>0</v>
      </c>
      <c r="E91" s="221" t="s">
        <v>102</v>
      </c>
      <c r="F91" s="355">
        <f>WORK!K678</f>
        <v>297.22000000000003</v>
      </c>
      <c r="G91" s="353">
        <f>ROUND(D91*F91,0)</f>
        <v>0</v>
      </c>
      <c r="H91" s="708" t="s">
        <v>2321</v>
      </c>
    </row>
    <row r="92" spans="1:8" s="360" customFormat="1" ht="15" hidden="1" customHeight="1">
      <c r="A92" s="356" t="s">
        <v>480</v>
      </c>
      <c r="B92" s="927" t="s">
        <v>2609</v>
      </c>
      <c r="C92" s="932" t="s">
        <v>1480</v>
      </c>
      <c r="D92" s="358">
        <f>WORK!I684</f>
        <v>0</v>
      </c>
      <c r="E92" s="221" t="s">
        <v>102</v>
      </c>
      <c r="F92" s="355">
        <f>WORK!K684</f>
        <v>315.69</v>
      </c>
      <c r="G92" s="353">
        <f>ROUND(D92*F92,0)</f>
        <v>0</v>
      </c>
      <c r="H92" s="708" t="s">
        <v>2322</v>
      </c>
    </row>
    <row r="93" spans="1:8" s="360" customFormat="1" ht="15" hidden="1" customHeight="1">
      <c r="A93" s="356" t="s">
        <v>485</v>
      </c>
      <c r="B93" s="927" t="s">
        <v>2609</v>
      </c>
      <c r="C93" s="707" t="s">
        <v>1481</v>
      </c>
      <c r="D93" s="358">
        <f>WORK!I690</f>
        <v>0</v>
      </c>
      <c r="E93" s="221" t="s">
        <v>102</v>
      </c>
      <c r="F93" s="355">
        <f>WORK!K690</f>
        <v>330.39</v>
      </c>
      <c r="G93" s="353">
        <f t="shared" si="2"/>
        <v>0</v>
      </c>
      <c r="H93" s="708" t="s">
        <v>2226</v>
      </c>
    </row>
    <row r="94" spans="1:8" s="360" customFormat="1" ht="15" hidden="1" customHeight="1">
      <c r="A94" s="356" t="s">
        <v>476</v>
      </c>
      <c r="B94" s="927" t="s">
        <v>2609</v>
      </c>
      <c r="C94" s="707" t="s">
        <v>1481</v>
      </c>
      <c r="D94" s="358">
        <f>WORK!I696</f>
        <v>0</v>
      </c>
      <c r="E94" s="221" t="s">
        <v>102</v>
      </c>
      <c r="F94" s="355">
        <f>WORK!K696</f>
        <v>357.62</v>
      </c>
      <c r="G94" s="353">
        <f>ROUND(D94*F94,0)</f>
        <v>0</v>
      </c>
      <c r="H94" s="708" t="s">
        <v>2308</v>
      </c>
    </row>
    <row r="95" spans="1:8" s="360" customFormat="1" ht="15" hidden="1" customHeight="1">
      <c r="A95" s="356" t="s">
        <v>476</v>
      </c>
      <c r="B95" s="927" t="s">
        <v>2609</v>
      </c>
      <c r="C95" s="707" t="s">
        <v>1481</v>
      </c>
      <c r="D95" s="358">
        <f>WORK!I702</f>
        <v>0</v>
      </c>
      <c r="E95" s="221" t="s">
        <v>102</v>
      </c>
      <c r="F95" s="355">
        <f>WORK!K702</f>
        <v>380.75</v>
      </c>
      <c r="G95" s="353">
        <f>ROUND(D95*F95,0)</f>
        <v>0</v>
      </c>
      <c r="H95" s="708" t="s">
        <v>2321</v>
      </c>
    </row>
    <row r="96" spans="1:8" s="360" customFormat="1" ht="15" hidden="1" customHeight="1">
      <c r="A96" s="356" t="s">
        <v>476</v>
      </c>
      <c r="B96" s="927" t="s">
        <v>2609</v>
      </c>
      <c r="C96" s="707" t="s">
        <v>1481</v>
      </c>
      <c r="D96" s="358">
        <f>WORK!I708</f>
        <v>0</v>
      </c>
      <c r="E96" s="221" t="s">
        <v>102</v>
      </c>
      <c r="F96" s="355">
        <f>WORK!K708</f>
        <v>405.78</v>
      </c>
      <c r="G96" s="353">
        <f>ROUND(D96*F96,0)</f>
        <v>0</v>
      </c>
      <c r="H96" s="708" t="s">
        <v>2322</v>
      </c>
    </row>
    <row r="97" spans="1:8" s="360" customFormat="1" ht="15" customHeight="1">
      <c r="A97" s="356" t="s">
        <v>475</v>
      </c>
      <c r="B97" s="927" t="s">
        <v>2610</v>
      </c>
      <c r="C97" s="707" t="s">
        <v>2078</v>
      </c>
      <c r="D97" s="358">
        <f>WORK!I1206</f>
        <v>0</v>
      </c>
      <c r="E97" s="354" t="s">
        <v>5</v>
      </c>
      <c r="F97" s="355">
        <f>WORK!K1206</f>
        <v>4946.1699999999992</v>
      </c>
      <c r="G97" s="353">
        <f t="shared" si="2"/>
        <v>0</v>
      </c>
      <c r="H97" s="708" t="s">
        <v>2226</v>
      </c>
    </row>
    <row r="98" spans="1:8" s="360" customFormat="1" ht="15" hidden="1" customHeight="1">
      <c r="A98" s="356" t="s">
        <v>475</v>
      </c>
      <c r="B98" s="927" t="s">
        <v>2610</v>
      </c>
      <c r="C98" s="707" t="s">
        <v>2078</v>
      </c>
      <c r="D98" s="358">
        <f>WORK!I1213</f>
        <v>0</v>
      </c>
      <c r="E98" s="354" t="s">
        <v>5</v>
      </c>
      <c r="F98" s="355">
        <f>WORK!K1213</f>
        <v>5115.5200000000004</v>
      </c>
      <c r="G98" s="353">
        <f>ROUND(D98*F98,0)</f>
        <v>0</v>
      </c>
      <c r="H98" s="708" t="s">
        <v>2308</v>
      </c>
    </row>
    <row r="99" spans="1:8" s="360" customFormat="1" ht="15" hidden="1" customHeight="1">
      <c r="A99" s="356" t="s">
        <v>475</v>
      </c>
      <c r="B99" s="927" t="s">
        <v>2610</v>
      </c>
      <c r="C99" s="707" t="s">
        <v>2078</v>
      </c>
      <c r="D99" s="358">
        <f>WORK!I1220</f>
        <v>0</v>
      </c>
      <c r="E99" s="354" t="s">
        <v>5</v>
      </c>
      <c r="F99" s="355">
        <f>WORK!K1220</f>
        <v>5349.0700000000006</v>
      </c>
      <c r="G99" s="353">
        <f>ROUND(D99*F99,0)</f>
        <v>0</v>
      </c>
      <c r="H99" s="708" t="s">
        <v>2321</v>
      </c>
    </row>
    <row r="100" spans="1:8" s="360" customFormat="1" ht="15" hidden="1" customHeight="1">
      <c r="A100" s="356" t="s">
        <v>475</v>
      </c>
      <c r="B100" s="927" t="s">
        <v>2610</v>
      </c>
      <c r="C100" s="707" t="s">
        <v>2078</v>
      </c>
      <c r="D100" s="358">
        <f>WORK!I1225</f>
        <v>0</v>
      </c>
      <c r="E100" s="354" t="s">
        <v>5</v>
      </c>
      <c r="F100" s="355">
        <f>WORK!K1225</f>
        <v>5601.67</v>
      </c>
      <c r="G100" s="353">
        <f>ROUND(D100*F100,0)</f>
        <v>0</v>
      </c>
      <c r="H100" s="708" t="s">
        <v>2322</v>
      </c>
    </row>
    <row r="101" spans="1:8" s="360" customFormat="1" ht="15" hidden="1" customHeight="1">
      <c r="A101" s="356" t="s">
        <v>476</v>
      </c>
      <c r="B101" s="927" t="s">
        <v>2611</v>
      </c>
      <c r="C101" s="707" t="s">
        <v>1220</v>
      </c>
      <c r="D101" s="358">
        <f>WORK!I715</f>
        <v>0</v>
      </c>
      <c r="E101" s="354" t="s">
        <v>5</v>
      </c>
      <c r="F101" s="355">
        <f>WORK!K715</f>
        <v>3154.94</v>
      </c>
      <c r="G101" s="353">
        <f t="shared" si="2"/>
        <v>0</v>
      </c>
      <c r="H101" s="708" t="s">
        <v>2226</v>
      </c>
    </row>
    <row r="102" spans="1:8" s="360" customFormat="1" ht="15" hidden="1" customHeight="1">
      <c r="A102" s="356" t="s">
        <v>476</v>
      </c>
      <c r="B102" s="927" t="s">
        <v>2611</v>
      </c>
      <c r="C102" s="707" t="s">
        <v>1220</v>
      </c>
      <c r="D102" s="358">
        <f>WORK!I722</f>
        <v>0</v>
      </c>
      <c r="E102" s="354" t="s">
        <v>5</v>
      </c>
      <c r="F102" s="355">
        <f>WORK!K722</f>
        <v>3350.54</v>
      </c>
      <c r="G102" s="353">
        <f>ROUND(D102*F102,0)</f>
        <v>0</v>
      </c>
      <c r="H102" s="708" t="s">
        <v>2308</v>
      </c>
    </row>
    <row r="103" spans="1:8" s="360" customFormat="1" ht="15" hidden="1" customHeight="1">
      <c r="A103" s="356" t="s">
        <v>476</v>
      </c>
      <c r="B103" s="927" t="s">
        <v>2611</v>
      </c>
      <c r="C103" s="707" t="s">
        <v>1220</v>
      </c>
      <c r="D103" s="358">
        <f>WORK!I729</f>
        <v>0</v>
      </c>
      <c r="E103" s="354" t="s">
        <v>5</v>
      </c>
      <c r="F103" s="355">
        <f>WORK!K729</f>
        <v>3615.1600000000003</v>
      </c>
      <c r="G103" s="353">
        <f>ROUND(D103*F103,0)</f>
        <v>0</v>
      </c>
      <c r="H103" s="708" t="s">
        <v>2321</v>
      </c>
    </row>
    <row r="104" spans="1:8" s="360" customFormat="1" ht="15" hidden="1" customHeight="1">
      <c r="A104" s="356" t="s">
        <v>476</v>
      </c>
      <c r="B104" s="927" t="s">
        <v>2611</v>
      </c>
      <c r="C104" s="707" t="s">
        <v>1220</v>
      </c>
      <c r="D104" s="358">
        <f>WORK!I735</f>
        <v>0</v>
      </c>
      <c r="E104" s="354" t="s">
        <v>5</v>
      </c>
      <c r="F104" s="355">
        <f>WORK!K735</f>
        <v>3828.3500000000004</v>
      </c>
      <c r="G104" s="353">
        <f>ROUND(D104*F104,0)</f>
        <v>0</v>
      </c>
      <c r="H104" s="708" t="s">
        <v>2322</v>
      </c>
    </row>
    <row r="105" spans="1:8" s="360" customFormat="1">
      <c r="A105" s="356" t="s">
        <v>476</v>
      </c>
      <c r="B105" s="927" t="s">
        <v>2612</v>
      </c>
      <c r="C105" s="707" t="s">
        <v>828</v>
      </c>
      <c r="D105" s="358">
        <f>WORK!I753</f>
        <v>19.080000000000002</v>
      </c>
      <c r="E105" s="354" t="s">
        <v>5</v>
      </c>
      <c r="F105" s="355">
        <f>WORK!K753</f>
        <v>5588.9500000000007</v>
      </c>
      <c r="G105" s="353">
        <f t="shared" si="2"/>
        <v>106637</v>
      </c>
      <c r="H105" s="708" t="s">
        <v>2226</v>
      </c>
    </row>
    <row r="106" spans="1:8" s="360" customFormat="1" hidden="1">
      <c r="A106" s="356" t="s">
        <v>478</v>
      </c>
      <c r="B106" s="927" t="s">
        <v>2612</v>
      </c>
      <c r="C106" s="707" t="s">
        <v>828</v>
      </c>
      <c r="D106" s="358">
        <f>WORK!I772</f>
        <v>0</v>
      </c>
      <c r="E106" s="354" t="s">
        <v>5</v>
      </c>
      <c r="F106" s="355">
        <f>WORK!K772</f>
        <v>5751.7699999999995</v>
      </c>
      <c r="G106" s="353">
        <f>ROUND(D106*F106,0)</f>
        <v>0</v>
      </c>
      <c r="H106" s="708" t="s">
        <v>2308</v>
      </c>
    </row>
    <row r="107" spans="1:8" s="360" customFormat="1" ht="15" hidden="1" customHeight="1">
      <c r="A107" s="356" t="s">
        <v>487</v>
      </c>
      <c r="B107" s="927" t="s">
        <v>2612</v>
      </c>
      <c r="C107" s="707" t="s">
        <v>828</v>
      </c>
      <c r="D107" s="358">
        <f>WORK!I780</f>
        <v>0</v>
      </c>
      <c r="E107" s="354" t="s">
        <v>5</v>
      </c>
      <c r="F107" s="355">
        <f>WORK!K780</f>
        <v>6154.1100000000006</v>
      </c>
      <c r="G107" s="353">
        <f>ROUND(D107*F107,0)</f>
        <v>0</v>
      </c>
      <c r="H107" s="708" t="s">
        <v>2321</v>
      </c>
    </row>
    <row r="108" spans="1:8" s="360" customFormat="1" ht="15" hidden="1" customHeight="1">
      <c r="A108" s="356" t="s">
        <v>479</v>
      </c>
      <c r="B108" s="927" t="s">
        <v>2612</v>
      </c>
      <c r="C108" s="707" t="s">
        <v>828</v>
      </c>
      <c r="D108" s="358">
        <f>WORK!I798</f>
        <v>0</v>
      </c>
      <c r="E108" s="354" t="s">
        <v>5</v>
      </c>
      <c r="F108" s="355">
        <f>WORK!K798</f>
        <v>6869.83</v>
      </c>
      <c r="G108" s="353">
        <f>ROUND(D108*F108,0)</f>
        <v>0</v>
      </c>
      <c r="H108" s="708" t="s">
        <v>2322</v>
      </c>
    </row>
    <row r="109" spans="1:8" s="360" customFormat="1">
      <c r="A109" s="356" t="s">
        <v>478</v>
      </c>
      <c r="B109" s="927" t="s">
        <v>2614</v>
      </c>
      <c r="C109" s="707" t="s">
        <v>829</v>
      </c>
      <c r="D109" s="358">
        <f>WORK!I820</f>
        <v>21.8</v>
      </c>
      <c r="E109" s="354" t="s">
        <v>5</v>
      </c>
      <c r="F109" s="355">
        <f>WORK!K820</f>
        <v>5645.35</v>
      </c>
      <c r="G109" s="353">
        <f t="shared" si="2"/>
        <v>123069</v>
      </c>
      <c r="H109" s="708" t="s">
        <v>2226</v>
      </c>
    </row>
    <row r="110" spans="1:8" s="360" customFormat="1" hidden="1">
      <c r="A110" s="356" t="s">
        <v>479</v>
      </c>
      <c r="B110" s="927" t="s">
        <v>2614</v>
      </c>
      <c r="C110" s="707" t="s">
        <v>829</v>
      </c>
      <c r="D110" s="358">
        <f>WORK!I833</f>
        <v>0</v>
      </c>
      <c r="E110" s="354" t="s">
        <v>5</v>
      </c>
      <c r="F110" s="355">
        <f>WORK!K833</f>
        <v>5808.1699999999992</v>
      </c>
      <c r="G110" s="353">
        <f>ROUND(D110*F110,0)</f>
        <v>0</v>
      </c>
      <c r="H110" s="708" t="s">
        <v>2308</v>
      </c>
    </row>
    <row r="111" spans="1:8" s="360" customFormat="1" ht="15" hidden="1" customHeight="1">
      <c r="A111" s="356" t="s">
        <v>490</v>
      </c>
      <c r="B111" s="927" t="s">
        <v>2614</v>
      </c>
      <c r="C111" s="707" t="s">
        <v>829</v>
      </c>
      <c r="D111" s="358">
        <f>WORK!I852</f>
        <v>0</v>
      </c>
      <c r="E111" s="354" t="s">
        <v>5</v>
      </c>
      <c r="F111" s="355">
        <f>WORK!K852</f>
        <v>6210.51</v>
      </c>
      <c r="G111" s="353">
        <f>ROUND(D111*F111,0)</f>
        <v>0</v>
      </c>
      <c r="H111" s="708" t="s">
        <v>2321</v>
      </c>
    </row>
    <row r="112" spans="1:8" s="360" customFormat="1" ht="15" hidden="1" customHeight="1">
      <c r="A112" s="356" t="s">
        <v>480</v>
      </c>
      <c r="B112" s="927" t="s">
        <v>2614</v>
      </c>
      <c r="C112" s="707" t="s">
        <v>829</v>
      </c>
      <c r="D112" s="358">
        <f>WORK!I860</f>
        <v>0</v>
      </c>
      <c r="E112" s="354" t="s">
        <v>5</v>
      </c>
      <c r="F112" s="355">
        <f>WORK!K860</f>
        <v>6926.2300000000005</v>
      </c>
      <c r="G112" s="353">
        <f>ROUND(D112*F112,0)</f>
        <v>0</v>
      </c>
      <c r="H112" s="708" t="s">
        <v>2322</v>
      </c>
    </row>
    <row r="113" spans="1:8" s="360" customFormat="1">
      <c r="A113" s="356" t="s">
        <v>479</v>
      </c>
      <c r="B113" s="927" t="s">
        <v>2613</v>
      </c>
      <c r="C113" s="707" t="s">
        <v>2465</v>
      </c>
      <c r="D113" s="358">
        <f>WORK!I872</f>
        <v>40.4</v>
      </c>
      <c r="E113" s="354" t="s">
        <v>102</v>
      </c>
      <c r="F113" s="355">
        <f>WORK!K872</f>
        <v>710.66</v>
      </c>
      <c r="G113" s="353">
        <f t="shared" ref="G113:G121" si="3">ROUND(D113*F113/1,0)</f>
        <v>28711</v>
      </c>
      <c r="H113" s="708" t="s">
        <v>2226</v>
      </c>
    </row>
    <row r="114" spans="1:8" s="360" customFormat="1" ht="15" hidden="1" customHeight="1">
      <c r="A114" s="356" t="s">
        <v>2476</v>
      </c>
      <c r="B114" s="927" t="s">
        <v>2613</v>
      </c>
      <c r="C114" s="707" t="s">
        <v>2465</v>
      </c>
      <c r="D114" s="358">
        <f>WORK!I885</f>
        <v>0</v>
      </c>
      <c r="E114" s="354" t="s">
        <v>102</v>
      </c>
      <c r="F114" s="355">
        <f>WORK!K885</f>
        <v>732.88</v>
      </c>
      <c r="G114" s="353">
        <f>ROUND(D114*F114/1,0)</f>
        <v>0</v>
      </c>
      <c r="H114" s="708" t="s">
        <v>2308</v>
      </c>
    </row>
    <row r="115" spans="1:8" s="360" customFormat="1" ht="15" hidden="1" customHeight="1">
      <c r="A115" s="356" t="s">
        <v>484</v>
      </c>
      <c r="B115" s="927" t="s">
        <v>2613</v>
      </c>
      <c r="C115" s="707" t="s">
        <v>2465</v>
      </c>
      <c r="D115" s="358">
        <f>WORK!I892</f>
        <v>0</v>
      </c>
      <c r="E115" s="354" t="s">
        <v>102</v>
      </c>
      <c r="F115" s="355">
        <f>WORK!K892</f>
        <v>782.58</v>
      </c>
      <c r="G115" s="353">
        <f>ROUND(D115*F115/1,0)</f>
        <v>0</v>
      </c>
      <c r="H115" s="708" t="s">
        <v>2321</v>
      </c>
    </row>
    <row r="116" spans="1:8" s="360" customFormat="1" ht="15" hidden="1" customHeight="1">
      <c r="A116" s="356" t="s">
        <v>484</v>
      </c>
      <c r="B116" s="927" t="s">
        <v>2613</v>
      </c>
      <c r="C116" s="707" t="s">
        <v>2465</v>
      </c>
      <c r="D116" s="358">
        <f>WORK!I908</f>
        <v>0</v>
      </c>
      <c r="E116" s="354" t="s">
        <v>102</v>
      </c>
      <c r="F116" s="355">
        <f>WORK!K908</f>
        <v>865.32</v>
      </c>
      <c r="G116" s="353">
        <f>ROUND(D116*F116/1,0)</f>
        <v>0</v>
      </c>
      <c r="H116" s="708" t="s">
        <v>2322</v>
      </c>
    </row>
    <row r="117" spans="1:8" s="360" customFormat="1" ht="15" hidden="1" customHeight="1">
      <c r="A117" s="356" t="s">
        <v>482</v>
      </c>
      <c r="B117" s="927" t="s">
        <v>2615</v>
      </c>
      <c r="C117" s="707" t="s">
        <v>1222</v>
      </c>
      <c r="D117" s="358">
        <f>WORK!I916</f>
        <v>0</v>
      </c>
      <c r="E117" s="354" t="s">
        <v>102</v>
      </c>
      <c r="F117" s="355">
        <f>WORK!K916</f>
        <v>5224.74</v>
      </c>
      <c r="G117" s="353">
        <f t="shared" si="3"/>
        <v>0</v>
      </c>
      <c r="H117" s="708" t="s">
        <v>2226</v>
      </c>
    </row>
    <row r="118" spans="1:8" s="360" customFormat="1" ht="15" hidden="1" customHeight="1">
      <c r="A118" s="356" t="s">
        <v>482</v>
      </c>
      <c r="B118" s="927" t="s">
        <v>2615</v>
      </c>
      <c r="C118" s="707" t="s">
        <v>1222</v>
      </c>
      <c r="D118" s="358">
        <f>WORK!I924</f>
        <v>0</v>
      </c>
      <c r="E118" s="354" t="s">
        <v>102</v>
      </c>
      <c r="F118" s="355">
        <f>WORK!K924</f>
        <v>5403.9299999999994</v>
      </c>
      <c r="G118" s="353">
        <f>ROUND(D118*F118/1,0)</f>
        <v>0</v>
      </c>
      <c r="H118" s="708" t="s">
        <v>2308</v>
      </c>
    </row>
    <row r="119" spans="1:8" s="360" customFormat="1" ht="15" hidden="1" customHeight="1">
      <c r="A119" s="356" t="s">
        <v>482</v>
      </c>
      <c r="B119" s="927" t="s">
        <v>2615</v>
      </c>
      <c r="C119" s="707" t="s">
        <v>1222</v>
      </c>
      <c r="D119" s="358">
        <f>WORK!I932</f>
        <v>0</v>
      </c>
      <c r="E119" s="354" t="s">
        <v>102</v>
      </c>
      <c r="F119" s="355">
        <f>WORK!K932</f>
        <v>5899.35</v>
      </c>
      <c r="G119" s="353">
        <f>ROUND(D119*F119/1,0)</f>
        <v>0</v>
      </c>
      <c r="H119" s="708" t="s">
        <v>2321</v>
      </c>
    </row>
    <row r="120" spans="1:8" s="360" customFormat="1" ht="15" hidden="1" customHeight="1">
      <c r="A120" s="356" t="s">
        <v>482</v>
      </c>
      <c r="B120" s="927" t="s">
        <v>2615</v>
      </c>
      <c r="C120" s="707" t="s">
        <v>1222</v>
      </c>
      <c r="D120" s="358">
        <f>WORK!I940</f>
        <v>0</v>
      </c>
      <c r="E120" s="354" t="s">
        <v>102</v>
      </c>
      <c r="F120" s="355">
        <f>WORK!K940</f>
        <v>6281.3700000000008</v>
      </c>
      <c r="G120" s="353">
        <f>ROUND(D120*F120/1,0)</f>
        <v>0</v>
      </c>
      <c r="H120" s="708" t="s">
        <v>2322</v>
      </c>
    </row>
    <row r="121" spans="1:8" s="360" customFormat="1" ht="15" hidden="1" customHeight="1">
      <c r="A121" s="356" t="s">
        <v>479</v>
      </c>
      <c r="B121" s="927"/>
      <c r="C121" s="932" t="s">
        <v>1215</v>
      </c>
      <c r="D121" s="358">
        <f>WORK!I947</f>
        <v>19.310000000000002</v>
      </c>
      <c r="E121" s="354" t="s">
        <v>102</v>
      </c>
      <c r="F121" s="355">
        <f>WORK!K947</f>
        <v>1815.79</v>
      </c>
      <c r="G121" s="353">
        <f t="shared" si="3"/>
        <v>35063</v>
      </c>
      <c r="H121" s="708" t="s">
        <v>2226</v>
      </c>
    </row>
    <row r="122" spans="1:8" s="360" customFormat="1" ht="15" hidden="1" customHeight="1">
      <c r="A122" s="356" t="s">
        <v>479</v>
      </c>
      <c r="B122" s="927"/>
      <c r="C122" s="932" t="s">
        <v>1215</v>
      </c>
      <c r="D122" s="358">
        <f>WORK!I952</f>
        <v>0</v>
      </c>
      <c r="E122" s="354" t="s">
        <v>102</v>
      </c>
      <c r="F122" s="355">
        <f>WORK!K952</f>
        <v>1966.77</v>
      </c>
      <c r="G122" s="353">
        <f>ROUND(D122*F122/1,0)</f>
        <v>0</v>
      </c>
      <c r="H122" s="708" t="s">
        <v>2308</v>
      </c>
    </row>
    <row r="123" spans="1:8" s="360" customFormat="1" ht="15" hidden="1" customHeight="1">
      <c r="A123" s="356" t="s">
        <v>479</v>
      </c>
      <c r="B123" s="927"/>
      <c r="C123" s="932" t="s">
        <v>1215</v>
      </c>
      <c r="D123" s="358">
        <f>WORK!I958</f>
        <v>0</v>
      </c>
      <c r="E123" s="354" t="s">
        <v>102</v>
      </c>
      <c r="F123" s="355">
        <f>WORK!K958</f>
        <v>2093.16</v>
      </c>
      <c r="G123" s="353">
        <f>ROUND(D123*F123/1,0)</f>
        <v>0</v>
      </c>
      <c r="H123" s="708" t="s">
        <v>2321</v>
      </c>
    </row>
    <row r="124" spans="1:8" s="360" customFormat="1" ht="15" hidden="1" customHeight="1">
      <c r="A124" s="356" t="s">
        <v>479</v>
      </c>
      <c r="B124" s="927"/>
      <c r="C124" s="932" t="s">
        <v>1215</v>
      </c>
      <c r="D124" s="358">
        <f>WORK!I964</f>
        <v>0</v>
      </c>
      <c r="E124" s="354" t="s">
        <v>102</v>
      </c>
      <c r="F124" s="355">
        <f>WORK!K964</f>
        <v>2232.9699999999998</v>
      </c>
      <c r="G124" s="353">
        <f>ROUND(D124*F124/1,0)</f>
        <v>0</v>
      </c>
      <c r="H124" s="708" t="s">
        <v>2322</v>
      </c>
    </row>
    <row r="125" spans="1:8" s="360" customFormat="1">
      <c r="A125" s="356" t="s">
        <v>2476</v>
      </c>
      <c r="B125" s="927" t="s">
        <v>2646</v>
      </c>
      <c r="C125" s="707" t="s">
        <v>481</v>
      </c>
      <c r="D125" s="358">
        <f>WORK!I980</f>
        <v>135.33999999999997</v>
      </c>
      <c r="E125" s="354" t="s">
        <v>102</v>
      </c>
      <c r="F125" s="355">
        <f>WORK!K980</f>
        <v>264.94</v>
      </c>
      <c r="G125" s="353">
        <f t="shared" ref="G125:G157" si="4">ROUND(D125*F125,0)</f>
        <v>35857</v>
      </c>
      <c r="H125" s="708" t="s">
        <v>2226</v>
      </c>
    </row>
    <row r="126" spans="1:8" s="360" customFormat="1" hidden="1">
      <c r="A126" s="356" t="s">
        <v>480</v>
      </c>
      <c r="B126" s="927" t="s">
        <v>2616</v>
      </c>
      <c r="C126" s="707" t="s">
        <v>481</v>
      </c>
      <c r="D126" s="358">
        <f>WORK!I996</f>
        <v>0</v>
      </c>
      <c r="E126" s="354" t="s">
        <v>102</v>
      </c>
      <c r="F126" s="355">
        <f>WORK!K996</f>
        <v>284</v>
      </c>
      <c r="G126" s="353">
        <f>ROUND(D126*F126,0)</f>
        <v>0</v>
      </c>
      <c r="H126" s="708" t="s">
        <v>2308</v>
      </c>
    </row>
    <row r="127" spans="1:8" s="360" customFormat="1" ht="15" hidden="1" customHeight="1">
      <c r="A127" s="356" t="s">
        <v>492</v>
      </c>
      <c r="B127" s="927" t="s">
        <v>2616</v>
      </c>
      <c r="C127" s="707" t="s">
        <v>481</v>
      </c>
      <c r="D127" s="358">
        <f>WORK!I1009</f>
        <v>0</v>
      </c>
      <c r="E127" s="354" t="s">
        <v>102</v>
      </c>
      <c r="F127" s="355">
        <f>WORK!K1009</f>
        <v>300.93</v>
      </c>
      <c r="G127" s="353">
        <f>ROUND(D127*F127,0)</f>
        <v>0</v>
      </c>
      <c r="H127" s="708" t="s">
        <v>2321</v>
      </c>
    </row>
    <row r="128" spans="1:8" s="360" customFormat="1" ht="15" hidden="1" customHeight="1">
      <c r="A128" s="356" t="s">
        <v>484</v>
      </c>
      <c r="B128" s="927" t="s">
        <v>2616</v>
      </c>
      <c r="C128" s="707" t="s">
        <v>481</v>
      </c>
      <c r="D128" s="358">
        <f>WORK!I1026</f>
        <v>0</v>
      </c>
      <c r="E128" s="354" t="s">
        <v>102</v>
      </c>
      <c r="F128" s="355">
        <f>WORK!K1026</f>
        <v>318.2</v>
      </c>
      <c r="G128" s="353">
        <f>ROUND(D128*F128,0)</f>
        <v>0</v>
      </c>
      <c r="H128" s="708" t="s">
        <v>2322</v>
      </c>
    </row>
    <row r="129" spans="1:8" s="360" customFormat="1" ht="15" hidden="1" customHeight="1">
      <c r="A129" s="356" t="s">
        <v>483</v>
      </c>
      <c r="B129" s="927" t="s">
        <v>2619</v>
      </c>
      <c r="C129" s="707" t="s">
        <v>505</v>
      </c>
      <c r="D129" s="358">
        <f>WORK!I1033</f>
        <v>0</v>
      </c>
      <c r="E129" s="354" t="s">
        <v>102</v>
      </c>
      <c r="F129" s="355">
        <f>WORK!K1033</f>
        <v>242.02</v>
      </c>
      <c r="G129" s="353">
        <f t="shared" si="4"/>
        <v>0</v>
      </c>
      <c r="H129" s="708" t="s">
        <v>2226</v>
      </c>
    </row>
    <row r="130" spans="1:8" s="360" customFormat="1" ht="15" hidden="1" customHeight="1">
      <c r="A130" s="356" t="s">
        <v>483</v>
      </c>
      <c r="B130" s="927" t="s">
        <v>2619</v>
      </c>
      <c r="C130" s="707" t="s">
        <v>505</v>
      </c>
      <c r="D130" s="358">
        <f>WORK!I1040</f>
        <v>0</v>
      </c>
      <c r="E130" s="354" t="s">
        <v>102</v>
      </c>
      <c r="F130" s="355">
        <f>WORK!K1040</f>
        <v>261.07</v>
      </c>
      <c r="G130" s="353">
        <f>ROUND(D130*F130,0)</f>
        <v>0</v>
      </c>
      <c r="H130" s="708" t="s">
        <v>2308</v>
      </c>
    </row>
    <row r="131" spans="1:8" s="360" customFormat="1" ht="15" hidden="1" customHeight="1">
      <c r="A131" s="356" t="s">
        <v>483</v>
      </c>
      <c r="B131" s="927" t="s">
        <v>2619</v>
      </c>
      <c r="C131" s="707" t="s">
        <v>505</v>
      </c>
      <c r="D131" s="358">
        <f>WORK!I1047</f>
        <v>0</v>
      </c>
      <c r="E131" s="354" t="s">
        <v>102</v>
      </c>
      <c r="F131" s="355">
        <f>WORK!K1047</f>
        <v>277.43</v>
      </c>
      <c r="G131" s="353">
        <f>ROUND(D131*F131,0)</f>
        <v>0</v>
      </c>
      <c r="H131" s="708" t="s">
        <v>2321</v>
      </c>
    </row>
    <row r="132" spans="1:8" s="360" customFormat="1" ht="15" hidden="1" customHeight="1">
      <c r="A132" s="356" t="s">
        <v>483</v>
      </c>
      <c r="B132" s="927" t="s">
        <v>2619</v>
      </c>
      <c r="C132" s="707" t="s">
        <v>505</v>
      </c>
      <c r="D132" s="358">
        <f>WORK!I1054</f>
        <v>0</v>
      </c>
      <c r="E132" s="354" t="s">
        <v>102</v>
      </c>
      <c r="F132" s="355">
        <f>WORK!K1054</f>
        <v>294.70999999999998</v>
      </c>
      <c r="G132" s="353">
        <f>ROUND(D132*F132,0)</f>
        <v>0</v>
      </c>
      <c r="H132" s="708" t="s">
        <v>2322</v>
      </c>
    </row>
    <row r="133" spans="1:8" s="360" customFormat="1" ht="15" customHeight="1">
      <c r="A133" s="356" t="s">
        <v>480</v>
      </c>
      <c r="B133" s="927" t="s">
        <v>2620</v>
      </c>
      <c r="C133" s="707" t="s">
        <v>631</v>
      </c>
      <c r="D133" s="358">
        <f>WORK!I1059</f>
        <v>0</v>
      </c>
      <c r="E133" s="354" t="s">
        <v>102</v>
      </c>
      <c r="F133" s="355">
        <f>WORK!K1059</f>
        <v>259.87</v>
      </c>
      <c r="G133" s="353">
        <f t="shared" si="4"/>
        <v>0</v>
      </c>
      <c r="H133" s="708" t="s">
        <v>2226</v>
      </c>
    </row>
    <row r="134" spans="1:8" s="360" customFormat="1" ht="15" hidden="1" customHeight="1">
      <c r="A134" s="356" t="s">
        <v>484</v>
      </c>
      <c r="B134" s="927" t="s">
        <v>2620</v>
      </c>
      <c r="C134" s="707" t="s">
        <v>631</v>
      </c>
      <c r="D134" s="358">
        <f>WORK!I1066</f>
        <v>0</v>
      </c>
      <c r="E134" s="354" t="s">
        <v>102</v>
      </c>
      <c r="F134" s="355">
        <f>WORK!K1066</f>
        <v>279.49</v>
      </c>
      <c r="G134" s="353">
        <f>ROUND(D134*F134,0)</f>
        <v>0</v>
      </c>
      <c r="H134" s="708" t="s">
        <v>2308</v>
      </c>
    </row>
    <row r="135" spans="1:8" s="360" customFormat="1" ht="15" hidden="1" customHeight="1">
      <c r="A135" s="356" t="s">
        <v>484</v>
      </c>
      <c r="B135" s="927" t="s">
        <v>2620</v>
      </c>
      <c r="C135" s="707" t="s">
        <v>631</v>
      </c>
      <c r="D135" s="358">
        <f>WORK!I1073</f>
        <v>0</v>
      </c>
      <c r="E135" s="354" t="s">
        <v>102</v>
      </c>
      <c r="F135" s="355">
        <f>WORK!K1073</f>
        <v>297.13</v>
      </c>
      <c r="G135" s="353">
        <f>ROUND(D135*F135,0)</f>
        <v>0</v>
      </c>
      <c r="H135" s="708" t="s">
        <v>2321</v>
      </c>
    </row>
    <row r="136" spans="1:8" s="360" customFormat="1" ht="15" hidden="1" customHeight="1">
      <c r="A136" s="356" t="s">
        <v>484</v>
      </c>
      <c r="B136" s="927" t="s">
        <v>2620</v>
      </c>
      <c r="C136" s="707" t="s">
        <v>631</v>
      </c>
      <c r="D136" s="358">
        <f>WORK!I1078</f>
        <v>0</v>
      </c>
      <c r="E136" s="354" t="s">
        <v>102</v>
      </c>
      <c r="F136" s="355">
        <f>WORK!K1078</f>
        <v>314.89999999999998</v>
      </c>
      <c r="G136" s="353">
        <f>ROUND(D136*F136,0)</f>
        <v>0</v>
      </c>
      <c r="H136" s="708" t="s">
        <v>2322</v>
      </c>
    </row>
    <row r="137" spans="1:8" s="360" customFormat="1">
      <c r="A137" s="356" t="s">
        <v>482</v>
      </c>
      <c r="B137" s="927" t="s">
        <v>2617</v>
      </c>
      <c r="C137" s="707" t="s">
        <v>830</v>
      </c>
      <c r="D137" s="358">
        <f>WORK!I1100</f>
        <v>216.86</v>
      </c>
      <c r="E137" s="354" t="s">
        <v>102</v>
      </c>
      <c r="F137" s="355">
        <f>WORK!K1100</f>
        <v>317.8</v>
      </c>
      <c r="G137" s="353">
        <f t="shared" si="4"/>
        <v>68918</v>
      </c>
      <c r="H137" s="708" t="s">
        <v>2226</v>
      </c>
    </row>
    <row r="138" spans="1:8" s="360" customFormat="1" hidden="1">
      <c r="A138" s="356" t="s">
        <v>482</v>
      </c>
      <c r="B138" s="927" t="s">
        <v>2617</v>
      </c>
      <c r="C138" s="707" t="s">
        <v>830</v>
      </c>
      <c r="D138" s="358">
        <f>WORK!I1118</f>
        <v>0</v>
      </c>
      <c r="E138" s="354" t="s">
        <v>102</v>
      </c>
      <c r="F138" s="355">
        <f>WORK!K1118</f>
        <v>343.65</v>
      </c>
      <c r="G138" s="353">
        <f>ROUND(D138*F138,0)</f>
        <v>0</v>
      </c>
      <c r="H138" s="708" t="s">
        <v>2308</v>
      </c>
    </row>
    <row r="139" spans="1:8" s="360" customFormat="1" ht="15" hidden="1" customHeight="1">
      <c r="A139" s="356" t="s">
        <v>494</v>
      </c>
      <c r="B139" s="927" t="s">
        <v>2617</v>
      </c>
      <c r="C139" s="707" t="s">
        <v>830</v>
      </c>
      <c r="D139" s="358">
        <f>WORK!I1145</f>
        <v>0</v>
      </c>
      <c r="E139" s="354" t="s">
        <v>102</v>
      </c>
      <c r="F139" s="355">
        <f>WORK!K1145</f>
        <v>364.75</v>
      </c>
      <c r="G139" s="353">
        <f>ROUND(D139*F139,0)</f>
        <v>0</v>
      </c>
      <c r="H139" s="708" t="s">
        <v>2321</v>
      </c>
    </row>
    <row r="140" spans="1:8" s="360" customFormat="1" ht="15" hidden="1" customHeight="1">
      <c r="A140" s="356" t="s">
        <v>486</v>
      </c>
      <c r="B140" s="927" t="s">
        <v>2617</v>
      </c>
      <c r="C140" s="707" t="s">
        <v>830</v>
      </c>
      <c r="D140" s="358">
        <f>WORK!I1155</f>
        <v>0</v>
      </c>
      <c r="E140" s="354" t="s">
        <v>102</v>
      </c>
      <c r="F140" s="355">
        <f>WORK!K1155</f>
        <v>388.21</v>
      </c>
      <c r="G140" s="353">
        <f>ROUND(D140*F140,0)</f>
        <v>0</v>
      </c>
      <c r="H140" s="708" t="s">
        <v>2322</v>
      </c>
    </row>
    <row r="141" spans="1:8" s="360" customFormat="1">
      <c r="A141" s="356" t="s">
        <v>483</v>
      </c>
      <c r="B141" s="927" t="s">
        <v>2618</v>
      </c>
      <c r="C141" s="707" t="s">
        <v>541</v>
      </c>
      <c r="D141" s="358">
        <f>WORK!I1167</f>
        <v>134.19000000000003</v>
      </c>
      <c r="E141" s="354" t="s">
        <v>102</v>
      </c>
      <c r="F141" s="355">
        <f>WORK!K1167</f>
        <v>331.15</v>
      </c>
      <c r="G141" s="353">
        <f t="shared" si="4"/>
        <v>44437</v>
      </c>
      <c r="H141" s="708" t="s">
        <v>2226</v>
      </c>
    </row>
    <row r="142" spans="1:8" s="360" customFormat="1" hidden="1">
      <c r="A142" s="356" t="s">
        <v>483</v>
      </c>
      <c r="B142" s="927" t="s">
        <v>2618</v>
      </c>
      <c r="C142" s="707" t="s">
        <v>541</v>
      </c>
      <c r="D142" s="358">
        <f>WORK!I1177</f>
        <v>0</v>
      </c>
      <c r="E142" s="354" t="s">
        <v>102</v>
      </c>
      <c r="F142" s="355">
        <f>WORK!K1177</f>
        <v>357.58</v>
      </c>
      <c r="G142" s="353">
        <f>ROUND(D142*F142,0)</f>
        <v>0</v>
      </c>
      <c r="H142" s="708" t="s">
        <v>2308</v>
      </c>
    </row>
    <row r="143" spans="1:8" s="360" customFormat="1" ht="15" hidden="1" customHeight="1">
      <c r="A143" s="356" t="s">
        <v>1517</v>
      </c>
      <c r="B143" s="927" t="s">
        <v>2618</v>
      </c>
      <c r="C143" s="707" t="s">
        <v>541</v>
      </c>
      <c r="D143" s="358">
        <f>WORK!I1186</f>
        <v>0</v>
      </c>
      <c r="E143" s="354" t="s">
        <v>102</v>
      </c>
      <c r="F143" s="355">
        <f>WORK!K1186</f>
        <v>380.06</v>
      </c>
      <c r="G143" s="353">
        <f>ROUND(D143*F143,0)</f>
        <v>0</v>
      </c>
      <c r="H143" s="708" t="s">
        <v>2321</v>
      </c>
    </row>
    <row r="144" spans="1:8" s="360" customFormat="1" ht="15" hidden="1" customHeight="1">
      <c r="A144" s="356" t="s">
        <v>488</v>
      </c>
      <c r="B144" s="927" t="s">
        <v>2618</v>
      </c>
      <c r="C144" s="707" t="s">
        <v>541</v>
      </c>
      <c r="D144" s="358">
        <f>WORK!I1201</f>
        <v>0</v>
      </c>
      <c r="E144" s="354" t="s">
        <v>102</v>
      </c>
      <c r="F144" s="355">
        <f>WORK!K1201</f>
        <v>404.02</v>
      </c>
      <c r="G144" s="353">
        <f>ROUND(D144*F144,0)</f>
        <v>0</v>
      </c>
      <c r="H144" s="708" t="s">
        <v>2322</v>
      </c>
    </row>
    <row r="145" spans="1:10" s="360" customFormat="1" hidden="1">
      <c r="A145" s="356" t="s">
        <v>1518</v>
      </c>
      <c r="B145" s="927" t="s">
        <v>2621</v>
      </c>
      <c r="C145" s="707" t="s">
        <v>507</v>
      </c>
      <c r="D145" s="358">
        <f>WORK!I1232</f>
        <v>0</v>
      </c>
      <c r="E145" s="354" t="s">
        <v>102</v>
      </c>
      <c r="F145" s="355">
        <f>WORK!K1232</f>
        <v>991.04</v>
      </c>
      <c r="G145" s="353">
        <f t="shared" si="4"/>
        <v>0</v>
      </c>
      <c r="H145" s="708" t="s">
        <v>2226</v>
      </c>
    </row>
    <row r="146" spans="1:10" s="360" customFormat="1" hidden="1">
      <c r="A146" s="356" t="s">
        <v>484</v>
      </c>
      <c r="B146" s="927" t="s">
        <v>2621</v>
      </c>
      <c r="C146" s="707" t="s">
        <v>507</v>
      </c>
      <c r="D146" s="358">
        <f>WORK!I1242</f>
        <v>0</v>
      </c>
      <c r="E146" s="354" t="s">
        <v>102</v>
      </c>
      <c r="F146" s="355">
        <f>WORK!K1242</f>
        <v>1019.43</v>
      </c>
      <c r="G146" s="353">
        <f>ROUND(D146*F146,0)</f>
        <v>0</v>
      </c>
      <c r="H146" s="708" t="s">
        <v>2308</v>
      </c>
    </row>
    <row r="147" spans="1:10" s="360" customFormat="1" ht="15" hidden="1" customHeight="1">
      <c r="A147" s="356" t="s">
        <v>490</v>
      </c>
      <c r="B147" s="927" t="s">
        <v>2621</v>
      </c>
      <c r="C147" s="707" t="s">
        <v>507</v>
      </c>
      <c r="D147" s="358">
        <f>WORK!I1250</f>
        <v>0</v>
      </c>
      <c r="E147" s="354" t="s">
        <v>102</v>
      </c>
      <c r="F147" s="355">
        <f>WORK!K1250</f>
        <v>1041.26</v>
      </c>
      <c r="G147" s="353">
        <f>ROUND(D147*F147,0)</f>
        <v>0</v>
      </c>
      <c r="H147" s="708" t="s">
        <v>2321</v>
      </c>
    </row>
    <row r="148" spans="1:10" s="360" customFormat="1" ht="15" hidden="1" customHeight="1">
      <c r="A148" s="356" t="s">
        <v>490</v>
      </c>
      <c r="B148" s="927" t="s">
        <v>2621</v>
      </c>
      <c r="C148" s="707" t="s">
        <v>507</v>
      </c>
      <c r="D148" s="358">
        <f>WORK!I1259</f>
        <v>0</v>
      </c>
      <c r="E148" s="354" t="s">
        <v>102</v>
      </c>
      <c r="F148" s="355">
        <f>WORK!K1259</f>
        <v>1067.3599999999999</v>
      </c>
      <c r="G148" s="353">
        <f>ROUND(D148*F148,0)</f>
        <v>0</v>
      </c>
      <c r="H148" s="708" t="s">
        <v>2322</v>
      </c>
    </row>
    <row r="149" spans="1:10" s="360" customFormat="1" hidden="1">
      <c r="A149" s="356" t="s">
        <v>1516</v>
      </c>
      <c r="B149" s="927" t="s">
        <v>2622</v>
      </c>
      <c r="C149" s="707" t="s">
        <v>1482</v>
      </c>
      <c r="D149" s="358">
        <f>WORK!I1266</f>
        <v>0</v>
      </c>
      <c r="E149" s="354" t="s">
        <v>102</v>
      </c>
      <c r="F149" s="355">
        <f>WORK!K1266</f>
        <v>986.97</v>
      </c>
      <c r="G149" s="353">
        <f t="shared" si="4"/>
        <v>0</v>
      </c>
      <c r="H149" s="708" t="s">
        <v>2226</v>
      </c>
    </row>
    <row r="150" spans="1:10" s="360" customFormat="1" hidden="1">
      <c r="A150" s="356" t="s">
        <v>485</v>
      </c>
      <c r="B150" s="927" t="s">
        <v>2622</v>
      </c>
      <c r="C150" s="707" t="s">
        <v>1482</v>
      </c>
      <c r="D150" s="358">
        <f>WORK!I1278</f>
        <v>0</v>
      </c>
      <c r="E150" s="354" t="s">
        <v>102</v>
      </c>
      <c r="F150" s="355">
        <f>WORK!K1278</f>
        <v>1015.1</v>
      </c>
      <c r="G150" s="353">
        <f>ROUND(D150*F150,0)</f>
        <v>0</v>
      </c>
      <c r="H150" s="708" t="s">
        <v>2308</v>
      </c>
    </row>
    <row r="151" spans="1:10" s="360" customFormat="1" ht="15" hidden="1" customHeight="1">
      <c r="A151" s="356" t="s">
        <v>1516</v>
      </c>
      <c r="B151" s="927" t="s">
        <v>2622</v>
      </c>
      <c r="C151" s="707" t="s">
        <v>1482</v>
      </c>
      <c r="D151" s="358">
        <f>WORK!I1289</f>
        <v>0</v>
      </c>
      <c r="E151" s="354" t="s">
        <v>102</v>
      </c>
      <c r="F151" s="355">
        <f>WORK!K1289</f>
        <v>1036.32</v>
      </c>
      <c r="G151" s="353">
        <f>ROUND(D151*F151,0)</f>
        <v>0</v>
      </c>
      <c r="H151" s="708" t="s">
        <v>2321</v>
      </c>
    </row>
    <row r="152" spans="1:10" s="360" customFormat="1" ht="15" hidden="1" customHeight="1">
      <c r="A152" s="356" t="s">
        <v>1516</v>
      </c>
      <c r="B152" s="927" t="s">
        <v>2622</v>
      </c>
      <c r="C152" s="707" t="s">
        <v>1482</v>
      </c>
      <c r="D152" s="358">
        <f>WORK!I1299</f>
        <v>0</v>
      </c>
      <c r="E152" s="354" t="s">
        <v>102</v>
      </c>
      <c r="F152" s="355">
        <f>WORK!K1299</f>
        <v>1062.03</v>
      </c>
      <c r="G152" s="353">
        <f>ROUND(D152*F152,0)</f>
        <v>0</v>
      </c>
      <c r="H152" s="708" t="s">
        <v>2322</v>
      </c>
    </row>
    <row r="153" spans="1:10" s="360" customFormat="1" ht="15" hidden="1" customHeight="1">
      <c r="A153" s="356" t="s">
        <v>492</v>
      </c>
      <c r="B153" s="927" t="s">
        <v>2623</v>
      </c>
      <c r="C153" s="932" t="s">
        <v>708</v>
      </c>
      <c r="D153" s="358">
        <f>WORK!I1312</f>
        <v>111.85000000000002</v>
      </c>
      <c r="E153" s="354" t="s">
        <v>77</v>
      </c>
      <c r="F153" s="355">
        <f>WORK!K1312</f>
        <v>2828.1</v>
      </c>
      <c r="G153" s="353">
        <f t="shared" si="4"/>
        <v>316323</v>
      </c>
      <c r="H153" s="708" t="s">
        <v>2226</v>
      </c>
    </row>
    <row r="154" spans="1:10" s="360" customFormat="1" hidden="1">
      <c r="A154" s="356" t="s">
        <v>486</v>
      </c>
      <c r="B154" s="927" t="s">
        <v>2623</v>
      </c>
      <c r="C154" s="932" t="s">
        <v>708</v>
      </c>
      <c r="D154" s="358">
        <f>WORK!I1323</f>
        <v>0</v>
      </c>
      <c r="E154" s="354" t="s">
        <v>77</v>
      </c>
      <c r="F154" s="355">
        <f>WORK!K1323</f>
        <v>2886.61</v>
      </c>
      <c r="G154" s="353">
        <f>ROUND(D154*F154,0)</f>
        <v>0</v>
      </c>
      <c r="H154" s="708" t="s">
        <v>2308</v>
      </c>
    </row>
    <row r="155" spans="1:10" s="360" customFormat="1" ht="15" hidden="1" customHeight="1">
      <c r="A155" s="356" t="s">
        <v>492</v>
      </c>
      <c r="B155" s="927" t="s">
        <v>2623</v>
      </c>
      <c r="C155" s="932" t="s">
        <v>708</v>
      </c>
      <c r="D155" s="358">
        <f>WORK!I1328</f>
        <v>0</v>
      </c>
      <c r="E155" s="354" t="s">
        <v>77</v>
      </c>
      <c r="F155" s="355">
        <f>WORK!K1328</f>
        <v>2942.62</v>
      </c>
      <c r="G155" s="353">
        <f>ROUND(D155*F155,0)</f>
        <v>0</v>
      </c>
      <c r="H155" s="708" t="s">
        <v>2321</v>
      </c>
    </row>
    <row r="156" spans="1:10" s="360" customFormat="1" ht="15" customHeight="1">
      <c r="A156" s="356" t="s">
        <v>484</v>
      </c>
      <c r="B156" s="927" t="s">
        <v>3208</v>
      </c>
      <c r="C156" s="932" t="s">
        <v>708</v>
      </c>
      <c r="D156" s="358">
        <f>WORK!I1344</f>
        <v>0</v>
      </c>
      <c r="E156" s="354" t="s">
        <v>77</v>
      </c>
      <c r="F156" s="355">
        <f>WORK!K1344</f>
        <v>3115.07</v>
      </c>
      <c r="G156" s="353">
        <f>ROUND(D156*F156,0)</f>
        <v>0</v>
      </c>
      <c r="H156" s="708" t="s">
        <v>2322</v>
      </c>
    </row>
    <row r="157" spans="1:10" s="360" customFormat="1" ht="15" hidden="1" customHeight="1">
      <c r="A157" s="356" t="s">
        <v>493</v>
      </c>
      <c r="B157" s="927"/>
      <c r="C157" s="932" t="s">
        <v>709</v>
      </c>
      <c r="D157" s="358">
        <f>WORK!I1357</f>
        <v>9.15</v>
      </c>
      <c r="E157" s="354" t="s">
        <v>102</v>
      </c>
      <c r="F157" s="355">
        <f>WORK!K1357</f>
        <v>2667.63</v>
      </c>
      <c r="G157" s="353">
        <f t="shared" si="4"/>
        <v>24409</v>
      </c>
      <c r="H157" s="708" t="s">
        <v>2226</v>
      </c>
    </row>
    <row r="158" spans="1:10" s="360" customFormat="1" hidden="1">
      <c r="A158" s="356" t="s">
        <v>493</v>
      </c>
      <c r="B158" s="927"/>
      <c r="C158" s="932" t="s">
        <v>709</v>
      </c>
      <c r="D158" s="358">
        <f>WORK!I1367</f>
        <v>0</v>
      </c>
      <c r="E158" s="354" t="s">
        <v>102</v>
      </c>
      <c r="F158" s="355">
        <f>WORK!K1367</f>
        <v>2708.07</v>
      </c>
      <c r="H158" s="708" t="s">
        <v>2308</v>
      </c>
      <c r="J158" s="353">
        <f>ROUND(D158*F158,0)</f>
        <v>0</v>
      </c>
    </row>
    <row r="159" spans="1:10" s="360" customFormat="1" ht="15" hidden="1" customHeight="1">
      <c r="A159" s="356" t="s">
        <v>493</v>
      </c>
      <c r="B159" s="927"/>
      <c r="C159" s="932" t="s">
        <v>709</v>
      </c>
      <c r="D159" s="358">
        <f>WORK!I1372</f>
        <v>0</v>
      </c>
      <c r="E159" s="354" t="s">
        <v>102</v>
      </c>
      <c r="F159" s="355">
        <f>WORK!K1372</f>
        <v>2747.34</v>
      </c>
      <c r="G159" s="353">
        <f t="shared" ref="G159:G190" si="5">ROUND(D159*F159,0)</f>
        <v>0</v>
      </c>
      <c r="H159" s="708" t="s">
        <v>2321</v>
      </c>
    </row>
    <row r="160" spans="1:10" s="360" customFormat="1" ht="15" customHeight="1">
      <c r="A160" s="356" t="s">
        <v>485</v>
      </c>
      <c r="B160" s="927" t="s">
        <v>3209</v>
      </c>
      <c r="C160" s="932" t="s">
        <v>709</v>
      </c>
      <c r="D160" s="358">
        <f>WORK!I1386</f>
        <v>0</v>
      </c>
      <c r="E160" s="354" t="s">
        <v>102</v>
      </c>
      <c r="F160" s="355">
        <f>WORK!K1386</f>
        <v>2905.43</v>
      </c>
      <c r="G160" s="353">
        <f t="shared" si="5"/>
        <v>0</v>
      </c>
      <c r="H160" s="708" t="s">
        <v>2322</v>
      </c>
    </row>
    <row r="161" spans="1:8" s="360" customFormat="1" ht="15" hidden="1" customHeight="1">
      <c r="A161" s="356" t="s">
        <v>498</v>
      </c>
      <c r="B161" s="927" t="s">
        <v>2624</v>
      </c>
      <c r="C161" s="707" t="s">
        <v>710</v>
      </c>
      <c r="D161" s="358">
        <f>WORK!I1393</f>
        <v>0</v>
      </c>
      <c r="E161" s="354" t="s">
        <v>102</v>
      </c>
      <c r="F161" s="355">
        <f>WORK!K1393</f>
        <v>605.58000000000004</v>
      </c>
      <c r="G161" s="353">
        <f t="shared" si="5"/>
        <v>0</v>
      </c>
      <c r="H161" s="708" t="s">
        <v>2226</v>
      </c>
    </row>
    <row r="162" spans="1:8" s="360" customFormat="1" ht="15" hidden="1" customHeight="1">
      <c r="A162" s="356" t="s">
        <v>498</v>
      </c>
      <c r="B162" s="927" t="s">
        <v>2624</v>
      </c>
      <c r="C162" s="707" t="s">
        <v>710</v>
      </c>
      <c r="D162" s="358">
        <f>WORK!I1403</f>
        <v>0</v>
      </c>
      <c r="E162" s="354" t="s">
        <v>102</v>
      </c>
      <c r="F162" s="355">
        <f>WORK!K1403</f>
        <v>646.33000000000004</v>
      </c>
      <c r="G162" s="353">
        <f t="shared" si="5"/>
        <v>0</v>
      </c>
      <c r="H162" s="708" t="s">
        <v>2308</v>
      </c>
    </row>
    <row r="163" spans="1:8" s="360" customFormat="1" ht="15" hidden="1" customHeight="1">
      <c r="A163" s="356" t="s">
        <v>498</v>
      </c>
      <c r="B163" s="927" t="s">
        <v>2624</v>
      </c>
      <c r="C163" s="707" t="s">
        <v>710</v>
      </c>
      <c r="D163" s="358">
        <f>WORK!I1410</f>
        <v>0</v>
      </c>
      <c r="E163" s="354" t="s">
        <v>102</v>
      </c>
      <c r="F163" s="355">
        <f>WORK!K1410</f>
        <v>653.95000000000005</v>
      </c>
      <c r="G163" s="353">
        <f t="shared" si="5"/>
        <v>0</v>
      </c>
      <c r="H163" s="708" t="s">
        <v>2321</v>
      </c>
    </row>
    <row r="164" spans="1:8" s="360" customFormat="1" ht="15" hidden="1" customHeight="1">
      <c r="A164" s="356" t="s">
        <v>498</v>
      </c>
      <c r="B164" s="927" t="s">
        <v>2624</v>
      </c>
      <c r="C164" s="707" t="s">
        <v>710</v>
      </c>
      <c r="D164" s="358">
        <f>WORK!I1417</f>
        <v>0</v>
      </c>
      <c r="E164" s="354" t="s">
        <v>102</v>
      </c>
      <c r="F164" s="355">
        <f>WORK!K1417</f>
        <v>744.7</v>
      </c>
      <c r="G164" s="353">
        <f t="shared" si="5"/>
        <v>0</v>
      </c>
      <c r="H164" s="708" t="s">
        <v>2322</v>
      </c>
    </row>
    <row r="165" spans="1:8" s="360" customFormat="1" ht="15" hidden="1" customHeight="1">
      <c r="A165" s="356" t="s">
        <v>499</v>
      </c>
      <c r="B165" s="927"/>
      <c r="C165" s="932" t="s">
        <v>711</v>
      </c>
      <c r="D165" s="358">
        <f>WORK!I1424</f>
        <v>0</v>
      </c>
      <c r="E165" s="354" t="s">
        <v>102</v>
      </c>
      <c r="F165" s="355">
        <f>WORK!K1424</f>
        <v>623.66999999999996</v>
      </c>
      <c r="G165" s="353">
        <f t="shared" si="5"/>
        <v>0</v>
      </c>
      <c r="H165" s="708" t="s">
        <v>2226</v>
      </c>
    </row>
    <row r="166" spans="1:8" s="360" customFormat="1" ht="15" hidden="1" customHeight="1">
      <c r="A166" s="356" t="s">
        <v>499</v>
      </c>
      <c r="B166" s="927"/>
      <c r="C166" s="932" t="s">
        <v>711</v>
      </c>
      <c r="D166" s="358">
        <f>WORK!I1432</f>
        <v>0</v>
      </c>
      <c r="E166" s="354" t="s">
        <v>102</v>
      </c>
      <c r="F166" s="355">
        <f>WORK!K1432</f>
        <v>651.79999999999995</v>
      </c>
      <c r="G166" s="353">
        <f t="shared" si="5"/>
        <v>0</v>
      </c>
      <c r="H166" s="708" t="s">
        <v>2308</v>
      </c>
    </row>
    <row r="167" spans="1:8" s="360" customFormat="1" ht="15" hidden="1" customHeight="1">
      <c r="A167" s="356" t="s">
        <v>499</v>
      </c>
      <c r="B167" s="927"/>
      <c r="C167" s="932" t="s">
        <v>711</v>
      </c>
      <c r="D167" s="358">
        <f>WORK!I1439</f>
        <v>0</v>
      </c>
      <c r="E167" s="354" t="s">
        <v>102</v>
      </c>
      <c r="F167" s="355">
        <f>WORK!K1439</f>
        <v>673.02</v>
      </c>
      <c r="G167" s="353">
        <f t="shared" si="5"/>
        <v>0</v>
      </c>
      <c r="H167" s="708" t="s">
        <v>2321</v>
      </c>
    </row>
    <row r="168" spans="1:8" s="360" customFormat="1" ht="15" hidden="1" customHeight="1">
      <c r="A168" s="356" t="s">
        <v>499</v>
      </c>
      <c r="B168" s="927"/>
      <c r="C168" s="932" t="s">
        <v>711</v>
      </c>
      <c r="D168" s="358">
        <f>WORK!I1446</f>
        <v>0</v>
      </c>
      <c r="E168" s="354" t="s">
        <v>102</v>
      </c>
      <c r="F168" s="355">
        <f>WORK!K1446</f>
        <v>750.18</v>
      </c>
      <c r="G168" s="353">
        <f t="shared" si="5"/>
        <v>0</v>
      </c>
      <c r="H168" s="708" t="s">
        <v>2322</v>
      </c>
    </row>
    <row r="169" spans="1:8" s="360" customFormat="1" ht="15" hidden="1" customHeight="1">
      <c r="A169" s="356" t="s">
        <v>1516</v>
      </c>
      <c r="B169" s="927" t="s">
        <v>2625</v>
      </c>
      <c r="C169" s="707" t="s">
        <v>511</v>
      </c>
      <c r="D169" s="358">
        <f>WORK!I1452</f>
        <v>0</v>
      </c>
      <c r="E169" s="354" t="s">
        <v>102</v>
      </c>
      <c r="F169" s="355">
        <f>WORK!K1452</f>
        <v>726.78</v>
      </c>
      <c r="G169" s="353">
        <f t="shared" si="5"/>
        <v>0</v>
      </c>
      <c r="H169" s="708" t="s">
        <v>2226</v>
      </c>
    </row>
    <row r="170" spans="1:8" s="360" customFormat="1" ht="15" hidden="1" customHeight="1">
      <c r="A170" s="356" t="s">
        <v>487</v>
      </c>
      <c r="B170" s="927" t="s">
        <v>2625</v>
      </c>
      <c r="C170" s="707" t="s">
        <v>511</v>
      </c>
      <c r="D170" s="358">
        <f>WORK!I1457</f>
        <v>0</v>
      </c>
      <c r="E170" s="354" t="s">
        <v>102</v>
      </c>
      <c r="F170" s="355">
        <f>WORK!K1457</f>
        <v>754.91</v>
      </c>
      <c r="G170" s="353">
        <f t="shared" si="5"/>
        <v>0</v>
      </c>
      <c r="H170" s="708" t="s">
        <v>2308</v>
      </c>
    </row>
    <row r="171" spans="1:8" s="360" customFormat="1" ht="15" hidden="1" customHeight="1">
      <c r="A171" s="356" t="s">
        <v>1516</v>
      </c>
      <c r="B171" s="927" t="s">
        <v>2625</v>
      </c>
      <c r="C171" s="707" t="s">
        <v>511</v>
      </c>
      <c r="D171" s="358">
        <f>WORK!I1464</f>
        <v>0</v>
      </c>
      <c r="E171" s="354" t="s">
        <v>102</v>
      </c>
      <c r="F171" s="355">
        <f>WORK!K1464</f>
        <v>776.13</v>
      </c>
      <c r="G171" s="353">
        <f t="shared" si="5"/>
        <v>0</v>
      </c>
      <c r="H171" s="708" t="s">
        <v>2321</v>
      </c>
    </row>
    <row r="172" spans="1:8" s="360" customFormat="1" ht="15" hidden="1" customHeight="1">
      <c r="A172" s="356" t="s">
        <v>1516</v>
      </c>
      <c r="B172" s="927" t="s">
        <v>2625</v>
      </c>
      <c r="C172" s="707" t="s">
        <v>511</v>
      </c>
      <c r="D172" s="358">
        <f>WORK!I1469</f>
        <v>0</v>
      </c>
      <c r="E172" s="354" t="s">
        <v>102</v>
      </c>
      <c r="F172" s="355">
        <f>WORK!K1469</f>
        <v>801.83</v>
      </c>
      <c r="G172" s="353">
        <f t="shared" si="5"/>
        <v>0</v>
      </c>
      <c r="H172" s="708" t="s">
        <v>2322</v>
      </c>
    </row>
    <row r="173" spans="1:8" s="360" customFormat="1" ht="15" hidden="1" customHeight="1">
      <c r="A173" s="356" t="s">
        <v>492</v>
      </c>
      <c r="B173" s="927" t="s">
        <v>2626</v>
      </c>
      <c r="C173" s="707" t="s">
        <v>570</v>
      </c>
      <c r="D173" s="358">
        <f>WORK!I1476</f>
        <v>0</v>
      </c>
      <c r="E173" s="354" t="s">
        <v>102</v>
      </c>
      <c r="F173" s="355">
        <f>WORK!K1476</f>
        <v>487.61</v>
      </c>
      <c r="G173" s="353">
        <f t="shared" si="5"/>
        <v>0</v>
      </c>
      <c r="H173" s="708" t="s">
        <v>2226</v>
      </c>
    </row>
    <row r="174" spans="1:8" s="360" customFormat="1" ht="15" hidden="1" customHeight="1">
      <c r="A174" s="356" t="s">
        <v>492</v>
      </c>
      <c r="B174" s="927" t="s">
        <v>2626</v>
      </c>
      <c r="C174" s="707" t="s">
        <v>570</v>
      </c>
      <c r="D174" s="358">
        <f>WORK!I1483</f>
        <v>0</v>
      </c>
      <c r="E174" s="354" t="s">
        <v>102</v>
      </c>
      <c r="F174" s="355">
        <f>WORK!K1483</f>
        <v>496.21</v>
      </c>
      <c r="G174" s="353">
        <f t="shared" si="5"/>
        <v>0</v>
      </c>
      <c r="H174" s="708" t="s">
        <v>2308</v>
      </c>
    </row>
    <row r="175" spans="1:8" s="360" customFormat="1" ht="15" hidden="1" customHeight="1">
      <c r="A175" s="356" t="s">
        <v>492</v>
      </c>
      <c r="B175" s="927" t="s">
        <v>2626</v>
      </c>
      <c r="C175" s="707" t="s">
        <v>570</v>
      </c>
      <c r="D175" s="358">
        <f>WORK!I1488</f>
        <v>0</v>
      </c>
      <c r="E175" s="354" t="s">
        <v>102</v>
      </c>
      <c r="F175" s="355">
        <f>WORK!K1488</f>
        <v>503.67</v>
      </c>
      <c r="G175" s="353">
        <f t="shared" si="5"/>
        <v>0</v>
      </c>
      <c r="H175" s="708" t="s">
        <v>2321</v>
      </c>
    </row>
    <row r="176" spans="1:8" s="360" customFormat="1" ht="15" hidden="1" customHeight="1">
      <c r="A176" s="356" t="s">
        <v>492</v>
      </c>
      <c r="B176" s="927" t="s">
        <v>2626</v>
      </c>
      <c r="C176" s="707" t="s">
        <v>570</v>
      </c>
      <c r="D176" s="358">
        <f>WORK!I1494</f>
        <v>0</v>
      </c>
      <c r="E176" s="354" t="s">
        <v>102</v>
      </c>
      <c r="F176" s="355">
        <f>WORK!K1494</f>
        <v>518.15</v>
      </c>
      <c r="G176" s="353">
        <f t="shared" si="5"/>
        <v>0</v>
      </c>
      <c r="H176" s="708" t="s">
        <v>2322</v>
      </c>
    </row>
    <row r="177" spans="1:8" s="360" customFormat="1" ht="15" hidden="1" customHeight="1">
      <c r="A177" s="356" t="s">
        <v>487</v>
      </c>
      <c r="B177" s="927"/>
      <c r="C177" s="932" t="s">
        <v>1223</v>
      </c>
      <c r="D177" s="358">
        <f>WORK!I1501</f>
        <v>19.310000000000002</v>
      </c>
      <c r="E177" s="354" t="s">
        <v>102</v>
      </c>
      <c r="F177" s="355">
        <f>WORK!K1501</f>
        <v>911.63</v>
      </c>
      <c r="G177" s="353">
        <f t="shared" si="5"/>
        <v>17604</v>
      </c>
      <c r="H177" s="708" t="s">
        <v>2226</v>
      </c>
    </row>
    <row r="178" spans="1:8" s="360" customFormat="1" ht="15" hidden="1" customHeight="1">
      <c r="A178" s="356" t="s">
        <v>487</v>
      </c>
      <c r="B178" s="927"/>
      <c r="C178" s="932" t="s">
        <v>1223</v>
      </c>
      <c r="D178" s="358">
        <f>WORK!I1507</f>
        <v>0</v>
      </c>
      <c r="E178" s="354" t="s">
        <v>102</v>
      </c>
      <c r="F178" s="355">
        <f>WORK!K1507</f>
        <v>950.67</v>
      </c>
      <c r="G178" s="353">
        <f t="shared" si="5"/>
        <v>0</v>
      </c>
      <c r="H178" s="708" t="s">
        <v>2308</v>
      </c>
    </row>
    <row r="179" spans="1:8" s="360" customFormat="1" ht="15" hidden="1" customHeight="1">
      <c r="A179" s="356" t="s">
        <v>1519</v>
      </c>
      <c r="B179" s="927"/>
      <c r="C179" s="932" t="s">
        <v>1223</v>
      </c>
      <c r="D179" s="358">
        <f>WORK!I1513</f>
        <v>0</v>
      </c>
      <c r="E179" s="354" t="s">
        <v>102</v>
      </c>
      <c r="F179" s="355">
        <f>WORK!K1513</f>
        <v>981.79</v>
      </c>
      <c r="G179" s="353">
        <f t="shared" si="5"/>
        <v>0</v>
      </c>
      <c r="H179" s="708" t="s">
        <v>2321</v>
      </c>
    </row>
    <row r="180" spans="1:8" s="360" customFormat="1" ht="15" hidden="1" customHeight="1">
      <c r="A180" s="356" t="s">
        <v>487</v>
      </c>
      <c r="B180" s="927"/>
      <c r="C180" s="932" t="s">
        <v>1223</v>
      </c>
      <c r="D180" s="358">
        <f>WORK!I1520</f>
        <v>0</v>
      </c>
      <c r="E180" s="354" t="s">
        <v>102</v>
      </c>
      <c r="F180" s="355">
        <f>WORK!K1520</f>
        <v>1017.93</v>
      </c>
      <c r="G180" s="353">
        <f t="shared" si="5"/>
        <v>0</v>
      </c>
      <c r="H180" s="708" t="s">
        <v>2322</v>
      </c>
    </row>
    <row r="181" spans="1:8" s="360" customFormat="1" ht="15" hidden="1" customHeight="1">
      <c r="A181" s="356"/>
      <c r="B181" s="927"/>
      <c r="C181" s="933" t="s">
        <v>2271</v>
      </c>
      <c r="D181" s="358">
        <f>WORK!I1527</f>
        <v>0</v>
      </c>
      <c r="E181" s="354" t="s">
        <v>102</v>
      </c>
      <c r="F181" s="355">
        <f>WORK!K1527</f>
        <v>489</v>
      </c>
      <c r="G181" s="353">
        <f t="shared" si="5"/>
        <v>0</v>
      </c>
      <c r="H181" s="708" t="s">
        <v>2226</v>
      </c>
    </row>
    <row r="182" spans="1:8" s="360" customFormat="1" ht="15" hidden="1" customHeight="1">
      <c r="A182" s="356"/>
      <c r="B182" s="927"/>
      <c r="C182" s="933" t="s">
        <v>2271</v>
      </c>
      <c r="D182" s="358">
        <f>WORK!I1534</f>
        <v>0</v>
      </c>
      <c r="E182" s="354" t="s">
        <v>102</v>
      </c>
      <c r="F182" s="355">
        <f>WORK!K1534</f>
        <v>489</v>
      </c>
      <c r="G182" s="353">
        <f t="shared" si="5"/>
        <v>0</v>
      </c>
      <c r="H182" s="708" t="s">
        <v>2308</v>
      </c>
    </row>
    <row r="183" spans="1:8" s="360" customFormat="1" ht="15" hidden="1" customHeight="1">
      <c r="A183" s="356"/>
      <c r="B183" s="927"/>
      <c r="C183" s="933" t="s">
        <v>2271</v>
      </c>
      <c r="D183" s="358">
        <f>WORK!I1541</f>
        <v>0</v>
      </c>
      <c r="E183" s="354" t="s">
        <v>102</v>
      </c>
      <c r="F183" s="355">
        <f>WORK!K1541</f>
        <v>510</v>
      </c>
      <c r="G183" s="353">
        <f t="shared" si="5"/>
        <v>0</v>
      </c>
      <c r="H183" s="708" t="s">
        <v>2321</v>
      </c>
    </row>
    <row r="184" spans="1:8" s="360" customFormat="1" ht="15" hidden="1" customHeight="1">
      <c r="A184" s="356"/>
      <c r="B184" s="927"/>
      <c r="C184" s="933" t="s">
        <v>2271</v>
      </c>
      <c r="D184" s="358">
        <f>WORK!I1548</f>
        <v>0</v>
      </c>
      <c r="E184" s="354" t="s">
        <v>102</v>
      </c>
      <c r="F184" s="355">
        <f>WORK!K1548</f>
        <v>610</v>
      </c>
      <c r="G184" s="353">
        <f t="shared" si="5"/>
        <v>0</v>
      </c>
      <c r="H184" s="708" t="s">
        <v>2322</v>
      </c>
    </row>
    <row r="185" spans="1:8" s="360" customFormat="1" hidden="1">
      <c r="A185" s="356"/>
      <c r="B185" s="927"/>
      <c r="C185" s="933" t="s">
        <v>2272</v>
      </c>
      <c r="D185" s="358">
        <f>WORK!I1555</f>
        <v>0</v>
      </c>
      <c r="E185" s="354" t="s">
        <v>102</v>
      </c>
      <c r="F185" s="355">
        <f>WORK!K1555</f>
        <v>288.70999999999998</v>
      </c>
      <c r="G185" s="353">
        <f t="shared" si="5"/>
        <v>0</v>
      </c>
      <c r="H185" s="708" t="s">
        <v>2226</v>
      </c>
    </row>
    <row r="186" spans="1:8" s="360" customFormat="1" ht="15" hidden="1" customHeight="1">
      <c r="A186" s="356"/>
      <c r="B186" s="927"/>
      <c r="C186" s="933" t="s">
        <v>2272</v>
      </c>
      <c r="D186" s="358">
        <f>WORK!I1562</f>
        <v>0</v>
      </c>
      <c r="E186" s="354" t="s">
        <v>102</v>
      </c>
      <c r="F186" s="355">
        <f>WORK!K1562</f>
        <v>309.07</v>
      </c>
      <c r="G186" s="353">
        <f t="shared" si="5"/>
        <v>0</v>
      </c>
      <c r="H186" s="708" t="s">
        <v>2308</v>
      </c>
    </row>
    <row r="187" spans="1:8" s="360" customFormat="1" ht="15" hidden="1" customHeight="1">
      <c r="A187" s="356"/>
      <c r="B187" s="927"/>
      <c r="C187" s="933" t="s">
        <v>2272</v>
      </c>
      <c r="D187" s="358">
        <f>WORK!I1569</f>
        <v>0</v>
      </c>
      <c r="E187" s="354" t="s">
        <v>102</v>
      </c>
      <c r="F187" s="355">
        <f>WORK!K1569</f>
        <v>325.58</v>
      </c>
      <c r="G187" s="353">
        <f t="shared" si="5"/>
        <v>0</v>
      </c>
      <c r="H187" s="708" t="s">
        <v>2321</v>
      </c>
    </row>
    <row r="188" spans="1:8" s="360" customFormat="1" ht="15" hidden="1" customHeight="1">
      <c r="A188" s="356"/>
      <c r="B188" s="927"/>
      <c r="C188" s="933" t="s">
        <v>2272</v>
      </c>
      <c r="D188" s="358">
        <f>WORK!I1576</f>
        <v>0</v>
      </c>
      <c r="E188" s="354" t="s">
        <v>102</v>
      </c>
      <c r="F188" s="355">
        <f>WORK!K1576</f>
        <v>345.47</v>
      </c>
      <c r="G188" s="353">
        <f t="shared" si="5"/>
        <v>0</v>
      </c>
      <c r="H188" s="708" t="s">
        <v>2322</v>
      </c>
    </row>
    <row r="189" spans="1:8" s="360" customFormat="1" ht="15" hidden="1" customHeight="1">
      <c r="A189" s="356" t="s">
        <v>491</v>
      </c>
      <c r="B189" s="927" t="s">
        <v>2627</v>
      </c>
      <c r="C189" s="707" t="s">
        <v>959</v>
      </c>
      <c r="D189" s="358">
        <f>WORK!I1583</f>
        <v>0</v>
      </c>
      <c r="E189" s="354" t="s">
        <v>102</v>
      </c>
      <c r="F189" s="355">
        <f>WORK!K1583</f>
        <v>19.87</v>
      </c>
      <c r="G189" s="353">
        <f t="shared" si="5"/>
        <v>0</v>
      </c>
      <c r="H189" s="708" t="s">
        <v>2226</v>
      </c>
    </row>
    <row r="190" spans="1:8" s="360" customFormat="1" ht="15" hidden="1" customHeight="1">
      <c r="A190" s="356" t="s">
        <v>491</v>
      </c>
      <c r="B190" s="927" t="s">
        <v>2627</v>
      </c>
      <c r="C190" s="707" t="s">
        <v>959</v>
      </c>
      <c r="D190" s="358">
        <f>WORK!I1590</f>
        <v>0</v>
      </c>
      <c r="E190" s="354" t="s">
        <v>102</v>
      </c>
      <c r="F190" s="355">
        <f>WORK!K1590</f>
        <v>21.19</v>
      </c>
      <c r="G190" s="353">
        <f t="shared" si="5"/>
        <v>0</v>
      </c>
      <c r="H190" s="708" t="s">
        <v>2308</v>
      </c>
    </row>
    <row r="191" spans="1:8" s="360" customFormat="1" ht="15" hidden="1" customHeight="1">
      <c r="A191" s="356" t="s">
        <v>491</v>
      </c>
      <c r="B191" s="927" t="s">
        <v>2627</v>
      </c>
      <c r="C191" s="707" t="s">
        <v>959</v>
      </c>
      <c r="D191" s="358">
        <f>WORK!I1597</f>
        <v>0</v>
      </c>
      <c r="E191" s="354" t="s">
        <v>102</v>
      </c>
      <c r="F191" s="355">
        <f>WORK!K1597</f>
        <v>22.35</v>
      </c>
      <c r="G191" s="353">
        <f t="shared" ref="G191:G219" si="6">ROUND(D191*F191,0)</f>
        <v>0</v>
      </c>
      <c r="H191" s="708" t="s">
        <v>2321</v>
      </c>
    </row>
    <row r="192" spans="1:8" s="360" customFormat="1" ht="15" hidden="1" customHeight="1">
      <c r="A192" s="356" t="s">
        <v>491</v>
      </c>
      <c r="B192" s="927" t="s">
        <v>2627</v>
      </c>
      <c r="C192" s="707" t="s">
        <v>959</v>
      </c>
      <c r="D192" s="358">
        <f>WORK!I1604</f>
        <v>0</v>
      </c>
      <c r="E192" s="354" t="s">
        <v>102</v>
      </c>
      <c r="F192" s="355">
        <f>WORK!K1604</f>
        <v>24.05</v>
      </c>
      <c r="G192" s="353">
        <f t="shared" si="6"/>
        <v>0</v>
      </c>
      <c r="H192" s="708" t="s">
        <v>2322</v>
      </c>
    </row>
    <row r="193" spans="1:8" s="360" customFormat="1">
      <c r="A193" s="356" t="s">
        <v>486</v>
      </c>
      <c r="B193" s="927" t="s">
        <v>2628</v>
      </c>
      <c r="C193" s="707" t="s">
        <v>960</v>
      </c>
      <c r="D193" s="358">
        <f>WORK!I1626</f>
        <v>293.25000000000011</v>
      </c>
      <c r="E193" s="354" t="s">
        <v>102</v>
      </c>
      <c r="F193" s="355">
        <f>WORK!K1626</f>
        <v>148.07</v>
      </c>
      <c r="G193" s="353">
        <f t="shared" si="6"/>
        <v>43422</v>
      </c>
      <c r="H193" s="708" t="s">
        <v>2226</v>
      </c>
    </row>
    <row r="194" spans="1:8" s="360" customFormat="1" hidden="1">
      <c r="A194" s="356" t="s">
        <v>488</v>
      </c>
      <c r="B194" s="927" t="s">
        <v>2628</v>
      </c>
      <c r="C194" s="707" t="s">
        <v>960</v>
      </c>
      <c r="D194" s="358">
        <f>WORK!I1647</f>
        <v>0</v>
      </c>
      <c r="E194" s="354" t="s">
        <v>102</v>
      </c>
      <c r="F194" s="355">
        <f>WORK!K1647</f>
        <v>155.29</v>
      </c>
      <c r="G194" s="353">
        <f t="shared" si="6"/>
        <v>0</v>
      </c>
      <c r="H194" s="708" t="s">
        <v>2308</v>
      </c>
    </row>
    <row r="195" spans="1:8" s="360" customFormat="1" ht="15" hidden="1" customHeight="1">
      <c r="A195" s="356" t="s">
        <v>1520</v>
      </c>
      <c r="B195" s="927" t="s">
        <v>2628</v>
      </c>
      <c r="C195" s="707" t="s">
        <v>960</v>
      </c>
      <c r="D195" s="358">
        <f>WORK!I1665</f>
        <v>0</v>
      </c>
      <c r="E195" s="354" t="s">
        <v>102</v>
      </c>
      <c r="F195" s="355">
        <f>WORK!K1665</f>
        <v>160.76</v>
      </c>
      <c r="G195" s="353">
        <f t="shared" si="6"/>
        <v>0</v>
      </c>
      <c r="H195" s="708" t="s">
        <v>2321</v>
      </c>
    </row>
    <row r="196" spans="1:8" s="360" customFormat="1" ht="15" hidden="1" customHeight="1">
      <c r="A196" s="356" t="s">
        <v>495</v>
      </c>
      <c r="B196" s="927" t="s">
        <v>2628</v>
      </c>
      <c r="C196" s="707" t="s">
        <v>960</v>
      </c>
      <c r="D196" s="358">
        <f>WORK!I1688</f>
        <v>0</v>
      </c>
      <c r="E196" s="354" t="s">
        <v>102</v>
      </c>
      <c r="F196" s="355">
        <f>WORK!K1688</f>
        <v>173.73</v>
      </c>
      <c r="G196" s="353">
        <f t="shared" si="6"/>
        <v>0</v>
      </c>
      <c r="H196" s="708" t="s">
        <v>2322</v>
      </c>
    </row>
    <row r="197" spans="1:8" s="360" customFormat="1" hidden="1">
      <c r="A197" s="356" t="s">
        <v>1518</v>
      </c>
      <c r="B197" s="927" t="s">
        <v>2629</v>
      </c>
      <c r="C197" s="707" t="s">
        <v>1165</v>
      </c>
      <c r="D197" s="358">
        <f>WORK!I1710</f>
        <v>293.25000000000011</v>
      </c>
      <c r="E197" s="354" t="s">
        <v>102</v>
      </c>
      <c r="F197" s="355">
        <f>WORK!K1710</f>
        <v>122.02</v>
      </c>
      <c r="G197" s="353">
        <f t="shared" si="6"/>
        <v>35782</v>
      </c>
      <c r="H197" s="708" t="s">
        <v>2226</v>
      </c>
    </row>
    <row r="198" spans="1:8" s="360" customFormat="1" hidden="1">
      <c r="A198" s="356" t="s">
        <v>489</v>
      </c>
      <c r="B198" s="927" t="s">
        <v>2629</v>
      </c>
      <c r="C198" s="707" t="s">
        <v>1165</v>
      </c>
      <c r="D198" s="358">
        <f>WORK!I1731</f>
        <v>0</v>
      </c>
      <c r="E198" s="354" t="s">
        <v>102</v>
      </c>
      <c r="F198" s="355">
        <f>WORK!K1731</f>
        <v>129.35</v>
      </c>
      <c r="G198" s="353">
        <f t="shared" si="6"/>
        <v>0</v>
      </c>
      <c r="H198" s="708" t="s">
        <v>2308</v>
      </c>
    </row>
    <row r="199" spans="1:8" s="360" customFormat="1" ht="15" hidden="1" customHeight="1">
      <c r="A199" s="356" t="s">
        <v>1521</v>
      </c>
      <c r="B199" s="927" t="s">
        <v>2629</v>
      </c>
      <c r="C199" s="707" t="s">
        <v>1165</v>
      </c>
      <c r="D199" s="358">
        <f>WORK!I1749</f>
        <v>0</v>
      </c>
      <c r="E199" s="354" t="s">
        <v>102</v>
      </c>
      <c r="F199" s="355">
        <f>WORK!K1749</f>
        <v>134.97</v>
      </c>
      <c r="G199" s="353">
        <f t="shared" si="6"/>
        <v>0</v>
      </c>
      <c r="H199" s="708" t="s">
        <v>2321</v>
      </c>
    </row>
    <row r="200" spans="1:8" s="360" customFormat="1" ht="15" customHeight="1">
      <c r="A200" s="356" t="s">
        <v>487</v>
      </c>
      <c r="B200" s="927" t="s">
        <v>2629</v>
      </c>
      <c r="C200" s="707" t="s">
        <v>1165</v>
      </c>
      <c r="D200" s="358">
        <f>WORK!I1756</f>
        <v>0</v>
      </c>
      <c r="E200" s="354" t="s">
        <v>102</v>
      </c>
      <c r="F200" s="355">
        <f>WORK!K1756</f>
        <v>146.82</v>
      </c>
      <c r="G200" s="353">
        <f t="shared" si="6"/>
        <v>0</v>
      </c>
      <c r="H200" s="708" t="s">
        <v>2322</v>
      </c>
    </row>
    <row r="201" spans="1:8" s="360" customFormat="1" hidden="1">
      <c r="A201" s="356" t="s">
        <v>1520</v>
      </c>
      <c r="B201" s="927" t="s">
        <v>2630</v>
      </c>
      <c r="C201" s="707" t="s">
        <v>1166</v>
      </c>
      <c r="D201" s="358">
        <f>WORK!I1785</f>
        <v>206.78999999999996</v>
      </c>
      <c r="E201" s="354" t="s">
        <v>102</v>
      </c>
      <c r="F201" s="355">
        <f>WORK!K1785</f>
        <v>166.22</v>
      </c>
      <c r="G201" s="353">
        <f t="shared" si="6"/>
        <v>34373</v>
      </c>
      <c r="H201" s="708" t="s">
        <v>2226</v>
      </c>
    </row>
    <row r="202" spans="1:8" s="360" customFormat="1" hidden="1">
      <c r="A202" s="356" t="s">
        <v>490</v>
      </c>
      <c r="B202" s="927" t="s">
        <v>2630</v>
      </c>
      <c r="C202" s="707" t="s">
        <v>1166</v>
      </c>
      <c r="D202" s="358">
        <f>WORK!I1796</f>
        <v>0</v>
      </c>
      <c r="E202" s="354" t="s">
        <v>102</v>
      </c>
      <c r="F202" s="355">
        <f>WORK!K1796</f>
        <v>177.63</v>
      </c>
      <c r="G202" s="353">
        <f t="shared" si="6"/>
        <v>0</v>
      </c>
      <c r="H202" s="708" t="s">
        <v>2308</v>
      </c>
    </row>
    <row r="203" spans="1:8" s="360" customFormat="1" ht="15" hidden="1" customHeight="1">
      <c r="A203" s="356" t="s">
        <v>1520</v>
      </c>
      <c r="B203" s="927" t="s">
        <v>2630</v>
      </c>
      <c r="C203" s="707" t="s">
        <v>1166</v>
      </c>
      <c r="D203" s="358">
        <f>WORK!I1821</f>
        <v>0</v>
      </c>
      <c r="E203" s="354" t="s">
        <v>102</v>
      </c>
      <c r="F203" s="355">
        <f>WORK!K1821</f>
        <v>186.27</v>
      </c>
      <c r="G203" s="353">
        <f t="shared" si="6"/>
        <v>0</v>
      </c>
      <c r="H203" s="708" t="s">
        <v>2321</v>
      </c>
    </row>
    <row r="204" spans="1:8" s="360" customFormat="1" ht="15" customHeight="1">
      <c r="A204" s="356" t="s">
        <v>488</v>
      </c>
      <c r="B204" s="927" t="s">
        <v>2630</v>
      </c>
      <c r="C204" s="707" t="s">
        <v>1166</v>
      </c>
      <c r="D204" s="358">
        <f>WORK!I1828</f>
        <v>0</v>
      </c>
      <c r="E204" s="354" t="s">
        <v>102</v>
      </c>
      <c r="F204" s="355">
        <f>WORK!K1828</f>
        <v>200.84</v>
      </c>
      <c r="G204" s="353">
        <f t="shared" si="6"/>
        <v>0</v>
      </c>
      <c r="H204" s="708" t="s">
        <v>2322</v>
      </c>
    </row>
    <row r="205" spans="1:8" s="360" customFormat="1" ht="25.5" hidden="1" customHeight="1">
      <c r="A205" s="356" t="s">
        <v>491</v>
      </c>
      <c r="B205" s="927" t="s">
        <v>2631</v>
      </c>
      <c r="C205" s="707" t="s">
        <v>1224</v>
      </c>
      <c r="D205" s="358">
        <f>WORK!I1884</f>
        <v>0</v>
      </c>
      <c r="E205" s="354" t="s">
        <v>102</v>
      </c>
      <c r="F205" s="355">
        <f>WORK!K1884</f>
        <v>786.87</v>
      </c>
      <c r="G205" s="353">
        <f t="shared" si="6"/>
        <v>0</v>
      </c>
      <c r="H205" s="708" t="s">
        <v>2226</v>
      </c>
    </row>
    <row r="206" spans="1:8" s="360" customFormat="1" ht="25.5" hidden="1" customHeight="1">
      <c r="A206" s="356" t="s">
        <v>491</v>
      </c>
      <c r="B206" s="927" t="s">
        <v>2631</v>
      </c>
      <c r="C206" s="707" t="s">
        <v>1224</v>
      </c>
      <c r="D206" s="358">
        <f>WORK!I1889</f>
        <v>0</v>
      </c>
      <c r="E206" s="354" t="s">
        <v>102</v>
      </c>
      <c r="F206" s="355">
        <f>WORK!K1889</f>
        <v>849.67000000000007</v>
      </c>
      <c r="G206" s="353">
        <f t="shared" si="6"/>
        <v>0</v>
      </c>
      <c r="H206" s="708" t="s">
        <v>2308</v>
      </c>
    </row>
    <row r="207" spans="1:8" s="360" customFormat="1" ht="25.5" hidden="1" customHeight="1">
      <c r="A207" s="356" t="s">
        <v>491</v>
      </c>
      <c r="B207" s="927" t="s">
        <v>2631</v>
      </c>
      <c r="C207" s="707" t="s">
        <v>1224</v>
      </c>
      <c r="D207" s="358">
        <f>WORK!I1894</f>
        <v>0</v>
      </c>
      <c r="E207" s="354" t="s">
        <v>102</v>
      </c>
      <c r="F207" s="355">
        <f>WORK!K1894</f>
        <v>897.27</v>
      </c>
      <c r="G207" s="353">
        <f t="shared" si="6"/>
        <v>0</v>
      </c>
      <c r="H207" s="708" t="s">
        <v>2321</v>
      </c>
    </row>
    <row r="208" spans="1:8" s="360" customFormat="1" ht="25.5" hidden="1" customHeight="1">
      <c r="A208" s="356" t="s">
        <v>491</v>
      </c>
      <c r="B208" s="927" t="s">
        <v>2631</v>
      </c>
      <c r="C208" s="707" t="s">
        <v>1224</v>
      </c>
      <c r="D208" s="358">
        <f>WORK!I1899</f>
        <v>0</v>
      </c>
      <c r="E208" s="354" t="s">
        <v>102</v>
      </c>
      <c r="F208" s="355">
        <f>WORK!K1899</f>
        <v>968.78</v>
      </c>
      <c r="G208" s="353">
        <f t="shared" si="6"/>
        <v>0</v>
      </c>
      <c r="H208" s="708" t="s">
        <v>2322</v>
      </c>
    </row>
    <row r="209" spans="1:10" s="360" customFormat="1" ht="25.5" hidden="1">
      <c r="A209" s="356" t="s">
        <v>497</v>
      </c>
      <c r="B209" s="927" t="s">
        <v>2632</v>
      </c>
      <c r="C209" s="707" t="s">
        <v>706</v>
      </c>
      <c r="D209" s="429">
        <f>WORK!I1904</f>
        <v>0</v>
      </c>
      <c r="E209" s="221" t="s">
        <v>102</v>
      </c>
      <c r="F209" s="430">
        <f>WORK!K1904</f>
        <v>3198</v>
      </c>
      <c r="G209" s="353">
        <f t="shared" si="6"/>
        <v>0</v>
      </c>
      <c r="H209" s="708" t="s">
        <v>2226</v>
      </c>
    </row>
    <row r="210" spans="1:10" s="360" customFormat="1" ht="25.5" hidden="1">
      <c r="A210" s="356" t="s">
        <v>491</v>
      </c>
      <c r="B210" s="927" t="s">
        <v>2632</v>
      </c>
      <c r="C210" s="707" t="s">
        <v>706</v>
      </c>
      <c r="D210" s="429">
        <f>WORK!I1909</f>
        <v>0</v>
      </c>
      <c r="E210" s="221" t="s">
        <v>102</v>
      </c>
      <c r="F210" s="430">
        <f>WORK!K1909</f>
        <v>3198</v>
      </c>
      <c r="G210" s="353">
        <f t="shared" si="6"/>
        <v>0</v>
      </c>
      <c r="H210" s="708" t="s">
        <v>2308</v>
      </c>
    </row>
    <row r="211" spans="1:10" s="360" customFormat="1" ht="25.5" hidden="1" customHeight="1">
      <c r="A211" s="356" t="s">
        <v>497</v>
      </c>
      <c r="B211" s="927" t="s">
        <v>2632</v>
      </c>
      <c r="C211" s="707" t="s">
        <v>706</v>
      </c>
      <c r="D211" s="429">
        <f>WORK!I1914</f>
        <v>0</v>
      </c>
      <c r="E211" s="221" t="s">
        <v>102</v>
      </c>
      <c r="F211" s="430">
        <f>WORK!K1914</f>
        <v>3500</v>
      </c>
      <c r="G211" s="353">
        <f t="shared" si="6"/>
        <v>0</v>
      </c>
      <c r="H211" s="708" t="s">
        <v>2321</v>
      </c>
    </row>
    <row r="212" spans="1:10" s="360" customFormat="1" ht="25.5" customHeight="1">
      <c r="A212" s="356" t="s">
        <v>489</v>
      </c>
      <c r="B212" s="927" t="s">
        <v>2632</v>
      </c>
      <c r="C212" s="707" t="s">
        <v>706</v>
      </c>
      <c r="D212" s="429">
        <f>WORK!I1919</f>
        <v>0</v>
      </c>
      <c r="E212" s="221" t="s">
        <v>102</v>
      </c>
      <c r="F212" s="430">
        <f>WORK!K1919</f>
        <v>4025</v>
      </c>
      <c r="G212" s="353">
        <f t="shared" si="6"/>
        <v>0</v>
      </c>
      <c r="H212" s="708" t="s">
        <v>2322</v>
      </c>
    </row>
    <row r="213" spans="1:10" s="360" customFormat="1" ht="25.5" hidden="1">
      <c r="A213" s="356" t="s">
        <v>492</v>
      </c>
      <c r="B213" s="927" t="s">
        <v>2633</v>
      </c>
      <c r="C213" s="707" t="s">
        <v>961</v>
      </c>
      <c r="D213" s="358">
        <f>WORK!I1834</f>
        <v>0</v>
      </c>
      <c r="E213" s="354" t="s">
        <v>102</v>
      </c>
      <c r="F213" s="355">
        <f>WORK!K1834</f>
        <v>172.75</v>
      </c>
      <c r="G213" s="353">
        <f t="shared" si="6"/>
        <v>0</v>
      </c>
      <c r="H213" s="708" t="s">
        <v>2226</v>
      </c>
    </row>
    <row r="214" spans="1:10" s="360" customFormat="1" ht="25.5" hidden="1" customHeight="1">
      <c r="A214" s="356" t="s">
        <v>492</v>
      </c>
      <c r="B214" s="927" t="s">
        <v>2633</v>
      </c>
      <c r="C214" s="707" t="s">
        <v>961</v>
      </c>
      <c r="D214" s="358">
        <f>WORK!I1844</f>
        <v>0</v>
      </c>
      <c r="E214" s="354" t="s">
        <v>102</v>
      </c>
      <c r="F214" s="355">
        <f>WORK!K1844</f>
        <v>132.55000000000001</v>
      </c>
      <c r="G214" s="353">
        <f t="shared" si="6"/>
        <v>0</v>
      </c>
      <c r="H214" s="708" t="s">
        <v>2308</v>
      </c>
    </row>
    <row r="215" spans="1:10" s="360" customFormat="1" ht="25.5" hidden="1" customHeight="1">
      <c r="A215" s="356" t="s">
        <v>492</v>
      </c>
      <c r="B215" s="927" t="s">
        <v>2633</v>
      </c>
      <c r="C215" s="707" t="s">
        <v>961</v>
      </c>
      <c r="D215" s="358">
        <f>WORK!I1850</f>
        <v>0</v>
      </c>
      <c r="E215" s="354" t="s">
        <v>102</v>
      </c>
      <c r="F215" s="355">
        <f>WORK!K1850</f>
        <v>137.6</v>
      </c>
      <c r="G215" s="353">
        <f t="shared" si="6"/>
        <v>0</v>
      </c>
      <c r="H215" s="708" t="s">
        <v>2321</v>
      </c>
    </row>
    <row r="216" spans="1:10" s="360" customFormat="1" ht="25.5" hidden="1" customHeight="1">
      <c r="A216" s="356" t="s">
        <v>492</v>
      </c>
      <c r="B216" s="927" t="s">
        <v>2633</v>
      </c>
      <c r="C216" s="707" t="s">
        <v>961</v>
      </c>
      <c r="D216" s="358">
        <f>WORK!I1855</f>
        <v>0</v>
      </c>
      <c r="E216" s="354" t="s">
        <v>102</v>
      </c>
      <c r="F216" s="355">
        <f>WORK!K1855</f>
        <v>149.86000000000001</v>
      </c>
      <c r="G216" s="353">
        <f t="shared" si="6"/>
        <v>0</v>
      </c>
      <c r="H216" s="708" t="s">
        <v>2322</v>
      </c>
    </row>
    <row r="217" spans="1:10" s="360" customFormat="1" ht="15" hidden="1" customHeight="1">
      <c r="A217" s="356"/>
      <c r="B217" s="927"/>
      <c r="C217" s="932" t="s">
        <v>2277</v>
      </c>
      <c r="D217" s="358">
        <f>WORK!I1861</f>
        <v>0</v>
      </c>
      <c r="E217" s="354" t="s">
        <v>102</v>
      </c>
      <c r="F217" s="355">
        <f>WORK!K1861</f>
        <v>630</v>
      </c>
      <c r="G217" s="353">
        <f t="shared" si="6"/>
        <v>0</v>
      </c>
      <c r="H217" s="708" t="s">
        <v>2226</v>
      </c>
    </row>
    <row r="218" spans="1:10" s="360" customFormat="1" ht="15" hidden="1" customHeight="1">
      <c r="A218" s="356"/>
      <c r="B218" s="927"/>
      <c r="C218" s="932" t="s">
        <v>2277</v>
      </c>
      <c r="D218" s="358">
        <f>WORK!I1867</f>
        <v>0</v>
      </c>
      <c r="E218" s="354" t="s">
        <v>102</v>
      </c>
      <c r="F218" s="355">
        <f>WORK!K1867</f>
        <v>630</v>
      </c>
      <c r="G218" s="353">
        <f t="shared" si="6"/>
        <v>0</v>
      </c>
      <c r="H218" s="708" t="s">
        <v>2308</v>
      </c>
    </row>
    <row r="219" spans="1:10" s="360" customFormat="1" ht="15" hidden="1" customHeight="1">
      <c r="A219" s="356"/>
      <c r="B219" s="927"/>
      <c r="C219" s="932" t="s">
        <v>2277</v>
      </c>
      <c r="D219" s="358">
        <f>WORK!I1873</f>
        <v>0</v>
      </c>
      <c r="E219" s="354" t="s">
        <v>102</v>
      </c>
      <c r="F219" s="355">
        <f>WORK!K1873</f>
        <v>630</v>
      </c>
      <c r="G219" s="353">
        <f t="shared" si="6"/>
        <v>0</v>
      </c>
      <c r="H219" s="708" t="s">
        <v>2321</v>
      </c>
    </row>
    <row r="220" spans="1:10" s="360" customFormat="1" hidden="1">
      <c r="A220" s="356"/>
      <c r="B220" s="927"/>
      <c r="C220" s="932" t="s">
        <v>2277</v>
      </c>
      <c r="D220" s="358">
        <f>WORK!I1879</f>
        <v>0</v>
      </c>
      <c r="E220" s="354" t="s">
        <v>102</v>
      </c>
      <c r="F220" s="355">
        <f>WORK!K1879</f>
        <v>630</v>
      </c>
      <c r="H220" s="708" t="s">
        <v>2322</v>
      </c>
      <c r="J220" s="353">
        <f>ROUND(D220*F220,0)</f>
        <v>0</v>
      </c>
    </row>
    <row r="221" spans="1:10" s="360" customFormat="1" ht="15" hidden="1" customHeight="1">
      <c r="A221" s="356" t="s">
        <v>492</v>
      </c>
      <c r="B221" s="927"/>
      <c r="C221" s="932" t="s">
        <v>1483</v>
      </c>
      <c r="D221" s="358">
        <f>WORK!I1924</f>
        <v>0</v>
      </c>
      <c r="E221" s="354" t="s">
        <v>115</v>
      </c>
      <c r="F221" s="355">
        <f>WORK!K1924</f>
        <v>666.66</v>
      </c>
      <c r="G221" s="353">
        <f t="shared" ref="G221:G252" si="7">ROUND(D221*F221,0)</f>
        <v>0</v>
      </c>
      <c r="H221" s="708" t="s">
        <v>2226</v>
      </c>
    </row>
    <row r="222" spans="1:10" s="360" customFormat="1" ht="15" hidden="1" customHeight="1">
      <c r="A222" s="356" t="s">
        <v>492</v>
      </c>
      <c r="B222" s="927"/>
      <c r="C222" s="932" t="s">
        <v>1483</v>
      </c>
      <c r="D222" s="358">
        <f>WORK!I1929</f>
        <v>0</v>
      </c>
      <c r="E222" s="354" t="s">
        <v>115</v>
      </c>
      <c r="F222" s="355">
        <f>WORK!K1929</f>
        <v>666.66</v>
      </c>
      <c r="G222" s="353">
        <f t="shared" si="7"/>
        <v>0</v>
      </c>
      <c r="H222" s="708" t="s">
        <v>2308</v>
      </c>
    </row>
    <row r="223" spans="1:10" s="360" customFormat="1" ht="15" hidden="1" customHeight="1">
      <c r="A223" s="356" t="s">
        <v>492</v>
      </c>
      <c r="B223" s="927"/>
      <c r="C223" s="932" t="s">
        <v>1483</v>
      </c>
      <c r="D223" s="358">
        <f>WORK!I1934</f>
        <v>0</v>
      </c>
      <c r="E223" s="354" t="s">
        <v>115</v>
      </c>
      <c r="F223" s="355">
        <f>WORK!K1934</f>
        <v>733.33</v>
      </c>
      <c r="G223" s="353">
        <f t="shared" si="7"/>
        <v>0</v>
      </c>
      <c r="H223" s="708" t="s">
        <v>2321</v>
      </c>
    </row>
    <row r="224" spans="1:10" s="360" customFormat="1" ht="15" hidden="1" customHeight="1">
      <c r="A224" s="356" t="s">
        <v>492</v>
      </c>
      <c r="B224" s="927"/>
      <c r="C224" s="932" t="s">
        <v>1483</v>
      </c>
      <c r="D224" s="358">
        <f>WORK!I1939</f>
        <v>0</v>
      </c>
      <c r="E224" s="354" t="s">
        <v>115</v>
      </c>
      <c r="F224" s="355">
        <f>WORK!K1939</f>
        <v>808</v>
      </c>
      <c r="G224" s="353">
        <f t="shared" si="7"/>
        <v>0</v>
      </c>
      <c r="H224" s="708" t="s">
        <v>2322</v>
      </c>
    </row>
    <row r="225" spans="1:8" s="360" customFormat="1" ht="15" hidden="1" customHeight="1">
      <c r="A225" s="356" t="s">
        <v>492</v>
      </c>
      <c r="B225" s="927"/>
      <c r="C225" s="932" t="s">
        <v>1484</v>
      </c>
      <c r="D225" s="358">
        <f>WORK!I1944</f>
        <v>0</v>
      </c>
      <c r="E225" s="354" t="s">
        <v>115</v>
      </c>
      <c r="F225" s="355">
        <f>WORK!K1944</f>
        <v>500</v>
      </c>
      <c r="G225" s="353">
        <f t="shared" si="7"/>
        <v>0</v>
      </c>
      <c r="H225" s="708" t="s">
        <v>2226</v>
      </c>
    </row>
    <row r="226" spans="1:8" s="360" customFormat="1" ht="15" hidden="1" customHeight="1">
      <c r="A226" s="356" t="s">
        <v>492</v>
      </c>
      <c r="B226" s="927"/>
      <c r="C226" s="932" t="s">
        <v>1484</v>
      </c>
      <c r="D226" s="358">
        <f>WORK!I1949</f>
        <v>0</v>
      </c>
      <c r="E226" s="354" t="s">
        <v>115</v>
      </c>
      <c r="F226" s="355">
        <f>WORK!K1949</f>
        <v>500</v>
      </c>
      <c r="G226" s="353">
        <f t="shared" si="7"/>
        <v>0</v>
      </c>
      <c r="H226" s="708" t="s">
        <v>2308</v>
      </c>
    </row>
    <row r="227" spans="1:8" s="360" customFormat="1" ht="15" hidden="1" customHeight="1">
      <c r="A227" s="356" t="s">
        <v>492</v>
      </c>
      <c r="B227" s="927"/>
      <c r="C227" s="932" t="s">
        <v>1484</v>
      </c>
      <c r="D227" s="358">
        <f>WORK!I1954</f>
        <v>0</v>
      </c>
      <c r="E227" s="354" t="s">
        <v>115</v>
      </c>
      <c r="F227" s="355">
        <f>WORK!K1954</f>
        <v>550</v>
      </c>
      <c r="G227" s="353">
        <f t="shared" si="7"/>
        <v>0</v>
      </c>
      <c r="H227" s="708" t="s">
        <v>2321</v>
      </c>
    </row>
    <row r="228" spans="1:8" s="360" customFormat="1" ht="15" hidden="1" customHeight="1">
      <c r="A228" s="356" t="s">
        <v>492</v>
      </c>
      <c r="B228" s="927"/>
      <c r="C228" s="932" t="s">
        <v>1484</v>
      </c>
      <c r="D228" s="358">
        <f>WORK!I1959</f>
        <v>0</v>
      </c>
      <c r="E228" s="354" t="s">
        <v>115</v>
      </c>
      <c r="F228" s="355">
        <f>WORK!K1959</f>
        <v>606</v>
      </c>
      <c r="G228" s="353">
        <f t="shared" si="7"/>
        <v>0</v>
      </c>
      <c r="H228" s="708" t="s">
        <v>2322</v>
      </c>
    </row>
    <row r="229" spans="1:8" s="360" customFormat="1" ht="15" hidden="1" customHeight="1">
      <c r="A229" s="356" t="s">
        <v>508</v>
      </c>
      <c r="B229" s="927"/>
      <c r="C229" s="932" t="s">
        <v>1485</v>
      </c>
      <c r="D229" s="358">
        <f>WORK!I1964</f>
        <v>0</v>
      </c>
      <c r="E229" s="354" t="s">
        <v>115</v>
      </c>
      <c r="F229" s="355">
        <f>WORK!K1964</f>
        <v>130</v>
      </c>
      <c r="G229" s="353">
        <f t="shared" si="7"/>
        <v>0</v>
      </c>
      <c r="H229" s="708" t="s">
        <v>2226</v>
      </c>
    </row>
    <row r="230" spans="1:8" s="360" customFormat="1" ht="15" hidden="1" customHeight="1">
      <c r="A230" s="356" t="s">
        <v>508</v>
      </c>
      <c r="B230" s="927"/>
      <c r="C230" s="932" t="s">
        <v>1485</v>
      </c>
      <c r="D230" s="358">
        <f>WORK!I1969</f>
        <v>0</v>
      </c>
      <c r="E230" s="354" t="s">
        <v>115</v>
      </c>
      <c r="F230" s="355">
        <f>WORK!K1969</f>
        <v>130</v>
      </c>
      <c r="G230" s="353">
        <f t="shared" si="7"/>
        <v>0</v>
      </c>
      <c r="H230" s="708" t="s">
        <v>2308</v>
      </c>
    </row>
    <row r="231" spans="1:8" s="360" customFormat="1" ht="15" hidden="1" customHeight="1">
      <c r="A231" s="356" t="s">
        <v>508</v>
      </c>
      <c r="B231" s="927"/>
      <c r="C231" s="932" t="s">
        <v>1485</v>
      </c>
      <c r="D231" s="358">
        <f>WORK!I1974</f>
        <v>0</v>
      </c>
      <c r="E231" s="354" t="s">
        <v>115</v>
      </c>
      <c r="F231" s="355">
        <f>WORK!K1974</f>
        <v>143</v>
      </c>
      <c r="G231" s="353">
        <f t="shared" si="7"/>
        <v>0</v>
      </c>
      <c r="H231" s="708" t="s">
        <v>2321</v>
      </c>
    </row>
    <row r="232" spans="1:8" s="360" customFormat="1" ht="15" hidden="1" customHeight="1">
      <c r="A232" s="356" t="s">
        <v>508</v>
      </c>
      <c r="B232" s="927"/>
      <c r="C232" s="932" t="s">
        <v>1485</v>
      </c>
      <c r="D232" s="358">
        <f>WORK!I1979</f>
        <v>0</v>
      </c>
      <c r="E232" s="354" t="s">
        <v>115</v>
      </c>
      <c r="F232" s="355">
        <f>WORK!K1979</f>
        <v>157</v>
      </c>
      <c r="G232" s="353">
        <f t="shared" si="7"/>
        <v>0</v>
      </c>
      <c r="H232" s="708" t="s">
        <v>2322</v>
      </c>
    </row>
    <row r="233" spans="1:8" s="360" customFormat="1">
      <c r="A233" s="356" t="s">
        <v>490</v>
      </c>
      <c r="B233" s="927" t="s">
        <v>2634</v>
      </c>
      <c r="C233" s="707" t="s">
        <v>477</v>
      </c>
      <c r="D233" s="429">
        <f>WORK!I1989</f>
        <v>4.88</v>
      </c>
      <c r="E233" s="221" t="s">
        <v>29</v>
      </c>
      <c r="F233" s="430">
        <f>WORK!K1989</f>
        <v>62198.5</v>
      </c>
      <c r="G233" s="353">
        <f t="shared" si="7"/>
        <v>303529</v>
      </c>
      <c r="H233" s="708" t="s">
        <v>2226</v>
      </c>
    </row>
    <row r="234" spans="1:8" s="360" customFormat="1" ht="15" hidden="1" customHeight="1">
      <c r="A234" s="356" t="s">
        <v>492</v>
      </c>
      <c r="B234" s="927" t="s">
        <v>2634</v>
      </c>
      <c r="C234" s="707" t="s">
        <v>477</v>
      </c>
      <c r="D234" s="429">
        <f>WORK!I1994</f>
        <v>0</v>
      </c>
      <c r="E234" s="221" t="s">
        <v>29</v>
      </c>
      <c r="F234" s="430">
        <f>WORK!K1994</f>
        <v>62385</v>
      </c>
      <c r="G234" s="353">
        <f t="shared" si="7"/>
        <v>0</v>
      </c>
      <c r="H234" s="708" t="s">
        <v>2308</v>
      </c>
    </row>
    <row r="235" spans="1:8" s="360" customFormat="1" ht="15" hidden="1" customHeight="1">
      <c r="A235" s="356" t="s">
        <v>503</v>
      </c>
      <c r="B235" s="927" t="s">
        <v>2634</v>
      </c>
      <c r="C235" s="707" t="s">
        <v>477</v>
      </c>
      <c r="D235" s="429">
        <f>WORK!I1999</f>
        <v>0</v>
      </c>
      <c r="E235" s="221" t="s">
        <v>29</v>
      </c>
      <c r="F235" s="430">
        <f>WORK!K1999</f>
        <v>79809.5</v>
      </c>
      <c r="G235" s="353">
        <f t="shared" si="7"/>
        <v>0</v>
      </c>
      <c r="H235" s="708" t="s">
        <v>2321</v>
      </c>
    </row>
    <row r="236" spans="1:8" s="360" customFormat="1" ht="15" hidden="1" customHeight="1">
      <c r="A236" s="356" t="s">
        <v>503</v>
      </c>
      <c r="B236" s="927" t="s">
        <v>2634</v>
      </c>
      <c r="C236" s="707" t="s">
        <v>477</v>
      </c>
      <c r="D236" s="429">
        <f>WORK!I2004</f>
        <v>0</v>
      </c>
      <c r="E236" s="221" t="s">
        <v>29</v>
      </c>
      <c r="F236" s="430">
        <f>WORK!K2004</f>
        <v>92466</v>
      </c>
      <c r="G236" s="353">
        <f t="shared" si="7"/>
        <v>0</v>
      </c>
      <c r="H236" s="708" t="s">
        <v>2322</v>
      </c>
    </row>
    <row r="237" spans="1:8" s="26" customFormat="1" hidden="1">
      <c r="A237" s="23"/>
      <c r="B237" s="23"/>
      <c r="C237" s="702" t="s">
        <v>496</v>
      </c>
      <c r="D237" s="28"/>
      <c r="E237" s="224"/>
      <c r="F237" s="37"/>
      <c r="G237" s="11">
        <f t="shared" si="7"/>
        <v>0</v>
      </c>
      <c r="H237" s="708" t="s">
        <v>2226</v>
      </c>
    </row>
    <row r="238" spans="1:8" s="360" customFormat="1" hidden="1">
      <c r="A238" s="356" t="s">
        <v>493</v>
      </c>
      <c r="B238" s="927" t="s">
        <v>2635</v>
      </c>
      <c r="C238" s="707" t="s">
        <v>2068</v>
      </c>
      <c r="D238" s="358">
        <f>FF!I16</f>
        <v>0</v>
      </c>
      <c r="E238" s="354" t="s">
        <v>5</v>
      </c>
      <c r="F238" s="355">
        <f>FF!K16</f>
        <v>9806.8100000000013</v>
      </c>
      <c r="G238" s="353">
        <f t="shared" si="7"/>
        <v>0</v>
      </c>
      <c r="H238" s="708" t="s">
        <v>2226</v>
      </c>
    </row>
    <row r="239" spans="1:8" s="360" customFormat="1" ht="15" hidden="1" customHeight="1">
      <c r="A239" s="356" t="s">
        <v>495</v>
      </c>
      <c r="B239" s="927" t="s">
        <v>2635</v>
      </c>
      <c r="C239" s="707" t="s">
        <v>2068</v>
      </c>
      <c r="D239" s="358">
        <f>FF!I21</f>
        <v>0</v>
      </c>
      <c r="E239" s="354" t="s">
        <v>5</v>
      </c>
      <c r="F239" s="355">
        <f>FF!K21</f>
        <v>10177.17</v>
      </c>
      <c r="G239" s="353">
        <f t="shared" si="7"/>
        <v>0</v>
      </c>
      <c r="H239" s="708" t="s">
        <v>2308</v>
      </c>
    </row>
    <row r="240" spans="1:8" s="360" customFormat="1" ht="15" hidden="1" customHeight="1">
      <c r="A240" s="356" t="s">
        <v>495</v>
      </c>
      <c r="B240" s="927" t="s">
        <v>2635</v>
      </c>
      <c r="C240" s="707" t="s">
        <v>2068</v>
      </c>
      <c r="D240" s="358">
        <f>FF!I30</f>
        <v>0</v>
      </c>
      <c r="E240" s="354" t="s">
        <v>5</v>
      </c>
      <c r="F240" s="355">
        <f>FF!K30</f>
        <v>10761.36</v>
      </c>
      <c r="G240" s="353">
        <f t="shared" si="7"/>
        <v>0</v>
      </c>
      <c r="H240" s="708" t="s">
        <v>2321</v>
      </c>
    </row>
    <row r="241" spans="1:8" s="360" customFormat="1" ht="15" hidden="1" customHeight="1">
      <c r="A241" s="356" t="s">
        <v>495</v>
      </c>
      <c r="B241" s="927" t="s">
        <v>2635</v>
      </c>
      <c r="C241" s="707" t="s">
        <v>2068</v>
      </c>
      <c r="D241" s="358">
        <f>FF!I35</f>
        <v>0</v>
      </c>
      <c r="E241" s="354" t="s">
        <v>5</v>
      </c>
      <c r="F241" s="355">
        <f>FF!K35</f>
        <v>11192.01</v>
      </c>
      <c r="G241" s="353">
        <f t="shared" si="7"/>
        <v>0</v>
      </c>
      <c r="H241" s="708" t="s">
        <v>2322</v>
      </c>
    </row>
    <row r="242" spans="1:8" s="360" customFormat="1">
      <c r="A242" s="356" t="s">
        <v>491</v>
      </c>
      <c r="B242" s="927" t="s">
        <v>2637</v>
      </c>
      <c r="C242" s="707" t="s">
        <v>2070</v>
      </c>
      <c r="D242" s="358">
        <f>FF!I59</f>
        <v>0</v>
      </c>
      <c r="E242" s="354" t="s">
        <v>5</v>
      </c>
      <c r="F242" s="355">
        <f>FF!K59</f>
        <v>9468.130000000001</v>
      </c>
      <c r="G242" s="353">
        <f t="shared" si="7"/>
        <v>0</v>
      </c>
      <c r="H242" s="708" t="s">
        <v>2226</v>
      </c>
    </row>
    <row r="243" spans="1:8" s="360" customFormat="1" ht="15" hidden="1" customHeight="1">
      <c r="A243" s="356" t="s">
        <v>494</v>
      </c>
      <c r="B243" s="927" t="s">
        <v>2637</v>
      </c>
      <c r="C243" s="707" t="s">
        <v>2070</v>
      </c>
      <c r="D243" s="358">
        <f>FF!I74</f>
        <v>0</v>
      </c>
      <c r="E243" s="354" t="s">
        <v>5</v>
      </c>
      <c r="F243" s="355">
        <f>FF!K74</f>
        <v>9694.16</v>
      </c>
      <c r="G243" s="353">
        <f t="shared" si="7"/>
        <v>0</v>
      </c>
      <c r="H243" s="708" t="s">
        <v>2308</v>
      </c>
    </row>
    <row r="244" spans="1:8" s="360" customFormat="1" ht="15" hidden="1" customHeight="1">
      <c r="A244" s="356" t="s">
        <v>1517</v>
      </c>
      <c r="B244" s="927" t="s">
        <v>2637</v>
      </c>
      <c r="C244" s="707" t="s">
        <v>2070</v>
      </c>
      <c r="D244" s="358">
        <f>FF!I98</f>
        <v>0</v>
      </c>
      <c r="E244" s="354" t="s">
        <v>5</v>
      </c>
      <c r="F244" s="355">
        <f>FF!K98</f>
        <v>10194.73</v>
      </c>
      <c r="G244" s="353">
        <f t="shared" si="7"/>
        <v>0</v>
      </c>
      <c r="H244" s="708" t="s">
        <v>2321</v>
      </c>
    </row>
    <row r="245" spans="1:8" s="360" customFormat="1" ht="15" hidden="1" customHeight="1">
      <c r="A245" s="356" t="s">
        <v>1517</v>
      </c>
      <c r="B245" s="927" t="s">
        <v>2637</v>
      </c>
      <c r="C245" s="707" t="s">
        <v>2070</v>
      </c>
      <c r="D245" s="358">
        <f>FF!I104</f>
        <v>0</v>
      </c>
      <c r="E245" s="354" t="s">
        <v>5</v>
      </c>
      <c r="F245" s="355">
        <f>FF!K104</f>
        <v>10490.18</v>
      </c>
      <c r="G245" s="353">
        <f t="shared" si="7"/>
        <v>0</v>
      </c>
      <c r="H245" s="708" t="s">
        <v>2322</v>
      </c>
    </row>
    <row r="246" spans="1:8" s="360" customFormat="1">
      <c r="A246" s="356" t="s">
        <v>1516</v>
      </c>
      <c r="B246" s="927" t="s">
        <v>2638</v>
      </c>
      <c r="C246" s="932" t="s">
        <v>2071</v>
      </c>
      <c r="D246" s="358">
        <f>FF!I140</f>
        <v>0</v>
      </c>
      <c r="E246" s="354" t="s">
        <v>102</v>
      </c>
      <c r="F246" s="355">
        <f>FF!K140</f>
        <v>1231.97</v>
      </c>
      <c r="G246" s="353">
        <f t="shared" si="7"/>
        <v>0</v>
      </c>
      <c r="H246" s="708" t="s">
        <v>2226</v>
      </c>
    </row>
    <row r="247" spans="1:8" s="360" customFormat="1" ht="15" hidden="1" customHeight="1">
      <c r="A247" s="356" t="s">
        <v>495</v>
      </c>
      <c r="B247" s="927" t="s">
        <v>2638</v>
      </c>
      <c r="C247" s="932" t="s">
        <v>2071</v>
      </c>
      <c r="D247" s="358">
        <f>FF!I146</f>
        <v>0</v>
      </c>
      <c r="E247" s="354" t="s">
        <v>102</v>
      </c>
      <c r="F247" s="355">
        <f>FF!K146</f>
        <v>1269.73</v>
      </c>
      <c r="G247" s="353">
        <f t="shared" si="7"/>
        <v>0</v>
      </c>
      <c r="H247" s="708" t="s">
        <v>2308</v>
      </c>
    </row>
    <row r="248" spans="1:8" s="360" customFormat="1" ht="15" hidden="1" customHeight="1">
      <c r="A248" s="356" t="s">
        <v>1518</v>
      </c>
      <c r="B248" s="927" t="s">
        <v>2638</v>
      </c>
      <c r="C248" s="932" t="s">
        <v>2071</v>
      </c>
      <c r="D248" s="358">
        <f>FF!I153</f>
        <v>0</v>
      </c>
      <c r="E248" s="354" t="s">
        <v>102</v>
      </c>
      <c r="F248" s="355">
        <f>FF!K153</f>
        <v>1350.5700000000002</v>
      </c>
      <c r="G248" s="353">
        <f t="shared" si="7"/>
        <v>0</v>
      </c>
      <c r="H248" s="708" t="s">
        <v>2321</v>
      </c>
    </row>
    <row r="249" spans="1:8" s="360" customFormat="1" ht="15" hidden="1" customHeight="1">
      <c r="A249" s="356" t="s">
        <v>1518</v>
      </c>
      <c r="B249" s="927" t="s">
        <v>2638</v>
      </c>
      <c r="C249" s="932" t="s">
        <v>2071</v>
      </c>
      <c r="D249" s="358">
        <f>FF!I159</f>
        <v>0</v>
      </c>
      <c r="E249" s="354" t="s">
        <v>102</v>
      </c>
      <c r="F249" s="355">
        <f>FF!K159</f>
        <v>1395.89</v>
      </c>
      <c r="G249" s="353">
        <f t="shared" si="7"/>
        <v>0</v>
      </c>
      <c r="H249" s="708" t="s">
        <v>2322</v>
      </c>
    </row>
    <row r="250" spans="1:8" s="360" customFormat="1" ht="15" hidden="1" customHeight="1">
      <c r="A250" s="356" t="s">
        <v>487</v>
      </c>
      <c r="B250" s="927" t="s">
        <v>2638</v>
      </c>
      <c r="C250" s="932" t="s">
        <v>2073</v>
      </c>
      <c r="D250" s="358">
        <f>FF!I164</f>
        <v>0</v>
      </c>
      <c r="E250" s="354" t="s">
        <v>102</v>
      </c>
      <c r="F250" s="355">
        <f>FF!K164</f>
        <v>1107.81</v>
      </c>
      <c r="G250" s="353">
        <f t="shared" si="7"/>
        <v>0</v>
      </c>
      <c r="H250" s="708" t="s">
        <v>2226</v>
      </c>
    </row>
    <row r="251" spans="1:8" s="360" customFormat="1" ht="15" hidden="1" customHeight="1">
      <c r="A251" s="356" t="s">
        <v>487</v>
      </c>
      <c r="B251" s="927" t="s">
        <v>2638</v>
      </c>
      <c r="C251" s="932" t="s">
        <v>2073</v>
      </c>
      <c r="D251" s="358">
        <f>FF!I169</f>
        <v>0</v>
      </c>
      <c r="E251" s="354" t="s">
        <v>102</v>
      </c>
      <c r="F251" s="355">
        <f>FF!K169</f>
        <v>1140.19</v>
      </c>
      <c r="G251" s="353">
        <f t="shared" si="7"/>
        <v>0</v>
      </c>
      <c r="H251" s="708" t="s">
        <v>2308</v>
      </c>
    </row>
    <row r="252" spans="1:8" s="360" customFormat="1" ht="15" hidden="1" customHeight="1">
      <c r="A252" s="356" t="s">
        <v>487</v>
      </c>
      <c r="B252" s="927" t="s">
        <v>2638</v>
      </c>
      <c r="C252" s="932" t="s">
        <v>2073</v>
      </c>
      <c r="D252" s="358">
        <f>FF!I174</f>
        <v>0</v>
      </c>
      <c r="E252" s="354" t="s">
        <v>102</v>
      </c>
      <c r="F252" s="355">
        <f>FF!K174</f>
        <v>1214.83</v>
      </c>
      <c r="G252" s="353">
        <f t="shared" si="7"/>
        <v>0</v>
      </c>
      <c r="H252" s="708" t="s">
        <v>2321</v>
      </c>
    </row>
    <row r="253" spans="1:8" s="360" customFormat="1" ht="15" hidden="1" customHeight="1">
      <c r="A253" s="356" t="s">
        <v>487</v>
      </c>
      <c r="B253" s="927" t="s">
        <v>2638</v>
      </c>
      <c r="C253" s="932" t="s">
        <v>2073</v>
      </c>
      <c r="D253" s="358">
        <f>FF!I179</f>
        <v>0</v>
      </c>
      <c r="E253" s="354" t="s">
        <v>102</v>
      </c>
      <c r="F253" s="355">
        <f>FF!K179</f>
        <v>1253.01</v>
      </c>
      <c r="G253" s="353">
        <f t="shared" ref="G253:G273" si="8">ROUND(D253*F253,0)</f>
        <v>0</v>
      </c>
      <c r="H253" s="708" t="s">
        <v>2322</v>
      </c>
    </row>
    <row r="254" spans="1:8" s="360" customFormat="1">
      <c r="A254" s="356" t="s">
        <v>492</v>
      </c>
      <c r="B254" s="927" t="s">
        <v>2640</v>
      </c>
      <c r="C254" s="707" t="s">
        <v>2072</v>
      </c>
      <c r="D254" s="358">
        <f>FF!I112</f>
        <v>0</v>
      </c>
      <c r="E254" s="221" t="s">
        <v>102</v>
      </c>
      <c r="F254" s="355">
        <f>FF!K112</f>
        <v>1356.1200000000001</v>
      </c>
      <c r="G254" s="353">
        <f t="shared" si="8"/>
        <v>0</v>
      </c>
      <c r="H254" s="708" t="s">
        <v>2226</v>
      </c>
    </row>
    <row r="255" spans="1:8" s="360" customFormat="1" ht="15" hidden="1" customHeight="1">
      <c r="A255" s="356" t="s">
        <v>1517</v>
      </c>
      <c r="B255" s="927" t="s">
        <v>2640</v>
      </c>
      <c r="C255" s="707" t="s">
        <v>2072</v>
      </c>
      <c r="D255" s="358">
        <f>FF!I120</f>
        <v>0</v>
      </c>
      <c r="E255" s="221" t="s">
        <v>102</v>
      </c>
      <c r="F255" s="355">
        <f>FF!K120</f>
        <v>1399.27</v>
      </c>
      <c r="G255" s="353">
        <f t="shared" si="8"/>
        <v>0</v>
      </c>
      <c r="H255" s="708" t="s">
        <v>2308</v>
      </c>
    </row>
    <row r="256" spans="1:8" s="360" customFormat="1" ht="15" hidden="1" customHeight="1">
      <c r="A256" s="356" t="s">
        <v>1519</v>
      </c>
      <c r="B256" s="927" t="s">
        <v>2640</v>
      </c>
      <c r="C256" s="707" t="s">
        <v>2072</v>
      </c>
      <c r="D256" s="358">
        <f>FF!I128</f>
        <v>0</v>
      </c>
      <c r="E256" s="221" t="s">
        <v>102</v>
      </c>
      <c r="F256" s="355">
        <f>FF!K128</f>
        <v>1486.3000000000002</v>
      </c>
      <c r="G256" s="353">
        <f t="shared" si="8"/>
        <v>0</v>
      </c>
      <c r="H256" s="708" t="s">
        <v>2321</v>
      </c>
    </row>
    <row r="257" spans="1:8" s="360" customFormat="1" ht="15" hidden="1" customHeight="1">
      <c r="A257" s="356" t="s">
        <v>1519</v>
      </c>
      <c r="B257" s="927" t="s">
        <v>2640</v>
      </c>
      <c r="C257" s="707" t="s">
        <v>2072</v>
      </c>
      <c r="D257" s="358">
        <f>FF!I133</f>
        <v>0</v>
      </c>
      <c r="E257" s="221" t="s">
        <v>102</v>
      </c>
      <c r="F257" s="355">
        <f>FF!K133</f>
        <v>1538.77</v>
      </c>
      <c r="G257" s="353">
        <f t="shared" si="8"/>
        <v>0</v>
      </c>
      <c r="H257" s="708" t="s">
        <v>2322</v>
      </c>
    </row>
    <row r="258" spans="1:8" s="360" customFormat="1" ht="15" hidden="1" customHeight="1">
      <c r="A258" s="356" t="s">
        <v>517</v>
      </c>
      <c r="B258" s="927" t="s">
        <v>2638</v>
      </c>
      <c r="C258" s="932" t="s">
        <v>2079</v>
      </c>
      <c r="D258" s="358">
        <f>FF!I185</f>
        <v>0</v>
      </c>
      <c r="E258" s="221" t="s">
        <v>102</v>
      </c>
      <c r="F258" s="355">
        <f>FF!K185</f>
        <v>608.34999999999991</v>
      </c>
      <c r="G258" s="353">
        <f t="shared" si="8"/>
        <v>0</v>
      </c>
      <c r="H258" s="708" t="s">
        <v>2226</v>
      </c>
    </row>
    <row r="259" spans="1:8" s="360" customFormat="1" ht="15" hidden="1" customHeight="1">
      <c r="A259" s="356" t="s">
        <v>517</v>
      </c>
      <c r="B259" s="927" t="s">
        <v>2638</v>
      </c>
      <c r="C259" s="932" t="s">
        <v>2079</v>
      </c>
      <c r="D259" s="358">
        <f>FF!I191</f>
        <v>0</v>
      </c>
      <c r="E259" s="221" t="s">
        <v>102</v>
      </c>
      <c r="F259" s="355">
        <f>FF!K191</f>
        <v>629.79</v>
      </c>
      <c r="G259" s="353">
        <f t="shared" si="8"/>
        <v>0</v>
      </c>
      <c r="H259" s="708" t="s">
        <v>2308</v>
      </c>
    </row>
    <row r="260" spans="1:8" s="360" customFormat="1" ht="15" hidden="1" customHeight="1">
      <c r="A260" s="356" t="s">
        <v>517</v>
      </c>
      <c r="B260" s="927" t="s">
        <v>2638</v>
      </c>
      <c r="C260" s="932" t="s">
        <v>2079</v>
      </c>
      <c r="D260" s="358">
        <f>FF!I197</f>
        <v>0</v>
      </c>
      <c r="E260" s="221" t="s">
        <v>102</v>
      </c>
      <c r="F260" s="355">
        <f>FF!K197</f>
        <v>670.91</v>
      </c>
      <c r="G260" s="353">
        <f t="shared" si="8"/>
        <v>0</v>
      </c>
      <c r="H260" s="708" t="s">
        <v>2321</v>
      </c>
    </row>
    <row r="261" spans="1:8" s="360" customFormat="1" ht="15" hidden="1" customHeight="1">
      <c r="A261" s="356" t="s">
        <v>517</v>
      </c>
      <c r="B261" s="927" t="s">
        <v>2638</v>
      </c>
      <c r="C261" s="932" t="s">
        <v>2079</v>
      </c>
      <c r="D261" s="358">
        <f>FF!I203</f>
        <v>0</v>
      </c>
      <c r="E261" s="221" t="s">
        <v>102</v>
      </c>
      <c r="F261" s="355">
        <f>FF!K203</f>
        <v>694.54</v>
      </c>
      <c r="G261" s="353">
        <f t="shared" si="8"/>
        <v>0</v>
      </c>
      <c r="H261" s="708" t="s">
        <v>2322</v>
      </c>
    </row>
    <row r="262" spans="1:8" s="360" customFormat="1" ht="15" hidden="1" customHeight="1">
      <c r="A262" s="356" t="s">
        <v>517</v>
      </c>
      <c r="B262" s="927" t="s">
        <v>2638</v>
      </c>
      <c r="C262" s="932" t="s">
        <v>2080</v>
      </c>
      <c r="D262" s="358">
        <f>FF!I209</f>
        <v>0</v>
      </c>
      <c r="E262" s="221" t="s">
        <v>102</v>
      </c>
      <c r="F262" s="355">
        <f>FF!K209</f>
        <v>485.58</v>
      </c>
      <c r="G262" s="353">
        <f t="shared" si="8"/>
        <v>0</v>
      </c>
      <c r="H262" s="708" t="s">
        <v>2226</v>
      </c>
    </row>
    <row r="263" spans="1:8" s="360" customFormat="1" ht="15" hidden="1" customHeight="1">
      <c r="A263" s="356" t="s">
        <v>517</v>
      </c>
      <c r="B263" s="927" t="s">
        <v>2638</v>
      </c>
      <c r="C263" s="932" t="s">
        <v>2080</v>
      </c>
      <c r="D263" s="358">
        <f>FF!I215</f>
        <v>0</v>
      </c>
      <c r="E263" s="221" t="s">
        <v>102</v>
      </c>
      <c r="F263" s="355">
        <f>FF!K215</f>
        <v>501.74</v>
      </c>
      <c r="G263" s="353">
        <f t="shared" si="8"/>
        <v>0</v>
      </c>
      <c r="H263" s="708" t="s">
        <v>2308</v>
      </c>
    </row>
    <row r="264" spans="1:8" s="360" customFormat="1" ht="15" hidden="1" customHeight="1">
      <c r="A264" s="356" t="s">
        <v>517</v>
      </c>
      <c r="B264" s="927" t="s">
        <v>2638</v>
      </c>
      <c r="C264" s="932" t="s">
        <v>2080</v>
      </c>
      <c r="D264" s="358">
        <f>FF!I221</f>
        <v>0</v>
      </c>
      <c r="E264" s="221" t="s">
        <v>102</v>
      </c>
      <c r="F264" s="355">
        <f>FF!K221</f>
        <v>536.78</v>
      </c>
      <c r="G264" s="353">
        <f t="shared" si="8"/>
        <v>0</v>
      </c>
      <c r="H264" s="708" t="s">
        <v>2321</v>
      </c>
    </row>
    <row r="265" spans="1:8" s="360" customFormat="1" ht="15" hidden="1" customHeight="1">
      <c r="A265" s="356" t="s">
        <v>517</v>
      </c>
      <c r="B265" s="927" t="s">
        <v>2638</v>
      </c>
      <c r="C265" s="932" t="s">
        <v>2080</v>
      </c>
      <c r="D265" s="358">
        <f>FF!I227</f>
        <v>0</v>
      </c>
      <c r="E265" s="221" t="s">
        <v>102</v>
      </c>
      <c r="F265" s="355">
        <f>FF!K227</f>
        <v>553.39</v>
      </c>
      <c r="G265" s="353">
        <f t="shared" si="8"/>
        <v>0</v>
      </c>
      <c r="H265" s="708" t="s">
        <v>2322</v>
      </c>
    </row>
    <row r="266" spans="1:8" s="360" customFormat="1">
      <c r="A266" s="356" t="s">
        <v>493</v>
      </c>
      <c r="B266" s="927" t="s">
        <v>2636</v>
      </c>
      <c r="C266" s="707" t="s">
        <v>2076</v>
      </c>
      <c r="D266" s="358">
        <f>FF!I238</f>
        <v>0</v>
      </c>
      <c r="E266" s="354" t="s">
        <v>5</v>
      </c>
      <c r="F266" s="355">
        <f>FF!K238</f>
        <v>9842.01</v>
      </c>
      <c r="G266" s="353">
        <f t="shared" si="8"/>
        <v>0</v>
      </c>
      <c r="H266" s="708" t="s">
        <v>2226</v>
      </c>
    </row>
    <row r="267" spans="1:8" s="360" customFormat="1" ht="15" hidden="1" customHeight="1">
      <c r="A267" s="356" t="s">
        <v>1518</v>
      </c>
      <c r="B267" s="927" t="s">
        <v>2636</v>
      </c>
      <c r="C267" s="707" t="s">
        <v>2076</v>
      </c>
      <c r="D267" s="358">
        <f>FF!I259</f>
        <v>0</v>
      </c>
      <c r="E267" s="354" t="s">
        <v>5</v>
      </c>
      <c r="F267" s="355">
        <f>FF!K259</f>
        <v>10212.370000000001</v>
      </c>
      <c r="G267" s="353">
        <f t="shared" si="8"/>
        <v>0</v>
      </c>
      <c r="H267" s="708" t="s">
        <v>2308</v>
      </c>
    </row>
    <row r="268" spans="1:8" s="360" customFormat="1" ht="15" hidden="1" customHeight="1">
      <c r="A268" s="356" t="s">
        <v>513</v>
      </c>
      <c r="B268" s="927" t="s">
        <v>2636</v>
      </c>
      <c r="C268" s="707" t="s">
        <v>2076</v>
      </c>
      <c r="D268" s="358">
        <f>FF!I270</f>
        <v>0</v>
      </c>
      <c r="E268" s="354" t="s">
        <v>5</v>
      </c>
      <c r="F268" s="355">
        <f>FF!K270</f>
        <v>10781.86</v>
      </c>
      <c r="G268" s="353">
        <f t="shared" si="8"/>
        <v>0</v>
      </c>
      <c r="H268" s="708" t="s">
        <v>2321</v>
      </c>
    </row>
    <row r="269" spans="1:8" s="360" customFormat="1" ht="15" hidden="1" customHeight="1">
      <c r="A269" s="356" t="s">
        <v>513</v>
      </c>
      <c r="B269" s="927" t="s">
        <v>2636</v>
      </c>
      <c r="C269" s="707" t="s">
        <v>2076</v>
      </c>
      <c r="D269" s="358">
        <f>FF!I276</f>
        <v>0</v>
      </c>
      <c r="E269" s="354" t="s">
        <v>5</v>
      </c>
      <c r="F269" s="355">
        <f>FF!K276</f>
        <v>11212.51</v>
      </c>
      <c r="G269" s="353">
        <f t="shared" si="8"/>
        <v>0</v>
      </c>
      <c r="H269" s="708" t="s">
        <v>2322</v>
      </c>
    </row>
    <row r="270" spans="1:8" s="360" customFormat="1">
      <c r="A270" s="356" t="s">
        <v>494</v>
      </c>
      <c r="B270" s="927" t="s">
        <v>2639</v>
      </c>
      <c r="C270" s="707" t="s">
        <v>2077</v>
      </c>
      <c r="D270" s="358">
        <f>FF!I282</f>
        <v>0</v>
      </c>
      <c r="E270" s="221" t="s">
        <v>277</v>
      </c>
      <c r="F270" s="355">
        <f>FF!K282</f>
        <v>568.34999999999991</v>
      </c>
      <c r="G270" s="353">
        <f t="shared" si="8"/>
        <v>0</v>
      </c>
      <c r="H270" s="708" t="s">
        <v>2226</v>
      </c>
    </row>
    <row r="271" spans="1:8" s="360" customFormat="1" ht="15" hidden="1" customHeight="1">
      <c r="A271" s="356" t="s">
        <v>1519</v>
      </c>
      <c r="B271" s="927" t="s">
        <v>2639</v>
      </c>
      <c r="C271" s="707" t="s">
        <v>2077</v>
      </c>
      <c r="D271" s="358">
        <f>FF!I288</f>
        <v>0</v>
      </c>
      <c r="E271" s="221" t="s">
        <v>277</v>
      </c>
      <c r="F271" s="355">
        <f>FF!K288</f>
        <v>582.93999999999994</v>
      </c>
      <c r="G271" s="353">
        <f t="shared" si="8"/>
        <v>0</v>
      </c>
      <c r="H271" s="708" t="s">
        <v>2308</v>
      </c>
    </row>
    <row r="272" spans="1:8" s="360" customFormat="1" ht="15" hidden="1" customHeight="1">
      <c r="A272" s="356" t="s">
        <v>515</v>
      </c>
      <c r="B272" s="927" t="s">
        <v>2639</v>
      </c>
      <c r="C272" s="707" t="s">
        <v>2077</v>
      </c>
      <c r="D272" s="358">
        <f>FF!I295</f>
        <v>0</v>
      </c>
      <c r="E272" s="221" t="s">
        <v>277</v>
      </c>
      <c r="F272" s="355">
        <f>FF!K295</f>
        <v>613.88</v>
      </c>
      <c r="G272" s="353">
        <f t="shared" si="8"/>
        <v>0</v>
      </c>
      <c r="H272" s="708" t="s">
        <v>2321</v>
      </c>
    </row>
    <row r="273" spans="1:10" s="360" customFormat="1" ht="15" hidden="1" customHeight="1">
      <c r="A273" s="356" t="s">
        <v>515</v>
      </c>
      <c r="B273" s="927" t="s">
        <v>2639</v>
      </c>
      <c r="C273" s="707" t="s">
        <v>2077</v>
      </c>
      <c r="D273" s="358">
        <f>FF!I301</f>
        <v>0</v>
      </c>
      <c r="E273" s="221" t="s">
        <v>277</v>
      </c>
      <c r="F273" s="355">
        <f>FF!K301</f>
        <v>630.35</v>
      </c>
      <c r="G273" s="353">
        <f t="shared" si="8"/>
        <v>0</v>
      </c>
      <c r="H273" s="708" t="s">
        <v>2322</v>
      </c>
    </row>
    <row r="274" spans="1:10" s="360" customFormat="1" hidden="1">
      <c r="A274" s="356" t="s">
        <v>497</v>
      </c>
      <c r="B274" s="927"/>
      <c r="C274" s="932" t="s">
        <v>1480</v>
      </c>
      <c r="D274" s="358">
        <f>FF!I307</f>
        <v>0</v>
      </c>
      <c r="E274" s="221" t="s">
        <v>102</v>
      </c>
      <c r="F274" s="355">
        <f>FF!K307</f>
        <v>278.81</v>
      </c>
      <c r="H274" s="708" t="s">
        <v>2226</v>
      </c>
      <c r="J274" s="353">
        <f>ROUND(D274*F274,0)</f>
        <v>0</v>
      </c>
    </row>
    <row r="275" spans="1:10" s="360" customFormat="1" ht="15" hidden="1" customHeight="1">
      <c r="A275" s="356" t="s">
        <v>497</v>
      </c>
      <c r="B275" s="927"/>
      <c r="C275" s="932" t="s">
        <v>1480</v>
      </c>
      <c r="D275" s="358">
        <f>FF!I314</f>
        <v>0</v>
      </c>
      <c r="E275" s="221" t="s">
        <v>102</v>
      </c>
      <c r="F275" s="355">
        <f>FF!K314</f>
        <v>300.63</v>
      </c>
      <c r="H275" s="708" t="s">
        <v>2308</v>
      </c>
      <c r="J275" s="353">
        <f>ROUND(D275*F275,0)</f>
        <v>0</v>
      </c>
    </row>
    <row r="276" spans="1:10" s="360" customFormat="1" ht="15" hidden="1" customHeight="1">
      <c r="A276" s="356" t="s">
        <v>497</v>
      </c>
      <c r="B276" s="927"/>
      <c r="C276" s="932" t="s">
        <v>1480</v>
      </c>
      <c r="D276" s="358">
        <f>FF!I320</f>
        <v>0</v>
      </c>
      <c r="E276" s="221" t="s">
        <v>102</v>
      </c>
      <c r="F276" s="355">
        <f>FF!K320</f>
        <v>319.08</v>
      </c>
      <c r="G276" s="353">
        <f t="shared" ref="G276:G289" si="9">ROUND(D276*F276,0)</f>
        <v>0</v>
      </c>
      <c r="H276" s="708" t="s">
        <v>2321</v>
      </c>
    </row>
    <row r="277" spans="1:10" s="360" customFormat="1" ht="15" hidden="1" customHeight="1">
      <c r="A277" s="356" t="s">
        <v>497</v>
      </c>
      <c r="B277" s="927"/>
      <c r="C277" s="932" t="s">
        <v>1480</v>
      </c>
      <c r="D277" s="358">
        <f>FF!I326</f>
        <v>0</v>
      </c>
      <c r="E277" s="221" t="s">
        <v>102</v>
      </c>
      <c r="F277" s="355">
        <f>FF!K326</f>
        <v>339.16</v>
      </c>
      <c r="G277" s="353">
        <f t="shared" si="9"/>
        <v>0</v>
      </c>
      <c r="H277" s="708" t="s">
        <v>2322</v>
      </c>
    </row>
    <row r="278" spans="1:10" s="360" customFormat="1" hidden="1">
      <c r="A278" s="356" t="s">
        <v>520</v>
      </c>
      <c r="B278" s="927" t="s">
        <v>2645</v>
      </c>
      <c r="C278" s="932" t="s">
        <v>1481</v>
      </c>
      <c r="D278" s="358">
        <f>FF!I332</f>
        <v>0</v>
      </c>
      <c r="E278" s="221" t="s">
        <v>102</v>
      </c>
      <c r="F278" s="355">
        <f>FF!K332</f>
        <v>356.32</v>
      </c>
      <c r="G278" s="353">
        <f t="shared" si="9"/>
        <v>0</v>
      </c>
      <c r="H278" s="708" t="s">
        <v>2226</v>
      </c>
    </row>
    <row r="279" spans="1:10" s="360" customFormat="1" ht="15" hidden="1" customHeight="1">
      <c r="A279" s="356" t="s">
        <v>520</v>
      </c>
      <c r="B279" s="927" t="s">
        <v>2645</v>
      </c>
      <c r="C279" s="932" t="s">
        <v>1481</v>
      </c>
      <c r="D279" s="358">
        <f>FF!I338</f>
        <v>0</v>
      </c>
      <c r="E279" s="221" t="s">
        <v>102</v>
      </c>
      <c r="F279" s="355">
        <f>FF!K338</f>
        <v>385.97</v>
      </c>
      <c r="G279" s="353">
        <f t="shared" si="9"/>
        <v>0</v>
      </c>
      <c r="H279" s="708" t="s">
        <v>2308</v>
      </c>
    </row>
    <row r="280" spans="1:10" s="360" customFormat="1" ht="15" hidden="1" customHeight="1">
      <c r="A280" s="356" t="s">
        <v>520</v>
      </c>
      <c r="B280" s="927" t="s">
        <v>2645</v>
      </c>
      <c r="C280" s="932" t="s">
        <v>1481</v>
      </c>
      <c r="D280" s="358">
        <f>FF!I344</f>
        <v>0</v>
      </c>
      <c r="E280" s="221" t="s">
        <v>102</v>
      </c>
      <c r="F280" s="355">
        <f>FF!K344</f>
        <v>410.82</v>
      </c>
      <c r="G280" s="353">
        <f t="shared" si="9"/>
        <v>0</v>
      </c>
      <c r="H280" s="708" t="s">
        <v>2321</v>
      </c>
    </row>
    <row r="281" spans="1:10" s="360" customFormat="1" ht="15" hidden="1" customHeight="1">
      <c r="A281" s="356" t="s">
        <v>520</v>
      </c>
      <c r="B281" s="927" t="s">
        <v>2645</v>
      </c>
      <c r="C281" s="932" t="s">
        <v>1481</v>
      </c>
      <c r="D281" s="358">
        <f>FF!I350</f>
        <v>0</v>
      </c>
      <c r="E281" s="221" t="s">
        <v>102</v>
      </c>
      <c r="F281" s="355">
        <f>FF!K350</f>
        <v>438.06</v>
      </c>
      <c r="G281" s="353">
        <f t="shared" si="9"/>
        <v>0</v>
      </c>
      <c r="H281" s="708" t="s">
        <v>2322</v>
      </c>
    </row>
    <row r="282" spans="1:10" s="360" customFormat="1">
      <c r="A282" s="356" t="s">
        <v>495</v>
      </c>
      <c r="B282" s="927" t="s">
        <v>2614</v>
      </c>
      <c r="C282" s="707" t="s">
        <v>829</v>
      </c>
      <c r="D282" s="358">
        <f>FF!I396</f>
        <v>0</v>
      </c>
      <c r="E282" s="354" t="s">
        <v>5</v>
      </c>
      <c r="F282" s="355">
        <f>FF!K396</f>
        <v>5961.27</v>
      </c>
      <c r="G282" s="353">
        <f t="shared" si="9"/>
        <v>0</v>
      </c>
      <c r="H282" s="708" t="s">
        <v>2226</v>
      </c>
    </row>
    <row r="283" spans="1:10" s="360" customFormat="1" ht="15" hidden="1" customHeight="1">
      <c r="A283" s="356" t="s">
        <v>1520</v>
      </c>
      <c r="B283" s="927" t="s">
        <v>2614</v>
      </c>
      <c r="C283" s="707" t="s">
        <v>829</v>
      </c>
      <c r="D283" s="358">
        <f>FF!I435</f>
        <v>0</v>
      </c>
      <c r="E283" s="354" t="s">
        <v>5</v>
      </c>
      <c r="F283" s="355">
        <f>FF!K435</f>
        <v>6135.0899999999992</v>
      </c>
      <c r="G283" s="353">
        <f t="shared" si="9"/>
        <v>0</v>
      </c>
      <c r="H283" s="708" t="s">
        <v>2308</v>
      </c>
    </row>
    <row r="284" spans="1:10" s="360" customFormat="1" ht="15" hidden="1" customHeight="1">
      <c r="A284" s="356" t="s">
        <v>519</v>
      </c>
      <c r="B284" s="927" t="s">
        <v>2614</v>
      </c>
      <c r="C284" s="707" t="s">
        <v>829</v>
      </c>
      <c r="D284" s="358">
        <f>FF!I454</f>
        <v>0</v>
      </c>
      <c r="E284" s="354" t="s">
        <v>5</v>
      </c>
      <c r="F284" s="355">
        <f>FF!K454</f>
        <v>6558.3</v>
      </c>
      <c r="G284" s="353">
        <f t="shared" si="9"/>
        <v>0</v>
      </c>
      <c r="H284" s="708" t="s">
        <v>2321</v>
      </c>
    </row>
    <row r="285" spans="1:10" s="360" customFormat="1" ht="15" hidden="1" customHeight="1">
      <c r="A285" s="356" t="s">
        <v>519</v>
      </c>
      <c r="B285" s="927" t="s">
        <v>2614</v>
      </c>
      <c r="C285" s="707" t="s">
        <v>829</v>
      </c>
      <c r="D285" s="358">
        <f>FF!I460</f>
        <v>0</v>
      </c>
      <c r="E285" s="354" t="s">
        <v>5</v>
      </c>
      <c r="F285" s="355">
        <f>FF!K460</f>
        <v>7283.96</v>
      </c>
      <c r="G285" s="353">
        <f t="shared" si="9"/>
        <v>0</v>
      </c>
      <c r="H285" s="708" t="s">
        <v>2322</v>
      </c>
    </row>
    <row r="286" spans="1:10" s="360" customFormat="1" ht="15" hidden="1" customHeight="1">
      <c r="A286" s="356" t="s">
        <v>491</v>
      </c>
      <c r="B286" s="927" t="s">
        <v>2612</v>
      </c>
      <c r="C286" s="707" t="s">
        <v>828</v>
      </c>
      <c r="D286" s="358">
        <f>FF!I356</f>
        <v>0</v>
      </c>
      <c r="E286" s="354" t="s">
        <v>5</v>
      </c>
      <c r="F286" s="355">
        <f>FF!K356</f>
        <v>5904.8700000000008</v>
      </c>
      <c r="G286" s="353">
        <f t="shared" si="9"/>
        <v>0</v>
      </c>
      <c r="H286" s="708" t="s">
        <v>2226</v>
      </c>
    </row>
    <row r="287" spans="1:10" s="360" customFormat="1" ht="15" hidden="1" customHeight="1">
      <c r="A287" s="356" t="s">
        <v>491</v>
      </c>
      <c r="B287" s="927" t="s">
        <v>2612</v>
      </c>
      <c r="C287" s="707" t="s">
        <v>828</v>
      </c>
      <c r="D287" s="358">
        <f>FF!I362</f>
        <v>0</v>
      </c>
      <c r="E287" s="354" t="s">
        <v>5</v>
      </c>
      <c r="F287" s="355">
        <f>FF!K362</f>
        <v>6078.69</v>
      </c>
      <c r="G287" s="353">
        <f t="shared" si="9"/>
        <v>0</v>
      </c>
      <c r="H287" s="708" t="s">
        <v>2308</v>
      </c>
    </row>
    <row r="288" spans="1:10" s="360" customFormat="1" ht="15" hidden="1" customHeight="1">
      <c r="A288" s="356" t="s">
        <v>491</v>
      </c>
      <c r="B288" s="927" t="s">
        <v>2612</v>
      </c>
      <c r="C288" s="707" t="s">
        <v>828</v>
      </c>
      <c r="D288" s="358">
        <f>FF!I368</f>
        <v>0</v>
      </c>
      <c r="E288" s="354" t="s">
        <v>5</v>
      </c>
      <c r="F288" s="355">
        <f>FF!K368</f>
        <v>6501.9000000000005</v>
      </c>
      <c r="G288" s="353">
        <f t="shared" si="9"/>
        <v>0</v>
      </c>
      <c r="H288" s="708" t="s">
        <v>2321</v>
      </c>
    </row>
    <row r="289" spans="1:8" s="360" customFormat="1" ht="15" hidden="1" customHeight="1">
      <c r="A289" s="356" t="s">
        <v>491</v>
      </c>
      <c r="B289" s="927" t="s">
        <v>2612</v>
      </c>
      <c r="C289" s="707" t="s">
        <v>828</v>
      </c>
      <c r="D289" s="358">
        <f>FF!I374</f>
        <v>0</v>
      </c>
      <c r="E289" s="354" t="s">
        <v>5</v>
      </c>
      <c r="F289" s="355">
        <f>FF!K374</f>
        <v>7227.5599999999995</v>
      </c>
      <c r="G289" s="353">
        <f t="shared" si="9"/>
        <v>0</v>
      </c>
      <c r="H289" s="708" t="s">
        <v>2322</v>
      </c>
    </row>
    <row r="290" spans="1:8" s="360" customFormat="1" ht="25.5">
      <c r="A290" s="356" t="s">
        <v>1517</v>
      </c>
      <c r="B290" s="927" t="s">
        <v>2613</v>
      </c>
      <c r="C290" s="707" t="s">
        <v>705</v>
      </c>
      <c r="D290" s="358">
        <f>FF!I487</f>
        <v>0</v>
      </c>
      <c r="E290" s="354" t="s">
        <v>102</v>
      </c>
      <c r="F290" s="355">
        <f>FF!K487</f>
        <v>767.73</v>
      </c>
      <c r="G290" s="353">
        <f t="shared" ref="G290:G301" si="10">ROUND(D290*F290/1,0)</f>
        <v>0</v>
      </c>
      <c r="H290" s="708" t="s">
        <v>2226</v>
      </c>
    </row>
    <row r="291" spans="1:8" s="360" customFormat="1" ht="25.5" hidden="1" customHeight="1">
      <c r="A291" s="356" t="s">
        <v>1521</v>
      </c>
      <c r="B291" s="927" t="s">
        <v>2613</v>
      </c>
      <c r="C291" s="707" t="s">
        <v>705</v>
      </c>
      <c r="D291" s="358">
        <f>FF!I520</f>
        <v>0</v>
      </c>
      <c r="E291" s="354" t="s">
        <v>102</v>
      </c>
      <c r="F291" s="355">
        <f>FF!K520</f>
        <v>791.59</v>
      </c>
      <c r="G291" s="353">
        <f t="shared" si="10"/>
        <v>0</v>
      </c>
      <c r="H291" s="708" t="s">
        <v>2308</v>
      </c>
    </row>
    <row r="292" spans="1:8" s="360" customFormat="1" ht="25.5" hidden="1" customHeight="1">
      <c r="A292" s="356" t="s">
        <v>521</v>
      </c>
      <c r="B292" s="927" t="s">
        <v>2613</v>
      </c>
      <c r="C292" s="707" t="s">
        <v>705</v>
      </c>
      <c r="D292" s="358">
        <f>FF!I541</f>
        <v>0</v>
      </c>
      <c r="E292" s="354" t="s">
        <v>102</v>
      </c>
      <c r="F292" s="355">
        <f>FF!K541</f>
        <v>845.07</v>
      </c>
      <c r="G292" s="353">
        <f t="shared" si="10"/>
        <v>0</v>
      </c>
      <c r="H292" s="708" t="s">
        <v>2321</v>
      </c>
    </row>
    <row r="293" spans="1:8" s="360" customFormat="1" ht="25.5" hidden="1" customHeight="1">
      <c r="A293" s="356" t="s">
        <v>521</v>
      </c>
      <c r="B293" s="927" t="s">
        <v>2613</v>
      </c>
      <c r="C293" s="707" t="s">
        <v>705</v>
      </c>
      <c r="D293" s="358">
        <f>FF!I550</f>
        <v>0</v>
      </c>
      <c r="E293" s="354" t="s">
        <v>102</v>
      </c>
      <c r="F293" s="355">
        <f>FF!K550</f>
        <v>929.28</v>
      </c>
      <c r="G293" s="353">
        <f t="shared" si="10"/>
        <v>0</v>
      </c>
      <c r="H293" s="708" t="s">
        <v>2322</v>
      </c>
    </row>
    <row r="294" spans="1:8" s="360" customFormat="1" ht="15" hidden="1" customHeight="1">
      <c r="A294" s="356" t="s">
        <v>483</v>
      </c>
      <c r="B294" s="927" t="s">
        <v>2613</v>
      </c>
      <c r="C294" s="707" t="s">
        <v>1222</v>
      </c>
      <c r="D294" s="358">
        <f>FF!I557</f>
        <v>0</v>
      </c>
      <c r="E294" s="354" t="s">
        <v>102</v>
      </c>
      <c r="F294" s="355">
        <f>FF!K557</f>
        <v>5604.44</v>
      </c>
      <c r="G294" s="353">
        <f t="shared" si="10"/>
        <v>0</v>
      </c>
      <c r="H294" s="708" t="s">
        <v>2226</v>
      </c>
    </row>
    <row r="295" spans="1:8" s="360" customFormat="1" ht="15" hidden="1" customHeight="1">
      <c r="A295" s="356" t="s">
        <v>483</v>
      </c>
      <c r="B295" s="927" t="s">
        <v>2613</v>
      </c>
      <c r="C295" s="707" t="s">
        <v>1222</v>
      </c>
      <c r="D295" s="358">
        <f>FF!I564</f>
        <v>0</v>
      </c>
      <c r="E295" s="354" t="s">
        <v>102</v>
      </c>
      <c r="F295" s="355">
        <f>FF!K564</f>
        <v>5800.61</v>
      </c>
      <c r="G295" s="353">
        <f t="shared" si="10"/>
        <v>0</v>
      </c>
      <c r="H295" s="708" t="s">
        <v>2308</v>
      </c>
    </row>
    <row r="296" spans="1:8" s="360" customFormat="1" ht="15" hidden="1" customHeight="1">
      <c r="A296" s="356" t="s">
        <v>483</v>
      </c>
      <c r="B296" s="927" t="s">
        <v>2613</v>
      </c>
      <c r="C296" s="707" t="s">
        <v>1222</v>
      </c>
      <c r="D296" s="358">
        <f>FF!I571</f>
        <v>0</v>
      </c>
      <c r="E296" s="354" t="s">
        <v>102</v>
      </c>
      <c r="F296" s="355">
        <f>FF!K571</f>
        <v>6321.16</v>
      </c>
      <c r="G296" s="353">
        <f t="shared" si="10"/>
        <v>0</v>
      </c>
      <c r="H296" s="708" t="s">
        <v>2321</v>
      </c>
    </row>
    <row r="297" spans="1:8" s="360" customFormat="1" ht="15" hidden="1" customHeight="1">
      <c r="A297" s="356" t="s">
        <v>483</v>
      </c>
      <c r="B297" s="927" t="s">
        <v>2613</v>
      </c>
      <c r="C297" s="707" t="s">
        <v>1222</v>
      </c>
      <c r="D297" s="358">
        <f>FF!I578</f>
        <v>0</v>
      </c>
      <c r="E297" s="354" t="s">
        <v>102</v>
      </c>
      <c r="F297" s="355">
        <f>FF!K578</f>
        <v>6718.55</v>
      </c>
      <c r="G297" s="353">
        <f t="shared" si="10"/>
        <v>0</v>
      </c>
      <c r="H297" s="708" t="s">
        <v>2322</v>
      </c>
    </row>
    <row r="298" spans="1:8" s="360" customFormat="1" ht="15" hidden="1" customHeight="1">
      <c r="A298" s="356" t="s">
        <v>484</v>
      </c>
      <c r="B298" s="927"/>
      <c r="C298" s="707" t="s">
        <v>1215</v>
      </c>
      <c r="D298" s="358">
        <f>FF!I584</f>
        <v>0</v>
      </c>
      <c r="E298" s="354" t="s">
        <v>102</v>
      </c>
      <c r="F298" s="355">
        <f>FF!K584</f>
        <v>1906.95</v>
      </c>
      <c r="G298" s="353">
        <f t="shared" si="10"/>
        <v>0</v>
      </c>
      <c r="H298" s="708" t="s">
        <v>2226</v>
      </c>
    </row>
    <row r="299" spans="1:8" s="360" customFormat="1" ht="15" hidden="1" customHeight="1">
      <c r="A299" s="356" t="s">
        <v>484</v>
      </c>
      <c r="B299" s="927"/>
      <c r="C299" s="707" t="s">
        <v>1215</v>
      </c>
      <c r="D299" s="358">
        <f>FF!I590</f>
        <v>0</v>
      </c>
      <c r="E299" s="354" t="s">
        <v>102</v>
      </c>
      <c r="F299" s="355">
        <f>FF!K590</f>
        <v>2066.33</v>
      </c>
      <c r="G299" s="353">
        <f t="shared" si="10"/>
        <v>0</v>
      </c>
      <c r="H299" s="708" t="s">
        <v>2308</v>
      </c>
    </row>
    <row r="300" spans="1:8" s="360" customFormat="1" ht="15" hidden="1" customHeight="1">
      <c r="A300" s="356" t="s">
        <v>484</v>
      </c>
      <c r="B300" s="927"/>
      <c r="C300" s="707" t="s">
        <v>1215</v>
      </c>
      <c r="D300" s="358">
        <f>FF!I596</f>
        <v>0</v>
      </c>
      <c r="E300" s="354" t="s">
        <v>102</v>
      </c>
      <c r="F300" s="355">
        <f>FF!K596</f>
        <v>2199.0300000000002</v>
      </c>
      <c r="G300" s="353">
        <f t="shared" si="10"/>
        <v>0</v>
      </c>
      <c r="H300" s="708" t="s">
        <v>2321</v>
      </c>
    </row>
    <row r="301" spans="1:8" s="360" customFormat="1" ht="15" hidden="1" customHeight="1">
      <c r="A301" s="356" t="s">
        <v>484</v>
      </c>
      <c r="B301" s="927"/>
      <c r="C301" s="707" t="s">
        <v>1215</v>
      </c>
      <c r="D301" s="358">
        <f>FF!I602</f>
        <v>0</v>
      </c>
      <c r="E301" s="354" t="s">
        <v>102</v>
      </c>
      <c r="F301" s="355">
        <f>FF!K602</f>
        <v>2346.34</v>
      </c>
      <c r="G301" s="353">
        <f t="shared" si="10"/>
        <v>0</v>
      </c>
      <c r="H301" s="708" t="s">
        <v>2322</v>
      </c>
    </row>
    <row r="302" spans="1:8" s="360" customFormat="1">
      <c r="A302" s="356" t="s">
        <v>1518</v>
      </c>
      <c r="B302" s="927" t="s">
        <v>3207</v>
      </c>
      <c r="C302" s="707" t="s">
        <v>481</v>
      </c>
      <c r="D302" s="358">
        <f>FF!I621</f>
        <v>0</v>
      </c>
      <c r="E302" s="354" t="s">
        <v>102</v>
      </c>
      <c r="F302" s="355">
        <f>FF!K621</f>
        <v>292.7</v>
      </c>
      <c r="G302" s="353">
        <f t="shared" ref="G302:G338" si="11">ROUND(D302*F302,0)</f>
        <v>0</v>
      </c>
      <c r="H302" s="708" t="s">
        <v>2226</v>
      </c>
    </row>
    <row r="303" spans="1:8" s="360" customFormat="1" hidden="1">
      <c r="A303" s="356" t="s">
        <v>497</v>
      </c>
      <c r="B303" s="927" t="s">
        <v>2646</v>
      </c>
      <c r="C303" s="707" t="s">
        <v>481</v>
      </c>
      <c r="D303" s="358">
        <f>FF!I652</f>
        <v>0</v>
      </c>
      <c r="E303" s="354" t="s">
        <v>102</v>
      </c>
      <c r="F303" s="355">
        <f>FF!K652</f>
        <v>313.52</v>
      </c>
      <c r="G303" s="353">
        <f t="shared" si="11"/>
        <v>0</v>
      </c>
      <c r="H303" s="708" t="s">
        <v>2308</v>
      </c>
    </row>
    <row r="304" spans="1:8" s="360" customFormat="1" ht="15" hidden="1" customHeight="1">
      <c r="A304" s="356" t="s">
        <v>516</v>
      </c>
      <c r="B304" s="927" t="s">
        <v>2646</v>
      </c>
      <c r="C304" s="707" t="s">
        <v>481</v>
      </c>
      <c r="D304" s="358">
        <f>FF!I659</f>
        <v>0</v>
      </c>
      <c r="E304" s="354" t="s">
        <v>102</v>
      </c>
      <c r="F304" s="355">
        <f>FF!K659</f>
        <v>332.3</v>
      </c>
      <c r="G304" s="353">
        <f t="shared" si="11"/>
        <v>0</v>
      </c>
      <c r="H304" s="708" t="s">
        <v>2321</v>
      </c>
    </row>
    <row r="305" spans="1:8" s="360" customFormat="1" ht="15" hidden="1" customHeight="1">
      <c r="A305" s="356" t="s">
        <v>516</v>
      </c>
      <c r="B305" s="927" t="s">
        <v>2646</v>
      </c>
      <c r="C305" s="707" t="s">
        <v>481</v>
      </c>
      <c r="D305" s="358">
        <f>FF!I678</f>
        <v>0</v>
      </c>
      <c r="E305" s="354" t="s">
        <v>102</v>
      </c>
      <c r="F305" s="355">
        <f>FF!K678</f>
        <v>351.17</v>
      </c>
      <c r="G305" s="353">
        <f t="shared" si="11"/>
        <v>0</v>
      </c>
      <c r="H305" s="708" t="s">
        <v>2322</v>
      </c>
    </row>
    <row r="306" spans="1:8" s="360" customFormat="1" ht="15" hidden="1" customHeight="1">
      <c r="A306" s="356" t="s">
        <v>516</v>
      </c>
      <c r="B306" s="927" t="s">
        <v>2619</v>
      </c>
      <c r="C306" s="707" t="s">
        <v>505</v>
      </c>
      <c r="D306" s="358">
        <f>FF!I686</f>
        <v>0</v>
      </c>
      <c r="E306" s="354" t="s">
        <v>102</v>
      </c>
      <c r="F306" s="355">
        <f>FF!K686</f>
        <v>265.42</v>
      </c>
      <c r="G306" s="353">
        <f t="shared" si="11"/>
        <v>0</v>
      </c>
      <c r="H306" s="708" t="s">
        <v>2226</v>
      </c>
    </row>
    <row r="307" spans="1:8" s="360" customFormat="1" ht="15" hidden="1" customHeight="1">
      <c r="A307" s="356" t="s">
        <v>516</v>
      </c>
      <c r="B307" s="927" t="s">
        <v>2619</v>
      </c>
      <c r="C307" s="707" t="s">
        <v>505</v>
      </c>
      <c r="D307" s="358">
        <f>FF!I694</f>
        <v>0</v>
      </c>
      <c r="E307" s="354" t="s">
        <v>102</v>
      </c>
      <c r="F307" s="355">
        <f>FF!K694</f>
        <v>286.25</v>
      </c>
      <c r="G307" s="353">
        <f t="shared" si="11"/>
        <v>0</v>
      </c>
      <c r="H307" s="708" t="s">
        <v>2308</v>
      </c>
    </row>
    <row r="308" spans="1:8" s="360" customFormat="1" ht="15" hidden="1" customHeight="1">
      <c r="A308" s="356" t="s">
        <v>516</v>
      </c>
      <c r="B308" s="927" t="s">
        <v>2619</v>
      </c>
      <c r="C308" s="707" t="s">
        <v>505</v>
      </c>
      <c r="D308" s="358">
        <f>FF!I702</f>
        <v>0</v>
      </c>
      <c r="E308" s="354" t="s">
        <v>102</v>
      </c>
      <c r="F308" s="355">
        <f>FF!K702</f>
        <v>304.16000000000003</v>
      </c>
      <c r="G308" s="353">
        <f t="shared" si="11"/>
        <v>0</v>
      </c>
      <c r="H308" s="708" t="s">
        <v>2321</v>
      </c>
    </row>
    <row r="309" spans="1:8" s="360" customFormat="1" ht="15" hidden="1" customHeight="1">
      <c r="A309" s="356" t="s">
        <v>516</v>
      </c>
      <c r="B309" s="927" t="s">
        <v>2619</v>
      </c>
      <c r="C309" s="707" t="s">
        <v>505</v>
      </c>
      <c r="D309" s="358">
        <f>FF!I710</f>
        <v>0</v>
      </c>
      <c r="E309" s="354" t="s">
        <v>102</v>
      </c>
      <c r="F309" s="355">
        <f>FF!K710</f>
        <v>323.04000000000002</v>
      </c>
      <c r="G309" s="353">
        <f t="shared" si="11"/>
        <v>0</v>
      </c>
      <c r="H309" s="708" t="s">
        <v>2322</v>
      </c>
    </row>
    <row r="310" spans="1:8" s="360" customFormat="1" ht="15" hidden="1" customHeight="1">
      <c r="A310" s="356" t="s">
        <v>517</v>
      </c>
      <c r="B310" s="927" t="s">
        <v>2620</v>
      </c>
      <c r="C310" s="707" t="s">
        <v>805</v>
      </c>
      <c r="D310" s="358">
        <f>FF!I718</f>
        <v>0</v>
      </c>
      <c r="E310" s="354" t="s">
        <v>102</v>
      </c>
      <c r="F310" s="355">
        <f>FF!K718</f>
        <v>283.27999999999997</v>
      </c>
      <c r="G310" s="353">
        <f t="shared" si="11"/>
        <v>0</v>
      </c>
      <c r="H310" s="708" t="s">
        <v>2226</v>
      </c>
    </row>
    <row r="311" spans="1:8" s="360" customFormat="1" ht="15" hidden="1" customHeight="1">
      <c r="A311" s="356" t="s">
        <v>517</v>
      </c>
      <c r="B311" s="927" t="s">
        <v>2620</v>
      </c>
      <c r="C311" s="707" t="s">
        <v>805</v>
      </c>
      <c r="D311" s="358">
        <f>FF!I726</f>
        <v>0</v>
      </c>
      <c r="E311" s="354" t="s">
        <v>102</v>
      </c>
      <c r="F311" s="355">
        <f>FF!K726</f>
        <v>304.66000000000003</v>
      </c>
      <c r="G311" s="353">
        <f t="shared" si="11"/>
        <v>0</v>
      </c>
      <c r="H311" s="708" t="s">
        <v>2308</v>
      </c>
    </row>
    <row r="312" spans="1:8" s="360" customFormat="1" ht="15" hidden="1" customHeight="1">
      <c r="A312" s="356" t="s">
        <v>517</v>
      </c>
      <c r="B312" s="927" t="s">
        <v>2620</v>
      </c>
      <c r="C312" s="707" t="s">
        <v>805</v>
      </c>
      <c r="D312" s="358">
        <f>FF!I734</f>
        <v>0</v>
      </c>
      <c r="E312" s="354" t="s">
        <v>102</v>
      </c>
      <c r="F312" s="355">
        <f>FF!K734</f>
        <v>323.85000000000002</v>
      </c>
      <c r="G312" s="353">
        <f t="shared" si="11"/>
        <v>0</v>
      </c>
      <c r="H312" s="708" t="s">
        <v>2321</v>
      </c>
    </row>
    <row r="313" spans="1:8" s="360" customFormat="1" ht="15" hidden="1" customHeight="1">
      <c r="A313" s="356" t="s">
        <v>517</v>
      </c>
      <c r="B313" s="927" t="s">
        <v>2620</v>
      </c>
      <c r="C313" s="707" t="s">
        <v>805</v>
      </c>
      <c r="D313" s="358">
        <f>FF!I742</f>
        <v>0</v>
      </c>
      <c r="E313" s="354" t="s">
        <v>102</v>
      </c>
      <c r="F313" s="355">
        <f>FF!K742</f>
        <v>343.23</v>
      </c>
      <c r="G313" s="353">
        <f t="shared" si="11"/>
        <v>0</v>
      </c>
      <c r="H313" s="708" t="s">
        <v>2322</v>
      </c>
    </row>
    <row r="314" spans="1:8" s="360" customFormat="1">
      <c r="A314" s="356" t="s">
        <v>1519</v>
      </c>
      <c r="B314" s="927" t="s">
        <v>2617</v>
      </c>
      <c r="C314" s="707" t="s">
        <v>830</v>
      </c>
      <c r="D314" s="358">
        <f>FF!I770</f>
        <v>0</v>
      </c>
      <c r="E314" s="354" t="s">
        <v>102</v>
      </c>
      <c r="F314" s="355">
        <f>FF!K770</f>
        <v>348.66</v>
      </c>
      <c r="G314" s="353">
        <f t="shared" si="11"/>
        <v>0</v>
      </c>
      <c r="H314" s="708" t="s">
        <v>2226</v>
      </c>
    </row>
    <row r="315" spans="1:8" s="360" customFormat="1" hidden="1">
      <c r="A315" s="356" t="s">
        <v>498</v>
      </c>
      <c r="B315" s="927" t="s">
        <v>2617</v>
      </c>
      <c r="C315" s="707" t="s">
        <v>830</v>
      </c>
      <c r="D315" s="358">
        <f>FF!I823</f>
        <v>0</v>
      </c>
      <c r="E315" s="354" t="s">
        <v>102</v>
      </c>
      <c r="F315" s="355">
        <f>FF!K823</f>
        <v>376.98</v>
      </c>
      <c r="G315" s="353">
        <f t="shared" si="11"/>
        <v>0</v>
      </c>
      <c r="H315" s="708" t="s">
        <v>2308</v>
      </c>
    </row>
    <row r="316" spans="1:8" s="360" customFormat="1" ht="15" hidden="1" customHeight="1">
      <c r="A316" s="356" t="s">
        <v>518</v>
      </c>
      <c r="B316" s="927" t="s">
        <v>2617</v>
      </c>
      <c r="C316" s="707" t="s">
        <v>830</v>
      </c>
      <c r="D316" s="358">
        <f>FF!I830</f>
        <v>0</v>
      </c>
      <c r="E316" s="354" t="s">
        <v>102</v>
      </c>
      <c r="F316" s="355">
        <f>FF!K830</f>
        <v>400.13</v>
      </c>
      <c r="G316" s="353">
        <f t="shared" si="11"/>
        <v>0</v>
      </c>
      <c r="H316" s="708" t="s">
        <v>2321</v>
      </c>
    </row>
    <row r="317" spans="1:8" s="360" customFormat="1" ht="15" hidden="1" customHeight="1">
      <c r="A317" s="356" t="s">
        <v>518</v>
      </c>
      <c r="B317" s="927" t="s">
        <v>2617</v>
      </c>
      <c r="C317" s="707" t="s">
        <v>830</v>
      </c>
      <c r="D317" s="358">
        <f>FF!I858</f>
        <v>0</v>
      </c>
      <c r="E317" s="354" t="s">
        <v>102</v>
      </c>
      <c r="F317" s="355">
        <f>FF!K858</f>
        <v>425.82</v>
      </c>
      <c r="G317" s="353">
        <f t="shared" si="11"/>
        <v>0</v>
      </c>
      <c r="H317" s="708" t="s">
        <v>2322</v>
      </c>
    </row>
    <row r="318" spans="1:8" s="360" customFormat="1">
      <c r="A318" s="356" t="s">
        <v>1520</v>
      </c>
      <c r="B318" s="927" t="s">
        <v>2618</v>
      </c>
      <c r="C318" s="707" t="s">
        <v>541</v>
      </c>
      <c r="D318" s="358">
        <f>FF!I865</f>
        <v>0</v>
      </c>
      <c r="E318" s="354" t="s">
        <v>102</v>
      </c>
      <c r="F318" s="355">
        <f>FF!K865</f>
        <v>362.01</v>
      </c>
      <c r="G318" s="353">
        <f t="shared" si="11"/>
        <v>0</v>
      </c>
      <c r="H318" s="708" t="s">
        <v>2226</v>
      </c>
    </row>
    <row r="319" spans="1:8" s="360" customFormat="1" hidden="1">
      <c r="A319" s="356" t="s">
        <v>499</v>
      </c>
      <c r="B319" s="927" t="s">
        <v>2618</v>
      </c>
      <c r="C319" s="707" t="s">
        <v>541</v>
      </c>
      <c r="D319" s="358">
        <f>FF!I890</f>
        <v>0</v>
      </c>
      <c r="E319" s="354" t="s">
        <v>102</v>
      </c>
      <c r="F319" s="355">
        <f>FF!K890</f>
        <v>390.9</v>
      </c>
      <c r="G319" s="353">
        <f t="shared" si="11"/>
        <v>0</v>
      </c>
      <c r="H319" s="708" t="s">
        <v>2308</v>
      </c>
    </row>
    <row r="320" spans="1:8" s="360" customFormat="1" ht="15" hidden="1" customHeight="1">
      <c r="A320" s="356" t="s">
        <v>520</v>
      </c>
      <c r="B320" s="927" t="s">
        <v>2618</v>
      </c>
      <c r="C320" s="707" t="s">
        <v>541</v>
      </c>
      <c r="D320" s="358">
        <f>FF!I897</f>
        <v>0</v>
      </c>
      <c r="E320" s="354" t="s">
        <v>102</v>
      </c>
      <c r="F320" s="355">
        <f>FF!K897</f>
        <v>415.44</v>
      </c>
      <c r="G320" s="353">
        <f t="shared" si="11"/>
        <v>0</v>
      </c>
      <c r="H320" s="708" t="s">
        <v>2321</v>
      </c>
    </row>
    <row r="321" spans="1:8" s="360" customFormat="1" ht="15" hidden="1" customHeight="1">
      <c r="A321" s="356" t="s">
        <v>520</v>
      </c>
      <c r="B321" s="927" t="s">
        <v>2618</v>
      </c>
      <c r="C321" s="707" t="s">
        <v>541</v>
      </c>
      <c r="D321" s="358">
        <f>FF!I904</f>
        <v>0</v>
      </c>
      <c r="E321" s="354" t="s">
        <v>102</v>
      </c>
      <c r="F321" s="355">
        <f>FF!K904</f>
        <v>441.63</v>
      </c>
      <c r="G321" s="353">
        <f t="shared" si="11"/>
        <v>0</v>
      </c>
      <c r="H321" s="708" t="s">
        <v>2322</v>
      </c>
    </row>
    <row r="322" spans="1:8" s="360" customFormat="1" ht="15" hidden="1" customHeight="1">
      <c r="A322" s="356" t="s">
        <v>503</v>
      </c>
      <c r="B322" s="927" t="s">
        <v>2647</v>
      </c>
      <c r="C322" s="707" t="s">
        <v>2078</v>
      </c>
      <c r="D322" s="358">
        <f>FF!I911</f>
        <v>0</v>
      </c>
      <c r="E322" s="354" t="s">
        <v>5</v>
      </c>
      <c r="F322" s="355">
        <f>FF!K911</f>
        <v>5049.2099999999991</v>
      </c>
      <c r="G322" s="353">
        <f t="shared" si="11"/>
        <v>0</v>
      </c>
      <c r="H322" s="708" t="s">
        <v>2226</v>
      </c>
    </row>
    <row r="323" spans="1:8" s="360" customFormat="1" ht="15" hidden="1" customHeight="1">
      <c r="A323" s="356" t="s">
        <v>503</v>
      </c>
      <c r="B323" s="927" t="s">
        <v>2647</v>
      </c>
      <c r="C323" s="707" t="s">
        <v>2078</v>
      </c>
      <c r="D323" s="358">
        <f>FF!I918</f>
        <v>0</v>
      </c>
      <c r="E323" s="354" t="s">
        <v>5</v>
      </c>
      <c r="F323" s="355">
        <f>FF!K918</f>
        <v>5224.6200000000008</v>
      </c>
      <c r="G323" s="353">
        <f t="shared" si="11"/>
        <v>0</v>
      </c>
      <c r="H323" s="708" t="s">
        <v>2308</v>
      </c>
    </row>
    <row r="324" spans="1:8" s="360" customFormat="1" ht="15" hidden="1" customHeight="1">
      <c r="A324" s="356" t="s">
        <v>503</v>
      </c>
      <c r="B324" s="927" t="s">
        <v>2647</v>
      </c>
      <c r="C324" s="707" t="s">
        <v>2078</v>
      </c>
      <c r="D324" s="358">
        <f>FF!I925</f>
        <v>0</v>
      </c>
      <c r="E324" s="354" t="s">
        <v>5</v>
      </c>
      <c r="F324" s="355">
        <f>FF!K925</f>
        <v>5464.2000000000007</v>
      </c>
      <c r="G324" s="353">
        <f t="shared" si="11"/>
        <v>0</v>
      </c>
      <c r="H324" s="708" t="s">
        <v>2321</v>
      </c>
    </row>
    <row r="325" spans="1:8" s="360" customFormat="1" ht="15" hidden="1" customHeight="1">
      <c r="A325" s="356" t="s">
        <v>503</v>
      </c>
      <c r="B325" s="927" t="s">
        <v>2647</v>
      </c>
      <c r="C325" s="707" t="s">
        <v>2078</v>
      </c>
      <c r="D325" s="358">
        <f>FF!I932</f>
        <v>0</v>
      </c>
      <c r="E325" s="354" t="s">
        <v>5</v>
      </c>
      <c r="F325" s="355">
        <f>FF!K932</f>
        <v>5722.81</v>
      </c>
      <c r="G325" s="353">
        <f t="shared" si="11"/>
        <v>0</v>
      </c>
      <c r="H325" s="708" t="s">
        <v>2322</v>
      </c>
    </row>
    <row r="326" spans="1:8" s="360" customFormat="1" hidden="1">
      <c r="A326" s="356" t="s">
        <v>522</v>
      </c>
      <c r="B326" s="927" t="s">
        <v>2621</v>
      </c>
      <c r="C326" s="707" t="s">
        <v>507</v>
      </c>
      <c r="D326" s="358">
        <f>FF!I939</f>
        <v>0</v>
      </c>
      <c r="E326" s="354" t="s">
        <v>102</v>
      </c>
      <c r="F326" s="355">
        <f>FF!K939</f>
        <v>1020.01</v>
      </c>
      <c r="G326" s="353">
        <f t="shared" si="11"/>
        <v>0</v>
      </c>
      <c r="H326" s="708" t="s">
        <v>2226</v>
      </c>
    </row>
    <row r="327" spans="1:8" s="360" customFormat="1" hidden="1">
      <c r="A327" s="356" t="s">
        <v>500</v>
      </c>
      <c r="B327" s="927" t="s">
        <v>2621</v>
      </c>
      <c r="C327" s="707" t="s">
        <v>507</v>
      </c>
      <c r="D327" s="358">
        <f>FF!I949</f>
        <v>0</v>
      </c>
      <c r="E327" s="354" t="s">
        <v>102</v>
      </c>
      <c r="F327" s="355">
        <f>FF!K949</f>
        <v>1051.0899999999999</v>
      </c>
      <c r="G327" s="353">
        <f t="shared" si="11"/>
        <v>0</v>
      </c>
      <c r="H327" s="708" t="s">
        <v>2308</v>
      </c>
    </row>
    <row r="328" spans="1:8" s="360" customFormat="1" ht="15" hidden="1" customHeight="1">
      <c r="A328" s="356" t="s">
        <v>522</v>
      </c>
      <c r="B328" s="927" t="s">
        <v>2621</v>
      </c>
      <c r="C328" s="707" t="s">
        <v>507</v>
      </c>
      <c r="D328" s="358">
        <f>FF!I956</f>
        <v>0</v>
      </c>
      <c r="E328" s="354" t="s">
        <v>102</v>
      </c>
      <c r="F328" s="355">
        <f>FF!K956</f>
        <v>1074.81</v>
      </c>
      <c r="G328" s="353">
        <f t="shared" si="11"/>
        <v>0</v>
      </c>
      <c r="H328" s="708" t="s">
        <v>2321</v>
      </c>
    </row>
    <row r="329" spans="1:8" s="360" customFormat="1" ht="15" hidden="1" customHeight="1">
      <c r="A329" s="356" t="s">
        <v>522</v>
      </c>
      <c r="B329" s="927" t="s">
        <v>2621</v>
      </c>
      <c r="C329" s="707" t="s">
        <v>507</v>
      </c>
      <c r="D329" s="358">
        <f>FF!I963</f>
        <v>0</v>
      </c>
      <c r="E329" s="354" t="s">
        <v>102</v>
      </c>
      <c r="F329" s="355">
        <f>FF!K963</f>
        <v>1103.3900000000001</v>
      </c>
      <c r="G329" s="353">
        <f t="shared" si="11"/>
        <v>0</v>
      </c>
      <c r="H329" s="708" t="s">
        <v>2322</v>
      </c>
    </row>
    <row r="330" spans="1:8" s="360" customFormat="1" hidden="1">
      <c r="A330" s="356" t="s">
        <v>525</v>
      </c>
      <c r="B330" s="927" t="s">
        <v>2622</v>
      </c>
      <c r="C330" s="707" t="s">
        <v>509</v>
      </c>
      <c r="D330" s="358">
        <f>FF!I970</f>
        <v>0</v>
      </c>
      <c r="E330" s="354" t="s">
        <v>102</v>
      </c>
      <c r="F330" s="355">
        <f>FF!K970</f>
        <v>1015.94</v>
      </c>
      <c r="G330" s="353">
        <f t="shared" si="11"/>
        <v>0</v>
      </c>
      <c r="H330" s="708" t="s">
        <v>2226</v>
      </c>
    </row>
    <row r="331" spans="1:8" s="360" customFormat="1" hidden="1">
      <c r="A331" s="356" t="s">
        <v>501</v>
      </c>
      <c r="B331" s="927" t="s">
        <v>2622</v>
      </c>
      <c r="C331" s="707" t="s">
        <v>509</v>
      </c>
      <c r="D331" s="358">
        <f>FF!I988</f>
        <v>0</v>
      </c>
      <c r="E331" s="354" t="s">
        <v>102</v>
      </c>
      <c r="F331" s="355">
        <f>FF!K988</f>
        <v>1046.76</v>
      </c>
      <c r="G331" s="353">
        <f t="shared" si="11"/>
        <v>0</v>
      </c>
      <c r="H331" s="708" t="s">
        <v>2308</v>
      </c>
    </row>
    <row r="332" spans="1:8" s="360" customFormat="1" ht="15" hidden="1" customHeight="1">
      <c r="A332" s="356" t="s">
        <v>525</v>
      </c>
      <c r="B332" s="927" t="s">
        <v>2622</v>
      </c>
      <c r="C332" s="707" t="s">
        <v>509</v>
      </c>
      <c r="D332" s="358">
        <f>FF!I995</f>
        <v>0</v>
      </c>
      <c r="E332" s="354" t="s">
        <v>102</v>
      </c>
      <c r="F332" s="355">
        <f>FF!K995</f>
        <v>1069.8699999999999</v>
      </c>
      <c r="G332" s="353">
        <f t="shared" si="11"/>
        <v>0</v>
      </c>
      <c r="H332" s="708" t="s">
        <v>2321</v>
      </c>
    </row>
    <row r="333" spans="1:8" s="360" customFormat="1" ht="15" hidden="1" customHeight="1">
      <c r="A333" s="356" t="s">
        <v>525</v>
      </c>
      <c r="B333" s="927" t="s">
        <v>2622</v>
      </c>
      <c r="C333" s="707" t="s">
        <v>509</v>
      </c>
      <c r="D333" s="358">
        <f>FF!I1002</f>
        <v>0</v>
      </c>
      <c r="E333" s="354" t="s">
        <v>102</v>
      </c>
      <c r="F333" s="355">
        <f>FF!K1002</f>
        <v>1098.05</v>
      </c>
      <c r="G333" s="353">
        <f t="shared" si="11"/>
        <v>0</v>
      </c>
      <c r="H333" s="708" t="s">
        <v>2322</v>
      </c>
    </row>
    <row r="334" spans="1:8" s="360" customFormat="1" ht="15" hidden="1" customHeight="1">
      <c r="A334" s="356" t="s">
        <v>526</v>
      </c>
      <c r="B334" s="927" t="s">
        <v>2623</v>
      </c>
      <c r="C334" s="932" t="s">
        <v>708</v>
      </c>
      <c r="D334" s="358">
        <f>FF!I1009</f>
        <v>0</v>
      </c>
      <c r="E334" s="354" t="s">
        <v>77</v>
      </c>
      <c r="F334" s="355">
        <f>FF!K1009</f>
        <v>2881.3</v>
      </c>
      <c r="G334" s="353">
        <f t="shared" si="11"/>
        <v>0</v>
      </c>
      <c r="H334" s="708" t="s">
        <v>2226</v>
      </c>
    </row>
    <row r="335" spans="1:8" s="360" customFormat="1" hidden="1">
      <c r="A335" s="356" t="s">
        <v>502</v>
      </c>
      <c r="B335" s="927" t="s">
        <v>2623</v>
      </c>
      <c r="C335" s="932" t="s">
        <v>708</v>
      </c>
      <c r="D335" s="358">
        <f>FF!I1017</f>
        <v>0</v>
      </c>
      <c r="E335" s="354" t="s">
        <v>77</v>
      </c>
      <c r="F335" s="355">
        <f>FF!K1017</f>
        <v>2944.91</v>
      </c>
      <c r="G335" s="353">
        <f t="shared" si="11"/>
        <v>0</v>
      </c>
      <c r="H335" s="708" t="s">
        <v>2308</v>
      </c>
    </row>
    <row r="336" spans="1:8" s="360" customFormat="1" ht="15" hidden="1" customHeight="1">
      <c r="A336" s="356" t="s">
        <v>526</v>
      </c>
      <c r="B336" s="927" t="s">
        <v>2623</v>
      </c>
      <c r="C336" s="932" t="s">
        <v>708</v>
      </c>
      <c r="D336" s="358">
        <f>FF!I1024</f>
        <v>0</v>
      </c>
      <c r="E336" s="354" t="s">
        <v>77</v>
      </c>
      <c r="F336" s="355">
        <f>FF!K1024</f>
        <v>3004.62</v>
      </c>
      <c r="G336" s="353">
        <f t="shared" si="11"/>
        <v>0</v>
      </c>
      <c r="H336" s="708" t="s">
        <v>2321</v>
      </c>
    </row>
    <row r="337" spans="1:10" s="360" customFormat="1" ht="15" customHeight="1">
      <c r="A337" s="356" t="s">
        <v>1521</v>
      </c>
      <c r="B337" s="927" t="s">
        <v>3208</v>
      </c>
      <c r="C337" s="932" t="s">
        <v>708</v>
      </c>
      <c r="D337" s="358">
        <f>FF!I1041</f>
        <v>0</v>
      </c>
      <c r="E337" s="354" t="s">
        <v>77</v>
      </c>
      <c r="F337" s="355">
        <f>FF!K1041</f>
        <v>3181.62</v>
      </c>
      <c r="G337" s="353">
        <f t="shared" si="11"/>
        <v>0</v>
      </c>
      <c r="H337" s="708" t="s">
        <v>2322</v>
      </c>
    </row>
    <row r="338" spans="1:10" s="360" customFormat="1" ht="15" hidden="1" customHeight="1">
      <c r="A338" s="356" t="s">
        <v>527</v>
      </c>
      <c r="B338" s="927"/>
      <c r="C338" s="932" t="s">
        <v>877</v>
      </c>
      <c r="D338" s="358">
        <f>FF!I1048</f>
        <v>0</v>
      </c>
      <c r="E338" s="354" t="s">
        <v>102</v>
      </c>
      <c r="F338" s="355">
        <f>FF!K1048</f>
        <v>2704.03</v>
      </c>
      <c r="G338" s="353">
        <f t="shared" si="11"/>
        <v>0</v>
      </c>
      <c r="H338" s="708" t="s">
        <v>2226</v>
      </c>
    </row>
    <row r="339" spans="1:10" s="360" customFormat="1" hidden="1">
      <c r="A339" s="356" t="s">
        <v>527</v>
      </c>
      <c r="B339" s="927"/>
      <c r="C339" s="932" t="s">
        <v>877</v>
      </c>
      <c r="D339" s="358">
        <f>FF!I1057</f>
        <v>0</v>
      </c>
      <c r="E339" s="354" t="s">
        <v>102</v>
      </c>
      <c r="F339" s="355">
        <f>FF!K1057</f>
        <v>2747.8</v>
      </c>
      <c r="H339" s="708" t="s">
        <v>2308</v>
      </c>
      <c r="J339" s="353">
        <f>ROUND(D339*F339,0)</f>
        <v>0</v>
      </c>
    </row>
    <row r="340" spans="1:10" s="360" customFormat="1" ht="15" hidden="1" customHeight="1">
      <c r="A340" s="356" t="s">
        <v>527</v>
      </c>
      <c r="B340" s="927"/>
      <c r="C340" s="932" t="s">
        <v>877</v>
      </c>
      <c r="D340" s="358">
        <f>FF!I1064</f>
        <v>0</v>
      </c>
      <c r="E340" s="354" t="s">
        <v>102</v>
      </c>
      <c r="F340" s="355">
        <f>FF!K1064</f>
        <v>2789.27</v>
      </c>
      <c r="G340" s="353">
        <f t="shared" ref="G340:G371" si="12">ROUND(D340*F340,0)</f>
        <v>0</v>
      </c>
      <c r="H340" s="708" t="s">
        <v>2321</v>
      </c>
    </row>
    <row r="341" spans="1:10" s="360" customFormat="1" ht="15" customHeight="1">
      <c r="A341" s="356" t="s">
        <v>497</v>
      </c>
      <c r="B341" s="927" t="s">
        <v>3209</v>
      </c>
      <c r="C341" s="932" t="s">
        <v>877</v>
      </c>
      <c r="D341" s="358">
        <f>FF!I1081</f>
        <v>0</v>
      </c>
      <c r="E341" s="354" t="s">
        <v>102</v>
      </c>
      <c r="F341" s="355">
        <f>FF!K1081</f>
        <v>2950.54</v>
      </c>
      <c r="G341" s="353">
        <f t="shared" si="12"/>
        <v>0</v>
      </c>
      <c r="H341" s="708" t="s">
        <v>2322</v>
      </c>
    </row>
    <row r="342" spans="1:10" s="360" customFormat="1" ht="15" hidden="1" customHeight="1">
      <c r="A342" s="356" t="s">
        <v>529</v>
      </c>
      <c r="B342" s="927" t="s">
        <v>2624</v>
      </c>
      <c r="C342" s="707" t="s">
        <v>710</v>
      </c>
      <c r="D342" s="358">
        <f>FF!I1089</f>
        <v>0</v>
      </c>
      <c r="E342" s="354" t="s">
        <v>102</v>
      </c>
      <c r="F342" s="355">
        <f>FF!K1089</f>
        <v>633.27</v>
      </c>
      <c r="G342" s="353">
        <f t="shared" si="12"/>
        <v>0</v>
      </c>
      <c r="H342" s="708" t="s">
        <v>2226</v>
      </c>
    </row>
    <row r="343" spans="1:10" s="360" customFormat="1" ht="15" hidden="1" customHeight="1">
      <c r="A343" s="356" t="s">
        <v>529</v>
      </c>
      <c r="B343" s="927" t="s">
        <v>2624</v>
      </c>
      <c r="C343" s="707" t="s">
        <v>710</v>
      </c>
      <c r="D343" s="358">
        <f>FF!I1100</f>
        <v>0</v>
      </c>
      <c r="E343" s="354" t="s">
        <v>102</v>
      </c>
      <c r="F343" s="355">
        <f>FF!K1100</f>
        <v>677.99</v>
      </c>
      <c r="G343" s="353">
        <f t="shared" si="12"/>
        <v>0</v>
      </c>
      <c r="H343" s="708" t="s">
        <v>2308</v>
      </c>
    </row>
    <row r="344" spans="1:10" s="360" customFormat="1" ht="15" hidden="1" customHeight="1">
      <c r="A344" s="356" t="s">
        <v>529</v>
      </c>
      <c r="B344" s="927" t="s">
        <v>2624</v>
      </c>
      <c r="C344" s="707" t="s">
        <v>710</v>
      </c>
      <c r="D344" s="358">
        <f>FF!I1108</f>
        <v>0</v>
      </c>
      <c r="E344" s="354" t="s">
        <v>102</v>
      </c>
      <c r="F344" s="355">
        <f>FF!K1108</f>
        <v>686.13</v>
      </c>
      <c r="G344" s="353">
        <f t="shared" si="12"/>
        <v>0</v>
      </c>
      <c r="H344" s="708" t="s">
        <v>2321</v>
      </c>
    </row>
    <row r="345" spans="1:10" s="360" customFormat="1" ht="15" hidden="1" customHeight="1">
      <c r="A345" s="356" t="s">
        <v>529</v>
      </c>
      <c r="B345" s="927" t="s">
        <v>2624</v>
      </c>
      <c r="C345" s="707" t="s">
        <v>710</v>
      </c>
      <c r="D345" s="358">
        <f>FF!I1116</f>
        <v>0</v>
      </c>
      <c r="E345" s="354" t="s">
        <v>102</v>
      </c>
      <c r="F345" s="355">
        <f>FF!K1116</f>
        <v>780.73</v>
      </c>
      <c r="G345" s="353">
        <f t="shared" si="12"/>
        <v>0</v>
      </c>
      <c r="H345" s="708" t="s">
        <v>2322</v>
      </c>
    </row>
    <row r="346" spans="1:10" s="360" customFormat="1" ht="15" hidden="1" customHeight="1">
      <c r="A346" s="356" t="s">
        <v>530</v>
      </c>
      <c r="B346" s="927"/>
      <c r="C346" s="932" t="s">
        <v>711</v>
      </c>
      <c r="D346" s="358">
        <f>FF!I1123</f>
        <v>0</v>
      </c>
      <c r="E346" s="354" t="s">
        <v>102</v>
      </c>
      <c r="F346" s="355">
        <f>FF!K1123</f>
        <v>652.64</v>
      </c>
      <c r="G346" s="353">
        <f t="shared" si="12"/>
        <v>0</v>
      </c>
      <c r="H346" s="708" t="s">
        <v>2226</v>
      </c>
    </row>
    <row r="347" spans="1:10" s="360" customFormat="1" ht="15" hidden="1" customHeight="1">
      <c r="A347" s="356" t="s">
        <v>530</v>
      </c>
      <c r="B347" s="927"/>
      <c r="C347" s="932" t="s">
        <v>711</v>
      </c>
      <c r="D347" s="358">
        <f>FF!I1134</f>
        <v>0</v>
      </c>
      <c r="E347" s="354" t="s">
        <v>102</v>
      </c>
      <c r="F347" s="355">
        <f>FF!K1134</f>
        <v>683.46</v>
      </c>
      <c r="G347" s="353">
        <f t="shared" si="12"/>
        <v>0</v>
      </c>
      <c r="H347" s="708" t="s">
        <v>2308</v>
      </c>
    </row>
    <row r="348" spans="1:10" s="360" customFormat="1" ht="15" hidden="1" customHeight="1">
      <c r="A348" s="356" t="s">
        <v>530</v>
      </c>
      <c r="B348" s="927"/>
      <c r="C348" s="932" t="s">
        <v>711</v>
      </c>
      <c r="D348" s="358">
        <f>FF!I1141</f>
        <v>0</v>
      </c>
      <c r="E348" s="354" t="s">
        <v>102</v>
      </c>
      <c r="F348" s="355">
        <f>FF!K1141</f>
        <v>706.57</v>
      </c>
      <c r="G348" s="353">
        <f t="shared" si="12"/>
        <v>0</v>
      </c>
      <c r="H348" s="708" t="s">
        <v>2321</v>
      </c>
    </row>
    <row r="349" spans="1:10" s="360" customFormat="1" ht="15" hidden="1" customHeight="1">
      <c r="A349" s="356" t="s">
        <v>530</v>
      </c>
      <c r="B349" s="927"/>
      <c r="C349" s="932" t="s">
        <v>711</v>
      </c>
      <c r="D349" s="358">
        <f>FF!I1148</f>
        <v>0</v>
      </c>
      <c r="E349" s="354" t="s">
        <v>102</v>
      </c>
      <c r="F349" s="355">
        <f>FF!K1148</f>
        <v>786.2</v>
      </c>
      <c r="G349" s="353">
        <f t="shared" si="12"/>
        <v>0</v>
      </c>
      <c r="H349" s="708" t="s">
        <v>2322</v>
      </c>
    </row>
    <row r="350" spans="1:10" s="360" customFormat="1" hidden="1">
      <c r="A350" s="356" t="s">
        <v>528</v>
      </c>
      <c r="B350" s="927" t="s">
        <v>2625</v>
      </c>
      <c r="C350" s="707" t="s">
        <v>511</v>
      </c>
      <c r="D350" s="358">
        <f>FF!I1155</f>
        <v>0</v>
      </c>
      <c r="E350" s="354" t="s">
        <v>102</v>
      </c>
      <c r="F350" s="355">
        <f>FF!K1155</f>
        <v>755.74</v>
      </c>
      <c r="G350" s="353">
        <f t="shared" si="12"/>
        <v>0</v>
      </c>
      <c r="H350" s="708" t="s">
        <v>2226</v>
      </c>
    </row>
    <row r="351" spans="1:10" s="360" customFormat="1" hidden="1">
      <c r="A351" s="356" t="s">
        <v>503</v>
      </c>
      <c r="B351" s="927" t="s">
        <v>2625</v>
      </c>
      <c r="C351" s="707" t="s">
        <v>511</v>
      </c>
      <c r="D351" s="358">
        <f>FF!I1163</f>
        <v>0</v>
      </c>
      <c r="E351" s="354" t="s">
        <v>102</v>
      </c>
      <c r="F351" s="355">
        <f>FF!K1163</f>
        <v>786.57</v>
      </c>
      <c r="G351" s="353">
        <f t="shared" si="12"/>
        <v>0</v>
      </c>
      <c r="H351" s="708" t="s">
        <v>2308</v>
      </c>
    </row>
    <row r="352" spans="1:10" s="360" customFormat="1" ht="15" hidden="1" customHeight="1">
      <c r="A352" s="356" t="s">
        <v>528</v>
      </c>
      <c r="B352" s="927" t="s">
        <v>2625</v>
      </c>
      <c r="C352" s="707" t="s">
        <v>511</v>
      </c>
      <c r="D352" s="358">
        <f>FF!I1170</f>
        <v>0</v>
      </c>
      <c r="E352" s="354" t="s">
        <v>102</v>
      </c>
      <c r="F352" s="355">
        <f>FF!K1170</f>
        <v>809.68</v>
      </c>
      <c r="G352" s="353">
        <f t="shared" si="12"/>
        <v>0</v>
      </c>
      <c r="H352" s="708" t="s">
        <v>2321</v>
      </c>
    </row>
    <row r="353" spans="1:8" s="360" customFormat="1" ht="15" hidden="1" customHeight="1">
      <c r="A353" s="356" t="s">
        <v>528</v>
      </c>
      <c r="B353" s="927" t="s">
        <v>2625</v>
      </c>
      <c r="C353" s="707" t="s">
        <v>511</v>
      </c>
      <c r="D353" s="358">
        <f>FF!I1175</f>
        <v>0</v>
      </c>
      <c r="E353" s="354" t="s">
        <v>102</v>
      </c>
      <c r="F353" s="355">
        <f>FF!K1175</f>
        <v>837.86</v>
      </c>
      <c r="G353" s="353">
        <f t="shared" si="12"/>
        <v>0</v>
      </c>
      <c r="H353" s="708" t="s">
        <v>2322</v>
      </c>
    </row>
    <row r="354" spans="1:8" s="360" customFormat="1" hidden="1">
      <c r="A354" s="356" t="s">
        <v>529</v>
      </c>
      <c r="B354" s="927" t="s">
        <v>2626</v>
      </c>
      <c r="C354" s="707" t="s">
        <v>570</v>
      </c>
      <c r="D354" s="358">
        <f>FF!I1182</f>
        <v>0</v>
      </c>
      <c r="E354" s="354" t="s">
        <v>102</v>
      </c>
      <c r="F354" s="355">
        <f>FF!K1182</f>
        <v>494.82</v>
      </c>
      <c r="G354" s="353">
        <f t="shared" si="12"/>
        <v>0</v>
      </c>
      <c r="H354" s="708" t="s">
        <v>2226</v>
      </c>
    </row>
    <row r="355" spans="1:8" s="360" customFormat="1" hidden="1">
      <c r="A355" s="356" t="s">
        <v>504</v>
      </c>
      <c r="B355" s="927" t="s">
        <v>2626</v>
      </c>
      <c r="C355" s="707" t="s">
        <v>570</v>
      </c>
      <c r="D355" s="358">
        <f>FF!I1190</f>
        <v>0</v>
      </c>
      <c r="E355" s="354" t="s">
        <v>102</v>
      </c>
      <c r="F355" s="355">
        <f>FF!K1190</f>
        <v>504.13</v>
      </c>
      <c r="G355" s="353">
        <f t="shared" si="12"/>
        <v>0</v>
      </c>
      <c r="H355" s="708" t="s">
        <v>2308</v>
      </c>
    </row>
    <row r="356" spans="1:8" s="360" customFormat="1" ht="15" hidden="1" customHeight="1">
      <c r="A356" s="356" t="s">
        <v>529</v>
      </c>
      <c r="B356" s="927" t="s">
        <v>2626</v>
      </c>
      <c r="C356" s="707" t="s">
        <v>570</v>
      </c>
      <c r="D356" s="358">
        <f>FF!I1197</f>
        <v>0</v>
      </c>
      <c r="E356" s="354" t="s">
        <v>102</v>
      </c>
      <c r="F356" s="355">
        <f>FF!K1197</f>
        <v>512.09</v>
      </c>
      <c r="G356" s="353">
        <f t="shared" si="12"/>
        <v>0</v>
      </c>
      <c r="H356" s="708" t="s">
        <v>2321</v>
      </c>
    </row>
    <row r="357" spans="1:8" s="360" customFormat="1" ht="15" hidden="1" customHeight="1">
      <c r="A357" s="356" t="s">
        <v>529</v>
      </c>
      <c r="B357" s="927" t="s">
        <v>2626</v>
      </c>
      <c r="C357" s="707" t="s">
        <v>570</v>
      </c>
      <c r="D357" s="358">
        <f>FF!I1209</f>
        <v>0</v>
      </c>
      <c r="E357" s="354" t="s">
        <v>102</v>
      </c>
      <c r="F357" s="355">
        <f>FF!K1209</f>
        <v>527.21</v>
      </c>
      <c r="G357" s="353">
        <f t="shared" si="12"/>
        <v>0</v>
      </c>
      <c r="H357" s="708" t="s">
        <v>2322</v>
      </c>
    </row>
    <row r="358" spans="1:8" s="360" customFormat="1" ht="15" hidden="1" customHeight="1">
      <c r="A358" s="356" t="s">
        <v>492</v>
      </c>
      <c r="B358" s="927"/>
      <c r="C358" s="932" t="s">
        <v>1223</v>
      </c>
      <c r="D358" s="358">
        <f>FF!I1217</f>
        <v>0</v>
      </c>
      <c r="E358" s="354" t="s">
        <v>102</v>
      </c>
      <c r="F358" s="355">
        <f>FF!K1217</f>
        <v>944.79</v>
      </c>
      <c r="G358" s="353">
        <f t="shared" si="12"/>
        <v>0</v>
      </c>
      <c r="H358" s="708" t="s">
        <v>2226</v>
      </c>
    </row>
    <row r="359" spans="1:8" s="360" customFormat="1" ht="15" hidden="1" customHeight="1">
      <c r="A359" s="356" t="s">
        <v>492</v>
      </c>
      <c r="B359" s="927"/>
      <c r="C359" s="932" t="s">
        <v>1223</v>
      </c>
      <c r="D359" s="358">
        <f>FF!I1225</f>
        <v>0</v>
      </c>
      <c r="E359" s="354" t="s">
        <v>102</v>
      </c>
      <c r="F359" s="355">
        <f>FF!K1225</f>
        <v>986.93</v>
      </c>
      <c r="G359" s="353">
        <f t="shared" si="12"/>
        <v>0</v>
      </c>
      <c r="H359" s="708" t="s">
        <v>2308</v>
      </c>
    </row>
    <row r="360" spans="1:8" s="360" customFormat="1" ht="15" hidden="1" customHeight="1">
      <c r="A360" s="356" t="s">
        <v>492</v>
      </c>
      <c r="B360" s="927"/>
      <c r="C360" s="932" t="s">
        <v>1223</v>
      </c>
      <c r="D360" s="358">
        <f>FF!I1233</f>
        <v>0</v>
      </c>
      <c r="E360" s="354" t="s">
        <v>102</v>
      </c>
      <c r="F360" s="355">
        <f>FF!K1233</f>
        <v>1020.23</v>
      </c>
      <c r="G360" s="353">
        <f t="shared" si="12"/>
        <v>0</v>
      </c>
      <c r="H360" s="708" t="s">
        <v>2321</v>
      </c>
    </row>
    <row r="361" spans="1:8" s="360" customFormat="1" ht="15" hidden="1" customHeight="1">
      <c r="A361" s="356" t="s">
        <v>492</v>
      </c>
      <c r="B361" s="927"/>
      <c r="C361" s="932" t="s">
        <v>1223</v>
      </c>
      <c r="D361" s="358">
        <f>FF!I1241</f>
        <v>0</v>
      </c>
      <c r="E361" s="354" t="s">
        <v>102</v>
      </c>
      <c r="F361" s="355">
        <f>FF!K1241</f>
        <v>1059.21</v>
      </c>
      <c r="G361" s="353">
        <f t="shared" si="12"/>
        <v>0</v>
      </c>
      <c r="H361" s="708" t="s">
        <v>2322</v>
      </c>
    </row>
    <row r="362" spans="1:8" s="360" customFormat="1" ht="15" hidden="1" customHeight="1">
      <c r="A362" s="356" t="s">
        <v>533</v>
      </c>
      <c r="B362" s="927" t="s">
        <v>2627</v>
      </c>
      <c r="C362" s="707" t="s">
        <v>707</v>
      </c>
      <c r="D362" s="358">
        <f>FF!I1250</f>
        <v>0</v>
      </c>
      <c r="E362" s="354" t="s">
        <v>102</v>
      </c>
      <c r="F362" s="355">
        <f>FF!K1250</f>
        <v>21.43</v>
      </c>
      <c r="G362" s="353">
        <f t="shared" si="12"/>
        <v>0</v>
      </c>
      <c r="H362" s="708" t="s">
        <v>2226</v>
      </c>
    </row>
    <row r="363" spans="1:8" s="360" customFormat="1" ht="15" hidden="1" customHeight="1">
      <c r="A363" s="356" t="s">
        <v>533</v>
      </c>
      <c r="B363" s="927" t="s">
        <v>2627</v>
      </c>
      <c r="C363" s="707" t="s">
        <v>707</v>
      </c>
      <c r="D363" s="358">
        <f>FF!I1259</f>
        <v>0</v>
      </c>
      <c r="E363" s="354" t="s">
        <v>102</v>
      </c>
      <c r="F363" s="355">
        <f>FF!K1259</f>
        <v>22.88</v>
      </c>
      <c r="G363" s="353">
        <f t="shared" si="12"/>
        <v>0</v>
      </c>
      <c r="H363" s="708" t="s">
        <v>2308</v>
      </c>
    </row>
    <row r="364" spans="1:8" s="360" customFormat="1" ht="15" hidden="1" customHeight="1">
      <c r="A364" s="356" t="s">
        <v>533</v>
      </c>
      <c r="B364" s="927" t="s">
        <v>2627</v>
      </c>
      <c r="C364" s="707" t="s">
        <v>707</v>
      </c>
      <c r="D364" s="358">
        <f>FF!I1268</f>
        <v>0</v>
      </c>
      <c r="E364" s="354" t="s">
        <v>102</v>
      </c>
      <c r="F364" s="355">
        <f>FF!K1268</f>
        <v>24.15</v>
      </c>
      <c r="G364" s="353">
        <f t="shared" si="12"/>
        <v>0</v>
      </c>
      <c r="H364" s="708" t="s">
        <v>2321</v>
      </c>
    </row>
    <row r="365" spans="1:8" s="360" customFormat="1" ht="15" hidden="1" customHeight="1">
      <c r="A365" s="356" t="s">
        <v>533</v>
      </c>
      <c r="B365" s="927" t="s">
        <v>2627</v>
      </c>
      <c r="C365" s="707" t="s">
        <v>707</v>
      </c>
      <c r="D365" s="358">
        <f>FF!I1277</f>
        <v>0</v>
      </c>
      <c r="E365" s="354" t="s">
        <v>102</v>
      </c>
      <c r="F365" s="355">
        <f>FF!K1277</f>
        <v>25.98</v>
      </c>
      <c r="G365" s="353">
        <f t="shared" si="12"/>
        <v>0</v>
      </c>
      <c r="H365" s="708" t="s">
        <v>2322</v>
      </c>
    </row>
    <row r="366" spans="1:8" s="360" customFormat="1" ht="15" customHeight="1">
      <c r="A366" s="356" t="s">
        <v>498</v>
      </c>
      <c r="B366" s="927" t="s">
        <v>2628</v>
      </c>
      <c r="C366" s="707" t="s">
        <v>888</v>
      </c>
      <c r="D366" s="358">
        <f>FF!I1302</f>
        <v>0</v>
      </c>
      <c r="E366" s="354" t="s">
        <v>102</v>
      </c>
      <c r="F366" s="355">
        <f>FF!K1302</f>
        <v>156.41</v>
      </c>
      <c r="G366" s="353">
        <f t="shared" si="12"/>
        <v>0</v>
      </c>
      <c r="H366" s="708" t="s">
        <v>2226</v>
      </c>
    </row>
    <row r="367" spans="1:8" s="360" customFormat="1" hidden="1">
      <c r="A367" s="356" t="s">
        <v>506</v>
      </c>
      <c r="B367" s="927" t="s">
        <v>2628</v>
      </c>
      <c r="C367" s="707" t="s">
        <v>888</v>
      </c>
      <c r="D367" s="358">
        <f>FF!I1334</f>
        <v>0</v>
      </c>
      <c r="E367" s="354" t="s">
        <v>102</v>
      </c>
      <c r="F367" s="355">
        <f>FF!K1334</f>
        <v>164.34</v>
      </c>
      <c r="G367" s="353">
        <f t="shared" si="12"/>
        <v>0</v>
      </c>
      <c r="H367" s="708" t="s">
        <v>2308</v>
      </c>
    </row>
    <row r="368" spans="1:8" s="360" customFormat="1" ht="15" hidden="1" customHeight="1">
      <c r="A368" s="356" t="s">
        <v>530</v>
      </c>
      <c r="B368" s="927" t="s">
        <v>2628</v>
      </c>
      <c r="C368" s="707" t="s">
        <v>888</v>
      </c>
      <c r="D368" s="358">
        <f>FF!I1344</f>
        <v>0</v>
      </c>
      <c r="E368" s="354" t="s">
        <v>102</v>
      </c>
      <c r="F368" s="355">
        <f>FF!K1344</f>
        <v>170.35</v>
      </c>
      <c r="G368" s="353">
        <f t="shared" si="12"/>
        <v>0</v>
      </c>
      <c r="H368" s="708" t="s">
        <v>2321</v>
      </c>
    </row>
    <row r="369" spans="1:8" s="360" customFormat="1" ht="15" hidden="1" customHeight="1">
      <c r="A369" s="356" t="s">
        <v>530</v>
      </c>
      <c r="B369" s="927" t="s">
        <v>2628</v>
      </c>
      <c r="C369" s="707" t="s">
        <v>888</v>
      </c>
      <c r="D369" s="358">
        <f>FF!I1369</f>
        <v>0</v>
      </c>
      <c r="E369" s="354" t="s">
        <v>102</v>
      </c>
      <c r="F369" s="355">
        <f>FF!K1369</f>
        <v>184.03</v>
      </c>
      <c r="G369" s="353">
        <f t="shared" si="12"/>
        <v>0</v>
      </c>
      <c r="H369" s="708" t="s">
        <v>2322</v>
      </c>
    </row>
    <row r="370" spans="1:8" s="360" customFormat="1" hidden="1">
      <c r="A370" s="356" t="s">
        <v>532</v>
      </c>
      <c r="B370" s="927" t="s">
        <v>2629</v>
      </c>
      <c r="C370" s="707" t="s">
        <v>2581</v>
      </c>
      <c r="D370" s="358">
        <f>FF!I1378</f>
        <v>0</v>
      </c>
      <c r="E370" s="354" t="s">
        <v>102</v>
      </c>
      <c r="F370" s="355">
        <f>FF!K1378</f>
        <v>131.44999999999999</v>
      </c>
      <c r="G370" s="353">
        <f t="shared" si="12"/>
        <v>0</v>
      </c>
      <c r="H370" s="708" t="s">
        <v>2226</v>
      </c>
    </row>
    <row r="371" spans="1:8" s="360" customFormat="1" hidden="1">
      <c r="A371" s="356" t="s">
        <v>508</v>
      </c>
      <c r="B371" s="927" t="s">
        <v>2629</v>
      </c>
      <c r="C371" s="707" t="s">
        <v>571</v>
      </c>
      <c r="D371" s="358">
        <f>FF!I1420</f>
        <v>0</v>
      </c>
      <c r="E371" s="354" t="s">
        <v>102</v>
      </c>
      <c r="F371" s="355">
        <f>FF!K1420</f>
        <v>139.51</v>
      </c>
      <c r="G371" s="353">
        <f t="shared" si="12"/>
        <v>0</v>
      </c>
      <c r="H371" s="708" t="s">
        <v>2308</v>
      </c>
    </row>
    <row r="372" spans="1:8" s="360" customFormat="1" ht="15" hidden="1" customHeight="1">
      <c r="A372" s="356" t="s">
        <v>532</v>
      </c>
      <c r="B372" s="927" t="s">
        <v>2629</v>
      </c>
      <c r="C372" s="707" t="s">
        <v>571</v>
      </c>
      <c r="D372" s="358">
        <f>FF!I1429</f>
        <v>0</v>
      </c>
      <c r="E372" s="354" t="s">
        <v>102</v>
      </c>
      <c r="F372" s="355">
        <f>FF!K1429</f>
        <v>145.68</v>
      </c>
      <c r="G372" s="353">
        <f t="shared" ref="G372:G403" si="13">ROUND(D372*F372,0)</f>
        <v>0</v>
      </c>
      <c r="H372" s="708" t="s">
        <v>2321</v>
      </c>
    </row>
    <row r="373" spans="1:8" s="360" customFormat="1" ht="15" customHeight="1">
      <c r="A373" s="356" t="s">
        <v>499</v>
      </c>
      <c r="B373" s="927" t="s">
        <v>2629</v>
      </c>
      <c r="C373" s="707" t="s">
        <v>571</v>
      </c>
      <c r="D373" s="358">
        <f>FF!I1454</f>
        <v>0</v>
      </c>
      <c r="E373" s="354" t="s">
        <v>102</v>
      </c>
      <c r="F373" s="355">
        <f>FF!K1454</f>
        <v>158.36000000000001</v>
      </c>
      <c r="G373" s="353">
        <f t="shared" si="13"/>
        <v>0</v>
      </c>
      <c r="H373" s="708" t="s">
        <v>2322</v>
      </c>
    </row>
    <row r="374" spans="1:8" s="360" customFormat="1" hidden="1">
      <c r="A374" s="356" t="s">
        <v>533</v>
      </c>
      <c r="B374" s="927" t="s">
        <v>2630</v>
      </c>
      <c r="C374" s="707" t="s">
        <v>1227</v>
      </c>
      <c r="D374" s="358">
        <f>FF!I1461</f>
        <v>0</v>
      </c>
      <c r="E374" s="354" t="s">
        <v>102</v>
      </c>
      <c r="F374" s="355">
        <f>FF!K1461</f>
        <v>179.47</v>
      </c>
      <c r="G374" s="353">
        <f t="shared" si="13"/>
        <v>0</v>
      </c>
      <c r="H374" s="708" t="s">
        <v>2226</v>
      </c>
    </row>
    <row r="375" spans="1:8" s="360" customFormat="1" hidden="1">
      <c r="A375" s="356" t="s">
        <v>510</v>
      </c>
      <c r="B375" s="927" t="s">
        <v>2630</v>
      </c>
      <c r="C375" s="707" t="s">
        <v>1227</v>
      </c>
      <c r="D375" s="358">
        <f>FF!I1493</f>
        <v>0</v>
      </c>
      <c r="E375" s="354" t="s">
        <v>102</v>
      </c>
      <c r="F375" s="355">
        <f>FF!K1493</f>
        <v>192.01</v>
      </c>
      <c r="G375" s="353">
        <f t="shared" si="13"/>
        <v>0</v>
      </c>
      <c r="H375" s="708" t="s">
        <v>2308</v>
      </c>
    </row>
    <row r="376" spans="1:8" s="360" customFormat="1" ht="15" hidden="1" customHeight="1">
      <c r="A376" s="356" t="s">
        <v>533</v>
      </c>
      <c r="B376" s="927" t="s">
        <v>2630</v>
      </c>
      <c r="C376" s="707" t="s">
        <v>1227</v>
      </c>
      <c r="D376" s="358">
        <f>FF!I1500</f>
        <v>0</v>
      </c>
      <c r="E376" s="354" t="s">
        <v>102</v>
      </c>
      <c r="F376" s="355">
        <f>FF!K1500</f>
        <v>201.51</v>
      </c>
      <c r="G376" s="353">
        <f t="shared" si="13"/>
        <v>0</v>
      </c>
      <c r="H376" s="708" t="s">
        <v>2321</v>
      </c>
    </row>
    <row r="377" spans="1:8" s="360" customFormat="1" ht="15" customHeight="1">
      <c r="A377" s="356" t="s">
        <v>500</v>
      </c>
      <c r="B377" s="927" t="s">
        <v>2630</v>
      </c>
      <c r="C377" s="707" t="s">
        <v>1227</v>
      </c>
      <c r="D377" s="358">
        <f>FF!I1514</f>
        <v>0</v>
      </c>
      <c r="E377" s="354" t="s">
        <v>102</v>
      </c>
      <c r="F377" s="355">
        <f>FF!K1514</f>
        <v>217.22</v>
      </c>
      <c r="G377" s="353">
        <f t="shared" si="13"/>
        <v>0</v>
      </c>
      <c r="H377" s="708" t="s">
        <v>2322</v>
      </c>
    </row>
    <row r="378" spans="1:8" s="360" customFormat="1">
      <c r="A378" s="356" t="s">
        <v>501</v>
      </c>
      <c r="B378" s="927" t="s">
        <v>2634</v>
      </c>
      <c r="C378" s="707" t="s">
        <v>477</v>
      </c>
      <c r="D378" s="429">
        <f>FF!I1522</f>
        <v>0</v>
      </c>
      <c r="E378" s="221" t="s">
        <v>29</v>
      </c>
      <c r="F378" s="430">
        <f>FF!K1522</f>
        <v>63243.5</v>
      </c>
      <c r="G378" s="353">
        <f t="shared" si="13"/>
        <v>0</v>
      </c>
      <c r="H378" s="708" t="s">
        <v>2226</v>
      </c>
    </row>
    <row r="379" spans="1:8" s="360" customFormat="1" ht="15" hidden="1" customHeight="1">
      <c r="A379" s="356" t="s">
        <v>512</v>
      </c>
      <c r="B379" s="927" t="s">
        <v>2634</v>
      </c>
      <c r="C379" s="707" t="s">
        <v>477</v>
      </c>
      <c r="D379" s="429">
        <f>FF!I1527</f>
        <v>0</v>
      </c>
      <c r="E379" s="221" t="s">
        <v>29</v>
      </c>
      <c r="F379" s="430">
        <f>FF!K1527</f>
        <v>63510</v>
      </c>
      <c r="G379" s="353">
        <f t="shared" si="13"/>
        <v>0</v>
      </c>
      <c r="H379" s="708" t="s">
        <v>2308</v>
      </c>
    </row>
    <row r="380" spans="1:8" s="360" customFormat="1" ht="15" hidden="1" customHeight="1">
      <c r="A380" s="356" t="s">
        <v>1143</v>
      </c>
      <c r="B380" s="927" t="s">
        <v>2634</v>
      </c>
      <c r="C380" s="707" t="s">
        <v>477</v>
      </c>
      <c r="D380" s="429">
        <f>FF!I1535</f>
        <v>0</v>
      </c>
      <c r="E380" s="221" t="s">
        <v>29</v>
      </c>
      <c r="F380" s="430">
        <f>FF!K1535</f>
        <v>80999.5</v>
      </c>
      <c r="G380" s="353">
        <f t="shared" si="13"/>
        <v>0</v>
      </c>
      <c r="H380" s="708" t="s">
        <v>2321</v>
      </c>
    </row>
    <row r="381" spans="1:8" s="360" customFormat="1" ht="15" hidden="1" customHeight="1">
      <c r="A381" s="356" t="s">
        <v>1143</v>
      </c>
      <c r="B381" s="927" t="s">
        <v>2634</v>
      </c>
      <c r="C381" s="707" t="s">
        <v>477</v>
      </c>
      <c r="D381" s="429">
        <f>FF!I1542</f>
        <v>0</v>
      </c>
      <c r="E381" s="221" t="s">
        <v>29</v>
      </c>
      <c r="F381" s="430">
        <f>FF!K1542</f>
        <v>93741</v>
      </c>
      <c r="G381" s="353">
        <f t="shared" si="13"/>
        <v>0</v>
      </c>
      <c r="H381" s="708" t="s">
        <v>2322</v>
      </c>
    </row>
    <row r="382" spans="1:8" s="26" customFormat="1" hidden="1">
      <c r="A382" s="23"/>
      <c r="B382" s="23"/>
      <c r="C382" s="702" t="s">
        <v>889</v>
      </c>
      <c r="D382" s="28"/>
      <c r="E382" s="224"/>
      <c r="F382" s="37"/>
      <c r="G382" s="11">
        <f t="shared" si="13"/>
        <v>0</v>
      </c>
      <c r="H382" s="708" t="s">
        <v>2226</v>
      </c>
    </row>
    <row r="383" spans="1:8" s="360" customFormat="1">
      <c r="A383" s="356" t="s">
        <v>502</v>
      </c>
      <c r="B383" s="927" t="s">
        <v>2642</v>
      </c>
      <c r="C383" s="932" t="s">
        <v>2068</v>
      </c>
      <c r="D383" s="358">
        <f>SF!I14</f>
        <v>0</v>
      </c>
      <c r="E383" s="354" t="s">
        <v>5</v>
      </c>
      <c r="F383" s="355">
        <f>SF!K14</f>
        <v>10542.140000000001</v>
      </c>
      <c r="G383" s="353">
        <f t="shared" si="13"/>
        <v>0</v>
      </c>
      <c r="H383" s="708" t="s">
        <v>2226</v>
      </c>
    </row>
    <row r="384" spans="1:8" s="360" customFormat="1" ht="15" hidden="1" customHeight="1">
      <c r="A384" s="356" t="s">
        <v>513</v>
      </c>
      <c r="B384" s="927" t="s">
        <v>2642</v>
      </c>
      <c r="C384" s="932" t="s">
        <v>2068</v>
      </c>
      <c r="D384" s="358">
        <f>SF!I21</f>
        <v>0</v>
      </c>
      <c r="E384" s="354" t="s">
        <v>5</v>
      </c>
      <c r="F384" s="355">
        <f>SF!K21</f>
        <v>10932.800000000001</v>
      </c>
      <c r="G384" s="353">
        <f t="shared" si="13"/>
        <v>0</v>
      </c>
      <c r="H384" s="708" t="s">
        <v>2308</v>
      </c>
    </row>
    <row r="385" spans="1:8" s="360" customFormat="1" ht="15" hidden="1" customHeight="1">
      <c r="A385" s="356" t="s">
        <v>1586</v>
      </c>
      <c r="B385" s="927" t="s">
        <v>2642</v>
      </c>
      <c r="C385" s="932" t="s">
        <v>2068</v>
      </c>
      <c r="D385" s="358">
        <f>SF!I28</f>
        <v>0</v>
      </c>
      <c r="E385" s="354" t="s">
        <v>5</v>
      </c>
      <c r="F385" s="355">
        <f>SF!K28</f>
        <v>11565.1</v>
      </c>
      <c r="G385" s="353">
        <f t="shared" si="13"/>
        <v>0</v>
      </c>
      <c r="H385" s="708" t="s">
        <v>2321</v>
      </c>
    </row>
    <row r="386" spans="1:8" s="360" customFormat="1" ht="15" hidden="1" customHeight="1">
      <c r="A386" s="356" t="s">
        <v>1586</v>
      </c>
      <c r="B386" s="927" t="s">
        <v>2642</v>
      </c>
      <c r="C386" s="932" t="s">
        <v>2068</v>
      </c>
      <c r="D386" s="358">
        <f>SF!I33</f>
        <v>0</v>
      </c>
      <c r="E386" s="354" t="s">
        <v>5</v>
      </c>
      <c r="F386" s="355">
        <f>SF!K33</f>
        <v>12013.61</v>
      </c>
      <c r="G386" s="353">
        <f t="shared" si="13"/>
        <v>0</v>
      </c>
      <c r="H386" s="708" t="s">
        <v>2322</v>
      </c>
    </row>
    <row r="387" spans="1:8" s="360" customFormat="1">
      <c r="A387" s="356" t="s">
        <v>503</v>
      </c>
      <c r="B387" s="927" t="s">
        <v>2643</v>
      </c>
      <c r="C387" s="932" t="s">
        <v>2070</v>
      </c>
      <c r="D387" s="358">
        <f>SF!I39</f>
        <v>0</v>
      </c>
      <c r="E387" s="354" t="s">
        <v>5</v>
      </c>
      <c r="F387" s="355">
        <f>SF!K39</f>
        <v>10021.1</v>
      </c>
      <c r="G387" s="353">
        <f t="shared" si="13"/>
        <v>0</v>
      </c>
      <c r="H387" s="708" t="s">
        <v>2226</v>
      </c>
    </row>
    <row r="388" spans="1:8" s="360" customFormat="1" ht="15" hidden="1" customHeight="1">
      <c r="A388" s="356" t="s">
        <v>514</v>
      </c>
      <c r="B388" s="927" t="s">
        <v>2643</v>
      </c>
      <c r="C388" s="932" t="s">
        <v>2070</v>
      </c>
      <c r="D388" s="358">
        <f>SF!I45</f>
        <v>0</v>
      </c>
      <c r="E388" s="354" t="s">
        <v>5</v>
      </c>
      <c r="F388" s="355">
        <f>SF!K45</f>
        <v>10257.99</v>
      </c>
      <c r="G388" s="353">
        <f t="shared" si="13"/>
        <v>0</v>
      </c>
      <c r="H388" s="708" t="s">
        <v>2308</v>
      </c>
    </row>
    <row r="389" spans="1:8" s="360" customFormat="1" ht="15" hidden="1" customHeight="1">
      <c r="A389" s="356" t="s">
        <v>645</v>
      </c>
      <c r="B389" s="927" t="s">
        <v>2643</v>
      </c>
      <c r="C389" s="932" t="s">
        <v>2070</v>
      </c>
      <c r="D389" s="358">
        <f>SF!I51</f>
        <v>0</v>
      </c>
      <c r="E389" s="354" t="s">
        <v>5</v>
      </c>
      <c r="F389" s="355">
        <f>SF!K51</f>
        <v>10793.54</v>
      </c>
      <c r="G389" s="353">
        <f t="shared" si="13"/>
        <v>0</v>
      </c>
      <c r="H389" s="708" t="s">
        <v>2321</v>
      </c>
    </row>
    <row r="390" spans="1:8" s="360" customFormat="1" ht="15" hidden="1" customHeight="1">
      <c r="A390" s="356" t="s">
        <v>645</v>
      </c>
      <c r="B390" s="927" t="s">
        <v>2643</v>
      </c>
      <c r="C390" s="932" t="s">
        <v>2070</v>
      </c>
      <c r="D390" s="358">
        <f>SF!I57</f>
        <v>0</v>
      </c>
      <c r="E390" s="354" t="s">
        <v>5</v>
      </c>
      <c r="F390" s="355">
        <f>SF!K57</f>
        <v>11098.560000000001</v>
      </c>
      <c r="G390" s="353">
        <f t="shared" si="13"/>
        <v>0</v>
      </c>
      <c r="H390" s="708" t="s">
        <v>2322</v>
      </c>
    </row>
    <row r="391" spans="1:8" s="360" customFormat="1" hidden="1">
      <c r="A391" s="356" t="s">
        <v>513</v>
      </c>
      <c r="B391" s="927" t="s">
        <v>2644</v>
      </c>
      <c r="C391" s="932" t="s">
        <v>2071</v>
      </c>
      <c r="D391" s="358">
        <f>SF!I86</f>
        <v>0</v>
      </c>
      <c r="E391" s="354" t="s">
        <v>102</v>
      </c>
      <c r="F391" s="355">
        <f>SF!K86</f>
        <v>1395.34</v>
      </c>
      <c r="G391" s="353">
        <f t="shared" si="13"/>
        <v>0</v>
      </c>
      <c r="H391" s="708" t="s">
        <v>2226</v>
      </c>
    </row>
    <row r="392" spans="1:8" s="360" customFormat="1" ht="15" hidden="1" customHeight="1">
      <c r="A392" s="356" t="s">
        <v>515</v>
      </c>
      <c r="B392" s="927" t="s">
        <v>2644</v>
      </c>
      <c r="C392" s="932" t="s">
        <v>2071</v>
      </c>
      <c r="D392" s="358">
        <f>SF!I91</f>
        <v>0</v>
      </c>
      <c r="E392" s="354" t="s">
        <v>102</v>
      </c>
      <c r="F392" s="355">
        <f>SF!K91</f>
        <v>1443.96</v>
      </c>
      <c r="G392" s="353">
        <f t="shared" si="13"/>
        <v>0</v>
      </c>
      <c r="H392" s="708" t="s">
        <v>2308</v>
      </c>
    </row>
    <row r="393" spans="1:8" s="360" customFormat="1" ht="15" hidden="1" customHeight="1">
      <c r="A393" s="356" t="s">
        <v>1587</v>
      </c>
      <c r="B393" s="927" t="s">
        <v>2644</v>
      </c>
      <c r="C393" s="932" t="s">
        <v>2071</v>
      </c>
      <c r="D393" s="358">
        <f>SF!I96</f>
        <v>0</v>
      </c>
      <c r="E393" s="354" t="s">
        <v>102</v>
      </c>
      <c r="F393" s="355">
        <f>SF!K96</f>
        <v>1539.2800000000002</v>
      </c>
      <c r="G393" s="353">
        <f t="shared" si="13"/>
        <v>0</v>
      </c>
      <c r="H393" s="708" t="s">
        <v>2321</v>
      </c>
    </row>
    <row r="394" spans="1:8" s="360" customFormat="1" ht="15" hidden="1" customHeight="1">
      <c r="A394" s="356" t="s">
        <v>1587</v>
      </c>
      <c r="B394" s="927" t="s">
        <v>2644</v>
      </c>
      <c r="C394" s="932" t="s">
        <v>2071</v>
      </c>
      <c r="D394" s="358">
        <f>SF!I101</f>
        <v>0</v>
      </c>
      <c r="E394" s="354" t="s">
        <v>102</v>
      </c>
      <c r="F394" s="355">
        <f>SF!K101</f>
        <v>1594.17</v>
      </c>
      <c r="G394" s="353">
        <f t="shared" si="13"/>
        <v>0</v>
      </c>
      <c r="H394" s="708" t="s">
        <v>2322</v>
      </c>
    </row>
    <row r="395" spans="1:8" s="360" customFormat="1" ht="15" customHeight="1">
      <c r="A395" s="356" t="s">
        <v>504</v>
      </c>
      <c r="B395" s="927" t="s">
        <v>2644</v>
      </c>
      <c r="C395" s="932" t="s">
        <v>2073</v>
      </c>
      <c r="D395" s="358">
        <f>SF!I106</f>
        <v>0</v>
      </c>
      <c r="E395" s="354" t="s">
        <v>102</v>
      </c>
      <c r="F395" s="355">
        <f>SF!K106</f>
        <v>1271.18</v>
      </c>
      <c r="G395" s="353">
        <f t="shared" si="13"/>
        <v>0</v>
      </c>
      <c r="H395" s="708" t="s">
        <v>2226</v>
      </c>
    </row>
    <row r="396" spans="1:8" s="360" customFormat="1" ht="15" hidden="1" customHeight="1">
      <c r="A396" s="356" t="s">
        <v>487</v>
      </c>
      <c r="B396" s="927" t="s">
        <v>2644</v>
      </c>
      <c r="C396" s="932" t="s">
        <v>2073</v>
      </c>
      <c r="D396" s="358">
        <f>SF!I111</f>
        <v>0</v>
      </c>
      <c r="E396" s="354" t="s">
        <v>102</v>
      </c>
      <c r="F396" s="355">
        <f>SF!K111</f>
        <v>1314.42</v>
      </c>
      <c r="G396" s="353">
        <f t="shared" si="13"/>
        <v>0</v>
      </c>
      <c r="H396" s="708" t="s">
        <v>2308</v>
      </c>
    </row>
    <row r="397" spans="1:8" s="360" customFormat="1" ht="15" hidden="1" customHeight="1">
      <c r="A397" s="356" t="s">
        <v>487</v>
      </c>
      <c r="B397" s="927" t="s">
        <v>2644</v>
      </c>
      <c r="C397" s="932" t="s">
        <v>2073</v>
      </c>
      <c r="D397" s="358">
        <f>SF!I116</f>
        <v>0</v>
      </c>
      <c r="E397" s="354" t="s">
        <v>102</v>
      </c>
      <c r="F397" s="355">
        <f>SF!K116</f>
        <v>1403.54</v>
      </c>
      <c r="G397" s="353">
        <f t="shared" si="13"/>
        <v>0</v>
      </c>
      <c r="H397" s="708" t="s">
        <v>2321</v>
      </c>
    </row>
    <row r="398" spans="1:8" s="360" customFormat="1" ht="15" hidden="1" customHeight="1">
      <c r="A398" s="356" t="s">
        <v>487</v>
      </c>
      <c r="B398" s="927" t="s">
        <v>2644</v>
      </c>
      <c r="C398" s="932" t="s">
        <v>2073</v>
      </c>
      <c r="D398" s="358">
        <f>SF!I121</f>
        <v>0</v>
      </c>
      <c r="E398" s="354" t="s">
        <v>102</v>
      </c>
      <c r="F398" s="355">
        <f>SF!K121</f>
        <v>1451.29</v>
      </c>
      <c r="G398" s="353">
        <f t="shared" si="13"/>
        <v>0</v>
      </c>
      <c r="H398" s="708" t="s">
        <v>2322</v>
      </c>
    </row>
    <row r="399" spans="1:8" s="360" customFormat="1" ht="15" hidden="1" customHeight="1">
      <c r="A399" s="356" t="s">
        <v>516</v>
      </c>
      <c r="B399" s="927" t="s">
        <v>2640</v>
      </c>
      <c r="C399" s="932" t="s">
        <v>2072</v>
      </c>
      <c r="D399" s="358">
        <f>SF!I63</f>
        <v>0</v>
      </c>
      <c r="E399" s="221" t="s">
        <v>102</v>
      </c>
      <c r="F399" s="355">
        <f>SF!K63</f>
        <v>1519.49</v>
      </c>
      <c r="G399" s="353">
        <f t="shared" si="13"/>
        <v>0</v>
      </c>
      <c r="H399" s="708" t="s">
        <v>2226</v>
      </c>
    </row>
    <row r="400" spans="1:8" s="360" customFormat="1" ht="15" hidden="1" customHeight="1">
      <c r="A400" s="356" t="s">
        <v>516</v>
      </c>
      <c r="B400" s="927" t="s">
        <v>2640</v>
      </c>
      <c r="C400" s="932" t="s">
        <v>2072</v>
      </c>
      <c r="D400" s="358">
        <f>SF!I69</f>
        <v>0</v>
      </c>
      <c r="E400" s="221" t="s">
        <v>102</v>
      </c>
      <c r="F400" s="355">
        <f>SF!K69</f>
        <v>1573.5</v>
      </c>
      <c r="G400" s="353">
        <f t="shared" si="13"/>
        <v>0</v>
      </c>
      <c r="H400" s="708" t="s">
        <v>2308</v>
      </c>
    </row>
    <row r="401" spans="1:8" s="360" customFormat="1" ht="15" hidden="1" customHeight="1">
      <c r="A401" s="356" t="s">
        <v>516</v>
      </c>
      <c r="B401" s="927" t="s">
        <v>2640</v>
      </c>
      <c r="C401" s="932" t="s">
        <v>2072</v>
      </c>
      <c r="D401" s="358">
        <f>SF!I75</f>
        <v>0</v>
      </c>
      <c r="E401" s="221" t="s">
        <v>102</v>
      </c>
      <c r="F401" s="355">
        <f>SF!K75</f>
        <v>1675.0100000000002</v>
      </c>
      <c r="G401" s="353">
        <f t="shared" si="13"/>
        <v>0</v>
      </c>
      <c r="H401" s="708" t="s">
        <v>2321</v>
      </c>
    </row>
    <row r="402" spans="1:8" s="360" customFormat="1" ht="15" hidden="1" customHeight="1">
      <c r="A402" s="356" t="s">
        <v>516</v>
      </c>
      <c r="B402" s="927" t="s">
        <v>2640</v>
      </c>
      <c r="C402" s="932" t="s">
        <v>2072</v>
      </c>
      <c r="D402" s="358">
        <f>SF!I81</f>
        <v>0</v>
      </c>
      <c r="E402" s="221" t="s">
        <v>102</v>
      </c>
      <c r="F402" s="355">
        <f>SF!K81</f>
        <v>1737.05</v>
      </c>
      <c r="G402" s="353">
        <f t="shared" si="13"/>
        <v>0</v>
      </c>
      <c r="H402" s="708" t="s">
        <v>2322</v>
      </c>
    </row>
    <row r="403" spans="1:8" s="360" customFormat="1" ht="15" hidden="1" customHeight="1">
      <c r="A403" s="356" t="s">
        <v>517</v>
      </c>
      <c r="B403" s="927" t="s">
        <v>2644</v>
      </c>
      <c r="C403" s="932" t="s">
        <v>2079</v>
      </c>
      <c r="D403" s="358">
        <f>SF!I127</f>
        <v>0</v>
      </c>
      <c r="E403" s="221" t="s">
        <v>102</v>
      </c>
      <c r="F403" s="355">
        <f>SF!K127</f>
        <v>747.27</v>
      </c>
      <c r="G403" s="353">
        <f t="shared" si="13"/>
        <v>0</v>
      </c>
      <c r="H403" s="708" t="s">
        <v>2226</v>
      </c>
    </row>
    <row r="404" spans="1:8" s="360" customFormat="1" ht="15" hidden="1" customHeight="1">
      <c r="A404" s="356" t="s">
        <v>517</v>
      </c>
      <c r="B404" s="927" t="s">
        <v>2644</v>
      </c>
      <c r="C404" s="932" t="s">
        <v>2079</v>
      </c>
      <c r="D404" s="358">
        <f>SF!I133</f>
        <v>0</v>
      </c>
      <c r="E404" s="221" t="s">
        <v>102</v>
      </c>
      <c r="F404" s="355">
        <f>SF!K133</f>
        <v>779.57</v>
      </c>
      <c r="G404" s="353">
        <f t="shared" ref="G404:G434" si="14">ROUND(D404*F404,0)</f>
        <v>0</v>
      </c>
      <c r="H404" s="708" t="s">
        <v>2308</v>
      </c>
    </row>
    <row r="405" spans="1:8" s="360" customFormat="1" ht="15" hidden="1" customHeight="1">
      <c r="A405" s="356" t="s">
        <v>517</v>
      </c>
      <c r="B405" s="927" t="s">
        <v>2644</v>
      </c>
      <c r="C405" s="932" t="s">
        <v>2079</v>
      </c>
      <c r="D405" s="358">
        <f>SF!I139</f>
        <v>0</v>
      </c>
      <c r="E405" s="221" t="s">
        <v>102</v>
      </c>
      <c r="F405" s="355">
        <f>SF!K139</f>
        <v>831.97</v>
      </c>
      <c r="G405" s="353">
        <f t="shared" si="14"/>
        <v>0</v>
      </c>
      <c r="H405" s="708" t="s">
        <v>2321</v>
      </c>
    </row>
    <row r="406" spans="1:8" s="360" customFormat="1" ht="15" hidden="1" customHeight="1">
      <c r="A406" s="356" t="s">
        <v>517</v>
      </c>
      <c r="B406" s="927" t="s">
        <v>2644</v>
      </c>
      <c r="C406" s="932" t="s">
        <v>2079</v>
      </c>
      <c r="D406" s="358">
        <f>SF!I145</f>
        <v>0</v>
      </c>
      <c r="E406" s="221" t="s">
        <v>102</v>
      </c>
      <c r="F406" s="355">
        <f>SF!K145</f>
        <v>865.17</v>
      </c>
      <c r="G406" s="353">
        <f t="shared" si="14"/>
        <v>0</v>
      </c>
      <c r="H406" s="708" t="s">
        <v>2322</v>
      </c>
    </row>
    <row r="407" spans="1:8" s="360" customFormat="1" ht="15" hidden="1" customHeight="1">
      <c r="A407" s="356" t="s">
        <v>517</v>
      </c>
      <c r="B407" s="927" t="s">
        <v>2644</v>
      </c>
      <c r="C407" s="932" t="s">
        <v>2080</v>
      </c>
      <c r="D407" s="358">
        <f>SF!I151</f>
        <v>0</v>
      </c>
      <c r="E407" s="221" t="s">
        <v>102</v>
      </c>
      <c r="F407" s="355">
        <f>SF!K151</f>
        <v>624.5</v>
      </c>
      <c r="G407" s="353">
        <f t="shared" si="14"/>
        <v>0</v>
      </c>
      <c r="H407" s="708" t="s">
        <v>2226</v>
      </c>
    </row>
    <row r="408" spans="1:8" s="360" customFormat="1" ht="15" hidden="1" customHeight="1">
      <c r="A408" s="356" t="s">
        <v>517</v>
      </c>
      <c r="B408" s="927" t="s">
        <v>2644</v>
      </c>
      <c r="C408" s="932" t="s">
        <v>2080</v>
      </c>
      <c r="D408" s="358">
        <f>SF!I157</f>
        <v>0</v>
      </c>
      <c r="E408" s="221" t="s">
        <v>102</v>
      </c>
      <c r="F408" s="355">
        <f>SF!K157</f>
        <v>651.52</v>
      </c>
      <c r="G408" s="353">
        <f t="shared" si="14"/>
        <v>0</v>
      </c>
      <c r="H408" s="708" t="s">
        <v>2308</v>
      </c>
    </row>
    <row r="409" spans="1:8" s="360" customFormat="1" ht="15" hidden="1" customHeight="1">
      <c r="A409" s="356" t="s">
        <v>517</v>
      </c>
      <c r="B409" s="927" t="s">
        <v>2644</v>
      </c>
      <c r="C409" s="932" t="s">
        <v>2080</v>
      </c>
      <c r="D409" s="358">
        <f>SF!I163</f>
        <v>0</v>
      </c>
      <c r="E409" s="221" t="s">
        <v>102</v>
      </c>
      <c r="F409" s="355">
        <f>SF!K163</f>
        <v>697.83999999999992</v>
      </c>
      <c r="G409" s="353">
        <f t="shared" si="14"/>
        <v>0</v>
      </c>
      <c r="H409" s="708" t="s">
        <v>2321</v>
      </c>
    </row>
    <row r="410" spans="1:8" s="360" customFormat="1" ht="15" hidden="1" customHeight="1">
      <c r="A410" s="356" t="s">
        <v>517</v>
      </c>
      <c r="B410" s="927" t="s">
        <v>2644</v>
      </c>
      <c r="C410" s="932" t="s">
        <v>2080</v>
      </c>
      <c r="D410" s="358">
        <f>SF!I169</f>
        <v>0</v>
      </c>
      <c r="E410" s="221" t="s">
        <v>102</v>
      </c>
      <c r="F410" s="355">
        <f>SF!K169</f>
        <v>724.02</v>
      </c>
      <c r="G410" s="353">
        <f t="shared" si="14"/>
        <v>0</v>
      </c>
      <c r="H410" s="708" t="s">
        <v>2322</v>
      </c>
    </row>
    <row r="411" spans="1:8" s="360" customFormat="1" ht="15" hidden="1" customHeight="1">
      <c r="A411" s="356" t="s">
        <v>518</v>
      </c>
      <c r="B411" s="927" t="s">
        <v>2636</v>
      </c>
      <c r="C411" s="932" t="s">
        <v>2076</v>
      </c>
      <c r="D411" s="358">
        <f>SF!I176</f>
        <v>0</v>
      </c>
      <c r="E411" s="354" t="s">
        <v>5</v>
      </c>
      <c r="F411" s="355">
        <f>SF!K176</f>
        <v>10426.34</v>
      </c>
      <c r="G411" s="353">
        <f t="shared" si="14"/>
        <v>0</v>
      </c>
      <c r="H411" s="708" t="s">
        <v>2226</v>
      </c>
    </row>
    <row r="412" spans="1:8" s="360" customFormat="1" ht="15" hidden="1" customHeight="1">
      <c r="A412" s="356" t="s">
        <v>518</v>
      </c>
      <c r="B412" s="927" t="s">
        <v>2636</v>
      </c>
      <c r="C412" s="932" t="s">
        <v>2076</v>
      </c>
      <c r="D412" s="358">
        <f>SF!I183</f>
        <v>0</v>
      </c>
      <c r="E412" s="354" t="s">
        <v>5</v>
      </c>
      <c r="F412" s="355">
        <f>SF!K183</f>
        <v>10817</v>
      </c>
      <c r="G412" s="353">
        <f t="shared" si="14"/>
        <v>0</v>
      </c>
      <c r="H412" s="708" t="s">
        <v>2308</v>
      </c>
    </row>
    <row r="413" spans="1:8" s="360" customFormat="1" ht="15" hidden="1" customHeight="1">
      <c r="A413" s="356" t="s">
        <v>518</v>
      </c>
      <c r="B413" s="927" t="s">
        <v>2636</v>
      </c>
      <c r="C413" s="932" t="s">
        <v>2076</v>
      </c>
      <c r="D413" s="358">
        <f>SF!I190</f>
        <v>0</v>
      </c>
      <c r="E413" s="354" t="s">
        <v>5</v>
      </c>
      <c r="F413" s="355">
        <f>SF!K190</f>
        <v>11426.3</v>
      </c>
      <c r="G413" s="353">
        <f t="shared" si="14"/>
        <v>0</v>
      </c>
      <c r="H413" s="708" t="s">
        <v>2321</v>
      </c>
    </row>
    <row r="414" spans="1:8" s="360" customFormat="1" ht="15" hidden="1" customHeight="1">
      <c r="A414" s="356" t="s">
        <v>518</v>
      </c>
      <c r="B414" s="927" t="s">
        <v>2636</v>
      </c>
      <c r="C414" s="932" t="s">
        <v>2076</v>
      </c>
      <c r="D414" s="358">
        <f>SF!I197</f>
        <v>0</v>
      </c>
      <c r="E414" s="354" t="s">
        <v>5</v>
      </c>
      <c r="F414" s="355">
        <f>SF!K197</f>
        <v>11874.810000000001</v>
      </c>
      <c r="G414" s="353">
        <f t="shared" si="14"/>
        <v>0</v>
      </c>
      <c r="H414" s="708" t="s">
        <v>2322</v>
      </c>
    </row>
    <row r="415" spans="1:8" s="360" customFormat="1" ht="15" hidden="1" customHeight="1">
      <c r="A415" s="356" t="s">
        <v>519</v>
      </c>
      <c r="B415" s="927" t="s">
        <v>2639</v>
      </c>
      <c r="C415" s="932" t="s">
        <v>2077</v>
      </c>
      <c r="D415" s="358">
        <f>SF!I202</f>
        <v>0</v>
      </c>
      <c r="E415" s="221" t="s">
        <v>277</v>
      </c>
      <c r="F415" s="355">
        <f>SF!K202</f>
        <v>663.65999999999985</v>
      </c>
      <c r="G415" s="353">
        <f t="shared" si="14"/>
        <v>0</v>
      </c>
      <c r="H415" s="708" t="s">
        <v>2226</v>
      </c>
    </row>
    <row r="416" spans="1:8" s="360" customFormat="1" ht="15" hidden="1" customHeight="1">
      <c r="A416" s="356" t="s">
        <v>519</v>
      </c>
      <c r="B416" s="927" t="s">
        <v>2639</v>
      </c>
      <c r="C416" s="932" t="s">
        <v>2077</v>
      </c>
      <c r="D416" s="358">
        <f>SF!I207</f>
        <v>0</v>
      </c>
      <c r="E416" s="221" t="s">
        <v>277</v>
      </c>
      <c r="F416" s="355">
        <f>SF!K207</f>
        <v>684.77</v>
      </c>
      <c r="G416" s="353">
        <f t="shared" si="14"/>
        <v>0</v>
      </c>
      <c r="H416" s="708" t="s">
        <v>2308</v>
      </c>
    </row>
    <row r="417" spans="1:8" s="360" customFormat="1" ht="15" hidden="1" customHeight="1">
      <c r="A417" s="356" t="s">
        <v>519</v>
      </c>
      <c r="B417" s="927" t="s">
        <v>2639</v>
      </c>
      <c r="C417" s="932" t="s">
        <v>2077</v>
      </c>
      <c r="D417" s="358">
        <f>SF!I212</f>
        <v>0</v>
      </c>
      <c r="E417" s="221" t="s">
        <v>277</v>
      </c>
      <c r="F417" s="355">
        <f>SF!K212</f>
        <v>722.50999999999988</v>
      </c>
      <c r="G417" s="353">
        <f t="shared" si="14"/>
        <v>0</v>
      </c>
      <c r="H417" s="708" t="s">
        <v>2321</v>
      </c>
    </row>
    <row r="418" spans="1:8" s="360" customFormat="1" ht="15" hidden="1" customHeight="1">
      <c r="A418" s="356" t="s">
        <v>519</v>
      </c>
      <c r="B418" s="927" t="s">
        <v>2639</v>
      </c>
      <c r="C418" s="932" t="s">
        <v>2077</v>
      </c>
      <c r="D418" s="358">
        <f>SF!I217</f>
        <v>0</v>
      </c>
      <c r="E418" s="221" t="s">
        <v>277</v>
      </c>
      <c r="F418" s="355">
        <f>SF!K217</f>
        <v>744.7299999999999</v>
      </c>
      <c r="G418" s="353">
        <f t="shared" si="14"/>
        <v>0</v>
      </c>
      <c r="H418" s="708" t="s">
        <v>2322</v>
      </c>
    </row>
    <row r="419" spans="1:8" s="360" customFormat="1" ht="15" hidden="1" customHeight="1">
      <c r="A419" s="356" t="s">
        <v>519</v>
      </c>
      <c r="B419" s="927"/>
      <c r="C419" s="932" t="s">
        <v>1480</v>
      </c>
      <c r="D419" s="358">
        <f>SF!I222</f>
        <v>0</v>
      </c>
      <c r="E419" s="221" t="s">
        <v>102</v>
      </c>
      <c r="F419" s="355">
        <f>SF!K222</f>
        <v>297.64999999999998</v>
      </c>
      <c r="G419" s="353">
        <f t="shared" si="14"/>
        <v>0</v>
      </c>
      <c r="H419" s="708" t="s">
        <v>2226</v>
      </c>
    </row>
    <row r="420" spans="1:8" s="360" customFormat="1" ht="15" hidden="1" customHeight="1">
      <c r="A420" s="356" t="s">
        <v>519</v>
      </c>
      <c r="B420" s="927"/>
      <c r="C420" s="932" t="s">
        <v>1480</v>
      </c>
      <c r="D420" s="358">
        <f>SF!I227</f>
        <v>0</v>
      </c>
      <c r="E420" s="221" t="s">
        <v>102</v>
      </c>
      <c r="F420" s="355">
        <f>SF!K227</f>
        <v>321.24</v>
      </c>
      <c r="G420" s="353">
        <f t="shared" si="14"/>
        <v>0</v>
      </c>
      <c r="H420" s="708" t="s">
        <v>2308</v>
      </c>
    </row>
    <row r="421" spans="1:8" s="360" customFormat="1" ht="15" hidden="1" customHeight="1">
      <c r="A421" s="356" t="s">
        <v>519</v>
      </c>
      <c r="B421" s="927"/>
      <c r="C421" s="932" t="s">
        <v>1480</v>
      </c>
      <c r="D421" s="358">
        <f>SF!I232</f>
        <v>0</v>
      </c>
      <c r="E421" s="221" t="s">
        <v>102</v>
      </c>
      <c r="F421" s="355">
        <f>SF!K232</f>
        <v>340.95</v>
      </c>
      <c r="G421" s="353">
        <f t="shared" si="14"/>
        <v>0</v>
      </c>
      <c r="H421" s="708" t="s">
        <v>2321</v>
      </c>
    </row>
    <row r="422" spans="1:8" s="360" customFormat="1" ht="15" hidden="1" customHeight="1">
      <c r="A422" s="356" t="s">
        <v>519</v>
      </c>
      <c r="B422" s="927"/>
      <c r="C422" s="932" t="s">
        <v>1480</v>
      </c>
      <c r="D422" s="358">
        <f>SF!I237</f>
        <v>0</v>
      </c>
      <c r="E422" s="221" t="s">
        <v>102</v>
      </c>
      <c r="F422" s="355">
        <f>SF!K237</f>
        <v>362.63</v>
      </c>
      <c r="G422" s="353">
        <f t="shared" si="14"/>
        <v>0</v>
      </c>
      <c r="H422" s="708" t="s">
        <v>2322</v>
      </c>
    </row>
    <row r="423" spans="1:8" s="360" customFormat="1" ht="15" hidden="1" customHeight="1">
      <c r="A423" s="356" t="s">
        <v>520</v>
      </c>
      <c r="B423" s="927" t="s">
        <v>2645</v>
      </c>
      <c r="C423" s="932" t="s">
        <v>1481</v>
      </c>
      <c r="D423" s="358">
        <f>SF!I243</f>
        <v>0</v>
      </c>
      <c r="E423" s="221" t="s">
        <v>102</v>
      </c>
      <c r="F423" s="355">
        <f>SF!K243</f>
        <v>382.24</v>
      </c>
      <c r="G423" s="353">
        <f t="shared" si="14"/>
        <v>0</v>
      </c>
      <c r="H423" s="708" t="s">
        <v>2226</v>
      </c>
    </row>
    <row r="424" spans="1:8" s="360" customFormat="1" ht="15" hidden="1" customHeight="1">
      <c r="A424" s="356" t="s">
        <v>520</v>
      </c>
      <c r="B424" s="927" t="s">
        <v>2645</v>
      </c>
      <c r="C424" s="932" t="s">
        <v>1481</v>
      </c>
      <c r="D424" s="358">
        <f>SF!I249</f>
        <v>0</v>
      </c>
      <c r="E424" s="221" t="s">
        <v>102</v>
      </c>
      <c r="F424" s="355">
        <f>SF!K249</f>
        <v>414.32</v>
      </c>
      <c r="G424" s="353">
        <f t="shared" si="14"/>
        <v>0</v>
      </c>
      <c r="H424" s="708" t="s">
        <v>2308</v>
      </c>
    </row>
    <row r="425" spans="1:8" s="360" customFormat="1" ht="15" hidden="1" customHeight="1">
      <c r="A425" s="356" t="s">
        <v>520</v>
      </c>
      <c r="B425" s="927" t="s">
        <v>2645</v>
      </c>
      <c r="C425" s="932" t="s">
        <v>1481</v>
      </c>
      <c r="D425" s="358">
        <f>SF!I255</f>
        <v>0</v>
      </c>
      <c r="E425" s="221" t="s">
        <v>102</v>
      </c>
      <c r="F425" s="355">
        <f>SF!K255</f>
        <v>440.9</v>
      </c>
      <c r="G425" s="353">
        <f t="shared" si="14"/>
        <v>0</v>
      </c>
      <c r="H425" s="708" t="s">
        <v>2321</v>
      </c>
    </row>
    <row r="426" spans="1:8" s="360" customFormat="1" ht="15" hidden="1" customHeight="1">
      <c r="A426" s="356" t="s">
        <v>520</v>
      </c>
      <c r="B426" s="927" t="s">
        <v>2645</v>
      </c>
      <c r="C426" s="932" t="s">
        <v>1481</v>
      </c>
      <c r="D426" s="358">
        <f>SF!I261</f>
        <v>0</v>
      </c>
      <c r="E426" s="221" t="s">
        <v>102</v>
      </c>
      <c r="F426" s="355">
        <f>SF!K261</f>
        <v>470.34</v>
      </c>
      <c r="G426" s="353">
        <f t="shared" si="14"/>
        <v>0</v>
      </c>
      <c r="H426" s="708" t="s">
        <v>2322</v>
      </c>
    </row>
    <row r="427" spans="1:8" s="360" customFormat="1">
      <c r="A427" s="356" t="s">
        <v>506</v>
      </c>
      <c r="B427" s="927" t="s">
        <v>2614</v>
      </c>
      <c r="C427" s="932" t="s">
        <v>829</v>
      </c>
      <c r="D427" s="358">
        <f>SF!I298</f>
        <v>0</v>
      </c>
      <c r="E427" s="354" t="s">
        <v>5</v>
      </c>
      <c r="F427" s="355">
        <f>SF!K298</f>
        <v>6307.0100000000011</v>
      </c>
      <c r="G427" s="353">
        <f t="shared" si="14"/>
        <v>0</v>
      </c>
      <c r="H427" s="708" t="s">
        <v>2226</v>
      </c>
    </row>
    <row r="428" spans="1:8" s="360" customFormat="1" ht="15" hidden="1" customHeight="1">
      <c r="A428" s="356" t="s">
        <v>516</v>
      </c>
      <c r="B428" s="927" t="s">
        <v>2614</v>
      </c>
      <c r="C428" s="932" t="s">
        <v>829</v>
      </c>
      <c r="D428" s="358">
        <f>SF!I307</f>
        <v>0</v>
      </c>
      <c r="E428" s="354" t="s">
        <v>5</v>
      </c>
      <c r="F428" s="355">
        <f>SF!K307</f>
        <v>6491.829999999999</v>
      </c>
      <c r="G428" s="353">
        <f t="shared" si="14"/>
        <v>0</v>
      </c>
      <c r="H428" s="708" t="s">
        <v>2308</v>
      </c>
    </row>
    <row r="429" spans="1:8" s="360" customFormat="1" ht="15" hidden="1" customHeight="1">
      <c r="A429" s="356" t="s">
        <v>1588</v>
      </c>
      <c r="B429" s="927" t="s">
        <v>2614</v>
      </c>
      <c r="C429" s="932" t="s">
        <v>829</v>
      </c>
      <c r="D429" s="358">
        <f>SF!I312</f>
        <v>0</v>
      </c>
      <c r="E429" s="354" t="s">
        <v>5</v>
      </c>
      <c r="F429" s="355">
        <f>SF!K312</f>
        <v>6937.8099999999995</v>
      </c>
      <c r="G429" s="353">
        <f t="shared" si="14"/>
        <v>0</v>
      </c>
      <c r="H429" s="708" t="s">
        <v>2321</v>
      </c>
    </row>
    <row r="430" spans="1:8" s="360" customFormat="1" ht="15" hidden="1" customHeight="1">
      <c r="A430" s="356" t="s">
        <v>1588</v>
      </c>
      <c r="B430" s="927" t="s">
        <v>2614</v>
      </c>
      <c r="C430" s="932" t="s">
        <v>829</v>
      </c>
      <c r="D430" s="358">
        <f>SF!I320</f>
        <v>0</v>
      </c>
      <c r="E430" s="354" t="s">
        <v>5</v>
      </c>
      <c r="F430" s="355">
        <f>SF!K320</f>
        <v>7673.4</v>
      </c>
      <c r="G430" s="353">
        <f t="shared" si="14"/>
        <v>0</v>
      </c>
      <c r="H430" s="708" t="s">
        <v>2322</v>
      </c>
    </row>
    <row r="431" spans="1:8" s="360" customFormat="1" ht="15" hidden="1" customHeight="1">
      <c r="A431" s="356" t="s">
        <v>491</v>
      </c>
      <c r="B431" s="927" t="s">
        <v>2612</v>
      </c>
      <c r="C431" s="932" t="s">
        <v>828</v>
      </c>
      <c r="D431" s="358">
        <f>SF!I269</f>
        <v>0</v>
      </c>
      <c r="E431" s="354" t="s">
        <v>5</v>
      </c>
      <c r="F431" s="355">
        <f>SF!K269</f>
        <v>6250.6100000000015</v>
      </c>
      <c r="G431" s="353">
        <f t="shared" si="14"/>
        <v>0</v>
      </c>
      <c r="H431" s="708" t="s">
        <v>2226</v>
      </c>
    </row>
    <row r="432" spans="1:8" s="360" customFormat="1" ht="15" hidden="1" customHeight="1">
      <c r="A432" s="356" t="s">
        <v>517</v>
      </c>
      <c r="B432" s="927" t="s">
        <v>2612</v>
      </c>
      <c r="C432" s="932" t="s">
        <v>828</v>
      </c>
      <c r="D432" s="358">
        <f>SF!I274</f>
        <v>0</v>
      </c>
      <c r="E432" s="354" t="s">
        <v>5</v>
      </c>
      <c r="F432" s="355">
        <f>SF!K274</f>
        <v>6435.4299999999994</v>
      </c>
      <c r="G432" s="353">
        <f t="shared" si="14"/>
        <v>0</v>
      </c>
      <c r="H432" s="708" t="s">
        <v>2308</v>
      </c>
    </row>
    <row r="433" spans="1:8" s="360" customFormat="1" ht="15" hidden="1" customHeight="1">
      <c r="A433" s="356" t="s">
        <v>491</v>
      </c>
      <c r="B433" s="927" t="s">
        <v>2612</v>
      </c>
      <c r="C433" s="932" t="s">
        <v>828</v>
      </c>
      <c r="D433" s="358">
        <f>SF!I282</f>
        <v>0</v>
      </c>
      <c r="E433" s="354" t="s">
        <v>5</v>
      </c>
      <c r="F433" s="355">
        <f>SF!K282</f>
        <v>6881.41</v>
      </c>
      <c r="G433" s="353">
        <f t="shared" si="14"/>
        <v>0</v>
      </c>
      <c r="H433" s="708" t="s">
        <v>2321</v>
      </c>
    </row>
    <row r="434" spans="1:8" s="360" customFormat="1" ht="15" hidden="1" customHeight="1">
      <c r="A434" s="356" t="s">
        <v>491</v>
      </c>
      <c r="B434" s="927" t="s">
        <v>2612</v>
      </c>
      <c r="C434" s="932" t="s">
        <v>828</v>
      </c>
      <c r="D434" s="358">
        <f>SF!I290</f>
        <v>0</v>
      </c>
      <c r="E434" s="354" t="s">
        <v>5</v>
      </c>
      <c r="F434" s="355">
        <f>SF!K290</f>
        <v>7616.9999999999991</v>
      </c>
      <c r="G434" s="353">
        <f t="shared" si="14"/>
        <v>0</v>
      </c>
      <c r="H434" s="708" t="s">
        <v>2322</v>
      </c>
    </row>
    <row r="435" spans="1:8" s="360" customFormat="1">
      <c r="A435" s="356" t="s">
        <v>508</v>
      </c>
      <c r="B435" s="927" t="s">
        <v>2613</v>
      </c>
      <c r="C435" s="932" t="s">
        <v>2648</v>
      </c>
      <c r="D435" s="358">
        <f>SF!I328</f>
        <v>0</v>
      </c>
      <c r="E435" s="354" t="s">
        <v>102</v>
      </c>
      <c r="F435" s="355">
        <f>SF!K328</f>
        <v>830.76</v>
      </c>
      <c r="G435" s="353">
        <f t="shared" ref="G435:G442" si="15">ROUND(D435*F435/1,0)</f>
        <v>0</v>
      </c>
      <c r="H435" s="708" t="s">
        <v>2226</v>
      </c>
    </row>
    <row r="436" spans="1:8" s="360" customFormat="1" ht="25.5" hidden="1" customHeight="1">
      <c r="A436" s="356" t="s">
        <v>518</v>
      </c>
      <c r="B436" s="927" t="s">
        <v>2613</v>
      </c>
      <c r="C436" s="932" t="s">
        <v>2648</v>
      </c>
      <c r="D436" s="358">
        <f>SF!I333</f>
        <v>0</v>
      </c>
      <c r="E436" s="354" t="s">
        <v>102</v>
      </c>
      <c r="F436" s="355">
        <f>SF!K333</f>
        <v>856.26</v>
      </c>
      <c r="G436" s="353">
        <f t="shared" si="15"/>
        <v>0</v>
      </c>
      <c r="H436" s="708" t="s">
        <v>2308</v>
      </c>
    </row>
    <row r="437" spans="1:8" s="360" customFormat="1" ht="25.5" hidden="1" customHeight="1">
      <c r="A437" s="356" t="s">
        <v>646</v>
      </c>
      <c r="B437" s="927" t="s">
        <v>2613</v>
      </c>
      <c r="C437" s="932" t="s">
        <v>2648</v>
      </c>
      <c r="D437" s="358">
        <f>SF!I339</f>
        <v>0</v>
      </c>
      <c r="E437" s="354" t="s">
        <v>102</v>
      </c>
      <c r="F437" s="355">
        <f>SF!K339</f>
        <v>913.89</v>
      </c>
      <c r="G437" s="353">
        <f t="shared" si="15"/>
        <v>0</v>
      </c>
      <c r="H437" s="708" t="s">
        <v>2321</v>
      </c>
    </row>
    <row r="438" spans="1:8" s="360" customFormat="1" ht="25.5" hidden="1" customHeight="1">
      <c r="A438" s="356" t="s">
        <v>646</v>
      </c>
      <c r="B438" s="927" t="s">
        <v>2613</v>
      </c>
      <c r="C438" s="932" t="s">
        <v>2648</v>
      </c>
      <c r="D438" s="358">
        <f>SF!I347</f>
        <v>0</v>
      </c>
      <c r="E438" s="354" t="s">
        <v>102</v>
      </c>
      <c r="F438" s="355">
        <f>SF!K347</f>
        <v>999.57</v>
      </c>
      <c r="G438" s="353">
        <f t="shared" si="15"/>
        <v>0</v>
      </c>
      <c r="H438" s="708" t="s">
        <v>2322</v>
      </c>
    </row>
    <row r="439" spans="1:8" s="360" customFormat="1" ht="15" hidden="1" customHeight="1">
      <c r="A439" s="356" t="s">
        <v>483</v>
      </c>
      <c r="B439" s="927" t="s">
        <v>2613</v>
      </c>
      <c r="C439" s="932" t="s">
        <v>1222</v>
      </c>
      <c r="D439" s="358">
        <f>SF!I354</f>
        <v>0</v>
      </c>
      <c r="E439" s="354" t="s">
        <v>102</v>
      </c>
      <c r="F439" s="355">
        <f>SF!K354</f>
        <v>6013.9600000000009</v>
      </c>
      <c r="G439" s="353">
        <f t="shared" si="15"/>
        <v>0</v>
      </c>
      <c r="H439" s="708" t="s">
        <v>2226</v>
      </c>
    </row>
    <row r="440" spans="1:8" s="360" customFormat="1" ht="15" hidden="1" customHeight="1">
      <c r="A440" s="356" t="s">
        <v>483</v>
      </c>
      <c r="B440" s="927" t="s">
        <v>2613</v>
      </c>
      <c r="C440" s="932" t="s">
        <v>1222</v>
      </c>
      <c r="D440" s="358">
        <f>SF!I361</f>
        <v>0</v>
      </c>
      <c r="E440" s="354" t="s">
        <v>102</v>
      </c>
      <c r="F440" s="355">
        <f>SF!K361</f>
        <v>6227.11</v>
      </c>
      <c r="G440" s="353">
        <f t="shared" si="15"/>
        <v>0</v>
      </c>
      <c r="H440" s="708" t="s">
        <v>2308</v>
      </c>
    </row>
    <row r="441" spans="1:8" s="360" customFormat="1" ht="15" hidden="1" customHeight="1">
      <c r="A441" s="356" t="s">
        <v>483</v>
      </c>
      <c r="B441" s="927" t="s">
        <v>2613</v>
      </c>
      <c r="C441" s="932" t="s">
        <v>1222</v>
      </c>
      <c r="D441" s="358">
        <f>SF!I368</f>
        <v>0</v>
      </c>
      <c r="E441" s="354" t="s">
        <v>102</v>
      </c>
      <c r="F441" s="355">
        <f>SF!K368</f>
        <v>6774.69</v>
      </c>
      <c r="G441" s="353">
        <f t="shared" si="15"/>
        <v>0</v>
      </c>
      <c r="H441" s="708" t="s">
        <v>2321</v>
      </c>
    </row>
    <row r="442" spans="1:8" s="360" customFormat="1" ht="15" hidden="1" customHeight="1">
      <c r="A442" s="356" t="s">
        <v>483</v>
      </c>
      <c r="B442" s="927" t="s">
        <v>2613</v>
      </c>
      <c r="C442" s="932" t="s">
        <v>1222</v>
      </c>
      <c r="D442" s="358">
        <f>SF!I375</f>
        <v>0</v>
      </c>
      <c r="E442" s="354" t="s">
        <v>102</v>
      </c>
      <c r="F442" s="355">
        <f>SF!K375</f>
        <v>7187.4500000000007</v>
      </c>
      <c r="G442" s="353">
        <f t="shared" si="15"/>
        <v>0</v>
      </c>
      <c r="H442" s="708" t="s">
        <v>2322</v>
      </c>
    </row>
    <row r="443" spans="1:8" s="360" customFormat="1" ht="15" customHeight="1">
      <c r="A443" s="356" t="s">
        <v>510</v>
      </c>
      <c r="B443" s="927" t="s">
        <v>3207</v>
      </c>
      <c r="C443" s="932" t="s">
        <v>481</v>
      </c>
      <c r="D443" s="358">
        <f>SF!I382</f>
        <v>0</v>
      </c>
      <c r="E443" s="354" t="s">
        <v>102</v>
      </c>
      <c r="F443" s="355">
        <f>SF!K382</f>
        <v>321.79000000000002</v>
      </c>
      <c r="G443" s="353">
        <f t="shared" ref="G443:G474" si="16">ROUND(D443*F443,0)</f>
        <v>0</v>
      </c>
      <c r="H443" s="708" t="s">
        <v>2226</v>
      </c>
    </row>
    <row r="444" spans="1:8" s="360" customFormat="1" hidden="1">
      <c r="A444" s="356" t="s">
        <v>519</v>
      </c>
      <c r="B444" s="927" t="s">
        <v>2646</v>
      </c>
      <c r="C444" s="932" t="s">
        <v>481</v>
      </c>
      <c r="D444" s="358">
        <f>SF!I390</f>
        <v>0</v>
      </c>
      <c r="E444" s="354" t="s">
        <v>102</v>
      </c>
      <c r="F444" s="355">
        <f>SF!K390</f>
        <v>344.38</v>
      </c>
      <c r="G444" s="353">
        <f t="shared" si="16"/>
        <v>0</v>
      </c>
      <c r="H444" s="708" t="s">
        <v>2308</v>
      </c>
    </row>
    <row r="445" spans="1:8" s="360" customFormat="1" ht="15" hidden="1" customHeight="1">
      <c r="A445" s="356" t="s">
        <v>1585</v>
      </c>
      <c r="B445" s="927" t="s">
        <v>2646</v>
      </c>
      <c r="C445" s="932" t="s">
        <v>481</v>
      </c>
      <c r="D445" s="358">
        <f>SF!I397</f>
        <v>0</v>
      </c>
      <c r="E445" s="354" t="s">
        <v>102</v>
      </c>
      <c r="F445" s="355">
        <f>SF!K397</f>
        <v>365.08</v>
      </c>
      <c r="G445" s="353">
        <f t="shared" si="16"/>
        <v>0</v>
      </c>
      <c r="H445" s="708" t="s">
        <v>2321</v>
      </c>
    </row>
    <row r="446" spans="1:8" s="360" customFormat="1" ht="15" hidden="1" customHeight="1">
      <c r="A446" s="356" t="s">
        <v>1585</v>
      </c>
      <c r="B446" s="927" t="s">
        <v>2646</v>
      </c>
      <c r="C446" s="932" t="s">
        <v>481</v>
      </c>
      <c r="D446" s="358">
        <f>SF!I404</f>
        <v>0</v>
      </c>
      <c r="E446" s="354" t="s">
        <v>102</v>
      </c>
      <c r="F446" s="355">
        <f>SF!K404</f>
        <v>385.55</v>
      </c>
      <c r="G446" s="353">
        <f t="shared" si="16"/>
        <v>0</v>
      </c>
      <c r="H446" s="708" t="s">
        <v>2322</v>
      </c>
    </row>
    <row r="447" spans="1:8" s="360" customFormat="1" ht="15" hidden="1" customHeight="1">
      <c r="A447" s="356" t="s">
        <v>1584</v>
      </c>
      <c r="B447" s="927" t="s">
        <v>2619</v>
      </c>
      <c r="C447" s="932" t="s">
        <v>505</v>
      </c>
      <c r="D447" s="358">
        <f>SF!I412</f>
        <v>0</v>
      </c>
      <c r="E447" s="354" t="s">
        <v>102</v>
      </c>
      <c r="F447" s="355">
        <f>SF!K412</f>
        <v>289.52</v>
      </c>
      <c r="G447" s="353">
        <f t="shared" si="16"/>
        <v>0</v>
      </c>
      <c r="H447" s="708" t="s">
        <v>2226</v>
      </c>
    </row>
    <row r="448" spans="1:8" s="360" customFormat="1" ht="15" hidden="1" customHeight="1">
      <c r="A448" s="356" t="s">
        <v>1584</v>
      </c>
      <c r="B448" s="927" t="s">
        <v>2619</v>
      </c>
      <c r="C448" s="932" t="s">
        <v>505</v>
      </c>
      <c r="D448" s="358">
        <f>SF!I420</f>
        <v>0</v>
      </c>
      <c r="E448" s="354" t="s">
        <v>102</v>
      </c>
      <c r="F448" s="355">
        <f>SF!K420</f>
        <v>312.11</v>
      </c>
      <c r="G448" s="353">
        <f t="shared" si="16"/>
        <v>0</v>
      </c>
      <c r="H448" s="708" t="s">
        <v>2308</v>
      </c>
    </row>
    <row r="449" spans="1:8" s="360" customFormat="1" ht="15" hidden="1" customHeight="1">
      <c r="A449" s="356" t="s">
        <v>1584</v>
      </c>
      <c r="B449" s="927" t="s">
        <v>2619</v>
      </c>
      <c r="C449" s="932" t="s">
        <v>505</v>
      </c>
      <c r="D449" s="358">
        <f>SF!I428</f>
        <v>0</v>
      </c>
      <c r="E449" s="354" t="s">
        <v>102</v>
      </c>
      <c r="F449" s="355">
        <f>SF!K428</f>
        <v>331.62</v>
      </c>
      <c r="G449" s="353">
        <f t="shared" si="16"/>
        <v>0</v>
      </c>
      <c r="H449" s="708" t="s">
        <v>2321</v>
      </c>
    </row>
    <row r="450" spans="1:8" s="360" customFormat="1" ht="15" hidden="1" customHeight="1">
      <c r="A450" s="356" t="s">
        <v>1584</v>
      </c>
      <c r="B450" s="927" t="s">
        <v>2619</v>
      </c>
      <c r="C450" s="932" t="s">
        <v>505</v>
      </c>
      <c r="D450" s="358">
        <f>SF!I436</f>
        <v>0</v>
      </c>
      <c r="E450" s="354" t="s">
        <v>102</v>
      </c>
      <c r="F450" s="355">
        <f>SF!K436</f>
        <v>352.1</v>
      </c>
      <c r="G450" s="353">
        <f t="shared" si="16"/>
        <v>0</v>
      </c>
      <c r="H450" s="708" t="s">
        <v>2322</v>
      </c>
    </row>
    <row r="451" spans="1:8" s="360" customFormat="1" ht="15" hidden="1" customHeight="1">
      <c r="A451" s="356" t="s">
        <v>1585</v>
      </c>
      <c r="B451" s="927" t="s">
        <v>2620</v>
      </c>
      <c r="C451" s="932" t="s">
        <v>805</v>
      </c>
      <c r="D451" s="358">
        <f>SF!I444</f>
        <v>0</v>
      </c>
      <c r="E451" s="354" t="s">
        <v>102</v>
      </c>
      <c r="F451" s="355">
        <f>SF!K444</f>
        <v>307.37</v>
      </c>
      <c r="G451" s="353">
        <f t="shared" si="16"/>
        <v>0</v>
      </c>
      <c r="H451" s="708" t="s">
        <v>2226</v>
      </c>
    </row>
    <row r="452" spans="1:8" s="360" customFormat="1" ht="15" hidden="1" customHeight="1">
      <c r="A452" s="356" t="s">
        <v>1585</v>
      </c>
      <c r="B452" s="927" t="s">
        <v>2620</v>
      </c>
      <c r="C452" s="932" t="s">
        <v>805</v>
      </c>
      <c r="D452" s="358">
        <f>SF!I452</f>
        <v>0</v>
      </c>
      <c r="E452" s="354" t="s">
        <v>102</v>
      </c>
      <c r="F452" s="355">
        <f>SF!K452</f>
        <v>330.52</v>
      </c>
      <c r="G452" s="353">
        <f t="shared" si="16"/>
        <v>0</v>
      </c>
      <c r="H452" s="708" t="s">
        <v>2308</v>
      </c>
    </row>
    <row r="453" spans="1:8" s="360" customFormat="1" ht="15" hidden="1" customHeight="1">
      <c r="A453" s="356" t="s">
        <v>1585</v>
      </c>
      <c r="B453" s="927" t="s">
        <v>2620</v>
      </c>
      <c r="C453" s="932" t="s">
        <v>805</v>
      </c>
      <c r="D453" s="358">
        <f>SF!I460</f>
        <v>0</v>
      </c>
      <c r="E453" s="354" t="s">
        <v>102</v>
      </c>
      <c r="F453" s="355">
        <f>SF!K460</f>
        <v>351.31</v>
      </c>
      <c r="G453" s="353">
        <f t="shared" si="16"/>
        <v>0</v>
      </c>
      <c r="H453" s="708" t="s">
        <v>2321</v>
      </c>
    </row>
    <row r="454" spans="1:8" s="360" customFormat="1" ht="15" hidden="1" customHeight="1">
      <c r="A454" s="356" t="s">
        <v>1585</v>
      </c>
      <c r="B454" s="927" t="s">
        <v>2620</v>
      </c>
      <c r="C454" s="932" t="s">
        <v>805</v>
      </c>
      <c r="D454" s="358">
        <f>SF!I468</f>
        <v>0</v>
      </c>
      <c r="E454" s="354" t="s">
        <v>102</v>
      </c>
      <c r="F454" s="355">
        <f>SF!K468</f>
        <v>372.29</v>
      </c>
      <c r="G454" s="353">
        <f t="shared" si="16"/>
        <v>0</v>
      </c>
      <c r="H454" s="708" t="s">
        <v>2322</v>
      </c>
    </row>
    <row r="455" spans="1:8" s="360" customFormat="1" ht="15" customHeight="1">
      <c r="A455" s="356" t="s">
        <v>1522</v>
      </c>
      <c r="B455" s="927" t="s">
        <v>2617</v>
      </c>
      <c r="C455" s="932" t="s">
        <v>830</v>
      </c>
      <c r="D455" s="358">
        <f>SF!I480</f>
        <v>0</v>
      </c>
      <c r="E455" s="354" t="s">
        <v>102</v>
      </c>
      <c r="F455" s="355">
        <f>SF!K480</f>
        <v>380.2</v>
      </c>
      <c r="G455" s="353">
        <f t="shared" si="16"/>
        <v>0</v>
      </c>
      <c r="H455" s="708" t="s">
        <v>2226</v>
      </c>
    </row>
    <row r="456" spans="1:8" s="360" customFormat="1" hidden="1">
      <c r="A456" s="356" t="s">
        <v>520</v>
      </c>
      <c r="B456" s="927" t="s">
        <v>2617</v>
      </c>
      <c r="C456" s="932" t="s">
        <v>830</v>
      </c>
      <c r="D456" s="358">
        <f>SF!I489</f>
        <v>0</v>
      </c>
      <c r="E456" s="354" t="s">
        <v>102</v>
      </c>
      <c r="F456" s="355">
        <f>SF!K489</f>
        <v>410.98</v>
      </c>
      <c r="G456" s="353">
        <f t="shared" si="16"/>
        <v>0</v>
      </c>
      <c r="H456" s="708" t="s">
        <v>2308</v>
      </c>
    </row>
    <row r="457" spans="1:8" s="360" customFormat="1" ht="15" hidden="1" customHeight="1">
      <c r="A457" s="356" t="s">
        <v>1143</v>
      </c>
      <c r="B457" s="927" t="s">
        <v>2617</v>
      </c>
      <c r="C457" s="932" t="s">
        <v>830</v>
      </c>
      <c r="D457" s="358">
        <f>SF!I496</f>
        <v>0</v>
      </c>
      <c r="E457" s="354" t="s">
        <v>102</v>
      </c>
      <c r="F457" s="355">
        <f>SF!K496</f>
        <v>436.23</v>
      </c>
      <c r="G457" s="353">
        <f t="shared" si="16"/>
        <v>0</v>
      </c>
      <c r="H457" s="708" t="s">
        <v>2321</v>
      </c>
    </row>
    <row r="458" spans="1:8" s="360" customFormat="1" ht="15" hidden="1" customHeight="1">
      <c r="A458" s="356" t="s">
        <v>1143</v>
      </c>
      <c r="B458" s="927" t="s">
        <v>2617</v>
      </c>
      <c r="C458" s="932" t="s">
        <v>830</v>
      </c>
      <c r="D458" s="358">
        <f>SF!I508</f>
        <v>0</v>
      </c>
      <c r="E458" s="354" t="s">
        <v>102</v>
      </c>
      <c r="F458" s="355">
        <f>SF!K508</f>
        <v>464.16</v>
      </c>
      <c r="G458" s="353">
        <f t="shared" si="16"/>
        <v>0</v>
      </c>
      <c r="H458" s="708" t="s">
        <v>2322</v>
      </c>
    </row>
    <row r="459" spans="1:8" s="360" customFormat="1" ht="15" customHeight="1">
      <c r="A459" s="356" t="s">
        <v>512</v>
      </c>
      <c r="B459" s="927" t="s">
        <v>2618</v>
      </c>
      <c r="C459" s="932" t="s">
        <v>541</v>
      </c>
      <c r="D459" s="358">
        <f>SF!I515</f>
        <v>0</v>
      </c>
      <c r="E459" s="354" t="s">
        <v>102</v>
      </c>
      <c r="F459" s="355">
        <f>SF!K515</f>
        <v>393.56</v>
      </c>
      <c r="G459" s="353">
        <f t="shared" si="16"/>
        <v>0</v>
      </c>
      <c r="H459" s="708" t="s">
        <v>2226</v>
      </c>
    </row>
    <row r="460" spans="1:8" s="360" customFormat="1" hidden="1">
      <c r="A460" s="356" t="s">
        <v>521</v>
      </c>
      <c r="B460" s="927" t="s">
        <v>2618</v>
      </c>
      <c r="C460" s="932" t="s">
        <v>541</v>
      </c>
      <c r="D460" s="358">
        <f>SF!I525</f>
        <v>0</v>
      </c>
      <c r="E460" s="354" t="s">
        <v>102</v>
      </c>
      <c r="F460" s="355">
        <f>SF!K525</f>
        <v>424.91</v>
      </c>
      <c r="G460" s="353">
        <f t="shared" si="16"/>
        <v>0</v>
      </c>
      <c r="H460" s="708" t="s">
        <v>2308</v>
      </c>
    </row>
    <row r="461" spans="1:8" s="360" customFormat="1" ht="19.5" hidden="1" customHeight="1">
      <c r="A461" s="356" t="s">
        <v>1586</v>
      </c>
      <c r="B461" s="927" t="s">
        <v>2618</v>
      </c>
      <c r="C461" s="932" t="s">
        <v>541</v>
      </c>
      <c r="D461" s="358">
        <f>SF!I532</f>
        <v>0</v>
      </c>
      <c r="E461" s="354" t="s">
        <v>102</v>
      </c>
      <c r="F461" s="355">
        <f>SF!K532</f>
        <v>451.54</v>
      </c>
      <c r="G461" s="353">
        <f t="shared" si="16"/>
        <v>0</v>
      </c>
      <c r="H461" s="708" t="s">
        <v>2321</v>
      </c>
    </row>
    <row r="462" spans="1:8" s="360" customFormat="1" ht="15" hidden="1" customHeight="1">
      <c r="A462" s="356" t="s">
        <v>1586</v>
      </c>
      <c r="B462" s="927" t="s">
        <v>2618</v>
      </c>
      <c r="C462" s="932" t="s">
        <v>541</v>
      </c>
      <c r="D462" s="358">
        <f>SF!I539</f>
        <v>0</v>
      </c>
      <c r="E462" s="354" t="s">
        <v>102</v>
      </c>
      <c r="F462" s="355">
        <f>SF!K539</f>
        <v>479.98</v>
      </c>
      <c r="G462" s="353">
        <f t="shared" si="16"/>
        <v>0</v>
      </c>
      <c r="H462" s="708" t="s">
        <v>2322</v>
      </c>
    </row>
    <row r="463" spans="1:8" s="360" customFormat="1" ht="15" hidden="1" customHeight="1">
      <c r="A463" s="356" t="s">
        <v>473</v>
      </c>
      <c r="B463" s="927" t="s">
        <v>2647</v>
      </c>
      <c r="C463" s="932" t="s">
        <v>2078</v>
      </c>
      <c r="D463" s="358">
        <f>SF!I544</f>
        <v>0</v>
      </c>
      <c r="E463" s="354" t="s">
        <v>5</v>
      </c>
      <c r="F463" s="355">
        <f>SF!K544</f>
        <v>5152.2499999999991</v>
      </c>
      <c r="G463" s="353">
        <f t="shared" si="16"/>
        <v>0</v>
      </c>
      <c r="H463" s="708" t="s">
        <v>2226</v>
      </c>
    </row>
    <row r="464" spans="1:8" s="360" customFormat="1" ht="15" hidden="1" customHeight="1">
      <c r="A464" s="356" t="s">
        <v>473</v>
      </c>
      <c r="B464" s="927" t="s">
        <v>2647</v>
      </c>
      <c r="C464" s="932" t="s">
        <v>2078</v>
      </c>
      <c r="D464" s="358">
        <f>SF!I549</f>
        <v>0</v>
      </c>
      <c r="E464" s="354" t="s">
        <v>5</v>
      </c>
      <c r="F464" s="355">
        <f>SF!K549</f>
        <v>5333.72</v>
      </c>
      <c r="G464" s="353">
        <f t="shared" si="16"/>
        <v>0</v>
      </c>
      <c r="H464" s="708" t="s">
        <v>2308</v>
      </c>
    </row>
    <row r="465" spans="1:8" s="360" customFormat="1" ht="15" hidden="1" customHeight="1">
      <c r="A465" s="356" t="s">
        <v>473</v>
      </c>
      <c r="B465" s="927" t="s">
        <v>2647</v>
      </c>
      <c r="C465" s="932" t="s">
        <v>2078</v>
      </c>
      <c r="D465" s="358">
        <f>SF!I554</f>
        <v>0</v>
      </c>
      <c r="E465" s="354" t="s">
        <v>5</v>
      </c>
      <c r="F465" s="355">
        <f>SF!K554</f>
        <v>5579.3200000000006</v>
      </c>
      <c r="G465" s="353">
        <f t="shared" si="16"/>
        <v>0</v>
      </c>
      <c r="H465" s="708" t="s">
        <v>2321</v>
      </c>
    </row>
    <row r="466" spans="1:8" s="360" customFormat="1" ht="15" hidden="1" customHeight="1">
      <c r="A466" s="356" t="s">
        <v>473</v>
      </c>
      <c r="B466" s="927" t="s">
        <v>2647</v>
      </c>
      <c r="C466" s="932" t="s">
        <v>2078</v>
      </c>
      <c r="D466" s="358">
        <f>SF!I559</f>
        <v>0</v>
      </c>
      <c r="E466" s="354" t="s">
        <v>5</v>
      </c>
      <c r="F466" s="355">
        <f>SF!K559</f>
        <v>5843.9400000000005</v>
      </c>
      <c r="G466" s="353">
        <f t="shared" si="16"/>
        <v>0</v>
      </c>
      <c r="H466" s="708" t="s">
        <v>2322</v>
      </c>
    </row>
    <row r="467" spans="1:8" s="360" customFormat="1" ht="15" hidden="1" customHeight="1">
      <c r="A467" s="356" t="s">
        <v>525</v>
      </c>
      <c r="B467" s="927" t="s">
        <v>2621</v>
      </c>
      <c r="C467" s="932" t="s">
        <v>507</v>
      </c>
      <c r="D467" s="358">
        <f>SF!I565</f>
        <v>0</v>
      </c>
      <c r="E467" s="354" t="s">
        <v>102</v>
      </c>
      <c r="F467" s="355">
        <f>SF!K565</f>
        <v>1048.97</v>
      </c>
      <c r="G467" s="353">
        <f t="shared" si="16"/>
        <v>0</v>
      </c>
      <c r="H467" s="708" t="s">
        <v>2226</v>
      </c>
    </row>
    <row r="468" spans="1:8" s="360" customFormat="1" ht="15" hidden="1" customHeight="1">
      <c r="A468" s="356" t="s">
        <v>525</v>
      </c>
      <c r="B468" s="927" t="s">
        <v>2621</v>
      </c>
      <c r="C468" s="932" t="s">
        <v>507</v>
      </c>
      <c r="D468" s="358">
        <f>SF!I571</f>
        <v>0</v>
      </c>
      <c r="E468" s="354" t="s">
        <v>102</v>
      </c>
      <c r="F468" s="355">
        <f>SF!K571</f>
        <v>1082.75</v>
      </c>
      <c r="G468" s="353">
        <f t="shared" si="16"/>
        <v>0</v>
      </c>
      <c r="H468" s="708" t="s">
        <v>2308</v>
      </c>
    </row>
    <row r="469" spans="1:8" s="360" customFormat="1" ht="15" hidden="1" customHeight="1">
      <c r="A469" s="356" t="s">
        <v>525</v>
      </c>
      <c r="B469" s="927" t="s">
        <v>2621</v>
      </c>
      <c r="C469" s="932" t="s">
        <v>507</v>
      </c>
      <c r="D469" s="358">
        <f>SF!I577</f>
        <v>0</v>
      </c>
      <c r="E469" s="354" t="s">
        <v>102</v>
      </c>
      <c r="F469" s="355">
        <f>SF!K577</f>
        <v>1108.3499999999999</v>
      </c>
      <c r="G469" s="353">
        <f t="shared" si="16"/>
        <v>0</v>
      </c>
      <c r="H469" s="708" t="s">
        <v>2321</v>
      </c>
    </row>
    <row r="470" spans="1:8" s="360" customFormat="1" ht="15" hidden="1" customHeight="1">
      <c r="A470" s="356" t="s">
        <v>525</v>
      </c>
      <c r="B470" s="927" t="s">
        <v>2621</v>
      </c>
      <c r="C470" s="932" t="s">
        <v>507</v>
      </c>
      <c r="D470" s="358">
        <f>SF!I583</f>
        <v>0</v>
      </c>
      <c r="E470" s="354" t="s">
        <v>102</v>
      </c>
      <c r="F470" s="355">
        <f>SF!K583</f>
        <v>1139.42</v>
      </c>
      <c r="G470" s="353">
        <f t="shared" si="16"/>
        <v>0</v>
      </c>
      <c r="H470" s="708" t="s">
        <v>2322</v>
      </c>
    </row>
    <row r="471" spans="1:8" s="360" customFormat="1" ht="15" hidden="1" customHeight="1">
      <c r="A471" s="356" t="s">
        <v>528</v>
      </c>
      <c r="B471" s="927" t="s">
        <v>2622</v>
      </c>
      <c r="C471" s="932" t="s">
        <v>509</v>
      </c>
      <c r="D471" s="358">
        <f>SF!I590</f>
        <v>0</v>
      </c>
      <c r="E471" s="354" t="s">
        <v>102</v>
      </c>
      <c r="F471" s="355">
        <f>SF!K590</f>
        <v>1044.9000000000001</v>
      </c>
      <c r="G471" s="353">
        <f t="shared" si="16"/>
        <v>0</v>
      </c>
      <c r="H471" s="708" t="s">
        <v>2226</v>
      </c>
    </row>
    <row r="472" spans="1:8" s="360" customFormat="1" ht="15" hidden="1" customHeight="1">
      <c r="A472" s="356" t="s">
        <v>528</v>
      </c>
      <c r="B472" s="927" t="s">
        <v>2622</v>
      </c>
      <c r="C472" s="932" t="s">
        <v>509</v>
      </c>
      <c r="D472" s="358">
        <f>SF!I597</f>
        <v>0</v>
      </c>
      <c r="E472" s="354" t="s">
        <v>102</v>
      </c>
      <c r="F472" s="355">
        <f>SF!K597</f>
        <v>1078.42</v>
      </c>
      <c r="G472" s="353">
        <f t="shared" si="16"/>
        <v>0</v>
      </c>
      <c r="H472" s="708" t="s">
        <v>2308</v>
      </c>
    </row>
    <row r="473" spans="1:8" s="360" customFormat="1" ht="15" hidden="1" customHeight="1">
      <c r="A473" s="356" t="s">
        <v>528</v>
      </c>
      <c r="B473" s="927" t="s">
        <v>2622</v>
      </c>
      <c r="C473" s="932" t="s">
        <v>509</v>
      </c>
      <c r="D473" s="358">
        <f>SF!I604</f>
        <v>0</v>
      </c>
      <c r="E473" s="354" t="s">
        <v>102</v>
      </c>
      <c r="F473" s="355">
        <f>SF!K604</f>
        <v>1103.42</v>
      </c>
      <c r="G473" s="353">
        <f t="shared" si="16"/>
        <v>0</v>
      </c>
      <c r="H473" s="708" t="s">
        <v>2321</v>
      </c>
    </row>
    <row r="474" spans="1:8" s="360" customFormat="1" ht="15" hidden="1" customHeight="1">
      <c r="A474" s="356" t="s">
        <v>528</v>
      </c>
      <c r="B474" s="927" t="s">
        <v>2622</v>
      </c>
      <c r="C474" s="932" t="s">
        <v>509</v>
      </c>
      <c r="D474" s="358">
        <f>SF!I611</f>
        <v>0</v>
      </c>
      <c r="E474" s="354" t="s">
        <v>102</v>
      </c>
      <c r="F474" s="355">
        <f>SF!K611</f>
        <v>1134.08</v>
      </c>
      <c r="G474" s="353">
        <f t="shared" si="16"/>
        <v>0</v>
      </c>
      <c r="H474" s="708" t="s">
        <v>2322</v>
      </c>
    </row>
    <row r="475" spans="1:8" s="360" customFormat="1" ht="15" hidden="1" customHeight="1">
      <c r="A475" s="356" t="s">
        <v>508</v>
      </c>
      <c r="B475" s="927" t="s">
        <v>2623</v>
      </c>
      <c r="C475" s="932" t="s">
        <v>708</v>
      </c>
      <c r="D475" s="358">
        <f>SF!I618</f>
        <v>0</v>
      </c>
      <c r="E475" s="354" t="s">
        <v>77</v>
      </c>
      <c r="F475" s="355">
        <f>SF!K618</f>
        <v>2934.5</v>
      </c>
      <c r="G475" s="353">
        <f t="shared" ref="G475:G506" si="17">ROUND(D475*F475,0)</f>
        <v>0</v>
      </c>
      <c r="H475" s="708" t="s">
        <v>2226</v>
      </c>
    </row>
    <row r="476" spans="1:8" s="360" customFormat="1" ht="15" hidden="1" customHeight="1">
      <c r="A476" s="356" t="s">
        <v>508</v>
      </c>
      <c r="B476" s="927" t="s">
        <v>2623</v>
      </c>
      <c r="C476" s="932" t="s">
        <v>708</v>
      </c>
      <c r="D476" s="358">
        <f>SF!I625</f>
        <v>0</v>
      </c>
      <c r="E476" s="354" t="s">
        <v>77</v>
      </c>
      <c r="F476" s="355">
        <f>SF!K625</f>
        <v>3003.21</v>
      </c>
      <c r="G476" s="353">
        <f t="shared" si="17"/>
        <v>0</v>
      </c>
      <c r="H476" s="708" t="s">
        <v>2308</v>
      </c>
    </row>
    <row r="477" spans="1:8" s="360" customFormat="1" ht="15" hidden="1" customHeight="1">
      <c r="A477" s="356" t="s">
        <v>508</v>
      </c>
      <c r="B477" s="927" t="s">
        <v>2623</v>
      </c>
      <c r="C477" s="932" t="s">
        <v>708</v>
      </c>
      <c r="D477" s="358">
        <f>SF!I632</f>
        <v>0</v>
      </c>
      <c r="E477" s="354" t="s">
        <v>77</v>
      </c>
      <c r="F477" s="355">
        <f>SF!K632</f>
        <v>3066.62</v>
      </c>
      <c r="G477" s="353">
        <f t="shared" si="17"/>
        <v>0</v>
      </c>
      <c r="H477" s="708" t="s">
        <v>2321</v>
      </c>
    </row>
    <row r="478" spans="1:8" s="360" customFormat="1" ht="15" hidden="1" customHeight="1">
      <c r="A478" s="356" t="s">
        <v>508</v>
      </c>
      <c r="B478" s="927" t="s">
        <v>2623</v>
      </c>
      <c r="C478" s="932" t="s">
        <v>708</v>
      </c>
      <c r="D478" s="358">
        <f>SF!I639</f>
        <v>0</v>
      </c>
      <c r="E478" s="354" t="s">
        <v>77</v>
      </c>
      <c r="F478" s="355">
        <f>SF!K639</f>
        <v>3248.17</v>
      </c>
      <c r="G478" s="353">
        <f t="shared" si="17"/>
        <v>0</v>
      </c>
      <c r="H478" s="708" t="s">
        <v>2322</v>
      </c>
    </row>
    <row r="479" spans="1:8" s="360" customFormat="1" ht="15" hidden="1" customHeight="1">
      <c r="A479" s="356" t="s">
        <v>510</v>
      </c>
      <c r="B479" s="927"/>
      <c r="C479" s="932" t="s">
        <v>877</v>
      </c>
      <c r="D479" s="358">
        <f>SF!I646</f>
        <v>0</v>
      </c>
      <c r="E479" s="354" t="s">
        <v>102</v>
      </c>
      <c r="F479" s="355">
        <f>SF!K646</f>
        <v>2740.43</v>
      </c>
      <c r="G479" s="353">
        <f t="shared" si="17"/>
        <v>0</v>
      </c>
      <c r="H479" s="708" t="s">
        <v>2226</v>
      </c>
    </row>
    <row r="480" spans="1:8" s="360" customFormat="1" ht="15" hidden="1" customHeight="1">
      <c r="A480" s="356" t="s">
        <v>510</v>
      </c>
      <c r="B480" s="927"/>
      <c r="C480" s="932" t="s">
        <v>877</v>
      </c>
      <c r="D480" s="358">
        <f>SF!I653</f>
        <v>0</v>
      </c>
      <c r="E480" s="354" t="s">
        <v>102</v>
      </c>
      <c r="F480" s="355">
        <f>SF!K653</f>
        <v>2787.53</v>
      </c>
      <c r="G480" s="353">
        <f t="shared" si="17"/>
        <v>0</v>
      </c>
      <c r="H480" s="708" t="s">
        <v>2308</v>
      </c>
    </row>
    <row r="481" spans="1:8" s="360" customFormat="1" ht="15" hidden="1" customHeight="1">
      <c r="A481" s="356" t="s">
        <v>510</v>
      </c>
      <c r="B481" s="927"/>
      <c r="C481" s="932" t="s">
        <v>877</v>
      </c>
      <c r="D481" s="358">
        <f>SF!I660</f>
        <v>0</v>
      </c>
      <c r="E481" s="354" t="s">
        <v>102</v>
      </c>
      <c r="F481" s="355">
        <f>SF!K660</f>
        <v>2831.2</v>
      </c>
      <c r="G481" s="353">
        <f t="shared" si="17"/>
        <v>0</v>
      </c>
      <c r="H481" s="708" t="s">
        <v>2321</v>
      </c>
    </row>
    <row r="482" spans="1:8" s="360" customFormat="1" ht="15" hidden="1" customHeight="1">
      <c r="A482" s="356" t="s">
        <v>510</v>
      </c>
      <c r="B482" s="927"/>
      <c r="C482" s="932" t="s">
        <v>877</v>
      </c>
      <c r="D482" s="358">
        <f>SF!I667</f>
        <v>0</v>
      </c>
      <c r="E482" s="354" t="s">
        <v>102</v>
      </c>
      <c r="F482" s="355">
        <f>SF!K667</f>
        <v>2995.66</v>
      </c>
      <c r="G482" s="353">
        <f t="shared" si="17"/>
        <v>0</v>
      </c>
      <c r="H482" s="708" t="s">
        <v>2322</v>
      </c>
    </row>
    <row r="483" spans="1:8" s="360" customFormat="1" ht="15" hidden="1" customHeight="1">
      <c r="A483" s="356" t="s">
        <v>529</v>
      </c>
      <c r="B483" s="927" t="s">
        <v>2624</v>
      </c>
      <c r="C483" s="932" t="s">
        <v>710</v>
      </c>
      <c r="D483" s="358">
        <f>SF!I674</f>
        <v>0</v>
      </c>
      <c r="E483" s="354" t="s">
        <v>102</v>
      </c>
      <c r="F483" s="355">
        <f>SF!K674</f>
        <v>660.95</v>
      </c>
      <c r="G483" s="353">
        <f t="shared" si="17"/>
        <v>0</v>
      </c>
      <c r="H483" s="708" t="s">
        <v>2226</v>
      </c>
    </row>
    <row r="484" spans="1:8" s="360" customFormat="1" ht="15" hidden="1" customHeight="1">
      <c r="A484" s="356" t="s">
        <v>529</v>
      </c>
      <c r="B484" s="927" t="s">
        <v>2624</v>
      </c>
      <c r="C484" s="932" t="s">
        <v>710</v>
      </c>
      <c r="D484" s="358">
        <f>SF!I681</f>
        <v>0</v>
      </c>
      <c r="E484" s="354" t="s">
        <v>102</v>
      </c>
      <c r="F484" s="355">
        <f>SF!K681</f>
        <v>709.65</v>
      </c>
      <c r="G484" s="353">
        <f t="shared" si="17"/>
        <v>0</v>
      </c>
      <c r="H484" s="708" t="s">
        <v>2308</v>
      </c>
    </row>
    <row r="485" spans="1:8" s="360" customFormat="1" ht="15" hidden="1" customHeight="1">
      <c r="A485" s="356" t="s">
        <v>529</v>
      </c>
      <c r="B485" s="927" t="s">
        <v>2624</v>
      </c>
      <c r="C485" s="932" t="s">
        <v>710</v>
      </c>
      <c r="D485" s="358">
        <f>SF!I688</f>
        <v>0</v>
      </c>
      <c r="E485" s="354" t="s">
        <v>102</v>
      </c>
      <c r="F485" s="355">
        <f>SF!K688</f>
        <v>718.32</v>
      </c>
      <c r="G485" s="353">
        <f t="shared" si="17"/>
        <v>0</v>
      </c>
      <c r="H485" s="708" t="s">
        <v>2321</v>
      </c>
    </row>
    <row r="486" spans="1:8" s="360" customFormat="1" ht="15" hidden="1" customHeight="1">
      <c r="A486" s="356" t="s">
        <v>529</v>
      </c>
      <c r="B486" s="927" t="s">
        <v>2624</v>
      </c>
      <c r="C486" s="932" t="s">
        <v>710</v>
      </c>
      <c r="D486" s="358">
        <f>SF!I695</f>
        <v>0</v>
      </c>
      <c r="E486" s="354" t="s">
        <v>102</v>
      </c>
      <c r="F486" s="355">
        <f>SF!K695</f>
        <v>816.76</v>
      </c>
      <c r="G486" s="353">
        <f t="shared" si="17"/>
        <v>0</v>
      </c>
      <c r="H486" s="708" t="s">
        <v>2322</v>
      </c>
    </row>
    <row r="487" spans="1:8" s="360" customFormat="1" ht="15" hidden="1" customHeight="1">
      <c r="A487" s="356" t="s">
        <v>530</v>
      </c>
      <c r="B487" s="927"/>
      <c r="C487" s="932" t="s">
        <v>711</v>
      </c>
      <c r="D487" s="358">
        <f>SF!I702</f>
        <v>0</v>
      </c>
      <c r="E487" s="354" t="s">
        <v>102</v>
      </c>
      <c r="F487" s="355">
        <f>SF!K702</f>
        <v>681.6</v>
      </c>
      <c r="G487" s="353">
        <f t="shared" si="17"/>
        <v>0</v>
      </c>
      <c r="H487" s="708" t="s">
        <v>2226</v>
      </c>
    </row>
    <row r="488" spans="1:8" s="360" customFormat="1" ht="15" hidden="1" customHeight="1">
      <c r="A488" s="356" t="s">
        <v>530</v>
      </c>
      <c r="B488" s="927"/>
      <c r="C488" s="932" t="s">
        <v>711</v>
      </c>
      <c r="D488" s="358">
        <f>SF!I709</f>
        <v>0</v>
      </c>
      <c r="E488" s="354" t="s">
        <v>102</v>
      </c>
      <c r="F488" s="355">
        <f>SF!K709</f>
        <v>715.12</v>
      </c>
      <c r="G488" s="353">
        <f t="shared" si="17"/>
        <v>0</v>
      </c>
      <c r="H488" s="708" t="s">
        <v>2308</v>
      </c>
    </row>
    <row r="489" spans="1:8" s="360" customFormat="1" ht="15" hidden="1" customHeight="1">
      <c r="A489" s="356" t="s">
        <v>530</v>
      </c>
      <c r="B489" s="927"/>
      <c r="C489" s="932" t="s">
        <v>711</v>
      </c>
      <c r="D489" s="358">
        <f>SF!I716</f>
        <v>0</v>
      </c>
      <c r="E489" s="354" t="s">
        <v>102</v>
      </c>
      <c r="F489" s="355">
        <f>SF!K716</f>
        <v>740.12</v>
      </c>
      <c r="G489" s="353">
        <f t="shared" si="17"/>
        <v>0</v>
      </c>
      <c r="H489" s="708" t="s">
        <v>2321</v>
      </c>
    </row>
    <row r="490" spans="1:8" s="360" customFormat="1" ht="15" hidden="1" customHeight="1">
      <c r="A490" s="356" t="s">
        <v>530</v>
      </c>
      <c r="B490" s="927"/>
      <c r="C490" s="932" t="s">
        <v>711</v>
      </c>
      <c r="D490" s="358">
        <f>SF!I723</f>
        <v>0</v>
      </c>
      <c r="E490" s="354" t="s">
        <v>102</v>
      </c>
      <c r="F490" s="355">
        <f>SF!K723</f>
        <v>822.23</v>
      </c>
      <c r="G490" s="353">
        <f t="shared" si="17"/>
        <v>0</v>
      </c>
      <c r="H490" s="708" t="s">
        <v>2322</v>
      </c>
    </row>
    <row r="491" spans="1:8" s="360" customFormat="1" ht="15" hidden="1" customHeight="1">
      <c r="A491" s="356" t="s">
        <v>531</v>
      </c>
      <c r="B491" s="927" t="s">
        <v>2625</v>
      </c>
      <c r="C491" s="932" t="s">
        <v>511</v>
      </c>
      <c r="D491" s="358">
        <f>SF!I730</f>
        <v>0</v>
      </c>
      <c r="E491" s="354" t="s">
        <v>102</v>
      </c>
      <c r="F491" s="355">
        <f>SF!K730</f>
        <v>784.71</v>
      </c>
      <c r="G491" s="353">
        <f t="shared" si="17"/>
        <v>0</v>
      </c>
      <c r="H491" s="708" t="s">
        <v>2226</v>
      </c>
    </row>
    <row r="492" spans="1:8" s="360" customFormat="1" ht="15" hidden="1" customHeight="1">
      <c r="A492" s="356" t="s">
        <v>531</v>
      </c>
      <c r="B492" s="927" t="s">
        <v>2625</v>
      </c>
      <c r="C492" s="932" t="s">
        <v>511</v>
      </c>
      <c r="D492" s="358">
        <f>SF!I737</f>
        <v>0</v>
      </c>
      <c r="E492" s="354" t="s">
        <v>102</v>
      </c>
      <c r="F492" s="355">
        <f>SF!K737</f>
        <v>818.23</v>
      </c>
      <c r="G492" s="353">
        <f t="shared" si="17"/>
        <v>0</v>
      </c>
      <c r="H492" s="708" t="s">
        <v>2308</v>
      </c>
    </row>
    <row r="493" spans="1:8" s="360" customFormat="1" ht="15" hidden="1" customHeight="1">
      <c r="A493" s="356" t="s">
        <v>531</v>
      </c>
      <c r="B493" s="927" t="s">
        <v>2625</v>
      </c>
      <c r="C493" s="932" t="s">
        <v>511</v>
      </c>
      <c r="D493" s="358">
        <f>SF!I744</f>
        <v>0</v>
      </c>
      <c r="E493" s="354" t="s">
        <v>102</v>
      </c>
      <c r="F493" s="355">
        <f>SF!K744</f>
        <v>843.23</v>
      </c>
      <c r="G493" s="353">
        <f t="shared" si="17"/>
        <v>0</v>
      </c>
      <c r="H493" s="708" t="s">
        <v>2321</v>
      </c>
    </row>
    <row r="494" spans="1:8" s="360" customFormat="1" ht="15" hidden="1" customHeight="1">
      <c r="A494" s="356" t="s">
        <v>531</v>
      </c>
      <c r="B494" s="927" t="s">
        <v>2625</v>
      </c>
      <c r="C494" s="932" t="s">
        <v>511</v>
      </c>
      <c r="D494" s="358">
        <f>SF!I751</f>
        <v>0</v>
      </c>
      <c r="E494" s="354" t="s">
        <v>102</v>
      </c>
      <c r="F494" s="355">
        <f>SF!K751</f>
        <v>873.89</v>
      </c>
      <c r="G494" s="353">
        <f t="shared" si="17"/>
        <v>0</v>
      </c>
      <c r="H494" s="708" t="s">
        <v>2322</v>
      </c>
    </row>
    <row r="495" spans="1:8" s="360" customFormat="1" ht="15" hidden="1" customHeight="1">
      <c r="A495" s="356" t="s">
        <v>532</v>
      </c>
      <c r="B495" s="927" t="s">
        <v>2626</v>
      </c>
      <c r="C495" s="932" t="s">
        <v>570</v>
      </c>
      <c r="D495" s="358">
        <f>SF!I757</f>
        <v>0</v>
      </c>
      <c r="E495" s="354" t="s">
        <v>102</v>
      </c>
      <c r="F495" s="355">
        <f>SF!K757</f>
        <v>502.03</v>
      </c>
      <c r="G495" s="353">
        <f t="shared" si="17"/>
        <v>0</v>
      </c>
      <c r="H495" s="708" t="s">
        <v>2226</v>
      </c>
    </row>
    <row r="496" spans="1:8" s="360" customFormat="1" ht="15" hidden="1" customHeight="1">
      <c r="A496" s="356" t="s">
        <v>532</v>
      </c>
      <c r="B496" s="927" t="s">
        <v>2626</v>
      </c>
      <c r="C496" s="932" t="s">
        <v>570</v>
      </c>
      <c r="D496" s="358">
        <f>SF!I763</f>
        <v>0</v>
      </c>
      <c r="E496" s="354" t="s">
        <v>102</v>
      </c>
      <c r="F496" s="355">
        <f>SF!K763</f>
        <v>512.04</v>
      </c>
      <c r="G496" s="353">
        <f t="shared" si="17"/>
        <v>0</v>
      </c>
      <c r="H496" s="708" t="s">
        <v>2308</v>
      </c>
    </row>
    <row r="497" spans="1:8" s="360" customFormat="1" ht="15" hidden="1" customHeight="1">
      <c r="A497" s="356" t="s">
        <v>532</v>
      </c>
      <c r="B497" s="927" t="s">
        <v>2626</v>
      </c>
      <c r="C497" s="932" t="s">
        <v>570</v>
      </c>
      <c r="D497" s="358">
        <f>SF!I769</f>
        <v>0</v>
      </c>
      <c r="E497" s="354" t="s">
        <v>102</v>
      </c>
      <c r="F497" s="355">
        <f>SF!K769</f>
        <v>520.52</v>
      </c>
      <c r="G497" s="353">
        <f t="shared" si="17"/>
        <v>0</v>
      </c>
      <c r="H497" s="708" t="s">
        <v>2321</v>
      </c>
    </row>
    <row r="498" spans="1:8" s="360" customFormat="1" ht="15" hidden="1" customHeight="1">
      <c r="A498" s="356" t="s">
        <v>532</v>
      </c>
      <c r="B498" s="927" t="s">
        <v>2626</v>
      </c>
      <c r="C498" s="932" t="s">
        <v>570</v>
      </c>
      <c r="D498" s="358">
        <f>SF!I775</f>
        <v>0</v>
      </c>
      <c r="E498" s="354" t="s">
        <v>102</v>
      </c>
      <c r="F498" s="355">
        <f>SF!K775</f>
        <v>536.26</v>
      </c>
      <c r="G498" s="353">
        <f t="shared" si="17"/>
        <v>0</v>
      </c>
      <c r="H498" s="708" t="s">
        <v>2322</v>
      </c>
    </row>
    <row r="499" spans="1:8" s="360" customFormat="1" ht="15" hidden="1" customHeight="1">
      <c r="A499" s="356" t="s">
        <v>492</v>
      </c>
      <c r="B499" s="927"/>
      <c r="C499" s="932" t="s">
        <v>1223</v>
      </c>
      <c r="D499" s="358">
        <f>SF!I781</f>
        <v>0</v>
      </c>
      <c r="E499" s="354" t="s">
        <v>102</v>
      </c>
      <c r="F499" s="355">
        <f>SF!K781</f>
        <v>977.96</v>
      </c>
      <c r="G499" s="353">
        <f t="shared" si="17"/>
        <v>0</v>
      </c>
      <c r="H499" s="708" t="s">
        <v>2226</v>
      </c>
    </row>
    <row r="500" spans="1:8" s="360" customFormat="1" ht="15" hidden="1" customHeight="1">
      <c r="A500" s="356" t="s">
        <v>492</v>
      </c>
      <c r="B500" s="927"/>
      <c r="C500" s="932" t="s">
        <v>1223</v>
      </c>
      <c r="D500" s="358">
        <f>SF!I787</f>
        <v>0</v>
      </c>
      <c r="E500" s="354" t="s">
        <v>102</v>
      </c>
      <c r="F500" s="355">
        <f>SF!K787</f>
        <v>1023.19</v>
      </c>
      <c r="G500" s="353">
        <f t="shared" si="17"/>
        <v>0</v>
      </c>
      <c r="H500" s="708" t="s">
        <v>2308</v>
      </c>
    </row>
    <row r="501" spans="1:8" s="360" customFormat="1" ht="15" hidden="1" customHeight="1">
      <c r="A501" s="356" t="s">
        <v>492</v>
      </c>
      <c r="B501" s="927"/>
      <c r="C501" s="932" t="s">
        <v>1223</v>
      </c>
      <c r="D501" s="358">
        <f>SF!I793</f>
        <v>0</v>
      </c>
      <c r="E501" s="354" t="s">
        <v>102</v>
      </c>
      <c r="F501" s="355">
        <f>SF!K793</f>
        <v>1058.68</v>
      </c>
      <c r="G501" s="353">
        <f t="shared" si="17"/>
        <v>0</v>
      </c>
      <c r="H501" s="708" t="s">
        <v>2321</v>
      </c>
    </row>
    <row r="502" spans="1:8" s="360" customFormat="1" ht="15" hidden="1" customHeight="1">
      <c r="A502" s="356" t="s">
        <v>492</v>
      </c>
      <c r="B502" s="927"/>
      <c r="C502" s="932" t="s">
        <v>1223</v>
      </c>
      <c r="D502" s="358">
        <f>SF!I799</f>
        <v>0</v>
      </c>
      <c r="E502" s="354" t="s">
        <v>102</v>
      </c>
      <c r="F502" s="355">
        <f>SF!K799</f>
        <v>1100.49</v>
      </c>
      <c r="G502" s="353">
        <f t="shared" si="17"/>
        <v>0</v>
      </c>
      <c r="H502" s="708" t="s">
        <v>2322</v>
      </c>
    </row>
    <row r="503" spans="1:8" s="360" customFormat="1" ht="15" hidden="1" customHeight="1">
      <c r="A503" s="356" t="s">
        <v>533</v>
      </c>
      <c r="B503" s="927" t="s">
        <v>2627</v>
      </c>
      <c r="C503" s="932" t="s">
        <v>707</v>
      </c>
      <c r="D503" s="358">
        <f>SF!I807</f>
        <v>0</v>
      </c>
      <c r="E503" s="354" t="s">
        <v>102</v>
      </c>
      <c r="F503" s="355">
        <f>SF!K807</f>
        <v>21.43</v>
      </c>
      <c r="G503" s="353">
        <f t="shared" si="17"/>
        <v>0</v>
      </c>
      <c r="H503" s="708" t="s">
        <v>2226</v>
      </c>
    </row>
    <row r="504" spans="1:8" s="360" customFormat="1" ht="15" hidden="1" customHeight="1">
      <c r="A504" s="356" t="s">
        <v>533</v>
      </c>
      <c r="B504" s="927" t="s">
        <v>2627</v>
      </c>
      <c r="C504" s="932" t="s">
        <v>707</v>
      </c>
      <c r="D504" s="358">
        <f>SF!I815</f>
        <v>0</v>
      </c>
      <c r="E504" s="354" t="s">
        <v>102</v>
      </c>
      <c r="F504" s="355">
        <f>SF!K815</f>
        <v>22.88</v>
      </c>
      <c r="G504" s="353">
        <f t="shared" si="17"/>
        <v>0</v>
      </c>
      <c r="H504" s="708" t="s">
        <v>2308</v>
      </c>
    </row>
    <row r="505" spans="1:8" s="360" customFormat="1" ht="15" hidden="1" customHeight="1">
      <c r="A505" s="356" t="s">
        <v>533</v>
      </c>
      <c r="B505" s="927" t="s">
        <v>2627</v>
      </c>
      <c r="C505" s="932" t="s">
        <v>707</v>
      </c>
      <c r="D505" s="358">
        <f>SF!I823</f>
        <v>0</v>
      </c>
      <c r="E505" s="354" t="s">
        <v>102</v>
      </c>
      <c r="F505" s="355">
        <f>SF!K823</f>
        <v>25.95</v>
      </c>
      <c r="G505" s="353">
        <f t="shared" si="17"/>
        <v>0</v>
      </c>
      <c r="H505" s="708" t="s">
        <v>2321</v>
      </c>
    </row>
    <row r="506" spans="1:8" s="360" customFormat="1" ht="15" hidden="1" customHeight="1">
      <c r="A506" s="356" t="s">
        <v>533</v>
      </c>
      <c r="B506" s="927" t="s">
        <v>2627</v>
      </c>
      <c r="C506" s="932" t="s">
        <v>707</v>
      </c>
      <c r="D506" s="358">
        <f>SF!I831</f>
        <v>0</v>
      </c>
      <c r="E506" s="354" t="s">
        <v>102</v>
      </c>
      <c r="F506" s="355">
        <f>SF!K831</f>
        <v>27.91</v>
      </c>
      <c r="G506" s="353">
        <f t="shared" si="17"/>
        <v>0</v>
      </c>
      <c r="H506" s="708" t="s">
        <v>2322</v>
      </c>
    </row>
    <row r="507" spans="1:8" s="360" customFormat="1" ht="15" customHeight="1">
      <c r="A507" s="356" t="s">
        <v>513</v>
      </c>
      <c r="B507" s="927" t="s">
        <v>2628</v>
      </c>
      <c r="C507" s="932" t="s">
        <v>888</v>
      </c>
      <c r="D507" s="358">
        <f>SF!I839</f>
        <v>0</v>
      </c>
      <c r="E507" s="354" t="s">
        <v>102</v>
      </c>
      <c r="F507" s="355">
        <f>SF!K839</f>
        <v>164.74</v>
      </c>
      <c r="G507" s="353">
        <f t="shared" ref="G507:G522" si="18">ROUND(D507*F507,0)</f>
        <v>0</v>
      </c>
      <c r="H507" s="708" t="s">
        <v>2226</v>
      </c>
    </row>
    <row r="508" spans="1:8" s="360" customFormat="1" ht="15" hidden="1" customHeight="1">
      <c r="A508" s="356" t="s">
        <v>1143</v>
      </c>
      <c r="B508" s="927" t="s">
        <v>2628</v>
      </c>
      <c r="C508" s="932" t="s">
        <v>888</v>
      </c>
      <c r="D508" s="358">
        <f>SF!I847</f>
        <v>0</v>
      </c>
      <c r="E508" s="354" t="s">
        <v>102</v>
      </c>
      <c r="F508" s="355">
        <f>SF!K847</f>
        <v>173.39</v>
      </c>
      <c r="G508" s="353">
        <f t="shared" si="18"/>
        <v>0</v>
      </c>
      <c r="H508" s="708" t="s">
        <v>2308</v>
      </c>
    </row>
    <row r="509" spans="1:8" s="360" customFormat="1" ht="15" hidden="1" customHeight="1">
      <c r="A509" s="356" t="s">
        <v>1143</v>
      </c>
      <c r="B509" s="927" t="s">
        <v>2628</v>
      </c>
      <c r="C509" s="932" t="s">
        <v>888</v>
      </c>
      <c r="D509" s="358">
        <f>SF!I855</f>
        <v>0</v>
      </c>
      <c r="E509" s="354" t="s">
        <v>102</v>
      </c>
      <c r="F509" s="355">
        <f>SF!K855</f>
        <v>179.94</v>
      </c>
      <c r="G509" s="353">
        <f t="shared" si="18"/>
        <v>0</v>
      </c>
      <c r="H509" s="708" t="s">
        <v>2321</v>
      </c>
    </row>
    <row r="510" spans="1:8" s="360" customFormat="1" ht="15" hidden="1" customHeight="1">
      <c r="A510" s="356" t="s">
        <v>1143</v>
      </c>
      <c r="B510" s="927" t="s">
        <v>2628</v>
      </c>
      <c r="C510" s="932" t="s">
        <v>888</v>
      </c>
      <c r="D510" s="358">
        <f>SF!I863</f>
        <v>0</v>
      </c>
      <c r="E510" s="354" t="s">
        <v>102</v>
      </c>
      <c r="F510" s="355">
        <f>SF!K863</f>
        <v>194.34</v>
      </c>
      <c r="G510" s="353">
        <f t="shared" si="18"/>
        <v>0</v>
      </c>
      <c r="H510" s="708" t="s">
        <v>2322</v>
      </c>
    </row>
    <row r="511" spans="1:8" s="360" customFormat="1" ht="15" hidden="1" customHeight="1">
      <c r="A511" s="356" t="s">
        <v>645</v>
      </c>
      <c r="B511" s="927" t="s">
        <v>2629</v>
      </c>
      <c r="C511" s="932" t="s">
        <v>571</v>
      </c>
      <c r="D511" s="358">
        <f>SF!I871</f>
        <v>0</v>
      </c>
      <c r="E511" s="354" t="s">
        <v>102</v>
      </c>
      <c r="F511" s="355">
        <f>SF!K871</f>
        <v>140.87</v>
      </c>
      <c r="G511" s="353">
        <f t="shared" si="18"/>
        <v>0</v>
      </c>
      <c r="H511" s="708" t="s">
        <v>2226</v>
      </c>
    </row>
    <row r="512" spans="1:8" s="360" customFormat="1" hidden="1">
      <c r="A512" s="356" t="s">
        <v>522</v>
      </c>
      <c r="B512" s="927" t="s">
        <v>2629</v>
      </c>
      <c r="C512" s="932" t="s">
        <v>571</v>
      </c>
      <c r="D512" s="358">
        <f>SF!I883</f>
        <v>0</v>
      </c>
      <c r="E512" s="354" t="s">
        <v>102</v>
      </c>
      <c r="F512" s="355">
        <f>SF!K883</f>
        <v>149.66</v>
      </c>
      <c r="G512" s="353">
        <f t="shared" si="18"/>
        <v>0</v>
      </c>
      <c r="H512" s="708" t="s">
        <v>2308</v>
      </c>
    </row>
    <row r="513" spans="1:10" s="360" customFormat="1" ht="15" hidden="1" customHeight="1">
      <c r="A513" s="356" t="s">
        <v>645</v>
      </c>
      <c r="B513" s="927" t="s">
        <v>2629</v>
      </c>
      <c r="C513" s="932" t="s">
        <v>571</v>
      </c>
      <c r="D513" s="358">
        <f>SF!I891</f>
        <v>0</v>
      </c>
      <c r="E513" s="354" t="s">
        <v>102</v>
      </c>
      <c r="F513" s="355">
        <f>SF!K891</f>
        <v>156.4</v>
      </c>
      <c r="G513" s="353">
        <f t="shared" si="18"/>
        <v>0</v>
      </c>
      <c r="H513" s="708" t="s">
        <v>2321</v>
      </c>
    </row>
    <row r="514" spans="1:10" s="360" customFormat="1" ht="15" customHeight="1">
      <c r="A514" s="356" t="s">
        <v>514</v>
      </c>
      <c r="B514" s="927" t="s">
        <v>2629</v>
      </c>
      <c r="C514" s="932" t="s">
        <v>571</v>
      </c>
      <c r="D514" s="358">
        <f>SF!I899</f>
        <v>0</v>
      </c>
      <c r="E514" s="354" t="s">
        <v>102</v>
      </c>
      <c r="F514" s="355">
        <f>SF!K899</f>
        <v>169.89</v>
      </c>
      <c r="G514" s="353">
        <f t="shared" si="18"/>
        <v>0</v>
      </c>
      <c r="H514" s="708" t="s">
        <v>2322</v>
      </c>
    </row>
    <row r="515" spans="1:10" s="360" customFormat="1" ht="15" hidden="1" customHeight="1">
      <c r="A515" s="356" t="s">
        <v>1587</v>
      </c>
      <c r="B515" s="927" t="s">
        <v>2630</v>
      </c>
      <c r="C515" s="932" t="s">
        <v>1227</v>
      </c>
      <c r="D515" s="358">
        <f>SF!I906</f>
        <v>0</v>
      </c>
      <c r="E515" s="354" t="s">
        <v>102</v>
      </c>
      <c r="F515" s="355">
        <f>SF!K906</f>
        <v>192.71</v>
      </c>
      <c r="G515" s="353">
        <f t="shared" si="18"/>
        <v>0</v>
      </c>
      <c r="H515" s="708" t="s">
        <v>2226</v>
      </c>
    </row>
    <row r="516" spans="1:10" s="360" customFormat="1" hidden="1">
      <c r="A516" s="356" t="s">
        <v>524</v>
      </c>
      <c r="B516" s="927" t="s">
        <v>2630</v>
      </c>
      <c r="C516" s="932" t="s">
        <v>1227</v>
      </c>
      <c r="D516" s="358">
        <f>SF!I914</f>
        <v>0</v>
      </c>
      <c r="E516" s="354" t="s">
        <v>102</v>
      </c>
      <c r="F516" s="355">
        <f>SF!K914</f>
        <v>206.39</v>
      </c>
      <c r="G516" s="353">
        <f t="shared" si="18"/>
        <v>0</v>
      </c>
      <c r="H516" s="708" t="s">
        <v>2308</v>
      </c>
    </row>
    <row r="517" spans="1:10" s="360" customFormat="1" ht="15" hidden="1" customHeight="1">
      <c r="A517" s="356" t="s">
        <v>1587</v>
      </c>
      <c r="B517" s="927" t="s">
        <v>2630</v>
      </c>
      <c r="C517" s="932" t="s">
        <v>1227</v>
      </c>
      <c r="D517" s="358">
        <f>SF!I921</f>
        <v>0</v>
      </c>
      <c r="E517" s="354" t="s">
        <v>102</v>
      </c>
      <c r="F517" s="355">
        <f>SF!K921</f>
        <v>216.76</v>
      </c>
      <c r="G517" s="353">
        <f t="shared" si="18"/>
        <v>0</v>
      </c>
      <c r="H517" s="708" t="s">
        <v>2321</v>
      </c>
    </row>
    <row r="518" spans="1:10" s="360" customFormat="1" ht="15" customHeight="1">
      <c r="A518" s="356" t="s">
        <v>515</v>
      </c>
      <c r="B518" s="927" t="s">
        <v>2630</v>
      </c>
      <c r="C518" s="932" t="s">
        <v>1227</v>
      </c>
      <c r="D518" s="358">
        <f>SF!I937</f>
        <v>0</v>
      </c>
      <c r="E518" s="354" t="s">
        <v>102</v>
      </c>
      <c r="F518" s="355">
        <f>SF!K937</f>
        <v>233.59</v>
      </c>
      <c r="G518" s="353">
        <f t="shared" si="18"/>
        <v>0</v>
      </c>
      <c r="H518" s="708" t="s">
        <v>2322</v>
      </c>
    </row>
    <row r="519" spans="1:10" s="360" customFormat="1">
      <c r="A519" s="356" t="s">
        <v>516</v>
      </c>
      <c r="B519" s="927" t="s">
        <v>2634</v>
      </c>
      <c r="C519" s="932" t="s">
        <v>477</v>
      </c>
      <c r="D519" s="429">
        <f>SF!I943</f>
        <v>0</v>
      </c>
      <c r="E519" s="221" t="s">
        <v>29</v>
      </c>
      <c r="F519" s="430">
        <f>SF!K943</f>
        <v>64288.5</v>
      </c>
      <c r="G519" s="353">
        <f t="shared" si="18"/>
        <v>0</v>
      </c>
      <c r="H519" s="708" t="s">
        <v>2226</v>
      </c>
    </row>
    <row r="520" spans="1:10" s="360" customFormat="1" ht="15" hidden="1" customHeight="1">
      <c r="A520" s="356" t="s">
        <v>525</v>
      </c>
      <c r="B520" s="927" t="s">
        <v>2634</v>
      </c>
      <c r="C520" s="932" t="s">
        <v>477</v>
      </c>
      <c r="D520" s="429">
        <f>SF!I948</f>
        <v>0</v>
      </c>
      <c r="E520" s="221" t="s">
        <v>29</v>
      </c>
      <c r="F520" s="430">
        <f>SF!K948</f>
        <v>64635</v>
      </c>
      <c r="G520" s="353">
        <f t="shared" si="18"/>
        <v>0</v>
      </c>
      <c r="H520" s="708" t="s">
        <v>2308</v>
      </c>
    </row>
    <row r="521" spans="1:10" s="360" customFormat="1" ht="15" hidden="1" customHeight="1">
      <c r="A521" s="356" t="s">
        <v>1578</v>
      </c>
      <c r="B521" s="927" t="s">
        <v>2634</v>
      </c>
      <c r="C521" s="932" t="s">
        <v>477</v>
      </c>
      <c r="D521" s="429">
        <f>SF!I954</f>
        <v>0</v>
      </c>
      <c r="E521" s="221" t="s">
        <v>29</v>
      </c>
      <c r="F521" s="430">
        <f>SF!K954</f>
        <v>82189.5</v>
      </c>
      <c r="G521" s="353">
        <f t="shared" si="18"/>
        <v>0</v>
      </c>
      <c r="H521" s="708" t="s">
        <v>2321</v>
      </c>
    </row>
    <row r="522" spans="1:10" s="360" customFormat="1" ht="15" hidden="1" customHeight="1">
      <c r="A522" s="356" t="s">
        <v>1578</v>
      </c>
      <c r="B522" s="927" t="s">
        <v>2634</v>
      </c>
      <c r="C522" s="932" t="s">
        <v>477</v>
      </c>
      <c r="D522" s="429">
        <f>SF!I960</f>
        <v>0</v>
      </c>
      <c r="E522" s="221" t="s">
        <v>29</v>
      </c>
      <c r="F522" s="430">
        <f>SF!K960</f>
        <v>95016</v>
      </c>
      <c r="G522" s="353">
        <f t="shared" si="18"/>
        <v>0</v>
      </c>
      <c r="H522" s="708" t="s">
        <v>2322</v>
      </c>
    </row>
    <row r="523" spans="1:10" s="26" customFormat="1" hidden="1">
      <c r="A523" s="23"/>
      <c r="B523" s="23"/>
      <c r="C523" s="702" t="s">
        <v>890</v>
      </c>
      <c r="D523" s="723"/>
      <c r="E523" s="724"/>
      <c r="F523" s="725"/>
      <c r="G523" s="11"/>
      <c r="H523" s="708" t="s">
        <v>2226</v>
      </c>
    </row>
    <row r="524" spans="1:10" s="360" customFormat="1" hidden="1">
      <c r="A524" s="356" t="s">
        <v>504</v>
      </c>
      <c r="B524" s="927" t="s">
        <v>2649</v>
      </c>
      <c r="C524" s="707" t="s">
        <v>1229</v>
      </c>
      <c r="D524" s="358">
        <f>WORK!I2010</f>
        <v>1</v>
      </c>
      <c r="E524" s="354" t="s">
        <v>115</v>
      </c>
      <c r="F524" s="355">
        <f>WORK!K2010</f>
        <v>20396.340000000004</v>
      </c>
      <c r="G524" s="353">
        <f t="shared" ref="G524:G555" si="19">ROUND(D524*F524,0)</f>
        <v>20396</v>
      </c>
      <c r="H524" s="708" t="s">
        <v>2226</v>
      </c>
    </row>
    <row r="525" spans="1:10" s="360" customFormat="1" hidden="1">
      <c r="A525" s="356" t="s">
        <v>526</v>
      </c>
      <c r="B525" s="927" t="s">
        <v>2649</v>
      </c>
      <c r="C525" s="707" t="s">
        <v>1229</v>
      </c>
      <c r="D525" s="358">
        <f>WORK!I2144</f>
        <v>0</v>
      </c>
      <c r="E525" s="354" t="s">
        <v>115</v>
      </c>
      <c r="F525" s="355">
        <f>WORK!K2144</f>
        <v>20396.340000000004</v>
      </c>
      <c r="G525" s="353">
        <f t="shared" si="19"/>
        <v>0</v>
      </c>
      <c r="H525" s="708" t="s">
        <v>2308</v>
      </c>
    </row>
    <row r="526" spans="1:10" s="360" customFormat="1" ht="15" hidden="1" customHeight="1">
      <c r="A526" s="356" t="s">
        <v>506</v>
      </c>
      <c r="B526" s="927" t="s">
        <v>2649</v>
      </c>
      <c r="C526" s="707" t="s">
        <v>1229</v>
      </c>
      <c r="D526" s="358">
        <f>WORK!I2286</f>
        <v>0</v>
      </c>
      <c r="E526" s="354" t="s">
        <v>115</v>
      </c>
      <c r="F526" s="355">
        <f>WORK!K2286</f>
        <v>24683.69</v>
      </c>
      <c r="G526" s="353">
        <f t="shared" si="19"/>
        <v>0</v>
      </c>
      <c r="H526" s="708" t="s">
        <v>2321</v>
      </c>
    </row>
    <row r="527" spans="1:10" s="360" customFormat="1" ht="15" hidden="1" customHeight="1">
      <c r="A527" s="356" t="s">
        <v>1144</v>
      </c>
      <c r="B527" s="927"/>
      <c r="C527" s="707" t="s">
        <v>1229</v>
      </c>
      <c r="D527" s="358">
        <f>WORK!I2421</f>
        <v>0</v>
      </c>
      <c r="E527" s="354" t="s">
        <v>115</v>
      </c>
      <c r="F527" s="355">
        <f>WORK!K2421</f>
        <v>22903.660000000003</v>
      </c>
      <c r="H527" s="708" t="s">
        <v>2322</v>
      </c>
      <c r="J527" s="353">
        <f>ROUND(D527*F527,0)</f>
        <v>0</v>
      </c>
    </row>
    <row r="528" spans="1:10" s="360" customFormat="1" ht="15" hidden="1" customHeight="1">
      <c r="A528" s="356" t="s">
        <v>508</v>
      </c>
      <c r="B528" s="927"/>
      <c r="C528" s="707" t="s">
        <v>2004</v>
      </c>
      <c r="D528" s="358">
        <f>WORK!I2025</f>
        <v>0</v>
      </c>
      <c r="E528" s="354" t="s">
        <v>115</v>
      </c>
      <c r="F528" s="355">
        <f>WORK!K2025</f>
        <v>14099.53</v>
      </c>
      <c r="G528" s="353">
        <f t="shared" si="19"/>
        <v>0</v>
      </c>
      <c r="H528" s="708" t="s">
        <v>2226</v>
      </c>
    </row>
    <row r="529" spans="1:8" s="360" customFormat="1" ht="15" hidden="1" customHeight="1">
      <c r="A529" s="356" t="s">
        <v>485</v>
      </c>
      <c r="B529" s="927"/>
      <c r="C529" s="707" t="s">
        <v>2004</v>
      </c>
      <c r="D529" s="358">
        <f>WORK!I2159</f>
        <v>0</v>
      </c>
      <c r="E529" s="354" t="s">
        <v>115</v>
      </c>
      <c r="F529" s="355">
        <f>WORK!K2159</f>
        <v>14099.53</v>
      </c>
      <c r="G529" s="353">
        <f t="shared" si="19"/>
        <v>0</v>
      </c>
      <c r="H529" s="708" t="s">
        <v>2308</v>
      </c>
    </row>
    <row r="530" spans="1:8" s="360" customFormat="1" ht="15" hidden="1" customHeight="1">
      <c r="A530" s="356" t="s">
        <v>485</v>
      </c>
      <c r="B530" s="927"/>
      <c r="C530" s="707" t="s">
        <v>2004</v>
      </c>
      <c r="D530" s="358">
        <f>WORK!I2301</f>
        <v>0</v>
      </c>
      <c r="E530" s="354" t="s">
        <v>115</v>
      </c>
      <c r="F530" s="355">
        <f>WORK!K2301</f>
        <v>8918.9600000000009</v>
      </c>
      <c r="G530" s="353">
        <f t="shared" si="19"/>
        <v>0</v>
      </c>
      <c r="H530" s="708" t="s">
        <v>2321</v>
      </c>
    </row>
    <row r="531" spans="1:8" s="360" customFormat="1" ht="15" hidden="1" customHeight="1">
      <c r="A531" s="356" t="s">
        <v>485</v>
      </c>
      <c r="B531" s="927"/>
      <c r="C531" s="707" t="s">
        <v>2004</v>
      </c>
      <c r="D531" s="358">
        <f>WORK!I2436</f>
        <v>0</v>
      </c>
      <c r="E531" s="354" t="s">
        <v>115</v>
      </c>
      <c r="F531" s="355">
        <f>WORK!K2436</f>
        <v>15875.19</v>
      </c>
      <c r="G531" s="353">
        <f t="shared" si="19"/>
        <v>0</v>
      </c>
      <c r="H531" s="708" t="s">
        <v>2322</v>
      </c>
    </row>
    <row r="532" spans="1:8" s="360" customFormat="1" ht="15" hidden="1" customHeight="1">
      <c r="A532" s="356"/>
      <c r="B532" s="927"/>
      <c r="C532" s="707" t="s">
        <v>2005</v>
      </c>
      <c r="D532" s="358">
        <f>WORK!I2030</f>
        <v>0</v>
      </c>
      <c r="E532" s="354" t="s">
        <v>115</v>
      </c>
      <c r="F532" s="355">
        <f>WORK!K2030</f>
        <v>13359.1</v>
      </c>
      <c r="G532" s="353">
        <f t="shared" si="19"/>
        <v>0</v>
      </c>
      <c r="H532" s="708" t="s">
        <v>2226</v>
      </c>
    </row>
    <row r="533" spans="1:8" s="360" customFormat="1" ht="15" hidden="1" customHeight="1">
      <c r="A533" s="356"/>
      <c r="B533" s="927"/>
      <c r="C533" s="707" t="s">
        <v>2005</v>
      </c>
      <c r="D533" s="358">
        <f>WORK!I2164</f>
        <v>0</v>
      </c>
      <c r="E533" s="354" t="s">
        <v>115</v>
      </c>
      <c r="F533" s="355">
        <f>WORK!K2164</f>
        <v>13359.1</v>
      </c>
      <c r="G533" s="353">
        <f t="shared" si="19"/>
        <v>0</v>
      </c>
      <c r="H533" s="708" t="s">
        <v>2308</v>
      </c>
    </row>
    <row r="534" spans="1:8" s="360" customFormat="1" ht="15" hidden="1" customHeight="1">
      <c r="A534" s="356"/>
      <c r="B534" s="927"/>
      <c r="C534" s="707" t="s">
        <v>2005</v>
      </c>
      <c r="D534" s="358">
        <f>WORK!I2306</f>
        <v>0</v>
      </c>
      <c r="E534" s="354" t="s">
        <v>115</v>
      </c>
      <c r="F534" s="355">
        <f>WORK!K2306</f>
        <v>7973.17</v>
      </c>
      <c r="G534" s="353">
        <f t="shared" si="19"/>
        <v>0</v>
      </c>
      <c r="H534" s="708" t="s">
        <v>2321</v>
      </c>
    </row>
    <row r="535" spans="1:8" s="360" customFormat="1" ht="15" hidden="1" customHeight="1">
      <c r="A535" s="356"/>
      <c r="B535" s="927"/>
      <c r="C535" s="707" t="s">
        <v>2005</v>
      </c>
      <c r="D535" s="358">
        <f>WORK!I2441</f>
        <v>0</v>
      </c>
      <c r="E535" s="354" t="s">
        <v>115</v>
      </c>
      <c r="F535" s="355">
        <f>WORK!K2441</f>
        <v>15037.220000000001</v>
      </c>
      <c r="G535" s="353">
        <f t="shared" si="19"/>
        <v>0</v>
      </c>
      <c r="H535" s="708" t="s">
        <v>2322</v>
      </c>
    </row>
    <row r="536" spans="1:8" s="360" customFormat="1" ht="15" hidden="1" customHeight="1">
      <c r="A536" s="356" t="s">
        <v>1144</v>
      </c>
      <c r="B536" s="927"/>
      <c r="C536" s="707" t="s">
        <v>2004</v>
      </c>
      <c r="D536" s="358">
        <f>WORK!I2035</f>
        <v>0</v>
      </c>
      <c r="E536" s="354" t="s">
        <v>115</v>
      </c>
      <c r="F536" s="355">
        <f>WORK!K2035</f>
        <v>8905.99</v>
      </c>
      <c r="G536" s="353">
        <f t="shared" si="19"/>
        <v>0</v>
      </c>
      <c r="H536" s="708" t="s">
        <v>2226</v>
      </c>
    </row>
    <row r="537" spans="1:8" s="360" customFormat="1" ht="15" hidden="1" customHeight="1">
      <c r="A537" s="356" t="s">
        <v>1144</v>
      </c>
      <c r="B537" s="927"/>
      <c r="C537" s="707" t="s">
        <v>2004</v>
      </c>
      <c r="D537" s="358">
        <f>WORK!I2169</f>
        <v>0</v>
      </c>
      <c r="E537" s="354" t="s">
        <v>115</v>
      </c>
      <c r="F537" s="355">
        <f>WORK!K2169</f>
        <v>8905.99</v>
      </c>
      <c r="G537" s="353">
        <f t="shared" si="19"/>
        <v>0</v>
      </c>
      <c r="H537" s="708" t="s">
        <v>2308</v>
      </c>
    </row>
    <row r="538" spans="1:8" s="360" customFormat="1" ht="15" hidden="1" customHeight="1">
      <c r="A538" s="356" t="s">
        <v>1144</v>
      </c>
      <c r="B538" s="927"/>
      <c r="C538" s="707" t="s">
        <v>2004</v>
      </c>
      <c r="D538" s="358">
        <f>WORK!I2311</f>
        <v>0</v>
      </c>
      <c r="E538" s="354" t="s">
        <v>115</v>
      </c>
      <c r="F538" s="355">
        <f>WORK!K2311</f>
        <v>9185.3799999999992</v>
      </c>
      <c r="G538" s="353">
        <f t="shared" si="19"/>
        <v>0</v>
      </c>
      <c r="H538" s="708" t="s">
        <v>2321</v>
      </c>
    </row>
    <row r="539" spans="1:8" s="360" customFormat="1" ht="15" hidden="1" customHeight="1">
      <c r="A539" s="356" t="s">
        <v>1144</v>
      </c>
      <c r="B539" s="927"/>
      <c r="C539" s="707" t="s">
        <v>2004</v>
      </c>
      <c r="D539" s="358">
        <f>WORK!I2446</f>
        <v>0</v>
      </c>
      <c r="E539" s="354" t="s">
        <v>115</v>
      </c>
      <c r="F539" s="355">
        <f>WORK!K2446</f>
        <v>10330.61</v>
      </c>
      <c r="G539" s="353">
        <f t="shared" si="19"/>
        <v>0</v>
      </c>
      <c r="H539" s="708" t="s">
        <v>2322</v>
      </c>
    </row>
    <row r="540" spans="1:8" s="360" customFormat="1" ht="15" hidden="1" customHeight="1">
      <c r="A540" s="356" t="s">
        <v>1582</v>
      </c>
      <c r="B540" s="927"/>
      <c r="C540" s="707" t="s">
        <v>2006</v>
      </c>
      <c r="D540" s="358">
        <f>WORK!I2040</f>
        <v>0</v>
      </c>
      <c r="E540" s="354" t="s">
        <v>115</v>
      </c>
      <c r="F540" s="355">
        <f>WORK!K2040</f>
        <v>6334.76</v>
      </c>
      <c r="G540" s="353">
        <f t="shared" si="19"/>
        <v>0</v>
      </c>
      <c r="H540" s="708" t="s">
        <v>2226</v>
      </c>
    </row>
    <row r="541" spans="1:8" s="360" customFormat="1" ht="15" hidden="1" customHeight="1">
      <c r="A541" s="356" t="s">
        <v>1582</v>
      </c>
      <c r="B541" s="927"/>
      <c r="C541" s="707" t="s">
        <v>2006</v>
      </c>
      <c r="D541" s="358">
        <f>WORK!I2174</f>
        <v>0</v>
      </c>
      <c r="E541" s="354" t="s">
        <v>115</v>
      </c>
      <c r="F541" s="355">
        <f>WORK!K2174</f>
        <v>6334.76</v>
      </c>
      <c r="G541" s="353">
        <f t="shared" si="19"/>
        <v>0</v>
      </c>
      <c r="H541" s="708" t="s">
        <v>2308</v>
      </c>
    </row>
    <row r="542" spans="1:8" s="360" customFormat="1" ht="15" hidden="1" customHeight="1">
      <c r="A542" s="356" t="s">
        <v>1582</v>
      </c>
      <c r="B542" s="927"/>
      <c r="C542" s="707" t="s">
        <v>2006</v>
      </c>
      <c r="D542" s="358">
        <f>WORK!I2316</f>
        <v>0</v>
      </c>
      <c r="E542" s="354" t="s">
        <v>115</v>
      </c>
      <c r="F542" s="355">
        <f>WORK!K2316</f>
        <v>6584.41</v>
      </c>
      <c r="G542" s="353">
        <f t="shared" si="19"/>
        <v>0</v>
      </c>
      <c r="H542" s="708" t="s">
        <v>2321</v>
      </c>
    </row>
    <row r="543" spans="1:8" s="360" customFormat="1" ht="15" hidden="1" customHeight="1">
      <c r="A543" s="356" t="s">
        <v>1582</v>
      </c>
      <c r="B543" s="927"/>
      <c r="C543" s="707" t="s">
        <v>2006</v>
      </c>
      <c r="D543" s="358">
        <f>WORK!I2451</f>
        <v>0</v>
      </c>
      <c r="E543" s="354" t="s">
        <v>115</v>
      </c>
      <c r="F543" s="355">
        <f>WORK!K2451</f>
        <v>7015.49</v>
      </c>
      <c r="G543" s="353">
        <f t="shared" si="19"/>
        <v>0</v>
      </c>
      <c r="H543" s="708" t="s">
        <v>2322</v>
      </c>
    </row>
    <row r="544" spans="1:8" s="360" customFormat="1" ht="15" hidden="1" customHeight="1">
      <c r="A544" s="356" t="s">
        <v>1589</v>
      </c>
      <c r="B544" s="927"/>
      <c r="C544" s="707" t="s">
        <v>1228</v>
      </c>
      <c r="D544" s="358">
        <f>WORK!I2015</f>
        <v>0</v>
      </c>
      <c r="E544" s="354" t="s">
        <v>115</v>
      </c>
      <c r="F544" s="355">
        <f>WORK!K2015</f>
        <v>10891.57</v>
      </c>
      <c r="G544" s="353">
        <f t="shared" si="19"/>
        <v>0</v>
      </c>
      <c r="H544" s="708" t="s">
        <v>2226</v>
      </c>
    </row>
    <row r="545" spans="1:8" s="360" customFormat="1" ht="15" hidden="1" customHeight="1">
      <c r="A545" s="356" t="s">
        <v>527</v>
      </c>
      <c r="B545" s="927" t="s">
        <v>2650</v>
      </c>
      <c r="C545" s="707" t="s">
        <v>1228</v>
      </c>
      <c r="D545" s="358">
        <f>WORK!I2149</f>
        <v>0</v>
      </c>
      <c r="E545" s="354" t="s">
        <v>115</v>
      </c>
      <c r="F545" s="355">
        <f>WORK!K2149</f>
        <v>4180.6099999999997</v>
      </c>
      <c r="G545" s="353">
        <f t="shared" si="19"/>
        <v>0</v>
      </c>
      <c r="H545" s="708" t="s">
        <v>2308</v>
      </c>
    </row>
    <row r="546" spans="1:8" s="360" customFormat="1" ht="15" hidden="1" customHeight="1">
      <c r="A546" s="356" t="s">
        <v>1589</v>
      </c>
      <c r="B546" s="927"/>
      <c r="C546" s="707" t="s">
        <v>1228</v>
      </c>
      <c r="D546" s="358">
        <f>WORK!I2291</f>
        <v>0</v>
      </c>
      <c r="E546" s="354" t="s">
        <v>115</v>
      </c>
      <c r="F546" s="355">
        <f>WORK!K2291</f>
        <v>11215.33</v>
      </c>
      <c r="G546" s="353">
        <f t="shared" si="19"/>
        <v>0</v>
      </c>
      <c r="H546" s="708" t="s">
        <v>2321</v>
      </c>
    </row>
    <row r="547" spans="1:8" s="360" customFormat="1" ht="15" customHeight="1">
      <c r="A547" s="356" t="s">
        <v>517</v>
      </c>
      <c r="B547" s="927" t="s">
        <v>3210</v>
      </c>
      <c r="C547" s="707" t="s">
        <v>1228</v>
      </c>
      <c r="D547" s="358">
        <f>WORK!I2426</f>
        <v>0</v>
      </c>
      <c r="E547" s="354" t="s">
        <v>115</v>
      </c>
      <c r="F547" s="355">
        <f>WORK!K2426</f>
        <v>11464.42</v>
      </c>
      <c r="G547" s="353">
        <f t="shared" si="19"/>
        <v>0</v>
      </c>
      <c r="H547" s="708" t="s">
        <v>2322</v>
      </c>
    </row>
    <row r="548" spans="1:8" s="360" customFormat="1" ht="15" hidden="1" customHeight="1">
      <c r="A548" s="356" t="s">
        <v>1590</v>
      </c>
      <c r="B548" s="927"/>
      <c r="C548" s="707" t="s">
        <v>1228</v>
      </c>
      <c r="D548" s="358">
        <f>WORK!I2020</f>
        <v>0</v>
      </c>
      <c r="E548" s="354" t="s">
        <v>115</v>
      </c>
      <c r="F548" s="355">
        <f>WORK!K2020</f>
        <v>9855.7799999999988</v>
      </c>
      <c r="G548" s="353">
        <f t="shared" si="19"/>
        <v>0</v>
      </c>
      <c r="H548" s="708" t="s">
        <v>2226</v>
      </c>
    </row>
    <row r="549" spans="1:8" s="360" customFormat="1" ht="15" hidden="1" customHeight="1">
      <c r="A549" s="356" t="s">
        <v>525</v>
      </c>
      <c r="B549" s="927" t="s">
        <v>2650</v>
      </c>
      <c r="C549" s="932" t="s">
        <v>1228</v>
      </c>
      <c r="D549" s="358">
        <f>WORK!I2154</f>
        <v>0</v>
      </c>
      <c r="E549" s="354" t="s">
        <v>115</v>
      </c>
      <c r="F549" s="355">
        <f>WORK!K2154</f>
        <v>9855.7799999999988</v>
      </c>
      <c r="G549" s="353">
        <f t="shared" si="19"/>
        <v>0</v>
      </c>
      <c r="H549" s="708" t="s">
        <v>2308</v>
      </c>
    </row>
    <row r="550" spans="1:8" s="360" customFormat="1" ht="15" hidden="1" customHeight="1">
      <c r="A550" s="356" t="s">
        <v>1590</v>
      </c>
      <c r="B550" s="927"/>
      <c r="C550" s="707" t="s">
        <v>1228</v>
      </c>
      <c r="D550" s="358">
        <f>WORK!I2296</f>
        <v>0</v>
      </c>
      <c r="E550" s="354" t="s">
        <v>115</v>
      </c>
      <c r="F550" s="355">
        <f>WORK!K2296</f>
        <v>10134.49</v>
      </c>
      <c r="G550" s="353">
        <f t="shared" si="19"/>
        <v>0</v>
      </c>
      <c r="H550" s="708" t="s">
        <v>2321</v>
      </c>
    </row>
    <row r="551" spans="1:8" s="360" customFormat="1" ht="15" hidden="1" customHeight="1">
      <c r="A551" s="356" t="s">
        <v>1590</v>
      </c>
      <c r="B551" s="927"/>
      <c r="C551" s="707" t="s">
        <v>1228</v>
      </c>
      <c r="D551" s="358">
        <f>WORK!I2431</f>
        <v>0</v>
      </c>
      <c r="E551" s="354" t="s">
        <v>115</v>
      </c>
      <c r="F551" s="355">
        <f>WORK!K2431</f>
        <v>11442.58</v>
      </c>
      <c r="G551" s="353">
        <f t="shared" si="19"/>
        <v>0</v>
      </c>
      <c r="H551" s="708" t="s">
        <v>2322</v>
      </c>
    </row>
    <row r="552" spans="1:8" s="360" customFormat="1" hidden="1">
      <c r="A552" s="356" t="s">
        <v>529</v>
      </c>
      <c r="B552" s="927"/>
      <c r="C552" s="707" t="s">
        <v>2652</v>
      </c>
      <c r="D552" s="358">
        <f>WORK!I2047</f>
        <v>0</v>
      </c>
      <c r="E552" s="354" t="s">
        <v>115</v>
      </c>
      <c r="F552" s="355">
        <f>WORK!K2047</f>
        <v>15555.64</v>
      </c>
      <c r="G552" s="353">
        <f t="shared" si="19"/>
        <v>0</v>
      </c>
      <c r="H552" s="708" t="s">
        <v>2226</v>
      </c>
    </row>
    <row r="553" spans="1:8" s="360" customFormat="1" ht="15" hidden="1" customHeight="1">
      <c r="A553" s="356" t="s">
        <v>529</v>
      </c>
      <c r="B553" s="927"/>
      <c r="C553" s="707" t="s">
        <v>2652</v>
      </c>
      <c r="D553" s="358">
        <f>WORK!I2182</f>
        <v>0</v>
      </c>
      <c r="E553" s="354" t="s">
        <v>115</v>
      </c>
      <c r="F553" s="355">
        <f>WORK!K2182</f>
        <v>15555.64</v>
      </c>
      <c r="G553" s="353">
        <f t="shared" si="19"/>
        <v>0</v>
      </c>
      <c r="H553" s="708" t="s">
        <v>2308</v>
      </c>
    </row>
    <row r="554" spans="1:8" s="360" customFormat="1" ht="15" hidden="1" customHeight="1">
      <c r="A554" s="356" t="s">
        <v>529</v>
      </c>
      <c r="B554" s="927"/>
      <c r="C554" s="707" t="s">
        <v>2652</v>
      </c>
      <c r="D554" s="358">
        <f>WORK!I2323</f>
        <v>0</v>
      </c>
      <c r="E554" s="354" t="s">
        <v>115</v>
      </c>
      <c r="F554" s="355">
        <f>WORK!K2323</f>
        <v>16143.809999999998</v>
      </c>
      <c r="G554" s="353">
        <f t="shared" si="19"/>
        <v>0</v>
      </c>
      <c r="H554" s="708" t="s">
        <v>2321</v>
      </c>
    </row>
    <row r="555" spans="1:8" s="360" customFormat="1" ht="15" hidden="1" customHeight="1">
      <c r="A555" s="356" t="s">
        <v>529</v>
      </c>
      <c r="B555" s="927"/>
      <c r="C555" s="707" t="s">
        <v>2652</v>
      </c>
      <c r="D555" s="358">
        <f>WORK!I2458</f>
        <v>0</v>
      </c>
      <c r="E555" s="354" t="s">
        <v>115</v>
      </c>
      <c r="F555" s="355">
        <f>WORK!K2458</f>
        <v>17517.36</v>
      </c>
      <c r="G555" s="353">
        <f t="shared" si="19"/>
        <v>0</v>
      </c>
      <c r="H555" s="708" t="s">
        <v>2322</v>
      </c>
    </row>
    <row r="556" spans="1:8" s="360" customFormat="1" hidden="1">
      <c r="A556" s="356" t="s">
        <v>1592</v>
      </c>
      <c r="B556" s="927" t="s">
        <v>2651</v>
      </c>
      <c r="C556" s="707" t="s">
        <v>2652</v>
      </c>
      <c r="D556" s="358">
        <f>WORK!I2054</f>
        <v>0</v>
      </c>
      <c r="E556" s="354" t="s">
        <v>115</v>
      </c>
      <c r="F556" s="355">
        <f>WORK!K2054</f>
        <v>9631.65</v>
      </c>
      <c r="G556" s="353">
        <f t="shared" ref="G556:G587" si="20">ROUND(D556*F556,0)</f>
        <v>0</v>
      </c>
      <c r="H556" s="708" t="s">
        <v>2226</v>
      </c>
    </row>
    <row r="557" spans="1:8" s="360" customFormat="1" hidden="1">
      <c r="A557" s="356" t="s">
        <v>1581</v>
      </c>
      <c r="B557" s="927" t="s">
        <v>2651</v>
      </c>
      <c r="C557" s="707" t="s">
        <v>2652</v>
      </c>
      <c r="D557" s="358">
        <f>WORK!I2190</f>
        <v>0</v>
      </c>
      <c r="E557" s="354" t="s">
        <v>115</v>
      </c>
      <c r="F557" s="355">
        <f>WORK!K2190</f>
        <v>4472.53</v>
      </c>
      <c r="G557" s="353">
        <f t="shared" si="20"/>
        <v>0</v>
      </c>
      <c r="H557" s="708" t="s">
        <v>2308</v>
      </c>
    </row>
    <row r="558" spans="1:8" s="360" customFormat="1" ht="15" hidden="1" customHeight="1">
      <c r="A558" s="356" t="s">
        <v>1592</v>
      </c>
      <c r="B558" s="927" t="s">
        <v>2651</v>
      </c>
      <c r="C558" s="707" t="s">
        <v>2652</v>
      </c>
      <c r="D558" s="358">
        <f>WORK!I2330</f>
        <v>0</v>
      </c>
      <c r="E558" s="354" t="s">
        <v>115</v>
      </c>
      <c r="F558" s="355">
        <f>WORK!K2330</f>
        <v>9936.0399999999991</v>
      </c>
      <c r="G558" s="353">
        <f t="shared" si="20"/>
        <v>0</v>
      </c>
      <c r="H558" s="708" t="s">
        <v>2321</v>
      </c>
    </row>
    <row r="559" spans="1:8" s="360" customFormat="1" ht="15" hidden="1" customHeight="1">
      <c r="A559" s="356" t="s">
        <v>1592</v>
      </c>
      <c r="B559" s="927" t="s">
        <v>2651</v>
      </c>
      <c r="C559" s="707" t="s">
        <v>2652</v>
      </c>
      <c r="D559" s="358">
        <f>WORK!I2465</f>
        <v>0</v>
      </c>
      <c r="E559" s="354" t="s">
        <v>115</v>
      </c>
      <c r="F559" s="355">
        <f>WORK!K2465</f>
        <v>11186.3</v>
      </c>
      <c r="G559" s="353">
        <f t="shared" si="20"/>
        <v>0</v>
      </c>
      <c r="H559" s="708" t="s">
        <v>2322</v>
      </c>
    </row>
    <row r="560" spans="1:8" s="360" customFormat="1" hidden="1">
      <c r="A560" s="356" t="s">
        <v>1578</v>
      </c>
      <c r="B560" s="927" t="s">
        <v>2653</v>
      </c>
      <c r="C560" s="707" t="s">
        <v>2037</v>
      </c>
      <c r="D560" s="358">
        <f>WORK!I2059</f>
        <v>0</v>
      </c>
      <c r="E560" s="354" t="s">
        <v>102</v>
      </c>
      <c r="F560" s="355">
        <f>WORK!K2059</f>
        <v>6011.2</v>
      </c>
      <c r="G560" s="353">
        <f t="shared" si="20"/>
        <v>0</v>
      </c>
      <c r="H560" s="708" t="s">
        <v>2226</v>
      </c>
    </row>
    <row r="561" spans="1:8" s="360" customFormat="1" ht="15" hidden="1" customHeight="1">
      <c r="A561" s="356" t="s">
        <v>1578</v>
      </c>
      <c r="B561" s="927" t="s">
        <v>2653</v>
      </c>
      <c r="C561" s="707" t="s">
        <v>2037</v>
      </c>
      <c r="D561" s="358">
        <f>WORK!I2199</f>
        <v>0</v>
      </c>
      <c r="E561" s="354" t="s">
        <v>102</v>
      </c>
      <c r="F561" s="355">
        <f>WORK!K2199</f>
        <v>5930.61</v>
      </c>
      <c r="G561" s="353">
        <f t="shared" si="20"/>
        <v>0</v>
      </c>
      <c r="H561" s="708" t="s">
        <v>2308</v>
      </c>
    </row>
    <row r="562" spans="1:8" s="360" customFormat="1" ht="15" hidden="1" customHeight="1">
      <c r="A562" s="356" t="s">
        <v>1578</v>
      </c>
      <c r="B562" s="927" t="s">
        <v>2653</v>
      </c>
      <c r="C562" s="707" t="s">
        <v>2037</v>
      </c>
      <c r="D562" s="358">
        <f>WORK!I2336</f>
        <v>0</v>
      </c>
      <c r="E562" s="354" t="s">
        <v>102</v>
      </c>
      <c r="F562" s="355">
        <f>WORK!K2336</f>
        <v>5976.6</v>
      </c>
      <c r="G562" s="353">
        <f t="shared" si="20"/>
        <v>0</v>
      </c>
      <c r="H562" s="708" t="s">
        <v>2321</v>
      </c>
    </row>
    <row r="563" spans="1:8" s="360" customFormat="1" ht="15" hidden="1" customHeight="1">
      <c r="A563" s="356" t="s">
        <v>1578</v>
      </c>
      <c r="B563" s="927" t="s">
        <v>2653</v>
      </c>
      <c r="C563" s="707" t="s">
        <v>2037</v>
      </c>
      <c r="D563" s="358">
        <f>WORK!I2470</f>
        <v>0</v>
      </c>
      <c r="E563" s="354" t="s">
        <v>102</v>
      </c>
      <c r="F563" s="355">
        <f>WORK!K2470</f>
        <v>6869.57</v>
      </c>
      <c r="G563" s="353">
        <f t="shared" si="20"/>
        <v>0</v>
      </c>
      <c r="H563" s="708" t="s">
        <v>2322</v>
      </c>
    </row>
    <row r="564" spans="1:8" s="360" customFormat="1" ht="15" hidden="1" customHeight="1">
      <c r="A564" s="356" t="s">
        <v>1147</v>
      </c>
      <c r="B564" s="927" t="s">
        <v>2653</v>
      </c>
      <c r="C564" s="932" t="s">
        <v>2038</v>
      </c>
      <c r="D564" s="358">
        <f>WORK!I2066</f>
        <v>0</v>
      </c>
      <c r="E564" s="354" t="s">
        <v>102</v>
      </c>
      <c r="F564" s="355">
        <f>WORK!K2066</f>
        <v>5617.52</v>
      </c>
      <c r="G564" s="353">
        <f t="shared" si="20"/>
        <v>0</v>
      </c>
      <c r="H564" s="708" t="s">
        <v>2226</v>
      </c>
    </row>
    <row r="565" spans="1:8" s="360" customFormat="1" ht="15" hidden="1" customHeight="1">
      <c r="A565" s="356" t="s">
        <v>1147</v>
      </c>
      <c r="B565" s="927" t="s">
        <v>2653</v>
      </c>
      <c r="C565" s="932" t="s">
        <v>2038</v>
      </c>
      <c r="D565" s="358">
        <f>WORK!I2206</f>
        <v>0</v>
      </c>
      <c r="E565" s="354" t="s">
        <v>102</v>
      </c>
      <c r="F565" s="355">
        <f>WORK!K2206</f>
        <v>5617.52</v>
      </c>
      <c r="G565" s="353">
        <f t="shared" si="20"/>
        <v>0</v>
      </c>
      <c r="H565" s="708" t="s">
        <v>2308</v>
      </c>
    </row>
    <row r="566" spans="1:8" s="360" customFormat="1" ht="15" hidden="1" customHeight="1">
      <c r="A566" s="356" t="s">
        <v>1147</v>
      </c>
      <c r="B566" s="927" t="s">
        <v>2653</v>
      </c>
      <c r="C566" s="932" t="s">
        <v>2038</v>
      </c>
      <c r="D566" s="358">
        <f>WORK!I2343</f>
        <v>0</v>
      </c>
      <c r="E566" s="354" t="s">
        <v>102</v>
      </c>
      <c r="F566" s="355">
        <f>WORK!K2343</f>
        <v>5663.52</v>
      </c>
      <c r="G566" s="353">
        <f t="shared" si="20"/>
        <v>0</v>
      </c>
      <c r="H566" s="708" t="s">
        <v>2321</v>
      </c>
    </row>
    <row r="567" spans="1:8" s="360" customFormat="1" ht="15" hidden="1" customHeight="1">
      <c r="A567" s="356" t="s">
        <v>1147</v>
      </c>
      <c r="B567" s="927" t="s">
        <v>2653</v>
      </c>
      <c r="C567" s="932" t="s">
        <v>2038</v>
      </c>
      <c r="D567" s="358">
        <f>WORK!I2477</f>
        <v>0</v>
      </c>
      <c r="E567" s="354" t="s">
        <v>102</v>
      </c>
      <c r="F567" s="355">
        <f>WORK!K2477</f>
        <v>6508.85</v>
      </c>
      <c r="G567" s="353">
        <f t="shared" si="20"/>
        <v>0</v>
      </c>
      <c r="H567" s="708" t="s">
        <v>2322</v>
      </c>
    </row>
    <row r="568" spans="1:8" s="360" customFormat="1" hidden="1">
      <c r="A568" s="356" t="s">
        <v>1598</v>
      </c>
      <c r="B568" s="356"/>
      <c r="C568" s="357" t="s">
        <v>2583</v>
      </c>
      <c r="D568" s="358"/>
      <c r="E568" s="354"/>
      <c r="F568" s="355"/>
      <c r="G568" s="353">
        <f t="shared" si="20"/>
        <v>0</v>
      </c>
      <c r="H568" s="708" t="s">
        <v>2226</v>
      </c>
    </row>
    <row r="569" spans="1:8" s="360" customFormat="1" ht="25.5" hidden="1">
      <c r="A569" s="356" t="s">
        <v>510</v>
      </c>
      <c r="B569" s="927" t="s">
        <v>2654</v>
      </c>
      <c r="C569" s="707" t="s">
        <v>965</v>
      </c>
      <c r="D569" s="358">
        <f>WORK!I2073</f>
        <v>0</v>
      </c>
      <c r="E569" s="354" t="s">
        <v>102</v>
      </c>
      <c r="F569" s="355">
        <f>WORK!K2073</f>
        <v>8058</v>
      </c>
      <c r="G569" s="353">
        <f t="shared" si="20"/>
        <v>0</v>
      </c>
      <c r="H569" s="708" t="s">
        <v>2226</v>
      </c>
    </row>
    <row r="570" spans="1:8" s="360" customFormat="1" ht="25.5" hidden="1">
      <c r="A570" s="356" t="s">
        <v>527</v>
      </c>
      <c r="B570" s="927" t="s">
        <v>2654</v>
      </c>
      <c r="C570" s="707" t="s">
        <v>965</v>
      </c>
      <c r="D570" s="358">
        <f>WORK!I2212</f>
        <v>0</v>
      </c>
      <c r="E570" s="354" t="s">
        <v>102</v>
      </c>
      <c r="F570" s="355">
        <f>WORK!K2212</f>
        <v>8058</v>
      </c>
      <c r="G570" s="353">
        <f t="shared" si="20"/>
        <v>0</v>
      </c>
      <c r="H570" s="708" t="s">
        <v>2308</v>
      </c>
    </row>
    <row r="571" spans="1:8" s="360" customFormat="1" ht="25.5" hidden="1" customHeight="1">
      <c r="A571" s="356" t="s">
        <v>528</v>
      </c>
      <c r="B571" s="927" t="s">
        <v>2654</v>
      </c>
      <c r="C571" s="707" t="s">
        <v>965</v>
      </c>
      <c r="D571" s="358">
        <f>WORK!I2349</f>
        <v>0</v>
      </c>
      <c r="E571" s="354" t="s">
        <v>102</v>
      </c>
      <c r="F571" s="355">
        <f>WORK!K2349</f>
        <v>8058</v>
      </c>
      <c r="G571" s="353">
        <f t="shared" si="20"/>
        <v>0</v>
      </c>
      <c r="H571" s="708" t="s">
        <v>2321</v>
      </c>
    </row>
    <row r="572" spans="1:8" s="360" customFormat="1" ht="25.5" customHeight="1">
      <c r="A572" s="356" t="s">
        <v>518</v>
      </c>
      <c r="B572" s="927" t="s">
        <v>2654</v>
      </c>
      <c r="C572" s="707" t="s">
        <v>965</v>
      </c>
      <c r="D572" s="358">
        <f>WORK!I2483</f>
        <v>0</v>
      </c>
      <c r="E572" s="354" t="s">
        <v>102</v>
      </c>
      <c r="F572" s="355">
        <f>WORK!K2483</f>
        <v>8622</v>
      </c>
      <c r="G572" s="353">
        <f t="shared" si="20"/>
        <v>0</v>
      </c>
      <c r="H572" s="708" t="s">
        <v>2322</v>
      </c>
    </row>
    <row r="573" spans="1:8" s="360" customFormat="1" ht="25.5" hidden="1" customHeight="1">
      <c r="A573" s="356" t="s">
        <v>1145</v>
      </c>
      <c r="B573" s="927" t="s">
        <v>2656</v>
      </c>
      <c r="C573" s="707" t="s">
        <v>2655</v>
      </c>
      <c r="D573" s="358">
        <f>WORK!I2077</f>
        <v>15.84</v>
      </c>
      <c r="E573" s="354" t="s">
        <v>102</v>
      </c>
      <c r="F573" s="355">
        <f>WORK!K2077</f>
        <v>6038</v>
      </c>
      <c r="G573" s="353">
        <f t="shared" si="20"/>
        <v>95642</v>
      </c>
      <c r="H573" s="708" t="s">
        <v>2226</v>
      </c>
    </row>
    <row r="574" spans="1:8" s="360" customFormat="1" ht="25.5" hidden="1">
      <c r="A574" s="356" t="s">
        <v>1581</v>
      </c>
      <c r="B574" s="927" t="s">
        <v>2656</v>
      </c>
      <c r="C574" s="707" t="s">
        <v>2655</v>
      </c>
      <c r="D574" s="358">
        <f>WORK!I2216</f>
        <v>0</v>
      </c>
      <c r="E574" s="354" t="s">
        <v>102</v>
      </c>
      <c r="F574" s="355">
        <f>WORK!K2216</f>
        <v>6038</v>
      </c>
      <c r="G574" s="353">
        <f t="shared" si="20"/>
        <v>0</v>
      </c>
      <c r="H574" s="708" t="s">
        <v>2308</v>
      </c>
    </row>
    <row r="575" spans="1:8" s="360" customFormat="1" ht="25.5" hidden="1" customHeight="1">
      <c r="A575" s="356" t="s">
        <v>1145</v>
      </c>
      <c r="B575" s="927" t="s">
        <v>2656</v>
      </c>
      <c r="C575" s="707" t="s">
        <v>2655</v>
      </c>
      <c r="D575" s="358">
        <f>WORK!I2353</f>
        <v>0</v>
      </c>
      <c r="E575" s="354" t="s">
        <v>102</v>
      </c>
      <c r="F575" s="355">
        <f>WORK!K2353</f>
        <v>6038</v>
      </c>
      <c r="G575" s="353">
        <f t="shared" si="20"/>
        <v>0</v>
      </c>
      <c r="H575" s="708" t="s">
        <v>2321</v>
      </c>
    </row>
    <row r="576" spans="1:8" s="360" customFormat="1" ht="25.5" hidden="1" customHeight="1">
      <c r="A576" s="356" t="s">
        <v>1145</v>
      </c>
      <c r="B576" s="927" t="s">
        <v>2656</v>
      </c>
      <c r="C576" s="707" t="s">
        <v>2655</v>
      </c>
      <c r="D576" s="358">
        <f>WORK!I2487</f>
        <v>0</v>
      </c>
      <c r="E576" s="354" t="s">
        <v>102</v>
      </c>
      <c r="F576" s="355">
        <f>WORK!K2487</f>
        <v>6460</v>
      </c>
      <c r="G576" s="353">
        <f t="shared" si="20"/>
        <v>0</v>
      </c>
      <c r="H576" s="708" t="s">
        <v>2322</v>
      </c>
    </row>
    <row r="577" spans="1:8" s="360" customFormat="1" ht="25.5" hidden="1" customHeight="1">
      <c r="A577" s="356" t="s">
        <v>1579</v>
      </c>
      <c r="B577" s="927" t="s">
        <v>2657</v>
      </c>
      <c r="C577" s="707" t="s">
        <v>966</v>
      </c>
      <c r="D577" s="358">
        <f>WORK!I2081</f>
        <v>0</v>
      </c>
      <c r="E577" s="354" t="s">
        <v>102</v>
      </c>
      <c r="F577" s="355">
        <f>WORK!K2081</f>
        <v>5830</v>
      </c>
      <c r="G577" s="353">
        <f t="shared" si="20"/>
        <v>0</v>
      </c>
      <c r="H577" s="708" t="s">
        <v>2226</v>
      </c>
    </row>
    <row r="578" spans="1:8" s="360" customFormat="1" ht="25.5" hidden="1" customHeight="1">
      <c r="A578" s="356" t="s">
        <v>1579</v>
      </c>
      <c r="B578" s="927" t="s">
        <v>2657</v>
      </c>
      <c r="C578" s="707" t="s">
        <v>966</v>
      </c>
      <c r="D578" s="358">
        <f>WORK!I2222</f>
        <v>0</v>
      </c>
      <c r="E578" s="354" t="s">
        <v>102</v>
      </c>
      <c r="F578" s="355">
        <f>WORK!K2222</f>
        <v>5830</v>
      </c>
      <c r="G578" s="353">
        <f t="shared" si="20"/>
        <v>0</v>
      </c>
      <c r="H578" s="708" t="s">
        <v>2308</v>
      </c>
    </row>
    <row r="579" spans="1:8" s="360" customFormat="1" ht="25.5" hidden="1" customHeight="1">
      <c r="A579" s="356" t="s">
        <v>1579</v>
      </c>
      <c r="B579" s="927" t="s">
        <v>2657</v>
      </c>
      <c r="C579" s="707" t="s">
        <v>966</v>
      </c>
      <c r="D579" s="358">
        <f>WORK!I2357</f>
        <v>0</v>
      </c>
      <c r="E579" s="354" t="s">
        <v>102</v>
      </c>
      <c r="F579" s="355">
        <f>WORK!K2357</f>
        <v>5830</v>
      </c>
      <c r="G579" s="353">
        <f t="shared" si="20"/>
        <v>0</v>
      </c>
      <c r="H579" s="708" t="s">
        <v>2321</v>
      </c>
    </row>
    <row r="580" spans="1:8" s="360" customFormat="1" ht="25.5" hidden="1" customHeight="1">
      <c r="A580" s="356" t="s">
        <v>1579</v>
      </c>
      <c r="B580" s="927" t="s">
        <v>2657</v>
      </c>
      <c r="C580" s="707" t="s">
        <v>966</v>
      </c>
      <c r="D580" s="358">
        <f>WORK!I2491</f>
        <v>0</v>
      </c>
      <c r="E580" s="354" t="s">
        <v>102</v>
      </c>
      <c r="F580" s="355">
        <f>WORK!K2491</f>
        <v>6238</v>
      </c>
      <c r="G580" s="353">
        <f t="shared" si="20"/>
        <v>0</v>
      </c>
      <c r="H580" s="708" t="s">
        <v>2322</v>
      </c>
    </row>
    <row r="581" spans="1:8" s="360" customFormat="1" ht="15" hidden="1" customHeight="1">
      <c r="A581" s="356"/>
      <c r="B581" s="927" t="s">
        <v>2658</v>
      </c>
      <c r="C581" s="707" t="s">
        <v>2294</v>
      </c>
      <c r="D581" s="358">
        <f>WORK!I2086</f>
        <v>0</v>
      </c>
      <c r="E581" s="354" t="s">
        <v>102</v>
      </c>
      <c r="F581" s="355">
        <f>WORK!K2086</f>
        <v>3797</v>
      </c>
      <c r="G581" s="353">
        <f t="shared" si="20"/>
        <v>0</v>
      </c>
      <c r="H581" s="708" t="s">
        <v>2226</v>
      </c>
    </row>
    <row r="582" spans="1:8" s="360" customFormat="1" ht="15" hidden="1" customHeight="1">
      <c r="A582" s="356"/>
      <c r="B582" s="927" t="s">
        <v>2658</v>
      </c>
      <c r="C582" s="707" t="s">
        <v>2294</v>
      </c>
      <c r="D582" s="358">
        <f>WORK!I2227</f>
        <v>0</v>
      </c>
      <c r="E582" s="354" t="s">
        <v>102</v>
      </c>
      <c r="F582" s="355">
        <f>WORK!K2227</f>
        <v>3797</v>
      </c>
      <c r="G582" s="353">
        <f t="shared" si="20"/>
        <v>0</v>
      </c>
      <c r="H582" s="708" t="s">
        <v>2308</v>
      </c>
    </row>
    <row r="583" spans="1:8" s="360" customFormat="1" ht="15" hidden="1" customHeight="1">
      <c r="A583" s="356"/>
      <c r="B583" s="927" t="s">
        <v>2658</v>
      </c>
      <c r="C583" s="707" t="s">
        <v>2294</v>
      </c>
      <c r="D583" s="358">
        <f>WORK!I2362</f>
        <v>0</v>
      </c>
      <c r="E583" s="354" t="s">
        <v>102</v>
      </c>
      <c r="F583" s="355">
        <f>WORK!K2362</f>
        <v>3797</v>
      </c>
      <c r="G583" s="353">
        <f t="shared" si="20"/>
        <v>0</v>
      </c>
      <c r="H583" s="708" t="s">
        <v>2321</v>
      </c>
    </row>
    <row r="584" spans="1:8" s="360" customFormat="1" ht="15" hidden="1" customHeight="1">
      <c r="A584" s="356"/>
      <c r="B584" s="927" t="s">
        <v>2658</v>
      </c>
      <c r="C584" s="707" t="s">
        <v>2294</v>
      </c>
      <c r="D584" s="358">
        <f>WORK!I2496</f>
        <v>0</v>
      </c>
      <c r="E584" s="354" t="s">
        <v>102</v>
      </c>
      <c r="F584" s="355">
        <f>WORK!K2496</f>
        <v>4062</v>
      </c>
      <c r="G584" s="353">
        <f t="shared" si="20"/>
        <v>0</v>
      </c>
      <c r="H584" s="708" t="s">
        <v>2322</v>
      </c>
    </row>
    <row r="585" spans="1:8" s="360" customFormat="1" ht="15" hidden="1" customHeight="1">
      <c r="A585" s="356" t="s">
        <v>1147</v>
      </c>
      <c r="B585" s="927"/>
      <c r="C585" s="707" t="s">
        <v>712</v>
      </c>
      <c r="D585" s="358">
        <f>WORK!I2091</f>
        <v>0</v>
      </c>
      <c r="E585" s="354" t="s">
        <v>115</v>
      </c>
      <c r="F585" s="355">
        <f>WORK!K2091</f>
        <v>494.94</v>
      </c>
      <c r="G585" s="353">
        <f t="shared" si="20"/>
        <v>0</v>
      </c>
      <c r="H585" s="708" t="s">
        <v>2226</v>
      </c>
    </row>
    <row r="586" spans="1:8" s="360" customFormat="1" ht="15" hidden="1" customHeight="1">
      <c r="A586" s="356" t="s">
        <v>1147</v>
      </c>
      <c r="B586" s="927"/>
      <c r="C586" s="707" t="s">
        <v>712</v>
      </c>
      <c r="D586" s="358">
        <f>WORK!I2232</f>
        <v>0</v>
      </c>
      <c r="E586" s="354" t="s">
        <v>115</v>
      </c>
      <c r="F586" s="355">
        <f>WORK!K2232</f>
        <v>494.64</v>
      </c>
      <c r="G586" s="353">
        <f t="shared" si="20"/>
        <v>0</v>
      </c>
      <c r="H586" s="708" t="s">
        <v>2308</v>
      </c>
    </row>
    <row r="587" spans="1:8" s="360" customFormat="1" ht="15" hidden="1" customHeight="1">
      <c r="A587" s="356" t="s">
        <v>1147</v>
      </c>
      <c r="B587" s="927"/>
      <c r="C587" s="707" t="s">
        <v>712</v>
      </c>
      <c r="D587" s="358">
        <f>WORK!I2367</f>
        <v>0</v>
      </c>
      <c r="E587" s="354" t="s">
        <v>115</v>
      </c>
      <c r="F587" s="355">
        <f>WORK!K2367</f>
        <v>520.87</v>
      </c>
      <c r="G587" s="353">
        <f t="shared" si="20"/>
        <v>0</v>
      </c>
      <c r="H587" s="708" t="s">
        <v>2321</v>
      </c>
    </row>
    <row r="588" spans="1:8" s="360" customFormat="1" ht="15" hidden="1" customHeight="1">
      <c r="A588" s="356" t="s">
        <v>1147</v>
      </c>
      <c r="B588" s="927"/>
      <c r="C588" s="707" t="s">
        <v>712</v>
      </c>
      <c r="D588" s="358">
        <f>WORK!I2501</f>
        <v>0</v>
      </c>
      <c r="E588" s="354" t="s">
        <v>115</v>
      </c>
      <c r="F588" s="355">
        <f>WORK!K2501</f>
        <v>576.98</v>
      </c>
      <c r="G588" s="353">
        <f t="shared" ref="G588:G597" si="21">ROUND(D588*F588,0)</f>
        <v>0</v>
      </c>
      <c r="H588" s="708" t="s">
        <v>2322</v>
      </c>
    </row>
    <row r="589" spans="1:8" s="360" customFormat="1" ht="15" hidden="1" customHeight="1">
      <c r="A589" s="356" t="s">
        <v>1580</v>
      </c>
      <c r="B589" s="927" t="s">
        <v>2659</v>
      </c>
      <c r="C589" s="707" t="s">
        <v>932</v>
      </c>
      <c r="D589" s="358">
        <f>WORK!I2096</f>
        <v>2.16</v>
      </c>
      <c r="E589" s="354" t="s">
        <v>102</v>
      </c>
      <c r="F589" s="355">
        <f>WORK!K2096</f>
        <v>513.1</v>
      </c>
      <c r="G589" s="353">
        <f t="shared" si="21"/>
        <v>1108</v>
      </c>
      <c r="H589" s="708" t="s">
        <v>2226</v>
      </c>
    </row>
    <row r="590" spans="1:8" s="360" customFormat="1" ht="15" hidden="1" customHeight="1">
      <c r="A590" s="356" t="s">
        <v>1580</v>
      </c>
      <c r="B590" s="927" t="s">
        <v>2659</v>
      </c>
      <c r="C590" s="707" t="s">
        <v>932</v>
      </c>
      <c r="D590" s="358">
        <f>WORK!I2237</f>
        <v>0</v>
      </c>
      <c r="E590" s="354" t="s">
        <v>102</v>
      </c>
      <c r="F590" s="355">
        <f>WORK!K2237</f>
        <v>529.5</v>
      </c>
      <c r="G590" s="353">
        <f t="shared" si="21"/>
        <v>0</v>
      </c>
      <c r="H590" s="708" t="s">
        <v>2308</v>
      </c>
    </row>
    <row r="591" spans="1:8" s="360" customFormat="1" ht="15" hidden="1" customHeight="1">
      <c r="A591" s="356" t="s">
        <v>1580</v>
      </c>
      <c r="B591" s="927" t="s">
        <v>2659</v>
      </c>
      <c r="C591" s="707" t="s">
        <v>932</v>
      </c>
      <c r="D591" s="358">
        <f>WORK!I2372</f>
        <v>0</v>
      </c>
      <c r="E591" s="354" t="s">
        <v>102</v>
      </c>
      <c r="F591" s="355">
        <f>WORK!K2372</f>
        <v>554.35</v>
      </c>
      <c r="G591" s="353">
        <f t="shared" si="21"/>
        <v>0</v>
      </c>
      <c r="H591" s="708" t="s">
        <v>2321</v>
      </c>
    </row>
    <row r="592" spans="1:8" s="360" customFormat="1" ht="15" hidden="1" customHeight="1">
      <c r="A592" s="356" t="s">
        <v>1580</v>
      </c>
      <c r="B592" s="927" t="s">
        <v>2659</v>
      </c>
      <c r="C592" s="707" t="s">
        <v>932</v>
      </c>
      <c r="D592" s="358">
        <f>WORK!I2506</f>
        <v>0</v>
      </c>
      <c r="E592" s="354" t="s">
        <v>102</v>
      </c>
      <c r="F592" s="355">
        <f>WORK!K2506</f>
        <v>604.07999999999993</v>
      </c>
      <c r="G592" s="353">
        <f t="shared" si="21"/>
        <v>0</v>
      </c>
      <c r="H592" s="708" t="s">
        <v>2322</v>
      </c>
    </row>
    <row r="593" spans="1:10" s="360" customFormat="1" ht="15" customHeight="1">
      <c r="A593" s="356" t="s">
        <v>519</v>
      </c>
      <c r="B593" s="927" t="s">
        <v>2699</v>
      </c>
      <c r="C593" s="707" t="s">
        <v>542</v>
      </c>
      <c r="D593" s="358">
        <f>WORK!I2101</f>
        <v>385</v>
      </c>
      <c r="E593" s="354" t="s">
        <v>872</v>
      </c>
      <c r="F593" s="355">
        <f>WORK!K2101</f>
        <v>84.009999999999991</v>
      </c>
      <c r="G593" s="353">
        <f t="shared" si="21"/>
        <v>32344</v>
      </c>
      <c r="H593" s="708" t="s">
        <v>2226</v>
      </c>
    </row>
    <row r="594" spans="1:10" s="360" customFormat="1" ht="15" hidden="1" customHeight="1">
      <c r="A594" s="356" t="s">
        <v>533</v>
      </c>
      <c r="B594" s="927" t="s">
        <v>2699</v>
      </c>
      <c r="C594" s="707" t="s">
        <v>542</v>
      </c>
      <c r="D594" s="358">
        <f>WORK!I2242</f>
        <v>0</v>
      </c>
      <c r="E594" s="354" t="s">
        <v>872</v>
      </c>
      <c r="F594" s="355">
        <f>WORK!K2242</f>
        <v>82.8</v>
      </c>
      <c r="G594" s="353">
        <f t="shared" si="21"/>
        <v>0</v>
      </c>
      <c r="H594" s="708" t="s">
        <v>2308</v>
      </c>
    </row>
    <row r="595" spans="1:10" s="360" customFormat="1" ht="15" hidden="1" customHeight="1">
      <c r="A595" s="356" t="s">
        <v>533</v>
      </c>
      <c r="B595" s="927" t="s">
        <v>2699</v>
      </c>
      <c r="C595" s="707" t="s">
        <v>542</v>
      </c>
      <c r="D595" s="358">
        <f>WORK!I2377</f>
        <v>0</v>
      </c>
      <c r="E595" s="354" t="s">
        <v>872</v>
      </c>
      <c r="F595" s="355">
        <f>WORK!K2377</f>
        <v>95.89</v>
      </c>
      <c r="G595" s="353">
        <f t="shared" si="21"/>
        <v>0</v>
      </c>
      <c r="H595" s="708" t="s">
        <v>2321</v>
      </c>
    </row>
    <row r="596" spans="1:10" s="360" customFormat="1" ht="15" customHeight="1">
      <c r="A596" s="356" t="s">
        <v>520</v>
      </c>
      <c r="B596" s="927" t="s">
        <v>2699</v>
      </c>
      <c r="C596" s="707" t="s">
        <v>542</v>
      </c>
      <c r="D596" s="358">
        <f>WORK!I2511</f>
        <v>0</v>
      </c>
      <c r="E596" s="354" t="s">
        <v>872</v>
      </c>
      <c r="F596" s="355">
        <f>WORK!K2511</f>
        <v>110.99</v>
      </c>
      <c r="G596" s="353">
        <f t="shared" si="21"/>
        <v>0</v>
      </c>
      <c r="H596" s="708" t="s">
        <v>2322</v>
      </c>
    </row>
    <row r="597" spans="1:10" s="360" customFormat="1" ht="15" hidden="1" customHeight="1">
      <c r="A597" s="356" t="s">
        <v>1594</v>
      </c>
      <c r="B597" s="927"/>
      <c r="C597" s="932" t="s">
        <v>542</v>
      </c>
      <c r="D597" s="358">
        <f>WORK!I2108</f>
        <v>0</v>
      </c>
      <c r="E597" s="354" t="s">
        <v>102</v>
      </c>
      <c r="F597" s="355">
        <f>WORK!K2108</f>
        <v>2353.58</v>
      </c>
      <c r="G597" s="353">
        <f t="shared" si="21"/>
        <v>0</v>
      </c>
      <c r="H597" s="708" t="s">
        <v>2226</v>
      </c>
    </row>
    <row r="598" spans="1:10" s="360" customFormat="1" hidden="1">
      <c r="A598" s="356" t="s">
        <v>1594</v>
      </c>
      <c r="B598" s="927"/>
      <c r="C598" s="932" t="s">
        <v>542</v>
      </c>
      <c r="D598" s="358">
        <f>WORK!I2247</f>
        <v>0</v>
      </c>
      <c r="E598" s="354" t="s">
        <v>102</v>
      </c>
      <c r="F598" s="355">
        <f>WORK!K2247</f>
        <v>2324.02</v>
      </c>
      <c r="H598" s="708" t="s">
        <v>2308</v>
      </c>
      <c r="J598" s="353">
        <f>ROUND(D598*F598,0)</f>
        <v>0</v>
      </c>
    </row>
    <row r="599" spans="1:10" s="360" customFormat="1" ht="15" hidden="1" customHeight="1">
      <c r="A599" s="356" t="s">
        <v>1522</v>
      </c>
      <c r="B599" s="927"/>
      <c r="C599" s="932" t="s">
        <v>542</v>
      </c>
      <c r="D599" s="358">
        <f>WORK!I2382</f>
        <v>0</v>
      </c>
      <c r="E599" s="354" t="s">
        <v>102</v>
      </c>
      <c r="F599" s="355">
        <f>WORK!K2382</f>
        <v>2719.44</v>
      </c>
      <c r="G599" s="353">
        <f t="shared" ref="G599:G605" si="22">ROUND(D599*F599,0)</f>
        <v>0</v>
      </c>
      <c r="H599" s="708" t="s">
        <v>2321</v>
      </c>
    </row>
    <row r="600" spans="1:10" s="360" customFormat="1" ht="15" hidden="1" customHeight="1">
      <c r="A600" s="356" t="s">
        <v>1594</v>
      </c>
      <c r="B600" s="927"/>
      <c r="C600" s="932" t="s">
        <v>542</v>
      </c>
      <c r="D600" s="358">
        <f>WORK!I2518</f>
        <v>0</v>
      </c>
      <c r="E600" s="354" t="s">
        <v>102</v>
      </c>
      <c r="F600" s="355">
        <f>WORK!K2518</f>
        <v>3138.49</v>
      </c>
      <c r="G600" s="353">
        <f t="shared" si="22"/>
        <v>0</v>
      </c>
      <c r="H600" s="708" t="s">
        <v>2322</v>
      </c>
    </row>
    <row r="601" spans="1:10" s="360" customFormat="1" ht="15" hidden="1" customHeight="1">
      <c r="A601" s="356" t="s">
        <v>518</v>
      </c>
      <c r="B601" s="927"/>
      <c r="C601" s="932" t="s">
        <v>632</v>
      </c>
      <c r="D601" s="358">
        <f>WORK!I2113</f>
        <v>0</v>
      </c>
      <c r="E601" s="354" t="s">
        <v>102</v>
      </c>
      <c r="F601" s="355">
        <f>WORK!K2113</f>
        <v>106.5</v>
      </c>
      <c r="G601" s="353">
        <f t="shared" si="22"/>
        <v>0</v>
      </c>
      <c r="H601" s="708" t="s">
        <v>2226</v>
      </c>
    </row>
    <row r="602" spans="1:10" s="360" customFormat="1" ht="15" hidden="1" customHeight="1">
      <c r="A602" s="356" t="s">
        <v>518</v>
      </c>
      <c r="B602" s="927"/>
      <c r="C602" s="932" t="s">
        <v>632</v>
      </c>
      <c r="D602" s="358">
        <f>WORK!I2252</f>
        <v>0</v>
      </c>
      <c r="E602" s="354" t="s">
        <v>102</v>
      </c>
      <c r="F602" s="355">
        <f>WORK!K2252</f>
        <v>106.5</v>
      </c>
      <c r="G602" s="353">
        <f t="shared" si="22"/>
        <v>0</v>
      </c>
      <c r="H602" s="708" t="s">
        <v>2308</v>
      </c>
    </row>
    <row r="603" spans="1:10" s="360" customFormat="1" ht="15" hidden="1" customHeight="1">
      <c r="A603" s="356" t="s">
        <v>518</v>
      </c>
      <c r="B603" s="927"/>
      <c r="C603" s="932" t="s">
        <v>632</v>
      </c>
      <c r="D603" s="358">
        <f>WORK!I2387</f>
        <v>0</v>
      </c>
      <c r="E603" s="354" t="s">
        <v>102</v>
      </c>
      <c r="F603" s="355">
        <f>WORK!K2387</f>
        <v>114.65</v>
      </c>
      <c r="G603" s="353">
        <f t="shared" si="22"/>
        <v>0</v>
      </c>
      <c r="H603" s="708" t="s">
        <v>2321</v>
      </c>
    </row>
    <row r="604" spans="1:10" s="360" customFormat="1" ht="15" hidden="1" customHeight="1">
      <c r="A604" s="356" t="s">
        <v>518</v>
      </c>
      <c r="B604" s="927"/>
      <c r="C604" s="932" t="s">
        <v>632</v>
      </c>
      <c r="D604" s="358">
        <f>WORK!I2523</f>
        <v>0</v>
      </c>
      <c r="E604" s="354" t="s">
        <v>102</v>
      </c>
      <c r="F604" s="355">
        <f>WORK!K2523</f>
        <v>126.9</v>
      </c>
      <c r="G604" s="353">
        <f t="shared" si="22"/>
        <v>0</v>
      </c>
      <c r="H604" s="708" t="s">
        <v>2322</v>
      </c>
    </row>
    <row r="605" spans="1:10" s="360" customFormat="1" ht="15" hidden="1" customHeight="1">
      <c r="A605" s="356" t="s">
        <v>1595</v>
      </c>
      <c r="B605" s="927"/>
      <c r="C605" s="932" t="s">
        <v>2007</v>
      </c>
      <c r="D605" s="358">
        <f>WORK!I2120</f>
        <v>10.98</v>
      </c>
      <c r="E605" s="354" t="s">
        <v>102</v>
      </c>
      <c r="F605" s="355">
        <f>WORK!K2120</f>
        <v>2839.34</v>
      </c>
      <c r="G605" s="353">
        <f t="shared" si="22"/>
        <v>31176</v>
      </c>
      <c r="H605" s="708" t="s">
        <v>2226</v>
      </c>
    </row>
    <row r="606" spans="1:10" s="360" customFormat="1" hidden="1">
      <c r="A606" s="356" t="s">
        <v>1595</v>
      </c>
      <c r="B606" s="927"/>
      <c r="C606" s="932" t="s">
        <v>2007</v>
      </c>
      <c r="D606" s="358">
        <f>WORK!I2259</f>
        <v>0</v>
      </c>
      <c r="E606" s="354" t="s">
        <v>102</v>
      </c>
      <c r="F606" s="355">
        <f>WORK!K2259</f>
        <v>2839.34</v>
      </c>
      <c r="H606" s="708" t="s">
        <v>2308</v>
      </c>
      <c r="J606" s="353">
        <f>ROUND(D606*F606,0)</f>
        <v>0</v>
      </c>
    </row>
    <row r="607" spans="1:10" s="360" customFormat="1" ht="15" hidden="1" customHeight="1">
      <c r="A607" s="356" t="s">
        <v>1595</v>
      </c>
      <c r="B607" s="927"/>
      <c r="C607" s="932" t="s">
        <v>2007</v>
      </c>
      <c r="D607" s="358">
        <f>WORK!I2394</f>
        <v>0</v>
      </c>
      <c r="E607" s="354" t="s">
        <v>102</v>
      </c>
      <c r="F607" s="355">
        <f>WORK!K2394</f>
        <v>3034.69</v>
      </c>
      <c r="G607" s="353">
        <f t="shared" ref="G607:G638" si="23">ROUND(D607*F607,0)</f>
        <v>0</v>
      </c>
      <c r="H607" s="708" t="s">
        <v>2321</v>
      </c>
    </row>
    <row r="608" spans="1:10" s="360" customFormat="1" ht="15" hidden="1" customHeight="1">
      <c r="A608" s="356" t="s">
        <v>1595</v>
      </c>
      <c r="B608" s="927"/>
      <c r="C608" s="932" t="s">
        <v>2007</v>
      </c>
      <c r="D608" s="358">
        <f>WORK!I2533</f>
        <v>0</v>
      </c>
      <c r="E608" s="354" t="s">
        <v>102</v>
      </c>
      <c r="F608" s="355">
        <f>WORK!K2533</f>
        <v>3345.94</v>
      </c>
      <c r="G608" s="353">
        <f t="shared" si="23"/>
        <v>0</v>
      </c>
      <c r="H608" s="708" t="s">
        <v>2322</v>
      </c>
    </row>
    <row r="609" spans="1:8" s="360" customFormat="1" ht="15" hidden="1" customHeight="1">
      <c r="A609" s="356" t="s">
        <v>642</v>
      </c>
      <c r="B609" s="927"/>
      <c r="C609" s="932" t="s">
        <v>2083</v>
      </c>
      <c r="D609" s="358">
        <f>WORK!I2128</f>
        <v>0</v>
      </c>
      <c r="E609" s="354" t="s">
        <v>102</v>
      </c>
      <c r="F609" s="355">
        <f>WORK!K2128</f>
        <v>1258.8900000000001</v>
      </c>
      <c r="G609" s="353">
        <f t="shared" si="23"/>
        <v>0</v>
      </c>
      <c r="H609" s="708" t="s">
        <v>2226</v>
      </c>
    </row>
    <row r="610" spans="1:8" s="360" customFormat="1" ht="15" hidden="1" customHeight="1">
      <c r="A610" s="356" t="s">
        <v>642</v>
      </c>
      <c r="B610" s="927"/>
      <c r="C610" s="932" t="s">
        <v>2083</v>
      </c>
      <c r="D610" s="358">
        <f>WORK!I2267</f>
        <v>0</v>
      </c>
      <c r="E610" s="354" t="s">
        <v>102</v>
      </c>
      <c r="F610" s="355">
        <f>WORK!K2267</f>
        <v>1258.8900000000001</v>
      </c>
      <c r="G610" s="353">
        <f t="shared" si="23"/>
        <v>0</v>
      </c>
      <c r="H610" s="708" t="s">
        <v>2308</v>
      </c>
    </row>
    <row r="611" spans="1:8" s="360" customFormat="1" ht="15" hidden="1" customHeight="1">
      <c r="A611" s="356" t="s">
        <v>642</v>
      </c>
      <c r="B611" s="927"/>
      <c r="C611" s="932" t="s">
        <v>2083</v>
      </c>
      <c r="D611" s="358">
        <f>WORK!I2402</f>
        <v>0</v>
      </c>
      <c r="E611" s="354" t="s">
        <v>102</v>
      </c>
      <c r="F611" s="355">
        <f>WORK!K2402</f>
        <v>1357.37</v>
      </c>
      <c r="G611" s="353">
        <f t="shared" si="23"/>
        <v>0</v>
      </c>
      <c r="H611" s="708" t="s">
        <v>2321</v>
      </c>
    </row>
    <row r="612" spans="1:8" s="360" customFormat="1" ht="15" hidden="1" customHeight="1">
      <c r="A612" s="356" t="s">
        <v>642</v>
      </c>
      <c r="B612" s="927"/>
      <c r="C612" s="932" t="s">
        <v>2083</v>
      </c>
      <c r="D612" s="358">
        <f>WORK!I2541</f>
        <v>0</v>
      </c>
      <c r="E612" s="354" t="s">
        <v>102</v>
      </c>
      <c r="F612" s="355">
        <f>WORK!K2541</f>
        <v>1514.34</v>
      </c>
      <c r="G612" s="353">
        <f t="shared" si="23"/>
        <v>0</v>
      </c>
      <c r="H612" s="708" t="s">
        <v>2322</v>
      </c>
    </row>
    <row r="613" spans="1:8" s="360" customFormat="1" ht="15" hidden="1" customHeight="1">
      <c r="A613" s="356" t="s">
        <v>642</v>
      </c>
      <c r="B613" s="927" t="s">
        <v>2660</v>
      </c>
      <c r="C613" s="707" t="s">
        <v>2297</v>
      </c>
      <c r="D613" s="358">
        <f>WORK!I2133</f>
        <v>0</v>
      </c>
      <c r="E613" s="354" t="s">
        <v>872</v>
      </c>
      <c r="F613" s="355">
        <f>WORK!K2133</f>
        <v>470.28</v>
      </c>
      <c r="G613" s="353">
        <f t="shared" si="23"/>
        <v>0</v>
      </c>
      <c r="H613" s="708" t="s">
        <v>2226</v>
      </c>
    </row>
    <row r="614" spans="1:8" s="360" customFormat="1" ht="15" hidden="1" customHeight="1">
      <c r="A614" s="356" t="s">
        <v>642</v>
      </c>
      <c r="B614" s="927" t="s">
        <v>2660</v>
      </c>
      <c r="C614" s="707" t="s">
        <v>2297</v>
      </c>
      <c r="D614" s="358">
        <f>WORK!I2272</f>
        <v>0</v>
      </c>
      <c r="E614" s="354" t="s">
        <v>872</v>
      </c>
      <c r="F614" s="355">
        <f>WORK!K2272</f>
        <v>470.28</v>
      </c>
      <c r="G614" s="353">
        <f t="shared" si="23"/>
        <v>0</v>
      </c>
      <c r="H614" s="708" t="s">
        <v>2308</v>
      </c>
    </row>
    <row r="615" spans="1:8" s="360" customFormat="1" ht="15" hidden="1" customHeight="1">
      <c r="A615" s="356" t="s">
        <v>642</v>
      </c>
      <c r="B615" s="927" t="s">
        <v>2660</v>
      </c>
      <c r="C615" s="707" t="s">
        <v>2297</v>
      </c>
      <c r="D615" s="358">
        <f>WORK!I2407</f>
        <v>0</v>
      </c>
      <c r="E615" s="354" t="s">
        <v>872</v>
      </c>
      <c r="F615" s="355">
        <f>WORK!K2407</f>
        <v>508</v>
      </c>
      <c r="G615" s="353">
        <f t="shared" si="23"/>
        <v>0</v>
      </c>
      <c r="H615" s="708" t="s">
        <v>2321</v>
      </c>
    </row>
    <row r="616" spans="1:8" s="360" customFormat="1" ht="15" hidden="1" customHeight="1">
      <c r="A616" s="356" t="s">
        <v>642</v>
      </c>
      <c r="B616" s="927" t="s">
        <v>2660</v>
      </c>
      <c r="C616" s="707" t="s">
        <v>2297</v>
      </c>
      <c r="D616" s="358">
        <f>WORK!I2546</f>
        <v>0</v>
      </c>
      <c r="E616" s="354" t="s">
        <v>872</v>
      </c>
      <c r="F616" s="355">
        <f>WORK!K2546</f>
        <v>568.35</v>
      </c>
      <c r="G616" s="353">
        <f t="shared" si="23"/>
        <v>0</v>
      </c>
      <c r="H616" s="708" t="s">
        <v>2322</v>
      </c>
    </row>
    <row r="617" spans="1:8" s="360" customFormat="1" ht="15" hidden="1" customHeight="1">
      <c r="A617" s="356" t="s">
        <v>1151</v>
      </c>
      <c r="B617" s="927"/>
      <c r="C617" s="707" t="s">
        <v>962</v>
      </c>
      <c r="D617" s="429">
        <f>WORK!I2138</f>
        <v>10.5</v>
      </c>
      <c r="E617" s="221" t="s">
        <v>277</v>
      </c>
      <c r="F617" s="430">
        <f>WORK!K2138</f>
        <v>412</v>
      </c>
      <c r="G617" s="353">
        <f t="shared" si="23"/>
        <v>4326</v>
      </c>
      <c r="H617" s="708" t="s">
        <v>2226</v>
      </c>
    </row>
    <row r="618" spans="1:8" s="360" customFormat="1" ht="15" hidden="1" customHeight="1">
      <c r="A618" s="356" t="s">
        <v>1151</v>
      </c>
      <c r="B618" s="927"/>
      <c r="C618" s="707" t="s">
        <v>962</v>
      </c>
      <c r="D618" s="429">
        <f>WORK!I2280</f>
        <v>0</v>
      </c>
      <c r="E618" s="221" t="s">
        <v>277</v>
      </c>
      <c r="F618" s="430">
        <f>WORK!K2280</f>
        <v>412</v>
      </c>
      <c r="G618" s="353">
        <f t="shared" si="23"/>
        <v>0</v>
      </c>
      <c r="H618" s="708" t="s">
        <v>2308</v>
      </c>
    </row>
    <row r="619" spans="1:8" s="360" customFormat="1" ht="15" hidden="1" customHeight="1">
      <c r="A619" s="356" t="s">
        <v>1151</v>
      </c>
      <c r="B619" s="927"/>
      <c r="C619" s="707" t="s">
        <v>962</v>
      </c>
      <c r="D619" s="429">
        <f>WORK!I2415</f>
        <v>0</v>
      </c>
      <c r="E619" s="221" t="s">
        <v>277</v>
      </c>
      <c r="F619" s="430">
        <f>WORK!K2415</f>
        <v>438</v>
      </c>
      <c r="G619" s="353">
        <f t="shared" si="23"/>
        <v>0</v>
      </c>
      <c r="H619" s="708" t="s">
        <v>2321</v>
      </c>
    </row>
    <row r="620" spans="1:8" s="360" customFormat="1" ht="15" hidden="1" customHeight="1">
      <c r="A620" s="356" t="s">
        <v>1151</v>
      </c>
      <c r="B620" s="927"/>
      <c r="C620" s="707" t="s">
        <v>962</v>
      </c>
      <c r="D620" s="429">
        <f>WORK!I2554</f>
        <v>0</v>
      </c>
      <c r="E620" s="221" t="s">
        <v>277</v>
      </c>
      <c r="F620" s="430">
        <f>WORK!K2554</f>
        <v>453</v>
      </c>
      <c r="G620" s="353">
        <f t="shared" si="23"/>
        <v>0</v>
      </c>
      <c r="H620" s="708" t="s">
        <v>2322</v>
      </c>
    </row>
    <row r="621" spans="1:8" s="26" customFormat="1" ht="25.5" hidden="1">
      <c r="A621" s="23"/>
      <c r="B621" s="23"/>
      <c r="C621" s="702" t="s">
        <v>523</v>
      </c>
      <c r="D621" s="726"/>
      <c r="E621" s="727"/>
      <c r="F621" s="728"/>
      <c r="G621" s="11">
        <f t="shared" si="23"/>
        <v>0</v>
      </c>
      <c r="H621" s="708" t="s">
        <v>2226</v>
      </c>
    </row>
    <row r="622" spans="1:8" s="360" customFormat="1" hidden="1">
      <c r="A622" s="356" t="s">
        <v>512</v>
      </c>
      <c r="B622" s="927" t="s">
        <v>2661</v>
      </c>
      <c r="C622" s="707" t="s">
        <v>543</v>
      </c>
      <c r="D622" s="358">
        <f>WORK!I2560</f>
        <v>0</v>
      </c>
      <c r="E622" s="354" t="s">
        <v>277</v>
      </c>
      <c r="F622" s="355">
        <f>WORK!K2560</f>
        <v>193</v>
      </c>
      <c r="G622" s="353">
        <f t="shared" si="23"/>
        <v>0</v>
      </c>
      <c r="H622" s="708" t="s">
        <v>2226</v>
      </c>
    </row>
    <row r="623" spans="1:8" s="360" customFormat="1" ht="15" hidden="1" customHeight="1">
      <c r="A623" s="356" t="s">
        <v>1518</v>
      </c>
      <c r="B623" s="927" t="s">
        <v>2661</v>
      </c>
      <c r="C623" s="707" t="s">
        <v>543</v>
      </c>
      <c r="D623" s="358">
        <f>WORK!I2698</f>
        <v>0</v>
      </c>
      <c r="E623" s="354" t="s">
        <v>277</v>
      </c>
      <c r="F623" s="355">
        <f>WORK!K2698</f>
        <v>193</v>
      </c>
      <c r="G623" s="353">
        <f t="shared" si="23"/>
        <v>0</v>
      </c>
      <c r="H623" s="708" t="s">
        <v>2308</v>
      </c>
    </row>
    <row r="624" spans="1:8" s="360" customFormat="1" ht="15" hidden="1" customHeight="1">
      <c r="A624" s="356" t="s">
        <v>1518</v>
      </c>
      <c r="B624" s="927" t="s">
        <v>2661</v>
      </c>
      <c r="C624" s="707" t="s">
        <v>543</v>
      </c>
      <c r="D624" s="358">
        <f>WORK!I2836</f>
        <v>0</v>
      </c>
      <c r="E624" s="354" t="s">
        <v>277</v>
      </c>
      <c r="F624" s="355">
        <f>WORK!K2836</f>
        <v>202</v>
      </c>
      <c r="G624" s="353">
        <f t="shared" si="23"/>
        <v>0</v>
      </c>
      <c r="H624" s="708" t="s">
        <v>2321</v>
      </c>
    </row>
    <row r="625" spans="1:8" s="360" customFormat="1" ht="15" hidden="1" customHeight="1">
      <c r="A625" s="356" t="s">
        <v>1518</v>
      </c>
      <c r="B625" s="927" t="s">
        <v>2661</v>
      </c>
      <c r="C625" s="707" t="s">
        <v>543</v>
      </c>
      <c r="D625" s="358">
        <f>WORK!I2978</f>
        <v>0</v>
      </c>
      <c r="E625" s="354" t="s">
        <v>277</v>
      </c>
      <c r="F625" s="355">
        <f>WORK!K2978</f>
        <v>214</v>
      </c>
      <c r="G625" s="353">
        <f t="shared" si="23"/>
        <v>0</v>
      </c>
      <c r="H625" s="708" t="s">
        <v>2322</v>
      </c>
    </row>
    <row r="626" spans="1:8" s="360" customFormat="1" hidden="1">
      <c r="A626" s="356" t="s">
        <v>513</v>
      </c>
      <c r="B626" s="927" t="s">
        <v>2662</v>
      </c>
      <c r="C626" s="707" t="s">
        <v>544</v>
      </c>
      <c r="D626" s="358">
        <f>WORK!I2565</f>
        <v>0</v>
      </c>
      <c r="E626" s="354" t="s">
        <v>277</v>
      </c>
      <c r="F626" s="355">
        <f>WORK!K2565</f>
        <v>123</v>
      </c>
      <c r="G626" s="353">
        <f t="shared" si="23"/>
        <v>0</v>
      </c>
      <c r="H626" s="708" t="s">
        <v>2226</v>
      </c>
    </row>
    <row r="627" spans="1:8" s="360" customFormat="1" hidden="1">
      <c r="A627" s="356" t="s">
        <v>528</v>
      </c>
      <c r="B627" s="927" t="s">
        <v>2662</v>
      </c>
      <c r="C627" s="707" t="s">
        <v>544</v>
      </c>
      <c r="D627" s="358">
        <f>WORK!I2703</f>
        <v>0</v>
      </c>
      <c r="E627" s="354" t="s">
        <v>277</v>
      </c>
      <c r="F627" s="355">
        <f>WORK!K2703</f>
        <v>123</v>
      </c>
      <c r="G627" s="353">
        <f t="shared" si="23"/>
        <v>0</v>
      </c>
      <c r="H627" s="708" t="s">
        <v>2308</v>
      </c>
    </row>
    <row r="628" spans="1:8" s="360" customFormat="1" ht="15" hidden="1" customHeight="1">
      <c r="A628" s="356" t="s">
        <v>1146</v>
      </c>
      <c r="B628" s="927" t="s">
        <v>2662</v>
      </c>
      <c r="C628" s="707" t="s">
        <v>544</v>
      </c>
      <c r="D628" s="358">
        <f>WORK!I2841</f>
        <v>0</v>
      </c>
      <c r="E628" s="354" t="s">
        <v>277</v>
      </c>
      <c r="F628" s="355">
        <f>WORK!K2841</f>
        <v>129</v>
      </c>
      <c r="G628" s="353">
        <f t="shared" si="23"/>
        <v>0</v>
      </c>
      <c r="H628" s="708" t="s">
        <v>2321</v>
      </c>
    </row>
    <row r="629" spans="1:8" s="360" customFormat="1" ht="15" hidden="1" customHeight="1">
      <c r="A629" s="356" t="s">
        <v>1146</v>
      </c>
      <c r="B629" s="927" t="s">
        <v>2662</v>
      </c>
      <c r="C629" s="707" t="s">
        <v>544</v>
      </c>
      <c r="D629" s="358">
        <f>WORK!I2983</f>
        <v>0</v>
      </c>
      <c r="E629" s="354" t="s">
        <v>277</v>
      </c>
      <c r="F629" s="355">
        <f>WORK!K2983</f>
        <v>136</v>
      </c>
      <c r="G629" s="353">
        <f t="shared" si="23"/>
        <v>0</v>
      </c>
      <c r="H629" s="708" t="s">
        <v>2322</v>
      </c>
    </row>
    <row r="630" spans="1:8" s="360" customFormat="1" ht="15" hidden="1" customHeight="1">
      <c r="A630" s="356" t="s">
        <v>514</v>
      </c>
      <c r="B630" s="927" t="s">
        <v>2663</v>
      </c>
      <c r="C630" s="707" t="s">
        <v>2008</v>
      </c>
      <c r="D630" s="358">
        <f>WORK!I2570</f>
        <v>0</v>
      </c>
      <c r="E630" s="354" t="s">
        <v>277</v>
      </c>
      <c r="F630" s="355">
        <f>WORK!K2570</f>
        <v>85</v>
      </c>
      <c r="G630" s="353">
        <f t="shared" si="23"/>
        <v>0</v>
      </c>
      <c r="H630" s="708" t="s">
        <v>2226</v>
      </c>
    </row>
    <row r="631" spans="1:8" s="360" customFormat="1" ht="15" hidden="1" customHeight="1">
      <c r="A631" s="356" t="s">
        <v>1582</v>
      </c>
      <c r="B631" s="927" t="s">
        <v>2663</v>
      </c>
      <c r="C631" s="707" t="s">
        <v>2008</v>
      </c>
      <c r="D631" s="358">
        <f>WORK!I2708</f>
        <v>0</v>
      </c>
      <c r="E631" s="354" t="s">
        <v>277</v>
      </c>
      <c r="F631" s="355">
        <f>WORK!K2708</f>
        <v>85</v>
      </c>
      <c r="G631" s="353">
        <f t="shared" si="23"/>
        <v>0</v>
      </c>
      <c r="H631" s="708" t="s">
        <v>2308</v>
      </c>
    </row>
    <row r="632" spans="1:8" s="360" customFormat="1" ht="15" hidden="1" customHeight="1">
      <c r="A632" s="356" t="s">
        <v>515</v>
      </c>
      <c r="B632" s="927" t="s">
        <v>2663</v>
      </c>
      <c r="C632" s="707" t="s">
        <v>2008</v>
      </c>
      <c r="D632" s="358">
        <f>WORK!I2847</f>
        <v>0</v>
      </c>
      <c r="E632" s="354" t="s">
        <v>277</v>
      </c>
      <c r="F632" s="355">
        <f>WORK!K2847</f>
        <v>89</v>
      </c>
      <c r="G632" s="353">
        <f t="shared" si="23"/>
        <v>0</v>
      </c>
      <c r="H632" s="708" t="s">
        <v>2321</v>
      </c>
    </row>
    <row r="633" spans="1:8" s="360" customFormat="1" ht="15" hidden="1" customHeight="1">
      <c r="A633" s="356" t="s">
        <v>1597</v>
      </c>
      <c r="B633" s="927" t="s">
        <v>2663</v>
      </c>
      <c r="C633" s="707" t="s">
        <v>2008</v>
      </c>
      <c r="D633" s="358">
        <f>WORK!I2988</f>
        <v>0</v>
      </c>
      <c r="E633" s="354" t="s">
        <v>277</v>
      </c>
      <c r="F633" s="355">
        <f>WORK!K2988</f>
        <v>94</v>
      </c>
      <c r="G633" s="353">
        <f t="shared" si="23"/>
        <v>0</v>
      </c>
      <c r="H633" s="708" t="s">
        <v>2322</v>
      </c>
    </row>
    <row r="634" spans="1:8" s="360" customFormat="1" hidden="1">
      <c r="A634" s="356" t="s">
        <v>1153</v>
      </c>
      <c r="B634" s="927"/>
      <c r="C634" s="707" t="s">
        <v>1256</v>
      </c>
      <c r="D634" s="358">
        <f>WORK!I2575</f>
        <v>0</v>
      </c>
      <c r="E634" s="354" t="s">
        <v>277</v>
      </c>
      <c r="F634" s="355">
        <f>WORK!K2575</f>
        <v>24</v>
      </c>
      <c r="G634" s="353">
        <f t="shared" si="23"/>
        <v>0</v>
      </c>
      <c r="H634" s="708" t="s">
        <v>2226</v>
      </c>
    </row>
    <row r="635" spans="1:8" s="360" customFormat="1" ht="15" hidden="1" customHeight="1">
      <c r="A635" s="356" t="s">
        <v>1153</v>
      </c>
      <c r="B635" s="927"/>
      <c r="C635" s="707" t="s">
        <v>1256</v>
      </c>
      <c r="D635" s="358">
        <f>WORK!I2713</f>
        <v>0</v>
      </c>
      <c r="E635" s="354" t="s">
        <v>277</v>
      </c>
      <c r="F635" s="355">
        <f>WORK!K2713</f>
        <v>24</v>
      </c>
      <c r="G635" s="353">
        <f t="shared" si="23"/>
        <v>0</v>
      </c>
      <c r="H635" s="708" t="s">
        <v>2308</v>
      </c>
    </row>
    <row r="636" spans="1:8" s="360" customFormat="1" ht="15" hidden="1" customHeight="1">
      <c r="A636" s="356" t="s">
        <v>1153</v>
      </c>
      <c r="B636" s="927"/>
      <c r="C636" s="707" t="s">
        <v>1256</v>
      </c>
      <c r="D636" s="358">
        <f>WORK!I2852</f>
        <v>0</v>
      </c>
      <c r="E636" s="354" t="s">
        <v>277</v>
      </c>
      <c r="F636" s="355">
        <f>WORK!K2852</f>
        <v>33</v>
      </c>
      <c r="G636" s="353">
        <f t="shared" si="23"/>
        <v>0</v>
      </c>
      <c r="H636" s="708" t="s">
        <v>2321</v>
      </c>
    </row>
    <row r="637" spans="1:8" s="360" customFormat="1" ht="15" hidden="1" customHeight="1">
      <c r="A637" s="356" t="s">
        <v>1153</v>
      </c>
      <c r="B637" s="927"/>
      <c r="C637" s="707" t="s">
        <v>1256</v>
      </c>
      <c r="D637" s="358">
        <f>WORK!I2993</f>
        <v>0</v>
      </c>
      <c r="E637" s="354" t="s">
        <v>277</v>
      </c>
      <c r="F637" s="355">
        <f>WORK!K2993</f>
        <v>35</v>
      </c>
      <c r="G637" s="353">
        <f t="shared" si="23"/>
        <v>0</v>
      </c>
      <c r="H637" s="708" t="s">
        <v>2322</v>
      </c>
    </row>
    <row r="638" spans="1:8" s="360" customFormat="1" hidden="1">
      <c r="A638" s="356" t="s">
        <v>517</v>
      </c>
      <c r="B638" s="927" t="s">
        <v>2664</v>
      </c>
      <c r="C638" s="707" t="s">
        <v>545</v>
      </c>
      <c r="D638" s="358">
        <f>WORK!I2580</f>
        <v>0</v>
      </c>
      <c r="E638" s="354" t="s">
        <v>277</v>
      </c>
      <c r="F638" s="355">
        <f>WORK!K2580</f>
        <v>31</v>
      </c>
      <c r="G638" s="353">
        <f t="shared" si="23"/>
        <v>0</v>
      </c>
      <c r="H638" s="708" t="s">
        <v>2226</v>
      </c>
    </row>
    <row r="639" spans="1:8" s="360" customFormat="1" hidden="1">
      <c r="A639" s="356" t="s">
        <v>529</v>
      </c>
      <c r="B639" s="927" t="s">
        <v>2664</v>
      </c>
      <c r="C639" s="707" t="s">
        <v>545</v>
      </c>
      <c r="D639" s="358">
        <f>WORK!I2718</f>
        <v>0</v>
      </c>
      <c r="E639" s="354" t="s">
        <v>277</v>
      </c>
      <c r="F639" s="355">
        <f>WORK!K2718</f>
        <v>31</v>
      </c>
      <c r="G639" s="353">
        <f t="shared" ref="G639:G665" si="24">ROUND(D639*F639,0)</f>
        <v>0</v>
      </c>
      <c r="H639" s="708" t="s">
        <v>2308</v>
      </c>
    </row>
    <row r="640" spans="1:8" s="360" customFormat="1" ht="15" hidden="1" customHeight="1">
      <c r="A640" s="356" t="s">
        <v>518</v>
      </c>
      <c r="B640" s="927" t="s">
        <v>2664</v>
      </c>
      <c r="C640" s="707" t="s">
        <v>545</v>
      </c>
      <c r="D640" s="358">
        <f>WORK!I2858</f>
        <v>0</v>
      </c>
      <c r="E640" s="354" t="s">
        <v>277</v>
      </c>
      <c r="F640" s="355">
        <f>WORK!K2858</f>
        <v>33</v>
      </c>
      <c r="G640" s="353">
        <f t="shared" si="24"/>
        <v>0</v>
      </c>
      <c r="H640" s="708" t="s">
        <v>2321</v>
      </c>
    </row>
    <row r="641" spans="1:8" s="360" customFormat="1" ht="15" hidden="1" customHeight="1">
      <c r="A641" s="356" t="s">
        <v>1150</v>
      </c>
      <c r="B641" s="927" t="s">
        <v>2664</v>
      </c>
      <c r="C641" s="707" t="s">
        <v>545</v>
      </c>
      <c r="D641" s="358">
        <f>WORK!I2998</f>
        <v>0</v>
      </c>
      <c r="E641" s="354" t="s">
        <v>277</v>
      </c>
      <c r="F641" s="355">
        <f>WORK!K2998</f>
        <v>33</v>
      </c>
      <c r="G641" s="353">
        <f t="shared" si="24"/>
        <v>0</v>
      </c>
      <c r="H641" s="708" t="s">
        <v>2322</v>
      </c>
    </row>
    <row r="642" spans="1:8" s="360" customFormat="1" hidden="1">
      <c r="A642" s="356" t="s">
        <v>519</v>
      </c>
      <c r="B642" s="927" t="s">
        <v>2665</v>
      </c>
      <c r="C642" s="707" t="s">
        <v>546</v>
      </c>
      <c r="D642" s="358">
        <f>WORK!I2585</f>
        <v>0</v>
      </c>
      <c r="E642" s="354" t="s">
        <v>115</v>
      </c>
      <c r="F642" s="355">
        <f>WORK!K2585</f>
        <v>349</v>
      </c>
      <c r="G642" s="353">
        <f t="shared" si="24"/>
        <v>0</v>
      </c>
      <c r="H642" s="708" t="s">
        <v>2226</v>
      </c>
    </row>
    <row r="643" spans="1:8" s="360" customFormat="1" hidden="1">
      <c r="A643" s="356" t="s">
        <v>530</v>
      </c>
      <c r="B643" s="927" t="s">
        <v>2665</v>
      </c>
      <c r="C643" s="707" t="s">
        <v>546</v>
      </c>
      <c r="D643" s="358">
        <f>WORK!I2723</f>
        <v>0</v>
      </c>
      <c r="E643" s="354" t="s">
        <v>115</v>
      </c>
      <c r="F643" s="355">
        <f>WORK!K2723</f>
        <v>349</v>
      </c>
      <c r="G643" s="353">
        <f t="shared" si="24"/>
        <v>0</v>
      </c>
      <c r="H643" s="708" t="s">
        <v>2308</v>
      </c>
    </row>
    <row r="644" spans="1:8" s="360" customFormat="1" ht="15" hidden="1" customHeight="1">
      <c r="A644" s="356" t="s">
        <v>1152</v>
      </c>
      <c r="B644" s="927" t="s">
        <v>2665</v>
      </c>
      <c r="C644" s="707" t="s">
        <v>546</v>
      </c>
      <c r="D644" s="358">
        <f>WORK!I2863</f>
        <v>0</v>
      </c>
      <c r="E644" s="354" t="s">
        <v>115</v>
      </c>
      <c r="F644" s="355">
        <f>WORK!K2863</f>
        <v>366</v>
      </c>
      <c r="G644" s="353">
        <f t="shared" si="24"/>
        <v>0</v>
      </c>
      <c r="H644" s="708" t="s">
        <v>2321</v>
      </c>
    </row>
    <row r="645" spans="1:8" s="360" customFormat="1" ht="15" hidden="1" customHeight="1">
      <c r="A645" s="356" t="s">
        <v>1152</v>
      </c>
      <c r="B645" s="927" t="s">
        <v>2665</v>
      </c>
      <c r="C645" s="707" t="s">
        <v>546</v>
      </c>
      <c r="D645" s="358">
        <f>WORK!I3003</f>
        <v>0</v>
      </c>
      <c r="E645" s="354" t="s">
        <v>115</v>
      </c>
      <c r="F645" s="355">
        <f>WORK!K3003</f>
        <v>387</v>
      </c>
      <c r="G645" s="353">
        <f t="shared" si="24"/>
        <v>0</v>
      </c>
      <c r="H645" s="708" t="s">
        <v>2322</v>
      </c>
    </row>
    <row r="646" spans="1:8" s="360" customFormat="1" ht="25.5" hidden="1">
      <c r="A646" s="356" t="s">
        <v>520</v>
      </c>
      <c r="B646" s="927" t="s">
        <v>2667</v>
      </c>
      <c r="C646" s="707" t="s">
        <v>2666</v>
      </c>
      <c r="D646" s="358">
        <f>WORK!I2590</f>
        <v>0</v>
      </c>
      <c r="E646" s="354" t="s">
        <v>115</v>
      </c>
      <c r="F646" s="355">
        <f>WORK!K2590</f>
        <v>1483</v>
      </c>
      <c r="G646" s="353">
        <f t="shared" si="24"/>
        <v>0</v>
      </c>
      <c r="H646" s="708" t="s">
        <v>2226</v>
      </c>
    </row>
    <row r="647" spans="1:8" s="360" customFormat="1" ht="25.5" hidden="1">
      <c r="A647" s="356" t="s">
        <v>530</v>
      </c>
      <c r="B647" s="927" t="s">
        <v>2667</v>
      </c>
      <c r="C647" s="707" t="s">
        <v>2666</v>
      </c>
      <c r="D647" s="358">
        <f>WORK!I2728</f>
        <v>0</v>
      </c>
      <c r="E647" s="354" t="s">
        <v>115</v>
      </c>
      <c r="F647" s="355">
        <f>WORK!K2728</f>
        <v>2769</v>
      </c>
      <c r="G647" s="353">
        <f t="shared" si="24"/>
        <v>0</v>
      </c>
      <c r="H647" s="708" t="s">
        <v>2308</v>
      </c>
    </row>
    <row r="648" spans="1:8" s="360" customFormat="1" ht="25.5" hidden="1" customHeight="1">
      <c r="A648" s="356" t="s">
        <v>499</v>
      </c>
      <c r="B648" s="927" t="s">
        <v>2667</v>
      </c>
      <c r="C648" s="707" t="s">
        <v>2666</v>
      </c>
      <c r="D648" s="358">
        <f>WORK!I2868</f>
        <v>0</v>
      </c>
      <c r="E648" s="354" t="s">
        <v>115</v>
      </c>
      <c r="F648" s="355">
        <f>WORK!K2868</f>
        <v>1554</v>
      </c>
      <c r="G648" s="353">
        <f t="shared" si="24"/>
        <v>0</v>
      </c>
      <c r="H648" s="708" t="s">
        <v>2321</v>
      </c>
    </row>
    <row r="649" spans="1:8" s="360" customFormat="1" ht="25.5" hidden="1" customHeight="1">
      <c r="A649" s="356" t="s">
        <v>499</v>
      </c>
      <c r="B649" s="927" t="s">
        <v>2667</v>
      </c>
      <c r="C649" s="707" t="s">
        <v>2666</v>
      </c>
      <c r="D649" s="358">
        <f>WORK!I3008</f>
        <v>0</v>
      </c>
      <c r="E649" s="354" t="s">
        <v>115</v>
      </c>
      <c r="F649" s="355">
        <f>WORK!K3008</f>
        <v>1644</v>
      </c>
      <c r="G649" s="353">
        <f t="shared" si="24"/>
        <v>0</v>
      </c>
      <c r="H649" s="708" t="s">
        <v>2322</v>
      </c>
    </row>
    <row r="650" spans="1:8" s="360" customFormat="1" hidden="1">
      <c r="A650" s="356" t="s">
        <v>521</v>
      </c>
      <c r="B650" s="927" t="s">
        <v>2668</v>
      </c>
      <c r="C650" s="707" t="s">
        <v>547</v>
      </c>
      <c r="D650" s="358">
        <f>WORK!I2595</f>
        <v>0</v>
      </c>
      <c r="E650" s="354" t="s">
        <v>277</v>
      </c>
      <c r="F650" s="355">
        <f>WORK!K2595</f>
        <v>136.66666666666666</v>
      </c>
      <c r="G650" s="353">
        <f t="shared" si="24"/>
        <v>0</v>
      </c>
      <c r="H650" s="708" t="s">
        <v>2226</v>
      </c>
    </row>
    <row r="651" spans="1:8" s="360" customFormat="1" hidden="1">
      <c r="A651" s="356" t="s">
        <v>531</v>
      </c>
      <c r="B651" s="927" t="s">
        <v>2668</v>
      </c>
      <c r="C651" s="707" t="s">
        <v>547</v>
      </c>
      <c r="D651" s="358">
        <f>WORK!I2733</f>
        <v>0</v>
      </c>
      <c r="E651" s="354" t="s">
        <v>277</v>
      </c>
      <c r="F651" s="355">
        <f>WORK!K2733</f>
        <v>136.66666666666666</v>
      </c>
      <c r="G651" s="353">
        <f t="shared" si="24"/>
        <v>0</v>
      </c>
      <c r="H651" s="708" t="s">
        <v>2308</v>
      </c>
    </row>
    <row r="652" spans="1:8" s="360" customFormat="1" ht="15" hidden="1" customHeight="1">
      <c r="A652" s="356" t="s">
        <v>522</v>
      </c>
      <c r="B652" s="927" t="s">
        <v>2668</v>
      </c>
      <c r="C652" s="707" t="s">
        <v>547</v>
      </c>
      <c r="D652" s="358">
        <f>WORK!I2874</f>
        <v>0</v>
      </c>
      <c r="E652" s="354" t="s">
        <v>277</v>
      </c>
      <c r="F652" s="355">
        <f>WORK!K2874</f>
        <v>142</v>
      </c>
      <c r="G652" s="353">
        <f t="shared" si="24"/>
        <v>0</v>
      </c>
      <c r="H652" s="708" t="s">
        <v>2321</v>
      </c>
    </row>
    <row r="653" spans="1:8" s="360" customFormat="1" ht="15" hidden="1" customHeight="1">
      <c r="A653" s="356" t="s">
        <v>1154</v>
      </c>
      <c r="B653" s="927" t="s">
        <v>2668</v>
      </c>
      <c r="C653" s="707" t="s">
        <v>547</v>
      </c>
      <c r="D653" s="358">
        <f>WORK!I3013</f>
        <v>0</v>
      </c>
      <c r="E653" s="354" t="s">
        <v>277</v>
      </c>
      <c r="F653" s="355">
        <f>WORK!K3013</f>
        <v>149</v>
      </c>
      <c r="G653" s="353">
        <f t="shared" si="24"/>
        <v>0</v>
      </c>
      <c r="H653" s="708" t="s">
        <v>2322</v>
      </c>
    </row>
    <row r="654" spans="1:8" s="360" customFormat="1" hidden="1">
      <c r="A654" s="356" t="s">
        <v>524</v>
      </c>
      <c r="B654" s="927"/>
      <c r="C654" s="707" t="s">
        <v>548</v>
      </c>
      <c r="D654" s="358">
        <f>WORK!I2600</f>
        <v>0</v>
      </c>
      <c r="E654" s="354" t="s">
        <v>277</v>
      </c>
      <c r="F654" s="355">
        <f>WORK!K2600</f>
        <v>129.66666666666666</v>
      </c>
      <c r="G654" s="353">
        <f t="shared" si="24"/>
        <v>0</v>
      </c>
      <c r="H654" s="708" t="s">
        <v>2226</v>
      </c>
    </row>
    <row r="655" spans="1:8" s="360" customFormat="1" ht="15" hidden="1" customHeight="1">
      <c r="A655" s="356" t="s">
        <v>1259</v>
      </c>
      <c r="B655" s="927"/>
      <c r="C655" s="707" t="s">
        <v>548</v>
      </c>
      <c r="D655" s="358">
        <f>WORK!I2738</f>
        <v>0</v>
      </c>
      <c r="E655" s="354" t="s">
        <v>277</v>
      </c>
      <c r="F655" s="355">
        <f>WORK!K2738</f>
        <v>129.66666666666666</v>
      </c>
      <c r="G655" s="353">
        <f t="shared" si="24"/>
        <v>0</v>
      </c>
      <c r="H655" s="708" t="s">
        <v>2308</v>
      </c>
    </row>
    <row r="656" spans="1:8" s="360" customFormat="1" ht="15" hidden="1" customHeight="1">
      <c r="A656" s="356" t="s">
        <v>1259</v>
      </c>
      <c r="B656" s="927"/>
      <c r="C656" s="707" t="s">
        <v>548</v>
      </c>
      <c r="D656" s="358">
        <f>WORK!I2879</f>
        <v>0</v>
      </c>
      <c r="E656" s="354" t="s">
        <v>277</v>
      </c>
      <c r="F656" s="355">
        <f>WORK!K2879</f>
        <v>135</v>
      </c>
      <c r="G656" s="353">
        <f t="shared" si="24"/>
        <v>0</v>
      </c>
      <c r="H656" s="708" t="s">
        <v>2321</v>
      </c>
    </row>
    <row r="657" spans="1:8" s="360" customFormat="1" ht="15" hidden="1" customHeight="1">
      <c r="A657" s="356" t="s">
        <v>1259</v>
      </c>
      <c r="B657" s="927"/>
      <c r="C657" s="707" t="s">
        <v>548</v>
      </c>
      <c r="D657" s="358">
        <f>WORK!I3018</f>
        <v>0</v>
      </c>
      <c r="E657" s="354" t="s">
        <v>277</v>
      </c>
      <c r="F657" s="355">
        <f>WORK!K3018</f>
        <v>141.66666666666666</v>
      </c>
      <c r="G657" s="353">
        <f t="shared" si="24"/>
        <v>0</v>
      </c>
      <c r="H657" s="708" t="s">
        <v>2322</v>
      </c>
    </row>
    <row r="658" spans="1:8" s="360" customFormat="1" hidden="1">
      <c r="A658" s="356" t="s">
        <v>525</v>
      </c>
      <c r="B658" s="927" t="s">
        <v>2669</v>
      </c>
      <c r="C658" s="707" t="s">
        <v>549</v>
      </c>
      <c r="D658" s="358">
        <f>WORK!I2605</f>
        <v>0</v>
      </c>
      <c r="E658" s="354" t="s">
        <v>277</v>
      </c>
      <c r="F658" s="355">
        <f>WORK!K2605</f>
        <v>81.333333333333329</v>
      </c>
      <c r="G658" s="353">
        <f t="shared" si="24"/>
        <v>0</v>
      </c>
      <c r="H658" s="708" t="s">
        <v>2226</v>
      </c>
    </row>
    <row r="659" spans="1:8" s="360" customFormat="1" hidden="1">
      <c r="A659" s="356" t="s">
        <v>532</v>
      </c>
      <c r="B659" s="927" t="s">
        <v>2669</v>
      </c>
      <c r="C659" s="707" t="s">
        <v>549</v>
      </c>
      <c r="D659" s="358">
        <f>WORK!I2743</f>
        <v>0</v>
      </c>
      <c r="E659" s="354" t="s">
        <v>277</v>
      </c>
      <c r="F659" s="355">
        <f>WORK!K2743</f>
        <v>81.333333333333329</v>
      </c>
      <c r="G659" s="353">
        <f t="shared" si="24"/>
        <v>0</v>
      </c>
      <c r="H659" s="708" t="s">
        <v>2308</v>
      </c>
    </row>
    <row r="660" spans="1:8" s="360" customFormat="1" ht="15" hidden="1" customHeight="1">
      <c r="A660" s="356" t="s">
        <v>526</v>
      </c>
      <c r="B660" s="927" t="s">
        <v>2669</v>
      </c>
      <c r="C660" s="707" t="s">
        <v>549</v>
      </c>
      <c r="D660" s="358">
        <f>WORK!I2885</f>
        <v>0</v>
      </c>
      <c r="E660" s="354" t="s">
        <v>277</v>
      </c>
      <c r="F660" s="355">
        <f>WORK!K2885</f>
        <v>84.666666666666671</v>
      </c>
      <c r="G660" s="353">
        <f t="shared" si="24"/>
        <v>0</v>
      </c>
      <c r="H660" s="708" t="s">
        <v>2321</v>
      </c>
    </row>
    <row r="661" spans="1:8" s="360" customFormat="1" ht="15" hidden="1" customHeight="1">
      <c r="A661" s="356" t="s">
        <v>1156</v>
      </c>
      <c r="B661" s="927" t="s">
        <v>2669</v>
      </c>
      <c r="C661" s="707" t="s">
        <v>549</v>
      </c>
      <c r="D661" s="358">
        <f>WORK!I3023</f>
        <v>0</v>
      </c>
      <c r="E661" s="354" t="s">
        <v>277</v>
      </c>
      <c r="F661" s="355">
        <f>WORK!K3023</f>
        <v>89</v>
      </c>
      <c r="G661" s="353">
        <f t="shared" si="24"/>
        <v>0</v>
      </c>
      <c r="H661" s="708" t="s">
        <v>2322</v>
      </c>
    </row>
    <row r="662" spans="1:8" s="360" customFormat="1" hidden="1">
      <c r="A662" s="356" t="s">
        <v>527</v>
      </c>
      <c r="B662" s="927" t="s">
        <v>2664</v>
      </c>
      <c r="C662" s="707" t="s">
        <v>550</v>
      </c>
      <c r="D662" s="358">
        <f>WORK!I2611</f>
        <v>0</v>
      </c>
      <c r="E662" s="354" t="s">
        <v>277</v>
      </c>
      <c r="F662" s="355">
        <f>WORK!K2611</f>
        <v>70</v>
      </c>
      <c r="G662" s="353">
        <f t="shared" si="24"/>
        <v>0</v>
      </c>
      <c r="H662" s="708" t="s">
        <v>2226</v>
      </c>
    </row>
    <row r="663" spans="1:8" s="360" customFormat="1" hidden="1">
      <c r="A663" s="356" t="s">
        <v>1583</v>
      </c>
      <c r="B663" s="927" t="s">
        <v>2664</v>
      </c>
      <c r="C663" s="707" t="s">
        <v>550</v>
      </c>
      <c r="D663" s="358">
        <f>WORK!I2749</f>
        <v>0</v>
      </c>
      <c r="E663" s="354" t="s">
        <v>277</v>
      </c>
      <c r="F663" s="355">
        <f>WORK!K2749</f>
        <v>70</v>
      </c>
      <c r="G663" s="353">
        <f t="shared" si="24"/>
        <v>0</v>
      </c>
      <c r="H663" s="708" t="s">
        <v>2308</v>
      </c>
    </row>
    <row r="664" spans="1:8" s="360" customFormat="1" ht="15" hidden="1" customHeight="1">
      <c r="A664" s="356" t="s">
        <v>1581</v>
      </c>
      <c r="B664" s="927" t="s">
        <v>2664</v>
      </c>
      <c r="C664" s="707" t="s">
        <v>550</v>
      </c>
      <c r="D664" s="358">
        <f>WORK!I2891</f>
        <v>0</v>
      </c>
      <c r="E664" s="354" t="s">
        <v>277</v>
      </c>
      <c r="F664" s="355">
        <f>WORK!K2891</f>
        <v>74</v>
      </c>
      <c r="G664" s="353">
        <f t="shared" si="24"/>
        <v>0</v>
      </c>
      <c r="H664" s="708" t="s">
        <v>2321</v>
      </c>
    </row>
    <row r="665" spans="1:8" s="360" customFormat="1" ht="15" hidden="1" customHeight="1">
      <c r="A665" s="356" t="s">
        <v>1157</v>
      </c>
      <c r="B665" s="927" t="s">
        <v>2664</v>
      </c>
      <c r="C665" s="707" t="s">
        <v>550</v>
      </c>
      <c r="D665" s="358">
        <f>WORK!I3029</f>
        <v>0</v>
      </c>
      <c r="E665" s="354" t="s">
        <v>277</v>
      </c>
      <c r="F665" s="355">
        <f>WORK!K3029</f>
        <v>79</v>
      </c>
      <c r="G665" s="353">
        <f t="shared" si="24"/>
        <v>0</v>
      </c>
      <c r="H665" s="708" t="s">
        <v>2322</v>
      </c>
    </row>
    <row r="666" spans="1:8" s="360" customFormat="1" hidden="1">
      <c r="A666" s="356" t="s">
        <v>528</v>
      </c>
      <c r="B666" s="356"/>
      <c r="C666" s="357" t="s">
        <v>2454</v>
      </c>
      <c r="D666" s="358"/>
      <c r="E666" s="354"/>
      <c r="F666" s="355"/>
      <c r="G666" s="353"/>
      <c r="H666" s="708" t="s">
        <v>2226</v>
      </c>
    </row>
    <row r="667" spans="1:8" s="360" customFormat="1" hidden="1">
      <c r="A667" s="356" t="s">
        <v>1582</v>
      </c>
      <c r="B667" s="927" t="s">
        <v>2670</v>
      </c>
      <c r="C667" s="707" t="s">
        <v>551</v>
      </c>
      <c r="D667" s="358">
        <f>WORK!I2616</f>
        <v>0</v>
      </c>
      <c r="E667" s="354" t="s">
        <v>115</v>
      </c>
      <c r="F667" s="355">
        <f>WORK!K2616</f>
        <v>4776</v>
      </c>
      <c r="G667" s="353">
        <f t="shared" ref="G667:G698" si="25">ROUND(D667*F667,0)</f>
        <v>0</v>
      </c>
      <c r="H667" s="708" t="s">
        <v>2226</v>
      </c>
    </row>
    <row r="668" spans="1:8" s="360" customFormat="1" hidden="1">
      <c r="A668" s="356" t="s">
        <v>533</v>
      </c>
      <c r="B668" s="927" t="s">
        <v>2670</v>
      </c>
      <c r="C668" s="707" t="s">
        <v>551</v>
      </c>
      <c r="D668" s="358">
        <f>WORK!I2754</f>
        <v>0</v>
      </c>
      <c r="E668" s="354" t="s">
        <v>115</v>
      </c>
      <c r="F668" s="355">
        <f>WORK!K2754</f>
        <v>4776</v>
      </c>
      <c r="G668" s="353">
        <f t="shared" si="25"/>
        <v>0</v>
      </c>
      <c r="H668" s="708" t="s">
        <v>2308</v>
      </c>
    </row>
    <row r="669" spans="1:8" s="360" customFormat="1" ht="15" hidden="1" customHeight="1">
      <c r="A669" s="356" t="s">
        <v>1158</v>
      </c>
      <c r="B669" s="927" t="s">
        <v>2670</v>
      </c>
      <c r="C669" s="707" t="s">
        <v>551</v>
      </c>
      <c r="D669" s="358">
        <f>WORK!I2896</f>
        <v>0</v>
      </c>
      <c r="E669" s="354" t="s">
        <v>115</v>
      </c>
      <c r="F669" s="355">
        <f>WORK!K2896</f>
        <v>5006</v>
      </c>
      <c r="G669" s="353">
        <f t="shared" si="25"/>
        <v>0</v>
      </c>
      <c r="H669" s="708" t="s">
        <v>2321</v>
      </c>
    </row>
    <row r="670" spans="1:8" s="360" customFormat="1" ht="15" hidden="1" customHeight="1">
      <c r="A670" s="356" t="s">
        <v>1158</v>
      </c>
      <c r="B670" s="927" t="s">
        <v>2670</v>
      </c>
      <c r="C670" s="707" t="s">
        <v>551</v>
      </c>
      <c r="D670" s="358">
        <f>WORK!I3034</f>
        <v>0</v>
      </c>
      <c r="E670" s="354" t="s">
        <v>115</v>
      </c>
      <c r="F670" s="355">
        <f>WORK!K3034</f>
        <v>5297</v>
      </c>
      <c r="G670" s="353">
        <f t="shared" si="25"/>
        <v>0</v>
      </c>
      <c r="H670" s="708" t="s">
        <v>2322</v>
      </c>
    </row>
    <row r="671" spans="1:8" s="360" customFormat="1" ht="15" hidden="1" customHeight="1">
      <c r="A671" s="356" t="s">
        <v>644</v>
      </c>
      <c r="B671" s="927" t="s">
        <v>2671</v>
      </c>
      <c r="C671" s="707" t="s">
        <v>633</v>
      </c>
      <c r="D671" s="358">
        <f>WORK!I2621</f>
        <v>0</v>
      </c>
      <c r="E671" s="354" t="s">
        <v>115</v>
      </c>
      <c r="F671" s="355">
        <f>WORK!K2621</f>
        <v>934</v>
      </c>
      <c r="G671" s="353">
        <f t="shared" si="25"/>
        <v>0</v>
      </c>
      <c r="H671" s="708" t="s">
        <v>2226</v>
      </c>
    </row>
    <row r="672" spans="1:8" s="360" customFormat="1" ht="15" hidden="1" customHeight="1">
      <c r="A672" s="356" t="s">
        <v>644</v>
      </c>
      <c r="B672" s="927" t="s">
        <v>2671</v>
      </c>
      <c r="C672" s="707" t="s">
        <v>633</v>
      </c>
      <c r="D672" s="358">
        <f>WORK!I2759</f>
        <v>0</v>
      </c>
      <c r="E672" s="354" t="s">
        <v>115</v>
      </c>
      <c r="F672" s="355">
        <f>WORK!K2759</f>
        <v>934</v>
      </c>
      <c r="G672" s="353">
        <f t="shared" si="25"/>
        <v>0</v>
      </c>
      <c r="H672" s="708" t="s">
        <v>2308</v>
      </c>
    </row>
    <row r="673" spans="1:8" s="360" customFormat="1" ht="15" hidden="1" customHeight="1">
      <c r="A673" s="356" t="s">
        <v>644</v>
      </c>
      <c r="B673" s="927" t="s">
        <v>2671</v>
      </c>
      <c r="C673" s="707" t="s">
        <v>633</v>
      </c>
      <c r="D673" s="358">
        <f>WORK!I2901</f>
        <v>0</v>
      </c>
      <c r="E673" s="354" t="s">
        <v>115</v>
      </c>
      <c r="F673" s="355">
        <f>WORK!K2901</f>
        <v>979</v>
      </c>
      <c r="G673" s="353">
        <f t="shared" si="25"/>
        <v>0</v>
      </c>
      <c r="H673" s="708" t="s">
        <v>2321</v>
      </c>
    </row>
    <row r="674" spans="1:8" s="360" customFormat="1" ht="15" hidden="1" customHeight="1">
      <c r="A674" s="356" t="s">
        <v>644</v>
      </c>
      <c r="B674" s="927" t="s">
        <v>2671</v>
      </c>
      <c r="C674" s="707" t="s">
        <v>633</v>
      </c>
      <c r="D674" s="358">
        <f>WORK!I3039</f>
        <v>0</v>
      </c>
      <c r="E674" s="354" t="s">
        <v>115</v>
      </c>
      <c r="F674" s="355">
        <f>WORK!K3039</f>
        <v>1036</v>
      </c>
      <c r="G674" s="353">
        <f t="shared" si="25"/>
        <v>0</v>
      </c>
      <c r="H674" s="708" t="s">
        <v>2322</v>
      </c>
    </row>
    <row r="675" spans="1:8" s="360" customFormat="1" hidden="1">
      <c r="A675" s="356" t="s">
        <v>529</v>
      </c>
      <c r="B675" s="927" t="s">
        <v>2672</v>
      </c>
      <c r="C675" s="707" t="s">
        <v>634</v>
      </c>
      <c r="D675" s="358">
        <f>WORK!I2631</f>
        <v>0</v>
      </c>
      <c r="E675" s="354" t="s">
        <v>115</v>
      </c>
      <c r="F675" s="355">
        <f>WORK!K2631</f>
        <v>1827</v>
      </c>
      <c r="G675" s="353">
        <f t="shared" si="25"/>
        <v>0</v>
      </c>
      <c r="H675" s="708" t="s">
        <v>2226</v>
      </c>
    </row>
    <row r="676" spans="1:8" s="360" customFormat="1" ht="15" hidden="1" customHeight="1">
      <c r="A676" s="356" t="s">
        <v>534</v>
      </c>
      <c r="B676" s="927" t="s">
        <v>2672</v>
      </c>
      <c r="C676" s="707" t="s">
        <v>634</v>
      </c>
      <c r="D676" s="358">
        <f>WORK!I2769</f>
        <v>0</v>
      </c>
      <c r="E676" s="354" t="s">
        <v>115</v>
      </c>
      <c r="F676" s="355">
        <f>WORK!K2769</f>
        <v>1827</v>
      </c>
      <c r="G676" s="353">
        <f t="shared" si="25"/>
        <v>0</v>
      </c>
      <c r="H676" s="708" t="s">
        <v>2308</v>
      </c>
    </row>
    <row r="677" spans="1:8" s="360" customFormat="1" ht="15" hidden="1" customHeight="1">
      <c r="A677" s="356" t="s">
        <v>1158</v>
      </c>
      <c r="B677" s="927" t="s">
        <v>2672</v>
      </c>
      <c r="C677" s="707" t="s">
        <v>634</v>
      </c>
      <c r="D677" s="358">
        <f>WORK!I2911</f>
        <v>0</v>
      </c>
      <c r="E677" s="354" t="s">
        <v>115</v>
      </c>
      <c r="F677" s="355">
        <f>WORK!K2911</f>
        <v>1915</v>
      </c>
      <c r="G677" s="353">
        <f t="shared" si="25"/>
        <v>0</v>
      </c>
      <c r="H677" s="708" t="s">
        <v>2321</v>
      </c>
    </row>
    <row r="678" spans="1:8" s="360" customFormat="1" ht="15" hidden="1" customHeight="1">
      <c r="A678" s="356" t="s">
        <v>1158</v>
      </c>
      <c r="B678" s="927" t="s">
        <v>2672</v>
      </c>
      <c r="C678" s="707" t="s">
        <v>634</v>
      </c>
      <c r="D678" s="358">
        <f>WORK!I3049</f>
        <v>0</v>
      </c>
      <c r="E678" s="354" t="s">
        <v>115</v>
      </c>
      <c r="F678" s="355">
        <f>WORK!K3049</f>
        <v>2025</v>
      </c>
      <c r="G678" s="353">
        <f t="shared" si="25"/>
        <v>0</v>
      </c>
      <c r="H678" s="708" t="s">
        <v>2322</v>
      </c>
    </row>
    <row r="679" spans="1:8" s="360" customFormat="1" ht="15" hidden="1" customHeight="1">
      <c r="A679" s="356" t="s">
        <v>1598</v>
      </c>
      <c r="B679" s="927" t="s">
        <v>2673</v>
      </c>
      <c r="C679" s="707" t="s">
        <v>1257</v>
      </c>
      <c r="D679" s="358">
        <f>WORK!I2626</f>
        <v>0</v>
      </c>
      <c r="E679" s="354" t="s">
        <v>115</v>
      </c>
      <c r="F679" s="355">
        <f>WORK!K2626</f>
        <v>2385</v>
      </c>
      <c r="G679" s="353">
        <f t="shared" si="25"/>
        <v>0</v>
      </c>
      <c r="H679" s="708" t="s">
        <v>2226</v>
      </c>
    </row>
    <row r="680" spans="1:8" s="360" customFormat="1" hidden="1">
      <c r="A680" s="356" t="s">
        <v>534</v>
      </c>
      <c r="B680" s="927" t="s">
        <v>2673</v>
      </c>
      <c r="C680" s="707" t="s">
        <v>1257</v>
      </c>
      <c r="D680" s="358">
        <f>WORK!I2764</f>
        <v>0</v>
      </c>
      <c r="E680" s="354" t="s">
        <v>115</v>
      </c>
      <c r="F680" s="355">
        <f>WORK!K2764</f>
        <v>2385</v>
      </c>
      <c r="G680" s="353">
        <f t="shared" si="25"/>
        <v>0</v>
      </c>
      <c r="H680" s="708" t="s">
        <v>2308</v>
      </c>
    </row>
    <row r="681" spans="1:8" s="360" customFormat="1" ht="15" hidden="1" customHeight="1">
      <c r="A681" s="356" t="s">
        <v>1598</v>
      </c>
      <c r="B681" s="927" t="s">
        <v>2673</v>
      </c>
      <c r="C681" s="707" t="s">
        <v>1257</v>
      </c>
      <c r="D681" s="358">
        <f>WORK!I2906</f>
        <v>0</v>
      </c>
      <c r="E681" s="354" t="s">
        <v>115</v>
      </c>
      <c r="F681" s="355">
        <f>WORK!K2906</f>
        <v>2499</v>
      </c>
      <c r="G681" s="353">
        <f t="shared" si="25"/>
        <v>0</v>
      </c>
      <c r="H681" s="708" t="s">
        <v>2321</v>
      </c>
    </row>
    <row r="682" spans="1:8" s="360" customFormat="1" ht="15" hidden="1" customHeight="1">
      <c r="A682" s="356" t="s">
        <v>1598</v>
      </c>
      <c r="B682" s="927" t="s">
        <v>2673</v>
      </c>
      <c r="C682" s="707" t="s">
        <v>1257</v>
      </c>
      <c r="D682" s="358">
        <f>WORK!I3044</f>
        <v>0</v>
      </c>
      <c r="E682" s="354" t="s">
        <v>115</v>
      </c>
      <c r="F682" s="355">
        <f>WORK!K3044</f>
        <v>2644</v>
      </c>
      <c r="G682" s="353">
        <f t="shared" si="25"/>
        <v>0</v>
      </c>
      <c r="H682" s="708" t="s">
        <v>2322</v>
      </c>
    </row>
    <row r="683" spans="1:8" s="360" customFormat="1" hidden="1">
      <c r="A683" s="356" t="s">
        <v>530</v>
      </c>
      <c r="B683" s="927" t="s">
        <v>2674</v>
      </c>
      <c r="C683" s="707" t="s">
        <v>719</v>
      </c>
      <c r="D683" s="358">
        <f>WORK!I2636</f>
        <v>0</v>
      </c>
      <c r="E683" s="354" t="s">
        <v>115</v>
      </c>
      <c r="F683" s="355">
        <f>WORK!K2636</f>
        <v>122</v>
      </c>
      <c r="G683" s="353">
        <f t="shared" si="25"/>
        <v>0</v>
      </c>
      <c r="H683" s="708" t="s">
        <v>2226</v>
      </c>
    </row>
    <row r="684" spans="1:8" s="360" customFormat="1" hidden="1">
      <c r="A684" s="356" t="s">
        <v>642</v>
      </c>
      <c r="B684" s="927" t="s">
        <v>2674</v>
      </c>
      <c r="C684" s="707" t="s">
        <v>719</v>
      </c>
      <c r="D684" s="358">
        <f>WORK!I2774</f>
        <v>0</v>
      </c>
      <c r="E684" s="354" t="s">
        <v>115</v>
      </c>
      <c r="F684" s="355">
        <f>WORK!K2774</f>
        <v>86</v>
      </c>
      <c r="G684" s="353">
        <f t="shared" si="25"/>
        <v>0</v>
      </c>
      <c r="H684" s="708" t="s">
        <v>2308</v>
      </c>
    </row>
    <row r="685" spans="1:8" s="360" customFormat="1" ht="15" hidden="1" customHeight="1">
      <c r="A685" s="356" t="s">
        <v>1260</v>
      </c>
      <c r="B685" s="927" t="s">
        <v>2674</v>
      </c>
      <c r="C685" s="707" t="s">
        <v>719</v>
      </c>
      <c r="D685" s="358">
        <f>WORK!I2916</f>
        <v>0</v>
      </c>
      <c r="E685" s="354" t="s">
        <v>115</v>
      </c>
      <c r="F685" s="355">
        <f>WORK!K2916</f>
        <v>89</v>
      </c>
      <c r="G685" s="353">
        <f t="shared" si="25"/>
        <v>0</v>
      </c>
      <c r="H685" s="708" t="s">
        <v>2321</v>
      </c>
    </row>
    <row r="686" spans="1:8" s="360" customFormat="1" ht="15" hidden="1" customHeight="1">
      <c r="A686" s="356" t="s">
        <v>1260</v>
      </c>
      <c r="B686" s="927" t="s">
        <v>2674</v>
      </c>
      <c r="C686" s="707" t="s">
        <v>719</v>
      </c>
      <c r="D686" s="358">
        <f>WORK!I3054</f>
        <v>0</v>
      </c>
      <c r="E686" s="354" t="s">
        <v>115</v>
      </c>
      <c r="F686" s="355">
        <f>WORK!K3054</f>
        <v>93</v>
      </c>
      <c r="G686" s="353">
        <f t="shared" si="25"/>
        <v>0</v>
      </c>
      <c r="H686" s="708" t="s">
        <v>2322</v>
      </c>
    </row>
    <row r="687" spans="1:8" s="360" customFormat="1" hidden="1">
      <c r="A687" s="356" t="s">
        <v>532</v>
      </c>
      <c r="B687" s="927" t="s">
        <v>2675</v>
      </c>
      <c r="C687" s="707" t="s">
        <v>552</v>
      </c>
      <c r="D687" s="358">
        <f>WORK!I2641</f>
        <v>0</v>
      </c>
      <c r="E687" s="354" t="s">
        <v>574</v>
      </c>
      <c r="F687" s="355">
        <f>WORK!K2641</f>
        <v>6</v>
      </c>
      <c r="G687" s="353">
        <f t="shared" si="25"/>
        <v>0</v>
      </c>
      <c r="H687" s="708" t="s">
        <v>2226</v>
      </c>
    </row>
    <row r="688" spans="1:8" s="360" customFormat="1" hidden="1">
      <c r="A688" s="356" t="s">
        <v>643</v>
      </c>
      <c r="B688" s="927" t="s">
        <v>2675</v>
      </c>
      <c r="C688" s="707" t="s">
        <v>552</v>
      </c>
      <c r="D688" s="358">
        <f>WORK!I2779</f>
        <v>0</v>
      </c>
      <c r="E688" s="354" t="s">
        <v>574</v>
      </c>
      <c r="F688" s="355">
        <f>WORK!K2779</f>
        <v>6</v>
      </c>
      <c r="G688" s="353">
        <f t="shared" si="25"/>
        <v>0</v>
      </c>
      <c r="H688" s="708" t="s">
        <v>2308</v>
      </c>
    </row>
    <row r="689" spans="1:10" s="360" customFormat="1" ht="15" hidden="1" customHeight="1">
      <c r="A689" s="356" t="s">
        <v>1260</v>
      </c>
      <c r="B689" s="927" t="s">
        <v>2675</v>
      </c>
      <c r="C689" s="707" t="s">
        <v>552</v>
      </c>
      <c r="D689" s="358">
        <f>WORK!I2921</f>
        <v>0</v>
      </c>
      <c r="E689" s="354" t="s">
        <v>574</v>
      </c>
      <c r="F689" s="355">
        <f>WORK!K2921</f>
        <v>6</v>
      </c>
      <c r="G689" s="353">
        <f t="shared" si="25"/>
        <v>0</v>
      </c>
      <c r="H689" s="708" t="s">
        <v>2321</v>
      </c>
    </row>
    <row r="690" spans="1:10" s="360" customFormat="1" ht="15" hidden="1" customHeight="1">
      <c r="A690" s="356" t="s">
        <v>1260</v>
      </c>
      <c r="B690" s="927" t="s">
        <v>2675</v>
      </c>
      <c r="C690" s="707" t="s">
        <v>552</v>
      </c>
      <c r="D690" s="358">
        <f>WORK!I3059</f>
        <v>0</v>
      </c>
      <c r="E690" s="354" t="s">
        <v>574</v>
      </c>
      <c r="F690" s="355">
        <f>WORK!K3059</f>
        <v>9.5</v>
      </c>
      <c r="G690" s="353">
        <f t="shared" si="25"/>
        <v>0</v>
      </c>
      <c r="H690" s="708" t="s">
        <v>2322</v>
      </c>
    </row>
    <row r="691" spans="1:10" s="360" customFormat="1" hidden="1">
      <c r="A691" s="356" t="s">
        <v>1160</v>
      </c>
      <c r="B691" s="927"/>
      <c r="C691" s="707" t="s">
        <v>553</v>
      </c>
      <c r="D691" s="358">
        <f>WORK!I2644</f>
        <v>0</v>
      </c>
      <c r="E691" s="354" t="s">
        <v>277</v>
      </c>
      <c r="F691" s="355">
        <f>WORK!K2644</f>
        <v>446.4</v>
      </c>
      <c r="H691" s="708" t="s">
        <v>2226</v>
      </c>
      <c r="J691" s="353">
        <f>ROUND(D691*F691,0)</f>
        <v>0</v>
      </c>
    </row>
    <row r="692" spans="1:10" s="360" customFormat="1" ht="15" hidden="1" customHeight="1">
      <c r="A692" s="356" t="s">
        <v>1160</v>
      </c>
      <c r="B692" s="927"/>
      <c r="C692" s="707" t="s">
        <v>553</v>
      </c>
      <c r="D692" s="358">
        <f>WORK!I2782</f>
        <v>0</v>
      </c>
      <c r="E692" s="354" t="s">
        <v>277</v>
      </c>
      <c r="F692" s="355">
        <f>WORK!K2782</f>
        <v>446.4</v>
      </c>
      <c r="H692" s="708" t="s">
        <v>2308</v>
      </c>
      <c r="J692" s="353">
        <f>ROUND(D692*F692,0)</f>
        <v>0</v>
      </c>
    </row>
    <row r="693" spans="1:10" s="360" customFormat="1" ht="15" hidden="1" customHeight="1">
      <c r="A693" s="356" t="s">
        <v>1160</v>
      </c>
      <c r="B693" s="927"/>
      <c r="C693" s="707" t="s">
        <v>553</v>
      </c>
      <c r="D693" s="358">
        <f>WORK!I2924</f>
        <v>0</v>
      </c>
      <c r="E693" s="354" t="s">
        <v>277</v>
      </c>
      <c r="F693" s="355">
        <f>WORK!K2924</f>
        <v>470</v>
      </c>
      <c r="G693" s="353">
        <f t="shared" si="25"/>
        <v>0</v>
      </c>
      <c r="H693" s="708" t="s">
        <v>2321</v>
      </c>
    </row>
    <row r="694" spans="1:10" s="360" customFormat="1" ht="15" hidden="1" customHeight="1">
      <c r="A694" s="356" t="s">
        <v>1160</v>
      </c>
      <c r="B694" s="927"/>
      <c r="C694" s="707" t="s">
        <v>553</v>
      </c>
      <c r="D694" s="358">
        <f>WORK!I3062</f>
        <v>0</v>
      </c>
      <c r="E694" s="354" t="s">
        <v>277</v>
      </c>
      <c r="F694" s="355">
        <f>WORK!K3062</f>
        <v>446.4</v>
      </c>
      <c r="G694" s="353">
        <f t="shared" si="25"/>
        <v>0</v>
      </c>
      <c r="H694" s="708" t="s">
        <v>2322</v>
      </c>
    </row>
    <row r="695" spans="1:10" s="360" customFormat="1" ht="15" hidden="1" customHeight="1">
      <c r="A695" s="356" t="s">
        <v>524</v>
      </c>
      <c r="B695" s="927"/>
      <c r="C695" s="707" t="s">
        <v>553</v>
      </c>
      <c r="D695" s="358">
        <f>WORK!I2645</f>
        <v>0</v>
      </c>
      <c r="E695" s="354" t="s">
        <v>277</v>
      </c>
      <c r="F695" s="355">
        <f>WORK!K2645</f>
        <v>477.6</v>
      </c>
      <c r="H695" s="708" t="s">
        <v>2226</v>
      </c>
      <c r="J695" s="353">
        <f>ROUND(D695*F695,0)</f>
        <v>0</v>
      </c>
    </row>
    <row r="696" spans="1:10" s="360" customFormat="1" ht="15" hidden="1" customHeight="1">
      <c r="A696" s="356" t="s">
        <v>524</v>
      </c>
      <c r="B696" s="927"/>
      <c r="C696" s="707" t="s">
        <v>553</v>
      </c>
      <c r="D696" s="358">
        <f>WORK!I2783</f>
        <v>0</v>
      </c>
      <c r="E696" s="354" t="s">
        <v>277</v>
      </c>
      <c r="F696" s="355">
        <f>WORK!K2783</f>
        <v>477.6</v>
      </c>
      <c r="G696" s="353">
        <f t="shared" si="25"/>
        <v>0</v>
      </c>
      <c r="H696" s="708" t="s">
        <v>2308</v>
      </c>
    </row>
    <row r="697" spans="1:10" s="360" customFormat="1" ht="15" hidden="1" customHeight="1">
      <c r="A697" s="356" t="s">
        <v>524</v>
      </c>
      <c r="B697" s="927"/>
      <c r="C697" s="707" t="s">
        <v>553</v>
      </c>
      <c r="D697" s="358">
        <f>WORK!I2925</f>
        <v>0</v>
      </c>
      <c r="E697" s="354" t="s">
        <v>277</v>
      </c>
      <c r="F697" s="355">
        <f>WORK!K2925</f>
        <v>502</v>
      </c>
      <c r="G697" s="353">
        <f t="shared" si="25"/>
        <v>0</v>
      </c>
      <c r="H697" s="708" t="s">
        <v>2321</v>
      </c>
    </row>
    <row r="698" spans="1:10" s="360" customFormat="1" ht="15" hidden="1" customHeight="1">
      <c r="A698" s="356" t="s">
        <v>524</v>
      </c>
      <c r="B698" s="927"/>
      <c r="C698" s="707" t="s">
        <v>553</v>
      </c>
      <c r="D698" s="358">
        <f>WORK!I3063</f>
        <v>0</v>
      </c>
      <c r="E698" s="354" t="s">
        <v>277</v>
      </c>
      <c r="F698" s="355">
        <f>WORK!K3063</f>
        <v>477.6</v>
      </c>
      <c r="G698" s="353">
        <f t="shared" si="25"/>
        <v>0</v>
      </c>
      <c r="H698" s="708" t="s">
        <v>2322</v>
      </c>
    </row>
    <row r="699" spans="1:10" s="360" customFormat="1" ht="15" hidden="1" customHeight="1">
      <c r="A699" s="356" t="s">
        <v>525</v>
      </c>
      <c r="B699" s="927"/>
      <c r="C699" s="707" t="s">
        <v>553</v>
      </c>
      <c r="D699" s="358">
        <f>WORK!I2646</f>
        <v>0</v>
      </c>
      <c r="E699" s="354" t="s">
        <v>277</v>
      </c>
      <c r="F699" s="355">
        <f>WORK!K2646</f>
        <v>600</v>
      </c>
      <c r="G699" s="353">
        <f t="shared" ref="G699:G730" si="26">ROUND(D699*F699,0)</f>
        <v>0</v>
      </c>
      <c r="H699" s="708" t="s">
        <v>2226</v>
      </c>
    </row>
    <row r="700" spans="1:10" s="360" customFormat="1" ht="15" hidden="1" customHeight="1">
      <c r="A700" s="356" t="s">
        <v>525</v>
      </c>
      <c r="B700" s="927"/>
      <c r="C700" s="707" t="s">
        <v>553</v>
      </c>
      <c r="D700" s="358">
        <f>WORK!I2784</f>
        <v>0</v>
      </c>
      <c r="E700" s="354" t="s">
        <v>277</v>
      </c>
      <c r="F700" s="355">
        <f>WORK!K2784</f>
        <v>535.70000000000005</v>
      </c>
      <c r="G700" s="353">
        <f t="shared" si="26"/>
        <v>0</v>
      </c>
      <c r="H700" s="708" t="s">
        <v>2308</v>
      </c>
    </row>
    <row r="701" spans="1:10" s="360" customFormat="1" ht="15" hidden="1" customHeight="1">
      <c r="A701" s="356" t="s">
        <v>525</v>
      </c>
      <c r="B701" s="927"/>
      <c r="C701" s="707" t="s">
        <v>553</v>
      </c>
      <c r="D701" s="358">
        <f>WORK!I2926</f>
        <v>0</v>
      </c>
      <c r="E701" s="354" t="s">
        <v>277</v>
      </c>
      <c r="F701" s="355">
        <f>WORK!K2926</f>
        <v>563</v>
      </c>
      <c r="G701" s="353">
        <f t="shared" si="26"/>
        <v>0</v>
      </c>
      <c r="H701" s="708" t="s">
        <v>2321</v>
      </c>
    </row>
    <row r="702" spans="1:10" s="360" customFormat="1" ht="15" hidden="1" customHeight="1">
      <c r="A702" s="356" t="s">
        <v>525</v>
      </c>
      <c r="B702" s="927"/>
      <c r="C702" s="707" t="s">
        <v>553</v>
      </c>
      <c r="D702" s="358">
        <f>WORK!I3064</f>
        <v>0</v>
      </c>
      <c r="E702" s="354" t="s">
        <v>277</v>
      </c>
      <c r="F702" s="355">
        <f>WORK!K3064</f>
        <v>535.70000000000005</v>
      </c>
      <c r="G702" s="353">
        <f t="shared" si="26"/>
        <v>0</v>
      </c>
      <c r="H702" s="708" t="s">
        <v>2322</v>
      </c>
    </row>
    <row r="703" spans="1:10" s="360" customFormat="1" hidden="1">
      <c r="A703" s="356" t="s">
        <v>1261</v>
      </c>
      <c r="B703" s="927"/>
      <c r="C703" s="707" t="s">
        <v>554</v>
      </c>
      <c r="D703" s="358">
        <f>WORK!I2652</f>
        <v>0</v>
      </c>
      <c r="E703" s="354" t="s">
        <v>277</v>
      </c>
      <c r="F703" s="355">
        <f>WORK!K2652</f>
        <v>325</v>
      </c>
      <c r="H703" s="708" t="s">
        <v>2226</v>
      </c>
      <c r="J703" s="353">
        <f>ROUND(D703*F703,0)</f>
        <v>0</v>
      </c>
    </row>
    <row r="704" spans="1:10" s="360" customFormat="1" ht="15" hidden="1" customHeight="1">
      <c r="A704" s="356" t="s">
        <v>1261</v>
      </c>
      <c r="B704" s="927"/>
      <c r="C704" s="707" t="s">
        <v>554</v>
      </c>
      <c r="D704" s="358">
        <f>WORK!I2790</f>
        <v>0</v>
      </c>
      <c r="E704" s="354" t="s">
        <v>277</v>
      </c>
      <c r="F704" s="355">
        <f>WORK!K2790</f>
        <v>325</v>
      </c>
      <c r="H704" s="708" t="s">
        <v>2308</v>
      </c>
      <c r="J704" s="353">
        <f>ROUND(D704*F704,0)</f>
        <v>0</v>
      </c>
    </row>
    <row r="705" spans="1:10" s="360" customFormat="1" ht="15" hidden="1" customHeight="1">
      <c r="A705" s="356" t="s">
        <v>1261</v>
      </c>
      <c r="B705" s="927"/>
      <c r="C705" s="707" t="s">
        <v>554</v>
      </c>
      <c r="D705" s="358">
        <f>WORK!I2932</f>
        <v>0</v>
      </c>
      <c r="E705" s="354" t="s">
        <v>277</v>
      </c>
      <c r="F705" s="355">
        <f>WORK!K2932</f>
        <v>342</v>
      </c>
      <c r="G705" s="353">
        <f t="shared" si="26"/>
        <v>0</v>
      </c>
      <c r="H705" s="708" t="s">
        <v>2321</v>
      </c>
    </row>
    <row r="706" spans="1:10" s="360" customFormat="1" ht="15" hidden="1" customHeight="1">
      <c r="A706" s="356" t="s">
        <v>1261</v>
      </c>
      <c r="B706" s="927"/>
      <c r="C706" s="707" t="s">
        <v>554</v>
      </c>
      <c r="D706" s="358">
        <f>WORK!I3070</f>
        <v>0</v>
      </c>
      <c r="E706" s="354" t="s">
        <v>277</v>
      </c>
      <c r="F706" s="355">
        <f>WORK!K3070</f>
        <v>325</v>
      </c>
      <c r="G706" s="353">
        <f t="shared" si="26"/>
        <v>0</v>
      </c>
      <c r="H706" s="708" t="s">
        <v>2322</v>
      </c>
    </row>
    <row r="707" spans="1:10" s="360" customFormat="1" hidden="1">
      <c r="A707" s="356" t="s">
        <v>1161</v>
      </c>
      <c r="B707" s="927"/>
      <c r="C707" s="707" t="s">
        <v>635</v>
      </c>
      <c r="D707" s="358">
        <f>WORK!I2657</f>
        <v>0</v>
      </c>
      <c r="E707" s="354" t="s">
        <v>115</v>
      </c>
      <c r="F707" s="355">
        <f>WORK!K2657</f>
        <v>18409</v>
      </c>
      <c r="H707" s="708" t="s">
        <v>2226</v>
      </c>
      <c r="J707" s="353">
        <f>ROUND(D707*F707,0)</f>
        <v>0</v>
      </c>
    </row>
    <row r="708" spans="1:10" s="360" customFormat="1" ht="15" hidden="1" customHeight="1">
      <c r="A708" s="356" t="s">
        <v>1161</v>
      </c>
      <c r="B708" s="927"/>
      <c r="C708" s="707" t="s">
        <v>635</v>
      </c>
      <c r="D708" s="358">
        <f>WORK!I2795</f>
        <v>0</v>
      </c>
      <c r="E708" s="354" t="s">
        <v>115</v>
      </c>
      <c r="F708" s="355">
        <f>WORK!K2795</f>
        <v>18526</v>
      </c>
      <c r="H708" s="708" t="s">
        <v>2308</v>
      </c>
      <c r="J708" s="353">
        <f>ROUND(D708*F708,0)</f>
        <v>0</v>
      </c>
    </row>
    <row r="709" spans="1:10" s="360" customFormat="1" ht="15" hidden="1" customHeight="1">
      <c r="A709" s="356" t="s">
        <v>1161</v>
      </c>
      <c r="B709" s="927"/>
      <c r="C709" s="707" t="s">
        <v>635</v>
      </c>
      <c r="D709" s="358">
        <f>WORK!I2937</f>
        <v>0</v>
      </c>
      <c r="E709" s="354" t="s">
        <v>115</v>
      </c>
      <c r="F709" s="355">
        <f>WORK!K2937</f>
        <v>18370</v>
      </c>
      <c r="G709" s="353">
        <f t="shared" si="26"/>
        <v>0</v>
      </c>
      <c r="H709" s="708" t="s">
        <v>2321</v>
      </c>
    </row>
    <row r="710" spans="1:10" s="360" customFormat="1" ht="15" hidden="1" customHeight="1">
      <c r="A710" s="356" t="s">
        <v>1161</v>
      </c>
      <c r="B710" s="927"/>
      <c r="C710" s="707" t="s">
        <v>635</v>
      </c>
      <c r="D710" s="358">
        <f>WORK!I3075</f>
        <v>0</v>
      </c>
      <c r="E710" s="354" t="s">
        <v>115</v>
      </c>
      <c r="F710" s="355">
        <f>WORK!K3075</f>
        <v>18370</v>
      </c>
      <c r="G710" s="353">
        <f t="shared" si="26"/>
        <v>0</v>
      </c>
      <c r="H710" s="708" t="s">
        <v>2322</v>
      </c>
    </row>
    <row r="711" spans="1:10" s="360" customFormat="1" hidden="1">
      <c r="A711" s="356" t="s">
        <v>1599</v>
      </c>
      <c r="B711" s="927"/>
      <c r="C711" s="707" t="s">
        <v>2582</v>
      </c>
      <c r="D711" s="358">
        <f>WORK!I2662</f>
        <v>0</v>
      </c>
      <c r="E711" s="354" t="s">
        <v>277</v>
      </c>
      <c r="F711" s="355">
        <f>WORK!K2662</f>
        <v>64</v>
      </c>
      <c r="H711" s="708" t="s">
        <v>2226</v>
      </c>
      <c r="J711" s="353">
        <f>ROUND(D711*F711,0)</f>
        <v>0</v>
      </c>
    </row>
    <row r="712" spans="1:10" s="360" customFormat="1" ht="15" hidden="1" customHeight="1">
      <c r="A712" s="356" t="s">
        <v>1599</v>
      </c>
      <c r="B712" s="927"/>
      <c r="C712" s="707" t="s">
        <v>636</v>
      </c>
      <c r="D712" s="358">
        <f>WORK!I2800</f>
        <v>0</v>
      </c>
      <c r="E712" s="354" t="s">
        <v>277</v>
      </c>
      <c r="F712" s="355">
        <f>WORK!K2800</f>
        <v>59</v>
      </c>
      <c r="H712" s="708" t="s">
        <v>2308</v>
      </c>
      <c r="J712" s="353">
        <f>ROUND(D712*F712,0)</f>
        <v>0</v>
      </c>
    </row>
    <row r="713" spans="1:10" s="360" customFormat="1" ht="15" hidden="1" customHeight="1">
      <c r="A713" s="356" t="s">
        <v>1599</v>
      </c>
      <c r="B713" s="927"/>
      <c r="C713" s="707" t="s">
        <v>636</v>
      </c>
      <c r="D713" s="358">
        <f>WORK!I2942</f>
        <v>0</v>
      </c>
      <c r="E713" s="354" t="s">
        <v>277</v>
      </c>
      <c r="F713" s="355">
        <f>WORK!K2942</f>
        <v>73</v>
      </c>
      <c r="G713" s="353">
        <f t="shared" si="26"/>
        <v>0</v>
      </c>
      <c r="H713" s="708" t="s">
        <v>2321</v>
      </c>
    </row>
    <row r="714" spans="1:10" s="360" customFormat="1" ht="15" hidden="1" customHeight="1">
      <c r="A714" s="356" t="s">
        <v>1599</v>
      </c>
      <c r="B714" s="927"/>
      <c r="C714" s="707" t="s">
        <v>636</v>
      </c>
      <c r="D714" s="358">
        <f>WORK!I3080</f>
        <v>0</v>
      </c>
      <c r="E714" s="354" t="s">
        <v>277</v>
      </c>
      <c r="F714" s="355">
        <f>WORK!K3080</f>
        <v>85</v>
      </c>
      <c r="G714" s="353">
        <f t="shared" si="26"/>
        <v>0</v>
      </c>
      <c r="H714" s="708" t="s">
        <v>2322</v>
      </c>
    </row>
    <row r="715" spans="1:10" s="360" customFormat="1" hidden="1">
      <c r="A715" s="356" t="s">
        <v>1600</v>
      </c>
      <c r="B715" s="927"/>
      <c r="C715" s="707" t="s">
        <v>284</v>
      </c>
      <c r="D715" s="358">
        <f>WORK!I2667</f>
        <v>0</v>
      </c>
      <c r="E715" s="354" t="s">
        <v>115</v>
      </c>
      <c r="F715" s="355">
        <f>WORK!K2667</f>
        <v>109</v>
      </c>
      <c r="H715" s="708" t="s">
        <v>2226</v>
      </c>
      <c r="J715" s="353">
        <f>ROUND(D715*F715,0)</f>
        <v>0</v>
      </c>
    </row>
    <row r="716" spans="1:10" s="360" customFormat="1" ht="15" hidden="1" customHeight="1">
      <c r="A716" s="356" t="s">
        <v>1600</v>
      </c>
      <c r="B716" s="927"/>
      <c r="C716" s="707" t="s">
        <v>284</v>
      </c>
      <c r="D716" s="358">
        <f>WORK!I2805</f>
        <v>0</v>
      </c>
      <c r="E716" s="354" t="s">
        <v>115</v>
      </c>
      <c r="F716" s="355">
        <f>WORK!K2805</f>
        <v>300</v>
      </c>
      <c r="H716" s="708" t="s">
        <v>2308</v>
      </c>
      <c r="J716" s="353">
        <f>ROUND(D716*F716,0)</f>
        <v>0</v>
      </c>
    </row>
    <row r="717" spans="1:10" s="360" customFormat="1" ht="15" hidden="1" customHeight="1">
      <c r="A717" s="356" t="s">
        <v>1600</v>
      </c>
      <c r="B717" s="927"/>
      <c r="C717" s="707" t="s">
        <v>284</v>
      </c>
      <c r="D717" s="358">
        <f>WORK!I2947</f>
        <v>0</v>
      </c>
      <c r="E717" s="354" t="s">
        <v>115</v>
      </c>
      <c r="F717" s="355">
        <f>WORK!K2947</f>
        <v>315</v>
      </c>
      <c r="G717" s="353">
        <f t="shared" si="26"/>
        <v>0</v>
      </c>
      <c r="H717" s="708" t="s">
        <v>2321</v>
      </c>
    </row>
    <row r="718" spans="1:10" s="360" customFormat="1" ht="15" hidden="1" customHeight="1">
      <c r="A718" s="356" t="s">
        <v>1600</v>
      </c>
      <c r="B718" s="927"/>
      <c r="C718" s="707" t="s">
        <v>284</v>
      </c>
      <c r="D718" s="358">
        <f>WORK!I3085</f>
        <v>0</v>
      </c>
      <c r="E718" s="354" t="s">
        <v>115</v>
      </c>
      <c r="F718" s="355">
        <f>WORK!K3085</f>
        <v>300</v>
      </c>
      <c r="G718" s="353">
        <f t="shared" si="26"/>
        <v>0</v>
      </c>
      <c r="H718" s="708" t="s">
        <v>2322</v>
      </c>
    </row>
    <row r="719" spans="1:10" s="360" customFormat="1" hidden="1">
      <c r="A719" s="356" t="s">
        <v>2039</v>
      </c>
      <c r="B719" s="927"/>
      <c r="C719" s="707" t="s">
        <v>285</v>
      </c>
      <c r="D719" s="358">
        <f>WORK!I2672</f>
        <v>0</v>
      </c>
      <c r="E719" s="354" t="s">
        <v>115</v>
      </c>
      <c r="F719" s="355">
        <f>WORK!K2672</f>
        <v>198</v>
      </c>
      <c r="H719" s="708" t="s">
        <v>2226</v>
      </c>
      <c r="J719" s="353">
        <f>ROUND(D719*F719,0)</f>
        <v>0</v>
      </c>
    </row>
    <row r="720" spans="1:10" s="360" customFormat="1" ht="15" hidden="1" customHeight="1">
      <c r="A720" s="356" t="s">
        <v>2039</v>
      </c>
      <c r="B720" s="927"/>
      <c r="C720" s="707" t="s">
        <v>285</v>
      </c>
      <c r="D720" s="358">
        <f>WORK!I2810</f>
        <v>0</v>
      </c>
      <c r="E720" s="354" t="s">
        <v>115</v>
      </c>
      <c r="F720" s="355">
        <f>WORK!K2810</f>
        <v>400</v>
      </c>
      <c r="H720" s="708" t="s">
        <v>2308</v>
      </c>
      <c r="J720" s="353">
        <f>ROUND(D720*F720,0)</f>
        <v>0</v>
      </c>
    </row>
    <row r="721" spans="1:10" s="360" customFormat="1" ht="15" hidden="1" customHeight="1">
      <c r="A721" s="356" t="s">
        <v>2039</v>
      </c>
      <c r="B721" s="927"/>
      <c r="C721" s="707" t="s">
        <v>285</v>
      </c>
      <c r="D721" s="358">
        <f>WORK!I2952</f>
        <v>0</v>
      </c>
      <c r="E721" s="354" t="s">
        <v>115</v>
      </c>
      <c r="F721" s="355">
        <f>WORK!K2952</f>
        <v>420</v>
      </c>
      <c r="G721" s="353">
        <f t="shared" si="26"/>
        <v>0</v>
      </c>
      <c r="H721" s="708" t="s">
        <v>2321</v>
      </c>
    </row>
    <row r="722" spans="1:10" s="360" customFormat="1" ht="15" hidden="1" customHeight="1">
      <c r="A722" s="356" t="s">
        <v>2039</v>
      </c>
      <c r="B722" s="927"/>
      <c r="C722" s="707" t="s">
        <v>285</v>
      </c>
      <c r="D722" s="358">
        <f>WORK!I3090</f>
        <v>0</v>
      </c>
      <c r="E722" s="354" t="s">
        <v>115</v>
      </c>
      <c r="F722" s="355">
        <f>WORK!K3090</f>
        <v>400</v>
      </c>
      <c r="G722" s="353">
        <f t="shared" si="26"/>
        <v>0</v>
      </c>
      <c r="H722" s="708" t="s">
        <v>2322</v>
      </c>
    </row>
    <row r="723" spans="1:10" s="360" customFormat="1" hidden="1">
      <c r="A723" s="356" t="s">
        <v>1163</v>
      </c>
      <c r="B723" s="927"/>
      <c r="C723" s="707" t="s">
        <v>286</v>
      </c>
      <c r="D723" s="358">
        <f>WORK!I2677</f>
        <v>0</v>
      </c>
      <c r="E723" s="354" t="s">
        <v>115</v>
      </c>
      <c r="F723" s="355">
        <f>WORK!K2677</f>
        <v>22</v>
      </c>
      <c r="H723" s="708" t="s">
        <v>2226</v>
      </c>
      <c r="J723" s="353">
        <f>ROUND(D723*F723,0)</f>
        <v>0</v>
      </c>
    </row>
    <row r="724" spans="1:10" s="360" customFormat="1" ht="15" hidden="1" customHeight="1">
      <c r="A724" s="356" t="s">
        <v>1163</v>
      </c>
      <c r="B724" s="927"/>
      <c r="C724" s="707" t="s">
        <v>286</v>
      </c>
      <c r="D724" s="358">
        <f>WORK!I2815</f>
        <v>0</v>
      </c>
      <c r="E724" s="354" t="s">
        <v>115</v>
      </c>
      <c r="F724" s="355">
        <f>WORK!K2815</f>
        <v>70</v>
      </c>
      <c r="H724" s="708" t="s">
        <v>2308</v>
      </c>
      <c r="J724" s="353">
        <f>ROUND(D724*F724,0)</f>
        <v>0</v>
      </c>
    </row>
    <row r="725" spans="1:10" s="360" customFormat="1" ht="15" hidden="1" customHeight="1">
      <c r="A725" s="356" t="s">
        <v>1163</v>
      </c>
      <c r="B725" s="927"/>
      <c r="C725" s="707" t="s">
        <v>286</v>
      </c>
      <c r="D725" s="358">
        <f>WORK!I2957</f>
        <v>0</v>
      </c>
      <c r="E725" s="354" t="s">
        <v>115</v>
      </c>
      <c r="F725" s="355">
        <f>WORK!K2957</f>
        <v>73</v>
      </c>
      <c r="G725" s="353">
        <f t="shared" si="26"/>
        <v>0</v>
      </c>
      <c r="H725" s="708" t="s">
        <v>2321</v>
      </c>
    </row>
    <row r="726" spans="1:10" s="360" customFormat="1" ht="15" hidden="1" customHeight="1">
      <c r="A726" s="356" t="s">
        <v>1163</v>
      </c>
      <c r="B726" s="927"/>
      <c r="C726" s="707" t="s">
        <v>286</v>
      </c>
      <c r="D726" s="358">
        <f>WORK!I3095</f>
        <v>0</v>
      </c>
      <c r="E726" s="354" t="s">
        <v>115</v>
      </c>
      <c r="F726" s="355">
        <f>WORK!K3095</f>
        <v>77</v>
      </c>
      <c r="G726" s="353">
        <f t="shared" si="26"/>
        <v>0</v>
      </c>
      <c r="H726" s="708" t="s">
        <v>2322</v>
      </c>
    </row>
    <row r="727" spans="1:10" s="360" customFormat="1" hidden="1">
      <c r="A727" s="356" t="s">
        <v>2042</v>
      </c>
      <c r="B727" s="927"/>
      <c r="C727" s="707" t="s">
        <v>287</v>
      </c>
      <c r="D727" s="358">
        <f>WORK!I2682</f>
        <v>0</v>
      </c>
      <c r="E727" s="354" t="s">
        <v>115</v>
      </c>
      <c r="F727" s="355">
        <f>WORK!K2682</f>
        <v>145.19999999999999</v>
      </c>
      <c r="H727" s="708" t="s">
        <v>2226</v>
      </c>
      <c r="J727" s="353">
        <f>ROUND(D727*F727,0)</f>
        <v>0</v>
      </c>
    </row>
    <row r="728" spans="1:10" s="360" customFormat="1" ht="15" hidden="1" customHeight="1">
      <c r="A728" s="356" t="s">
        <v>2042</v>
      </c>
      <c r="B728" s="927"/>
      <c r="C728" s="707" t="s">
        <v>287</v>
      </c>
      <c r="D728" s="358">
        <f>WORK!I2820</f>
        <v>0</v>
      </c>
      <c r="E728" s="354" t="s">
        <v>115</v>
      </c>
      <c r="F728" s="355">
        <f>WORK!K2820</f>
        <v>175</v>
      </c>
      <c r="H728" s="708" t="s">
        <v>2308</v>
      </c>
      <c r="J728" s="353">
        <f>ROUND(D728*F728,0)</f>
        <v>0</v>
      </c>
    </row>
    <row r="729" spans="1:10" s="360" customFormat="1" ht="15" hidden="1" customHeight="1">
      <c r="A729" s="356" t="s">
        <v>2042</v>
      </c>
      <c r="B729" s="927"/>
      <c r="C729" s="707" t="s">
        <v>287</v>
      </c>
      <c r="D729" s="358">
        <f>WORK!I2962</f>
        <v>0</v>
      </c>
      <c r="E729" s="354" t="s">
        <v>115</v>
      </c>
      <c r="F729" s="355">
        <f>WORK!K2962</f>
        <v>177</v>
      </c>
      <c r="G729" s="353">
        <f t="shared" si="26"/>
        <v>0</v>
      </c>
      <c r="H729" s="708" t="s">
        <v>2321</v>
      </c>
    </row>
    <row r="730" spans="1:10" s="360" customFormat="1" ht="15" hidden="1" customHeight="1">
      <c r="A730" s="356" t="s">
        <v>2042</v>
      </c>
      <c r="B730" s="927"/>
      <c r="C730" s="707" t="s">
        <v>287</v>
      </c>
      <c r="D730" s="358">
        <f>WORK!I3100</f>
        <v>0</v>
      </c>
      <c r="E730" s="354" t="s">
        <v>115</v>
      </c>
      <c r="F730" s="355">
        <f>WORK!K3100</f>
        <v>194</v>
      </c>
      <c r="G730" s="353">
        <f t="shared" si="26"/>
        <v>0</v>
      </c>
      <c r="H730" s="708" t="s">
        <v>2322</v>
      </c>
    </row>
    <row r="731" spans="1:10" s="360" customFormat="1" hidden="1">
      <c r="A731" s="356" t="s">
        <v>1163</v>
      </c>
      <c r="B731" s="927"/>
      <c r="C731" s="707" t="s">
        <v>637</v>
      </c>
      <c r="D731" s="358">
        <f>WORK!I2687</f>
        <v>0</v>
      </c>
      <c r="E731" s="354" t="s">
        <v>277</v>
      </c>
      <c r="F731" s="355">
        <f>WORK!K2687</f>
        <v>80</v>
      </c>
      <c r="H731" s="708" t="s">
        <v>2226</v>
      </c>
      <c r="J731" s="353">
        <f>ROUND(D731*F731,0)</f>
        <v>0</v>
      </c>
    </row>
    <row r="732" spans="1:10" s="360" customFormat="1" ht="15" hidden="1" customHeight="1">
      <c r="A732" s="356" t="s">
        <v>1163</v>
      </c>
      <c r="B732" s="927"/>
      <c r="C732" s="707" t="s">
        <v>637</v>
      </c>
      <c r="D732" s="358">
        <f>WORK!I2825</f>
        <v>0</v>
      </c>
      <c r="E732" s="354" t="s">
        <v>277</v>
      </c>
      <c r="F732" s="355">
        <f>WORK!K2825</f>
        <v>80</v>
      </c>
      <c r="H732" s="708" t="s">
        <v>2308</v>
      </c>
      <c r="J732" s="353">
        <f>ROUND(D732*F732,0)</f>
        <v>0</v>
      </c>
    </row>
    <row r="733" spans="1:10" s="360" customFormat="1" ht="15" hidden="1" customHeight="1">
      <c r="A733" s="356" t="s">
        <v>1163</v>
      </c>
      <c r="B733" s="927"/>
      <c r="C733" s="707" t="s">
        <v>637</v>
      </c>
      <c r="D733" s="358">
        <f>WORK!I2967</f>
        <v>0</v>
      </c>
      <c r="E733" s="354" t="s">
        <v>277</v>
      </c>
      <c r="F733" s="355">
        <f>WORK!K2967</f>
        <v>92</v>
      </c>
      <c r="G733" s="353">
        <f t="shared" ref="G733:G738" si="27">ROUND(D733*F733,0)</f>
        <v>0</v>
      </c>
      <c r="H733" s="708" t="s">
        <v>2321</v>
      </c>
    </row>
    <row r="734" spans="1:10" s="360" customFormat="1" ht="15" hidden="1" customHeight="1">
      <c r="A734" s="356" t="s">
        <v>1163</v>
      </c>
      <c r="B734" s="927"/>
      <c r="C734" s="707" t="s">
        <v>637</v>
      </c>
      <c r="D734" s="358">
        <f>WORK!I3105</f>
        <v>0</v>
      </c>
      <c r="E734" s="354" t="s">
        <v>277</v>
      </c>
      <c r="F734" s="355">
        <f>WORK!K3105</f>
        <v>105</v>
      </c>
      <c r="G734" s="353">
        <f t="shared" si="27"/>
        <v>0</v>
      </c>
      <c r="H734" s="708" t="s">
        <v>2322</v>
      </c>
    </row>
    <row r="735" spans="1:10" s="360" customFormat="1" hidden="1">
      <c r="A735" s="356" t="s">
        <v>2042</v>
      </c>
      <c r="B735" s="927"/>
      <c r="C735" s="707" t="s">
        <v>638</v>
      </c>
      <c r="D735" s="358">
        <f>WORK!I2692</f>
        <v>0</v>
      </c>
      <c r="E735" s="354" t="s">
        <v>115</v>
      </c>
      <c r="F735" s="355">
        <f>WORK!K2692</f>
        <v>4500</v>
      </c>
      <c r="H735" s="708" t="s">
        <v>2226</v>
      </c>
      <c r="J735" s="353">
        <f>ROUND(D735*F735,0)</f>
        <v>0</v>
      </c>
    </row>
    <row r="736" spans="1:10" s="360" customFormat="1" ht="15" hidden="1" customHeight="1">
      <c r="A736" s="356" t="s">
        <v>2042</v>
      </c>
      <c r="B736" s="927"/>
      <c r="C736" s="707" t="s">
        <v>638</v>
      </c>
      <c r="D736" s="358">
        <f>WORK!I2830</f>
        <v>0</v>
      </c>
      <c r="E736" s="354" t="s">
        <v>115</v>
      </c>
      <c r="F736" s="355">
        <f>WORK!K2830</f>
        <v>4500</v>
      </c>
      <c r="H736" s="708" t="s">
        <v>2308</v>
      </c>
      <c r="J736" s="353">
        <f>ROUND(D736*F736,0)</f>
        <v>0</v>
      </c>
    </row>
    <row r="737" spans="1:8" s="360" customFormat="1" ht="15" hidden="1" customHeight="1">
      <c r="A737" s="356" t="s">
        <v>2042</v>
      </c>
      <c r="B737" s="927"/>
      <c r="C737" s="707" t="s">
        <v>638</v>
      </c>
      <c r="D737" s="358">
        <f>WORK!I2972</f>
        <v>0</v>
      </c>
      <c r="E737" s="354" t="s">
        <v>115</v>
      </c>
      <c r="F737" s="355">
        <f>WORK!K2972</f>
        <v>4950</v>
      </c>
      <c r="G737" s="353">
        <f t="shared" si="27"/>
        <v>0</v>
      </c>
      <c r="H737" s="708" t="s">
        <v>2321</v>
      </c>
    </row>
    <row r="738" spans="1:8" s="360" customFormat="1" ht="15" hidden="1" customHeight="1">
      <c r="A738" s="356" t="s">
        <v>2042</v>
      </c>
      <c r="B738" s="927"/>
      <c r="C738" s="707" t="s">
        <v>638</v>
      </c>
      <c r="D738" s="358">
        <f>WORK!I3110</f>
        <v>0</v>
      </c>
      <c r="E738" s="354" t="s">
        <v>115</v>
      </c>
      <c r="F738" s="355">
        <f>WORK!K3110</f>
        <v>5445</v>
      </c>
      <c r="G738" s="353">
        <f t="shared" si="27"/>
        <v>0</v>
      </c>
      <c r="H738" s="708" t="s">
        <v>2322</v>
      </c>
    </row>
    <row r="739" spans="1:8" s="26" customFormat="1" hidden="1">
      <c r="A739" s="23"/>
      <c r="B739" s="23"/>
      <c r="C739" s="702" t="s">
        <v>426</v>
      </c>
      <c r="D739" s="726"/>
      <c r="E739" s="732"/>
      <c r="F739" s="728"/>
      <c r="G739" s="11"/>
      <c r="H739" s="708" t="s">
        <v>2226</v>
      </c>
    </row>
    <row r="740" spans="1:8" s="360" customFormat="1">
      <c r="A740" s="356" t="s">
        <v>521</v>
      </c>
      <c r="B740" s="927" t="s">
        <v>2676</v>
      </c>
      <c r="C740" s="707" t="s">
        <v>555</v>
      </c>
      <c r="D740" s="358">
        <f>WORK!I3118</f>
        <v>60</v>
      </c>
      <c r="E740" s="354" t="s">
        <v>277</v>
      </c>
      <c r="F740" s="355">
        <f>WORK!K3118</f>
        <v>71.040000000000006</v>
      </c>
      <c r="G740" s="353">
        <f t="shared" ref="G740:G752" si="28">ROUND(D740*F740,0)</f>
        <v>4262</v>
      </c>
      <c r="H740" s="708" t="s">
        <v>2226</v>
      </c>
    </row>
    <row r="741" spans="1:8" s="360" customFormat="1" ht="15" hidden="1" customHeight="1">
      <c r="A741" s="356" t="s">
        <v>644</v>
      </c>
      <c r="B741" s="927" t="s">
        <v>2676</v>
      </c>
      <c r="C741" s="707" t="s">
        <v>555</v>
      </c>
      <c r="D741" s="358">
        <f>WORK!I3338</f>
        <v>0</v>
      </c>
      <c r="E741" s="354" t="s">
        <v>277</v>
      </c>
      <c r="F741" s="355">
        <f>WORK!K3338</f>
        <v>64.86</v>
      </c>
      <c r="G741" s="353">
        <f t="shared" si="28"/>
        <v>0</v>
      </c>
      <c r="H741" s="708" t="s">
        <v>2308</v>
      </c>
    </row>
    <row r="742" spans="1:8" s="360" customFormat="1" ht="15" hidden="1" customHeight="1">
      <c r="A742" s="356" t="s">
        <v>1261</v>
      </c>
      <c r="B742" s="927" t="s">
        <v>2676</v>
      </c>
      <c r="C742" s="707" t="s">
        <v>555</v>
      </c>
      <c r="D742" s="358">
        <f>WORK!I3557</f>
        <v>0</v>
      </c>
      <c r="E742" s="354" t="s">
        <v>277</v>
      </c>
      <c r="F742" s="355">
        <f>WORK!K3557</f>
        <v>69.88</v>
      </c>
      <c r="G742" s="353">
        <f t="shared" si="28"/>
        <v>0</v>
      </c>
      <c r="H742" s="708" t="s">
        <v>2321</v>
      </c>
    </row>
    <row r="743" spans="1:8" s="360" customFormat="1" ht="15" hidden="1" customHeight="1">
      <c r="A743" s="356" t="s">
        <v>1261</v>
      </c>
      <c r="B743" s="927" t="s">
        <v>2676</v>
      </c>
      <c r="C743" s="707" t="s">
        <v>555</v>
      </c>
      <c r="D743" s="358">
        <f>WORK!I3777</f>
        <v>0</v>
      </c>
      <c r="E743" s="354" t="s">
        <v>277</v>
      </c>
      <c r="F743" s="355">
        <f>WORK!K3777</f>
        <v>80.180000000000007</v>
      </c>
      <c r="G743" s="353">
        <f t="shared" si="28"/>
        <v>0</v>
      </c>
      <c r="H743" s="708" t="s">
        <v>2322</v>
      </c>
    </row>
    <row r="744" spans="1:8" s="360" customFormat="1" hidden="1">
      <c r="A744" s="356" t="s">
        <v>642</v>
      </c>
      <c r="B744" s="927" t="s">
        <v>2691</v>
      </c>
      <c r="C744" s="707" t="s">
        <v>555</v>
      </c>
      <c r="D744" s="358">
        <f>WORK!I3125</f>
        <v>60</v>
      </c>
      <c r="E744" s="354" t="s">
        <v>277</v>
      </c>
      <c r="F744" s="355">
        <f>WORK!K3125</f>
        <v>79.19</v>
      </c>
      <c r="G744" s="353">
        <f t="shared" si="28"/>
        <v>4751</v>
      </c>
      <c r="H744" s="708" t="s">
        <v>2226</v>
      </c>
    </row>
    <row r="745" spans="1:8" s="360" customFormat="1" hidden="1">
      <c r="A745" s="356" t="s">
        <v>1577</v>
      </c>
      <c r="B745" s="927" t="s">
        <v>2691</v>
      </c>
      <c r="C745" s="707" t="s">
        <v>555</v>
      </c>
      <c r="D745" s="358">
        <f>WORK!I3344</f>
        <v>0</v>
      </c>
      <c r="E745" s="354" t="s">
        <v>277</v>
      </c>
      <c r="F745" s="355">
        <f>WORK!K3344</f>
        <v>73.41</v>
      </c>
      <c r="G745" s="353">
        <f t="shared" si="28"/>
        <v>0</v>
      </c>
      <c r="H745" s="708" t="s">
        <v>2308</v>
      </c>
    </row>
    <row r="746" spans="1:8" s="360" customFormat="1" ht="15" hidden="1" customHeight="1">
      <c r="A746" s="356" t="s">
        <v>643</v>
      </c>
      <c r="B746" s="927" t="s">
        <v>2691</v>
      </c>
      <c r="C746" s="707" t="s">
        <v>555</v>
      </c>
      <c r="D746" s="358">
        <f>WORK!I3564</f>
        <v>0</v>
      </c>
      <c r="E746" s="354" t="s">
        <v>277</v>
      </c>
      <c r="F746" s="355">
        <f>WORK!K3564</f>
        <v>79.430000000000007</v>
      </c>
      <c r="G746" s="353">
        <f t="shared" si="28"/>
        <v>0</v>
      </c>
      <c r="H746" s="708" t="s">
        <v>2321</v>
      </c>
    </row>
    <row r="747" spans="1:8" s="360" customFormat="1" ht="15" hidden="1" customHeight="1">
      <c r="A747" s="356" t="s">
        <v>2085</v>
      </c>
      <c r="B747" s="927" t="s">
        <v>2691</v>
      </c>
      <c r="C747" s="707" t="s">
        <v>555</v>
      </c>
      <c r="D747" s="358">
        <f>WORK!I3784</f>
        <v>0</v>
      </c>
      <c r="E747" s="354" t="s">
        <v>277</v>
      </c>
      <c r="F747" s="355">
        <f>WORK!K3784</f>
        <v>89.61</v>
      </c>
      <c r="G747" s="353">
        <f t="shared" si="28"/>
        <v>0</v>
      </c>
      <c r="H747" s="708" t="s">
        <v>2322</v>
      </c>
    </row>
    <row r="748" spans="1:8" s="360" customFormat="1" hidden="1">
      <c r="A748" s="356" t="s">
        <v>644</v>
      </c>
      <c r="B748" s="927"/>
      <c r="C748" s="707" t="s">
        <v>572</v>
      </c>
      <c r="D748" s="358">
        <f>WORK!I3133</f>
        <v>0</v>
      </c>
      <c r="E748" s="354" t="s">
        <v>277</v>
      </c>
      <c r="F748" s="355">
        <f>WORK!K3133</f>
        <v>55</v>
      </c>
      <c r="G748" s="353">
        <f t="shared" si="28"/>
        <v>0</v>
      </c>
      <c r="H748" s="708" t="s">
        <v>2226</v>
      </c>
    </row>
    <row r="749" spans="1:8" s="360" customFormat="1" ht="15" hidden="1" customHeight="1">
      <c r="A749" s="356" t="s">
        <v>517</v>
      </c>
      <c r="B749" s="927"/>
      <c r="C749" s="707" t="s">
        <v>572</v>
      </c>
      <c r="D749" s="358">
        <f>WORK!I3352</f>
        <v>0</v>
      </c>
      <c r="E749" s="354" t="s">
        <v>277</v>
      </c>
      <c r="F749" s="355">
        <f>WORK!K3352</f>
        <v>55</v>
      </c>
      <c r="G749" s="353">
        <f t="shared" si="28"/>
        <v>0</v>
      </c>
      <c r="H749" s="708" t="s">
        <v>2308</v>
      </c>
    </row>
    <row r="750" spans="1:8" s="360" customFormat="1" ht="15" hidden="1" customHeight="1">
      <c r="A750" s="356" t="s">
        <v>517</v>
      </c>
      <c r="B750" s="927"/>
      <c r="C750" s="707" t="s">
        <v>572</v>
      </c>
      <c r="D750" s="358">
        <f>WORK!I3572</f>
        <v>0</v>
      </c>
      <c r="E750" s="354" t="s">
        <v>277</v>
      </c>
      <c r="F750" s="355">
        <f>WORK!K3572</f>
        <v>58</v>
      </c>
      <c r="G750" s="353">
        <f t="shared" si="28"/>
        <v>0</v>
      </c>
      <c r="H750" s="708" t="s">
        <v>2321</v>
      </c>
    </row>
    <row r="751" spans="1:8" s="360" customFormat="1" ht="15" hidden="1" customHeight="1">
      <c r="A751" s="356" t="s">
        <v>517</v>
      </c>
      <c r="B751" s="927"/>
      <c r="C751" s="707" t="s">
        <v>572</v>
      </c>
      <c r="D751" s="358">
        <f>WORK!I3792</f>
        <v>0</v>
      </c>
      <c r="E751" s="354" t="s">
        <v>277</v>
      </c>
      <c r="F751" s="355">
        <f>WORK!K3792</f>
        <v>64</v>
      </c>
      <c r="G751" s="353">
        <f t="shared" si="28"/>
        <v>0</v>
      </c>
      <c r="H751" s="708" t="s">
        <v>2322</v>
      </c>
    </row>
    <row r="752" spans="1:8" s="360" customFormat="1" ht="15" hidden="1" customHeight="1">
      <c r="A752" s="356" t="s">
        <v>1162</v>
      </c>
      <c r="B752" s="927"/>
      <c r="C752" s="707" t="s">
        <v>556</v>
      </c>
      <c r="D752" s="358">
        <f>WORK!I3138</f>
        <v>1</v>
      </c>
      <c r="E752" s="354" t="s">
        <v>115</v>
      </c>
      <c r="F752" s="355">
        <f>WORK!K3138</f>
        <v>205</v>
      </c>
      <c r="G752" s="353">
        <f t="shared" si="28"/>
        <v>205</v>
      </c>
      <c r="H752" s="708" t="s">
        <v>2226</v>
      </c>
    </row>
    <row r="753" spans="1:10" s="360" customFormat="1" hidden="1">
      <c r="A753" s="356" t="s">
        <v>1162</v>
      </c>
      <c r="B753" s="927"/>
      <c r="C753" s="707" t="s">
        <v>556</v>
      </c>
      <c r="D753" s="358">
        <f>WORK!I3357</f>
        <v>0</v>
      </c>
      <c r="E753" s="354" t="s">
        <v>115</v>
      </c>
      <c r="F753" s="355">
        <f>WORK!K3357</f>
        <v>205</v>
      </c>
      <c r="H753" s="708" t="s">
        <v>2308</v>
      </c>
      <c r="J753" s="353">
        <f>ROUND(D753*F753,0)</f>
        <v>0</v>
      </c>
    </row>
    <row r="754" spans="1:10" s="360" customFormat="1" ht="15" hidden="1" customHeight="1">
      <c r="A754" s="356" t="s">
        <v>1162</v>
      </c>
      <c r="B754" s="927"/>
      <c r="C754" s="707" t="s">
        <v>556</v>
      </c>
      <c r="D754" s="358">
        <f>WORK!I3577</f>
        <v>0</v>
      </c>
      <c r="E754" s="354" t="s">
        <v>115</v>
      </c>
      <c r="F754" s="355">
        <f>WORK!K3577</f>
        <v>226</v>
      </c>
      <c r="G754" s="353">
        <f>ROUND(D754*F754,0)</f>
        <v>0</v>
      </c>
      <c r="H754" s="708" t="s">
        <v>2321</v>
      </c>
    </row>
    <row r="755" spans="1:10" s="360" customFormat="1" ht="15" hidden="1" customHeight="1">
      <c r="A755" s="356" t="s">
        <v>1162</v>
      </c>
      <c r="B755" s="927"/>
      <c r="C755" s="707" t="s">
        <v>556</v>
      </c>
      <c r="D755" s="358">
        <f>WORK!I3797</f>
        <v>0</v>
      </c>
      <c r="E755" s="354" t="s">
        <v>115</v>
      </c>
      <c r="F755" s="355">
        <f>WORK!K3797</f>
        <v>245</v>
      </c>
      <c r="G755" s="353">
        <f>ROUND(D755*F755,0)</f>
        <v>0</v>
      </c>
      <c r="H755" s="708" t="s">
        <v>2322</v>
      </c>
    </row>
    <row r="756" spans="1:10" s="360" customFormat="1" ht="15" hidden="1" customHeight="1">
      <c r="A756" s="356" t="s">
        <v>1599</v>
      </c>
      <c r="B756" s="927"/>
      <c r="C756" s="707" t="s">
        <v>639</v>
      </c>
      <c r="D756" s="358">
        <f>WORK!I3143</f>
        <v>10</v>
      </c>
      <c r="E756" s="354" t="s">
        <v>115</v>
      </c>
      <c r="F756" s="355">
        <f>WORK!K3143</f>
        <v>170</v>
      </c>
      <c r="G756" s="353">
        <f>ROUND(D756*F756,0)</f>
        <v>1700</v>
      </c>
      <c r="H756" s="708" t="s">
        <v>2226</v>
      </c>
    </row>
    <row r="757" spans="1:10" s="360" customFormat="1" hidden="1">
      <c r="A757" s="356" t="s">
        <v>1599</v>
      </c>
      <c r="B757" s="927"/>
      <c r="C757" s="707" t="s">
        <v>639</v>
      </c>
      <c r="D757" s="358">
        <f>WORK!I3362</f>
        <v>0</v>
      </c>
      <c r="E757" s="354" t="s">
        <v>115</v>
      </c>
      <c r="F757" s="355">
        <f>WORK!K3362</f>
        <v>170</v>
      </c>
      <c r="H757" s="708" t="s">
        <v>2308</v>
      </c>
      <c r="J757" s="353">
        <f>ROUND(D757*F757,0)</f>
        <v>0</v>
      </c>
    </row>
    <row r="758" spans="1:10" s="360" customFormat="1" ht="15" hidden="1" customHeight="1">
      <c r="A758" s="356" t="s">
        <v>1599</v>
      </c>
      <c r="B758" s="927"/>
      <c r="C758" s="707" t="s">
        <v>639</v>
      </c>
      <c r="D758" s="358">
        <f>WORK!I3582</f>
        <v>0</v>
      </c>
      <c r="E758" s="354" t="s">
        <v>115</v>
      </c>
      <c r="F758" s="355">
        <f>WORK!K3582</f>
        <v>187</v>
      </c>
      <c r="G758" s="353">
        <f>ROUND(D758*F758,0)</f>
        <v>0</v>
      </c>
      <c r="H758" s="708" t="s">
        <v>2321</v>
      </c>
    </row>
    <row r="759" spans="1:10" s="360" customFormat="1" ht="15" hidden="1" customHeight="1">
      <c r="A759" s="356" t="s">
        <v>1599</v>
      </c>
      <c r="B759" s="927"/>
      <c r="C759" s="707" t="s">
        <v>639</v>
      </c>
      <c r="D759" s="358">
        <f>WORK!I3802</f>
        <v>0</v>
      </c>
      <c r="E759" s="354" t="s">
        <v>115</v>
      </c>
      <c r="F759" s="355">
        <f>WORK!K3802</f>
        <v>203</v>
      </c>
      <c r="G759" s="353">
        <f>ROUND(D759*F759,0)</f>
        <v>0</v>
      </c>
      <c r="H759" s="708" t="s">
        <v>2322</v>
      </c>
    </row>
    <row r="760" spans="1:10" s="360" customFormat="1" ht="15" hidden="1" customHeight="1">
      <c r="A760" s="356" t="s">
        <v>2084</v>
      </c>
      <c r="B760" s="927"/>
      <c r="C760" s="707" t="s">
        <v>714</v>
      </c>
      <c r="D760" s="358">
        <f>WORK!I3148</f>
        <v>0</v>
      </c>
      <c r="E760" s="354" t="s">
        <v>115</v>
      </c>
      <c r="F760" s="355">
        <f>WORK!K3148</f>
        <v>130</v>
      </c>
      <c r="G760" s="353">
        <f>ROUND(D760*F760,0)</f>
        <v>0</v>
      </c>
      <c r="H760" s="708" t="s">
        <v>2226</v>
      </c>
    </row>
    <row r="761" spans="1:10" s="360" customFormat="1" hidden="1">
      <c r="A761" s="356" t="s">
        <v>2084</v>
      </c>
      <c r="B761" s="927"/>
      <c r="C761" s="707" t="s">
        <v>714</v>
      </c>
      <c r="D761" s="358">
        <f>WORK!I3367</f>
        <v>0</v>
      </c>
      <c r="E761" s="354" t="s">
        <v>115</v>
      </c>
      <c r="F761" s="355">
        <f>WORK!K3367</f>
        <v>130</v>
      </c>
      <c r="H761" s="708" t="s">
        <v>2308</v>
      </c>
      <c r="J761" s="353">
        <f>ROUND(D761*F761,0)</f>
        <v>0</v>
      </c>
    </row>
    <row r="762" spans="1:10" s="360" customFormat="1" ht="15" hidden="1" customHeight="1">
      <c r="A762" s="356" t="s">
        <v>2084</v>
      </c>
      <c r="B762" s="927"/>
      <c r="C762" s="707" t="s">
        <v>714</v>
      </c>
      <c r="D762" s="358">
        <f>WORK!I3587</f>
        <v>0</v>
      </c>
      <c r="E762" s="354" t="s">
        <v>115</v>
      </c>
      <c r="F762" s="355">
        <f>WORK!K3587</f>
        <v>143</v>
      </c>
      <c r="G762" s="353">
        <f>ROUND(D762*F762,0)</f>
        <v>0</v>
      </c>
      <c r="H762" s="708" t="s">
        <v>2321</v>
      </c>
    </row>
    <row r="763" spans="1:10" s="360" customFormat="1" ht="15" hidden="1" customHeight="1">
      <c r="A763" s="356" t="s">
        <v>2084</v>
      </c>
      <c r="B763" s="927"/>
      <c r="C763" s="707" t="s">
        <v>714</v>
      </c>
      <c r="D763" s="358">
        <f>WORK!I3807</f>
        <v>0</v>
      </c>
      <c r="E763" s="354" t="s">
        <v>115</v>
      </c>
      <c r="F763" s="355">
        <f>WORK!K3807</f>
        <v>155</v>
      </c>
      <c r="G763" s="353">
        <f>ROUND(D763*F763,0)</f>
        <v>0</v>
      </c>
      <c r="H763" s="708" t="s">
        <v>2322</v>
      </c>
    </row>
    <row r="764" spans="1:10" s="360" customFormat="1" ht="15" hidden="1" customHeight="1">
      <c r="A764" s="356" t="s">
        <v>1600</v>
      </c>
      <c r="B764" s="927"/>
      <c r="C764" s="707" t="s">
        <v>796</v>
      </c>
      <c r="D764" s="358">
        <f>WORK!I3166</f>
        <v>0</v>
      </c>
      <c r="E764" s="354" t="s">
        <v>115</v>
      </c>
      <c r="F764" s="355">
        <f>WORK!K3166</f>
        <v>95</v>
      </c>
      <c r="G764" s="353">
        <f>ROUND(D764*F764,0)</f>
        <v>0</v>
      </c>
      <c r="H764" s="708" t="s">
        <v>2226</v>
      </c>
    </row>
    <row r="765" spans="1:10" s="360" customFormat="1" hidden="1">
      <c r="A765" s="356" t="s">
        <v>1600</v>
      </c>
      <c r="B765" s="927"/>
      <c r="C765" s="707" t="s">
        <v>796</v>
      </c>
      <c r="D765" s="358">
        <f>WORK!I3385</f>
        <v>0</v>
      </c>
      <c r="E765" s="354" t="s">
        <v>115</v>
      </c>
      <c r="F765" s="355">
        <f>WORK!K3385</f>
        <v>95</v>
      </c>
      <c r="H765" s="708" t="s">
        <v>2308</v>
      </c>
      <c r="J765" s="353">
        <f>ROUND(D765*F765,0)</f>
        <v>0</v>
      </c>
    </row>
    <row r="766" spans="1:10" s="360" customFormat="1" ht="15" hidden="1" customHeight="1">
      <c r="A766" s="356" t="s">
        <v>1600</v>
      </c>
      <c r="B766" s="927"/>
      <c r="C766" s="707" t="s">
        <v>796</v>
      </c>
      <c r="D766" s="358">
        <f>WORK!I3605</f>
        <v>0</v>
      </c>
      <c r="E766" s="354" t="s">
        <v>115</v>
      </c>
      <c r="F766" s="355">
        <f>WORK!K3605</f>
        <v>105</v>
      </c>
      <c r="G766" s="353">
        <f t="shared" ref="G766:G804" si="29">ROUND(D766*F766,0)</f>
        <v>0</v>
      </c>
      <c r="H766" s="708" t="s">
        <v>2321</v>
      </c>
    </row>
    <row r="767" spans="1:10" s="360" customFormat="1" ht="15" hidden="1" customHeight="1">
      <c r="A767" s="356" t="s">
        <v>1600</v>
      </c>
      <c r="B767" s="927"/>
      <c r="C767" s="707" t="s">
        <v>796</v>
      </c>
      <c r="D767" s="358">
        <f>WORK!I3825</f>
        <v>0</v>
      </c>
      <c r="E767" s="354" t="s">
        <v>115</v>
      </c>
      <c r="F767" s="355">
        <f>WORK!K3825</f>
        <v>114</v>
      </c>
      <c r="G767" s="353">
        <f t="shared" si="29"/>
        <v>0</v>
      </c>
      <c r="H767" s="708" t="s">
        <v>2322</v>
      </c>
    </row>
    <row r="768" spans="1:10" s="360" customFormat="1" ht="15" hidden="1" customHeight="1">
      <c r="A768" s="356" t="s">
        <v>2050</v>
      </c>
      <c r="B768" s="927"/>
      <c r="C768" s="707" t="s">
        <v>640</v>
      </c>
      <c r="D768" s="358">
        <f>WORK!I3161</f>
        <v>0</v>
      </c>
      <c r="E768" s="354" t="s">
        <v>115</v>
      </c>
      <c r="F768" s="355">
        <f>WORK!K3161</f>
        <v>335</v>
      </c>
      <c r="G768" s="353">
        <f t="shared" si="29"/>
        <v>0</v>
      </c>
      <c r="H768" s="708" t="s">
        <v>2226</v>
      </c>
    </row>
    <row r="769" spans="1:10" s="360" customFormat="1" ht="15" hidden="1" customHeight="1">
      <c r="A769" s="356" t="s">
        <v>2050</v>
      </c>
      <c r="B769" s="927"/>
      <c r="C769" s="707" t="s">
        <v>640</v>
      </c>
      <c r="D769" s="358">
        <f>WORK!I3380</f>
        <v>0</v>
      </c>
      <c r="E769" s="354" t="s">
        <v>115</v>
      </c>
      <c r="F769" s="355">
        <f>WORK!K3380</f>
        <v>335</v>
      </c>
      <c r="G769" s="353">
        <f t="shared" si="29"/>
        <v>0</v>
      </c>
      <c r="H769" s="708" t="s">
        <v>2308</v>
      </c>
    </row>
    <row r="770" spans="1:10" s="360" customFormat="1" ht="15" hidden="1" customHeight="1">
      <c r="A770" s="356" t="s">
        <v>2050</v>
      </c>
      <c r="B770" s="927"/>
      <c r="C770" s="707" t="s">
        <v>640</v>
      </c>
      <c r="D770" s="358">
        <f>WORK!I3600</f>
        <v>0</v>
      </c>
      <c r="E770" s="354" t="s">
        <v>115</v>
      </c>
      <c r="F770" s="355">
        <f>WORK!K3600</f>
        <v>369</v>
      </c>
      <c r="G770" s="353">
        <f t="shared" si="29"/>
        <v>0</v>
      </c>
      <c r="H770" s="708" t="s">
        <v>2321</v>
      </c>
    </row>
    <row r="771" spans="1:10" s="360" customFormat="1" ht="15" hidden="1" customHeight="1">
      <c r="A771" s="356" t="s">
        <v>2050</v>
      </c>
      <c r="B771" s="927"/>
      <c r="C771" s="707" t="s">
        <v>640</v>
      </c>
      <c r="D771" s="358">
        <f>WORK!I3820</f>
        <v>0</v>
      </c>
      <c r="E771" s="354" t="s">
        <v>115</v>
      </c>
      <c r="F771" s="355">
        <f>WORK!K3820</f>
        <v>400</v>
      </c>
      <c r="G771" s="353">
        <f t="shared" si="29"/>
        <v>0</v>
      </c>
      <c r="H771" s="708" t="s">
        <v>2322</v>
      </c>
    </row>
    <row r="772" spans="1:10" s="360" customFormat="1" ht="15" hidden="1" customHeight="1">
      <c r="A772" s="356" t="s">
        <v>2051</v>
      </c>
      <c r="B772" s="927"/>
      <c r="C772" s="707" t="s">
        <v>1514</v>
      </c>
      <c r="D772" s="358">
        <f>WORK!I3156</f>
        <v>0</v>
      </c>
      <c r="E772" s="354" t="s">
        <v>115</v>
      </c>
      <c r="F772" s="355">
        <f>WORK!K3156</f>
        <v>300</v>
      </c>
      <c r="G772" s="353">
        <f t="shared" si="29"/>
        <v>0</v>
      </c>
      <c r="H772" s="708" t="s">
        <v>2226</v>
      </c>
    </row>
    <row r="773" spans="1:10" s="360" customFormat="1" ht="15" hidden="1" customHeight="1">
      <c r="A773" s="356" t="s">
        <v>2051</v>
      </c>
      <c r="B773" s="927"/>
      <c r="C773" s="707" t="s">
        <v>1514</v>
      </c>
      <c r="D773" s="358">
        <f>WORK!I3375</f>
        <v>0</v>
      </c>
      <c r="E773" s="354" t="s">
        <v>115</v>
      </c>
      <c r="F773" s="355">
        <f>WORK!K3375</f>
        <v>300</v>
      </c>
      <c r="G773" s="353">
        <f t="shared" si="29"/>
        <v>0</v>
      </c>
      <c r="H773" s="708" t="s">
        <v>2308</v>
      </c>
    </row>
    <row r="774" spans="1:10" s="360" customFormat="1" ht="15" hidden="1" customHeight="1">
      <c r="A774" s="356" t="s">
        <v>2051</v>
      </c>
      <c r="B774" s="927"/>
      <c r="C774" s="707" t="s">
        <v>1514</v>
      </c>
      <c r="D774" s="358">
        <f>WORK!I3595</f>
        <v>0</v>
      </c>
      <c r="E774" s="354" t="s">
        <v>115</v>
      </c>
      <c r="F774" s="355">
        <f>WORK!K3595</f>
        <v>331</v>
      </c>
      <c r="G774" s="353">
        <f t="shared" si="29"/>
        <v>0</v>
      </c>
      <c r="H774" s="708" t="s">
        <v>2321</v>
      </c>
    </row>
    <row r="775" spans="1:10" s="360" customFormat="1" ht="15" hidden="1" customHeight="1">
      <c r="A775" s="356" t="s">
        <v>2051</v>
      </c>
      <c r="B775" s="927"/>
      <c r="C775" s="707" t="s">
        <v>1514</v>
      </c>
      <c r="D775" s="358">
        <f>WORK!I3815</f>
        <v>0</v>
      </c>
      <c r="E775" s="354" t="s">
        <v>115</v>
      </c>
      <c r="F775" s="355">
        <f>WORK!K3815</f>
        <v>359</v>
      </c>
      <c r="G775" s="353">
        <f t="shared" si="29"/>
        <v>0</v>
      </c>
      <c r="H775" s="708" t="s">
        <v>2322</v>
      </c>
    </row>
    <row r="776" spans="1:10" s="360" customFormat="1" ht="15" hidden="1" customHeight="1">
      <c r="A776" s="356" t="s">
        <v>2084</v>
      </c>
      <c r="B776" s="927"/>
      <c r="C776" s="707" t="s">
        <v>557</v>
      </c>
      <c r="D776" s="358">
        <f>WORK!I3171</f>
        <v>0</v>
      </c>
      <c r="E776" s="354" t="s">
        <v>115</v>
      </c>
      <c r="F776" s="355">
        <f>WORK!K3171</f>
        <v>57</v>
      </c>
      <c r="G776" s="353">
        <f t="shared" si="29"/>
        <v>0</v>
      </c>
      <c r="H776" s="708" t="s">
        <v>2226</v>
      </c>
    </row>
    <row r="777" spans="1:10" s="360" customFormat="1" ht="15" hidden="1" customHeight="1">
      <c r="A777" s="356" t="s">
        <v>2084</v>
      </c>
      <c r="B777" s="927"/>
      <c r="C777" s="707" t="s">
        <v>557</v>
      </c>
      <c r="D777" s="358">
        <f>WORK!I3390</f>
        <v>0</v>
      </c>
      <c r="E777" s="354" t="s">
        <v>115</v>
      </c>
      <c r="F777" s="355">
        <f>WORK!K3390</f>
        <v>57</v>
      </c>
      <c r="H777" s="708" t="s">
        <v>2308</v>
      </c>
      <c r="J777" s="353">
        <f>ROUND(D777*F777,0)</f>
        <v>0</v>
      </c>
    </row>
    <row r="778" spans="1:10" s="360" customFormat="1" ht="15" hidden="1" customHeight="1">
      <c r="A778" s="356" t="s">
        <v>2084</v>
      </c>
      <c r="B778" s="927"/>
      <c r="C778" s="707" t="s">
        <v>557</v>
      </c>
      <c r="D778" s="358">
        <f>WORK!I3610</f>
        <v>0</v>
      </c>
      <c r="E778" s="354" t="s">
        <v>115</v>
      </c>
      <c r="F778" s="355">
        <f>WORK!K3610</f>
        <v>63</v>
      </c>
      <c r="G778" s="353">
        <f t="shared" si="29"/>
        <v>0</v>
      </c>
      <c r="H778" s="708" t="s">
        <v>2321</v>
      </c>
    </row>
    <row r="779" spans="1:10" s="360" customFormat="1" ht="15" hidden="1" customHeight="1">
      <c r="A779" s="356" t="s">
        <v>2084</v>
      </c>
      <c r="B779" s="927"/>
      <c r="C779" s="707" t="s">
        <v>557</v>
      </c>
      <c r="D779" s="358">
        <f>WORK!I3830</f>
        <v>0</v>
      </c>
      <c r="E779" s="354" t="s">
        <v>115</v>
      </c>
      <c r="F779" s="355">
        <f>WORK!K3830</f>
        <v>68</v>
      </c>
      <c r="G779" s="353">
        <f t="shared" si="29"/>
        <v>0</v>
      </c>
      <c r="H779" s="708" t="s">
        <v>2322</v>
      </c>
    </row>
    <row r="780" spans="1:10" s="360" customFormat="1" hidden="1">
      <c r="A780" s="356" t="s">
        <v>1577</v>
      </c>
      <c r="B780" s="927" t="s">
        <v>2679</v>
      </c>
      <c r="C780" s="707" t="s">
        <v>558</v>
      </c>
      <c r="D780" s="358">
        <f>WORK!I3177</f>
        <v>10</v>
      </c>
      <c r="E780" s="354" t="s">
        <v>568</v>
      </c>
      <c r="F780" s="355">
        <f>WORK!K3177</f>
        <v>383.5</v>
      </c>
      <c r="G780" s="353">
        <f t="shared" si="29"/>
        <v>3835</v>
      </c>
      <c r="H780" s="708" t="s">
        <v>2226</v>
      </c>
    </row>
    <row r="781" spans="1:10" s="360" customFormat="1" hidden="1">
      <c r="A781" s="356" t="s">
        <v>1584</v>
      </c>
      <c r="B781" s="927" t="s">
        <v>2679</v>
      </c>
      <c r="C781" s="707" t="s">
        <v>558</v>
      </c>
      <c r="D781" s="358">
        <f>WORK!I3395</f>
        <v>0</v>
      </c>
      <c r="E781" s="354" t="s">
        <v>568</v>
      </c>
      <c r="F781" s="355">
        <f>WORK!K3395</f>
        <v>395.5</v>
      </c>
      <c r="G781" s="353">
        <f t="shared" si="29"/>
        <v>0</v>
      </c>
      <c r="H781" s="708" t="s">
        <v>2308</v>
      </c>
    </row>
    <row r="782" spans="1:10" s="360" customFormat="1" ht="15" hidden="1" customHeight="1">
      <c r="A782" s="356" t="s">
        <v>2039</v>
      </c>
      <c r="B782" s="927" t="s">
        <v>2679</v>
      </c>
      <c r="C782" s="707" t="s">
        <v>558</v>
      </c>
      <c r="D782" s="358">
        <f>WORK!I3616</f>
        <v>0</v>
      </c>
      <c r="E782" s="354" t="s">
        <v>568</v>
      </c>
      <c r="F782" s="355">
        <f>WORK!K3616</f>
        <v>436.33</v>
      </c>
      <c r="G782" s="353">
        <f t="shared" si="29"/>
        <v>0</v>
      </c>
      <c r="H782" s="708" t="s">
        <v>2321</v>
      </c>
    </row>
    <row r="783" spans="1:10" s="360" customFormat="1" ht="15" hidden="1" customHeight="1">
      <c r="A783" s="356" t="s">
        <v>2039</v>
      </c>
      <c r="B783" s="927" t="s">
        <v>2679</v>
      </c>
      <c r="C783" s="707" t="s">
        <v>558</v>
      </c>
      <c r="D783" s="358">
        <f>WORK!I3836</f>
        <v>0</v>
      </c>
      <c r="E783" s="354" t="s">
        <v>568</v>
      </c>
      <c r="F783" s="355">
        <f>WORK!K3836</f>
        <v>481.67</v>
      </c>
      <c r="G783" s="353">
        <f t="shared" si="29"/>
        <v>0</v>
      </c>
      <c r="H783" s="708" t="s">
        <v>2322</v>
      </c>
    </row>
    <row r="784" spans="1:10" s="360" customFormat="1" hidden="1">
      <c r="A784" s="356" t="s">
        <v>1584</v>
      </c>
      <c r="B784" s="927" t="s">
        <v>2679</v>
      </c>
      <c r="C784" s="707" t="s">
        <v>558</v>
      </c>
      <c r="D784" s="358">
        <f>WORK!I3182</f>
        <v>8</v>
      </c>
      <c r="E784" s="354" t="s">
        <v>568</v>
      </c>
      <c r="F784" s="355">
        <f>WORK!K3182</f>
        <v>402.5</v>
      </c>
      <c r="G784" s="353">
        <f t="shared" si="29"/>
        <v>3220</v>
      </c>
      <c r="H784" s="708" t="s">
        <v>2226</v>
      </c>
    </row>
    <row r="785" spans="1:8" s="360" customFormat="1" ht="15" hidden="1" customHeight="1">
      <c r="A785" s="356" t="s">
        <v>522</v>
      </c>
      <c r="B785" s="927" t="s">
        <v>2679</v>
      </c>
      <c r="C785" s="707" t="s">
        <v>558</v>
      </c>
      <c r="D785" s="358">
        <f>WORK!I3402</f>
        <v>0</v>
      </c>
      <c r="E785" s="354" t="s">
        <v>568</v>
      </c>
      <c r="F785" s="355">
        <f>WORK!K3402</f>
        <v>414.5</v>
      </c>
      <c r="G785" s="353">
        <f t="shared" si="29"/>
        <v>0</v>
      </c>
      <c r="H785" s="708" t="s">
        <v>2308</v>
      </c>
    </row>
    <row r="786" spans="1:8" s="360" customFormat="1" ht="15" hidden="1" customHeight="1">
      <c r="A786" s="356" t="s">
        <v>522</v>
      </c>
      <c r="B786" s="927" t="s">
        <v>2679</v>
      </c>
      <c r="C786" s="707" t="s">
        <v>558</v>
      </c>
      <c r="D786" s="358">
        <f>WORK!I3621</f>
        <v>0</v>
      </c>
      <c r="E786" s="354" t="s">
        <v>568</v>
      </c>
      <c r="F786" s="355">
        <f>WORK!K3621</f>
        <v>457.33</v>
      </c>
      <c r="G786" s="353">
        <f t="shared" si="29"/>
        <v>0</v>
      </c>
      <c r="H786" s="708" t="s">
        <v>2321</v>
      </c>
    </row>
    <row r="787" spans="1:8" s="360" customFormat="1" ht="15" hidden="1" customHeight="1">
      <c r="A787" s="356" t="s">
        <v>522</v>
      </c>
      <c r="B787" s="927" t="s">
        <v>2679</v>
      </c>
      <c r="C787" s="707" t="s">
        <v>558</v>
      </c>
      <c r="D787" s="358">
        <f>WORK!I3841</f>
        <v>0</v>
      </c>
      <c r="E787" s="354" t="s">
        <v>568</v>
      </c>
      <c r="F787" s="355">
        <f>WORK!K3841</f>
        <v>503.67</v>
      </c>
      <c r="G787" s="353">
        <f t="shared" si="29"/>
        <v>0</v>
      </c>
      <c r="H787" s="708" t="s">
        <v>2322</v>
      </c>
    </row>
    <row r="788" spans="1:8" s="360" customFormat="1" ht="15" hidden="1" customHeight="1">
      <c r="A788" s="356" t="s">
        <v>2040</v>
      </c>
      <c r="B788" s="927" t="s">
        <v>2680</v>
      </c>
      <c r="C788" s="707" t="s">
        <v>2273</v>
      </c>
      <c r="D788" s="358">
        <f>WORK!I3188</f>
        <v>0</v>
      </c>
      <c r="E788" s="354" t="s">
        <v>277</v>
      </c>
      <c r="F788" s="355">
        <f>WORK!K3188</f>
        <v>18.59</v>
      </c>
      <c r="G788" s="353">
        <f t="shared" si="29"/>
        <v>0</v>
      </c>
      <c r="H788" s="708" t="s">
        <v>2226</v>
      </c>
    </row>
    <row r="789" spans="1:8" s="360" customFormat="1" hidden="1">
      <c r="A789" s="356" t="s">
        <v>1585</v>
      </c>
      <c r="B789" s="927" t="s">
        <v>2680</v>
      </c>
      <c r="C789" s="707" t="s">
        <v>2273</v>
      </c>
      <c r="D789" s="358">
        <f>WORK!I3408</f>
        <v>0</v>
      </c>
      <c r="E789" s="354" t="s">
        <v>277</v>
      </c>
      <c r="F789" s="355">
        <f>WORK!K3408</f>
        <v>19.09</v>
      </c>
      <c r="G789" s="353">
        <f t="shared" si="29"/>
        <v>0</v>
      </c>
      <c r="H789" s="708" t="s">
        <v>2308</v>
      </c>
    </row>
    <row r="790" spans="1:8" s="360" customFormat="1" ht="15" hidden="1" customHeight="1">
      <c r="A790" s="356" t="s">
        <v>2040</v>
      </c>
      <c r="B790" s="927" t="s">
        <v>2680</v>
      </c>
      <c r="C790" s="707" t="s">
        <v>2273</v>
      </c>
      <c r="D790" s="358">
        <f>WORK!I3627</f>
        <v>0</v>
      </c>
      <c r="E790" s="354" t="s">
        <v>277</v>
      </c>
      <c r="F790" s="355">
        <f>WORK!K3627</f>
        <v>21.19</v>
      </c>
      <c r="G790" s="353">
        <f t="shared" si="29"/>
        <v>0</v>
      </c>
      <c r="H790" s="708" t="s">
        <v>2321</v>
      </c>
    </row>
    <row r="791" spans="1:8" s="360" customFormat="1" ht="15" hidden="1" customHeight="1">
      <c r="A791" s="356" t="s">
        <v>2040</v>
      </c>
      <c r="B791" s="927" t="s">
        <v>2680</v>
      </c>
      <c r="C791" s="707" t="s">
        <v>2273</v>
      </c>
      <c r="D791" s="358">
        <f>WORK!I3846</f>
        <v>0</v>
      </c>
      <c r="E791" s="354" t="s">
        <v>277</v>
      </c>
      <c r="F791" s="355">
        <f>WORK!K3846</f>
        <v>23.55</v>
      </c>
      <c r="G791" s="353">
        <f t="shared" si="29"/>
        <v>0</v>
      </c>
      <c r="H791" s="708" t="s">
        <v>2322</v>
      </c>
    </row>
    <row r="792" spans="1:8" s="360" customFormat="1" hidden="1">
      <c r="A792" s="356" t="s">
        <v>1585</v>
      </c>
      <c r="B792" s="927"/>
      <c r="C792" s="707" t="s">
        <v>2274</v>
      </c>
      <c r="D792" s="358">
        <f>WORK!I3193</f>
        <v>0</v>
      </c>
      <c r="E792" s="354" t="s">
        <v>277</v>
      </c>
      <c r="F792" s="355">
        <f>WORK!K3193</f>
        <v>60.7</v>
      </c>
      <c r="G792" s="353">
        <f t="shared" si="29"/>
        <v>0</v>
      </c>
      <c r="H792" s="708" t="s">
        <v>2226</v>
      </c>
    </row>
    <row r="793" spans="1:8" s="360" customFormat="1" ht="15" hidden="1" customHeight="1">
      <c r="A793" s="356" t="s">
        <v>2041</v>
      </c>
      <c r="B793" s="927"/>
      <c r="C793" s="707" t="s">
        <v>2274</v>
      </c>
      <c r="D793" s="358">
        <f>WORK!I3413</f>
        <v>0</v>
      </c>
      <c r="E793" s="354" t="s">
        <v>277</v>
      </c>
      <c r="F793" s="355">
        <f>WORK!K3413</f>
        <v>60.7</v>
      </c>
      <c r="G793" s="353">
        <f t="shared" si="29"/>
        <v>0</v>
      </c>
      <c r="H793" s="708" t="s">
        <v>2308</v>
      </c>
    </row>
    <row r="794" spans="1:8" s="360" customFormat="1" ht="15" hidden="1" customHeight="1">
      <c r="A794" s="356" t="s">
        <v>2041</v>
      </c>
      <c r="B794" s="927"/>
      <c r="C794" s="707" t="s">
        <v>2274</v>
      </c>
      <c r="D794" s="358">
        <f>WORK!I3632</f>
        <v>0</v>
      </c>
      <c r="E794" s="354" t="s">
        <v>277</v>
      </c>
      <c r="F794" s="355">
        <f>WORK!K3632</f>
        <v>69.83</v>
      </c>
      <c r="G794" s="353">
        <f t="shared" si="29"/>
        <v>0</v>
      </c>
      <c r="H794" s="708" t="s">
        <v>2321</v>
      </c>
    </row>
    <row r="795" spans="1:8" s="360" customFormat="1" ht="15" hidden="1" customHeight="1">
      <c r="A795" s="356" t="s">
        <v>2041</v>
      </c>
      <c r="B795" s="927"/>
      <c r="C795" s="707" t="s">
        <v>2274</v>
      </c>
      <c r="D795" s="358">
        <f>WORK!I3855</f>
        <v>0</v>
      </c>
      <c r="E795" s="354" t="s">
        <v>277</v>
      </c>
      <c r="F795" s="355">
        <f>WORK!K3855</f>
        <v>79.48</v>
      </c>
      <c r="G795" s="353">
        <f t="shared" si="29"/>
        <v>0</v>
      </c>
      <c r="H795" s="708" t="s">
        <v>2322</v>
      </c>
    </row>
    <row r="796" spans="1:8" s="360" customFormat="1" hidden="1">
      <c r="A796" s="356" t="s">
        <v>1143</v>
      </c>
      <c r="B796" s="927" t="s">
        <v>2677</v>
      </c>
      <c r="C796" s="707" t="s">
        <v>559</v>
      </c>
      <c r="D796" s="358">
        <f>WORK!I3200</f>
        <v>60</v>
      </c>
      <c r="E796" s="354" t="s">
        <v>277</v>
      </c>
      <c r="F796" s="355">
        <f>WORK!K3200</f>
        <v>64.873099999999994</v>
      </c>
      <c r="G796" s="353">
        <f t="shared" si="29"/>
        <v>3892</v>
      </c>
      <c r="H796" s="708" t="s">
        <v>2226</v>
      </c>
    </row>
    <row r="797" spans="1:8" s="360" customFormat="1" hidden="1">
      <c r="A797" s="356" t="s">
        <v>1143</v>
      </c>
      <c r="B797" s="927" t="s">
        <v>2677</v>
      </c>
      <c r="C797" s="707" t="s">
        <v>559</v>
      </c>
      <c r="D797" s="358">
        <f>WORK!I3418</f>
        <v>0</v>
      </c>
      <c r="E797" s="354" t="s">
        <v>277</v>
      </c>
      <c r="F797" s="355">
        <f>WORK!K3418</f>
        <v>65.868499999999997</v>
      </c>
      <c r="G797" s="353">
        <f t="shared" si="29"/>
        <v>0</v>
      </c>
      <c r="H797" s="708" t="s">
        <v>2308</v>
      </c>
    </row>
    <row r="798" spans="1:8" s="360" customFormat="1" ht="15" hidden="1" customHeight="1">
      <c r="A798" s="356" t="s">
        <v>2041</v>
      </c>
      <c r="B798" s="927" t="s">
        <v>2677</v>
      </c>
      <c r="C798" s="707" t="s">
        <v>559</v>
      </c>
      <c r="D798" s="358">
        <f>WORK!I3639</f>
        <v>0</v>
      </c>
      <c r="E798" s="354" t="s">
        <v>277</v>
      </c>
      <c r="F798" s="355">
        <f>WORK!K3639</f>
        <v>74.22399999999999</v>
      </c>
      <c r="G798" s="353">
        <f t="shared" si="29"/>
        <v>0</v>
      </c>
      <c r="H798" s="708" t="s">
        <v>2321</v>
      </c>
    </row>
    <row r="799" spans="1:8" s="360" customFormat="1" ht="15" hidden="1" customHeight="1">
      <c r="A799" s="356" t="s">
        <v>2041</v>
      </c>
      <c r="B799" s="927" t="s">
        <v>2677</v>
      </c>
      <c r="C799" s="707" t="s">
        <v>559</v>
      </c>
      <c r="D799" s="358">
        <f>WORK!I3862</f>
        <v>0</v>
      </c>
      <c r="E799" s="354" t="s">
        <v>277</v>
      </c>
      <c r="F799" s="355">
        <f>WORK!K3862</f>
        <v>83.333500000000001</v>
      </c>
      <c r="G799" s="353">
        <f t="shared" si="29"/>
        <v>0</v>
      </c>
      <c r="H799" s="708" t="s">
        <v>2322</v>
      </c>
    </row>
    <row r="800" spans="1:8" s="360" customFormat="1" hidden="1">
      <c r="A800" s="356" t="s">
        <v>1586</v>
      </c>
      <c r="B800" s="927" t="s">
        <v>2678</v>
      </c>
      <c r="C800" s="707" t="s">
        <v>560</v>
      </c>
      <c r="D800" s="358">
        <f>WORK!I3205</f>
        <v>0</v>
      </c>
      <c r="E800" s="354" t="s">
        <v>277</v>
      </c>
      <c r="F800" s="355">
        <f>WORK!K3205</f>
        <v>98.56</v>
      </c>
      <c r="G800" s="353">
        <f t="shared" si="29"/>
        <v>0</v>
      </c>
      <c r="H800" s="708" t="s">
        <v>2226</v>
      </c>
    </row>
    <row r="801" spans="1:10" s="360" customFormat="1" ht="15" hidden="1" customHeight="1">
      <c r="A801" s="356" t="s">
        <v>1586</v>
      </c>
      <c r="B801" s="927" t="s">
        <v>2678</v>
      </c>
      <c r="C801" s="707" t="s">
        <v>560</v>
      </c>
      <c r="D801" s="358">
        <f>WORK!I3423</f>
        <v>0</v>
      </c>
      <c r="E801" s="354" t="s">
        <v>277</v>
      </c>
      <c r="F801" s="355">
        <f>WORK!K3423</f>
        <v>100.05</v>
      </c>
      <c r="G801" s="353">
        <f t="shared" si="29"/>
        <v>0</v>
      </c>
      <c r="H801" s="708" t="s">
        <v>2308</v>
      </c>
    </row>
    <row r="802" spans="1:10" s="360" customFormat="1" ht="15" hidden="1" customHeight="1">
      <c r="A802" s="356" t="s">
        <v>2041</v>
      </c>
      <c r="B802" s="927" t="s">
        <v>2678</v>
      </c>
      <c r="C802" s="707" t="s">
        <v>560</v>
      </c>
      <c r="D802" s="358">
        <f>WORK!I3644</f>
        <v>0</v>
      </c>
      <c r="E802" s="354" t="s">
        <v>277</v>
      </c>
      <c r="F802" s="355">
        <f>WORK!K3644</f>
        <v>112.78</v>
      </c>
      <c r="G802" s="353">
        <f t="shared" si="29"/>
        <v>0</v>
      </c>
      <c r="H802" s="708" t="s">
        <v>2321</v>
      </c>
    </row>
    <row r="803" spans="1:10" s="360" customFormat="1" ht="15" hidden="1" customHeight="1">
      <c r="A803" s="356" t="s">
        <v>2041</v>
      </c>
      <c r="B803" s="927" t="s">
        <v>2678</v>
      </c>
      <c r="C803" s="707" t="s">
        <v>560</v>
      </c>
      <c r="D803" s="358">
        <f>WORK!I3867</f>
        <v>0</v>
      </c>
      <c r="E803" s="354" t="s">
        <v>277</v>
      </c>
      <c r="F803" s="355">
        <f>WORK!K3867</f>
        <v>126.65</v>
      </c>
      <c r="G803" s="353">
        <f t="shared" si="29"/>
        <v>0</v>
      </c>
      <c r="H803" s="708" t="s">
        <v>2322</v>
      </c>
    </row>
    <row r="804" spans="1:10" s="360" customFormat="1" hidden="1">
      <c r="A804" s="356" t="s">
        <v>645</v>
      </c>
      <c r="B804" s="927"/>
      <c r="C804" s="707" t="s">
        <v>833</v>
      </c>
      <c r="D804" s="358">
        <f>WORK!I3210</f>
        <v>0</v>
      </c>
      <c r="E804" s="354" t="s">
        <v>277</v>
      </c>
      <c r="F804" s="355">
        <f>WORK!K3210</f>
        <v>50.795000000000002</v>
      </c>
      <c r="G804" s="353">
        <f t="shared" si="29"/>
        <v>0</v>
      </c>
      <c r="H804" s="708" t="s">
        <v>2226</v>
      </c>
    </row>
    <row r="805" spans="1:10" s="360" customFormat="1" hidden="1">
      <c r="A805" s="356" t="s">
        <v>2043</v>
      </c>
      <c r="B805" s="927"/>
      <c r="C805" s="707" t="s">
        <v>833</v>
      </c>
      <c r="D805" s="358">
        <f>WORK!I3428</f>
        <v>0</v>
      </c>
      <c r="E805" s="354" t="s">
        <v>277</v>
      </c>
      <c r="F805" s="355">
        <f>WORK!K3428</f>
        <v>54.465000000000003</v>
      </c>
      <c r="H805" s="708" t="s">
        <v>2308</v>
      </c>
      <c r="J805" s="353">
        <f>ROUND(D805*F805,0)</f>
        <v>0</v>
      </c>
    </row>
    <row r="806" spans="1:10" s="360" customFormat="1" ht="15" hidden="1" customHeight="1">
      <c r="A806" s="356" t="s">
        <v>2043</v>
      </c>
      <c r="B806" s="927"/>
      <c r="C806" s="707" t="s">
        <v>833</v>
      </c>
      <c r="D806" s="358">
        <f>WORK!I3649</f>
        <v>0</v>
      </c>
      <c r="E806" s="354" t="s">
        <v>277</v>
      </c>
      <c r="F806" s="355">
        <f>WORK!K3649</f>
        <v>56.313999999999993</v>
      </c>
      <c r="G806" s="353">
        <f>ROUND(D806*F806,0)</f>
        <v>0</v>
      </c>
      <c r="H806" s="708" t="s">
        <v>2321</v>
      </c>
    </row>
    <row r="807" spans="1:10" s="360" customFormat="1" ht="15" hidden="1" customHeight="1">
      <c r="A807" s="356" t="s">
        <v>2043</v>
      </c>
      <c r="B807" s="927"/>
      <c r="C807" s="707" t="s">
        <v>833</v>
      </c>
      <c r="D807" s="358">
        <f>WORK!I3872</f>
        <v>0</v>
      </c>
      <c r="E807" s="354" t="s">
        <v>277</v>
      </c>
      <c r="F807" s="355">
        <f>WORK!K3872</f>
        <v>64.563000000000002</v>
      </c>
      <c r="G807" s="353">
        <f>ROUND(D807*F807,0)</f>
        <v>0</v>
      </c>
      <c r="H807" s="708" t="s">
        <v>2322</v>
      </c>
    </row>
    <row r="808" spans="1:10" s="360" customFormat="1" ht="15" hidden="1" customHeight="1">
      <c r="A808" s="356" t="s">
        <v>2044</v>
      </c>
      <c r="B808" s="927"/>
      <c r="C808" s="707" t="s">
        <v>437</v>
      </c>
      <c r="D808" s="358">
        <f>WORK!I3215</f>
        <v>1</v>
      </c>
      <c r="E808" s="354" t="s">
        <v>115</v>
      </c>
      <c r="F808" s="355">
        <f>WORK!K3215</f>
        <v>190</v>
      </c>
      <c r="G808" s="353">
        <f>ROUND(D808*F808,0)</f>
        <v>190</v>
      </c>
      <c r="H808" s="708" t="s">
        <v>2226</v>
      </c>
    </row>
    <row r="809" spans="1:10" s="360" customFormat="1" hidden="1">
      <c r="A809" s="356" t="s">
        <v>2044</v>
      </c>
      <c r="B809" s="927"/>
      <c r="C809" s="707" t="s">
        <v>437</v>
      </c>
      <c r="D809" s="358">
        <f>WORK!I3433</f>
        <v>0</v>
      </c>
      <c r="E809" s="354" t="s">
        <v>115</v>
      </c>
      <c r="F809" s="355">
        <f>WORK!K3433</f>
        <v>190</v>
      </c>
      <c r="H809" s="708" t="s">
        <v>2308</v>
      </c>
      <c r="J809" s="353">
        <f>ROUND(D809*F809,0)</f>
        <v>0</v>
      </c>
    </row>
    <row r="810" spans="1:10" s="360" customFormat="1" ht="15" hidden="1" customHeight="1">
      <c r="A810" s="356" t="s">
        <v>2044</v>
      </c>
      <c r="B810" s="927"/>
      <c r="C810" s="707" t="s">
        <v>437</v>
      </c>
      <c r="D810" s="358">
        <f>WORK!I3654</f>
        <v>0</v>
      </c>
      <c r="E810" s="354" t="s">
        <v>115</v>
      </c>
      <c r="F810" s="355">
        <f>WORK!K3654</f>
        <v>209</v>
      </c>
      <c r="G810" s="353">
        <f>ROUND(D810*F810,0)</f>
        <v>0</v>
      </c>
      <c r="H810" s="708" t="s">
        <v>2321</v>
      </c>
    </row>
    <row r="811" spans="1:10" s="360" customFormat="1" ht="15" hidden="1" customHeight="1">
      <c r="A811" s="356" t="s">
        <v>2044</v>
      </c>
      <c r="B811" s="927"/>
      <c r="C811" s="707" t="s">
        <v>437</v>
      </c>
      <c r="D811" s="358">
        <f>WORK!I3877</f>
        <v>0</v>
      </c>
      <c r="E811" s="354" t="s">
        <v>115</v>
      </c>
      <c r="F811" s="355">
        <f>WORK!K3877</f>
        <v>209</v>
      </c>
      <c r="G811" s="353">
        <f>ROUND(D811*F811,0)</f>
        <v>0</v>
      </c>
      <c r="H811" s="708" t="s">
        <v>2322</v>
      </c>
    </row>
    <row r="812" spans="1:10" s="360" customFormat="1" ht="15" hidden="1" customHeight="1">
      <c r="A812" s="356" t="s">
        <v>2045</v>
      </c>
      <c r="B812" s="927"/>
      <c r="C812" s="707" t="s">
        <v>615</v>
      </c>
      <c r="D812" s="358">
        <f>WORK!I3220</f>
        <v>10</v>
      </c>
      <c r="E812" s="354" t="s">
        <v>115</v>
      </c>
      <c r="F812" s="355">
        <f>WORK!K3220</f>
        <v>155</v>
      </c>
      <c r="G812" s="353">
        <f>ROUND(D812*F812,0)</f>
        <v>1550</v>
      </c>
      <c r="H812" s="708" t="s">
        <v>2226</v>
      </c>
    </row>
    <row r="813" spans="1:10" s="360" customFormat="1" hidden="1">
      <c r="A813" s="356" t="s">
        <v>2045</v>
      </c>
      <c r="B813" s="927"/>
      <c r="C813" s="707" t="s">
        <v>615</v>
      </c>
      <c r="D813" s="358">
        <f>WORK!I3438</f>
        <v>0</v>
      </c>
      <c r="E813" s="354" t="s">
        <v>115</v>
      </c>
      <c r="F813" s="355">
        <f>WORK!K3438</f>
        <v>155</v>
      </c>
      <c r="H813" s="708" t="s">
        <v>2308</v>
      </c>
      <c r="J813" s="353">
        <f>ROUND(D813*F813,0)</f>
        <v>0</v>
      </c>
    </row>
    <row r="814" spans="1:10" s="360" customFormat="1" ht="15" hidden="1" customHeight="1">
      <c r="A814" s="356" t="s">
        <v>2045</v>
      </c>
      <c r="B814" s="927"/>
      <c r="C814" s="707" t="s">
        <v>615</v>
      </c>
      <c r="D814" s="358">
        <f>WORK!I3659</f>
        <v>0</v>
      </c>
      <c r="E814" s="354" t="s">
        <v>115</v>
      </c>
      <c r="F814" s="355">
        <f>WORK!K3659</f>
        <v>171</v>
      </c>
      <c r="G814" s="353">
        <f>ROUND(D814*F814,0)</f>
        <v>0</v>
      </c>
      <c r="H814" s="708" t="s">
        <v>2321</v>
      </c>
    </row>
    <row r="815" spans="1:10" s="360" customFormat="1" ht="15" hidden="1" customHeight="1">
      <c r="A815" s="356" t="s">
        <v>2045</v>
      </c>
      <c r="B815" s="927"/>
      <c r="C815" s="707" t="s">
        <v>615</v>
      </c>
      <c r="D815" s="358">
        <f>WORK!I3882</f>
        <v>0</v>
      </c>
      <c r="E815" s="354" t="s">
        <v>115</v>
      </c>
      <c r="F815" s="355">
        <f>WORK!K3882</f>
        <v>171</v>
      </c>
      <c r="G815" s="353">
        <f>ROUND(D815*F815,0)</f>
        <v>0</v>
      </c>
      <c r="H815" s="708" t="s">
        <v>2322</v>
      </c>
    </row>
    <row r="816" spans="1:10" s="360" customFormat="1" ht="15" hidden="1" customHeight="1">
      <c r="A816" s="356" t="s">
        <v>2085</v>
      </c>
      <c r="B816" s="927"/>
      <c r="C816" s="707" t="s">
        <v>694</v>
      </c>
      <c r="D816" s="358">
        <f>WORK!I3225</f>
        <v>0</v>
      </c>
      <c r="E816" s="354" t="s">
        <v>115</v>
      </c>
      <c r="F816" s="355">
        <f>WORK!K3225</f>
        <v>120</v>
      </c>
      <c r="G816" s="353">
        <f>ROUND(D816*F816,0)</f>
        <v>0</v>
      </c>
      <c r="H816" s="708" t="s">
        <v>2226</v>
      </c>
    </row>
    <row r="817" spans="1:10" s="360" customFormat="1" hidden="1">
      <c r="A817" s="356" t="s">
        <v>2085</v>
      </c>
      <c r="B817" s="927"/>
      <c r="C817" s="707" t="s">
        <v>694</v>
      </c>
      <c r="D817" s="358">
        <f>WORK!I3443</f>
        <v>0</v>
      </c>
      <c r="E817" s="354" t="s">
        <v>115</v>
      </c>
      <c r="F817" s="355">
        <f>WORK!K3443</f>
        <v>120</v>
      </c>
      <c r="H817" s="708" t="s">
        <v>2308</v>
      </c>
      <c r="J817" s="353">
        <f>ROUND(D817*F817,0)</f>
        <v>0</v>
      </c>
    </row>
    <row r="818" spans="1:10" s="360" customFormat="1" ht="15" hidden="1" customHeight="1">
      <c r="A818" s="356" t="s">
        <v>2085</v>
      </c>
      <c r="B818" s="927"/>
      <c r="C818" s="707" t="s">
        <v>694</v>
      </c>
      <c r="D818" s="358">
        <f>WORK!I3664</f>
        <v>0</v>
      </c>
      <c r="E818" s="354" t="s">
        <v>115</v>
      </c>
      <c r="F818" s="355">
        <f>WORK!K3664</f>
        <v>132</v>
      </c>
      <c r="G818" s="353">
        <f>ROUND(D818*F818,0)</f>
        <v>0</v>
      </c>
      <c r="H818" s="708" t="s">
        <v>2321</v>
      </c>
    </row>
    <row r="819" spans="1:10" s="360" customFormat="1" ht="15" hidden="1" customHeight="1">
      <c r="A819" s="356" t="s">
        <v>2085</v>
      </c>
      <c r="B819" s="927"/>
      <c r="C819" s="707" t="s">
        <v>694</v>
      </c>
      <c r="D819" s="358">
        <f>WORK!I3887</f>
        <v>0</v>
      </c>
      <c r="E819" s="354" t="s">
        <v>115</v>
      </c>
      <c r="F819" s="355">
        <f>WORK!K3887</f>
        <v>132</v>
      </c>
      <c r="G819" s="353">
        <f>ROUND(D819*F819,0)</f>
        <v>0</v>
      </c>
      <c r="H819" s="708" t="s">
        <v>2322</v>
      </c>
    </row>
    <row r="820" spans="1:10" s="360" customFormat="1" ht="15" hidden="1" customHeight="1">
      <c r="A820" s="356" t="s">
        <v>2046</v>
      </c>
      <c r="B820" s="927"/>
      <c r="C820" s="707" t="s">
        <v>792</v>
      </c>
      <c r="D820" s="358">
        <f>WORK!I3235</f>
        <v>0</v>
      </c>
      <c r="E820" s="354" t="s">
        <v>115</v>
      </c>
      <c r="F820" s="355">
        <f>WORK!K3235</f>
        <v>80</v>
      </c>
      <c r="G820" s="353">
        <f>ROUND(D820*F820,0)</f>
        <v>0</v>
      </c>
      <c r="H820" s="708" t="s">
        <v>2226</v>
      </c>
    </row>
    <row r="821" spans="1:10" s="360" customFormat="1" hidden="1">
      <c r="A821" s="356" t="s">
        <v>2046</v>
      </c>
      <c r="B821" s="927"/>
      <c r="C821" s="707" t="s">
        <v>792</v>
      </c>
      <c r="D821" s="358">
        <f>WORK!I3453</f>
        <v>0</v>
      </c>
      <c r="E821" s="354" t="s">
        <v>115</v>
      </c>
      <c r="F821" s="355">
        <f>WORK!K3453</f>
        <v>80</v>
      </c>
      <c r="H821" s="708" t="s">
        <v>2308</v>
      </c>
      <c r="J821" s="353">
        <f>ROUND(D821*F821,0)</f>
        <v>0</v>
      </c>
    </row>
    <row r="822" spans="1:10" s="360" customFormat="1" ht="15" hidden="1" customHeight="1">
      <c r="A822" s="356" t="s">
        <v>2046</v>
      </c>
      <c r="B822" s="927"/>
      <c r="C822" s="707" t="s">
        <v>792</v>
      </c>
      <c r="D822" s="358">
        <f>WORK!I3674</f>
        <v>0</v>
      </c>
      <c r="E822" s="354" t="s">
        <v>115</v>
      </c>
      <c r="F822" s="355">
        <f>WORK!K3674</f>
        <v>88</v>
      </c>
      <c r="G822" s="353">
        <f t="shared" ref="G822:G844" si="30">ROUND(D822*F822,0)</f>
        <v>0</v>
      </c>
      <c r="H822" s="708" t="s">
        <v>2321</v>
      </c>
    </row>
    <row r="823" spans="1:10" s="360" customFormat="1" ht="15" hidden="1" customHeight="1">
      <c r="A823" s="356" t="s">
        <v>2046</v>
      </c>
      <c r="B823" s="927"/>
      <c r="C823" s="707" t="s">
        <v>792</v>
      </c>
      <c r="D823" s="358">
        <f>WORK!I3897</f>
        <v>0</v>
      </c>
      <c r="E823" s="354" t="s">
        <v>115</v>
      </c>
      <c r="F823" s="355">
        <f>WORK!K3897</f>
        <v>88</v>
      </c>
      <c r="G823" s="353">
        <f t="shared" si="30"/>
        <v>0</v>
      </c>
      <c r="H823" s="708" t="s">
        <v>2322</v>
      </c>
    </row>
    <row r="824" spans="1:10" s="360" customFormat="1" ht="15" hidden="1" customHeight="1">
      <c r="A824" s="356" t="s">
        <v>525</v>
      </c>
      <c r="B824" s="927"/>
      <c r="C824" s="707" t="s">
        <v>617</v>
      </c>
      <c r="D824" s="358">
        <f>WORK!I3230</f>
        <v>0</v>
      </c>
      <c r="E824" s="354" t="s">
        <v>115</v>
      </c>
      <c r="F824" s="355">
        <f>WORK!K3230</f>
        <v>310</v>
      </c>
      <c r="G824" s="353">
        <f t="shared" si="30"/>
        <v>0</v>
      </c>
      <c r="H824" s="708" t="s">
        <v>2226</v>
      </c>
    </row>
    <row r="825" spans="1:10" s="360" customFormat="1" ht="15" hidden="1" customHeight="1">
      <c r="A825" s="356" t="s">
        <v>525</v>
      </c>
      <c r="B825" s="927"/>
      <c r="C825" s="707" t="s">
        <v>617</v>
      </c>
      <c r="D825" s="358">
        <f>WORK!I3448</f>
        <v>0</v>
      </c>
      <c r="E825" s="354" t="s">
        <v>115</v>
      </c>
      <c r="F825" s="355">
        <f>WORK!K3448</f>
        <v>310</v>
      </c>
      <c r="G825" s="353">
        <f t="shared" si="30"/>
        <v>0</v>
      </c>
      <c r="H825" s="708" t="s">
        <v>2308</v>
      </c>
    </row>
    <row r="826" spans="1:10" s="360" customFormat="1" ht="15" hidden="1" customHeight="1">
      <c r="A826" s="356" t="s">
        <v>525</v>
      </c>
      <c r="B826" s="927"/>
      <c r="C826" s="707" t="s">
        <v>617</v>
      </c>
      <c r="D826" s="358">
        <f>WORK!I3669</f>
        <v>0</v>
      </c>
      <c r="E826" s="354" t="s">
        <v>115</v>
      </c>
      <c r="F826" s="355">
        <f>WORK!K3669</f>
        <v>341</v>
      </c>
      <c r="G826" s="353">
        <f t="shared" si="30"/>
        <v>0</v>
      </c>
      <c r="H826" s="708" t="s">
        <v>2321</v>
      </c>
    </row>
    <row r="827" spans="1:10" s="360" customFormat="1" ht="15" hidden="1" customHeight="1">
      <c r="A827" s="356" t="s">
        <v>525</v>
      </c>
      <c r="B827" s="927"/>
      <c r="C827" s="707" t="s">
        <v>617</v>
      </c>
      <c r="D827" s="358">
        <f>WORK!I3892</f>
        <v>0</v>
      </c>
      <c r="E827" s="354" t="s">
        <v>115</v>
      </c>
      <c r="F827" s="355">
        <f>WORK!K3892</f>
        <v>341</v>
      </c>
      <c r="G827" s="353">
        <f t="shared" si="30"/>
        <v>0</v>
      </c>
      <c r="H827" s="708" t="s">
        <v>2322</v>
      </c>
    </row>
    <row r="828" spans="1:10" s="360" customFormat="1" ht="15" hidden="1" customHeight="1">
      <c r="A828" s="356" t="s">
        <v>2046</v>
      </c>
      <c r="B828" s="927"/>
      <c r="C828" s="707" t="s">
        <v>439</v>
      </c>
      <c r="D828" s="358">
        <f>WORK!I3240</f>
        <v>0</v>
      </c>
      <c r="E828" s="354" t="s">
        <v>115</v>
      </c>
      <c r="F828" s="355">
        <f>WORK!K3240</f>
        <v>60</v>
      </c>
      <c r="G828" s="353">
        <f t="shared" si="30"/>
        <v>0</v>
      </c>
      <c r="H828" s="708" t="s">
        <v>2226</v>
      </c>
    </row>
    <row r="829" spans="1:10" s="360" customFormat="1" ht="15" hidden="1" customHeight="1">
      <c r="A829" s="356" t="s">
        <v>2046</v>
      </c>
      <c r="B829" s="927"/>
      <c r="C829" s="707" t="s">
        <v>439</v>
      </c>
      <c r="D829" s="358">
        <f>WORK!I3458</f>
        <v>0</v>
      </c>
      <c r="E829" s="354" t="s">
        <v>115</v>
      </c>
      <c r="F829" s="355">
        <f>WORK!K3458</f>
        <v>60</v>
      </c>
      <c r="H829" s="708" t="s">
        <v>2308</v>
      </c>
      <c r="J829" s="353">
        <f>ROUND(D829*F829,0)</f>
        <v>0</v>
      </c>
    </row>
    <row r="830" spans="1:10" s="360" customFormat="1" ht="15" hidden="1" customHeight="1">
      <c r="A830" s="356" t="s">
        <v>2046</v>
      </c>
      <c r="B830" s="927"/>
      <c r="C830" s="707" t="s">
        <v>439</v>
      </c>
      <c r="D830" s="358">
        <f>WORK!I3679</f>
        <v>0</v>
      </c>
      <c r="E830" s="354" t="s">
        <v>115</v>
      </c>
      <c r="F830" s="355">
        <f>WORK!K3679</f>
        <v>66</v>
      </c>
      <c r="G830" s="353">
        <f t="shared" si="30"/>
        <v>0</v>
      </c>
      <c r="H830" s="708" t="s">
        <v>2321</v>
      </c>
    </row>
    <row r="831" spans="1:10" s="360" customFormat="1" ht="15" hidden="1" customHeight="1">
      <c r="A831" s="356" t="s">
        <v>2046</v>
      </c>
      <c r="B831" s="927"/>
      <c r="C831" s="707" t="s">
        <v>439</v>
      </c>
      <c r="D831" s="358">
        <f>WORK!I3902</f>
        <v>0</v>
      </c>
      <c r="E831" s="354" t="s">
        <v>115</v>
      </c>
      <c r="F831" s="355">
        <f>WORK!K3902</f>
        <v>66</v>
      </c>
      <c r="G831" s="353">
        <f t="shared" si="30"/>
        <v>0</v>
      </c>
      <c r="H831" s="708" t="s">
        <v>2322</v>
      </c>
    </row>
    <row r="832" spans="1:10" s="360" customFormat="1" hidden="1">
      <c r="A832" s="356" t="s">
        <v>1587</v>
      </c>
      <c r="B832" s="927" t="s">
        <v>2681</v>
      </c>
      <c r="C832" s="707" t="s">
        <v>561</v>
      </c>
      <c r="D832" s="358">
        <f>WORK!I3250</f>
        <v>11</v>
      </c>
      <c r="E832" s="354" t="s">
        <v>115</v>
      </c>
      <c r="F832" s="355">
        <f>WORK!K3250</f>
        <v>105.53100000000001</v>
      </c>
      <c r="G832" s="353">
        <f t="shared" si="30"/>
        <v>1161</v>
      </c>
      <c r="H832" s="708" t="s">
        <v>2226</v>
      </c>
    </row>
    <row r="833" spans="1:10" s="360" customFormat="1" hidden="1">
      <c r="A833" s="356" t="s">
        <v>645</v>
      </c>
      <c r="B833" s="927" t="s">
        <v>2681</v>
      </c>
      <c r="C833" s="707" t="s">
        <v>561</v>
      </c>
      <c r="D833" s="358">
        <f>WORK!I3468</f>
        <v>0</v>
      </c>
      <c r="E833" s="354" t="s">
        <v>115</v>
      </c>
      <c r="F833" s="355">
        <f>WORK!K3468</f>
        <v>109.685</v>
      </c>
      <c r="G833" s="353">
        <f t="shared" si="30"/>
        <v>0</v>
      </c>
      <c r="H833" s="708" t="s">
        <v>2308</v>
      </c>
    </row>
    <row r="834" spans="1:10" s="360" customFormat="1" ht="15" hidden="1" customHeight="1">
      <c r="A834" s="356" t="s">
        <v>2047</v>
      </c>
      <c r="B834" s="927" t="s">
        <v>2681</v>
      </c>
      <c r="C834" s="707" t="s">
        <v>561</v>
      </c>
      <c r="D834" s="358">
        <f>WORK!I3689</f>
        <v>0</v>
      </c>
      <c r="E834" s="354" t="s">
        <v>115</v>
      </c>
      <c r="F834" s="355">
        <f>WORK!K3689</f>
        <v>118.04</v>
      </c>
      <c r="G834" s="353">
        <f t="shared" si="30"/>
        <v>0</v>
      </c>
      <c r="H834" s="708" t="s">
        <v>2321</v>
      </c>
    </row>
    <row r="835" spans="1:10" s="360" customFormat="1" ht="15" hidden="1" customHeight="1">
      <c r="A835" s="356" t="s">
        <v>2047</v>
      </c>
      <c r="B835" s="927" t="s">
        <v>2681</v>
      </c>
      <c r="C835" s="707" t="s">
        <v>561</v>
      </c>
      <c r="D835" s="358">
        <f>WORK!I3912</f>
        <v>0</v>
      </c>
      <c r="E835" s="354" t="s">
        <v>115</v>
      </c>
      <c r="F835" s="355">
        <f>WORK!K3912</f>
        <v>125.73500000000001</v>
      </c>
      <c r="G835" s="353">
        <f t="shared" si="30"/>
        <v>0</v>
      </c>
      <c r="H835" s="708" t="s">
        <v>2322</v>
      </c>
    </row>
    <row r="836" spans="1:10" s="360" customFormat="1" ht="15" hidden="1" customHeight="1">
      <c r="A836" s="356" t="s">
        <v>2048</v>
      </c>
      <c r="B836" s="927" t="s">
        <v>2682</v>
      </c>
      <c r="C836" s="707" t="s">
        <v>1258</v>
      </c>
      <c r="D836" s="358">
        <f>WORK!I3245</f>
        <v>0</v>
      </c>
      <c r="E836" s="354" t="s">
        <v>115</v>
      </c>
      <c r="F836" s="355">
        <f>WORK!K3245</f>
        <v>344.3</v>
      </c>
      <c r="G836" s="353">
        <f t="shared" si="30"/>
        <v>0</v>
      </c>
      <c r="H836" s="708" t="s">
        <v>2226</v>
      </c>
    </row>
    <row r="837" spans="1:10" s="360" customFormat="1" ht="15" hidden="1" customHeight="1">
      <c r="A837" s="356" t="s">
        <v>1587</v>
      </c>
      <c r="B837" s="927" t="s">
        <v>2682</v>
      </c>
      <c r="C837" s="707" t="s">
        <v>1258</v>
      </c>
      <c r="D837" s="358">
        <f>WORK!I3463</f>
        <v>0</v>
      </c>
      <c r="E837" s="354" t="s">
        <v>115</v>
      </c>
      <c r="F837" s="355">
        <f>WORK!K3463</f>
        <v>375.5</v>
      </c>
      <c r="G837" s="353">
        <f t="shared" si="30"/>
        <v>0</v>
      </c>
      <c r="H837" s="708" t="s">
        <v>2308</v>
      </c>
    </row>
    <row r="838" spans="1:10" s="360" customFormat="1" ht="15" hidden="1" customHeight="1">
      <c r="A838" s="356" t="s">
        <v>2048</v>
      </c>
      <c r="B838" s="927" t="s">
        <v>2682</v>
      </c>
      <c r="C838" s="707" t="s">
        <v>1258</v>
      </c>
      <c r="D838" s="358">
        <f>WORK!I3684</f>
        <v>0</v>
      </c>
      <c r="E838" s="354" t="s">
        <v>115</v>
      </c>
      <c r="F838" s="355">
        <f>WORK!K3684</f>
        <v>410</v>
      </c>
      <c r="G838" s="353">
        <f t="shared" si="30"/>
        <v>0</v>
      </c>
      <c r="H838" s="708" t="s">
        <v>2321</v>
      </c>
    </row>
    <row r="839" spans="1:10" s="360" customFormat="1" ht="15" hidden="1" customHeight="1">
      <c r="A839" s="356" t="s">
        <v>2048</v>
      </c>
      <c r="B839" s="927" t="s">
        <v>2682</v>
      </c>
      <c r="C839" s="707" t="s">
        <v>1258</v>
      </c>
      <c r="D839" s="358">
        <f>WORK!I3907</f>
        <v>0</v>
      </c>
      <c r="E839" s="354" t="s">
        <v>115</v>
      </c>
      <c r="F839" s="355">
        <f>WORK!K3907</f>
        <v>422.5</v>
      </c>
      <c r="G839" s="353">
        <f t="shared" si="30"/>
        <v>0</v>
      </c>
      <c r="H839" s="708" t="s">
        <v>2322</v>
      </c>
    </row>
    <row r="840" spans="1:10" s="360" customFormat="1" ht="15" hidden="1" customHeight="1">
      <c r="A840" s="356" t="s">
        <v>646</v>
      </c>
      <c r="B840" s="927"/>
      <c r="C840" s="707" t="s">
        <v>641</v>
      </c>
      <c r="D840" s="358">
        <f>WORK!I3255</f>
        <v>0</v>
      </c>
      <c r="E840" s="354" t="s">
        <v>115</v>
      </c>
      <c r="F840" s="355">
        <f>WORK!K3255</f>
        <v>99.531000000000006</v>
      </c>
      <c r="G840" s="353">
        <f t="shared" si="30"/>
        <v>0</v>
      </c>
      <c r="H840" s="708" t="s">
        <v>2226</v>
      </c>
    </row>
    <row r="841" spans="1:10" s="360" customFormat="1" ht="15" hidden="1" customHeight="1">
      <c r="A841" s="356" t="s">
        <v>646</v>
      </c>
      <c r="B841" s="927"/>
      <c r="C841" s="707" t="s">
        <v>641</v>
      </c>
      <c r="D841" s="358">
        <f>WORK!I3473</f>
        <v>0</v>
      </c>
      <c r="E841" s="354" t="s">
        <v>115</v>
      </c>
      <c r="F841" s="355">
        <f>WORK!K3473</f>
        <v>103.685</v>
      </c>
      <c r="G841" s="353">
        <f t="shared" si="30"/>
        <v>0</v>
      </c>
      <c r="H841" s="708" t="s">
        <v>2308</v>
      </c>
    </row>
    <row r="842" spans="1:10" s="360" customFormat="1" ht="15" hidden="1" customHeight="1">
      <c r="A842" s="356" t="s">
        <v>646</v>
      </c>
      <c r="B842" s="927"/>
      <c r="C842" s="707" t="s">
        <v>641</v>
      </c>
      <c r="D842" s="358">
        <f>WORK!I3694</f>
        <v>0</v>
      </c>
      <c r="E842" s="354" t="s">
        <v>115</v>
      </c>
      <c r="F842" s="355">
        <f>WORK!K3694</f>
        <v>112.04</v>
      </c>
      <c r="G842" s="353">
        <f t="shared" si="30"/>
        <v>0</v>
      </c>
      <c r="H842" s="708" t="s">
        <v>2321</v>
      </c>
    </row>
    <row r="843" spans="1:10" s="360" customFormat="1" ht="15" hidden="1" customHeight="1">
      <c r="A843" s="356" t="s">
        <v>646</v>
      </c>
      <c r="B843" s="927"/>
      <c r="C843" s="707" t="s">
        <v>641</v>
      </c>
      <c r="D843" s="358">
        <f>WORK!I3917</f>
        <v>0</v>
      </c>
      <c r="E843" s="354" t="s">
        <v>115</v>
      </c>
      <c r="F843" s="355">
        <f>WORK!K3917</f>
        <v>119.73500000000001</v>
      </c>
      <c r="G843" s="353">
        <f t="shared" si="30"/>
        <v>0</v>
      </c>
      <c r="H843" s="708" t="s">
        <v>2322</v>
      </c>
    </row>
    <row r="844" spans="1:10" s="360" customFormat="1" ht="15" hidden="1" customHeight="1">
      <c r="A844" s="356" t="s">
        <v>2049</v>
      </c>
      <c r="B844" s="927"/>
      <c r="C844" s="707" t="s">
        <v>624</v>
      </c>
      <c r="D844" s="358">
        <f>WORK!I3260</f>
        <v>0</v>
      </c>
      <c r="E844" s="354" t="s">
        <v>115</v>
      </c>
      <c r="F844" s="355">
        <f>WORK!K3260</f>
        <v>18</v>
      </c>
      <c r="G844" s="353">
        <f t="shared" si="30"/>
        <v>0</v>
      </c>
      <c r="H844" s="708" t="s">
        <v>2226</v>
      </c>
    </row>
    <row r="845" spans="1:10" s="360" customFormat="1" hidden="1">
      <c r="A845" s="356" t="s">
        <v>2049</v>
      </c>
      <c r="B845" s="927"/>
      <c r="C845" s="707" t="s">
        <v>624</v>
      </c>
      <c r="D845" s="358">
        <f>WORK!I3478</f>
        <v>0</v>
      </c>
      <c r="E845" s="354" t="s">
        <v>115</v>
      </c>
      <c r="F845" s="355">
        <f>WORK!K3478</f>
        <v>18</v>
      </c>
      <c r="H845" s="708" t="s">
        <v>2308</v>
      </c>
      <c r="J845" s="353">
        <f>ROUND(D845*F845,0)</f>
        <v>0</v>
      </c>
    </row>
    <row r="846" spans="1:10" s="360" customFormat="1" ht="15" hidden="1" customHeight="1">
      <c r="A846" s="356" t="s">
        <v>2049</v>
      </c>
      <c r="B846" s="927"/>
      <c r="C846" s="707" t="s">
        <v>624</v>
      </c>
      <c r="D846" s="358">
        <f>WORK!I3699</f>
        <v>0</v>
      </c>
      <c r="E846" s="354" t="s">
        <v>115</v>
      </c>
      <c r="F846" s="355">
        <f>WORK!K3699</f>
        <v>20</v>
      </c>
      <c r="G846" s="353">
        <f t="shared" ref="G846:G864" si="31">ROUND(D846*F846,0)</f>
        <v>0</v>
      </c>
      <c r="H846" s="708" t="s">
        <v>2321</v>
      </c>
    </row>
    <row r="847" spans="1:10" s="360" customFormat="1" ht="15" hidden="1" customHeight="1">
      <c r="A847" s="356" t="s">
        <v>2049</v>
      </c>
      <c r="B847" s="927"/>
      <c r="C847" s="707" t="s">
        <v>624</v>
      </c>
      <c r="D847" s="358">
        <f>WORK!I3922</f>
        <v>0</v>
      </c>
      <c r="E847" s="354" t="s">
        <v>115</v>
      </c>
      <c r="F847" s="355">
        <f>WORK!K3922</f>
        <v>21</v>
      </c>
      <c r="G847" s="353">
        <f t="shared" si="31"/>
        <v>0</v>
      </c>
      <c r="H847" s="708" t="s">
        <v>2322</v>
      </c>
    </row>
    <row r="848" spans="1:10" s="360" customFormat="1" hidden="1">
      <c r="A848" s="356" t="s">
        <v>1588</v>
      </c>
      <c r="B848" s="927" t="s">
        <v>2686</v>
      </c>
      <c r="C848" s="707" t="s">
        <v>562</v>
      </c>
      <c r="D848" s="358">
        <f>WORK!I3265</f>
        <v>2</v>
      </c>
      <c r="E848" s="354" t="s">
        <v>115</v>
      </c>
      <c r="F848" s="355">
        <f>WORK!K3265</f>
        <v>177.65</v>
      </c>
      <c r="G848" s="353">
        <f t="shared" si="31"/>
        <v>355</v>
      </c>
      <c r="H848" s="708" t="s">
        <v>2226</v>
      </c>
    </row>
    <row r="849" spans="1:8" s="360" customFormat="1" hidden="1">
      <c r="A849" s="356" t="s">
        <v>1588</v>
      </c>
      <c r="B849" s="927" t="s">
        <v>2686</v>
      </c>
      <c r="C849" s="707" t="s">
        <v>562</v>
      </c>
      <c r="D849" s="358">
        <f>WORK!I3483</f>
        <v>0</v>
      </c>
      <c r="E849" s="354" t="s">
        <v>115</v>
      </c>
      <c r="F849" s="355">
        <f>WORK!K3483</f>
        <v>120.75</v>
      </c>
      <c r="G849" s="353">
        <f t="shared" si="31"/>
        <v>0</v>
      </c>
      <c r="H849" s="708" t="s">
        <v>2308</v>
      </c>
    </row>
    <row r="850" spans="1:8" s="360" customFormat="1" ht="15" hidden="1" customHeight="1">
      <c r="A850" s="356" t="s">
        <v>2050</v>
      </c>
      <c r="B850" s="927" t="s">
        <v>2686</v>
      </c>
      <c r="C850" s="707" t="s">
        <v>562</v>
      </c>
      <c r="D850" s="358">
        <f>WORK!I3704</f>
        <v>0</v>
      </c>
      <c r="E850" s="354" t="s">
        <v>115</v>
      </c>
      <c r="F850" s="355">
        <f>WORK!K3704</f>
        <v>122</v>
      </c>
      <c r="G850" s="353">
        <f t="shared" si="31"/>
        <v>0</v>
      </c>
      <c r="H850" s="708" t="s">
        <v>2321</v>
      </c>
    </row>
    <row r="851" spans="1:8" s="360" customFormat="1" ht="15" hidden="1" customHeight="1">
      <c r="A851" s="356" t="s">
        <v>2050</v>
      </c>
      <c r="B851" s="927" t="s">
        <v>2686</v>
      </c>
      <c r="C851" s="707" t="s">
        <v>562</v>
      </c>
      <c r="D851" s="358">
        <f>WORK!I3927</f>
        <v>0</v>
      </c>
      <c r="E851" s="354" t="s">
        <v>115</v>
      </c>
      <c r="F851" s="355">
        <f>WORK!K3927</f>
        <v>127.25</v>
      </c>
      <c r="G851" s="353">
        <f t="shared" si="31"/>
        <v>0</v>
      </c>
      <c r="H851" s="708" t="s">
        <v>2322</v>
      </c>
    </row>
    <row r="852" spans="1:8" s="360" customFormat="1" hidden="1">
      <c r="A852" s="356" t="s">
        <v>2058</v>
      </c>
      <c r="B852" s="927" t="s">
        <v>2683</v>
      </c>
      <c r="C852" s="707" t="s">
        <v>563</v>
      </c>
      <c r="D852" s="358">
        <f>WORK!I3270</f>
        <v>3</v>
      </c>
      <c r="E852" s="354" t="s">
        <v>115</v>
      </c>
      <c r="F852" s="355">
        <f>WORK!K3270</f>
        <v>2636.625</v>
      </c>
      <c r="G852" s="353">
        <f t="shared" si="31"/>
        <v>7910</v>
      </c>
      <c r="H852" s="708" t="s">
        <v>2226</v>
      </c>
    </row>
    <row r="853" spans="1:8" s="360" customFormat="1" ht="15" hidden="1" customHeight="1">
      <c r="A853" s="356" t="s">
        <v>2058</v>
      </c>
      <c r="B853" s="927" t="s">
        <v>2683</v>
      </c>
      <c r="C853" s="707" t="s">
        <v>563</v>
      </c>
      <c r="D853" s="358">
        <f>WORK!I3489</f>
        <v>0</v>
      </c>
      <c r="E853" s="354" t="s">
        <v>115</v>
      </c>
      <c r="F853" s="355">
        <f>WORK!K3489</f>
        <v>2644.375</v>
      </c>
      <c r="G853" s="353">
        <f t="shared" si="31"/>
        <v>0</v>
      </c>
      <c r="H853" s="708" t="s">
        <v>2308</v>
      </c>
    </row>
    <row r="854" spans="1:8" s="360" customFormat="1" ht="15" hidden="1" customHeight="1">
      <c r="A854" s="356" t="s">
        <v>2058</v>
      </c>
      <c r="B854" s="927" t="s">
        <v>2683</v>
      </c>
      <c r="C854" s="707" t="s">
        <v>563</v>
      </c>
      <c r="D854" s="358">
        <f>WORK!I3709</f>
        <v>0</v>
      </c>
      <c r="E854" s="354" t="s">
        <v>115</v>
      </c>
      <c r="F854" s="355">
        <f>WORK!K3709</f>
        <v>3020.3799999999997</v>
      </c>
      <c r="G854" s="353">
        <f t="shared" si="31"/>
        <v>0</v>
      </c>
      <c r="H854" s="708" t="s">
        <v>2321</v>
      </c>
    </row>
    <row r="855" spans="1:8" s="360" customFormat="1" ht="15" hidden="1" customHeight="1">
      <c r="A855" s="356" t="s">
        <v>2058</v>
      </c>
      <c r="B855" s="927" t="s">
        <v>2683</v>
      </c>
      <c r="C855" s="707" t="s">
        <v>563</v>
      </c>
      <c r="D855" s="358">
        <f>WORK!I3932</f>
        <v>0</v>
      </c>
      <c r="E855" s="354" t="s">
        <v>115</v>
      </c>
      <c r="F855" s="355">
        <f>WORK!K3932</f>
        <v>3312.1849999999999</v>
      </c>
      <c r="G855" s="353">
        <f t="shared" si="31"/>
        <v>0</v>
      </c>
      <c r="H855" s="708" t="s">
        <v>2322</v>
      </c>
    </row>
    <row r="856" spans="1:8" s="360" customFormat="1" ht="15" hidden="1" customHeight="1">
      <c r="A856" s="356" t="s">
        <v>646</v>
      </c>
      <c r="B856" s="927" t="s">
        <v>2683</v>
      </c>
      <c r="C856" s="707" t="s">
        <v>563</v>
      </c>
      <c r="D856" s="358">
        <f>WORK!I3280</f>
        <v>0</v>
      </c>
      <c r="E856" s="354" t="s">
        <v>115</v>
      </c>
      <c r="F856" s="355">
        <f>WORK!K3280</f>
        <v>2323</v>
      </c>
      <c r="G856" s="353">
        <f t="shared" si="31"/>
        <v>0</v>
      </c>
      <c r="H856" s="708" t="s">
        <v>2226</v>
      </c>
    </row>
    <row r="857" spans="1:8" s="360" customFormat="1" hidden="1">
      <c r="A857" s="356" t="s">
        <v>646</v>
      </c>
      <c r="B857" s="927" t="s">
        <v>2683</v>
      </c>
      <c r="C857" s="707" t="s">
        <v>563</v>
      </c>
      <c r="D857" s="358">
        <f>WORK!I3499</f>
        <v>0</v>
      </c>
      <c r="E857" s="354" t="s">
        <v>115</v>
      </c>
      <c r="F857" s="355">
        <f>WORK!K3499</f>
        <v>2323</v>
      </c>
      <c r="G857" s="353">
        <f t="shared" si="31"/>
        <v>0</v>
      </c>
      <c r="H857" s="708" t="s">
        <v>2308</v>
      </c>
    </row>
    <row r="858" spans="1:8" s="360" customFormat="1" ht="15" hidden="1" customHeight="1">
      <c r="A858" s="356" t="s">
        <v>2052</v>
      </c>
      <c r="B858" s="927" t="s">
        <v>2683</v>
      </c>
      <c r="C858" s="707" t="s">
        <v>563</v>
      </c>
      <c r="D858" s="358">
        <f>WORK!I3719</f>
        <v>0</v>
      </c>
      <c r="E858" s="354" t="s">
        <v>115</v>
      </c>
      <c r="F858" s="355">
        <f>WORK!K3719</f>
        <v>2671.45</v>
      </c>
      <c r="G858" s="353">
        <f t="shared" si="31"/>
        <v>0</v>
      </c>
      <c r="H858" s="708" t="s">
        <v>2321</v>
      </c>
    </row>
    <row r="859" spans="1:8" s="360" customFormat="1" ht="15" hidden="1" customHeight="1">
      <c r="A859" s="356" t="s">
        <v>2052</v>
      </c>
      <c r="B859" s="927" t="s">
        <v>2683</v>
      </c>
      <c r="C859" s="707" t="s">
        <v>563</v>
      </c>
      <c r="D859" s="358">
        <f>WORK!I3949</f>
        <v>0</v>
      </c>
      <c r="E859" s="354" t="s">
        <v>115</v>
      </c>
      <c r="F859" s="355">
        <f>WORK!K3949</f>
        <v>2941.12</v>
      </c>
      <c r="G859" s="353">
        <f t="shared" si="31"/>
        <v>0</v>
      </c>
      <c r="H859" s="708" t="s">
        <v>2322</v>
      </c>
    </row>
    <row r="860" spans="1:8" s="360" customFormat="1" hidden="1">
      <c r="A860" s="356" t="s">
        <v>1144</v>
      </c>
      <c r="B860" s="927" t="s">
        <v>2684</v>
      </c>
      <c r="C860" s="707" t="s">
        <v>831</v>
      </c>
      <c r="D860" s="358">
        <f>WORK!I3285</f>
        <v>0</v>
      </c>
      <c r="E860" s="354" t="s">
        <v>115</v>
      </c>
      <c r="F860" s="355">
        <f>WORK!K3285</f>
        <v>237.5</v>
      </c>
      <c r="G860" s="353">
        <f t="shared" si="31"/>
        <v>0</v>
      </c>
      <c r="H860" s="708" t="s">
        <v>2226</v>
      </c>
    </row>
    <row r="861" spans="1:8" s="360" customFormat="1" hidden="1">
      <c r="A861" s="356" t="s">
        <v>1144</v>
      </c>
      <c r="B861" s="927" t="s">
        <v>2684</v>
      </c>
      <c r="C861" s="707" t="s">
        <v>831</v>
      </c>
      <c r="D861" s="358">
        <f>WORK!I3504</f>
        <v>0</v>
      </c>
      <c r="E861" s="354" t="s">
        <v>115</v>
      </c>
      <c r="F861" s="355">
        <f>WORK!K3504</f>
        <v>241</v>
      </c>
      <c r="G861" s="353">
        <f t="shared" si="31"/>
        <v>0</v>
      </c>
      <c r="H861" s="708" t="s">
        <v>2308</v>
      </c>
    </row>
    <row r="862" spans="1:8" s="360" customFormat="1" ht="15" hidden="1" customHeight="1">
      <c r="A862" s="356" t="s">
        <v>2053</v>
      </c>
      <c r="B862" s="927" t="s">
        <v>2684</v>
      </c>
      <c r="C862" s="707" t="s">
        <v>831</v>
      </c>
      <c r="D862" s="358">
        <f>WORK!I3724</f>
        <v>0</v>
      </c>
      <c r="E862" s="354" t="s">
        <v>115</v>
      </c>
      <c r="F862" s="355">
        <f>WORK!K3724</f>
        <v>263</v>
      </c>
      <c r="G862" s="353">
        <f t="shared" si="31"/>
        <v>0</v>
      </c>
      <c r="H862" s="708" t="s">
        <v>2321</v>
      </c>
    </row>
    <row r="863" spans="1:8" s="360" customFormat="1" ht="15" hidden="1" customHeight="1">
      <c r="A863" s="356" t="s">
        <v>2053</v>
      </c>
      <c r="B863" s="927" t="s">
        <v>2684</v>
      </c>
      <c r="C863" s="707" t="s">
        <v>831</v>
      </c>
      <c r="D863" s="358">
        <f>WORK!I3961</f>
        <v>0</v>
      </c>
      <c r="E863" s="354" t="s">
        <v>115</v>
      </c>
      <c r="F863" s="355">
        <f>WORK!K3961</f>
        <v>278</v>
      </c>
      <c r="G863" s="353">
        <f t="shared" si="31"/>
        <v>0</v>
      </c>
      <c r="H863" s="708" t="s">
        <v>2322</v>
      </c>
    </row>
    <row r="864" spans="1:8" s="360" customFormat="1" hidden="1">
      <c r="A864" s="356" t="s">
        <v>1589</v>
      </c>
      <c r="B864" s="927"/>
      <c r="C864" s="707" t="s">
        <v>967</v>
      </c>
      <c r="D864" s="358">
        <f>WORK!I3290</f>
        <v>0</v>
      </c>
      <c r="E864" s="354" t="s">
        <v>115</v>
      </c>
      <c r="F864" s="355">
        <f>WORK!K3290</f>
        <v>133.625</v>
      </c>
      <c r="G864" s="353">
        <f t="shared" si="31"/>
        <v>0</v>
      </c>
      <c r="H864" s="708" t="s">
        <v>2226</v>
      </c>
    </row>
    <row r="865" spans="1:10" s="360" customFormat="1" hidden="1">
      <c r="A865" s="356" t="s">
        <v>2054</v>
      </c>
      <c r="B865" s="927"/>
      <c r="C865" s="707" t="s">
        <v>967</v>
      </c>
      <c r="D865" s="358">
        <f>WORK!I3509</f>
        <v>0</v>
      </c>
      <c r="E865" s="354" t="s">
        <v>115</v>
      </c>
      <c r="F865" s="355">
        <f>WORK!K3509</f>
        <v>141.375</v>
      </c>
      <c r="H865" s="708" t="s">
        <v>2308</v>
      </c>
      <c r="J865" s="353">
        <f>ROUND(D865*F865,0)</f>
        <v>0</v>
      </c>
    </row>
    <row r="866" spans="1:10" s="360" customFormat="1" ht="15" hidden="1" customHeight="1">
      <c r="A866" s="356" t="s">
        <v>2054</v>
      </c>
      <c r="B866" s="927"/>
      <c r="C866" s="707" t="s">
        <v>967</v>
      </c>
      <c r="D866" s="358">
        <f>WORK!I3729</f>
        <v>0</v>
      </c>
      <c r="E866" s="354" t="s">
        <v>115</v>
      </c>
      <c r="F866" s="355">
        <f>WORK!K3729</f>
        <v>158.43</v>
      </c>
      <c r="G866" s="353">
        <f t="shared" ref="G866:G872" si="32">ROUND(D866*F866,0)</f>
        <v>0</v>
      </c>
      <c r="H866" s="708" t="s">
        <v>2321</v>
      </c>
    </row>
    <row r="867" spans="1:10" s="360" customFormat="1" ht="15" hidden="1" customHeight="1">
      <c r="A867" s="356" t="s">
        <v>2054</v>
      </c>
      <c r="B867" s="927"/>
      <c r="C867" s="707" t="s">
        <v>967</v>
      </c>
      <c r="D867" s="358">
        <f>WORK!I3973</f>
        <v>0</v>
      </c>
      <c r="E867" s="354" t="s">
        <v>115</v>
      </c>
      <c r="F867" s="355">
        <f>WORK!K3973</f>
        <v>163.065</v>
      </c>
      <c r="G867" s="353">
        <f t="shared" si="32"/>
        <v>0</v>
      </c>
      <c r="H867" s="708" t="s">
        <v>2322</v>
      </c>
    </row>
    <row r="868" spans="1:10" s="360" customFormat="1" hidden="1">
      <c r="A868" s="356" t="s">
        <v>1590</v>
      </c>
      <c r="B868" s="927"/>
      <c r="C868" s="707" t="s">
        <v>832</v>
      </c>
      <c r="D868" s="358">
        <f>WORK!I3297</f>
        <v>0</v>
      </c>
      <c r="E868" s="354" t="s">
        <v>115</v>
      </c>
      <c r="F868" s="355">
        <f>WORK!K3297</f>
        <v>126.80000000000001</v>
      </c>
      <c r="G868" s="353">
        <f t="shared" si="32"/>
        <v>0</v>
      </c>
      <c r="H868" s="708" t="s">
        <v>2226</v>
      </c>
    </row>
    <row r="869" spans="1:10" s="360" customFormat="1" ht="15" hidden="1" customHeight="1">
      <c r="A869" s="356" t="s">
        <v>642</v>
      </c>
      <c r="B869" s="927"/>
      <c r="C869" s="707" t="s">
        <v>832</v>
      </c>
      <c r="D869" s="358">
        <f>WORK!I3516</f>
        <v>0</v>
      </c>
      <c r="E869" s="354" t="s">
        <v>115</v>
      </c>
      <c r="F869" s="355">
        <f>WORK!K3516</f>
        <v>129.5</v>
      </c>
      <c r="G869" s="353">
        <f t="shared" si="32"/>
        <v>0</v>
      </c>
      <c r="H869" s="708" t="s">
        <v>2308</v>
      </c>
    </row>
    <row r="870" spans="1:10" s="360" customFormat="1" ht="15" hidden="1" customHeight="1">
      <c r="A870" s="356" t="s">
        <v>642</v>
      </c>
      <c r="B870" s="927"/>
      <c r="C870" s="707" t="s">
        <v>832</v>
      </c>
      <c r="D870" s="358">
        <f>WORK!I3736</f>
        <v>0</v>
      </c>
      <c r="E870" s="354" t="s">
        <v>115</v>
      </c>
      <c r="F870" s="355">
        <f>WORK!K3736</f>
        <v>147</v>
      </c>
      <c r="G870" s="353">
        <f t="shared" si="32"/>
        <v>0</v>
      </c>
      <c r="H870" s="708" t="s">
        <v>2321</v>
      </c>
    </row>
    <row r="871" spans="1:10" s="360" customFormat="1" ht="15" hidden="1" customHeight="1">
      <c r="A871" s="356" t="s">
        <v>642</v>
      </c>
      <c r="B871" s="927"/>
      <c r="C871" s="707" t="s">
        <v>832</v>
      </c>
      <c r="D871" s="358">
        <f>WORK!I3980</f>
        <v>0</v>
      </c>
      <c r="E871" s="354" t="s">
        <v>115</v>
      </c>
      <c r="F871" s="355">
        <f>WORK!K3980</f>
        <v>161.5</v>
      </c>
      <c r="G871" s="353">
        <f t="shared" si="32"/>
        <v>0</v>
      </c>
      <c r="H871" s="708" t="s">
        <v>2322</v>
      </c>
    </row>
    <row r="872" spans="1:10" s="360" customFormat="1" ht="15" hidden="1" customHeight="1">
      <c r="A872" s="356" t="s">
        <v>2055</v>
      </c>
      <c r="B872" s="927"/>
      <c r="C872" s="707" t="s">
        <v>1576</v>
      </c>
      <c r="D872" s="358">
        <f>WORK!I3275</f>
        <v>0</v>
      </c>
      <c r="E872" s="354" t="s">
        <v>115</v>
      </c>
      <c r="F872" s="355">
        <f>WORK!K3275</f>
        <v>252.38800000000001</v>
      </c>
      <c r="G872" s="353">
        <f t="shared" si="32"/>
        <v>0</v>
      </c>
      <c r="H872" s="708" t="s">
        <v>2226</v>
      </c>
    </row>
    <row r="873" spans="1:10" s="360" customFormat="1" hidden="1">
      <c r="A873" s="356" t="s">
        <v>2055</v>
      </c>
      <c r="B873" s="927"/>
      <c r="C873" s="707" t="s">
        <v>1576</v>
      </c>
      <c r="D873" s="358">
        <f>WORK!I3494</f>
        <v>0</v>
      </c>
      <c r="E873" s="354" t="s">
        <v>115</v>
      </c>
      <c r="F873" s="355">
        <f>WORK!K3494</f>
        <v>195.17000000000002</v>
      </c>
      <c r="H873" s="708" t="s">
        <v>2308</v>
      </c>
      <c r="J873" s="353">
        <f>ROUND(D873*F873,0)</f>
        <v>0</v>
      </c>
    </row>
    <row r="874" spans="1:10" s="360" customFormat="1" ht="15" hidden="1" customHeight="1">
      <c r="A874" s="356" t="s">
        <v>2055</v>
      </c>
      <c r="B874" s="927"/>
      <c r="C874" s="707" t="s">
        <v>1576</v>
      </c>
      <c r="D874" s="358">
        <f>WORK!I3714</f>
        <v>0</v>
      </c>
      <c r="E874" s="354" t="s">
        <v>115</v>
      </c>
      <c r="F874" s="355">
        <f>WORK!K3714</f>
        <v>208.13000000000002</v>
      </c>
      <c r="G874" s="353">
        <f t="shared" ref="G874:G903" si="33">ROUND(D874*F874,0)</f>
        <v>0</v>
      </c>
      <c r="H874" s="708" t="s">
        <v>2321</v>
      </c>
    </row>
    <row r="875" spans="1:10" s="360" customFormat="1" ht="15" hidden="1" customHeight="1">
      <c r="A875" s="356" t="s">
        <v>2055</v>
      </c>
      <c r="B875" s="927"/>
      <c r="C875" s="707" t="s">
        <v>1576</v>
      </c>
      <c r="D875" s="358">
        <f>WORK!I3937</f>
        <v>0</v>
      </c>
      <c r="E875" s="354" t="s">
        <v>115</v>
      </c>
      <c r="F875" s="355">
        <f>WORK!K3937</f>
        <v>230.73000000000002</v>
      </c>
      <c r="G875" s="353">
        <f t="shared" si="33"/>
        <v>0</v>
      </c>
      <c r="H875" s="708" t="s">
        <v>2322</v>
      </c>
    </row>
    <row r="876" spans="1:10" s="360" customFormat="1" hidden="1">
      <c r="A876" s="356" t="s">
        <v>1591</v>
      </c>
      <c r="B876" s="927" t="s">
        <v>2685</v>
      </c>
      <c r="C876" s="707" t="s">
        <v>564</v>
      </c>
      <c r="D876" s="358">
        <f>WORK!I3302</f>
        <v>8</v>
      </c>
      <c r="E876" s="354" t="s">
        <v>115</v>
      </c>
      <c r="F876" s="355">
        <f>WORK!K3302</f>
        <v>404.1</v>
      </c>
      <c r="G876" s="353">
        <f t="shared" si="33"/>
        <v>3233</v>
      </c>
      <c r="H876" s="708" t="s">
        <v>2226</v>
      </c>
    </row>
    <row r="877" spans="1:10" s="360" customFormat="1" hidden="1">
      <c r="A877" s="356" t="s">
        <v>1589</v>
      </c>
      <c r="B877" s="927" t="s">
        <v>2685</v>
      </c>
      <c r="C877" s="707" t="s">
        <v>564</v>
      </c>
      <c r="D877" s="358">
        <f>WORK!I3521</f>
        <v>0</v>
      </c>
      <c r="E877" s="354" t="s">
        <v>115</v>
      </c>
      <c r="F877" s="355">
        <f>WORK!K3521</f>
        <v>410.5</v>
      </c>
      <c r="G877" s="353">
        <f t="shared" si="33"/>
        <v>0</v>
      </c>
      <c r="H877" s="708" t="s">
        <v>2308</v>
      </c>
    </row>
    <row r="878" spans="1:10" s="360" customFormat="1" ht="15" hidden="1" customHeight="1">
      <c r="A878" s="356" t="s">
        <v>2056</v>
      </c>
      <c r="B878" s="927" t="s">
        <v>2685</v>
      </c>
      <c r="C878" s="707" t="s">
        <v>564</v>
      </c>
      <c r="D878" s="358">
        <f>WORK!I3741</f>
        <v>0</v>
      </c>
      <c r="E878" s="354" t="s">
        <v>115</v>
      </c>
      <c r="F878" s="355">
        <f>WORK!K3741</f>
        <v>395.93</v>
      </c>
      <c r="G878" s="353">
        <f t="shared" si="33"/>
        <v>0</v>
      </c>
      <c r="H878" s="708" t="s">
        <v>2321</v>
      </c>
    </row>
    <row r="879" spans="1:10" s="360" customFormat="1" ht="15" hidden="1" customHeight="1">
      <c r="A879" s="356" t="s">
        <v>2056</v>
      </c>
      <c r="B879" s="927" t="s">
        <v>2685</v>
      </c>
      <c r="C879" s="707" t="s">
        <v>564</v>
      </c>
      <c r="D879" s="358">
        <f>WORK!I3985</f>
        <v>0</v>
      </c>
      <c r="E879" s="354" t="s">
        <v>115</v>
      </c>
      <c r="F879" s="355">
        <f>WORK!K3985</f>
        <v>406.44</v>
      </c>
      <c r="G879" s="353">
        <f t="shared" si="33"/>
        <v>0</v>
      </c>
      <c r="H879" s="708" t="s">
        <v>2322</v>
      </c>
    </row>
    <row r="880" spans="1:10" s="360" customFormat="1" ht="15" hidden="1" customHeight="1">
      <c r="A880" s="356" t="s">
        <v>2060</v>
      </c>
      <c r="B880" s="927" t="s">
        <v>2687</v>
      </c>
      <c r="C880" s="707" t="s">
        <v>2275</v>
      </c>
      <c r="D880" s="358">
        <f>WORK!I3307</f>
        <v>0</v>
      </c>
      <c r="E880" s="354" t="s">
        <v>115</v>
      </c>
      <c r="F880" s="355">
        <f>WORK!K3307</f>
        <v>1980</v>
      </c>
      <c r="G880" s="353">
        <f t="shared" si="33"/>
        <v>0</v>
      </c>
      <c r="H880" s="708" t="s">
        <v>2226</v>
      </c>
    </row>
    <row r="881" spans="1:8" s="360" customFormat="1" ht="15" hidden="1" customHeight="1">
      <c r="A881" s="356" t="s">
        <v>2060</v>
      </c>
      <c r="B881" s="927" t="s">
        <v>2687</v>
      </c>
      <c r="C881" s="707" t="s">
        <v>2275</v>
      </c>
      <c r="D881" s="358">
        <f>WORK!I3526</f>
        <v>0</v>
      </c>
      <c r="E881" s="354" t="s">
        <v>115</v>
      </c>
      <c r="F881" s="355">
        <f>WORK!K3526</f>
        <v>1980</v>
      </c>
      <c r="G881" s="353">
        <f t="shared" si="33"/>
        <v>0</v>
      </c>
      <c r="H881" s="708" t="s">
        <v>2308</v>
      </c>
    </row>
    <row r="882" spans="1:8" s="360" customFormat="1" ht="15" hidden="1" customHeight="1">
      <c r="A882" s="356" t="s">
        <v>2060</v>
      </c>
      <c r="B882" s="927" t="s">
        <v>2687</v>
      </c>
      <c r="C882" s="707" t="s">
        <v>2275</v>
      </c>
      <c r="D882" s="358">
        <f>WORK!I3746</f>
        <v>0</v>
      </c>
      <c r="E882" s="354" t="s">
        <v>115</v>
      </c>
      <c r="F882" s="355">
        <f>WORK!K3746</f>
        <v>1822</v>
      </c>
      <c r="G882" s="353">
        <f t="shared" si="33"/>
        <v>0</v>
      </c>
      <c r="H882" s="708" t="s">
        <v>2321</v>
      </c>
    </row>
    <row r="883" spans="1:8" s="360" customFormat="1" ht="15" hidden="1" customHeight="1">
      <c r="A883" s="356" t="s">
        <v>2060</v>
      </c>
      <c r="B883" s="927" t="s">
        <v>2687</v>
      </c>
      <c r="C883" s="707" t="s">
        <v>2275</v>
      </c>
      <c r="D883" s="358">
        <f>WORK!I3990</f>
        <v>0</v>
      </c>
      <c r="E883" s="354" t="s">
        <v>115</v>
      </c>
      <c r="F883" s="355">
        <f>WORK!K3990</f>
        <v>1822</v>
      </c>
      <c r="G883" s="353">
        <f t="shared" si="33"/>
        <v>0</v>
      </c>
      <c r="H883" s="708" t="s">
        <v>2322</v>
      </c>
    </row>
    <row r="884" spans="1:8" s="360" customFormat="1" ht="15" hidden="1" customHeight="1">
      <c r="A884" s="356" t="s">
        <v>2060</v>
      </c>
      <c r="B884" s="927" t="s">
        <v>2687</v>
      </c>
      <c r="C884" s="707" t="s">
        <v>2276</v>
      </c>
      <c r="D884" s="358">
        <f>WORK!I3312</f>
        <v>0</v>
      </c>
      <c r="E884" s="354" t="s">
        <v>115</v>
      </c>
      <c r="F884" s="355">
        <f>WORK!K3312</f>
        <v>5900</v>
      </c>
      <c r="G884" s="353">
        <f t="shared" si="33"/>
        <v>0</v>
      </c>
      <c r="H884" s="708" t="s">
        <v>2226</v>
      </c>
    </row>
    <row r="885" spans="1:8" s="360" customFormat="1" ht="15" hidden="1" customHeight="1">
      <c r="A885" s="356" t="s">
        <v>2060</v>
      </c>
      <c r="B885" s="927" t="s">
        <v>2687</v>
      </c>
      <c r="C885" s="707" t="s">
        <v>2276</v>
      </c>
      <c r="D885" s="358">
        <f>WORK!I3531</f>
        <v>0</v>
      </c>
      <c r="E885" s="354" t="s">
        <v>115</v>
      </c>
      <c r="F885" s="355">
        <f>WORK!K3531</f>
        <v>5900</v>
      </c>
      <c r="G885" s="353">
        <f t="shared" si="33"/>
        <v>0</v>
      </c>
      <c r="H885" s="708" t="s">
        <v>2308</v>
      </c>
    </row>
    <row r="886" spans="1:8" s="360" customFormat="1" ht="15" hidden="1" customHeight="1">
      <c r="A886" s="356" t="s">
        <v>2060</v>
      </c>
      <c r="B886" s="927" t="s">
        <v>2687</v>
      </c>
      <c r="C886" s="707" t="s">
        <v>2276</v>
      </c>
      <c r="D886" s="358">
        <f>WORK!I3751</f>
        <v>0</v>
      </c>
      <c r="E886" s="354" t="s">
        <v>115</v>
      </c>
      <c r="F886" s="355">
        <f>WORK!K3751</f>
        <v>5428</v>
      </c>
      <c r="G886" s="353">
        <f t="shared" si="33"/>
        <v>0</v>
      </c>
      <c r="H886" s="708" t="s">
        <v>2321</v>
      </c>
    </row>
    <row r="887" spans="1:8" s="360" customFormat="1" ht="15" hidden="1" customHeight="1">
      <c r="A887" s="356" t="s">
        <v>2060</v>
      </c>
      <c r="B887" s="927" t="s">
        <v>2687</v>
      </c>
      <c r="C887" s="707" t="s">
        <v>2276</v>
      </c>
      <c r="D887" s="358">
        <f>WORK!I3995</f>
        <v>0</v>
      </c>
      <c r="E887" s="354" t="s">
        <v>115</v>
      </c>
      <c r="F887" s="355">
        <f>WORK!K3995</f>
        <v>5428</v>
      </c>
      <c r="G887" s="353">
        <f t="shared" si="33"/>
        <v>0</v>
      </c>
      <c r="H887" s="708" t="s">
        <v>2322</v>
      </c>
    </row>
    <row r="888" spans="1:8" s="360" customFormat="1" ht="15" hidden="1" customHeight="1">
      <c r="A888" s="356" t="s">
        <v>647</v>
      </c>
      <c r="B888" s="927" t="s">
        <v>2690</v>
      </c>
      <c r="C888" s="707" t="s">
        <v>715</v>
      </c>
      <c r="D888" s="358">
        <f>WORK!I3322</f>
        <v>1</v>
      </c>
      <c r="E888" s="354" t="s">
        <v>115</v>
      </c>
      <c r="F888" s="355">
        <f>WORK!K3322</f>
        <v>2936</v>
      </c>
      <c r="G888" s="353">
        <f t="shared" si="33"/>
        <v>2936</v>
      </c>
      <c r="H888" s="708" t="s">
        <v>2226</v>
      </c>
    </row>
    <row r="889" spans="1:8" s="360" customFormat="1" hidden="1">
      <c r="A889" s="356" t="s">
        <v>1590</v>
      </c>
      <c r="B889" s="927" t="s">
        <v>2690</v>
      </c>
      <c r="C889" s="707" t="s">
        <v>715</v>
      </c>
      <c r="D889" s="358">
        <f>WORK!I3541</f>
        <v>0</v>
      </c>
      <c r="E889" s="354" t="s">
        <v>115</v>
      </c>
      <c r="F889" s="355">
        <f>WORK!K3541</f>
        <v>2995</v>
      </c>
      <c r="G889" s="353">
        <f t="shared" si="33"/>
        <v>0</v>
      </c>
      <c r="H889" s="708" t="s">
        <v>2308</v>
      </c>
    </row>
    <row r="890" spans="1:8" s="360" customFormat="1" ht="15" hidden="1" customHeight="1">
      <c r="A890" s="356" t="s">
        <v>2057</v>
      </c>
      <c r="B890" s="927" t="s">
        <v>2690</v>
      </c>
      <c r="C890" s="707" t="s">
        <v>715</v>
      </c>
      <c r="D890" s="358">
        <f>WORK!I3761</f>
        <v>0</v>
      </c>
      <c r="E890" s="354" t="s">
        <v>115</v>
      </c>
      <c r="F890" s="355">
        <f>WORK!K3761</f>
        <v>3255</v>
      </c>
      <c r="G890" s="353">
        <f t="shared" si="33"/>
        <v>0</v>
      </c>
      <c r="H890" s="708" t="s">
        <v>2321</v>
      </c>
    </row>
    <row r="891" spans="1:8" s="360" customFormat="1" ht="15" hidden="1" customHeight="1">
      <c r="A891" s="356" t="s">
        <v>2057</v>
      </c>
      <c r="B891" s="927" t="s">
        <v>2690</v>
      </c>
      <c r="C891" s="707" t="s">
        <v>715</v>
      </c>
      <c r="D891" s="358">
        <f>WORK!I4005</f>
        <v>0</v>
      </c>
      <c r="E891" s="354" t="s">
        <v>115</v>
      </c>
      <c r="F891" s="355">
        <f>WORK!K4005</f>
        <v>3662</v>
      </c>
      <c r="G891" s="353">
        <f t="shared" si="33"/>
        <v>0</v>
      </c>
      <c r="H891" s="708" t="s">
        <v>2322</v>
      </c>
    </row>
    <row r="892" spans="1:8" s="360" customFormat="1" hidden="1">
      <c r="A892" s="356" t="s">
        <v>1592</v>
      </c>
      <c r="B892" s="927"/>
      <c r="C892" s="707" t="s">
        <v>797</v>
      </c>
      <c r="D892" s="358">
        <f>WORK!I3317</f>
        <v>0</v>
      </c>
      <c r="E892" s="354" t="s">
        <v>115</v>
      </c>
      <c r="F892" s="355">
        <f>WORK!K3317</f>
        <v>1290</v>
      </c>
      <c r="G892" s="353">
        <f t="shared" si="33"/>
        <v>0</v>
      </c>
      <c r="H892" s="708" t="s">
        <v>2226</v>
      </c>
    </row>
    <row r="893" spans="1:8" s="360" customFormat="1" ht="15" hidden="1" customHeight="1">
      <c r="A893" s="356" t="s">
        <v>1577</v>
      </c>
      <c r="B893" s="927"/>
      <c r="C893" s="707" t="s">
        <v>797</v>
      </c>
      <c r="D893" s="358">
        <f>WORK!I3536</f>
        <v>0</v>
      </c>
      <c r="E893" s="354" t="s">
        <v>115</v>
      </c>
      <c r="F893" s="355">
        <f>WORK!K3536</f>
        <v>1290</v>
      </c>
      <c r="G893" s="353">
        <f t="shared" si="33"/>
        <v>0</v>
      </c>
      <c r="H893" s="708" t="s">
        <v>2308</v>
      </c>
    </row>
    <row r="894" spans="1:8" s="360" customFormat="1" ht="15" hidden="1" customHeight="1">
      <c r="A894" s="356" t="s">
        <v>1577</v>
      </c>
      <c r="B894" s="927"/>
      <c r="C894" s="707" t="s">
        <v>797</v>
      </c>
      <c r="D894" s="358">
        <f>WORK!I3756</f>
        <v>0</v>
      </c>
      <c r="E894" s="354" t="s">
        <v>115</v>
      </c>
      <c r="F894" s="355">
        <f>WORK!K3756</f>
        <v>1484</v>
      </c>
      <c r="G894" s="353">
        <f t="shared" si="33"/>
        <v>0</v>
      </c>
      <c r="H894" s="708" t="s">
        <v>2321</v>
      </c>
    </row>
    <row r="895" spans="1:8" s="360" customFormat="1" ht="15" hidden="1" customHeight="1">
      <c r="A895" s="356" t="s">
        <v>1577</v>
      </c>
      <c r="B895" s="927"/>
      <c r="C895" s="707" t="s">
        <v>797</v>
      </c>
      <c r="D895" s="358">
        <f>WORK!I4000</f>
        <v>0</v>
      </c>
      <c r="E895" s="354" t="s">
        <v>115</v>
      </c>
      <c r="F895" s="355">
        <f>WORK!K4000</f>
        <v>1634</v>
      </c>
      <c r="G895" s="353">
        <f t="shared" si="33"/>
        <v>0</v>
      </c>
      <c r="H895" s="708" t="s">
        <v>2322</v>
      </c>
    </row>
    <row r="896" spans="1:8" s="360" customFormat="1" ht="15" hidden="1" customHeight="1">
      <c r="A896" s="356" t="s">
        <v>2059</v>
      </c>
      <c r="B896" s="927" t="s">
        <v>2688</v>
      </c>
      <c r="C896" s="707" t="s">
        <v>2464</v>
      </c>
      <c r="D896" s="358">
        <f>WORK!I3327</f>
        <v>1</v>
      </c>
      <c r="E896" s="354" t="s">
        <v>115</v>
      </c>
      <c r="F896" s="355">
        <f>WORK!K3327</f>
        <v>886.80000000000007</v>
      </c>
      <c r="G896" s="353">
        <f t="shared" si="33"/>
        <v>887</v>
      </c>
      <c r="H896" s="708" t="s">
        <v>2226</v>
      </c>
    </row>
    <row r="897" spans="1:8" s="360" customFormat="1" hidden="1">
      <c r="A897" s="356" t="s">
        <v>1591</v>
      </c>
      <c r="B897" s="927" t="s">
        <v>2688</v>
      </c>
      <c r="C897" s="707" t="s">
        <v>2464</v>
      </c>
      <c r="D897" s="358">
        <f>WORK!I3546</f>
        <v>0</v>
      </c>
      <c r="E897" s="354" t="s">
        <v>115</v>
      </c>
      <c r="F897" s="355">
        <f>WORK!K3546</f>
        <v>905</v>
      </c>
      <c r="G897" s="353">
        <f t="shared" si="33"/>
        <v>0</v>
      </c>
      <c r="H897" s="708" t="s">
        <v>2308</v>
      </c>
    </row>
    <row r="898" spans="1:8" s="360" customFormat="1" ht="15" hidden="1" customHeight="1">
      <c r="A898" s="356" t="s">
        <v>2059</v>
      </c>
      <c r="B898" s="927" t="s">
        <v>2688</v>
      </c>
      <c r="C898" s="707" t="s">
        <v>2464</v>
      </c>
      <c r="D898" s="358">
        <f>WORK!I3766</f>
        <v>0</v>
      </c>
      <c r="E898" s="354" t="s">
        <v>115</v>
      </c>
      <c r="F898" s="355">
        <f>WORK!K3766</f>
        <v>1005.6</v>
      </c>
      <c r="G898" s="353">
        <f t="shared" si="33"/>
        <v>0</v>
      </c>
      <c r="H898" s="708" t="s">
        <v>2321</v>
      </c>
    </row>
    <row r="899" spans="1:8" s="360" customFormat="1" ht="15" hidden="1" customHeight="1">
      <c r="A899" s="356" t="s">
        <v>2059</v>
      </c>
      <c r="B899" s="927" t="s">
        <v>2688</v>
      </c>
      <c r="C899" s="707" t="s">
        <v>2464</v>
      </c>
      <c r="D899" s="358">
        <f>WORK!I4010</f>
        <v>0</v>
      </c>
      <c r="E899" s="354" t="s">
        <v>115</v>
      </c>
      <c r="F899" s="355">
        <f>WORK!K4010</f>
        <v>1089.96</v>
      </c>
      <c r="G899" s="353">
        <f t="shared" si="33"/>
        <v>0</v>
      </c>
      <c r="H899" s="708" t="s">
        <v>2322</v>
      </c>
    </row>
    <row r="900" spans="1:8" s="360" customFormat="1" hidden="1">
      <c r="A900" s="356" t="s">
        <v>1578</v>
      </c>
      <c r="B900" s="927" t="s">
        <v>2689</v>
      </c>
      <c r="C900" s="707" t="s">
        <v>565</v>
      </c>
      <c r="D900" s="358">
        <f>WORK!I3332</f>
        <v>0</v>
      </c>
      <c r="E900" s="354" t="s">
        <v>115</v>
      </c>
      <c r="F900" s="355">
        <f>WORK!K3332</f>
        <v>3404.82</v>
      </c>
      <c r="G900" s="353">
        <f t="shared" si="33"/>
        <v>0</v>
      </c>
      <c r="H900" s="708" t="s">
        <v>2226</v>
      </c>
    </row>
    <row r="901" spans="1:8" s="360" customFormat="1" hidden="1">
      <c r="A901" s="356" t="s">
        <v>647</v>
      </c>
      <c r="B901" s="927" t="s">
        <v>2689</v>
      </c>
      <c r="C901" s="707" t="s">
        <v>565</v>
      </c>
      <c r="D901" s="358">
        <f>WORK!I3551</f>
        <v>0</v>
      </c>
      <c r="E901" s="354" t="s">
        <v>115</v>
      </c>
      <c r="F901" s="355">
        <f>WORK!K3551</f>
        <v>3432.82</v>
      </c>
      <c r="G901" s="353">
        <f t="shared" si="33"/>
        <v>0</v>
      </c>
      <c r="H901" s="708" t="s">
        <v>2308</v>
      </c>
    </row>
    <row r="902" spans="1:8" s="360" customFormat="1" ht="15" hidden="1" customHeight="1">
      <c r="A902" s="356" t="s">
        <v>2196</v>
      </c>
      <c r="B902" s="927" t="s">
        <v>2689</v>
      </c>
      <c r="C902" s="707" t="s">
        <v>565</v>
      </c>
      <c r="D902" s="358">
        <f>WORK!I3771</f>
        <v>0</v>
      </c>
      <c r="E902" s="354" t="s">
        <v>115</v>
      </c>
      <c r="F902" s="355">
        <f>WORK!K3771</f>
        <v>3771.9349999999999</v>
      </c>
      <c r="G902" s="353">
        <f t="shared" si="33"/>
        <v>0</v>
      </c>
      <c r="H902" s="708" t="s">
        <v>2321</v>
      </c>
    </row>
    <row r="903" spans="1:8" s="360" customFormat="1" ht="15" hidden="1" customHeight="1">
      <c r="A903" s="356" t="s">
        <v>2196</v>
      </c>
      <c r="B903" s="927" t="s">
        <v>2689</v>
      </c>
      <c r="C903" s="707" t="s">
        <v>565</v>
      </c>
      <c r="D903" s="358">
        <f>WORK!I4014</f>
        <v>0</v>
      </c>
      <c r="E903" s="354" t="s">
        <v>115</v>
      </c>
      <c r="F903" s="355">
        <f>WORK!K4014</f>
        <v>4142.4250000000002</v>
      </c>
      <c r="G903" s="353">
        <f t="shared" si="33"/>
        <v>0</v>
      </c>
      <c r="H903" s="708" t="s">
        <v>2322</v>
      </c>
    </row>
    <row r="904" spans="1:8" s="26" customFormat="1" hidden="1">
      <c r="A904" s="23"/>
      <c r="B904" s="928"/>
      <c r="C904" s="882" t="s">
        <v>2778</v>
      </c>
      <c r="D904" s="28"/>
      <c r="E904" s="224"/>
      <c r="F904" s="37"/>
      <c r="G904" s="223"/>
      <c r="H904" s="878"/>
    </row>
    <row r="905" spans="1:8" s="360" customFormat="1" hidden="1">
      <c r="A905" s="356" t="s">
        <v>460</v>
      </c>
      <c r="B905" s="927"/>
      <c r="C905" s="707" t="s">
        <v>537</v>
      </c>
      <c r="D905" s="358">
        <f>'3.60 lakhs'!I14</f>
        <v>0</v>
      </c>
      <c r="E905" s="354" t="s">
        <v>102</v>
      </c>
      <c r="F905" s="355">
        <f>'3.60 lakhs'!K14</f>
        <v>6.06</v>
      </c>
      <c r="G905" s="353">
        <f t="shared" ref="G905:G930" si="34">ROUND(D905*F905,0)</f>
        <v>0</v>
      </c>
      <c r="H905" s="708" t="s">
        <v>2322</v>
      </c>
    </row>
    <row r="906" spans="1:8" s="360" customFormat="1" hidden="1">
      <c r="A906" s="356" t="s">
        <v>460</v>
      </c>
      <c r="B906" s="927"/>
      <c r="C906" s="707" t="s">
        <v>471</v>
      </c>
      <c r="D906" s="358">
        <f>'3.60 lakhs'!I20</f>
        <v>0</v>
      </c>
      <c r="E906" s="354" t="s">
        <v>5</v>
      </c>
      <c r="F906" s="355">
        <f>'3.60 lakhs'!K20</f>
        <v>144.26</v>
      </c>
      <c r="G906" s="353">
        <f t="shared" si="34"/>
        <v>0</v>
      </c>
      <c r="H906" s="708" t="s">
        <v>2322</v>
      </c>
    </row>
    <row r="907" spans="1:8" s="360" customFormat="1" hidden="1">
      <c r="A907" s="356" t="s">
        <v>463</v>
      </c>
      <c r="B907" s="927"/>
      <c r="C907" s="707" t="s">
        <v>538</v>
      </c>
      <c r="D907" s="358">
        <f>'3.60 lakhs'!I25</f>
        <v>0</v>
      </c>
      <c r="E907" s="354" t="s">
        <v>5</v>
      </c>
      <c r="F907" s="355">
        <f>'3.60 lakhs'!K25</f>
        <v>4583.3100000000004</v>
      </c>
      <c r="G907" s="353">
        <f t="shared" si="34"/>
        <v>0</v>
      </c>
      <c r="H907" s="708" t="s">
        <v>2322</v>
      </c>
    </row>
    <row r="908" spans="1:8" s="360" customFormat="1" hidden="1">
      <c r="A908" s="356" t="s">
        <v>463</v>
      </c>
      <c r="B908" s="927"/>
      <c r="C908" s="707" t="s">
        <v>539</v>
      </c>
      <c r="D908" s="358">
        <f>'3.60 lakhs'!I34</f>
        <v>0</v>
      </c>
      <c r="E908" s="354" t="s">
        <v>5</v>
      </c>
      <c r="F908" s="355">
        <f>'3.60 lakhs'!K34</f>
        <v>4431.03</v>
      </c>
      <c r="G908" s="353">
        <f t="shared" si="34"/>
        <v>0</v>
      </c>
      <c r="H908" s="708" t="s">
        <v>2322</v>
      </c>
    </row>
    <row r="909" spans="1:8" s="360" customFormat="1" hidden="1">
      <c r="A909" s="356" t="s">
        <v>462</v>
      </c>
      <c r="B909" s="927"/>
      <c r="C909" s="707" t="s">
        <v>1219</v>
      </c>
      <c r="D909" s="358">
        <f>'3.60 lakhs'!I40</f>
        <v>0</v>
      </c>
      <c r="E909" s="354" t="s">
        <v>5</v>
      </c>
      <c r="F909" s="355">
        <f>'3.60 lakhs'!K40</f>
        <v>216.13</v>
      </c>
      <c r="G909" s="353">
        <f t="shared" si="34"/>
        <v>0</v>
      </c>
      <c r="H909" s="708" t="s">
        <v>2322</v>
      </c>
    </row>
    <row r="910" spans="1:8" s="360" customFormat="1" hidden="1">
      <c r="A910" s="356" t="s">
        <v>464</v>
      </c>
      <c r="B910" s="927"/>
      <c r="C910" s="707" t="s">
        <v>716</v>
      </c>
      <c r="D910" s="358">
        <f>'3.60 lakhs'!I46</f>
        <v>0</v>
      </c>
      <c r="E910" s="354" t="s">
        <v>5</v>
      </c>
      <c r="F910" s="355">
        <f>'3.60 lakhs'!K46</f>
        <v>272.13</v>
      </c>
      <c r="G910" s="353">
        <f t="shared" si="34"/>
        <v>0</v>
      </c>
      <c r="H910" s="708" t="s">
        <v>2322</v>
      </c>
    </row>
    <row r="911" spans="1:8" s="360" customFormat="1" hidden="1">
      <c r="A911" s="356" t="s">
        <v>466</v>
      </c>
      <c r="B911" s="927"/>
      <c r="C911" s="707" t="s">
        <v>704</v>
      </c>
      <c r="D911" s="358">
        <f>'3.60 lakhs'!I52</f>
        <v>0</v>
      </c>
      <c r="E911" s="354" t="s">
        <v>5</v>
      </c>
      <c r="F911" s="355">
        <f>'3.60 lakhs'!K52</f>
        <v>1603.13</v>
      </c>
      <c r="G911" s="353">
        <f t="shared" si="34"/>
        <v>0</v>
      </c>
      <c r="H911" s="708" t="s">
        <v>2322</v>
      </c>
    </row>
    <row r="912" spans="1:8" s="360" customFormat="1" hidden="1">
      <c r="A912" s="356" t="s">
        <v>326</v>
      </c>
      <c r="B912" s="927"/>
      <c r="C912" s="707" t="s">
        <v>540</v>
      </c>
      <c r="D912" s="358">
        <f>'3.60 lakhs'!I59</f>
        <v>0</v>
      </c>
      <c r="E912" s="354" t="s">
        <v>5</v>
      </c>
      <c r="F912" s="355">
        <f>'3.60 lakhs'!K59</f>
        <v>284.39999999999998</v>
      </c>
      <c r="G912" s="353">
        <f t="shared" si="34"/>
        <v>0</v>
      </c>
      <c r="H912" s="708" t="s">
        <v>2322</v>
      </c>
    </row>
    <row r="913" spans="1:9" s="360" customFormat="1" ht="25.5" hidden="1">
      <c r="A913" s="356" t="s">
        <v>465</v>
      </c>
      <c r="B913" s="927"/>
      <c r="C913" s="707" t="s">
        <v>2066</v>
      </c>
      <c r="D913" s="358">
        <f>'3.60 lakhs'!I64</f>
        <v>0</v>
      </c>
      <c r="E913" s="354" t="s">
        <v>5</v>
      </c>
      <c r="F913" s="355">
        <f>'3.60 lakhs'!K64</f>
        <v>8062.18</v>
      </c>
      <c r="G913" s="353">
        <f t="shared" si="34"/>
        <v>0</v>
      </c>
      <c r="H913" s="708" t="s">
        <v>2322</v>
      </c>
    </row>
    <row r="914" spans="1:9" s="360" customFormat="1" hidden="1">
      <c r="A914" s="356" t="s">
        <v>466</v>
      </c>
      <c r="B914" s="927"/>
      <c r="C914" s="707" t="s">
        <v>2067</v>
      </c>
      <c r="D914" s="358">
        <f>'3.60 lakhs'!I69</f>
        <v>0</v>
      </c>
      <c r="E914" s="354" t="s">
        <v>5</v>
      </c>
      <c r="F914" s="355">
        <f>'3.60 lakhs'!K69</f>
        <v>8501.18</v>
      </c>
      <c r="G914" s="353">
        <f t="shared" si="34"/>
        <v>0</v>
      </c>
      <c r="H914" s="708" t="s">
        <v>2322</v>
      </c>
    </row>
    <row r="915" spans="1:9" s="360" customFormat="1" hidden="1">
      <c r="A915" s="356" t="s">
        <v>467</v>
      </c>
      <c r="B915" s="927"/>
      <c r="C915" s="707" t="s">
        <v>2068</v>
      </c>
      <c r="D915" s="358">
        <f>'3.60 lakhs'!I81</f>
        <v>0</v>
      </c>
      <c r="E915" s="354" t="s">
        <v>5</v>
      </c>
      <c r="F915" s="355">
        <f>'3.60 lakhs'!K81</f>
        <v>10417.6</v>
      </c>
      <c r="G915" s="353">
        <f t="shared" si="34"/>
        <v>0</v>
      </c>
      <c r="H915" s="708" t="s">
        <v>2322</v>
      </c>
    </row>
    <row r="916" spans="1:9" s="360" customFormat="1" hidden="1">
      <c r="A916" s="356" t="s">
        <v>468</v>
      </c>
      <c r="B916" s="927"/>
      <c r="C916" s="707" t="s">
        <v>2069</v>
      </c>
      <c r="D916" s="358">
        <f>'3.60 lakhs'!I89</f>
        <v>0</v>
      </c>
      <c r="E916" s="354" t="s">
        <v>5</v>
      </c>
      <c r="F916" s="355">
        <f>'3.60 lakhs'!K89</f>
        <v>10162.18</v>
      </c>
      <c r="G916" s="353">
        <f t="shared" si="34"/>
        <v>0</v>
      </c>
      <c r="H916" s="708" t="s">
        <v>2322</v>
      </c>
    </row>
    <row r="917" spans="1:9" s="360" customFormat="1" hidden="1">
      <c r="A917" s="356" t="s">
        <v>326</v>
      </c>
      <c r="B917" s="927"/>
      <c r="C917" s="707" t="s">
        <v>2070</v>
      </c>
      <c r="D917" s="358">
        <f>'3.60 lakhs'!I97</f>
        <v>0</v>
      </c>
      <c r="E917" s="428" t="s">
        <v>5</v>
      </c>
      <c r="F917" s="355">
        <f>'3.60 lakhs'!K97</f>
        <v>9921.19</v>
      </c>
      <c r="G917" s="353">
        <f t="shared" si="34"/>
        <v>0</v>
      </c>
      <c r="H917" s="708" t="s">
        <v>2322</v>
      </c>
      <c r="I917" s="712"/>
    </row>
    <row r="918" spans="1:9" s="360" customFormat="1" hidden="1">
      <c r="A918" s="356" t="s">
        <v>469</v>
      </c>
      <c r="B918" s="927"/>
      <c r="C918" s="707" t="s">
        <v>2071</v>
      </c>
      <c r="D918" s="358">
        <f>'3.60 lakhs'!I109</f>
        <v>0</v>
      </c>
      <c r="E918" s="354" t="s">
        <v>102</v>
      </c>
      <c r="F918" s="355">
        <f>'3.60 lakhs'!K109</f>
        <v>1202.4000000000001</v>
      </c>
      <c r="G918" s="353">
        <f t="shared" si="34"/>
        <v>0</v>
      </c>
      <c r="H918" s="708" t="s">
        <v>2322</v>
      </c>
    </row>
    <row r="919" spans="1:9" s="360" customFormat="1" hidden="1">
      <c r="A919" s="356" t="s">
        <v>472</v>
      </c>
      <c r="B919" s="927"/>
      <c r="C919" s="707" t="s">
        <v>2072</v>
      </c>
      <c r="D919" s="358">
        <f>'3.60 lakhs'!I103</f>
        <v>0</v>
      </c>
      <c r="E919" s="354" t="s">
        <v>102</v>
      </c>
      <c r="F919" s="355">
        <f>'3.60 lakhs'!K103</f>
        <v>1345.28</v>
      </c>
      <c r="G919" s="353">
        <f t="shared" si="34"/>
        <v>0</v>
      </c>
      <c r="H919" s="708" t="s">
        <v>2322</v>
      </c>
    </row>
    <row r="920" spans="1:9" s="360" customFormat="1" hidden="1">
      <c r="A920" s="356" t="s">
        <v>469</v>
      </c>
      <c r="B920" s="927"/>
      <c r="C920" s="707" t="s">
        <v>2073</v>
      </c>
      <c r="D920" s="358">
        <f>'3.60 lakhs'!I115</f>
        <v>0</v>
      </c>
      <c r="E920" s="354" t="s">
        <v>102</v>
      </c>
      <c r="F920" s="355">
        <f>'3.60 lakhs'!K115</f>
        <v>1059.52</v>
      </c>
      <c r="G920" s="353">
        <f t="shared" si="34"/>
        <v>0</v>
      </c>
      <c r="H920" s="708" t="s">
        <v>2322</v>
      </c>
    </row>
    <row r="921" spans="1:9" s="360" customFormat="1" hidden="1">
      <c r="A921" s="356" t="s">
        <v>469</v>
      </c>
      <c r="B921" s="927"/>
      <c r="C921" s="707" t="s">
        <v>2074</v>
      </c>
      <c r="D921" s="358">
        <f>'3.60 lakhs'!I121</f>
        <v>0</v>
      </c>
      <c r="E921" s="354" t="s">
        <v>102</v>
      </c>
      <c r="F921" s="355">
        <f>'3.60 lakhs'!K121</f>
        <v>526.29999999999995</v>
      </c>
      <c r="G921" s="353">
        <f t="shared" si="34"/>
        <v>0</v>
      </c>
      <c r="H921" s="708" t="s">
        <v>2322</v>
      </c>
    </row>
    <row r="922" spans="1:9" s="360" customFormat="1" hidden="1">
      <c r="A922" s="356" t="s">
        <v>475</v>
      </c>
      <c r="B922" s="927"/>
      <c r="C922" s="707" t="s">
        <v>2075</v>
      </c>
      <c r="D922" s="358">
        <f>'3.60 lakhs'!I128</f>
        <v>0</v>
      </c>
      <c r="E922" s="354" t="s">
        <v>102</v>
      </c>
      <c r="F922" s="355">
        <f>'3.60 lakhs'!K128</f>
        <v>385.15</v>
      </c>
      <c r="G922" s="353">
        <f t="shared" si="34"/>
        <v>0</v>
      </c>
      <c r="H922" s="708" t="s">
        <v>2322</v>
      </c>
    </row>
    <row r="923" spans="1:9" s="360" customFormat="1" hidden="1">
      <c r="A923" s="356" t="s">
        <v>475</v>
      </c>
      <c r="B923" s="927"/>
      <c r="C923" s="707" t="s">
        <v>2076</v>
      </c>
      <c r="D923" s="358">
        <f>'3.60 lakhs'!I137</f>
        <v>0</v>
      </c>
      <c r="E923" s="354" t="s">
        <v>5</v>
      </c>
      <c r="F923" s="355">
        <f>'3.60 lakhs'!K137</f>
        <v>10584.6</v>
      </c>
      <c r="G923" s="353">
        <f t="shared" si="34"/>
        <v>0</v>
      </c>
      <c r="H923" s="708" t="s">
        <v>2322</v>
      </c>
    </row>
    <row r="924" spans="1:9" s="360" customFormat="1" hidden="1">
      <c r="A924" s="356" t="s">
        <v>478</v>
      </c>
      <c r="B924" s="927"/>
      <c r="C924" s="707" t="s">
        <v>2077</v>
      </c>
      <c r="D924" s="358">
        <f>'3.60 lakhs'!I143</f>
        <v>0</v>
      </c>
      <c r="E924" s="354" t="s">
        <v>277</v>
      </c>
      <c r="F924" s="355">
        <f>'3.60 lakhs'!K143</f>
        <v>518.52</v>
      </c>
      <c r="G924" s="353">
        <f t="shared" si="34"/>
        <v>0</v>
      </c>
      <c r="H924" s="708" t="s">
        <v>2322</v>
      </c>
    </row>
    <row r="925" spans="1:9" s="360" customFormat="1" hidden="1">
      <c r="A925" s="356" t="s">
        <v>480</v>
      </c>
      <c r="B925" s="927"/>
      <c r="C925" s="707" t="s">
        <v>1480</v>
      </c>
      <c r="D925" s="358">
        <f>'3.60 lakhs'!I149</f>
        <v>0</v>
      </c>
      <c r="E925" s="221" t="s">
        <v>102</v>
      </c>
      <c r="F925" s="355">
        <f>'3.60 lakhs'!K149</f>
        <v>315.69</v>
      </c>
      <c r="G925" s="353">
        <f t="shared" si="34"/>
        <v>0</v>
      </c>
      <c r="H925" s="708" t="s">
        <v>2322</v>
      </c>
    </row>
    <row r="926" spans="1:9" s="360" customFormat="1" hidden="1">
      <c r="A926" s="356" t="s">
        <v>476</v>
      </c>
      <c r="B926" s="927"/>
      <c r="C926" s="707" t="s">
        <v>1481</v>
      </c>
      <c r="D926" s="358">
        <f>'3.60 lakhs'!I155</f>
        <v>0</v>
      </c>
      <c r="E926" s="221" t="s">
        <v>102</v>
      </c>
      <c r="F926" s="355">
        <f>'3.60 lakhs'!K155</f>
        <v>405.78</v>
      </c>
      <c r="G926" s="353">
        <f t="shared" si="34"/>
        <v>0</v>
      </c>
      <c r="H926" s="708" t="s">
        <v>2322</v>
      </c>
    </row>
    <row r="927" spans="1:9" s="360" customFormat="1" hidden="1">
      <c r="A927" s="356" t="s">
        <v>475</v>
      </c>
      <c r="B927" s="927"/>
      <c r="C927" s="707" t="s">
        <v>2078</v>
      </c>
      <c r="D927" s="358">
        <f>'3.60 lakhs'!I256</f>
        <v>0</v>
      </c>
      <c r="E927" s="354" t="s">
        <v>5</v>
      </c>
      <c r="F927" s="355">
        <f>'3.60 lakhs'!K256</f>
        <v>5601.67</v>
      </c>
      <c r="G927" s="353">
        <f t="shared" si="34"/>
        <v>0</v>
      </c>
      <c r="H927" s="708" t="s">
        <v>2322</v>
      </c>
    </row>
    <row r="928" spans="1:9" s="360" customFormat="1" hidden="1">
      <c r="A928" s="356" t="s">
        <v>476</v>
      </c>
      <c r="B928" s="927"/>
      <c r="C928" s="707" t="s">
        <v>1220</v>
      </c>
      <c r="D928" s="358">
        <f>'3.60 lakhs'!I162</f>
        <v>0</v>
      </c>
      <c r="E928" s="354" t="s">
        <v>5</v>
      </c>
      <c r="F928" s="355">
        <f>'3.60 lakhs'!K162</f>
        <v>3828.3500000000004</v>
      </c>
      <c r="G928" s="353">
        <f t="shared" si="34"/>
        <v>0</v>
      </c>
      <c r="H928" s="708" t="s">
        <v>2322</v>
      </c>
    </row>
    <row r="929" spans="1:8" s="360" customFormat="1" hidden="1">
      <c r="A929" s="356" t="s">
        <v>479</v>
      </c>
      <c r="B929" s="927"/>
      <c r="C929" s="707" t="s">
        <v>828</v>
      </c>
      <c r="D929" s="358">
        <f>'3.60 lakhs'!I170</f>
        <v>0</v>
      </c>
      <c r="E929" s="354" t="s">
        <v>5</v>
      </c>
      <c r="F929" s="355">
        <f>'3.60 lakhs'!K170</f>
        <v>6869.83</v>
      </c>
      <c r="G929" s="353">
        <f t="shared" si="34"/>
        <v>0</v>
      </c>
      <c r="H929" s="708" t="s">
        <v>2322</v>
      </c>
    </row>
    <row r="930" spans="1:8" s="360" customFormat="1" hidden="1">
      <c r="A930" s="356" t="s">
        <v>480</v>
      </c>
      <c r="B930" s="927"/>
      <c r="C930" s="707" t="s">
        <v>829</v>
      </c>
      <c r="D930" s="358">
        <f>'3.60 lakhs'!I178</f>
        <v>0</v>
      </c>
      <c r="E930" s="354" t="s">
        <v>5</v>
      </c>
      <c r="F930" s="355">
        <f>'3.60 lakhs'!K178</f>
        <v>6926.2300000000005</v>
      </c>
      <c r="G930" s="353">
        <f t="shared" si="34"/>
        <v>0</v>
      </c>
      <c r="H930" s="708" t="s">
        <v>2322</v>
      </c>
    </row>
    <row r="931" spans="1:8" s="360" customFormat="1" ht="25.5" hidden="1">
      <c r="A931" s="356" t="s">
        <v>484</v>
      </c>
      <c r="B931" s="927"/>
      <c r="C931" s="707" t="s">
        <v>705</v>
      </c>
      <c r="D931" s="358">
        <f>'3.60 lakhs'!I185</f>
        <v>0</v>
      </c>
      <c r="E931" s="354" t="s">
        <v>102</v>
      </c>
      <c r="F931" s="355">
        <f>'3.60 lakhs'!K185</f>
        <v>881.3</v>
      </c>
      <c r="G931" s="353">
        <f>ROUND(D931*F931/1,0)</f>
        <v>0</v>
      </c>
      <c r="H931" s="708" t="s">
        <v>2322</v>
      </c>
    </row>
    <row r="932" spans="1:8" s="360" customFormat="1" hidden="1">
      <c r="A932" s="356" t="s">
        <v>482</v>
      </c>
      <c r="B932" s="927"/>
      <c r="C932" s="707" t="s">
        <v>1222</v>
      </c>
      <c r="D932" s="358">
        <f>'3.60 lakhs'!I193</f>
        <v>0</v>
      </c>
      <c r="E932" s="354" t="s">
        <v>102</v>
      </c>
      <c r="F932" s="355">
        <f>'3.60 lakhs'!K193</f>
        <v>6281.3700000000008</v>
      </c>
      <c r="G932" s="353">
        <f>ROUND(D932*F932/1,0)</f>
        <v>0</v>
      </c>
      <c r="H932" s="708" t="s">
        <v>2322</v>
      </c>
    </row>
    <row r="933" spans="1:8" s="360" customFormat="1" hidden="1">
      <c r="A933" s="356" t="s">
        <v>479</v>
      </c>
      <c r="B933" s="927"/>
      <c r="C933" s="707" t="s">
        <v>1215</v>
      </c>
      <c r="D933" s="358">
        <f>'3.60 lakhs'!I200</f>
        <v>0</v>
      </c>
      <c r="E933" s="354" t="s">
        <v>102</v>
      </c>
      <c r="F933" s="355">
        <f>'3.60 lakhs'!K200</f>
        <v>2232.9699999999998</v>
      </c>
      <c r="G933" s="353">
        <f>ROUND(D933*F933/1,0)</f>
        <v>0</v>
      </c>
      <c r="H933" s="708" t="s">
        <v>2322</v>
      </c>
    </row>
    <row r="934" spans="1:8" s="360" customFormat="1" hidden="1">
      <c r="A934" s="356" t="s">
        <v>484</v>
      </c>
      <c r="B934" s="927"/>
      <c r="C934" s="707" t="s">
        <v>481</v>
      </c>
      <c r="D934" s="358">
        <f>'3.60 lakhs'!I209</f>
        <v>0</v>
      </c>
      <c r="E934" s="354" t="s">
        <v>102</v>
      </c>
      <c r="F934" s="355">
        <f>'3.60 lakhs'!K209</f>
        <v>318.2</v>
      </c>
      <c r="G934" s="353">
        <f t="shared" ref="G934:G973" si="35">ROUND(D934*F934,0)</f>
        <v>0</v>
      </c>
      <c r="H934" s="708" t="s">
        <v>2322</v>
      </c>
    </row>
    <row r="935" spans="1:8" s="360" customFormat="1" hidden="1">
      <c r="A935" s="356" t="s">
        <v>483</v>
      </c>
      <c r="B935" s="927"/>
      <c r="C935" s="707" t="s">
        <v>505</v>
      </c>
      <c r="D935" s="358">
        <f>'3.60 lakhs'!I219</f>
        <v>0</v>
      </c>
      <c r="E935" s="354" t="s">
        <v>102</v>
      </c>
      <c r="F935" s="355">
        <f>'3.60 lakhs'!K219</f>
        <v>294.70999999999998</v>
      </c>
      <c r="G935" s="353">
        <f t="shared" si="35"/>
        <v>0</v>
      </c>
      <c r="H935" s="708" t="s">
        <v>2322</v>
      </c>
    </row>
    <row r="936" spans="1:8" s="360" customFormat="1" hidden="1">
      <c r="A936" s="356" t="s">
        <v>484</v>
      </c>
      <c r="B936" s="927"/>
      <c r="C936" s="707" t="s">
        <v>631</v>
      </c>
      <c r="D936" s="358">
        <f>'3.60 lakhs'!I226</f>
        <v>0</v>
      </c>
      <c r="E936" s="354" t="s">
        <v>102</v>
      </c>
      <c r="F936" s="355">
        <f>'3.60 lakhs'!K226</f>
        <v>314.89999999999998</v>
      </c>
      <c r="G936" s="353">
        <f t="shared" si="35"/>
        <v>0</v>
      </c>
      <c r="H936" s="708" t="s">
        <v>2322</v>
      </c>
    </row>
    <row r="937" spans="1:8" s="360" customFormat="1" hidden="1">
      <c r="A937" s="356" t="s">
        <v>486</v>
      </c>
      <c r="B937" s="927"/>
      <c r="C937" s="707" t="s">
        <v>830</v>
      </c>
      <c r="D937" s="358">
        <f>'3.60 lakhs'!I233</f>
        <v>0</v>
      </c>
      <c r="E937" s="354" t="s">
        <v>102</v>
      </c>
      <c r="F937" s="355">
        <f>'3.60 lakhs'!K233</f>
        <v>388.21</v>
      </c>
      <c r="G937" s="353">
        <f t="shared" si="35"/>
        <v>0</v>
      </c>
      <c r="H937" s="708" t="s">
        <v>2322</v>
      </c>
    </row>
    <row r="938" spans="1:8" s="360" customFormat="1" hidden="1">
      <c r="A938" s="356" t="s">
        <v>488</v>
      </c>
      <c r="B938" s="927"/>
      <c r="C938" s="707" t="s">
        <v>541</v>
      </c>
      <c r="D938" s="358">
        <f>'3.60 lakhs'!I249</f>
        <v>0</v>
      </c>
      <c r="E938" s="354" t="s">
        <v>102</v>
      </c>
      <c r="F938" s="355">
        <f>'3.60 lakhs'!K249</f>
        <v>404.02</v>
      </c>
      <c r="G938" s="353">
        <f t="shared" si="35"/>
        <v>0</v>
      </c>
      <c r="H938" s="708" t="s">
        <v>2322</v>
      </c>
    </row>
    <row r="939" spans="1:8" s="360" customFormat="1" hidden="1">
      <c r="A939" s="356" t="s">
        <v>461</v>
      </c>
      <c r="B939" s="927"/>
      <c r="C939" s="707" t="s">
        <v>507</v>
      </c>
      <c r="D939" s="358">
        <f>'3.60 lakhs'!I268</f>
        <v>0</v>
      </c>
      <c r="E939" s="354" t="s">
        <v>102</v>
      </c>
      <c r="F939" s="355">
        <f>'3.60 lakhs'!K268</f>
        <v>1067.3599999999999</v>
      </c>
      <c r="G939" s="353">
        <f t="shared" si="35"/>
        <v>0</v>
      </c>
      <c r="H939" s="708" t="s">
        <v>2322</v>
      </c>
    </row>
    <row r="940" spans="1:8" s="360" customFormat="1" hidden="1">
      <c r="A940" s="356" t="s">
        <v>462</v>
      </c>
      <c r="B940" s="927"/>
      <c r="C940" s="707" t="s">
        <v>1482</v>
      </c>
      <c r="D940" s="358">
        <f>'3.60 lakhs'!I291</f>
        <v>0</v>
      </c>
      <c r="E940" s="354" t="s">
        <v>102</v>
      </c>
      <c r="F940" s="355">
        <f>'3.60 lakhs'!K291</f>
        <v>1062.03</v>
      </c>
      <c r="G940" s="353">
        <f t="shared" si="35"/>
        <v>0</v>
      </c>
      <c r="H940" s="708" t="s">
        <v>2322</v>
      </c>
    </row>
    <row r="941" spans="1:8" s="360" customFormat="1" hidden="1">
      <c r="A941" s="356" t="s">
        <v>492</v>
      </c>
      <c r="B941" s="927"/>
      <c r="C941" s="707" t="s">
        <v>708</v>
      </c>
      <c r="D941" s="358">
        <f>'3.60 lakhs'!I298</f>
        <v>0</v>
      </c>
      <c r="E941" s="354" t="s">
        <v>77</v>
      </c>
      <c r="F941" s="355">
        <f>'3.60 lakhs'!K298</f>
        <v>3115.07</v>
      </c>
      <c r="G941" s="353">
        <f t="shared" si="35"/>
        <v>0</v>
      </c>
      <c r="H941" s="708" t="s">
        <v>2322</v>
      </c>
    </row>
    <row r="942" spans="1:8" s="360" customFormat="1" hidden="1">
      <c r="A942" s="356" t="s">
        <v>493</v>
      </c>
      <c r="B942" s="927"/>
      <c r="C942" s="707" t="s">
        <v>709</v>
      </c>
      <c r="D942" s="358">
        <f>'3.60 lakhs'!I306</f>
        <v>0</v>
      </c>
      <c r="E942" s="354" t="s">
        <v>102</v>
      </c>
      <c r="F942" s="355">
        <f>'3.60 lakhs'!K306</f>
        <v>2905.43</v>
      </c>
      <c r="G942" s="353">
        <f t="shared" si="35"/>
        <v>0</v>
      </c>
      <c r="H942" s="708" t="s">
        <v>2322</v>
      </c>
    </row>
    <row r="943" spans="1:8" s="360" customFormat="1" hidden="1">
      <c r="A943" s="356" t="s">
        <v>498</v>
      </c>
      <c r="B943" s="927"/>
      <c r="C943" s="707" t="s">
        <v>710</v>
      </c>
      <c r="D943" s="358">
        <f>'3.60 lakhs'!I313</f>
        <v>0</v>
      </c>
      <c r="E943" s="354" t="s">
        <v>102</v>
      </c>
      <c r="F943" s="355">
        <f>'3.60 lakhs'!K313</f>
        <v>744.7</v>
      </c>
      <c r="G943" s="353">
        <f t="shared" si="35"/>
        <v>0</v>
      </c>
      <c r="H943" s="708" t="s">
        <v>2322</v>
      </c>
    </row>
    <row r="944" spans="1:8" s="360" customFormat="1" hidden="1">
      <c r="A944" s="356" t="s">
        <v>499</v>
      </c>
      <c r="B944" s="927"/>
      <c r="C944" s="707" t="s">
        <v>711</v>
      </c>
      <c r="D944" s="358">
        <f>'3.60 lakhs'!I320</f>
        <v>0</v>
      </c>
      <c r="E944" s="354" t="s">
        <v>102</v>
      </c>
      <c r="F944" s="355">
        <f>'3.60 lakhs'!K320</f>
        <v>750.18</v>
      </c>
      <c r="G944" s="353">
        <f t="shared" si="35"/>
        <v>0</v>
      </c>
      <c r="H944" s="708" t="s">
        <v>2322</v>
      </c>
    </row>
    <row r="945" spans="1:8" s="360" customFormat="1" hidden="1">
      <c r="A945" s="356" t="s">
        <v>463</v>
      </c>
      <c r="B945" s="927"/>
      <c r="C945" s="707" t="s">
        <v>511</v>
      </c>
      <c r="D945" s="358">
        <f>'3.60 lakhs'!I333</f>
        <v>0</v>
      </c>
      <c r="E945" s="354" t="s">
        <v>102</v>
      </c>
      <c r="F945" s="355">
        <f>'3.60 lakhs'!K333</f>
        <v>801.83</v>
      </c>
      <c r="G945" s="353">
        <f t="shared" si="35"/>
        <v>0</v>
      </c>
      <c r="H945" s="708" t="s">
        <v>2322</v>
      </c>
    </row>
    <row r="946" spans="1:8" s="360" customFormat="1" hidden="1">
      <c r="A946" s="356" t="s">
        <v>464</v>
      </c>
      <c r="B946" s="927"/>
      <c r="C946" s="707" t="s">
        <v>570</v>
      </c>
      <c r="D946" s="358">
        <f>'3.60 lakhs'!I341</f>
        <v>0</v>
      </c>
      <c r="E946" s="354" t="s">
        <v>102</v>
      </c>
      <c r="F946" s="355">
        <f>'3.60 lakhs'!K341</f>
        <v>518.15</v>
      </c>
      <c r="G946" s="353">
        <f t="shared" si="35"/>
        <v>0</v>
      </c>
      <c r="H946" s="708" t="s">
        <v>2322</v>
      </c>
    </row>
    <row r="947" spans="1:8" s="360" customFormat="1" hidden="1">
      <c r="A947" s="356" t="s">
        <v>487</v>
      </c>
      <c r="B947" s="927"/>
      <c r="C947" s="707" t="s">
        <v>1223</v>
      </c>
      <c r="D947" s="358">
        <f>'3.60 lakhs'!I348</f>
        <v>0</v>
      </c>
      <c r="E947" s="354" t="s">
        <v>102</v>
      </c>
      <c r="F947" s="355">
        <f>'3.60 lakhs'!K348</f>
        <v>1017.93</v>
      </c>
      <c r="G947" s="353">
        <f t="shared" si="35"/>
        <v>0</v>
      </c>
      <c r="H947" s="708" t="s">
        <v>2322</v>
      </c>
    </row>
    <row r="948" spans="1:8" s="360" customFormat="1" hidden="1">
      <c r="A948" s="356"/>
      <c r="B948" s="927"/>
      <c r="C948" s="707" t="s">
        <v>2271</v>
      </c>
      <c r="D948" s="358">
        <f>'3.60 lakhs'!I355</f>
        <v>0</v>
      </c>
      <c r="E948" s="354" t="s">
        <v>102</v>
      </c>
      <c r="F948" s="355">
        <f>'3.60 lakhs'!K355</f>
        <v>610</v>
      </c>
      <c r="G948" s="353">
        <f t="shared" si="35"/>
        <v>0</v>
      </c>
      <c r="H948" s="708" t="s">
        <v>2322</v>
      </c>
    </row>
    <row r="949" spans="1:8" s="360" customFormat="1" hidden="1">
      <c r="A949" s="356"/>
      <c r="B949" s="927"/>
      <c r="C949" s="707" t="s">
        <v>2272</v>
      </c>
      <c r="D949" s="358">
        <f>'3.60 lakhs'!I362</f>
        <v>0</v>
      </c>
      <c r="E949" s="354" t="s">
        <v>102</v>
      </c>
      <c r="F949" s="355">
        <f>'3.60 lakhs'!K362</f>
        <v>345.47</v>
      </c>
      <c r="G949" s="353">
        <f t="shared" si="35"/>
        <v>0</v>
      </c>
      <c r="H949" s="708" t="s">
        <v>2322</v>
      </c>
    </row>
    <row r="950" spans="1:8" s="360" customFormat="1" hidden="1">
      <c r="A950" s="356" t="s">
        <v>491</v>
      </c>
      <c r="B950" s="927"/>
      <c r="C950" s="707" t="s">
        <v>959</v>
      </c>
      <c r="D950" s="358">
        <f>'3.60 lakhs'!I369</f>
        <v>0</v>
      </c>
      <c r="E950" s="354" t="s">
        <v>102</v>
      </c>
      <c r="F950" s="355">
        <f>'3.60 lakhs'!K369</f>
        <v>24.05</v>
      </c>
      <c r="G950" s="353">
        <f t="shared" si="35"/>
        <v>0</v>
      </c>
      <c r="H950" s="708" t="s">
        <v>2322</v>
      </c>
    </row>
    <row r="951" spans="1:8" s="360" customFormat="1" hidden="1">
      <c r="A951" s="356" t="s">
        <v>495</v>
      </c>
      <c r="B951" s="927"/>
      <c r="C951" s="707" t="s">
        <v>960</v>
      </c>
      <c r="D951" s="358">
        <f>'3.60 lakhs'!I376</f>
        <v>0</v>
      </c>
      <c r="E951" s="354" t="s">
        <v>102</v>
      </c>
      <c r="F951" s="355">
        <f>'3.60 lakhs'!K376</f>
        <v>173.73</v>
      </c>
      <c r="G951" s="353">
        <f t="shared" si="35"/>
        <v>0</v>
      </c>
      <c r="H951" s="708" t="s">
        <v>2322</v>
      </c>
    </row>
    <row r="952" spans="1:8" s="360" customFormat="1" hidden="1">
      <c r="A952" s="356" t="s">
        <v>1518</v>
      </c>
      <c r="B952" s="927"/>
      <c r="C952" s="707" t="s">
        <v>1165</v>
      </c>
      <c r="D952" s="358">
        <f>'3.60 lakhs'!I383</f>
        <v>0</v>
      </c>
      <c r="E952" s="354" t="s">
        <v>102</v>
      </c>
      <c r="F952" s="355">
        <f>'3.60 lakhs'!K383</f>
        <v>146.82</v>
      </c>
      <c r="G952" s="353">
        <f t="shared" si="35"/>
        <v>0</v>
      </c>
      <c r="H952" s="708" t="s">
        <v>2322</v>
      </c>
    </row>
    <row r="953" spans="1:8" s="360" customFormat="1" hidden="1">
      <c r="A953" s="356" t="s">
        <v>1520</v>
      </c>
      <c r="B953" s="927"/>
      <c r="C953" s="707" t="s">
        <v>1166</v>
      </c>
      <c r="D953" s="358">
        <f>'3.60 lakhs'!I418</f>
        <v>0</v>
      </c>
      <c r="E953" s="354" t="s">
        <v>102</v>
      </c>
      <c r="F953" s="355">
        <f>'3.60 lakhs'!K418</f>
        <v>200.84</v>
      </c>
      <c r="G953" s="353">
        <f t="shared" si="35"/>
        <v>0</v>
      </c>
      <c r="H953" s="708" t="s">
        <v>2322</v>
      </c>
    </row>
    <row r="954" spans="1:8" s="360" customFormat="1" ht="25.5" hidden="1">
      <c r="A954" s="356" t="s">
        <v>491</v>
      </c>
      <c r="B954" s="927"/>
      <c r="C954" s="707" t="s">
        <v>1224</v>
      </c>
      <c r="D954" s="358">
        <f>'3.60 lakhs'!I429</f>
        <v>0</v>
      </c>
      <c r="E954" s="354" t="s">
        <v>102</v>
      </c>
      <c r="F954" s="355">
        <f>'3.60 lakhs'!K429</f>
        <v>968.78</v>
      </c>
      <c r="G954" s="353">
        <f t="shared" si="35"/>
        <v>0</v>
      </c>
      <c r="H954" s="708" t="s">
        <v>2322</v>
      </c>
    </row>
    <row r="955" spans="1:8" s="360" customFormat="1" ht="25.5" hidden="1">
      <c r="A955" s="356" t="s">
        <v>497</v>
      </c>
      <c r="B955" s="927"/>
      <c r="C955" s="707" t="s">
        <v>706</v>
      </c>
      <c r="D955" s="429">
        <f>'3.60 lakhs'!I434</f>
        <v>0</v>
      </c>
      <c r="E955" s="221" t="s">
        <v>102</v>
      </c>
      <c r="F955" s="430">
        <f>'3.60 lakhs'!K434</f>
        <v>4025</v>
      </c>
      <c r="G955" s="353">
        <f t="shared" si="35"/>
        <v>0</v>
      </c>
      <c r="H955" s="708" t="s">
        <v>2322</v>
      </c>
    </row>
    <row r="956" spans="1:8" s="360" customFormat="1" ht="25.5" hidden="1">
      <c r="A956" s="356" t="s">
        <v>492</v>
      </c>
      <c r="B956" s="927"/>
      <c r="C956" s="707" t="s">
        <v>961</v>
      </c>
      <c r="D956" s="358">
        <f>'3.60 lakhs'!I424</f>
        <v>0</v>
      </c>
      <c r="E956" s="354" t="s">
        <v>102</v>
      </c>
      <c r="F956" s="355">
        <f>'3.60 lakhs'!K424</f>
        <v>149.86000000000001</v>
      </c>
      <c r="G956" s="353">
        <f t="shared" si="35"/>
        <v>0</v>
      </c>
      <c r="H956" s="708" t="s">
        <v>2322</v>
      </c>
    </row>
    <row r="957" spans="1:8" s="360" customFormat="1" hidden="1">
      <c r="A957" s="356" t="s">
        <v>492</v>
      </c>
      <c r="B957" s="927"/>
      <c r="C957" s="707" t="s">
        <v>1483</v>
      </c>
      <c r="D957" s="358">
        <f>'3.60 lakhs'!I439</f>
        <v>0</v>
      </c>
      <c r="E957" s="354" t="s">
        <v>115</v>
      </c>
      <c r="F957" s="355">
        <f>'3.60 lakhs'!K439</f>
        <v>666.66</v>
      </c>
      <c r="G957" s="353">
        <f t="shared" si="35"/>
        <v>0</v>
      </c>
      <c r="H957" s="708" t="s">
        <v>2322</v>
      </c>
    </row>
    <row r="958" spans="1:8" s="360" customFormat="1" hidden="1">
      <c r="A958" s="356" t="s">
        <v>465</v>
      </c>
      <c r="B958" s="927"/>
      <c r="C958" s="707" t="s">
        <v>1484</v>
      </c>
      <c r="D958" s="358">
        <f>'3.60 lakhs'!I444</f>
        <v>0</v>
      </c>
      <c r="E958" s="354" t="s">
        <v>115</v>
      </c>
      <c r="F958" s="355">
        <f>'3.60 lakhs'!K444</f>
        <v>500</v>
      </c>
      <c r="G958" s="353">
        <f t="shared" si="35"/>
        <v>0</v>
      </c>
      <c r="H958" s="708" t="s">
        <v>2322</v>
      </c>
    </row>
    <row r="959" spans="1:8" s="360" customFormat="1" hidden="1">
      <c r="A959" s="356" t="s">
        <v>466</v>
      </c>
      <c r="B959" s="927"/>
      <c r="C959" s="707" t="s">
        <v>1485</v>
      </c>
      <c r="D959" s="358">
        <f>'3.60 lakhs'!I449</f>
        <v>0</v>
      </c>
      <c r="E959" s="354" t="s">
        <v>115</v>
      </c>
      <c r="F959" s="355">
        <f>'3.60 lakhs'!K449</f>
        <v>130</v>
      </c>
      <c r="G959" s="353">
        <f t="shared" si="35"/>
        <v>0</v>
      </c>
      <c r="H959" s="708" t="s">
        <v>2322</v>
      </c>
    </row>
    <row r="960" spans="1:8" s="360" customFormat="1" hidden="1">
      <c r="A960" s="356" t="s">
        <v>503</v>
      </c>
      <c r="B960" s="927"/>
      <c r="C960" s="707" t="s">
        <v>477</v>
      </c>
      <c r="D960" s="429">
        <f>'3.60 lakhs'!I456</f>
        <v>0</v>
      </c>
      <c r="E960" s="221" t="s">
        <v>29</v>
      </c>
      <c r="F960" s="430">
        <f>'3.60 lakhs'!K456</f>
        <v>89280</v>
      </c>
      <c r="G960" s="353">
        <f t="shared" si="35"/>
        <v>0</v>
      </c>
      <c r="H960" s="708" t="s">
        <v>2322</v>
      </c>
    </row>
    <row r="961" spans="1:8" s="360" customFormat="1" hidden="1">
      <c r="A961" s="356" t="s">
        <v>495</v>
      </c>
      <c r="B961" s="927"/>
      <c r="C961" s="707" t="s">
        <v>2068</v>
      </c>
      <c r="D961" s="358">
        <f>'3.60 lakhs'!I462</f>
        <v>0</v>
      </c>
      <c r="E961" s="354" t="s">
        <v>5</v>
      </c>
      <c r="F961" s="355">
        <f>'3.60 lakhs'!K462</f>
        <v>11192.01</v>
      </c>
      <c r="G961" s="353">
        <f t="shared" si="35"/>
        <v>0</v>
      </c>
      <c r="H961" s="708" t="s">
        <v>2322</v>
      </c>
    </row>
    <row r="962" spans="1:8" s="360" customFormat="1" hidden="1">
      <c r="A962" s="356" t="s">
        <v>1517</v>
      </c>
      <c r="B962" s="927"/>
      <c r="C962" s="707" t="s">
        <v>2070</v>
      </c>
      <c r="D962" s="358">
        <f>'3.60 lakhs'!I468</f>
        <v>0</v>
      </c>
      <c r="E962" s="354" t="s">
        <v>5</v>
      </c>
      <c r="F962" s="355">
        <f>'3.60 lakhs'!K468</f>
        <v>10490.18</v>
      </c>
      <c r="G962" s="353">
        <f t="shared" si="35"/>
        <v>0</v>
      </c>
      <c r="H962" s="708" t="s">
        <v>2322</v>
      </c>
    </row>
    <row r="963" spans="1:8" s="360" customFormat="1" hidden="1">
      <c r="A963" s="356" t="s">
        <v>1518</v>
      </c>
      <c r="B963" s="927"/>
      <c r="C963" s="707" t="s">
        <v>2071</v>
      </c>
      <c r="D963" s="358">
        <f>'3.60 lakhs'!I479</f>
        <v>0</v>
      </c>
      <c r="E963" s="354" t="s">
        <v>102</v>
      </c>
      <c r="F963" s="355">
        <f>'3.60 lakhs'!K479</f>
        <v>1395.89</v>
      </c>
      <c r="G963" s="353">
        <f t="shared" si="35"/>
        <v>0</v>
      </c>
      <c r="H963" s="708" t="s">
        <v>2322</v>
      </c>
    </row>
    <row r="964" spans="1:8" s="360" customFormat="1" hidden="1">
      <c r="A964" s="356" t="s">
        <v>487</v>
      </c>
      <c r="B964" s="927"/>
      <c r="C964" s="707" t="s">
        <v>2073</v>
      </c>
      <c r="D964" s="358">
        <f>'3.60 lakhs'!I484</f>
        <v>0</v>
      </c>
      <c r="E964" s="354" t="s">
        <v>102</v>
      </c>
      <c r="F964" s="355">
        <f>'3.60 lakhs'!K484</f>
        <v>1253.01</v>
      </c>
      <c r="G964" s="353">
        <f t="shared" si="35"/>
        <v>0</v>
      </c>
      <c r="H964" s="708" t="s">
        <v>2322</v>
      </c>
    </row>
    <row r="965" spans="1:8" s="360" customFormat="1" hidden="1">
      <c r="A965" s="356" t="s">
        <v>1519</v>
      </c>
      <c r="B965" s="927"/>
      <c r="C965" s="707" t="s">
        <v>2072</v>
      </c>
      <c r="D965" s="358">
        <f>'3.60 lakhs'!I473</f>
        <v>0</v>
      </c>
      <c r="E965" s="221" t="s">
        <v>102</v>
      </c>
      <c r="F965" s="355">
        <f>'3.60 lakhs'!K473</f>
        <v>1538.77</v>
      </c>
      <c r="G965" s="353">
        <f t="shared" si="35"/>
        <v>0</v>
      </c>
      <c r="H965" s="708" t="s">
        <v>2322</v>
      </c>
    </row>
    <row r="966" spans="1:8" s="360" customFormat="1" hidden="1">
      <c r="A966" s="356" t="s">
        <v>517</v>
      </c>
      <c r="B966" s="927"/>
      <c r="C966" s="707" t="s">
        <v>2079</v>
      </c>
      <c r="D966" s="358">
        <f>'3.60 lakhs'!I490</f>
        <v>0</v>
      </c>
      <c r="E966" s="221" t="s">
        <v>102</v>
      </c>
      <c r="F966" s="355">
        <f>'3.60 lakhs'!K490</f>
        <v>694.54</v>
      </c>
      <c r="G966" s="353">
        <f t="shared" si="35"/>
        <v>0</v>
      </c>
      <c r="H966" s="708" t="s">
        <v>2322</v>
      </c>
    </row>
    <row r="967" spans="1:8" s="360" customFormat="1" hidden="1">
      <c r="A967" s="356" t="s">
        <v>517</v>
      </c>
      <c r="B967" s="927"/>
      <c r="C967" s="707" t="s">
        <v>2080</v>
      </c>
      <c r="D967" s="358">
        <f>'3.60 lakhs'!I496</f>
        <v>0</v>
      </c>
      <c r="E967" s="221" t="s">
        <v>102</v>
      </c>
      <c r="F967" s="355">
        <f>'3.60 lakhs'!K496</f>
        <v>553.39</v>
      </c>
      <c r="G967" s="353">
        <f t="shared" si="35"/>
        <v>0</v>
      </c>
      <c r="H967" s="708" t="s">
        <v>2322</v>
      </c>
    </row>
    <row r="968" spans="1:8" s="360" customFormat="1" hidden="1">
      <c r="A968" s="356" t="s">
        <v>513</v>
      </c>
      <c r="B968" s="927"/>
      <c r="C968" s="707" t="s">
        <v>2076</v>
      </c>
      <c r="D968" s="358">
        <f>'3.60 lakhs'!I502</f>
        <v>0</v>
      </c>
      <c r="E968" s="354" t="s">
        <v>5</v>
      </c>
      <c r="F968" s="355">
        <f>'3.60 lakhs'!K502</f>
        <v>11212.51</v>
      </c>
      <c r="G968" s="353">
        <f t="shared" si="35"/>
        <v>0</v>
      </c>
      <c r="H968" s="708" t="s">
        <v>2322</v>
      </c>
    </row>
    <row r="969" spans="1:8" s="360" customFormat="1" hidden="1">
      <c r="A969" s="356" t="s">
        <v>515</v>
      </c>
      <c r="B969" s="927"/>
      <c r="C969" s="707" t="s">
        <v>2077</v>
      </c>
      <c r="D969" s="358">
        <f>'3.60 lakhs'!I508</f>
        <v>0</v>
      </c>
      <c r="E969" s="221" t="s">
        <v>277</v>
      </c>
      <c r="F969" s="355">
        <f>'3.60 lakhs'!K508</f>
        <v>630.35</v>
      </c>
      <c r="G969" s="353">
        <f t="shared" si="35"/>
        <v>0</v>
      </c>
      <c r="H969" s="708" t="s">
        <v>2322</v>
      </c>
    </row>
    <row r="970" spans="1:8" s="360" customFormat="1" hidden="1">
      <c r="A970" s="356" t="s">
        <v>497</v>
      </c>
      <c r="B970" s="927"/>
      <c r="C970" s="707" t="s">
        <v>1480</v>
      </c>
      <c r="D970" s="358">
        <f>'3.60 lakhs'!I514</f>
        <v>0</v>
      </c>
      <c r="E970" s="221" t="s">
        <v>102</v>
      </c>
      <c r="F970" s="355">
        <f>'3.60 lakhs'!K514</f>
        <v>339.16</v>
      </c>
      <c r="G970" s="353">
        <f t="shared" si="35"/>
        <v>0</v>
      </c>
      <c r="H970" s="708" t="s">
        <v>2322</v>
      </c>
    </row>
    <row r="971" spans="1:8" s="360" customFormat="1" hidden="1">
      <c r="A971" s="356" t="s">
        <v>520</v>
      </c>
      <c r="B971" s="927"/>
      <c r="C971" s="707" t="s">
        <v>1481</v>
      </c>
      <c r="D971" s="358">
        <f>'3.60 lakhs'!I520</f>
        <v>0</v>
      </c>
      <c r="E971" s="221" t="s">
        <v>102</v>
      </c>
      <c r="F971" s="355">
        <f>'3.60 lakhs'!K520</f>
        <v>438.06</v>
      </c>
      <c r="G971" s="353">
        <f t="shared" si="35"/>
        <v>0</v>
      </c>
      <c r="H971" s="708" t="s">
        <v>2322</v>
      </c>
    </row>
    <row r="972" spans="1:8" s="360" customFormat="1" hidden="1">
      <c r="A972" s="356" t="s">
        <v>519</v>
      </c>
      <c r="B972" s="927"/>
      <c r="C972" s="707" t="s">
        <v>829</v>
      </c>
      <c r="D972" s="358">
        <f>'3.60 lakhs'!I532</f>
        <v>0</v>
      </c>
      <c r="E972" s="354" t="s">
        <v>5</v>
      </c>
      <c r="F972" s="355">
        <f>'3.60 lakhs'!K532</f>
        <v>7283.96</v>
      </c>
      <c r="G972" s="353">
        <f t="shared" si="35"/>
        <v>0</v>
      </c>
      <c r="H972" s="708" t="s">
        <v>2322</v>
      </c>
    </row>
    <row r="973" spans="1:8" s="360" customFormat="1" hidden="1">
      <c r="A973" s="356" t="s">
        <v>491</v>
      </c>
      <c r="B973" s="927"/>
      <c r="C973" s="707" t="s">
        <v>828</v>
      </c>
      <c r="D973" s="358">
        <f>'3.60 lakhs'!I526</f>
        <v>0</v>
      </c>
      <c r="E973" s="354" t="s">
        <v>5</v>
      </c>
      <c r="F973" s="355">
        <f>'3.60 lakhs'!K526</f>
        <v>7227.5599999999995</v>
      </c>
      <c r="G973" s="353">
        <f t="shared" si="35"/>
        <v>0</v>
      </c>
      <c r="H973" s="708" t="s">
        <v>2322</v>
      </c>
    </row>
    <row r="974" spans="1:8" s="360" customFormat="1" ht="25.5" hidden="1">
      <c r="A974" s="356" t="s">
        <v>521</v>
      </c>
      <c r="B974" s="927"/>
      <c r="C974" s="707" t="s">
        <v>705</v>
      </c>
      <c r="D974" s="358">
        <f>'3.60 lakhs'!I539</f>
        <v>0</v>
      </c>
      <c r="E974" s="354" t="s">
        <v>102</v>
      </c>
      <c r="F974" s="355">
        <f>'3.60 lakhs'!K539</f>
        <v>945.26</v>
      </c>
      <c r="G974" s="353">
        <f>ROUND(D974*F974/1,0)</f>
        <v>0</v>
      </c>
      <c r="H974" s="708" t="s">
        <v>2322</v>
      </c>
    </row>
    <row r="975" spans="1:8" s="360" customFormat="1" hidden="1">
      <c r="A975" s="356" t="s">
        <v>483</v>
      </c>
      <c r="B975" s="927"/>
      <c r="C975" s="707" t="s">
        <v>1222</v>
      </c>
      <c r="D975" s="358">
        <f>'3.60 lakhs'!I546</f>
        <v>0</v>
      </c>
      <c r="E975" s="354" t="s">
        <v>102</v>
      </c>
      <c r="F975" s="355">
        <f>'3.60 lakhs'!K546</f>
        <v>6718.55</v>
      </c>
      <c r="G975" s="353">
        <f>ROUND(D975*F975/1,0)</f>
        <v>0</v>
      </c>
      <c r="H975" s="708" t="s">
        <v>2322</v>
      </c>
    </row>
    <row r="976" spans="1:8" s="360" customFormat="1" hidden="1">
      <c r="A976" s="356" t="s">
        <v>484</v>
      </c>
      <c r="B976" s="927"/>
      <c r="C976" s="707" t="s">
        <v>1215</v>
      </c>
      <c r="D976" s="358">
        <f>'3.60 lakhs'!I552</f>
        <v>0</v>
      </c>
      <c r="E976" s="354" t="s">
        <v>102</v>
      </c>
      <c r="F976" s="355">
        <f>'3.60 lakhs'!K552</f>
        <v>2346.34</v>
      </c>
      <c r="G976" s="353">
        <f>ROUND(D976*F976/1,0)</f>
        <v>0</v>
      </c>
      <c r="H976" s="708" t="s">
        <v>2322</v>
      </c>
    </row>
    <row r="977" spans="1:8" s="360" customFormat="1" hidden="1">
      <c r="A977" s="356" t="s">
        <v>516</v>
      </c>
      <c r="B977" s="927"/>
      <c r="C977" s="707" t="s">
        <v>481</v>
      </c>
      <c r="D977" s="358">
        <f>'3.60 lakhs'!I559</f>
        <v>0</v>
      </c>
      <c r="E977" s="354" t="s">
        <v>102</v>
      </c>
      <c r="F977" s="355">
        <f>'3.60 lakhs'!K559</f>
        <v>351.17</v>
      </c>
      <c r="G977" s="353">
        <f t="shared" ref="G977:G1009" si="36">ROUND(D977*F977,0)</f>
        <v>0</v>
      </c>
      <c r="H977" s="708" t="s">
        <v>2322</v>
      </c>
    </row>
    <row r="978" spans="1:8" s="360" customFormat="1" hidden="1">
      <c r="A978" s="356" t="s">
        <v>516</v>
      </c>
      <c r="B978" s="927"/>
      <c r="C978" s="707" t="s">
        <v>505</v>
      </c>
      <c r="D978" s="358">
        <f>'3.60 lakhs'!I567</f>
        <v>0</v>
      </c>
      <c r="E978" s="354" t="s">
        <v>102</v>
      </c>
      <c r="F978" s="355">
        <f>'3.60 lakhs'!K567</f>
        <v>323.04000000000002</v>
      </c>
      <c r="G978" s="353">
        <f t="shared" si="36"/>
        <v>0</v>
      </c>
      <c r="H978" s="708" t="s">
        <v>2322</v>
      </c>
    </row>
    <row r="979" spans="1:8" s="360" customFormat="1" hidden="1">
      <c r="A979" s="356" t="s">
        <v>517</v>
      </c>
      <c r="B979" s="927"/>
      <c r="C979" s="707" t="s">
        <v>805</v>
      </c>
      <c r="D979" s="358">
        <f>'3.60 lakhs'!I575</f>
        <v>0</v>
      </c>
      <c r="E979" s="354" t="s">
        <v>102</v>
      </c>
      <c r="F979" s="355">
        <f>'3.60 lakhs'!K575</f>
        <v>343.23</v>
      </c>
      <c r="G979" s="353">
        <f t="shared" si="36"/>
        <v>0</v>
      </c>
      <c r="H979" s="708" t="s">
        <v>2322</v>
      </c>
    </row>
    <row r="980" spans="1:8" s="360" customFormat="1" hidden="1">
      <c r="A980" s="356" t="s">
        <v>518</v>
      </c>
      <c r="B980" s="927"/>
      <c r="C980" s="707" t="s">
        <v>830</v>
      </c>
      <c r="D980" s="358">
        <f>'3.60 lakhs'!I582</f>
        <v>0</v>
      </c>
      <c r="E980" s="354" t="s">
        <v>102</v>
      </c>
      <c r="F980" s="355">
        <f>'3.60 lakhs'!K582</f>
        <v>425.82</v>
      </c>
      <c r="G980" s="353">
        <f t="shared" si="36"/>
        <v>0</v>
      </c>
      <c r="H980" s="708" t="s">
        <v>2322</v>
      </c>
    </row>
    <row r="981" spans="1:8" s="360" customFormat="1" hidden="1">
      <c r="A981" s="356" t="s">
        <v>520</v>
      </c>
      <c r="B981" s="927"/>
      <c r="C981" s="707" t="s">
        <v>541</v>
      </c>
      <c r="D981" s="358">
        <f>'3.60 lakhs'!I589</f>
        <v>0</v>
      </c>
      <c r="E981" s="354" t="s">
        <v>102</v>
      </c>
      <c r="F981" s="355">
        <f>'3.60 lakhs'!K589</f>
        <v>441.63</v>
      </c>
      <c r="G981" s="353">
        <f t="shared" si="36"/>
        <v>0</v>
      </c>
      <c r="H981" s="708" t="s">
        <v>2322</v>
      </c>
    </row>
    <row r="982" spans="1:8" s="360" customFormat="1" hidden="1">
      <c r="A982" s="356" t="s">
        <v>503</v>
      </c>
      <c r="B982" s="927"/>
      <c r="C982" s="707" t="s">
        <v>2078</v>
      </c>
      <c r="D982" s="358">
        <f>'3.60 lakhs'!I596</f>
        <v>0</v>
      </c>
      <c r="E982" s="354" t="s">
        <v>5</v>
      </c>
      <c r="F982" s="355">
        <f>'3.60 lakhs'!K596</f>
        <v>5722.81</v>
      </c>
      <c r="G982" s="353">
        <f t="shared" si="36"/>
        <v>0</v>
      </c>
      <c r="H982" s="708" t="s">
        <v>2322</v>
      </c>
    </row>
    <row r="983" spans="1:8" s="360" customFormat="1" hidden="1">
      <c r="A983" s="356" t="s">
        <v>522</v>
      </c>
      <c r="B983" s="927"/>
      <c r="C983" s="707" t="s">
        <v>507</v>
      </c>
      <c r="D983" s="358">
        <f>'3.60 lakhs'!I603</f>
        <v>0</v>
      </c>
      <c r="E983" s="354" t="s">
        <v>102</v>
      </c>
      <c r="F983" s="355">
        <f>'3.60 lakhs'!K603</f>
        <v>1103.3900000000001</v>
      </c>
      <c r="G983" s="353">
        <f t="shared" si="36"/>
        <v>0</v>
      </c>
      <c r="H983" s="708" t="s">
        <v>2322</v>
      </c>
    </row>
    <row r="984" spans="1:8" s="360" customFormat="1" hidden="1">
      <c r="A984" s="356" t="s">
        <v>525</v>
      </c>
      <c r="B984" s="927"/>
      <c r="C984" s="707" t="s">
        <v>509</v>
      </c>
      <c r="D984" s="358">
        <f>'3.60 lakhs'!I610</f>
        <v>0</v>
      </c>
      <c r="E984" s="354" t="s">
        <v>102</v>
      </c>
      <c r="F984" s="355">
        <f>'3.60 lakhs'!K610</f>
        <v>1098.05</v>
      </c>
      <c r="G984" s="353">
        <f t="shared" si="36"/>
        <v>0</v>
      </c>
      <c r="H984" s="708" t="s">
        <v>2322</v>
      </c>
    </row>
    <row r="985" spans="1:8" s="360" customFormat="1" hidden="1">
      <c r="A985" s="356" t="s">
        <v>526</v>
      </c>
      <c r="B985" s="927"/>
      <c r="C985" s="707" t="s">
        <v>708</v>
      </c>
      <c r="D985" s="358">
        <f>'3.60 lakhs'!I617</f>
        <v>0</v>
      </c>
      <c r="E985" s="354" t="s">
        <v>77</v>
      </c>
      <c r="F985" s="355">
        <f>'3.60 lakhs'!K617</f>
        <v>3181.62</v>
      </c>
      <c r="G985" s="353">
        <f t="shared" si="36"/>
        <v>0</v>
      </c>
      <c r="H985" s="708" t="s">
        <v>2322</v>
      </c>
    </row>
    <row r="986" spans="1:8" s="360" customFormat="1" hidden="1">
      <c r="A986" s="356" t="s">
        <v>527</v>
      </c>
      <c r="B986" s="927"/>
      <c r="C986" s="707" t="s">
        <v>877</v>
      </c>
      <c r="D986" s="358">
        <f>'3.60 lakhs'!I624</f>
        <v>0</v>
      </c>
      <c r="E986" s="354" t="s">
        <v>102</v>
      </c>
      <c r="F986" s="355">
        <f>'3.60 lakhs'!K624</f>
        <v>2950.54</v>
      </c>
      <c r="G986" s="353">
        <f t="shared" si="36"/>
        <v>0</v>
      </c>
      <c r="H986" s="708" t="s">
        <v>2322</v>
      </c>
    </row>
    <row r="987" spans="1:8" s="360" customFormat="1" hidden="1">
      <c r="A987" s="356" t="s">
        <v>529</v>
      </c>
      <c r="B987" s="927"/>
      <c r="C987" s="707" t="s">
        <v>710</v>
      </c>
      <c r="D987" s="358">
        <f>'3.60 lakhs'!I632</f>
        <v>0</v>
      </c>
      <c r="E987" s="354" t="s">
        <v>102</v>
      </c>
      <c r="F987" s="355">
        <f>'3.60 lakhs'!K632</f>
        <v>780.73</v>
      </c>
      <c r="G987" s="353">
        <f t="shared" si="36"/>
        <v>0</v>
      </c>
      <c r="H987" s="708" t="s">
        <v>2322</v>
      </c>
    </row>
    <row r="988" spans="1:8" s="360" customFormat="1" hidden="1">
      <c r="A988" s="356" t="s">
        <v>530</v>
      </c>
      <c r="B988" s="927"/>
      <c r="C988" s="707" t="s">
        <v>711</v>
      </c>
      <c r="D988" s="358">
        <f>'3.60 lakhs'!I639</f>
        <v>0</v>
      </c>
      <c r="E988" s="354" t="s">
        <v>102</v>
      </c>
      <c r="F988" s="355">
        <f>'3.60 lakhs'!K639</f>
        <v>786.2</v>
      </c>
      <c r="G988" s="353">
        <f t="shared" si="36"/>
        <v>0</v>
      </c>
      <c r="H988" s="708" t="s">
        <v>2322</v>
      </c>
    </row>
    <row r="989" spans="1:8" s="360" customFormat="1" hidden="1">
      <c r="A989" s="356" t="s">
        <v>528</v>
      </c>
      <c r="B989" s="927"/>
      <c r="C989" s="707" t="s">
        <v>511</v>
      </c>
      <c r="D989" s="358">
        <f>'3.60 lakhs'!I646</f>
        <v>0</v>
      </c>
      <c r="E989" s="354" t="s">
        <v>102</v>
      </c>
      <c r="F989" s="355">
        <f>'3.60 lakhs'!K646</f>
        <v>837.86</v>
      </c>
      <c r="G989" s="353">
        <f t="shared" si="36"/>
        <v>0</v>
      </c>
      <c r="H989" s="708" t="s">
        <v>2322</v>
      </c>
    </row>
    <row r="990" spans="1:8" s="360" customFormat="1" hidden="1">
      <c r="A990" s="356" t="s">
        <v>529</v>
      </c>
      <c r="B990" s="927"/>
      <c r="C990" s="707" t="s">
        <v>570</v>
      </c>
      <c r="D990" s="358">
        <f>'3.60 lakhs'!I653</f>
        <v>0</v>
      </c>
      <c r="E990" s="354" t="s">
        <v>102</v>
      </c>
      <c r="F990" s="355">
        <f>'3.60 lakhs'!K653</f>
        <v>527.21</v>
      </c>
      <c r="G990" s="353">
        <f t="shared" si="36"/>
        <v>0</v>
      </c>
      <c r="H990" s="708" t="s">
        <v>2322</v>
      </c>
    </row>
    <row r="991" spans="1:8" s="360" customFormat="1" hidden="1">
      <c r="A991" s="356" t="s">
        <v>492</v>
      </c>
      <c r="B991" s="927"/>
      <c r="C991" s="707" t="s">
        <v>1223</v>
      </c>
      <c r="D991" s="358">
        <f>'3.60 lakhs'!I661</f>
        <v>0</v>
      </c>
      <c r="E991" s="354" t="s">
        <v>102</v>
      </c>
      <c r="F991" s="355">
        <f>'3.60 lakhs'!K661</f>
        <v>1059.21</v>
      </c>
      <c r="G991" s="353">
        <f t="shared" si="36"/>
        <v>0</v>
      </c>
      <c r="H991" s="708" t="s">
        <v>2322</v>
      </c>
    </row>
    <row r="992" spans="1:8" s="360" customFormat="1" hidden="1">
      <c r="A992" s="356" t="s">
        <v>533</v>
      </c>
      <c r="B992" s="927"/>
      <c r="C992" s="707" t="s">
        <v>707</v>
      </c>
      <c r="D992" s="358">
        <f>'3.60 lakhs'!I670</f>
        <v>0</v>
      </c>
      <c r="E992" s="354" t="s">
        <v>102</v>
      </c>
      <c r="F992" s="355">
        <f>'3.60 lakhs'!K670</f>
        <v>25.98</v>
      </c>
      <c r="G992" s="353">
        <f t="shared" si="36"/>
        <v>0</v>
      </c>
      <c r="H992" s="708" t="s">
        <v>2322</v>
      </c>
    </row>
    <row r="993" spans="1:8" s="360" customFormat="1" hidden="1">
      <c r="A993" s="356" t="s">
        <v>530</v>
      </c>
      <c r="B993" s="927"/>
      <c r="C993" s="707" t="s">
        <v>888</v>
      </c>
      <c r="D993" s="358">
        <f>'3.60 lakhs'!I680</f>
        <v>0</v>
      </c>
      <c r="E993" s="354" t="s">
        <v>102</v>
      </c>
      <c r="F993" s="355">
        <f>'3.60 lakhs'!K680</f>
        <v>184.03</v>
      </c>
      <c r="G993" s="353">
        <f t="shared" si="36"/>
        <v>0</v>
      </c>
      <c r="H993" s="708" t="s">
        <v>2322</v>
      </c>
    </row>
    <row r="994" spans="1:8" s="360" customFormat="1" hidden="1">
      <c r="A994" s="356" t="s">
        <v>532</v>
      </c>
      <c r="B994" s="927"/>
      <c r="C994" s="707" t="s">
        <v>571</v>
      </c>
      <c r="D994" s="358">
        <f>'3.60 lakhs'!I689</f>
        <v>0</v>
      </c>
      <c r="E994" s="354" t="s">
        <v>102</v>
      </c>
      <c r="F994" s="355">
        <f>'3.60 lakhs'!K689</f>
        <v>158.36000000000001</v>
      </c>
      <c r="G994" s="353">
        <f t="shared" si="36"/>
        <v>0</v>
      </c>
      <c r="H994" s="708" t="s">
        <v>2322</v>
      </c>
    </row>
    <row r="995" spans="1:8" s="360" customFormat="1" hidden="1">
      <c r="A995" s="356" t="s">
        <v>533</v>
      </c>
      <c r="B995" s="927"/>
      <c r="C995" s="707" t="s">
        <v>1227</v>
      </c>
      <c r="D995" s="358">
        <f>'3.60 lakhs'!I696</f>
        <v>0</v>
      </c>
      <c r="E995" s="354" t="s">
        <v>102</v>
      </c>
      <c r="F995" s="355">
        <f>'3.60 lakhs'!K696</f>
        <v>217.22</v>
      </c>
      <c r="G995" s="353">
        <f t="shared" si="36"/>
        <v>0</v>
      </c>
      <c r="H995" s="708" t="s">
        <v>2322</v>
      </c>
    </row>
    <row r="996" spans="1:8" s="360" customFormat="1" hidden="1">
      <c r="A996" s="356" t="s">
        <v>1143</v>
      </c>
      <c r="B996" s="927"/>
      <c r="C996" s="707" t="s">
        <v>477</v>
      </c>
      <c r="D996" s="429">
        <f>'3.60 lakhs'!I703</f>
        <v>0</v>
      </c>
      <c r="E996" s="221" t="s">
        <v>29</v>
      </c>
      <c r="F996" s="430">
        <f>'3.60 lakhs'!K703</f>
        <v>90555</v>
      </c>
      <c r="G996" s="353">
        <f t="shared" si="36"/>
        <v>0</v>
      </c>
      <c r="H996" s="708" t="s">
        <v>2322</v>
      </c>
    </row>
    <row r="997" spans="1:8" s="360" customFormat="1" hidden="1">
      <c r="A997" s="356" t="s">
        <v>1586</v>
      </c>
      <c r="B997" s="927"/>
      <c r="C997" s="707" t="s">
        <v>2068</v>
      </c>
      <c r="D997" s="358">
        <f>'3.60 lakhs'!I709</f>
        <v>0</v>
      </c>
      <c r="E997" s="354" t="s">
        <v>5</v>
      </c>
      <c r="F997" s="355">
        <f>'3.60 lakhs'!K709</f>
        <v>12013.61</v>
      </c>
      <c r="G997" s="353">
        <f t="shared" si="36"/>
        <v>0</v>
      </c>
      <c r="H997" s="708" t="s">
        <v>2322</v>
      </c>
    </row>
    <row r="998" spans="1:8" s="360" customFormat="1" hidden="1">
      <c r="A998" s="356" t="s">
        <v>645</v>
      </c>
      <c r="B998" s="927"/>
      <c r="C998" s="707" t="s">
        <v>2070</v>
      </c>
      <c r="D998" s="358">
        <f>'3.60 lakhs'!I715</f>
        <v>0</v>
      </c>
      <c r="E998" s="354" t="s">
        <v>5</v>
      </c>
      <c r="F998" s="355">
        <f>'3.60 lakhs'!K715</f>
        <v>11098.560000000001</v>
      </c>
      <c r="G998" s="353">
        <f t="shared" si="36"/>
        <v>0</v>
      </c>
      <c r="H998" s="708" t="s">
        <v>2322</v>
      </c>
    </row>
    <row r="999" spans="1:8" s="360" customFormat="1" hidden="1">
      <c r="A999" s="356" t="s">
        <v>1587</v>
      </c>
      <c r="B999" s="927"/>
      <c r="C999" s="707" t="s">
        <v>2071</v>
      </c>
      <c r="D999" s="358">
        <f>'3.60 lakhs'!I726</f>
        <v>0</v>
      </c>
      <c r="E999" s="354" t="s">
        <v>102</v>
      </c>
      <c r="F999" s="355">
        <f>'3.60 lakhs'!K726</f>
        <v>1594.17</v>
      </c>
      <c r="G999" s="353">
        <f t="shared" si="36"/>
        <v>0</v>
      </c>
      <c r="H999" s="708" t="s">
        <v>2322</v>
      </c>
    </row>
    <row r="1000" spans="1:8" s="360" customFormat="1" hidden="1">
      <c r="A1000" s="356" t="s">
        <v>487</v>
      </c>
      <c r="B1000" s="927"/>
      <c r="C1000" s="707" t="s">
        <v>2073</v>
      </c>
      <c r="D1000" s="358">
        <f>'3.60 lakhs'!I731</f>
        <v>0</v>
      </c>
      <c r="E1000" s="354" t="s">
        <v>102</v>
      </c>
      <c r="F1000" s="355">
        <f>'3.60 lakhs'!K731</f>
        <v>1451.29</v>
      </c>
      <c r="G1000" s="353">
        <f t="shared" si="36"/>
        <v>0</v>
      </c>
      <c r="H1000" s="708" t="s">
        <v>2322</v>
      </c>
    </row>
    <row r="1001" spans="1:8" s="360" customFormat="1" hidden="1">
      <c r="A1001" s="356" t="s">
        <v>516</v>
      </c>
      <c r="B1001" s="927"/>
      <c r="C1001" s="707" t="s">
        <v>2072</v>
      </c>
      <c r="D1001" s="358">
        <f>'3.60 lakhs'!I721</f>
        <v>0</v>
      </c>
      <c r="E1001" s="221" t="s">
        <v>102</v>
      </c>
      <c r="F1001" s="355">
        <f>'3.60 lakhs'!K721</f>
        <v>1737.05</v>
      </c>
      <c r="G1001" s="353">
        <f t="shared" si="36"/>
        <v>0</v>
      </c>
      <c r="H1001" s="708" t="s">
        <v>2322</v>
      </c>
    </row>
    <row r="1002" spans="1:8" s="360" customFormat="1" hidden="1">
      <c r="A1002" s="356" t="s">
        <v>517</v>
      </c>
      <c r="B1002" s="927"/>
      <c r="C1002" s="707" t="s">
        <v>2079</v>
      </c>
      <c r="D1002" s="358">
        <f>'3.60 lakhs'!I737</f>
        <v>0</v>
      </c>
      <c r="E1002" s="221" t="s">
        <v>102</v>
      </c>
      <c r="F1002" s="355">
        <f>'3.60 lakhs'!K737</f>
        <v>865.17</v>
      </c>
      <c r="G1002" s="353">
        <f t="shared" si="36"/>
        <v>0</v>
      </c>
      <c r="H1002" s="708" t="s">
        <v>2322</v>
      </c>
    </row>
    <row r="1003" spans="1:8" s="360" customFormat="1" hidden="1">
      <c r="A1003" s="356" t="s">
        <v>517</v>
      </c>
      <c r="B1003" s="927"/>
      <c r="C1003" s="707" t="s">
        <v>2080</v>
      </c>
      <c r="D1003" s="358">
        <f>'3.60 lakhs'!I743</f>
        <v>0</v>
      </c>
      <c r="E1003" s="221" t="s">
        <v>102</v>
      </c>
      <c r="F1003" s="355">
        <f>'3.60 lakhs'!K743</f>
        <v>724.02</v>
      </c>
      <c r="G1003" s="353">
        <f t="shared" si="36"/>
        <v>0</v>
      </c>
      <c r="H1003" s="708" t="s">
        <v>2322</v>
      </c>
    </row>
    <row r="1004" spans="1:8" s="360" customFormat="1" hidden="1">
      <c r="A1004" s="356" t="s">
        <v>518</v>
      </c>
      <c r="B1004" s="927"/>
      <c r="C1004" s="707" t="s">
        <v>2076</v>
      </c>
      <c r="D1004" s="358">
        <f>'3.60 lakhs'!I750</f>
        <v>0</v>
      </c>
      <c r="E1004" s="354" t="s">
        <v>5</v>
      </c>
      <c r="F1004" s="355">
        <f>'3.60 lakhs'!K750</f>
        <v>11874.810000000001</v>
      </c>
      <c r="G1004" s="353">
        <f t="shared" si="36"/>
        <v>0</v>
      </c>
      <c r="H1004" s="708" t="s">
        <v>2322</v>
      </c>
    </row>
    <row r="1005" spans="1:8" s="360" customFormat="1" hidden="1">
      <c r="A1005" s="356" t="s">
        <v>519</v>
      </c>
      <c r="B1005" s="927"/>
      <c r="C1005" s="707" t="s">
        <v>2077</v>
      </c>
      <c r="D1005" s="358">
        <f>'3.60 lakhs'!I755</f>
        <v>0</v>
      </c>
      <c r="E1005" s="221" t="s">
        <v>277</v>
      </c>
      <c r="F1005" s="355">
        <f>'3.60 lakhs'!K755</f>
        <v>744.7299999999999</v>
      </c>
      <c r="G1005" s="353">
        <f t="shared" si="36"/>
        <v>0</v>
      </c>
      <c r="H1005" s="708" t="s">
        <v>2322</v>
      </c>
    </row>
    <row r="1006" spans="1:8" s="360" customFormat="1" hidden="1">
      <c r="A1006" s="356" t="s">
        <v>519</v>
      </c>
      <c r="B1006" s="927"/>
      <c r="C1006" s="707" t="s">
        <v>1480</v>
      </c>
      <c r="D1006" s="358">
        <f>'3.60 lakhs'!I760</f>
        <v>0</v>
      </c>
      <c r="E1006" s="221" t="s">
        <v>102</v>
      </c>
      <c r="F1006" s="355">
        <f>'3.60 lakhs'!K760</f>
        <v>362.63</v>
      </c>
      <c r="G1006" s="353">
        <f t="shared" si="36"/>
        <v>0</v>
      </c>
      <c r="H1006" s="708" t="s">
        <v>2322</v>
      </c>
    </row>
    <row r="1007" spans="1:8" s="360" customFormat="1" hidden="1">
      <c r="A1007" s="356" t="s">
        <v>520</v>
      </c>
      <c r="B1007" s="927"/>
      <c r="C1007" s="707" t="s">
        <v>1481</v>
      </c>
      <c r="D1007" s="358">
        <f>'3.60 lakhs'!I766</f>
        <v>0</v>
      </c>
      <c r="E1007" s="221" t="s">
        <v>102</v>
      </c>
      <c r="F1007" s="355">
        <f>'3.60 lakhs'!K766</f>
        <v>470.34</v>
      </c>
      <c r="G1007" s="353">
        <f t="shared" si="36"/>
        <v>0</v>
      </c>
      <c r="H1007" s="708" t="s">
        <v>2322</v>
      </c>
    </row>
    <row r="1008" spans="1:8" s="360" customFormat="1" hidden="1">
      <c r="A1008" s="356" t="s">
        <v>1588</v>
      </c>
      <c r="B1008" s="927"/>
      <c r="C1008" s="707" t="s">
        <v>829</v>
      </c>
      <c r="D1008" s="358">
        <f>'3.60 lakhs'!I779</f>
        <v>0</v>
      </c>
      <c r="E1008" s="354" t="s">
        <v>5</v>
      </c>
      <c r="F1008" s="355">
        <f>'3.60 lakhs'!K779</f>
        <v>7673.4</v>
      </c>
      <c r="G1008" s="353">
        <f t="shared" si="36"/>
        <v>0</v>
      </c>
      <c r="H1008" s="708" t="s">
        <v>2322</v>
      </c>
    </row>
    <row r="1009" spans="1:8" s="360" customFormat="1" hidden="1">
      <c r="A1009" s="356" t="s">
        <v>491</v>
      </c>
      <c r="B1009" s="927"/>
      <c r="C1009" s="707" t="s">
        <v>828</v>
      </c>
      <c r="D1009" s="358">
        <f>'3.60 lakhs'!I774</f>
        <v>0</v>
      </c>
      <c r="E1009" s="354" t="s">
        <v>5</v>
      </c>
      <c r="F1009" s="355">
        <f>'3.60 lakhs'!K774</f>
        <v>7616.9999999999991</v>
      </c>
      <c r="G1009" s="353">
        <f t="shared" si="36"/>
        <v>0</v>
      </c>
      <c r="H1009" s="708" t="s">
        <v>2322</v>
      </c>
    </row>
    <row r="1010" spans="1:8" s="360" customFormat="1" ht="25.5" hidden="1">
      <c r="A1010" s="356" t="s">
        <v>646</v>
      </c>
      <c r="B1010" s="927"/>
      <c r="C1010" s="707" t="s">
        <v>705</v>
      </c>
      <c r="D1010" s="358">
        <f>'3.60 lakhs'!I785</f>
        <v>0</v>
      </c>
      <c r="E1010" s="354" t="s">
        <v>102</v>
      </c>
      <c r="F1010" s="355">
        <f>'3.60 lakhs'!K785</f>
        <v>1015.55</v>
      </c>
      <c r="G1010" s="353">
        <f>ROUND(D1010*F1010/1,0)</f>
        <v>0</v>
      </c>
      <c r="H1010" s="708" t="s">
        <v>2322</v>
      </c>
    </row>
    <row r="1011" spans="1:8" s="360" customFormat="1" hidden="1">
      <c r="A1011" s="356" t="s">
        <v>483</v>
      </c>
      <c r="B1011" s="927"/>
      <c r="C1011" s="707" t="s">
        <v>1222</v>
      </c>
      <c r="D1011" s="358">
        <f>'3.60 lakhs'!I792</f>
        <v>0</v>
      </c>
      <c r="E1011" s="354" t="s">
        <v>102</v>
      </c>
      <c r="F1011" s="355">
        <f>'3.60 lakhs'!K792</f>
        <v>7187.4500000000007</v>
      </c>
      <c r="G1011" s="353">
        <f>ROUND(D1011*F1011/1,0)</f>
        <v>0</v>
      </c>
      <c r="H1011" s="708" t="s">
        <v>2322</v>
      </c>
    </row>
    <row r="1012" spans="1:8" s="360" customFormat="1" hidden="1">
      <c r="A1012" s="356" t="s">
        <v>1585</v>
      </c>
      <c r="B1012" s="927"/>
      <c r="C1012" s="707" t="s">
        <v>481</v>
      </c>
      <c r="D1012" s="358">
        <f>'3.60 lakhs'!I799</f>
        <v>0</v>
      </c>
      <c r="E1012" s="354" t="s">
        <v>102</v>
      </c>
      <c r="F1012" s="355">
        <f>'3.60 lakhs'!K799</f>
        <v>385.55</v>
      </c>
      <c r="G1012" s="353">
        <f t="shared" ref="G1012:G1075" si="37">ROUND(D1012*F1012,0)</f>
        <v>0</v>
      </c>
      <c r="H1012" s="708" t="s">
        <v>2322</v>
      </c>
    </row>
    <row r="1013" spans="1:8" s="360" customFormat="1" hidden="1">
      <c r="A1013" s="356" t="s">
        <v>1584</v>
      </c>
      <c r="B1013" s="927"/>
      <c r="C1013" s="707" t="s">
        <v>505</v>
      </c>
      <c r="D1013" s="358">
        <f>'3.60 lakhs'!I807</f>
        <v>0</v>
      </c>
      <c r="E1013" s="354" t="s">
        <v>102</v>
      </c>
      <c r="F1013" s="355">
        <f>'3.60 lakhs'!K807</f>
        <v>352.1</v>
      </c>
      <c r="G1013" s="353">
        <f t="shared" si="37"/>
        <v>0</v>
      </c>
      <c r="H1013" s="708" t="s">
        <v>2322</v>
      </c>
    </row>
    <row r="1014" spans="1:8" s="360" customFormat="1" hidden="1">
      <c r="A1014" s="356" t="s">
        <v>1585</v>
      </c>
      <c r="B1014" s="927"/>
      <c r="C1014" s="707" t="s">
        <v>805</v>
      </c>
      <c r="D1014" s="358">
        <f>'3.60 lakhs'!I815</f>
        <v>0</v>
      </c>
      <c r="E1014" s="354" t="s">
        <v>102</v>
      </c>
      <c r="F1014" s="355">
        <f>'3.60 lakhs'!K815</f>
        <v>372.29</v>
      </c>
      <c r="G1014" s="353">
        <f t="shared" si="37"/>
        <v>0</v>
      </c>
      <c r="H1014" s="708" t="s">
        <v>2322</v>
      </c>
    </row>
    <row r="1015" spans="1:8" s="360" customFormat="1" hidden="1">
      <c r="A1015" s="356" t="s">
        <v>1143</v>
      </c>
      <c r="B1015" s="927"/>
      <c r="C1015" s="707" t="s">
        <v>830</v>
      </c>
      <c r="D1015" s="358">
        <f>'3.60 lakhs'!I822</f>
        <v>0</v>
      </c>
      <c r="E1015" s="354" t="s">
        <v>102</v>
      </c>
      <c r="F1015" s="355">
        <f>'3.60 lakhs'!K822</f>
        <v>464.16</v>
      </c>
      <c r="G1015" s="353">
        <f t="shared" si="37"/>
        <v>0</v>
      </c>
      <c r="H1015" s="708" t="s">
        <v>2322</v>
      </c>
    </row>
    <row r="1016" spans="1:8" s="360" customFormat="1" hidden="1">
      <c r="A1016" s="356" t="s">
        <v>1586</v>
      </c>
      <c r="B1016" s="927"/>
      <c r="C1016" s="707" t="s">
        <v>541</v>
      </c>
      <c r="D1016" s="358">
        <f>'3.60 lakhs'!I829</f>
        <v>0</v>
      </c>
      <c r="E1016" s="354" t="s">
        <v>102</v>
      </c>
      <c r="F1016" s="355">
        <f>'3.60 lakhs'!K829</f>
        <v>479.98</v>
      </c>
      <c r="G1016" s="353">
        <f t="shared" si="37"/>
        <v>0</v>
      </c>
      <c r="H1016" s="708" t="s">
        <v>2322</v>
      </c>
    </row>
    <row r="1017" spans="1:8" s="360" customFormat="1" hidden="1">
      <c r="A1017" s="356" t="s">
        <v>473</v>
      </c>
      <c r="B1017" s="927"/>
      <c r="C1017" s="707" t="s">
        <v>2078</v>
      </c>
      <c r="D1017" s="358">
        <f>'3.60 lakhs'!I834</f>
        <v>0</v>
      </c>
      <c r="E1017" s="354" t="s">
        <v>5</v>
      </c>
      <c r="F1017" s="355">
        <f>'3.60 lakhs'!K834</f>
        <v>5843.9400000000005</v>
      </c>
      <c r="G1017" s="353">
        <f t="shared" si="37"/>
        <v>0</v>
      </c>
      <c r="H1017" s="708" t="s">
        <v>2322</v>
      </c>
    </row>
    <row r="1018" spans="1:8" s="360" customFormat="1" hidden="1">
      <c r="A1018" s="356" t="s">
        <v>525</v>
      </c>
      <c r="B1018" s="927"/>
      <c r="C1018" s="707" t="s">
        <v>507</v>
      </c>
      <c r="D1018" s="358">
        <f>'3.60 lakhs'!I840</f>
        <v>0</v>
      </c>
      <c r="E1018" s="354" t="s">
        <v>102</v>
      </c>
      <c r="F1018" s="355">
        <f>'3.60 lakhs'!K840</f>
        <v>1139.42</v>
      </c>
      <c r="G1018" s="353">
        <f t="shared" si="37"/>
        <v>0</v>
      </c>
      <c r="H1018" s="708" t="s">
        <v>2322</v>
      </c>
    </row>
    <row r="1019" spans="1:8" s="360" customFormat="1" hidden="1">
      <c r="A1019" s="356" t="s">
        <v>528</v>
      </c>
      <c r="B1019" s="927"/>
      <c r="C1019" s="707" t="s">
        <v>509</v>
      </c>
      <c r="D1019" s="358">
        <f>'3.60 lakhs'!I847</f>
        <v>0</v>
      </c>
      <c r="E1019" s="354" t="s">
        <v>102</v>
      </c>
      <c r="F1019" s="355">
        <f>'3.60 lakhs'!K847</f>
        <v>1134.08</v>
      </c>
      <c r="G1019" s="353">
        <f t="shared" si="37"/>
        <v>0</v>
      </c>
      <c r="H1019" s="708" t="s">
        <v>2322</v>
      </c>
    </row>
    <row r="1020" spans="1:8" s="360" customFormat="1" hidden="1">
      <c r="A1020" s="356" t="s">
        <v>508</v>
      </c>
      <c r="B1020" s="927"/>
      <c r="C1020" s="707" t="s">
        <v>708</v>
      </c>
      <c r="D1020" s="358">
        <f>'3.60 lakhs'!I854</f>
        <v>0</v>
      </c>
      <c r="E1020" s="354" t="s">
        <v>77</v>
      </c>
      <c r="F1020" s="355">
        <f>'3.60 lakhs'!K854</f>
        <v>3248.17</v>
      </c>
      <c r="G1020" s="353">
        <f t="shared" si="37"/>
        <v>0</v>
      </c>
      <c r="H1020" s="708" t="s">
        <v>2322</v>
      </c>
    </row>
    <row r="1021" spans="1:8" s="360" customFormat="1" hidden="1">
      <c r="A1021" s="356" t="s">
        <v>510</v>
      </c>
      <c r="B1021" s="927"/>
      <c r="C1021" s="707" t="s">
        <v>877</v>
      </c>
      <c r="D1021" s="358">
        <f>'3.60 lakhs'!I861</f>
        <v>0</v>
      </c>
      <c r="E1021" s="354" t="s">
        <v>102</v>
      </c>
      <c r="F1021" s="355">
        <f>'3.60 lakhs'!K861</f>
        <v>2995.66</v>
      </c>
      <c r="G1021" s="353">
        <f t="shared" si="37"/>
        <v>0</v>
      </c>
      <c r="H1021" s="708" t="s">
        <v>2322</v>
      </c>
    </row>
    <row r="1022" spans="1:8" s="360" customFormat="1" hidden="1">
      <c r="A1022" s="356" t="s">
        <v>529</v>
      </c>
      <c r="B1022" s="927"/>
      <c r="C1022" s="707" t="s">
        <v>710</v>
      </c>
      <c r="D1022" s="358">
        <f>'3.60 lakhs'!I868</f>
        <v>0</v>
      </c>
      <c r="E1022" s="354" t="s">
        <v>102</v>
      </c>
      <c r="F1022" s="355">
        <f>'3.60 lakhs'!K868</f>
        <v>816.76</v>
      </c>
      <c r="G1022" s="353">
        <f t="shared" si="37"/>
        <v>0</v>
      </c>
      <c r="H1022" s="708" t="s">
        <v>2322</v>
      </c>
    </row>
    <row r="1023" spans="1:8" s="360" customFormat="1" hidden="1">
      <c r="A1023" s="356" t="s">
        <v>530</v>
      </c>
      <c r="B1023" s="927"/>
      <c r="C1023" s="707" t="s">
        <v>711</v>
      </c>
      <c r="D1023" s="358">
        <f>'3.60 lakhs'!I875</f>
        <v>0</v>
      </c>
      <c r="E1023" s="354" t="s">
        <v>102</v>
      </c>
      <c r="F1023" s="355">
        <f>'3.60 lakhs'!K875</f>
        <v>822.23</v>
      </c>
      <c r="G1023" s="353">
        <f t="shared" si="37"/>
        <v>0</v>
      </c>
      <c r="H1023" s="708" t="s">
        <v>2322</v>
      </c>
    </row>
    <row r="1024" spans="1:8" s="360" customFormat="1" hidden="1">
      <c r="A1024" s="356" t="s">
        <v>531</v>
      </c>
      <c r="B1024" s="927"/>
      <c r="C1024" s="707" t="s">
        <v>511</v>
      </c>
      <c r="D1024" s="358">
        <f>'3.60 lakhs'!I882</f>
        <v>0</v>
      </c>
      <c r="E1024" s="354" t="s">
        <v>102</v>
      </c>
      <c r="F1024" s="355">
        <f>'3.60 lakhs'!K882</f>
        <v>873.89</v>
      </c>
      <c r="G1024" s="353">
        <f t="shared" si="37"/>
        <v>0</v>
      </c>
      <c r="H1024" s="708" t="s">
        <v>2322</v>
      </c>
    </row>
    <row r="1025" spans="1:8" s="360" customFormat="1" hidden="1">
      <c r="A1025" s="356" t="s">
        <v>532</v>
      </c>
      <c r="B1025" s="927"/>
      <c r="C1025" s="707" t="s">
        <v>570</v>
      </c>
      <c r="D1025" s="358">
        <f>'3.60 lakhs'!I888</f>
        <v>0</v>
      </c>
      <c r="E1025" s="354" t="s">
        <v>102</v>
      </c>
      <c r="F1025" s="355">
        <f>'3.60 lakhs'!K888</f>
        <v>536.26</v>
      </c>
      <c r="G1025" s="353">
        <f t="shared" si="37"/>
        <v>0</v>
      </c>
      <c r="H1025" s="708" t="s">
        <v>2322</v>
      </c>
    </row>
    <row r="1026" spans="1:8" s="360" customFormat="1" hidden="1">
      <c r="A1026" s="356" t="s">
        <v>492</v>
      </c>
      <c r="B1026" s="927"/>
      <c r="C1026" s="707" t="s">
        <v>1223</v>
      </c>
      <c r="D1026" s="358">
        <f>'3.60 lakhs'!I894</f>
        <v>0</v>
      </c>
      <c r="E1026" s="354" t="s">
        <v>102</v>
      </c>
      <c r="F1026" s="355">
        <f>'3.60 lakhs'!K894</f>
        <v>1100.49</v>
      </c>
      <c r="G1026" s="353">
        <f t="shared" si="37"/>
        <v>0</v>
      </c>
      <c r="H1026" s="708" t="s">
        <v>2322</v>
      </c>
    </row>
    <row r="1027" spans="1:8" s="360" customFormat="1" hidden="1">
      <c r="A1027" s="356" t="s">
        <v>533</v>
      </c>
      <c r="B1027" s="927"/>
      <c r="C1027" s="707" t="s">
        <v>707</v>
      </c>
      <c r="D1027" s="358">
        <f>'3.60 lakhs'!I902</f>
        <v>0</v>
      </c>
      <c r="E1027" s="354" t="s">
        <v>102</v>
      </c>
      <c r="F1027" s="355">
        <f>'3.60 lakhs'!K902</f>
        <v>27.91</v>
      </c>
      <c r="G1027" s="353">
        <f t="shared" si="37"/>
        <v>0</v>
      </c>
      <c r="H1027" s="708" t="s">
        <v>2322</v>
      </c>
    </row>
    <row r="1028" spans="1:8" s="360" customFormat="1" hidden="1">
      <c r="A1028" s="356" t="s">
        <v>1143</v>
      </c>
      <c r="B1028" s="927"/>
      <c r="C1028" s="707" t="s">
        <v>888</v>
      </c>
      <c r="D1028" s="358">
        <f>'3.60 lakhs'!I910</f>
        <v>0</v>
      </c>
      <c r="E1028" s="354" t="s">
        <v>102</v>
      </c>
      <c r="F1028" s="355">
        <f>'3.60 lakhs'!K910</f>
        <v>194.34</v>
      </c>
      <c r="G1028" s="353">
        <f t="shared" si="37"/>
        <v>0</v>
      </c>
      <c r="H1028" s="708" t="s">
        <v>2322</v>
      </c>
    </row>
    <row r="1029" spans="1:8" s="360" customFormat="1" hidden="1">
      <c r="A1029" s="356" t="s">
        <v>645</v>
      </c>
      <c r="B1029" s="927"/>
      <c r="C1029" s="707" t="s">
        <v>571</v>
      </c>
      <c r="D1029" s="358">
        <f>'3.60 lakhs'!I918</f>
        <v>0</v>
      </c>
      <c r="E1029" s="354" t="s">
        <v>102</v>
      </c>
      <c r="F1029" s="355">
        <f>'3.60 lakhs'!K918</f>
        <v>169.89</v>
      </c>
      <c r="G1029" s="353">
        <f t="shared" si="37"/>
        <v>0</v>
      </c>
      <c r="H1029" s="708" t="s">
        <v>2322</v>
      </c>
    </row>
    <row r="1030" spans="1:8" s="360" customFormat="1" hidden="1">
      <c r="A1030" s="356" t="s">
        <v>1587</v>
      </c>
      <c r="B1030" s="927"/>
      <c r="C1030" s="707" t="s">
        <v>1227</v>
      </c>
      <c r="D1030" s="358">
        <f>'3.60 lakhs'!I925</f>
        <v>0</v>
      </c>
      <c r="E1030" s="354" t="s">
        <v>102</v>
      </c>
      <c r="F1030" s="355">
        <f>'3.60 lakhs'!K925</f>
        <v>233.59</v>
      </c>
      <c r="G1030" s="353">
        <f t="shared" si="37"/>
        <v>0</v>
      </c>
      <c r="H1030" s="708" t="s">
        <v>2322</v>
      </c>
    </row>
    <row r="1031" spans="1:8" s="360" customFormat="1" hidden="1">
      <c r="A1031" s="356" t="s">
        <v>1578</v>
      </c>
      <c r="B1031" s="927"/>
      <c r="C1031" s="707" t="s">
        <v>477</v>
      </c>
      <c r="D1031" s="429">
        <f>'3.60 lakhs'!I931</f>
        <v>0</v>
      </c>
      <c r="E1031" s="221" t="s">
        <v>29</v>
      </c>
      <c r="F1031" s="430">
        <f>'3.60 lakhs'!K931</f>
        <v>91830</v>
      </c>
      <c r="G1031" s="353">
        <f t="shared" si="37"/>
        <v>0</v>
      </c>
      <c r="H1031" s="708" t="s">
        <v>2322</v>
      </c>
    </row>
    <row r="1032" spans="1:8" s="360" customFormat="1" hidden="1">
      <c r="A1032" s="356" t="s">
        <v>1144</v>
      </c>
      <c r="B1032" s="927"/>
      <c r="C1032" s="707" t="s">
        <v>1229</v>
      </c>
      <c r="D1032" s="358">
        <f>'3.60 lakhs'!I937</f>
        <v>0</v>
      </c>
      <c r="E1032" s="354" t="s">
        <v>115</v>
      </c>
      <c r="F1032" s="355">
        <f>'3.60 lakhs'!K937</f>
        <v>22903.660000000003</v>
      </c>
      <c r="G1032" s="353">
        <f t="shared" si="37"/>
        <v>0</v>
      </c>
      <c r="H1032" s="708" t="s">
        <v>2322</v>
      </c>
    </row>
    <row r="1033" spans="1:8" s="360" customFormat="1" hidden="1">
      <c r="A1033" s="356" t="s">
        <v>485</v>
      </c>
      <c r="B1033" s="927"/>
      <c r="C1033" s="707" t="s">
        <v>2004</v>
      </c>
      <c r="D1033" s="358">
        <f>'3.60 lakhs'!I952</f>
        <v>0</v>
      </c>
      <c r="E1033" s="354" t="s">
        <v>115</v>
      </c>
      <c r="F1033" s="355">
        <f>'3.60 lakhs'!K952</f>
        <v>15875.19</v>
      </c>
      <c r="G1033" s="353">
        <f t="shared" si="37"/>
        <v>0</v>
      </c>
      <c r="H1033" s="708" t="s">
        <v>2322</v>
      </c>
    </row>
    <row r="1034" spans="1:8" s="360" customFormat="1" hidden="1">
      <c r="A1034" s="356"/>
      <c r="B1034" s="927"/>
      <c r="C1034" s="707" t="s">
        <v>2005</v>
      </c>
      <c r="D1034" s="358">
        <f>'3.60 lakhs'!I957</f>
        <v>0</v>
      </c>
      <c r="E1034" s="354" t="s">
        <v>115</v>
      </c>
      <c r="F1034" s="355">
        <f>'3.60 lakhs'!K957</f>
        <v>15037.220000000001</v>
      </c>
      <c r="G1034" s="353">
        <f t="shared" si="37"/>
        <v>0</v>
      </c>
      <c r="H1034" s="708" t="s">
        <v>2322</v>
      </c>
    </row>
    <row r="1035" spans="1:8" s="360" customFormat="1" hidden="1">
      <c r="A1035" s="356" t="s">
        <v>1144</v>
      </c>
      <c r="B1035" s="927"/>
      <c r="C1035" s="707" t="s">
        <v>2004</v>
      </c>
      <c r="D1035" s="358">
        <f>'3.60 lakhs'!I962</f>
        <v>0</v>
      </c>
      <c r="E1035" s="354" t="s">
        <v>115</v>
      </c>
      <c r="F1035" s="355">
        <f>'3.60 lakhs'!K962</f>
        <v>10330.61</v>
      </c>
      <c r="G1035" s="353">
        <f t="shared" si="37"/>
        <v>0</v>
      </c>
      <c r="H1035" s="708" t="s">
        <v>2322</v>
      </c>
    </row>
    <row r="1036" spans="1:8" s="360" customFormat="1" hidden="1">
      <c r="A1036" s="356" t="s">
        <v>1582</v>
      </c>
      <c r="B1036" s="927"/>
      <c r="C1036" s="707" t="s">
        <v>2006</v>
      </c>
      <c r="D1036" s="358">
        <f>'3.60 lakhs'!I967</f>
        <v>0</v>
      </c>
      <c r="E1036" s="354" t="s">
        <v>115</v>
      </c>
      <c r="F1036" s="355">
        <f>'3.60 lakhs'!K967</f>
        <v>7015.49</v>
      </c>
      <c r="G1036" s="353">
        <f t="shared" si="37"/>
        <v>0</v>
      </c>
      <c r="H1036" s="708" t="s">
        <v>2322</v>
      </c>
    </row>
    <row r="1037" spans="1:8" s="360" customFormat="1" ht="15" hidden="1" customHeight="1">
      <c r="A1037" s="356" t="s">
        <v>1592</v>
      </c>
      <c r="B1037" s="927" t="s">
        <v>2649</v>
      </c>
      <c r="C1037" s="707" t="s">
        <v>1228</v>
      </c>
      <c r="D1037" s="358">
        <f>'3.60 lakhs'!I942</f>
        <v>0</v>
      </c>
      <c r="E1037" s="354" t="s">
        <v>115</v>
      </c>
      <c r="F1037" s="355">
        <f>'3.60 lakhs'!K942</f>
        <v>7927.96</v>
      </c>
      <c r="G1037" s="353">
        <f>ROUND(D1037*F1037,0)</f>
        <v>0</v>
      </c>
      <c r="H1037" s="708" t="s">
        <v>2322</v>
      </c>
    </row>
    <row r="1038" spans="1:8" s="360" customFormat="1" ht="15" hidden="1" customHeight="1">
      <c r="A1038" s="356" t="s">
        <v>1590</v>
      </c>
      <c r="B1038" s="927"/>
      <c r="C1038" s="707" t="s">
        <v>1228</v>
      </c>
      <c r="D1038" s="358">
        <f>'3.60 lakhs'!I947</f>
        <v>0</v>
      </c>
      <c r="E1038" s="354" t="s">
        <v>115</v>
      </c>
      <c r="F1038" s="355">
        <f>'3.60 lakhs'!K947</f>
        <v>11442.58</v>
      </c>
      <c r="G1038" s="353">
        <f t="shared" si="37"/>
        <v>0</v>
      </c>
      <c r="H1038" s="708" t="s">
        <v>2322</v>
      </c>
    </row>
    <row r="1039" spans="1:8" s="360" customFormat="1" hidden="1">
      <c r="A1039" s="356" t="s">
        <v>529</v>
      </c>
      <c r="B1039" s="927"/>
      <c r="C1039" s="707" t="s">
        <v>963</v>
      </c>
      <c r="D1039" s="358">
        <f>'3.60 lakhs'!I974</f>
        <v>0</v>
      </c>
      <c r="E1039" s="354" t="s">
        <v>115</v>
      </c>
      <c r="F1039" s="355">
        <f>'3.60 lakhs'!K974</f>
        <v>17517.36</v>
      </c>
      <c r="G1039" s="353">
        <f t="shared" si="37"/>
        <v>0</v>
      </c>
      <c r="H1039" s="708" t="s">
        <v>2322</v>
      </c>
    </row>
    <row r="1040" spans="1:8" s="360" customFormat="1" hidden="1">
      <c r="A1040" s="356" t="s">
        <v>1578</v>
      </c>
      <c r="B1040" s="927" t="s">
        <v>2651</v>
      </c>
      <c r="C1040" s="707" t="s">
        <v>964</v>
      </c>
      <c r="D1040" s="358">
        <f>'3.60 lakhs'!I979</f>
        <v>0</v>
      </c>
      <c r="E1040" s="354" t="s">
        <v>115</v>
      </c>
      <c r="F1040" s="355">
        <f>'3.60 lakhs'!K979</f>
        <v>7005.16</v>
      </c>
      <c r="G1040" s="353">
        <f>ROUND(D1040*F1040,0)</f>
        <v>0</v>
      </c>
      <c r="H1040" s="708" t="s">
        <v>2322</v>
      </c>
    </row>
    <row r="1041" spans="1:10" s="360" customFormat="1" hidden="1">
      <c r="A1041" s="356" t="s">
        <v>467</v>
      </c>
      <c r="B1041" s="927"/>
      <c r="C1041" s="707" t="s">
        <v>2779</v>
      </c>
      <c r="D1041" s="358">
        <f>'3.60 lakhs'!I984</f>
        <v>0</v>
      </c>
      <c r="E1041" s="354" t="s">
        <v>102</v>
      </c>
      <c r="F1041" s="355">
        <f>'3.60 lakhs'!K984</f>
        <v>4083.08</v>
      </c>
      <c r="H1041" s="708" t="s">
        <v>2322</v>
      </c>
      <c r="J1041" s="353">
        <f>ROUND(D1041*F1041,0)</f>
        <v>0</v>
      </c>
    </row>
    <row r="1042" spans="1:10" s="360" customFormat="1" hidden="1">
      <c r="A1042" s="356" t="s">
        <v>1147</v>
      </c>
      <c r="B1042" s="927"/>
      <c r="C1042" s="707" t="s">
        <v>2038</v>
      </c>
      <c r="D1042" s="358">
        <f>'3.60 lakhs'!I990</f>
        <v>0</v>
      </c>
      <c r="E1042" s="354" t="s">
        <v>102</v>
      </c>
      <c r="F1042" s="355">
        <f>'3.60 lakhs'!K990</f>
        <v>6132.48</v>
      </c>
      <c r="G1042" s="353">
        <f t="shared" si="37"/>
        <v>0</v>
      </c>
      <c r="H1042" s="708" t="s">
        <v>2322</v>
      </c>
    </row>
    <row r="1043" spans="1:10" s="360" customFormat="1">
      <c r="A1043" s="356" t="s">
        <v>522</v>
      </c>
      <c r="B1043" s="927" t="s">
        <v>2654</v>
      </c>
      <c r="C1043" s="707" t="s">
        <v>2780</v>
      </c>
      <c r="D1043" s="358">
        <f>'3.60 lakhs'!I1001</f>
        <v>0</v>
      </c>
      <c r="E1043" s="354" t="s">
        <v>102</v>
      </c>
      <c r="F1043" s="355">
        <f>'3.60 lakhs'!K1001</f>
        <v>8622</v>
      </c>
      <c r="G1043" s="353">
        <f t="shared" si="37"/>
        <v>0</v>
      </c>
      <c r="H1043" s="708" t="s">
        <v>2322</v>
      </c>
    </row>
    <row r="1044" spans="1:10" s="360" customFormat="1" ht="25.5" hidden="1">
      <c r="A1044" s="356" t="s">
        <v>1145</v>
      </c>
      <c r="B1044" s="927"/>
      <c r="C1044" s="707" t="s">
        <v>965</v>
      </c>
      <c r="D1044" s="358">
        <f>'3.60 lakhs'!I1005</f>
        <v>0</v>
      </c>
      <c r="E1044" s="354" t="s">
        <v>102</v>
      </c>
      <c r="F1044" s="355">
        <f>'3.60 lakhs'!K1005</f>
        <v>6460</v>
      </c>
      <c r="G1044" s="353">
        <f t="shared" si="37"/>
        <v>0</v>
      </c>
      <c r="H1044" s="708" t="s">
        <v>2322</v>
      </c>
    </row>
    <row r="1045" spans="1:10" s="360" customFormat="1" ht="25.5" hidden="1">
      <c r="A1045" s="356" t="s">
        <v>1579</v>
      </c>
      <c r="B1045" s="927"/>
      <c r="C1045" s="707" t="s">
        <v>966</v>
      </c>
      <c r="D1045" s="358">
        <f>'3.60 lakhs'!I1009</f>
        <v>0</v>
      </c>
      <c r="E1045" s="354" t="s">
        <v>102</v>
      </c>
      <c r="F1045" s="355">
        <f>'3.60 lakhs'!K1009</f>
        <v>6238</v>
      </c>
      <c r="G1045" s="353">
        <f t="shared" si="37"/>
        <v>0</v>
      </c>
      <c r="H1045" s="708" t="s">
        <v>2322</v>
      </c>
    </row>
    <row r="1046" spans="1:10" s="360" customFormat="1" hidden="1">
      <c r="A1046" s="356"/>
      <c r="B1046" s="927"/>
      <c r="C1046" s="707" t="s">
        <v>2294</v>
      </c>
      <c r="D1046" s="358">
        <f>'3.60 lakhs'!I1014</f>
        <v>0</v>
      </c>
      <c r="E1046" s="354" t="s">
        <v>102</v>
      </c>
      <c r="F1046" s="355">
        <f>'3.60 lakhs'!K1014</f>
        <v>4062</v>
      </c>
      <c r="G1046" s="353">
        <f t="shared" si="37"/>
        <v>0</v>
      </c>
      <c r="H1046" s="708" t="s">
        <v>2322</v>
      </c>
    </row>
    <row r="1047" spans="1:10" s="360" customFormat="1" hidden="1">
      <c r="A1047" s="356" t="s">
        <v>1147</v>
      </c>
      <c r="B1047" s="927"/>
      <c r="C1047" s="707" t="s">
        <v>712</v>
      </c>
      <c r="D1047" s="358">
        <f>'3.60 lakhs'!I1019</f>
        <v>0</v>
      </c>
      <c r="E1047" s="354" t="s">
        <v>115</v>
      </c>
      <c r="F1047" s="355">
        <f>'3.60 lakhs'!K1019</f>
        <v>577.28</v>
      </c>
      <c r="G1047" s="353">
        <f t="shared" si="37"/>
        <v>0</v>
      </c>
      <c r="H1047" s="708" t="s">
        <v>2322</v>
      </c>
    </row>
    <row r="1048" spans="1:10" s="360" customFormat="1" hidden="1">
      <c r="A1048" s="356" t="s">
        <v>1580</v>
      </c>
      <c r="B1048" s="927"/>
      <c r="C1048" s="707" t="s">
        <v>932</v>
      </c>
      <c r="D1048" s="358">
        <f>'3.60 lakhs'!I1024</f>
        <v>0</v>
      </c>
      <c r="E1048" s="354" t="s">
        <v>102</v>
      </c>
      <c r="F1048" s="355">
        <f>'3.60 lakhs'!K1024</f>
        <v>604.07999999999993</v>
      </c>
      <c r="G1048" s="353">
        <f t="shared" si="37"/>
        <v>0</v>
      </c>
      <c r="H1048" s="708" t="s">
        <v>2322</v>
      </c>
    </row>
    <row r="1049" spans="1:10" s="360" customFormat="1" hidden="1">
      <c r="A1049" s="356" t="s">
        <v>533</v>
      </c>
      <c r="B1049" s="927"/>
      <c r="C1049" s="707" t="s">
        <v>542</v>
      </c>
      <c r="D1049" s="358">
        <f>'3.60 lakhs'!I1029</f>
        <v>0</v>
      </c>
      <c r="E1049" s="354" t="s">
        <v>872</v>
      </c>
      <c r="F1049" s="355">
        <f>'3.60 lakhs'!K1029</f>
        <v>110.38</v>
      </c>
      <c r="G1049" s="353">
        <f t="shared" si="37"/>
        <v>0</v>
      </c>
      <c r="H1049" s="708" t="s">
        <v>2322</v>
      </c>
    </row>
    <row r="1050" spans="1:10" s="360" customFormat="1" hidden="1">
      <c r="A1050" s="356" t="s">
        <v>1594</v>
      </c>
      <c r="B1050" s="927"/>
      <c r="C1050" s="707" t="s">
        <v>542</v>
      </c>
      <c r="D1050" s="358">
        <f>'3.60 lakhs'!I1036</f>
        <v>0</v>
      </c>
      <c r="E1050" s="354" t="s">
        <v>102</v>
      </c>
      <c r="F1050" s="355">
        <f>'3.60 lakhs'!K1036</f>
        <v>3130</v>
      </c>
      <c r="G1050" s="353">
        <f t="shared" si="37"/>
        <v>0</v>
      </c>
      <c r="H1050" s="708" t="s">
        <v>2322</v>
      </c>
    </row>
    <row r="1051" spans="1:10" s="360" customFormat="1" hidden="1">
      <c r="A1051" s="356" t="s">
        <v>518</v>
      </c>
      <c r="B1051" s="927"/>
      <c r="C1051" s="707" t="s">
        <v>632</v>
      </c>
      <c r="D1051" s="358">
        <f>'3.60 lakhs'!I1041</f>
        <v>0</v>
      </c>
      <c r="E1051" s="354"/>
      <c r="F1051" s="355">
        <f>'3.60 lakhs'!K1041</f>
        <v>126.9</v>
      </c>
      <c r="G1051" s="353">
        <f t="shared" si="37"/>
        <v>0</v>
      </c>
      <c r="H1051" s="708" t="s">
        <v>2322</v>
      </c>
    </row>
    <row r="1052" spans="1:10" s="360" customFormat="1" hidden="1">
      <c r="A1052" s="356" t="s">
        <v>1595</v>
      </c>
      <c r="B1052" s="927"/>
      <c r="C1052" s="707" t="s">
        <v>2007</v>
      </c>
      <c r="D1052" s="358">
        <f>'3.60 lakhs'!I1051</f>
        <v>0</v>
      </c>
      <c r="E1052" s="354" t="s">
        <v>102</v>
      </c>
      <c r="F1052" s="355">
        <f>'3.60 lakhs'!K1051</f>
        <v>3345.94</v>
      </c>
      <c r="H1052" s="708" t="s">
        <v>2322</v>
      </c>
      <c r="J1052" s="353">
        <f>ROUND(D1052*F1052,0)</f>
        <v>0</v>
      </c>
    </row>
    <row r="1053" spans="1:10" s="360" customFormat="1" hidden="1">
      <c r="A1053" s="356" t="s">
        <v>642</v>
      </c>
      <c r="B1053" s="927"/>
      <c r="C1053" s="707" t="s">
        <v>2083</v>
      </c>
      <c r="D1053" s="358">
        <f>'3.60 lakhs'!I1059</f>
        <v>0</v>
      </c>
      <c r="E1053" s="354" t="s">
        <v>102</v>
      </c>
      <c r="F1053" s="355">
        <f>'3.60 lakhs'!K1059</f>
        <v>1514.34</v>
      </c>
      <c r="G1053" s="353">
        <f t="shared" si="37"/>
        <v>0</v>
      </c>
      <c r="H1053" s="708" t="s">
        <v>2322</v>
      </c>
    </row>
    <row r="1054" spans="1:10" s="360" customFormat="1" hidden="1">
      <c r="A1054" s="356" t="s">
        <v>642</v>
      </c>
      <c r="B1054" s="927"/>
      <c r="C1054" s="707" t="s">
        <v>2297</v>
      </c>
      <c r="D1054" s="358">
        <f>'3.60 lakhs'!I1064</f>
        <v>0</v>
      </c>
      <c r="E1054" s="354" t="s">
        <v>872</v>
      </c>
      <c r="F1054" s="355">
        <f>'3.60 lakhs'!K1064</f>
        <v>568.35</v>
      </c>
      <c r="G1054" s="353">
        <f t="shared" si="37"/>
        <v>0</v>
      </c>
      <c r="H1054" s="708" t="s">
        <v>2322</v>
      </c>
    </row>
    <row r="1055" spans="1:10" s="360" customFormat="1" hidden="1">
      <c r="A1055" s="356" t="s">
        <v>1151</v>
      </c>
      <c r="B1055" s="927"/>
      <c r="C1055" s="707" t="s">
        <v>962</v>
      </c>
      <c r="D1055" s="429">
        <f>'3.60 lakhs'!I1072</f>
        <v>0</v>
      </c>
      <c r="E1055" s="221" t="s">
        <v>277</v>
      </c>
      <c r="F1055" s="430">
        <f>'3.60 lakhs'!K1072</f>
        <v>453</v>
      </c>
      <c r="G1055" s="353">
        <f t="shared" si="37"/>
        <v>0</v>
      </c>
      <c r="H1055" s="708" t="s">
        <v>2322</v>
      </c>
    </row>
    <row r="1056" spans="1:10" s="360" customFormat="1">
      <c r="A1056" s="356" t="s">
        <v>524</v>
      </c>
      <c r="B1056" s="927" t="s">
        <v>2661</v>
      </c>
      <c r="C1056" s="707" t="s">
        <v>543</v>
      </c>
      <c r="D1056" s="358">
        <f>'3.60 lakhs'!I1078</f>
        <v>0</v>
      </c>
      <c r="E1056" s="354" t="s">
        <v>277</v>
      </c>
      <c r="F1056" s="355">
        <f>'3.60 lakhs'!K1078</f>
        <v>214</v>
      </c>
      <c r="G1056" s="353">
        <f t="shared" si="37"/>
        <v>0</v>
      </c>
      <c r="H1056" s="708" t="s">
        <v>2322</v>
      </c>
    </row>
    <row r="1057" spans="1:8" s="360" customFormat="1">
      <c r="A1057" s="356" t="s">
        <v>525</v>
      </c>
      <c r="B1057" s="927" t="s">
        <v>2662</v>
      </c>
      <c r="C1057" s="707" t="s">
        <v>544</v>
      </c>
      <c r="D1057" s="358">
        <f>'3.60 lakhs'!I1083</f>
        <v>0</v>
      </c>
      <c r="E1057" s="354" t="s">
        <v>277</v>
      </c>
      <c r="F1057" s="355">
        <f>'3.60 lakhs'!K1083</f>
        <v>136</v>
      </c>
      <c r="G1057" s="353">
        <f t="shared" si="37"/>
        <v>0</v>
      </c>
      <c r="H1057" s="708" t="s">
        <v>2322</v>
      </c>
    </row>
    <row r="1058" spans="1:8" s="360" customFormat="1" hidden="1">
      <c r="A1058" s="356" t="s">
        <v>1597</v>
      </c>
      <c r="B1058" s="927"/>
      <c r="C1058" s="707" t="s">
        <v>2008</v>
      </c>
      <c r="D1058" s="358">
        <f>'3.60 lakhs'!I1088</f>
        <v>0</v>
      </c>
      <c r="E1058" s="354" t="s">
        <v>277</v>
      </c>
      <c r="F1058" s="355">
        <f>'3.60 lakhs'!K1088</f>
        <v>94</v>
      </c>
      <c r="G1058" s="353">
        <f t="shared" si="37"/>
        <v>0</v>
      </c>
      <c r="H1058" s="708" t="s">
        <v>2322</v>
      </c>
    </row>
    <row r="1059" spans="1:8" s="360" customFormat="1" hidden="1">
      <c r="A1059" s="356" t="s">
        <v>1153</v>
      </c>
      <c r="B1059" s="927"/>
      <c r="C1059" s="707" t="s">
        <v>1256</v>
      </c>
      <c r="D1059" s="358">
        <f>'3.60 lakhs'!I1098</f>
        <v>0</v>
      </c>
      <c r="E1059" s="354" t="s">
        <v>277</v>
      </c>
      <c r="F1059" s="355">
        <f>'3.60 lakhs'!K1098</f>
        <v>35</v>
      </c>
      <c r="G1059" s="353">
        <f t="shared" si="37"/>
        <v>0</v>
      </c>
      <c r="H1059" s="708" t="s">
        <v>2322</v>
      </c>
    </row>
    <row r="1060" spans="1:8" s="360" customFormat="1">
      <c r="A1060" s="356" t="s">
        <v>526</v>
      </c>
      <c r="B1060" s="927" t="s">
        <v>2664</v>
      </c>
      <c r="C1060" s="707" t="s">
        <v>545</v>
      </c>
      <c r="D1060" s="358">
        <f>'3.60 lakhs'!I1104</f>
        <v>0</v>
      </c>
      <c r="E1060" s="354" t="s">
        <v>277</v>
      </c>
      <c r="F1060" s="355">
        <f>'3.60 lakhs'!K1104</f>
        <v>33</v>
      </c>
      <c r="G1060" s="353">
        <f t="shared" si="37"/>
        <v>0</v>
      </c>
      <c r="H1060" s="708" t="s">
        <v>2322</v>
      </c>
    </row>
    <row r="1061" spans="1:8" s="360" customFormat="1" hidden="1">
      <c r="A1061" s="356" t="s">
        <v>1152</v>
      </c>
      <c r="B1061" s="927"/>
      <c r="C1061" s="707" t="s">
        <v>546</v>
      </c>
      <c r="D1061" s="358">
        <f>'3.60 lakhs'!I1109</f>
        <v>0</v>
      </c>
      <c r="E1061" s="354" t="s">
        <v>115</v>
      </c>
      <c r="F1061" s="355">
        <f>'3.60 lakhs'!K1109</f>
        <v>387</v>
      </c>
      <c r="G1061" s="353">
        <f t="shared" si="37"/>
        <v>0</v>
      </c>
      <c r="H1061" s="708" t="s">
        <v>2322</v>
      </c>
    </row>
    <row r="1062" spans="1:8" s="360" customFormat="1" ht="25.5" hidden="1">
      <c r="A1062" s="356" t="s">
        <v>499</v>
      </c>
      <c r="B1062" s="927"/>
      <c r="C1062" s="707" t="s">
        <v>713</v>
      </c>
      <c r="D1062" s="358">
        <f>'3.60 lakhs'!I1114</f>
        <v>0</v>
      </c>
      <c r="E1062" s="354" t="s">
        <v>115</v>
      </c>
      <c r="F1062" s="355">
        <f>'3.60 lakhs'!K1114</f>
        <v>1644</v>
      </c>
      <c r="G1062" s="353">
        <f t="shared" si="37"/>
        <v>0</v>
      </c>
      <c r="H1062" s="708" t="s">
        <v>2322</v>
      </c>
    </row>
    <row r="1063" spans="1:8" s="360" customFormat="1">
      <c r="A1063" s="356" t="s">
        <v>527</v>
      </c>
      <c r="B1063" s="927" t="s">
        <v>2668</v>
      </c>
      <c r="C1063" s="707" t="s">
        <v>547</v>
      </c>
      <c r="D1063" s="358">
        <f>'3.60 lakhs'!I1119</f>
        <v>0</v>
      </c>
      <c r="E1063" s="354" t="s">
        <v>277</v>
      </c>
      <c r="F1063" s="355">
        <f>'3.60 lakhs'!K1119</f>
        <v>149</v>
      </c>
      <c r="G1063" s="353">
        <f t="shared" si="37"/>
        <v>0</v>
      </c>
      <c r="H1063" s="708" t="s">
        <v>2322</v>
      </c>
    </row>
    <row r="1064" spans="1:8" s="360" customFormat="1" hidden="1">
      <c r="A1064" s="356" t="s">
        <v>1259</v>
      </c>
      <c r="B1064" s="927"/>
      <c r="C1064" s="707" t="s">
        <v>548</v>
      </c>
      <c r="D1064" s="358">
        <f>'3.60 lakhs'!I1124</f>
        <v>0</v>
      </c>
      <c r="E1064" s="354" t="s">
        <v>277</v>
      </c>
      <c r="F1064" s="355">
        <f>'3.60 lakhs'!K1124</f>
        <v>141.66666666666666</v>
      </c>
      <c r="G1064" s="353">
        <f t="shared" si="37"/>
        <v>0</v>
      </c>
      <c r="H1064" s="708" t="s">
        <v>2322</v>
      </c>
    </row>
    <row r="1065" spans="1:8" s="360" customFormat="1">
      <c r="A1065" s="356" t="s">
        <v>1581</v>
      </c>
      <c r="B1065" s="927" t="s">
        <v>2669</v>
      </c>
      <c r="C1065" s="707" t="s">
        <v>549</v>
      </c>
      <c r="D1065" s="358">
        <f>'3.60 lakhs'!I1129</f>
        <v>0</v>
      </c>
      <c r="E1065" s="354" t="s">
        <v>277</v>
      </c>
      <c r="F1065" s="355">
        <f>'3.60 lakhs'!K1129</f>
        <v>89</v>
      </c>
      <c r="G1065" s="353">
        <f t="shared" si="37"/>
        <v>0</v>
      </c>
      <c r="H1065" s="708" t="s">
        <v>2322</v>
      </c>
    </row>
    <row r="1066" spans="1:8" s="360" customFormat="1">
      <c r="A1066" s="356" t="s">
        <v>528</v>
      </c>
      <c r="B1066" s="927" t="s">
        <v>2664</v>
      </c>
      <c r="C1066" s="707" t="s">
        <v>550</v>
      </c>
      <c r="D1066" s="358">
        <f>'3.60 lakhs'!I1135</f>
        <v>0</v>
      </c>
      <c r="E1066" s="354" t="s">
        <v>277</v>
      </c>
      <c r="F1066" s="355">
        <f>'3.60 lakhs'!K1135</f>
        <v>79</v>
      </c>
      <c r="G1066" s="353">
        <f t="shared" si="37"/>
        <v>0</v>
      </c>
      <c r="H1066" s="708" t="s">
        <v>2322</v>
      </c>
    </row>
    <row r="1067" spans="1:8" s="360" customFormat="1">
      <c r="A1067" s="356" t="s">
        <v>1582</v>
      </c>
      <c r="B1067" s="927" t="s">
        <v>2670</v>
      </c>
      <c r="C1067" s="707" t="s">
        <v>551</v>
      </c>
      <c r="D1067" s="358">
        <f>'3.60 lakhs'!I1140</f>
        <v>0</v>
      </c>
      <c r="E1067" s="354" t="s">
        <v>115</v>
      </c>
      <c r="F1067" s="355">
        <f>'3.60 lakhs'!K1140</f>
        <v>5297</v>
      </c>
      <c r="G1067" s="353">
        <f t="shared" si="37"/>
        <v>0</v>
      </c>
      <c r="H1067" s="708" t="s">
        <v>2322</v>
      </c>
    </row>
    <row r="1068" spans="1:8" s="360" customFormat="1" hidden="1">
      <c r="A1068" s="356" t="s">
        <v>644</v>
      </c>
      <c r="B1068" s="927"/>
      <c r="C1068" s="707" t="s">
        <v>633</v>
      </c>
      <c r="D1068" s="358">
        <f>'3.60 lakhs'!I1145</f>
        <v>0</v>
      </c>
      <c r="E1068" s="354" t="s">
        <v>115</v>
      </c>
      <c r="F1068" s="355">
        <f>'3.60 lakhs'!K1145</f>
        <v>1036</v>
      </c>
      <c r="G1068" s="353">
        <f t="shared" si="37"/>
        <v>0</v>
      </c>
      <c r="H1068" s="708" t="s">
        <v>2322</v>
      </c>
    </row>
    <row r="1069" spans="1:8" s="360" customFormat="1" hidden="1">
      <c r="A1069" s="356" t="s">
        <v>476</v>
      </c>
      <c r="B1069" s="927"/>
      <c r="C1069" s="707" t="s">
        <v>634</v>
      </c>
      <c r="D1069" s="358">
        <f>'3.60 lakhs'!I1155</f>
        <v>0</v>
      </c>
      <c r="E1069" s="354" t="s">
        <v>115</v>
      </c>
      <c r="F1069" s="355">
        <f>'3.60 lakhs'!K1155</f>
        <v>2025</v>
      </c>
      <c r="G1069" s="353">
        <f t="shared" si="37"/>
        <v>0</v>
      </c>
      <c r="H1069" s="708" t="s">
        <v>2322</v>
      </c>
    </row>
    <row r="1070" spans="1:8" s="360" customFormat="1" hidden="1">
      <c r="A1070" s="356" t="s">
        <v>1598</v>
      </c>
      <c r="B1070" s="927"/>
      <c r="C1070" s="707" t="s">
        <v>1257</v>
      </c>
      <c r="D1070" s="358">
        <f>'3.60 lakhs'!I1150</f>
        <v>0</v>
      </c>
      <c r="E1070" s="354" t="s">
        <v>115</v>
      </c>
      <c r="F1070" s="355">
        <f>'3.60 lakhs'!K1150</f>
        <v>2644</v>
      </c>
      <c r="G1070" s="353">
        <f t="shared" si="37"/>
        <v>0</v>
      </c>
      <c r="H1070" s="708" t="s">
        <v>2322</v>
      </c>
    </row>
    <row r="1071" spans="1:8" s="360" customFormat="1">
      <c r="A1071" s="356" t="s">
        <v>529</v>
      </c>
      <c r="B1071" s="927" t="s">
        <v>2674</v>
      </c>
      <c r="C1071" s="707" t="s">
        <v>719</v>
      </c>
      <c r="D1071" s="358">
        <f>'3.60 lakhs'!I1160</f>
        <v>0</v>
      </c>
      <c r="E1071" s="354" t="s">
        <v>115</v>
      </c>
      <c r="F1071" s="355">
        <f>'3.60 lakhs'!K1160</f>
        <v>93</v>
      </c>
      <c r="G1071" s="353">
        <f t="shared" si="37"/>
        <v>0</v>
      </c>
      <c r="H1071" s="708" t="s">
        <v>2322</v>
      </c>
    </row>
    <row r="1072" spans="1:8" s="360" customFormat="1">
      <c r="A1072" s="356" t="s">
        <v>530</v>
      </c>
      <c r="B1072" s="927" t="s">
        <v>2675</v>
      </c>
      <c r="C1072" s="707" t="s">
        <v>552</v>
      </c>
      <c r="D1072" s="358">
        <f>'3.60 lakhs'!I1165</f>
        <v>0</v>
      </c>
      <c r="E1072" s="354" t="s">
        <v>574</v>
      </c>
      <c r="F1072" s="355">
        <f>'3.60 lakhs'!K1165</f>
        <v>9.5</v>
      </c>
      <c r="G1072" s="353">
        <f t="shared" si="37"/>
        <v>0</v>
      </c>
      <c r="H1072" s="708" t="s">
        <v>2322</v>
      </c>
    </row>
    <row r="1073" spans="1:10" s="360" customFormat="1" hidden="1">
      <c r="A1073" s="356" t="s">
        <v>1160</v>
      </c>
      <c r="B1073" s="927"/>
      <c r="C1073" s="707" t="s">
        <v>553</v>
      </c>
      <c r="D1073" s="358">
        <f>'3.60 lakhs'!I1168</f>
        <v>0</v>
      </c>
      <c r="E1073" s="354" t="s">
        <v>277</v>
      </c>
      <c r="F1073" s="355">
        <f>'3.60 lakhs'!K1168</f>
        <v>446.4</v>
      </c>
      <c r="G1073" s="353">
        <f t="shared" si="37"/>
        <v>0</v>
      </c>
      <c r="H1073" s="708" t="s">
        <v>2322</v>
      </c>
    </row>
    <row r="1074" spans="1:10" s="360" customFormat="1" hidden="1">
      <c r="A1074" s="356" t="s">
        <v>524</v>
      </c>
      <c r="B1074" s="927"/>
      <c r="C1074" s="707" t="s">
        <v>553</v>
      </c>
      <c r="D1074" s="358">
        <f>'3.60 lakhs'!I1169</f>
        <v>0</v>
      </c>
      <c r="E1074" s="354" t="s">
        <v>277</v>
      </c>
      <c r="F1074" s="355">
        <f>'3.60 lakhs'!K1169</f>
        <v>477.6</v>
      </c>
      <c r="G1074" s="353">
        <f t="shared" si="37"/>
        <v>0</v>
      </c>
      <c r="H1074" s="708" t="s">
        <v>2322</v>
      </c>
    </row>
    <row r="1075" spans="1:10" s="360" customFormat="1" hidden="1">
      <c r="A1075" s="356" t="s">
        <v>525</v>
      </c>
      <c r="B1075" s="927"/>
      <c r="C1075" s="707" t="s">
        <v>553</v>
      </c>
      <c r="D1075" s="358">
        <f>'3.60 lakhs'!I1170</f>
        <v>0</v>
      </c>
      <c r="E1075" s="354" t="s">
        <v>277</v>
      </c>
      <c r="F1075" s="355">
        <f>'3.60 lakhs'!K1170</f>
        <v>535.70000000000005</v>
      </c>
      <c r="G1075" s="353">
        <f t="shared" si="37"/>
        <v>0</v>
      </c>
      <c r="H1075" s="708" t="s">
        <v>2322</v>
      </c>
    </row>
    <row r="1076" spans="1:10" s="360" customFormat="1" hidden="1">
      <c r="A1076" s="356" t="s">
        <v>1261</v>
      </c>
      <c r="B1076" s="927"/>
      <c r="C1076" s="707" t="s">
        <v>554</v>
      </c>
      <c r="D1076" s="358">
        <f>'3.60 lakhs'!I1176</f>
        <v>0</v>
      </c>
      <c r="E1076" s="354" t="s">
        <v>277</v>
      </c>
      <c r="F1076" s="355">
        <f>'3.60 lakhs'!K1176</f>
        <v>325</v>
      </c>
      <c r="G1076" s="353">
        <f t="shared" ref="G1076:G1125" si="38">ROUND(D1076*F1076,0)</f>
        <v>0</v>
      </c>
      <c r="H1076" s="708" t="s">
        <v>2322</v>
      </c>
    </row>
    <row r="1077" spans="1:10" s="360" customFormat="1" hidden="1">
      <c r="A1077" s="356" t="s">
        <v>1161</v>
      </c>
      <c r="B1077" s="927"/>
      <c r="C1077" s="707" t="s">
        <v>635</v>
      </c>
      <c r="D1077" s="358">
        <f>'3.60 lakhs'!I1181</f>
        <v>0</v>
      </c>
      <c r="E1077" s="354" t="s">
        <v>115</v>
      </c>
      <c r="F1077" s="355">
        <f>'3.60 lakhs'!K1181</f>
        <v>18370</v>
      </c>
      <c r="G1077" s="353">
        <f t="shared" si="38"/>
        <v>0</v>
      </c>
      <c r="H1077" s="708" t="s">
        <v>2322</v>
      </c>
    </row>
    <row r="1078" spans="1:10" s="360" customFormat="1" hidden="1">
      <c r="A1078" s="356" t="s">
        <v>1599</v>
      </c>
      <c r="B1078" s="927"/>
      <c r="C1078" s="707" t="s">
        <v>636</v>
      </c>
      <c r="D1078" s="358">
        <f>'3.60 lakhs'!I1186</f>
        <v>0</v>
      </c>
      <c r="E1078" s="354" t="s">
        <v>277</v>
      </c>
      <c r="F1078" s="355">
        <f>'3.60 lakhs'!K1186</f>
        <v>85</v>
      </c>
      <c r="G1078" s="353">
        <f t="shared" si="38"/>
        <v>0</v>
      </c>
      <c r="H1078" s="708" t="s">
        <v>2322</v>
      </c>
    </row>
    <row r="1079" spans="1:10" s="360" customFormat="1" hidden="1">
      <c r="A1079" s="356" t="s">
        <v>1600</v>
      </c>
      <c r="B1079" s="927"/>
      <c r="C1079" s="707" t="s">
        <v>284</v>
      </c>
      <c r="D1079" s="358">
        <f>'3.60 lakhs'!I1191</f>
        <v>0</v>
      </c>
      <c r="E1079" s="354" t="s">
        <v>115</v>
      </c>
      <c r="F1079" s="355">
        <f>'3.60 lakhs'!K1191</f>
        <v>300</v>
      </c>
      <c r="G1079" s="353">
        <f t="shared" si="38"/>
        <v>0</v>
      </c>
      <c r="H1079" s="708" t="s">
        <v>2322</v>
      </c>
    </row>
    <row r="1080" spans="1:10" s="360" customFormat="1" hidden="1">
      <c r="A1080" s="356" t="s">
        <v>2039</v>
      </c>
      <c r="B1080" s="927"/>
      <c r="C1080" s="707" t="s">
        <v>285</v>
      </c>
      <c r="D1080" s="358">
        <f>'3.60 lakhs'!I1196</f>
        <v>0</v>
      </c>
      <c r="E1080" s="354" t="s">
        <v>115</v>
      </c>
      <c r="F1080" s="355">
        <f>'3.60 lakhs'!K1196</f>
        <v>400</v>
      </c>
      <c r="G1080" s="353">
        <f t="shared" si="38"/>
        <v>0</v>
      </c>
      <c r="H1080" s="708" t="s">
        <v>2322</v>
      </c>
    </row>
    <row r="1081" spans="1:10" s="360" customFormat="1" hidden="1">
      <c r="A1081" s="356" t="s">
        <v>1163</v>
      </c>
      <c r="B1081" s="927"/>
      <c r="C1081" s="707" t="s">
        <v>286</v>
      </c>
      <c r="D1081" s="358">
        <f>'3.60 lakhs'!I1201</f>
        <v>0</v>
      </c>
      <c r="E1081" s="354" t="s">
        <v>115</v>
      </c>
      <c r="F1081" s="355">
        <f>'3.60 lakhs'!K1201</f>
        <v>77</v>
      </c>
      <c r="G1081" s="353">
        <f t="shared" si="38"/>
        <v>0</v>
      </c>
      <c r="H1081" s="708" t="s">
        <v>2322</v>
      </c>
    </row>
    <row r="1082" spans="1:10" s="360" customFormat="1" hidden="1">
      <c r="A1082" s="356" t="s">
        <v>2042</v>
      </c>
      <c r="B1082" s="927"/>
      <c r="C1082" s="707" t="s">
        <v>287</v>
      </c>
      <c r="D1082" s="358">
        <f>'3.60 lakhs'!I1206</f>
        <v>0</v>
      </c>
      <c r="E1082" s="354" t="s">
        <v>115</v>
      </c>
      <c r="F1082" s="355">
        <f>'3.60 lakhs'!K1206</f>
        <v>194</v>
      </c>
      <c r="G1082" s="353">
        <f t="shared" si="38"/>
        <v>0</v>
      </c>
      <c r="H1082" s="708" t="s">
        <v>2322</v>
      </c>
    </row>
    <row r="1083" spans="1:10" s="360" customFormat="1" hidden="1">
      <c r="A1083" s="356" t="s">
        <v>1163</v>
      </c>
      <c r="B1083" s="927"/>
      <c r="C1083" s="707" t="s">
        <v>637</v>
      </c>
      <c r="D1083" s="358">
        <f>'3.60 lakhs'!I1211</f>
        <v>0</v>
      </c>
      <c r="E1083" s="354" t="s">
        <v>277</v>
      </c>
      <c r="F1083" s="355">
        <f>'3.60 lakhs'!K1211</f>
        <v>105</v>
      </c>
      <c r="G1083" s="353">
        <f t="shared" si="38"/>
        <v>0</v>
      </c>
      <c r="H1083" s="708" t="s">
        <v>2322</v>
      </c>
    </row>
    <row r="1084" spans="1:10" s="360" customFormat="1" hidden="1">
      <c r="A1084" s="356" t="s">
        <v>2042</v>
      </c>
      <c r="B1084" s="927"/>
      <c r="C1084" s="707" t="s">
        <v>638</v>
      </c>
      <c r="D1084" s="358">
        <f>'3.60 lakhs'!I1216</f>
        <v>0</v>
      </c>
      <c r="E1084" s="354" t="s">
        <v>115</v>
      </c>
      <c r="F1084" s="355">
        <f>'3.60 lakhs'!K1216</f>
        <v>5445</v>
      </c>
      <c r="G1084" s="353">
        <f t="shared" si="38"/>
        <v>0</v>
      </c>
      <c r="H1084" s="708" t="s">
        <v>2322</v>
      </c>
    </row>
    <row r="1085" spans="1:10" s="360" customFormat="1" hidden="1">
      <c r="A1085" s="356" t="s">
        <v>1261</v>
      </c>
      <c r="B1085" s="927"/>
      <c r="C1085" s="707" t="s">
        <v>555</v>
      </c>
      <c r="D1085" s="358">
        <f>'3.60 lakhs'!I1222</f>
        <v>0</v>
      </c>
      <c r="E1085" s="354" t="s">
        <v>277</v>
      </c>
      <c r="F1085" s="355">
        <f>'3.60 lakhs'!K1222</f>
        <v>73.94</v>
      </c>
      <c r="G1085" s="353">
        <f t="shared" si="38"/>
        <v>0</v>
      </c>
      <c r="H1085" s="708" t="s">
        <v>2322</v>
      </c>
    </row>
    <row r="1086" spans="1:10" s="360" customFormat="1">
      <c r="A1086" s="356" t="s">
        <v>531</v>
      </c>
      <c r="B1086" s="927" t="s">
        <v>2691</v>
      </c>
      <c r="C1086" s="707" t="s">
        <v>555</v>
      </c>
      <c r="D1086" s="358">
        <f>'3.60 lakhs'!I1239</f>
        <v>0</v>
      </c>
      <c r="E1086" s="354" t="s">
        <v>277</v>
      </c>
      <c r="F1086" s="355">
        <f>'3.60 lakhs'!K1239</f>
        <v>89.61</v>
      </c>
      <c r="G1086" s="353">
        <f t="shared" si="38"/>
        <v>0</v>
      </c>
      <c r="H1086" s="708" t="s">
        <v>2322</v>
      </c>
    </row>
    <row r="1087" spans="1:10" s="360" customFormat="1" hidden="1">
      <c r="A1087" s="356" t="s">
        <v>517</v>
      </c>
      <c r="B1087" s="927"/>
      <c r="C1087" s="707" t="s">
        <v>572</v>
      </c>
      <c r="D1087" s="358">
        <f>'3.60 lakhs'!I1247</f>
        <v>0</v>
      </c>
      <c r="E1087" s="354" t="s">
        <v>277</v>
      </c>
      <c r="F1087" s="355">
        <f>'3.60 lakhs'!K1247</f>
        <v>64</v>
      </c>
      <c r="G1087" s="353">
        <f t="shared" si="38"/>
        <v>0</v>
      </c>
      <c r="H1087" s="708" t="s">
        <v>2322</v>
      </c>
    </row>
    <row r="1088" spans="1:10" s="360" customFormat="1" hidden="1">
      <c r="A1088" s="356" t="s">
        <v>479</v>
      </c>
      <c r="B1088" s="927"/>
      <c r="C1088" s="707" t="s">
        <v>556</v>
      </c>
      <c r="D1088" s="358">
        <f>'3.60 lakhs'!I1253</f>
        <v>0</v>
      </c>
      <c r="E1088" s="354" t="s">
        <v>115</v>
      </c>
      <c r="F1088" s="355">
        <f>'3.60 lakhs'!K1253</f>
        <v>245</v>
      </c>
      <c r="H1088" s="708" t="s">
        <v>2322</v>
      </c>
      <c r="J1088" s="353">
        <f>ROUND(D1088*F1088,0)</f>
        <v>0</v>
      </c>
    </row>
    <row r="1089" spans="1:10" s="360" customFormat="1" hidden="1">
      <c r="A1089" s="356" t="s">
        <v>1599</v>
      </c>
      <c r="B1089" s="927"/>
      <c r="C1089" s="707" t="s">
        <v>639</v>
      </c>
      <c r="D1089" s="358">
        <f>'3.60 lakhs'!I1259</f>
        <v>0</v>
      </c>
      <c r="E1089" s="354" t="s">
        <v>115</v>
      </c>
      <c r="F1089" s="355">
        <f>'3.60 lakhs'!K1259</f>
        <v>203</v>
      </c>
      <c r="H1089" s="708" t="s">
        <v>2322</v>
      </c>
      <c r="J1089" s="353">
        <f>ROUND(D1089*F1089,0)</f>
        <v>0</v>
      </c>
    </row>
    <row r="1090" spans="1:10" s="360" customFormat="1" hidden="1">
      <c r="A1090" s="356" t="s">
        <v>2084</v>
      </c>
      <c r="B1090" s="927"/>
      <c r="C1090" s="707" t="s">
        <v>714</v>
      </c>
      <c r="D1090" s="358">
        <f>'3.60 lakhs'!I1264</f>
        <v>0</v>
      </c>
      <c r="E1090" s="354" t="s">
        <v>115</v>
      </c>
      <c r="F1090" s="355">
        <f>'3.60 lakhs'!K1264</f>
        <v>155</v>
      </c>
      <c r="G1090" s="353">
        <f t="shared" si="38"/>
        <v>0</v>
      </c>
      <c r="H1090" s="708" t="s">
        <v>2322</v>
      </c>
    </row>
    <row r="1091" spans="1:10" s="360" customFormat="1" hidden="1">
      <c r="A1091" s="356" t="s">
        <v>1600</v>
      </c>
      <c r="B1091" s="927"/>
      <c r="C1091" s="707" t="s">
        <v>796</v>
      </c>
      <c r="D1091" s="358">
        <f>'3.60 lakhs'!I1282</f>
        <v>0</v>
      </c>
      <c r="E1091" s="354" t="s">
        <v>115</v>
      </c>
      <c r="F1091" s="355">
        <f>'3.60 lakhs'!K1282</f>
        <v>114</v>
      </c>
      <c r="G1091" s="353">
        <f t="shared" si="38"/>
        <v>0</v>
      </c>
      <c r="H1091" s="708" t="s">
        <v>2322</v>
      </c>
    </row>
    <row r="1092" spans="1:10" s="360" customFormat="1" hidden="1">
      <c r="A1092" s="356" t="s">
        <v>2050</v>
      </c>
      <c r="B1092" s="927"/>
      <c r="C1092" s="707" t="s">
        <v>640</v>
      </c>
      <c r="D1092" s="358">
        <f>'3.60 lakhs'!I1277</f>
        <v>0</v>
      </c>
      <c r="E1092" s="354" t="s">
        <v>115</v>
      </c>
      <c r="F1092" s="355">
        <f>'3.60 lakhs'!K1277</f>
        <v>400</v>
      </c>
      <c r="G1092" s="353">
        <f t="shared" si="38"/>
        <v>0</v>
      </c>
      <c r="H1092" s="708" t="s">
        <v>2322</v>
      </c>
    </row>
    <row r="1093" spans="1:10" s="360" customFormat="1" hidden="1">
      <c r="A1093" s="356" t="s">
        <v>2051</v>
      </c>
      <c r="B1093" s="927"/>
      <c r="C1093" s="707" t="s">
        <v>1514</v>
      </c>
      <c r="D1093" s="358">
        <f>'3.60 lakhs'!I1272</f>
        <v>0</v>
      </c>
      <c r="E1093" s="354" t="s">
        <v>115</v>
      </c>
      <c r="F1093" s="355">
        <f>'3.60 lakhs'!K1272</f>
        <v>359</v>
      </c>
      <c r="G1093" s="353">
        <f t="shared" si="38"/>
        <v>0</v>
      </c>
      <c r="H1093" s="708" t="s">
        <v>2322</v>
      </c>
    </row>
    <row r="1094" spans="1:10" s="360" customFormat="1" hidden="1">
      <c r="A1094" s="356" t="s">
        <v>2476</v>
      </c>
      <c r="B1094" s="927"/>
      <c r="C1094" s="707" t="s">
        <v>557</v>
      </c>
      <c r="D1094" s="358">
        <f>'3.60 lakhs'!I1287</f>
        <v>0</v>
      </c>
      <c r="E1094" s="354" t="s">
        <v>115</v>
      </c>
      <c r="F1094" s="355">
        <f>'3.60 lakhs'!K1287</f>
        <v>68</v>
      </c>
      <c r="G1094" s="353">
        <f t="shared" si="38"/>
        <v>0</v>
      </c>
      <c r="H1094" s="708" t="s">
        <v>2322</v>
      </c>
    </row>
    <row r="1095" spans="1:10" s="360" customFormat="1">
      <c r="A1095" s="356" t="s">
        <v>532</v>
      </c>
      <c r="B1095" s="927" t="s">
        <v>2679</v>
      </c>
      <c r="C1095" s="707" t="s">
        <v>558</v>
      </c>
      <c r="D1095" s="358">
        <f>'3.60 lakhs'!I1295</f>
        <v>0</v>
      </c>
      <c r="E1095" s="354" t="s">
        <v>568</v>
      </c>
      <c r="F1095" s="355">
        <f>'3.60 lakhs'!K1295</f>
        <v>481.67</v>
      </c>
      <c r="G1095" s="353">
        <f t="shared" si="38"/>
        <v>0</v>
      </c>
      <c r="H1095" s="708" t="s">
        <v>2322</v>
      </c>
    </row>
    <row r="1096" spans="1:10" s="360" customFormat="1" hidden="1">
      <c r="A1096" s="356" t="s">
        <v>482</v>
      </c>
      <c r="B1096" s="927"/>
      <c r="C1096" s="707" t="s">
        <v>558</v>
      </c>
      <c r="D1096" s="358">
        <f>'3.60 lakhs'!I1301</f>
        <v>0</v>
      </c>
      <c r="E1096" s="354" t="s">
        <v>568</v>
      </c>
      <c r="F1096" s="355">
        <f>'3.60 lakhs'!K1301</f>
        <v>503.67</v>
      </c>
      <c r="H1096" s="708" t="s">
        <v>2322</v>
      </c>
      <c r="J1096" s="353">
        <f>ROUND(D1096*F1096,0)</f>
        <v>0</v>
      </c>
    </row>
    <row r="1097" spans="1:10" s="360" customFormat="1" hidden="1">
      <c r="A1097" s="356" t="s">
        <v>2040</v>
      </c>
      <c r="B1097" s="927"/>
      <c r="C1097" s="707" t="s">
        <v>2273</v>
      </c>
      <c r="D1097" s="358">
        <f>'3.60 lakhs'!I1307</f>
        <v>0</v>
      </c>
      <c r="E1097" s="354" t="s">
        <v>277</v>
      </c>
      <c r="F1097" s="355">
        <f>'3.60 lakhs'!K1307</f>
        <v>23.55</v>
      </c>
      <c r="G1097" s="353">
        <f t="shared" si="38"/>
        <v>0</v>
      </c>
      <c r="H1097" s="708" t="s">
        <v>2322</v>
      </c>
    </row>
    <row r="1098" spans="1:10" s="360" customFormat="1" hidden="1">
      <c r="A1098" s="356" t="s">
        <v>2041</v>
      </c>
      <c r="B1098" s="927"/>
      <c r="C1098" s="707" t="s">
        <v>2274</v>
      </c>
      <c r="D1098" s="358">
        <f>'3.60 lakhs'!I1312</f>
        <v>0</v>
      </c>
      <c r="E1098" s="354" t="s">
        <v>277</v>
      </c>
      <c r="F1098" s="355">
        <f>'3.60 lakhs'!K1312</f>
        <v>79.48</v>
      </c>
      <c r="G1098" s="353">
        <f t="shared" si="38"/>
        <v>0</v>
      </c>
      <c r="H1098" s="708" t="s">
        <v>2322</v>
      </c>
    </row>
    <row r="1099" spans="1:10" s="360" customFormat="1">
      <c r="A1099" s="356" t="s">
        <v>1583</v>
      </c>
      <c r="B1099" s="927" t="s">
        <v>2677</v>
      </c>
      <c r="C1099" s="707" t="s">
        <v>559</v>
      </c>
      <c r="D1099" s="358">
        <f>'3.60 lakhs'!I1318</f>
        <v>0</v>
      </c>
      <c r="E1099" s="354" t="s">
        <v>277</v>
      </c>
      <c r="F1099" s="355">
        <f>'3.60 lakhs'!K1318</f>
        <v>83.333500000000001</v>
      </c>
      <c r="G1099" s="353">
        <f t="shared" si="38"/>
        <v>0</v>
      </c>
      <c r="H1099" s="708" t="s">
        <v>2322</v>
      </c>
    </row>
    <row r="1100" spans="1:10" s="360" customFormat="1" hidden="1">
      <c r="A1100" s="356" t="s">
        <v>2041</v>
      </c>
      <c r="B1100" s="927"/>
      <c r="C1100" s="707" t="s">
        <v>560</v>
      </c>
      <c r="D1100" s="358">
        <f>'3.60 lakhs'!I1323</f>
        <v>0</v>
      </c>
      <c r="E1100" s="354" t="s">
        <v>277</v>
      </c>
      <c r="F1100" s="355">
        <f>'3.60 lakhs'!K1323</f>
        <v>126.65</v>
      </c>
      <c r="G1100" s="353">
        <f t="shared" si="38"/>
        <v>0</v>
      </c>
      <c r="H1100" s="708" t="s">
        <v>2322</v>
      </c>
    </row>
    <row r="1101" spans="1:10" s="360" customFormat="1" hidden="1">
      <c r="A1101" s="356" t="s">
        <v>2043</v>
      </c>
      <c r="B1101" s="927"/>
      <c r="C1101" s="707" t="s">
        <v>833</v>
      </c>
      <c r="D1101" s="358">
        <f>'3.60 lakhs'!I1328</f>
        <v>0</v>
      </c>
      <c r="E1101" s="354" t="s">
        <v>277</v>
      </c>
      <c r="F1101" s="355">
        <f>'3.60 lakhs'!K1328</f>
        <v>64.563000000000002</v>
      </c>
      <c r="G1101" s="353">
        <f t="shared" si="38"/>
        <v>0</v>
      </c>
      <c r="H1101" s="708" t="s">
        <v>2322</v>
      </c>
    </row>
    <row r="1102" spans="1:10" s="360" customFormat="1" hidden="1">
      <c r="A1102" s="356" t="s">
        <v>484</v>
      </c>
      <c r="B1102" s="927"/>
      <c r="C1102" s="707" t="s">
        <v>437</v>
      </c>
      <c r="D1102" s="358">
        <f>'3.60 lakhs'!I1334</f>
        <v>0</v>
      </c>
      <c r="E1102" s="354" t="s">
        <v>115</v>
      </c>
      <c r="F1102" s="355">
        <f>'3.60 lakhs'!K1334</f>
        <v>209</v>
      </c>
      <c r="H1102" s="708" t="s">
        <v>2322</v>
      </c>
      <c r="J1102" s="353">
        <f>ROUND(D1102*F1102,0)</f>
        <v>0</v>
      </c>
    </row>
    <row r="1103" spans="1:10" s="360" customFormat="1" hidden="1">
      <c r="A1103" s="356" t="s">
        <v>2045</v>
      </c>
      <c r="B1103" s="927"/>
      <c r="C1103" s="707" t="s">
        <v>615</v>
      </c>
      <c r="D1103" s="358">
        <f>'3.60 lakhs'!I1340</f>
        <v>0</v>
      </c>
      <c r="E1103" s="354" t="s">
        <v>115</v>
      </c>
      <c r="F1103" s="355">
        <f>'3.60 lakhs'!K1340</f>
        <v>171</v>
      </c>
      <c r="H1103" s="708" t="s">
        <v>2322</v>
      </c>
      <c r="J1103" s="353">
        <f>ROUND(D1103*F1103,0)</f>
        <v>0</v>
      </c>
    </row>
    <row r="1104" spans="1:10" s="360" customFormat="1" hidden="1">
      <c r="A1104" s="356" t="s">
        <v>2085</v>
      </c>
      <c r="B1104" s="927"/>
      <c r="C1104" s="707" t="s">
        <v>694</v>
      </c>
      <c r="D1104" s="358">
        <f>'3.60 lakhs'!I1345</f>
        <v>0</v>
      </c>
      <c r="E1104" s="354" t="s">
        <v>115</v>
      </c>
      <c r="F1104" s="355">
        <f>'3.60 lakhs'!K1345</f>
        <v>132</v>
      </c>
      <c r="G1104" s="353">
        <f t="shared" si="38"/>
        <v>0</v>
      </c>
      <c r="H1104" s="708" t="s">
        <v>2322</v>
      </c>
    </row>
    <row r="1105" spans="1:8" s="360" customFormat="1" hidden="1">
      <c r="A1105" s="356" t="s">
        <v>2046</v>
      </c>
      <c r="B1105" s="927"/>
      <c r="C1105" s="707" t="s">
        <v>792</v>
      </c>
      <c r="D1105" s="358">
        <f>'3.60 lakhs'!I1355</f>
        <v>0</v>
      </c>
      <c r="E1105" s="354" t="s">
        <v>115</v>
      </c>
      <c r="F1105" s="355">
        <f>'3.60 lakhs'!K1355</f>
        <v>88</v>
      </c>
      <c r="G1105" s="353">
        <f t="shared" si="38"/>
        <v>0</v>
      </c>
      <c r="H1105" s="708" t="s">
        <v>2322</v>
      </c>
    </row>
    <row r="1106" spans="1:8" s="360" customFormat="1" hidden="1">
      <c r="A1106" s="356" t="s">
        <v>525</v>
      </c>
      <c r="B1106" s="927"/>
      <c r="C1106" s="707" t="s">
        <v>617</v>
      </c>
      <c r="D1106" s="358">
        <f>'3.60 lakhs'!I1350</f>
        <v>0</v>
      </c>
      <c r="E1106" s="354" t="s">
        <v>115</v>
      </c>
      <c r="F1106" s="355">
        <f>'3.60 lakhs'!K1350</f>
        <v>341</v>
      </c>
      <c r="G1106" s="353">
        <f t="shared" si="38"/>
        <v>0</v>
      </c>
      <c r="H1106" s="708" t="s">
        <v>2322</v>
      </c>
    </row>
    <row r="1107" spans="1:8" s="360" customFormat="1" hidden="1">
      <c r="A1107" s="356" t="s">
        <v>485</v>
      </c>
      <c r="B1107" s="927"/>
      <c r="C1107" s="707" t="s">
        <v>439</v>
      </c>
      <c r="D1107" s="358">
        <f>'3.60 lakhs'!I1360</f>
        <v>0</v>
      </c>
      <c r="E1107" s="354" t="s">
        <v>115</v>
      </c>
      <c r="F1107" s="355">
        <f>'3.60 lakhs'!K1360</f>
        <v>66</v>
      </c>
      <c r="G1107" s="353">
        <f t="shared" si="38"/>
        <v>0</v>
      </c>
      <c r="H1107" s="708" t="s">
        <v>2322</v>
      </c>
    </row>
    <row r="1108" spans="1:8" s="360" customFormat="1">
      <c r="A1108" s="356" t="s">
        <v>533</v>
      </c>
      <c r="B1108" s="927" t="s">
        <v>2681</v>
      </c>
      <c r="C1108" s="707" t="s">
        <v>561</v>
      </c>
      <c r="D1108" s="358">
        <f>'3.60 lakhs'!I1371</f>
        <v>0</v>
      </c>
      <c r="E1108" s="354" t="s">
        <v>115</v>
      </c>
      <c r="F1108" s="355">
        <f>'3.60 lakhs'!K1371</f>
        <v>125.73500000000001</v>
      </c>
      <c r="G1108" s="353">
        <f t="shared" si="38"/>
        <v>0</v>
      </c>
      <c r="H1108" s="708" t="s">
        <v>2322</v>
      </c>
    </row>
    <row r="1109" spans="1:8" s="360" customFormat="1" hidden="1">
      <c r="A1109" s="356" t="s">
        <v>2048</v>
      </c>
      <c r="B1109" s="927"/>
      <c r="C1109" s="707" t="s">
        <v>1258</v>
      </c>
      <c r="D1109" s="358">
        <f>'3.60 lakhs'!I1365</f>
        <v>0</v>
      </c>
      <c r="E1109" s="354" t="s">
        <v>115</v>
      </c>
      <c r="F1109" s="355">
        <f>'3.60 lakhs'!K1365</f>
        <v>422.5</v>
      </c>
      <c r="G1109" s="353">
        <f t="shared" si="38"/>
        <v>0</v>
      </c>
      <c r="H1109" s="708" t="s">
        <v>2322</v>
      </c>
    </row>
    <row r="1110" spans="1:8" s="360" customFormat="1" hidden="1">
      <c r="A1110" s="356" t="s">
        <v>646</v>
      </c>
      <c r="B1110" s="927"/>
      <c r="C1110" s="707" t="s">
        <v>641</v>
      </c>
      <c r="D1110" s="358">
        <f>'3.60 lakhs'!I1376</f>
        <v>0</v>
      </c>
      <c r="E1110" s="354" t="s">
        <v>115</v>
      </c>
      <c r="F1110" s="355">
        <f>'3.60 lakhs'!K1376</f>
        <v>119.73500000000001</v>
      </c>
      <c r="G1110" s="353">
        <f t="shared" si="38"/>
        <v>0</v>
      </c>
      <c r="H1110" s="708" t="s">
        <v>2322</v>
      </c>
    </row>
    <row r="1111" spans="1:8" s="360" customFormat="1" hidden="1">
      <c r="A1111" s="356" t="s">
        <v>2049</v>
      </c>
      <c r="B1111" s="927"/>
      <c r="C1111" s="707" t="s">
        <v>624</v>
      </c>
      <c r="D1111" s="358">
        <f>'3.60 lakhs'!I1381</f>
        <v>0</v>
      </c>
      <c r="E1111" s="354" t="s">
        <v>115</v>
      </c>
      <c r="F1111" s="355">
        <f>'3.60 lakhs'!K1381</f>
        <v>21</v>
      </c>
      <c r="G1111" s="353">
        <f t="shared" si="38"/>
        <v>0</v>
      </c>
      <c r="H1111" s="708" t="s">
        <v>2322</v>
      </c>
    </row>
    <row r="1112" spans="1:8" s="360" customFormat="1">
      <c r="A1112" s="356" t="s">
        <v>534</v>
      </c>
      <c r="B1112" s="927" t="s">
        <v>2686</v>
      </c>
      <c r="C1112" s="707" t="s">
        <v>562</v>
      </c>
      <c r="D1112" s="358">
        <f>'3.60 lakhs'!I1387</f>
        <v>0</v>
      </c>
      <c r="E1112" s="354" t="s">
        <v>115</v>
      </c>
      <c r="F1112" s="355">
        <f>'3.60 lakhs'!K1387</f>
        <v>127.25</v>
      </c>
      <c r="G1112" s="353">
        <f t="shared" si="38"/>
        <v>0</v>
      </c>
      <c r="H1112" s="708" t="s">
        <v>2322</v>
      </c>
    </row>
    <row r="1113" spans="1:8" s="360" customFormat="1">
      <c r="A1113" s="356" t="s">
        <v>642</v>
      </c>
      <c r="B1113" s="927" t="s">
        <v>2683</v>
      </c>
      <c r="C1113" s="707" t="s">
        <v>563</v>
      </c>
      <c r="D1113" s="358">
        <f>'3.60 lakhs'!I1393</f>
        <v>0</v>
      </c>
      <c r="E1113" s="354" t="s">
        <v>115</v>
      </c>
      <c r="F1113" s="355">
        <f>'3.60 lakhs'!K1393</f>
        <v>3312.1849999999999</v>
      </c>
      <c r="G1113" s="353">
        <f t="shared" si="38"/>
        <v>0</v>
      </c>
      <c r="H1113" s="708" t="s">
        <v>2322</v>
      </c>
    </row>
    <row r="1114" spans="1:8" s="360" customFormat="1" hidden="1">
      <c r="A1114" s="356" t="s">
        <v>2052</v>
      </c>
      <c r="B1114" s="927"/>
      <c r="C1114" s="707" t="s">
        <v>563</v>
      </c>
      <c r="D1114" s="358">
        <f>'3.60 lakhs'!I1403</f>
        <v>0</v>
      </c>
      <c r="E1114" s="354" t="s">
        <v>115</v>
      </c>
      <c r="F1114" s="355">
        <f>'3.60 lakhs'!K1403</f>
        <v>2941.12</v>
      </c>
      <c r="G1114" s="353">
        <f t="shared" si="38"/>
        <v>0</v>
      </c>
      <c r="H1114" s="708" t="s">
        <v>2322</v>
      </c>
    </row>
    <row r="1115" spans="1:8" s="360" customFormat="1" hidden="1">
      <c r="A1115" s="356" t="s">
        <v>2053</v>
      </c>
      <c r="B1115" s="927"/>
      <c r="C1115" s="707" t="s">
        <v>831</v>
      </c>
      <c r="D1115" s="358">
        <f>'3.60 lakhs'!I1408</f>
        <v>0</v>
      </c>
      <c r="E1115" s="354" t="s">
        <v>115</v>
      </c>
      <c r="F1115" s="355">
        <f>'3.60 lakhs'!K1408</f>
        <v>278</v>
      </c>
      <c r="G1115" s="353">
        <f t="shared" si="38"/>
        <v>0</v>
      </c>
      <c r="H1115" s="708" t="s">
        <v>2322</v>
      </c>
    </row>
    <row r="1116" spans="1:8" s="360" customFormat="1" hidden="1">
      <c r="A1116" s="356" t="s">
        <v>2054</v>
      </c>
      <c r="B1116" s="927"/>
      <c r="C1116" s="707" t="s">
        <v>967</v>
      </c>
      <c r="D1116" s="358">
        <f>'3.60 lakhs'!I1413</f>
        <v>0</v>
      </c>
      <c r="E1116" s="354" t="s">
        <v>115</v>
      </c>
      <c r="F1116" s="355">
        <f>'3.60 lakhs'!K1413</f>
        <v>163.065</v>
      </c>
      <c r="G1116" s="353">
        <f t="shared" si="38"/>
        <v>0</v>
      </c>
      <c r="H1116" s="708" t="s">
        <v>2322</v>
      </c>
    </row>
    <row r="1117" spans="1:8" s="360" customFormat="1" hidden="1">
      <c r="A1117" s="356" t="s">
        <v>642</v>
      </c>
      <c r="B1117" s="927"/>
      <c r="C1117" s="707" t="s">
        <v>832</v>
      </c>
      <c r="D1117" s="358">
        <f>'3.60 lakhs'!I1420</f>
        <v>0</v>
      </c>
      <c r="E1117" s="354" t="s">
        <v>115</v>
      </c>
      <c r="F1117" s="355">
        <f>'3.60 lakhs'!K1420</f>
        <v>161.5</v>
      </c>
      <c r="G1117" s="353">
        <f t="shared" si="38"/>
        <v>0</v>
      </c>
      <c r="H1117" s="708" t="s">
        <v>2322</v>
      </c>
    </row>
    <row r="1118" spans="1:8" s="360" customFormat="1" hidden="1">
      <c r="A1118" s="356" t="s">
        <v>2055</v>
      </c>
      <c r="B1118" s="927"/>
      <c r="C1118" s="707" t="s">
        <v>1576</v>
      </c>
      <c r="D1118" s="358">
        <f>'3.60 lakhs'!I1398</f>
        <v>0</v>
      </c>
      <c r="E1118" s="354" t="s">
        <v>115</v>
      </c>
      <c r="F1118" s="355">
        <f>'3.60 lakhs'!K1398</f>
        <v>227.41000000000003</v>
      </c>
      <c r="G1118" s="353">
        <f t="shared" si="38"/>
        <v>0</v>
      </c>
      <c r="H1118" s="708" t="s">
        <v>2322</v>
      </c>
    </row>
    <row r="1119" spans="1:8" s="360" customFormat="1">
      <c r="A1119" s="356" t="s">
        <v>643</v>
      </c>
      <c r="B1119" s="927" t="s">
        <v>2685</v>
      </c>
      <c r="C1119" s="707" t="s">
        <v>564</v>
      </c>
      <c r="D1119" s="358">
        <f>'3.60 lakhs'!I1426</f>
        <v>0</v>
      </c>
      <c r="E1119" s="354" t="s">
        <v>115</v>
      </c>
      <c r="F1119" s="355">
        <f>'3.60 lakhs'!K1426</f>
        <v>399.94</v>
      </c>
      <c r="G1119" s="353">
        <f t="shared" si="38"/>
        <v>0</v>
      </c>
      <c r="H1119" s="708" t="s">
        <v>2322</v>
      </c>
    </row>
    <row r="1120" spans="1:8" s="360" customFormat="1" hidden="1">
      <c r="A1120" s="356" t="s">
        <v>2060</v>
      </c>
      <c r="B1120" s="927"/>
      <c r="C1120" s="707" t="s">
        <v>2275</v>
      </c>
      <c r="D1120" s="358">
        <f>'3.60 lakhs'!I1431</f>
        <v>0</v>
      </c>
      <c r="E1120" s="354" t="s">
        <v>115</v>
      </c>
      <c r="F1120" s="355">
        <f>'3.60 lakhs'!K1431</f>
        <v>1822</v>
      </c>
      <c r="G1120" s="353">
        <f t="shared" si="38"/>
        <v>0</v>
      </c>
      <c r="H1120" s="708" t="s">
        <v>2322</v>
      </c>
    </row>
    <row r="1121" spans="1:10" s="360" customFormat="1" hidden="1">
      <c r="A1121" s="356" t="s">
        <v>2060</v>
      </c>
      <c r="B1121" s="927"/>
      <c r="C1121" s="707" t="s">
        <v>2276</v>
      </c>
      <c r="D1121" s="358">
        <f>'3.60 lakhs'!I1436</f>
        <v>0</v>
      </c>
      <c r="E1121" s="354" t="s">
        <v>115</v>
      </c>
      <c r="F1121" s="355">
        <f>'3.60 lakhs'!K1436</f>
        <v>5428</v>
      </c>
      <c r="G1121" s="353">
        <f t="shared" si="38"/>
        <v>0</v>
      </c>
      <c r="H1121" s="708" t="s">
        <v>2322</v>
      </c>
    </row>
    <row r="1122" spans="1:10" s="360" customFormat="1">
      <c r="A1122" s="356" t="s">
        <v>644</v>
      </c>
      <c r="B1122" s="927" t="s">
        <v>2690</v>
      </c>
      <c r="C1122" s="707" t="s">
        <v>715</v>
      </c>
      <c r="D1122" s="358">
        <f>'3.60 lakhs'!I1446</f>
        <v>0</v>
      </c>
      <c r="E1122" s="354" t="s">
        <v>115</v>
      </c>
      <c r="F1122" s="355">
        <f>'3.60 lakhs'!K1446</f>
        <v>3662</v>
      </c>
      <c r="G1122" s="353">
        <f t="shared" si="38"/>
        <v>0</v>
      </c>
      <c r="H1122" s="708" t="s">
        <v>2322</v>
      </c>
    </row>
    <row r="1123" spans="1:10" s="360" customFormat="1" hidden="1">
      <c r="A1123" s="356" t="s">
        <v>1577</v>
      </c>
      <c r="B1123" s="927"/>
      <c r="C1123" s="707" t="s">
        <v>797</v>
      </c>
      <c r="D1123" s="358">
        <f>'3.60 lakhs'!I1441</f>
        <v>0</v>
      </c>
      <c r="E1123" s="354" t="s">
        <v>115</v>
      </c>
      <c r="F1123" s="355">
        <f>'3.60 lakhs'!K1441</f>
        <v>1634</v>
      </c>
      <c r="G1123" s="353">
        <f t="shared" si="38"/>
        <v>0</v>
      </c>
      <c r="H1123" s="708" t="s">
        <v>2322</v>
      </c>
    </row>
    <row r="1124" spans="1:10" s="360" customFormat="1" ht="25.5">
      <c r="A1124" s="356" t="s">
        <v>1577</v>
      </c>
      <c r="B1124" s="927" t="s">
        <v>2688</v>
      </c>
      <c r="C1124" s="707" t="s">
        <v>968</v>
      </c>
      <c r="D1124" s="358">
        <f>'3.60 lakhs'!I1451</f>
        <v>0</v>
      </c>
      <c r="E1124" s="354" t="s">
        <v>115</v>
      </c>
      <c r="F1124" s="355">
        <f>'3.60 lakhs'!K1451</f>
        <v>1089.96</v>
      </c>
      <c r="G1124" s="353">
        <f t="shared" si="38"/>
        <v>0</v>
      </c>
      <c r="H1124" s="708" t="s">
        <v>2322</v>
      </c>
    </row>
    <row r="1125" spans="1:10" s="360" customFormat="1">
      <c r="A1125" s="356" t="s">
        <v>1584</v>
      </c>
      <c r="B1125" s="927" t="s">
        <v>2689</v>
      </c>
      <c r="C1125" s="707" t="s">
        <v>565</v>
      </c>
      <c r="D1125" s="358">
        <f>'3.60 lakhs'!I1456</f>
        <v>0</v>
      </c>
      <c r="E1125" s="354" t="s">
        <v>115</v>
      </c>
      <c r="F1125" s="355">
        <f>'3.60 lakhs'!K1456</f>
        <v>4142.4250000000002</v>
      </c>
      <c r="G1125" s="353">
        <f t="shared" si="38"/>
        <v>0</v>
      </c>
      <c r="H1125" s="708" t="s">
        <v>2322</v>
      </c>
    </row>
    <row r="1126" spans="1:10" s="360" customFormat="1" hidden="1">
      <c r="A1126" s="356" t="s">
        <v>491</v>
      </c>
      <c r="B1126" s="927"/>
      <c r="C1126" s="707" t="s">
        <v>2277</v>
      </c>
      <c r="D1126" s="358">
        <f>'3.60 lakhs'!I1461</f>
        <v>0</v>
      </c>
      <c r="E1126" s="354" t="s">
        <v>102</v>
      </c>
      <c r="F1126" s="355">
        <f>'3.60 lakhs'!K1461</f>
        <v>630</v>
      </c>
      <c r="H1126" s="708" t="s">
        <v>2322</v>
      </c>
      <c r="J1126" s="353">
        <f>ROUND(D1126*F1126,0)</f>
        <v>0</v>
      </c>
    </row>
    <row r="1127" spans="1:10" s="360" customFormat="1" hidden="1">
      <c r="A1127" s="356" t="s">
        <v>1516</v>
      </c>
      <c r="B1127" s="927"/>
      <c r="C1127" s="707" t="s">
        <v>2474</v>
      </c>
      <c r="D1127" s="358"/>
      <c r="E1127" s="354"/>
      <c r="F1127" s="355"/>
      <c r="G1127" s="353">
        <f>'3.60 lakhs'!M1463</f>
        <v>0</v>
      </c>
      <c r="H1127" s="708"/>
    </row>
    <row r="1128" spans="1:10" s="26" customFormat="1">
      <c r="A1128" s="23" t="s">
        <v>1585</v>
      </c>
      <c r="B1128" s="927" t="s">
        <v>2696</v>
      </c>
      <c r="C1128" s="54" t="s">
        <v>2211</v>
      </c>
      <c r="D1128" s="28"/>
      <c r="E1128" s="24"/>
      <c r="F1128" s="37"/>
      <c r="G1128" s="11">
        <f>WORK!M4016</f>
        <v>22044</v>
      </c>
      <c r="H1128" s="23" t="s">
        <v>15</v>
      </c>
    </row>
    <row r="1129" spans="1:10" s="26" customFormat="1">
      <c r="A1129" s="23" t="s">
        <v>1143</v>
      </c>
      <c r="B1129" s="927" t="s">
        <v>2696</v>
      </c>
      <c r="C1129" s="54" t="s">
        <v>1456</v>
      </c>
      <c r="D1129" s="28"/>
      <c r="E1129" s="24"/>
      <c r="F1129" s="37"/>
      <c r="G1129" s="11">
        <f>WORK!M4015</f>
        <v>7906</v>
      </c>
      <c r="H1129" s="23" t="s">
        <v>15</v>
      </c>
    </row>
    <row r="1130" spans="1:10" s="26" customFormat="1" hidden="1">
      <c r="A1130" s="23" t="s">
        <v>1596</v>
      </c>
      <c r="B1130" s="23"/>
      <c r="C1130" s="54" t="s">
        <v>2541</v>
      </c>
      <c r="D1130" s="28"/>
      <c r="E1130" s="24"/>
      <c r="F1130" s="37"/>
      <c r="H1130" s="23" t="s">
        <v>15</v>
      </c>
      <c r="J1130" s="11">
        <f>WORK!M4017</f>
        <v>0</v>
      </c>
    </row>
    <row r="1131" spans="1:10" s="26" customFormat="1" hidden="1">
      <c r="A1131" s="23" t="s">
        <v>1596</v>
      </c>
      <c r="B1131" s="927" t="s">
        <v>2695</v>
      </c>
      <c r="C1131" s="54" t="s">
        <v>2462</v>
      </c>
      <c r="D1131" s="28"/>
      <c r="E1131" s="24"/>
      <c r="F1131" s="37"/>
      <c r="G1131" s="11">
        <v>0</v>
      </c>
      <c r="H1131" s="23" t="s">
        <v>15</v>
      </c>
    </row>
    <row r="1132" spans="1:10" s="26" customFormat="1">
      <c r="A1132" s="23" t="s">
        <v>1586</v>
      </c>
      <c r="B1132" s="927" t="s">
        <v>2694</v>
      </c>
      <c r="C1132" s="27" t="s">
        <v>566</v>
      </c>
      <c r="D1132" s="28"/>
      <c r="E1132" s="224"/>
      <c r="F1132" s="29"/>
      <c r="G1132" s="223">
        <f>WORK!M4020</f>
        <v>10680</v>
      </c>
      <c r="H1132" s="23" t="s">
        <v>15</v>
      </c>
    </row>
    <row r="1133" spans="1:10" s="26" customFormat="1">
      <c r="A1133" s="23" t="s">
        <v>645</v>
      </c>
      <c r="B1133" s="927" t="s">
        <v>2693</v>
      </c>
      <c r="C1133" s="27" t="s">
        <v>444</v>
      </c>
      <c r="D1133" s="28"/>
      <c r="E1133" s="224"/>
      <c r="F1133" s="29"/>
      <c r="G1133" s="223">
        <f>WORK!M4021</f>
        <v>22792</v>
      </c>
      <c r="H1133" s="23" t="s">
        <v>15</v>
      </c>
    </row>
    <row r="1134" spans="1:10" s="26" customFormat="1" hidden="1">
      <c r="A1134" s="23" t="s">
        <v>1595</v>
      </c>
      <c r="B1134" s="927" t="s">
        <v>2698</v>
      </c>
      <c r="C1134" s="27" t="s">
        <v>445</v>
      </c>
      <c r="D1134" s="28"/>
      <c r="E1134" s="224"/>
      <c r="F1134" s="29"/>
      <c r="G1134" s="223">
        <f>abstract!G17</f>
        <v>0</v>
      </c>
      <c r="H1134" s="23" t="s">
        <v>15</v>
      </c>
    </row>
    <row r="1135" spans="1:10" s="26" customFormat="1">
      <c r="A1135" s="23" t="s">
        <v>1587</v>
      </c>
      <c r="B1135" s="927" t="s">
        <v>2692</v>
      </c>
      <c r="C1135" s="27" t="s">
        <v>567</v>
      </c>
      <c r="D1135" s="28"/>
      <c r="E1135" s="224"/>
      <c r="F1135" s="29"/>
      <c r="G1135" s="223">
        <f>WORK!M4023</f>
        <v>0</v>
      </c>
      <c r="H1135" s="23" t="s">
        <v>15</v>
      </c>
    </row>
    <row r="1136" spans="1:10" s="26" customFormat="1">
      <c r="A1136" s="23" t="s">
        <v>1588</v>
      </c>
      <c r="B1136" s="927" t="s">
        <v>2697</v>
      </c>
      <c r="C1136" s="27" t="s">
        <v>292</v>
      </c>
      <c r="D1136" s="28"/>
      <c r="E1136" s="224"/>
      <c r="F1136" s="29"/>
      <c r="G1136" s="223">
        <f>WORK!M4024+J1136</f>
        <v>277</v>
      </c>
      <c r="H1136" s="23" t="s">
        <v>15</v>
      </c>
      <c r="J1136" s="26">
        <f>SUM(J8:J1135)</f>
        <v>0</v>
      </c>
    </row>
    <row r="1137" spans="1:8" s="26" customFormat="1">
      <c r="A1137" s="23"/>
      <c r="B1137" s="928"/>
      <c r="C1137" s="934"/>
      <c r="D1137" s="28"/>
      <c r="E1137" s="224"/>
      <c r="F1137" s="37"/>
      <c r="G1137" s="223"/>
      <c r="H1137" s="878"/>
    </row>
    <row r="1138" spans="1:8" s="26" customFormat="1">
      <c r="A1138" s="23"/>
      <c r="B1138" s="928"/>
      <c r="C1138" s="934"/>
      <c r="D1138" s="28"/>
      <c r="E1138" s="224"/>
      <c r="F1138" s="37"/>
      <c r="G1138" s="223">
        <f>SUM(G7:G1137)</f>
        <v>2180000.00000002</v>
      </c>
      <c r="H1138" s="878"/>
    </row>
    <row r="1139" spans="1:8" ht="24.75" customHeight="1">
      <c r="A1139" s="26"/>
      <c r="B1139" s="26"/>
      <c r="C1139" s="32"/>
    </row>
    <row r="1140" spans="1:8" ht="17.25" customHeight="1">
      <c r="A1140" s="26"/>
      <c r="B1140" s="26"/>
      <c r="C1140" s="32"/>
    </row>
    <row r="1141" spans="1:8">
      <c r="A1141" s="26"/>
      <c r="B1141" s="26"/>
      <c r="C1141" s="55" t="str">
        <f>'lead 19-20'!$H$31</f>
        <v>Deputy Executive Engineer</v>
      </c>
      <c r="F1141" s="935" t="str">
        <f>'lead 19-20'!K31</f>
        <v>Assistant  Engineer</v>
      </c>
    </row>
    <row r="1142" spans="1:8">
      <c r="A1142" s="26"/>
      <c r="B1142" s="26"/>
      <c r="C1142" s="55" t="str">
        <f>'lead 19-20'!$H$32</f>
        <v>PRI Sub Division</v>
      </c>
      <c r="F1142" s="935" t="str">
        <f>'lead 19-20'!K32</f>
        <v>Mandal Praja parishad</v>
      </c>
    </row>
    <row r="1143" spans="1:8">
      <c r="A1143" s="26"/>
      <c r="B1143" s="26"/>
      <c r="C1143" s="55" t="str">
        <f>'lead 19-20'!$H$33</f>
        <v>Kanigiri</v>
      </c>
      <c r="F1143" s="935" t="str">
        <f>'lead 19-20'!K33</f>
        <v>Kanigiri</v>
      </c>
    </row>
    <row r="1144" spans="1:8">
      <c r="A1144" s="26"/>
      <c r="B1144" s="26"/>
      <c r="C1144" s="32"/>
    </row>
    <row r="1145" spans="1:8" s="33" customFormat="1">
      <c r="A1145" s="26"/>
      <c r="B1145" s="26"/>
      <c r="C1145" s="32"/>
      <c r="E1145" s="34"/>
      <c r="F1145" s="17"/>
      <c r="G1145" s="17"/>
      <c r="H1145" s="17"/>
    </row>
    <row r="1146" spans="1:8" s="33" customFormat="1">
      <c r="A1146" s="26"/>
      <c r="B1146" s="26"/>
      <c r="C1146" s="32"/>
      <c r="E1146" s="34"/>
      <c r="F1146" s="17"/>
      <c r="G1146" s="17"/>
      <c r="H1146" s="17"/>
    </row>
    <row r="1147" spans="1:8" s="33" customFormat="1">
      <c r="A1147" s="26"/>
      <c r="B1147" s="26"/>
      <c r="C1147" s="32"/>
      <c r="E1147" s="34"/>
      <c r="F1147" s="17"/>
      <c r="G1147" s="17"/>
      <c r="H1147" s="17"/>
    </row>
    <row r="1148" spans="1:8" s="33" customFormat="1">
      <c r="A1148" s="26"/>
      <c r="B1148" s="26"/>
      <c r="C1148" s="32"/>
      <c r="E1148" s="34"/>
      <c r="F1148" s="17"/>
      <c r="G1148" s="17"/>
      <c r="H1148" s="17"/>
    </row>
    <row r="1149" spans="1:8" s="33" customFormat="1">
      <c r="A1149" s="26"/>
      <c r="B1149" s="26"/>
      <c r="C1149" s="17"/>
      <c r="E1149" s="34"/>
      <c r="F1149" s="17"/>
      <c r="G1149" s="17"/>
      <c r="H1149" s="17"/>
    </row>
    <row r="1150" spans="1:8" s="33" customFormat="1">
      <c r="A1150" s="26"/>
      <c r="B1150" s="26"/>
      <c r="C1150" s="17"/>
      <c r="E1150" s="34"/>
      <c r="F1150" s="17"/>
      <c r="G1150" s="17"/>
      <c r="H1150" s="17"/>
    </row>
    <row r="1151" spans="1:8" s="33" customFormat="1">
      <c r="A1151" s="26"/>
      <c r="B1151" s="26"/>
      <c r="C1151" s="17"/>
      <c r="E1151" s="34"/>
      <c r="F1151" s="17"/>
      <c r="G1151" s="17"/>
      <c r="H1151" s="17"/>
    </row>
    <row r="1152" spans="1:8" s="33" customFormat="1">
      <c r="A1152" s="26"/>
      <c r="B1152" s="26"/>
      <c r="C1152" s="17"/>
      <c r="E1152" s="34"/>
      <c r="F1152" s="17"/>
      <c r="G1152" s="17"/>
      <c r="H1152" s="17"/>
    </row>
    <row r="1153" spans="1:8" s="33" customFormat="1">
      <c r="A1153" s="26"/>
      <c r="B1153" s="26"/>
      <c r="C1153" s="17"/>
      <c r="E1153" s="34"/>
      <c r="F1153" s="17"/>
      <c r="G1153" s="17"/>
      <c r="H1153" s="17"/>
    </row>
    <row r="1154" spans="1:8" s="33" customFormat="1">
      <c r="A1154" s="26"/>
      <c r="B1154" s="26"/>
      <c r="C1154" s="17"/>
      <c r="E1154" s="34"/>
      <c r="F1154" s="17"/>
      <c r="G1154" s="17"/>
      <c r="H1154" s="17"/>
    </row>
    <row r="1155" spans="1:8" s="33" customFormat="1">
      <c r="A1155" s="26"/>
      <c r="B1155" s="26"/>
      <c r="C1155" s="17"/>
      <c r="E1155" s="34"/>
      <c r="F1155" s="17"/>
      <c r="G1155" s="17"/>
      <c r="H1155" s="17"/>
    </row>
    <row r="1156" spans="1:8" s="33" customFormat="1">
      <c r="A1156" s="26"/>
      <c r="B1156" s="26"/>
      <c r="C1156" s="17"/>
      <c r="E1156" s="34"/>
      <c r="F1156" s="17"/>
      <c r="G1156" s="17"/>
      <c r="H1156" s="17"/>
    </row>
    <row r="1157" spans="1:8" s="33" customFormat="1">
      <c r="A1157" s="26"/>
      <c r="B1157" s="26"/>
      <c r="C1157" s="17"/>
      <c r="E1157" s="34"/>
      <c r="F1157" s="17"/>
      <c r="G1157" s="17"/>
      <c r="H1157" s="17"/>
    </row>
    <row r="1158" spans="1:8" s="33" customFormat="1">
      <c r="A1158" s="26"/>
      <c r="B1158" s="26"/>
      <c r="C1158" s="17"/>
      <c r="E1158" s="34"/>
      <c r="F1158" s="17"/>
      <c r="G1158" s="17"/>
      <c r="H1158" s="17"/>
    </row>
    <row r="1159" spans="1:8" s="33" customFormat="1">
      <c r="A1159" s="26"/>
      <c r="B1159" s="26"/>
      <c r="C1159" s="17"/>
      <c r="E1159" s="34"/>
      <c r="F1159" s="17"/>
      <c r="G1159" s="17"/>
      <c r="H1159" s="17"/>
    </row>
    <row r="1160" spans="1:8" s="33" customFormat="1">
      <c r="A1160" s="26"/>
      <c r="B1160" s="26"/>
      <c r="C1160" s="17"/>
      <c r="E1160" s="34"/>
      <c r="F1160" s="17"/>
      <c r="G1160" s="17"/>
      <c r="H1160" s="17"/>
    </row>
    <row r="1161" spans="1:8">
      <c r="A1161" s="26"/>
      <c r="B1161" s="26"/>
    </row>
    <row r="1162" spans="1:8">
      <c r="A1162" s="26"/>
      <c r="B1162" s="26"/>
    </row>
    <row r="1163" spans="1:8">
      <c r="A1163" s="26"/>
      <c r="B1163" s="26"/>
    </row>
    <row r="1164" spans="1:8">
      <c r="A1164" s="26"/>
      <c r="B1164" s="26"/>
    </row>
    <row r="1165" spans="1:8">
      <c r="A1165" s="26"/>
      <c r="B1165" s="26"/>
    </row>
    <row r="1166" spans="1:8">
      <c r="A1166" s="26"/>
      <c r="B1166" s="26"/>
    </row>
    <row r="1167" spans="1:8">
      <c r="A1167" s="26"/>
      <c r="B1167" s="26"/>
    </row>
    <row r="1168" spans="1:8">
      <c r="A1168" s="26"/>
      <c r="B1168" s="26"/>
    </row>
    <row r="1169" spans="1:5">
      <c r="A1169" s="26"/>
      <c r="B1169" s="26"/>
      <c r="D1169" s="17"/>
      <c r="E1169" s="17"/>
    </row>
    <row r="1170" spans="1:5">
      <c r="A1170" s="26"/>
      <c r="B1170" s="26"/>
      <c r="D1170" s="17"/>
      <c r="E1170" s="17"/>
    </row>
    <row r="1171" spans="1:5">
      <c r="A1171" s="26"/>
      <c r="B1171" s="26"/>
      <c r="D1171" s="17"/>
      <c r="E1171" s="17"/>
    </row>
    <row r="1172" spans="1:5">
      <c r="A1172" s="26"/>
      <c r="B1172" s="26"/>
      <c r="D1172" s="17"/>
      <c r="E1172" s="17"/>
    </row>
    <row r="1173" spans="1:5">
      <c r="A1173" s="26"/>
      <c r="B1173" s="26"/>
      <c r="D1173" s="17"/>
      <c r="E1173" s="17"/>
    </row>
    <row r="1174" spans="1:5">
      <c r="A1174" s="26"/>
      <c r="B1174" s="26"/>
      <c r="D1174" s="17"/>
      <c r="E1174" s="17"/>
    </row>
    <row r="1175" spans="1:5">
      <c r="A1175" s="26"/>
      <c r="B1175" s="26"/>
      <c r="D1175" s="17"/>
      <c r="E1175" s="17"/>
    </row>
    <row r="1176" spans="1:5">
      <c r="A1176" s="26"/>
      <c r="B1176" s="26"/>
      <c r="D1176" s="17"/>
      <c r="E1176" s="17"/>
    </row>
    <row r="1177" spans="1:5">
      <c r="A1177" s="26"/>
      <c r="B1177" s="26"/>
      <c r="D1177" s="17"/>
      <c r="E1177" s="17"/>
    </row>
    <row r="1178" spans="1:5">
      <c r="A1178" s="26"/>
      <c r="B1178" s="26"/>
      <c r="D1178" s="17"/>
      <c r="E1178" s="17"/>
    </row>
    <row r="1179" spans="1:5">
      <c r="A1179" s="26"/>
      <c r="B1179" s="26"/>
      <c r="D1179" s="17"/>
      <c r="E1179" s="17"/>
    </row>
    <row r="1180" spans="1:5">
      <c r="A1180" s="26"/>
      <c r="B1180" s="26"/>
      <c r="D1180" s="17"/>
      <c r="E1180" s="17"/>
    </row>
    <row r="1181" spans="1:5">
      <c r="A1181" s="26"/>
      <c r="B1181" s="26"/>
      <c r="D1181" s="17"/>
      <c r="E1181" s="17"/>
    </row>
    <row r="1182" spans="1:5">
      <c r="A1182" s="26"/>
      <c r="B1182" s="26"/>
      <c r="D1182" s="17"/>
      <c r="E1182" s="17"/>
    </row>
    <row r="1183" spans="1:5">
      <c r="A1183" s="26"/>
      <c r="B1183" s="26"/>
      <c r="D1183" s="17"/>
      <c r="E1183" s="17"/>
    </row>
    <row r="1184" spans="1:5">
      <c r="A1184" s="26"/>
      <c r="B1184" s="26"/>
      <c r="D1184" s="17"/>
      <c r="E1184" s="17"/>
    </row>
    <row r="1185" spans="1:5">
      <c r="A1185" s="26"/>
      <c r="B1185" s="26"/>
      <c r="D1185" s="17"/>
      <c r="E1185" s="17"/>
    </row>
    <row r="1186" spans="1:5">
      <c r="A1186" s="26"/>
      <c r="B1186" s="26"/>
      <c r="D1186" s="17"/>
      <c r="E1186" s="17"/>
    </row>
    <row r="1187" spans="1:5">
      <c r="A1187" s="26"/>
      <c r="B1187" s="26"/>
      <c r="D1187" s="17"/>
      <c r="E1187" s="17"/>
    </row>
    <row r="1188" spans="1:5">
      <c r="A1188" s="26"/>
      <c r="B1188" s="26"/>
      <c r="D1188" s="17"/>
      <c r="E1188" s="17"/>
    </row>
    <row r="1189" spans="1:5">
      <c r="A1189" s="26"/>
      <c r="B1189" s="26"/>
      <c r="D1189" s="17"/>
      <c r="E1189" s="17"/>
    </row>
    <row r="1190" spans="1:5">
      <c r="A1190" s="26"/>
      <c r="B1190" s="26"/>
      <c r="D1190" s="17"/>
      <c r="E1190" s="17"/>
    </row>
    <row r="1191" spans="1:5">
      <c r="A1191" s="26"/>
      <c r="B1191" s="26"/>
      <c r="D1191" s="17"/>
      <c r="E1191" s="17"/>
    </row>
    <row r="1192" spans="1:5">
      <c r="A1192" s="26"/>
      <c r="B1192" s="26"/>
      <c r="D1192" s="17"/>
      <c r="E1192" s="17"/>
    </row>
    <row r="1193" spans="1:5">
      <c r="A1193" s="26"/>
      <c r="B1193" s="26"/>
      <c r="D1193" s="17"/>
      <c r="E1193" s="17"/>
    </row>
    <row r="1194" spans="1:5">
      <c r="A1194" s="26"/>
      <c r="B1194" s="26"/>
      <c r="D1194" s="17"/>
      <c r="E1194" s="17"/>
    </row>
    <row r="1195" spans="1:5">
      <c r="A1195" s="26"/>
      <c r="B1195" s="26"/>
      <c r="D1195" s="17"/>
      <c r="E1195" s="17"/>
    </row>
    <row r="1196" spans="1:5">
      <c r="A1196" s="26"/>
      <c r="B1196" s="26"/>
      <c r="D1196" s="17"/>
      <c r="E1196" s="17"/>
    </row>
    <row r="1197" spans="1:5">
      <c r="A1197" s="26"/>
      <c r="B1197" s="26"/>
      <c r="D1197" s="17"/>
      <c r="E1197" s="17"/>
    </row>
    <row r="1198" spans="1:5">
      <c r="A1198" s="26"/>
      <c r="B1198" s="26"/>
      <c r="D1198" s="17"/>
      <c r="E1198" s="17"/>
    </row>
    <row r="1199" spans="1:5">
      <c r="A1199" s="26"/>
      <c r="B1199" s="26"/>
      <c r="D1199" s="17"/>
      <c r="E1199" s="17"/>
    </row>
    <row r="1200" spans="1:5">
      <c r="A1200" s="26"/>
      <c r="B1200" s="26"/>
      <c r="D1200" s="17"/>
      <c r="E1200" s="17"/>
    </row>
    <row r="1201" spans="1:5">
      <c r="A1201" s="26"/>
      <c r="B1201" s="26"/>
      <c r="D1201" s="17"/>
      <c r="E1201" s="17"/>
    </row>
    <row r="1202" spans="1:5">
      <c r="A1202" s="26"/>
      <c r="B1202" s="26"/>
      <c r="D1202" s="17"/>
      <c r="E1202" s="17"/>
    </row>
    <row r="1203" spans="1:5">
      <c r="A1203" s="26"/>
      <c r="B1203" s="26"/>
      <c r="D1203" s="17"/>
      <c r="E1203" s="17"/>
    </row>
    <row r="1204" spans="1:5">
      <c r="A1204" s="26"/>
      <c r="B1204" s="26"/>
      <c r="D1204" s="17"/>
      <c r="E1204" s="17"/>
    </row>
    <row r="1205" spans="1:5">
      <c r="A1205" s="26"/>
      <c r="B1205" s="26"/>
      <c r="D1205" s="17"/>
      <c r="E1205" s="17"/>
    </row>
    <row r="1206" spans="1:5">
      <c r="A1206" s="26"/>
      <c r="B1206" s="26"/>
      <c r="D1206" s="17"/>
      <c r="E1206" s="17"/>
    </row>
    <row r="1207" spans="1:5">
      <c r="A1207" s="26"/>
      <c r="B1207" s="26"/>
      <c r="D1207" s="17"/>
      <c r="E1207" s="17"/>
    </row>
    <row r="1208" spans="1:5">
      <c r="A1208" s="26"/>
      <c r="B1208" s="26"/>
      <c r="D1208" s="17"/>
      <c r="E1208" s="17"/>
    </row>
    <row r="1209" spans="1:5">
      <c r="A1209" s="26"/>
      <c r="B1209" s="26"/>
      <c r="D1209" s="17"/>
      <c r="E1209" s="17"/>
    </row>
    <row r="1210" spans="1:5">
      <c r="A1210" s="26"/>
      <c r="B1210" s="26"/>
      <c r="D1210" s="17"/>
      <c r="E1210" s="17"/>
    </row>
    <row r="1211" spans="1:5">
      <c r="A1211" s="26"/>
      <c r="B1211" s="26"/>
      <c r="D1211" s="17"/>
      <c r="E1211" s="17"/>
    </row>
    <row r="1212" spans="1:5">
      <c r="A1212" s="26"/>
      <c r="B1212" s="26"/>
      <c r="D1212" s="17"/>
      <c r="E1212" s="17"/>
    </row>
    <row r="1213" spans="1:5">
      <c r="A1213" s="26"/>
      <c r="B1213" s="26"/>
      <c r="D1213" s="17"/>
      <c r="E1213" s="17"/>
    </row>
    <row r="1214" spans="1:5">
      <c r="A1214" s="26"/>
      <c r="B1214" s="26"/>
      <c r="D1214" s="17"/>
      <c r="E1214" s="17"/>
    </row>
    <row r="1215" spans="1:5">
      <c r="A1215" s="26"/>
      <c r="B1215" s="26"/>
      <c r="D1215" s="17"/>
      <c r="E1215" s="17"/>
    </row>
    <row r="1216" spans="1:5">
      <c r="A1216" s="26"/>
      <c r="B1216" s="26"/>
      <c r="D1216" s="17"/>
      <c r="E1216" s="17"/>
    </row>
    <row r="1217" spans="1:5">
      <c r="A1217" s="26"/>
      <c r="B1217" s="26"/>
      <c r="D1217" s="17"/>
      <c r="E1217" s="17"/>
    </row>
    <row r="1218" spans="1:5">
      <c r="A1218" s="26"/>
      <c r="B1218" s="26"/>
      <c r="D1218" s="17"/>
      <c r="E1218" s="17"/>
    </row>
    <row r="1219" spans="1:5">
      <c r="A1219" s="26"/>
      <c r="B1219" s="26"/>
      <c r="D1219" s="17"/>
      <c r="E1219" s="17"/>
    </row>
    <row r="1220" spans="1:5">
      <c r="A1220" s="26"/>
      <c r="B1220" s="26"/>
      <c r="D1220" s="17"/>
      <c r="E1220" s="17"/>
    </row>
    <row r="1221" spans="1:5">
      <c r="A1221" s="26"/>
      <c r="B1221" s="26"/>
      <c r="D1221" s="17"/>
      <c r="E1221" s="17"/>
    </row>
    <row r="1222" spans="1:5">
      <c r="A1222" s="26"/>
      <c r="B1222" s="26"/>
      <c r="D1222" s="17"/>
      <c r="E1222" s="17"/>
    </row>
    <row r="1223" spans="1:5">
      <c r="A1223" s="26"/>
      <c r="B1223" s="26"/>
      <c r="D1223" s="17"/>
      <c r="E1223" s="17"/>
    </row>
    <row r="1224" spans="1:5">
      <c r="A1224" s="26"/>
      <c r="B1224" s="26"/>
      <c r="D1224" s="17"/>
      <c r="E1224" s="17"/>
    </row>
    <row r="1225" spans="1:5">
      <c r="A1225" s="26"/>
      <c r="B1225" s="26"/>
      <c r="D1225" s="17"/>
      <c r="E1225" s="17"/>
    </row>
    <row r="1226" spans="1:5">
      <c r="A1226" s="26"/>
      <c r="B1226" s="26"/>
      <c r="D1226" s="17"/>
      <c r="E1226" s="17"/>
    </row>
    <row r="1227" spans="1:5">
      <c r="A1227" s="26"/>
      <c r="B1227" s="26"/>
      <c r="D1227" s="17"/>
      <c r="E1227" s="17"/>
    </row>
    <row r="1228" spans="1:5">
      <c r="A1228" s="26"/>
      <c r="B1228" s="26"/>
      <c r="D1228" s="17"/>
      <c r="E1228" s="17"/>
    </row>
    <row r="1229" spans="1:5">
      <c r="A1229" s="26"/>
      <c r="B1229" s="26"/>
      <c r="D1229" s="17"/>
      <c r="E1229" s="17"/>
    </row>
    <row r="1230" spans="1:5">
      <c r="A1230" s="26"/>
      <c r="B1230" s="26"/>
      <c r="D1230" s="17"/>
      <c r="E1230" s="17"/>
    </row>
    <row r="1231" spans="1:5">
      <c r="A1231" s="26"/>
      <c r="B1231" s="26"/>
      <c r="D1231" s="17"/>
      <c r="E1231" s="17"/>
    </row>
    <row r="1232" spans="1:5">
      <c r="A1232" s="26"/>
      <c r="B1232" s="26"/>
      <c r="D1232" s="17"/>
      <c r="E1232" s="17"/>
    </row>
    <row r="1233" spans="1:5">
      <c r="A1233" s="26"/>
      <c r="B1233" s="26"/>
      <c r="D1233" s="17"/>
      <c r="E1233" s="17"/>
    </row>
    <row r="1234" spans="1:5">
      <c r="A1234" s="26"/>
      <c r="B1234" s="26"/>
      <c r="D1234" s="17"/>
      <c r="E1234" s="17"/>
    </row>
    <row r="1235" spans="1:5">
      <c r="A1235" s="26"/>
      <c r="B1235" s="26"/>
      <c r="D1235" s="17"/>
      <c r="E1235" s="17"/>
    </row>
    <row r="1236" spans="1:5">
      <c r="A1236" s="26"/>
      <c r="B1236" s="26"/>
      <c r="D1236" s="17"/>
      <c r="E1236" s="17"/>
    </row>
    <row r="1237" spans="1:5">
      <c r="A1237" s="26"/>
      <c r="B1237" s="26"/>
      <c r="D1237" s="17"/>
      <c r="E1237" s="17"/>
    </row>
    <row r="1238" spans="1:5">
      <c r="A1238" s="26"/>
      <c r="B1238" s="26"/>
      <c r="D1238" s="17"/>
      <c r="E1238" s="17"/>
    </row>
    <row r="1239" spans="1:5">
      <c r="A1239" s="26"/>
      <c r="B1239" s="26"/>
      <c r="D1239" s="17"/>
      <c r="E1239" s="17"/>
    </row>
    <row r="1240" spans="1:5">
      <c r="A1240" s="26"/>
      <c r="B1240" s="26"/>
      <c r="D1240" s="17"/>
      <c r="E1240" s="17"/>
    </row>
    <row r="1241" spans="1:5">
      <c r="A1241" s="26"/>
      <c r="B1241" s="26"/>
      <c r="D1241" s="17"/>
      <c r="E1241" s="17"/>
    </row>
    <row r="1242" spans="1:5">
      <c r="A1242" s="26"/>
      <c r="B1242" s="26"/>
      <c r="D1242" s="17"/>
      <c r="E1242" s="17"/>
    </row>
    <row r="1243" spans="1:5">
      <c r="A1243" s="26"/>
      <c r="B1243" s="26"/>
      <c r="D1243" s="17"/>
      <c r="E1243" s="17"/>
    </row>
    <row r="1244" spans="1:5">
      <c r="A1244" s="26"/>
      <c r="B1244" s="26"/>
      <c r="D1244" s="17"/>
      <c r="E1244" s="17"/>
    </row>
    <row r="1245" spans="1:5">
      <c r="A1245" s="26"/>
      <c r="B1245" s="26"/>
      <c r="D1245" s="17"/>
      <c r="E1245" s="17"/>
    </row>
    <row r="1246" spans="1:5">
      <c r="A1246" s="26"/>
      <c r="B1246" s="26"/>
      <c r="D1246" s="17"/>
      <c r="E1246" s="17"/>
    </row>
    <row r="1247" spans="1:5">
      <c r="A1247" s="26"/>
      <c r="B1247" s="26"/>
      <c r="D1247" s="17"/>
      <c r="E1247" s="17"/>
    </row>
    <row r="1248" spans="1:5">
      <c r="A1248" s="26"/>
      <c r="B1248" s="26"/>
      <c r="D1248" s="17"/>
      <c r="E1248" s="17"/>
    </row>
    <row r="1249" spans="1:5">
      <c r="A1249" s="26"/>
      <c r="B1249" s="26"/>
      <c r="D1249" s="17"/>
      <c r="E1249" s="17"/>
    </row>
    <row r="1250" spans="1:5">
      <c r="A1250" s="26"/>
      <c r="B1250" s="26"/>
      <c r="D1250" s="17"/>
      <c r="E1250" s="17"/>
    </row>
    <row r="1251" spans="1:5">
      <c r="A1251" s="26"/>
      <c r="B1251" s="26"/>
      <c r="D1251" s="17"/>
      <c r="E1251" s="17"/>
    </row>
  </sheetData>
  <autoFilter ref="A5:G1136">
    <filterColumn colId="6">
      <customFilters>
        <customFilter operator="notEqual" val=" "/>
      </customFilters>
    </filterColumn>
  </autoFilter>
  <mergeCells count="2">
    <mergeCell ref="A2:G2"/>
    <mergeCell ref="A1:G1"/>
  </mergeCells>
  <printOptions horizontalCentered="1"/>
  <pageMargins left="0.23622047244094499" right="0.15748031496063" top="0.25" bottom="0.34" header="0.22" footer="0.23622047244094499"/>
  <pageSetup paperSize="9" orientation="portrait" errors="blank" r:id="rId1"/>
  <headerFooter alignWithMargins="0"/>
  <rowBreaks count="1" manualBreakCount="1">
    <brk id="1134" max="6" man="1"/>
  </rowBreaks>
</worksheet>
</file>

<file path=xl/worksheets/sheet6.xml><?xml version="1.0" encoding="utf-8"?>
<worksheet xmlns="http://schemas.openxmlformats.org/spreadsheetml/2006/main" xmlns:r="http://schemas.openxmlformats.org/officeDocument/2006/relationships">
  <sheetPr filterMode="1"/>
  <dimension ref="A1:L130"/>
  <sheetViews>
    <sheetView showZeros="0" view="pageBreakPreview" topLeftCell="A86" zoomScale="115" zoomScaleNormal="115" zoomScaleSheetLayoutView="115" workbookViewId="0">
      <selection activeCell="G87" sqref="G87:G99"/>
    </sheetView>
  </sheetViews>
  <sheetFormatPr defaultRowHeight="12.75"/>
  <cols>
    <col min="1" max="1" width="4.140625" style="41" customWidth="1"/>
    <col min="2" max="2" width="8" style="14" customWidth="1"/>
    <col min="3" max="3" width="35.7109375" style="41" customWidth="1"/>
    <col min="4" max="4" width="5.5703125" style="41" customWidth="1"/>
    <col min="5" max="5" width="8.85546875" style="327" customWidth="1"/>
    <col min="6" max="6" width="9.85546875" style="328" bestFit="1" customWidth="1"/>
    <col min="7" max="7" width="12.42578125" style="329" customWidth="1"/>
    <col min="8" max="8" width="10.7109375" style="329" customWidth="1"/>
    <col min="9" max="9" width="10.42578125" style="41" bestFit="1" customWidth="1"/>
    <col min="10" max="10" width="9.7109375" style="41" customWidth="1"/>
    <col min="11" max="11" width="10.5703125" style="41" bestFit="1" customWidth="1"/>
    <col min="12" max="12" width="11" style="41" bestFit="1" customWidth="1"/>
    <col min="13" max="257" width="9.140625" style="41"/>
    <col min="258" max="258" width="4.140625" style="41" customWidth="1"/>
    <col min="259" max="259" width="43.140625" style="41" customWidth="1"/>
    <col min="260" max="260" width="8.5703125" style="41" customWidth="1"/>
    <col min="261" max="261" width="5.5703125" style="41" customWidth="1"/>
    <col min="262" max="262" width="10.140625" style="41" bestFit="1" customWidth="1"/>
    <col min="263" max="263" width="9.140625" style="41"/>
    <col min="264" max="264" width="10.7109375" style="41" customWidth="1"/>
    <col min="265" max="513" width="9.140625" style="41"/>
    <col min="514" max="514" width="4.140625" style="41" customWidth="1"/>
    <col min="515" max="515" width="43.140625" style="41" customWidth="1"/>
    <col min="516" max="516" width="8.5703125" style="41" customWidth="1"/>
    <col min="517" max="517" width="5.5703125" style="41" customWidth="1"/>
    <col min="518" max="518" width="10.140625" style="41" bestFit="1" customWidth="1"/>
    <col min="519" max="519" width="9.140625" style="41"/>
    <col min="520" max="520" width="10.7109375" style="41" customWidth="1"/>
    <col min="521" max="769" width="9.140625" style="41"/>
    <col min="770" max="770" width="4.140625" style="41" customWidth="1"/>
    <col min="771" max="771" width="43.140625" style="41" customWidth="1"/>
    <col min="772" max="772" width="8.5703125" style="41" customWidth="1"/>
    <col min="773" max="773" width="5.5703125" style="41" customWidth="1"/>
    <col min="774" max="774" width="10.140625" style="41" bestFit="1" customWidth="1"/>
    <col min="775" max="775" width="9.140625" style="41"/>
    <col min="776" max="776" width="10.7109375" style="41" customWidth="1"/>
    <col min="777" max="1025" width="9.140625" style="41"/>
    <col min="1026" max="1026" width="4.140625" style="41" customWidth="1"/>
    <col min="1027" max="1027" width="43.140625" style="41" customWidth="1"/>
    <col min="1028" max="1028" width="8.5703125" style="41" customWidth="1"/>
    <col min="1029" max="1029" width="5.5703125" style="41" customWidth="1"/>
    <col min="1030" max="1030" width="10.140625" style="41" bestFit="1" customWidth="1"/>
    <col min="1031" max="1031" width="9.140625" style="41"/>
    <col min="1032" max="1032" width="10.7109375" style="41" customWidth="1"/>
    <col min="1033" max="1281" width="9.140625" style="41"/>
    <col min="1282" max="1282" width="4.140625" style="41" customWidth="1"/>
    <col min="1283" max="1283" width="43.140625" style="41" customWidth="1"/>
    <col min="1284" max="1284" width="8.5703125" style="41" customWidth="1"/>
    <col min="1285" max="1285" width="5.5703125" style="41" customWidth="1"/>
    <col min="1286" max="1286" width="10.140625" style="41" bestFit="1" customWidth="1"/>
    <col min="1287" max="1287" width="9.140625" style="41"/>
    <col min="1288" max="1288" width="10.7109375" style="41" customWidth="1"/>
    <col min="1289" max="1537" width="9.140625" style="41"/>
    <col min="1538" max="1538" width="4.140625" style="41" customWidth="1"/>
    <col min="1539" max="1539" width="43.140625" style="41" customWidth="1"/>
    <col min="1540" max="1540" width="8.5703125" style="41" customWidth="1"/>
    <col min="1541" max="1541" width="5.5703125" style="41" customWidth="1"/>
    <col min="1542" max="1542" width="10.140625" style="41" bestFit="1" customWidth="1"/>
    <col min="1543" max="1543" width="9.140625" style="41"/>
    <col min="1544" max="1544" width="10.7109375" style="41" customWidth="1"/>
    <col min="1545" max="1793" width="9.140625" style="41"/>
    <col min="1794" max="1794" width="4.140625" style="41" customWidth="1"/>
    <col min="1795" max="1795" width="43.140625" style="41" customWidth="1"/>
    <col min="1796" max="1796" width="8.5703125" style="41" customWidth="1"/>
    <col min="1797" max="1797" width="5.5703125" style="41" customWidth="1"/>
    <col min="1798" max="1798" width="10.140625" style="41" bestFit="1" customWidth="1"/>
    <col min="1799" max="1799" width="9.140625" style="41"/>
    <col min="1800" max="1800" width="10.7109375" style="41" customWidth="1"/>
    <col min="1801" max="2049" width="9.140625" style="41"/>
    <col min="2050" max="2050" width="4.140625" style="41" customWidth="1"/>
    <col min="2051" max="2051" width="43.140625" style="41" customWidth="1"/>
    <col min="2052" max="2052" width="8.5703125" style="41" customWidth="1"/>
    <col min="2053" max="2053" width="5.5703125" style="41" customWidth="1"/>
    <col min="2054" max="2054" width="10.140625" style="41" bestFit="1" customWidth="1"/>
    <col min="2055" max="2055" width="9.140625" style="41"/>
    <col min="2056" max="2056" width="10.7109375" style="41" customWidth="1"/>
    <col min="2057" max="2305" width="9.140625" style="41"/>
    <col min="2306" max="2306" width="4.140625" style="41" customWidth="1"/>
    <col min="2307" max="2307" width="43.140625" style="41" customWidth="1"/>
    <col min="2308" max="2308" width="8.5703125" style="41" customWidth="1"/>
    <col min="2309" max="2309" width="5.5703125" style="41" customWidth="1"/>
    <col min="2310" max="2310" width="10.140625" style="41" bestFit="1" customWidth="1"/>
    <col min="2311" max="2311" width="9.140625" style="41"/>
    <col min="2312" max="2312" width="10.7109375" style="41" customWidth="1"/>
    <col min="2313" max="2561" width="9.140625" style="41"/>
    <col min="2562" max="2562" width="4.140625" style="41" customWidth="1"/>
    <col min="2563" max="2563" width="43.140625" style="41" customWidth="1"/>
    <col min="2564" max="2564" width="8.5703125" style="41" customWidth="1"/>
    <col min="2565" max="2565" width="5.5703125" style="41" customWidth="1"/>
    <col min="2566" max="2566" width="10.140625" style="41" bestFit="1" customWidth="1"/>
    <col min="2567" max="2567" width="9.140625" style="41"/>
    <col min="2568" max="2568" width="10.7109375" style="41" customWidth="1"/>
    <col min="2569" max="2817" width="9.140625" style="41"/>
    <col min="2818" max="2818" width="4.140625" style="41" customWidth="1"/>
    <col min="2819" max="2819" width="43.140625" style="41" customWidth="1"/>
    <col min="2820" max="2820" width="8.5703125" style="41" customWidth="1"/>
    <col min="2821" max="2821" width="5.5703125" style="41" customWidth="1"/>
    <col min="2822" max="2822" width="10.140625" style="41" bestFit="1" customWidth="1"/>
    <col min="2823" max="2823" width="9.140625" style="41"/>
    <col min="2824" max="2824" width="10.7109375" style="41" customWidth="1"/>
    <col min="2825" max="3073" width="9.140625" style="41"/>
    <col min="3074" max="3074" width="4.140625" style="41" customWidth="1"/>
    <col min="3075" max="3075" width="43.140625" style="41" customWidth="1"/>
    <col min="3076" max="3076" width="8.5703125" style="41" customWidth="1"/>
    <col min="3077" max="3077" width="5.5703125" style="41" customWidth="1"/>
    <col min="3078" max="3078" width="10.140625" style="41" bestFit="1" customWidth="1"/>
    <col min="3079" max="3079" width="9.140625" style="41"/>
    <col min="3080" max="3080" width="10.7109375" style="41" customWidth="1"/>
    <col min="3081" max="3329" width="9.140625" style="41"/>
    <col min="3330" max="3330" width="4.140625" style="41" customWidth="1"/>
    <col min="3331" max="3331" width="43.140625" style="41" customWidth="1"/>
    <col min="3332" max="3332" width="8.5703125" style="41" customWidth="1"/>
    <col min="3333" max="3333" width="5.5703125" style="41" customWidth="1"/>
    <col min="3334" max="3334" width="10.140625" style="41" bestFit="1" customWidth="1"/>
    <col min="3335" max="3335" width="9.140625" style="41"/>
    <col min="3336" max="3336" width="10.7109375" style="41" customWidth="1"/>
    <col min="3337" max="3585" width="9.140625" style="41"/>
    <col min="3586" max="3586" width="4.140625" style="41" customWidth="1"/>
    <col min="3587" max="3587" width="43.140625" style="41" customWidth="1"/>
    <col min="3588" max="3588" width="8.5703125" style="41" customWidth="1"/>
    <col min="3589" max="3589" width="5.5703125" style="41" customWidth="1"/>
    <col min="3590" max="3590" width="10.140625" style="41" bestFit="1" customWidth="1"/>
    <col min="3591" max="3591" width="9.140625" style="41"/>
    <col min="3592" max="3592" width="10.7109375" style="41" customWidth="1"/>
    <col min="3593" max="3841" width="9.140625" style="41"/>
    <col min="3842" max="3842" width="4.140625" style="41" customWidth="1"/>
    <col min="3843" max="3843" width="43.140625" style="41" customWidth="1"/>
    <col min="3844" max="3844" width="8.5703125" style="41" customWidth="1"/>
    <col min="3845" max="3845" width="5.5703125" style="41" customWidth="1"/>
    <col min="3846" max="3846" width="10.140625" style="41" bestFit="1" customWidth="1"/>
    <col min="3847" max="3847" width="9.140625" style="41"/>
    <col min="3848" max="3848" width="10.7109375" style="41" customWidth="1"/>
    <col min="3849" max="4097" width="9.140625" style="41"/>
    <col min="4098" max="4098" width="4.140625" style="41" customWidth="1"/>
    <col min="4099" max="4099" width="43.140625" style="41" customWidth="1"/>
    <col min="4100" max="4100" width="8.5703125" style="41" customWidth="1"/>
    <col min="4101" max="4101" width="5.5703125" style="41" customWidth="1"/>
    <col min="4102" max="4102" width="10.140625" style="41" bestFit="1" customWidth="1"/>
    <col min="4103" max="4103" width="9.140625" style="41"/>
    <col min="4104" max="4104" width="10.7109375" style="41" customWidth="1"/>
    <col min="4105" max="4353" width="9.140625" style="41"/>
    <col min="4354" max="4354" width="4.140625" style="41" customWidth="1"/>
    <col min="4355" max="4355" width="43.140625" style="41" customWidth="1"/>
    <col min="4356" max="4356" width="8.5703125" style="41" customWidth="1"/>
    <col min="4357" max="4357" width="5.5703125" style="41" customWidth="1"/>
    <col min="4358" max="4358" width="10.140625" style="41" bestFit="1" customWidth="1"/>
    <col min="4359" max="4359" width="9.140625" style="41"/>
    <col min="4360" max="4360" width="10.7109375" style="41" customWidth="1"/>
    <col min="4361" max="4609" width="9.140625" style="41"/>
    <col min="4610" max="4610" width="4.140625" style="41" customWidth="1"/>
    <col min="4611" max="4611" width="43.140625" style="41" customWidth="1"/>
    <col min="4612" max="4612" width="8.5703125" style="41" customWidth="1"/>
    <col min="4613" max="4613" width="5.5703125" style="41" customWidth="1"/>
    <col min="4614" max="4614" width="10.140625" style="41" bestFit="1" customWidth="1"/>
    <col min="4615" max="4615" width="9.140625" style="41"/>
    <col min="4616" max="4616" width="10.7109375" style="41" customWidth="1"/>
    <col min="4617" max="4865" width="9.140625" style="41"/>
    <col min="4866" max="4866" width="4.140625" style="41" customWidth="1"/>
    <col min="4867" max="4867" width="43.140625" style="41" customWidth="1"/>
    <col min="4868" max="4868" width="8.5703125" style="41" customWidth="1"/>
    <col min="4869" max="4869" width="5.5703125" style="41" customWidth="1"/>
    <col min="4870" max="4870" width="10.140625" style="41" bestFit="1" customWidth="1"/>
    <col min="4871" max="4871" width="9.140625" style="41"/>
    <col min="4872" max="4872" width="10.7109375" style="41" customWidth="1"/>
    <col min="4873" max="5121" width="9.140625" style="41"/>
    <col min="5122" max="5122" width="4.140625" style="41" customWidth="1"/>
    <col min="5123" max="5123" width="43.140625" style="41" customWidth="1"/>
    <col min="5124" max="5124" width="8.5703125" style="41" customWidth="1"/>
    <col min="5125" max="5125" width="5.5703125" style="41" customWidth="1"/>
    <col min="5126" max="5126" width="10.140625" style="41" bestFit="1" customWidth="1"/>
    <col min="5127" max="5127" width="9.140625" style="41"/>
    <col min="5128" max="5128" width="10.7109375" style="41" customWidth="1"/>
    <col min="5129" max="5377" width="9.140625" style="41"/>
    <col min="5378" max="5378" width="4.140625" style="41" customWidth="1"/>
    <col min="5379" max="5379" width="43.140625" style="41" customWidth="1"/>
    <col min="5380" max="5380" width="8.5703125" style="41" customWidth="1"/>
    <col min="5381" max="5381" width="5.5703125" style="41" customWidth="1"/>
    <col min="5382" max="5382" width="10.140625" style="41" bestFit="1" customWidth="1"/>
    <col min="5383" max="5383" width="9.140625" style="41"/>
    <col min="5384" max="5384" width="10.7109375" style="41" customWidth="1"/>
    <col min="5385" max="5633" width="9.140625" style="41"/>
    <col min="5634" max="5634" width="4.140625" style="41" customWidth="1"/>
    <col min="5635" max="5635" width="43.140625" style="41" customWidth="1"/>
    <col min="5636" max="5636" width="8.5703125" style="41" customWidth="1"/>
    <col min="5637" max="5637" width="5.5703125" style="41" customWidth="1"/>
    <col min="5638" max="5638" width="10.140625" style="41" bestFit="1" customWidth="1"/>
    <col min="5639" max="5639" width="9.140625" style="41"/>
    <col min="5640" max="5640" width="10.7109375" style="41" customWidth="1"/>
    <col min="5641" max="5889" width="9.140625" style="41"/>
    <col min="5890" max="5890" width="4.140625" style="41" customWidth="1"/>
    <col min="5891" max="5891" width="43.140625" style="41" customWidth="1"/>
    <col min="5892" max="5892" width="8.5703125" style="41" customWidth="1"/>
    <col min="5893" max="5893" width="5.5703125" style="41" customWidth="1"/>
    <col min="5894" max="5894" width="10.140625" style="41" bestFit="1" customWidth="1"/>
    <col min="5895" max="5895" width="9.140625" style="41"/>
    <col min="5896" max="5896" width="10.7109375" style="41" customWidth="1"/>
    <col min="5897" max="6145" width="9.140625" style="41"/>
    <col min="6146" max="6146" width="4.140625" style="41" customWidth="1"/>
    <col min="6147" max="6147" width="43.140625" style="41" customWidth="1"/>
    <col min="6148" max="6148" width="8.5703125" style="41" customWidth="1"/>
    <col min="6149" max="6149" width="5.5703125" style="41" customWidth="1"/>
    <col min="6150" max="6150" width="10.140625" style="41" bestFit="1" customWidth="1"/>
    <col min="6151" max="6151" width="9.140625" style="41"/>
    <col min="6152" max="6152" width="10.7109375" style="41" customWidth="1"/>
    <col min="6153" max="6401" width="9.140625" style="41"/>
    <col min="6402" max="6402" width="4.140625" style="41" customWidth="1"/>
    <col min="6403" max="6403" width="43.140625" style="41" customWidth="1"/>
    <col min="6404" max="6404" width="8.5703125" style="41" customWidth="1"/>
    <col min="6405" max="6405" width="5.5703125" style="41" customWidth="1"/>
    <col min="6406" max="6406" width="10.140625" style="41" bestFit="1" customWidth="1"/>
    <col min="6407" max="6407" width="9.140625" style="41"/>
    <col min="6408" max="6408" width="10.7109375" style="41" customWidth="1"/>
    <col min="6409" max="6657" width="9.140625" style="41"/>
    <col min="6658" max="6658" width="4.140625" style="41" customWidth="1"/>
    <col min="6659" max="6659" width="43.140625" style="41" customWidth="1"/>
    <col min="6660" max="6660" width="8.5703125" style="41" customWidth="1"/>
    <col min="6661" max="6661" width="5.5703125" style="41" customWidth="1"/>
    <col min="6662" max="6662" width="10.140625" style="41" bestFit="1" customWidth="1"/>
    <col min="6663" max="6663" width="9.140625" style="41"/>
    <col min="6664" max="6664" width="10.7109375" style="41" customWidth="1"/>
    <col min="6665" max="6913" width="9.140625" style="41"/>
    <col min="6914" max="6914" width="4.140625" style="41" customWidth="1"/>
    <col min="6915" max="6915" width="43.140625" style="41" customWidth="1"/>
    <col min="6916" max="6916" width="8.5703125" style="41" customWidth="1"/>
    <col min="6917" max="6917" width="5.5703125" style="41" customWidth="1"/>
    <col min="6918" max="6918" width="10.140625" style="41" bestFit="1" customWidth="1"/>
    <col min="6919" max="6919" width="9.140625" style="41"/>
    <col min="6920" max="6920" width="10.7109375" style="41" customWidth="1"/>
    <col min="6921" max="7169" width="9.140625" style="41"/>
    <col min="7170" max="7170" width="4.140625" style="41" customWidth="1"/>
    <col min="7171" max="7171" width="43.140625" style="41" customWidth="1"/>
    <col min="7172" max="7172" width="8.5703125" style="41" customWidth="1"/>
    <col min="7173" max="7173" width="5.5703125" style="41" customWidth="1"/>
    <col min="7174" max="7174" width="10.140625" style="41" bestFit="1" customWidth="1"/>
    <col min="7175" max="7175" width="9.140625" style="41"/>
    <col min="7176" max="7176" width="10.7109375" style="41" customWidth="1"/>
    <col min="7177" max="7425" width="9.140625" style="41"/>
    <col min="7426" max="7426" width="4.140625" style="41" customWidth="1"/>
    <col min="7427" max="7427" width="43.140625" style="41" customWidth="1"/>
    <col min="7428" max="7428" width="8.5703125" style="41" customWidth="1"/>
    <col min="7429" max="7429" width="5.5703125" style="41" customWidth="1"/>
    <col min="7430" max="7430" width="10.140625" style="41" bestFit="1" customWidth="1"/>
    <col min="7431" max="7431" width="9.140625" style="41"/>
    <col min="7432" max="7432" width="10.7109375" style="41" customWidth="1"/>
    <col min="7433" max="7681" width="9.140625" style="41"/>
    <col min="7682" max="7682" width="4.140625" style="41" customWidth="1"/>
    <col min="7683" max="7683" width="43.140625" style="41" customWidth="1"/>
    <col min="7684" max="7684" width="8.5703125" style="41" customWidth="1"/>
    <col min="7685" max="7685" width="5.5703125" style="41" customWidth="1"/>
    <col min="7686" max="7686" width="10.140625" style="41" bestFit="1" customWidth="1"/>
    <col min="7687" max="7687" width="9.140625" style="41"/>
    <col min="7688" max="7688" width="10.7109375" style="41" customWidth="1"/>
    <col min="7689" max="7937" width="9.140625" style="41"/>
    <col min="7938" max="7938" width="4.140625" style="41" customWidth="1"/>
    <col min="7939" max="7939" width="43.140625" style="41" customWidth="1"/>
    <col min="7940" max="7940" width="8.5703125" style="41" customWidth="1"/>
    <col min="7941" max="7941" width="5.5703125" style="41" customWidth="1"/>
    <col min="7942" max="7942" width="10.140625" style="41" bestFit="1" customWidth="1"/>
    <col min="7943" max="7943" width="9.140625" style="41"/>
    <col min="7944" max="7944" width="10.7109375" style="41" customWidth="1"/>
    <col min="7945" max="8193" width="9.140625" style="41"/>
    <col min="8194" max="8194" width="4.140625" style="41" customWidth="1"/>
    <col min="8195" max="8195" width="43.140625" style="41" customWidth="1"/>
    <col min="8196" max="8196" width="8.5703125" style="41" customWidth="1"/>
    <col min="8197" max="8197" width="5.5703125" style="41" customWidth="1"/>
    <col min="8198" max="8198" width="10.140625" style="41" bestFit="1" customWidth="1"/>
    <col min="8199" max="8199" width="9.140625" style="41"/>
    <col min="8200" max="8200" width="10.7109375" style="41" customWidth="1"/>
    <col min="8201" max="8449" width="9.140625" style="41"/>
    <col min="8450" max="8450" width="4.140625" style="41" customWidth="1"/>
    <col min="8451" max="8451" width="43.140625" style="41" customWidth="1"/>
    <col min="8452" max="8452" width="8.5703125" style="41" customWidth="1"/>
    <col min="8453" max="8453" width="5.5703125" style="41" customWidth="1"/>
    <col min="8454" max="8454" width="10.140625" style="41" bestFit="1" customWidth="1"/>
    <col min="8455" max="8455" width="9.140625" style="41"/>
    <col min="8456" max="8456" width="10.7109375" style="41" customWidth="1"/>
    <col min="8457" max="8705" width="9.140625" style="41"/>
    <col min="8706" max="8706" width="4.140625" style="41" customWidth="1"/>
    <col min="8707" max="8707" width="43.140625" style="41" customWidth="1"/>
    <col min="8708" max="8708" width="8.5703125" style="41" customWidth="1"/>
    <col min="8709" max="8709" width="5.5703125" style="41" customWidth="1"/>
    <col min="8710" max="8710" width="10.140625" style="41" bestFit="1" customWidth="1"/>
    <col min="8711" max="8711" width="9.140625" style="41"/>
    <col min="8712" max="8712" width="10.7109375" style="41" customWidth="1"/>
    <col min="8713" max="8961" width="9.140625" style="41"/>
    <col min="8962" max="8962" width="4.140625" style="41" customWidth="1"/>
    <col min="8963" max="8963" width="43.140625" style="41" customWidth="1"/>
    <col min="8964" max="8964" width="8.5703125" style="41" customWidth="1"/>
    <col min="8965" max="8965" width="5.5703125" style="41" customWidth="1"/>
    <col min="8966" max="8966" width="10.140625" style="41" bestFit="1" customWidth="1"/>
    <col min="8967" max="8967" width="9.140625" style="41"/>
    <col min="8968" max="8968" width="10.7109375" style="41" customWidth="1"/>
    <col min="8969" max="9217" width="9.140625" style="41"/>
    <col min="9218" max="9218" width="4.140625" style="41" customWidth="1"/>
    <col min="9219" max="9219" width="43.140625" style="41" customWidth="1"/>
    <col min="9220" max="9220" width="8.5703125" style="41" customWidth="1"/>
    <col min="9221" max="9221" width="5.5703125" style="41" customWidth="1"/>
    <col min="9222" max="9222" width="10.140625" style="41" bestFit="1" customWidth="1"/>
    <col min="9223" max="9223" width="9.140625" style="41"/>
    <col min="9224" max="9224" width="10.7109375" style="41" customWidth="1"/>
    <col min="9225" max="9473" width="9.140625" style="41"/>
    <col min="9474" max="9474" width="4.140625" style="41" customWidth="1"/>
    <col min="9475" max="9475" width="43.140625" style="41" customWidth="1"/>
    <col min="9476" max="9476" width="8.5703125" style="41" customWidth="1"/>
    <col min="9477" max="9477" width="5.5703125" style="41" customWidth="1"/>
    <col min="9478" max="9478" width="10.140625" style="41" bestFit="1" customWidth="1"/>
    <col min="9479" max="9479" width="9.140625" style="41"/>
    <col min="9480" max="9480" width="10.7109375" style="41" customWidth="1"/>
    <col min="9481" max="9729" width="9.140625" style="41"/>
    <col min="9730" max="9730" width="4.140625" style="41" customWidth="1"/>
    <col min="9731" max="9731" width="43.140625" style="41" customWidth="1"/>
    <col min="9732" max="9732" width="8.5703125" style="41" customWidth="1"/>
    <col min="9733" max="9733" width="5.5703125" style="41" customWidth="1"/>
    <col min="9734" max="9734" width="10.140625" style="41" bestFit="1" customWidth="1"/>
    <col min="9735" max="9735" width="9.140625" style="41"/>
    <col min="9736" max="9736" width="10.7109375" style="41" customWidth="1"/>
    <col min="9737" max="9985" width="9.140625" style="41"/>
    <col min="9986" max="9986" width="4.140625" style="41" customWidth="1"/>
    <col min="9987" max="9987" width="43.140625" style="41" customWidth="1"/>
    <col min="9988" max="9988" width="8.5703125" style="41" customWidth="1"/>
    <col min="9989" max="9989" width="5.5703125" style="41" customWidth="1"/>
    <col min="9990" max="9990" width="10.140625" style="41" bestFit="1" customWidth="1"/>
    <col min="9991" max="9991" width="9.140625" style="41"/>
    <col min="9992" max="9992" width="10.7109375" style="41" customWidth="1"/>
    <col min="9993" max="10241" width="9.140625" style="41"/>
    <col min="10242" max="10242" width="4.140625" style="41" customWidth="1"/>
    <col min="10243" max="10243" width="43.140625" style="41" customWidth="1"/>
    <col min="10244" max="10244" width="8.5703125" style="41" customWidth="1"/>
    <col min="10245" max="10245" width="5.5703125" style="41" customWidth="1"/>
    <col min="10246" max="10246" width="10.140625" style="41" bestFit="1" customWidth="1"/>
    <col min="10247" max="10247" width="9.140625" style="41"/>
    <col min="10248" max="10248" width="10.7109375" style="41" customWidth="1"/>
    <col min="10249" max="10497" width="9.140625" style="41"/>
    <col min="10498" max="10498" width="4.140625" style="41" customWidth="1"/>
    <col min="10499" max="10499" width="43.140625" style="41" customWidth="1"/>
    <col min="10500" max="10500" width="8.5703125" style="41" customWidth="1"/>
    <col min="10501" max="10501" width="5.5703125" style="41" customWidth="1"/>
    <col min="10502" max="10502" width="10.140625" style="41" bestFit="1" customWidth="1"/>
    <col min="10503" max="10503" width="9.140625" style="41"/>
    <col min="10504" max="10504" width="10.7109375" style="41" customWidth="1"/>
    <col min="10505" max="10753" width="9.140625" style="41"/>
    <col min="10754" max="10754" width="4.140625" style="41" customWidth="1"/>
    <col min="10755" max="10755" width="43.140625" style="41" customWidth="1"/>
    <col min="10756" max="10756" width="8.5703125" style="41" customWidth="1"/>
    <col min="10757" max="10757" width="5.5703125" style="41" customWidth="1"/>
    <col min="10758" max="10758" width="10.140625" style="41" bestFit="1" customWidth="1"/>
    <col min="10759" max="10759" width="9.140625" style="41"/>
    <col min="10760" max="10760" width="10.7109375" style="41" customWidth="1"/>
    <col min="10761" max="11009" width="9.140625" style="41"/>
    <col min="11010" max="11010" width="4.140625" style="41" customWidth="1"/>
    <col min="11011" max="11011" width="43.140625" style="41" customWidth="1"/>
    <col min="11012" max="11012" width="8.5703125" style="41" customWidth="1"/>
    <col min="11013" max="11013" width="5.5703125" style="41" customWidth="1"/>
    <col min="11014" max="11014" width="10.140625" style="41" bestFit="1" customWidth="1"/>
    <col min="11015" max="11015" width="9.140625" style="41"/>
    <col min="11016" max="11016" width="10.7109375" style="41" customWidth="1"/>
    <col min="11017" max="11265" width="9.140625" style="41"/>
    <col min="11266" max="11266" width="4.140625" style="41" customWidth="1"/>
    <col min="11267" max="11267" width="43.140625" style="41" customWidth="1"/>
    <col min="11268" max="11268" width="8.5703125" style="41" customWidth="1"/>
    <col min="11269" max="11269" width="5.5703125" style="41" customWidth="1"/>
    <col min="11270" max="11270" width="10.140625" style="41" bestFit="1" customWidth="1"/>
    <col min="11271" max="11271" width="9.140625" style="41"/>
    <col min="11272" max="11272" width="10.7109375" style="41" customWidth="1"/>
    <col min="11273" max="11521" width="9.140625" style="41"/>
    <col min="11522" max="11522" width="4.140625" style="41" customWidth="1"/>
    <col min="11523" max="11523" width="43.140625" style="41" customWidth="1"/>
    <col min="11524" max="11524" width="8.5703125" style="41" customWidth="1"/>
    <col min="11525" max="11525" width="5.5703125" style="41" customWidth="1"/>
    <col min="11526" max="11526" width="10.140625" style="41" bestFit="1" customWidth="1"/>
    <col min="11527" max="11527" width="9.140625" style="41"/>
    <col min="11528" max="11528" width="10.7109375" style="41" customWidth="1"/>
    <col min="11529" max="11777" width="9.140625" style="41"/>
    <col min="11778" max="11778" width="4.140625" style="41" customWidth="1"/>
    <col min="11779" max="11779" width="43.140625" style="41" customWidth="1"/>
    <col min="11780" max="11780" width="8.5703125" style="41" customWidth="1"/>
    <col min="11781" max="11781" width="5.5703125" style="41" customWidth="1"/>
    <col min="11782" max="11782" width="10.140625" style="41" bestFit="1" customWidth="1"/>
    <col min="11783" max="11783" width="9.140625" style="41"/>
    <col min="11784" max="11784" width="10.7109375" style="41" customWidth="1"/>
    <col min="11785" max="12033" width="9.140625" style="41"/>
    <col min="12034" max="12034" width="4.140625" style="41" customWidth="1"/>
    <col min="12035" max="12035" width="43.140625" style="41" customWidth="1"/>
    <col min="12036" max="12036" width="8.5703125" style="41" customWidth="1"/>
    <col min="12037" max="12037" width="5.5703125" style="41" customWidth="1"/>
    <col min="12038" max="12038" width="10.140625" style="41" bestFit="1" customWidth="1"/>
    <col min="12039" max="12039" width="9.140625" style="41"/>
    <col min="12040" max="12040" width="10.7109375" style="41" customWidth="1"/>
    <col min="12041" max="12289" width="9.140625" style="41"/>
    <col min="12290" max="12290" width="4.140625" style="41" customWidth="1"/>
    <col min="12291" max="12291" width="43.140625" style="41" customWidth="1"/>
    <col min="12292" max="12292" width="8.5703125" style="41" customWidth="1"/>
    <col min="12293" max="12293" width="5.5703125" style="41" customWidth="1"/>
    <col min="12294" max="12294" width="10.140625" style="41" bestFit="1" customWidth="1"/>
    <col min="12295" max="12295" width="9.140625" style="41"/>
    <col min="12296" max="12296" width="10.7109375" style="41" customWidth="1"/>
    <col min="12297" max="12545" width="9.140625" style="41"/>
    <col min="12546" max="12546" width="4.140625" style="41" customWidth="1"/>
    <col min="12547" max="12547" width="43.140625" style="41" customWidth="1"/>
    <col min="12548" max="12548" width="8.5703125" style="41" customWidth="1"/>
    <col min="12549" max="12549" width="5.5703125" style="41" customWidth="1"/>
    <col min="12550" max="12550" width="10.140625" style="41" bestFit="1" customWidth="1"/>
    <col min="12551" max="12551" width="9.140625" style="41"/>
    <col min="12552" max="12552" width="10.7109375" style="41" customWidth="1"/>
    <col min="12553" max="12801" width="9.140625" style="41"/>
    <col min="12802" max="12802" width="4.140625" style="41" customWidth="1"/>
    <col min="12803" max="12803" width="43.140625" style="41" customWidth="1"/>
    <col min="12804" max="12804" width="8.5703125" style="41" customWidth="1"/>
    <col min="12805" max="12805" width="5.5703125" style="41" customWidth="1"/>
    <col min="12806" max="12806" width="10.140625" style="41" bestFit="1" customWidth="1"/>
    <col min="12807" max="12807" width="9.140625" style="41"/>
    <col min="12808" max="12808" width="10.7109375" style="41" customWidth="1"/>
    <col min="12809" max="13057" width="9.140625" style="41"/>
    <col min="13058" max="13058" width="4.140625" style="41" customWidth="1"/>
    <col min="13059" max="13059" width="43.140625" style="41" customWidth="1"/>
    <col min="13060" max="13060" width="8.5703125" style="41" customWidth="1"/>
    <col min="13061" max="13061" width="5.5703125" style="41" customWidth="1"/>
    <col min="13062" max="13062" width="10.140625" style="41" bestFit="1" customWidth="1"/>
    <col min="13063" max="13063" width="9.140625" style="41"/>
    <col min="13064" max="13064" width="10.7109375" style="41" customWidth="1"/>
    <col min="13065" max="13313" width="9.140625" style="41"/>
    <col min="13314" max="13314" width="4.140625" style="41" customWidth="1"/>
    <col min="13315" max="13315" width="43.140625" style="41" customWidth="1"/>
    <col min="13316" max="13316" width="8.5703125" style="41" customWidth="1"/>
    <col min="13317" max="13317" width="5.5703125" style="41" customWidth="1"/>
    <col min="13318" max="13318" width="10.140625" style="41" bestFit="1" customWidth="1"/>
    <col min="13319" max="13319" width="9.140625" style="41"/>
    <col min="13320" max="13320" width="10.7109375" style="41" customWidth="1"/>
    <col min="13321" max="13569" width="9.140625" style="41"/>
    <col min="13570" max="13570" width="4.140625" style="41" customWidth="1"/>
    <col min="13571" max="13571" width="43.140625" style="41" customWidth="1"/>
    <col min="13572" max="13572" width="8.5703125" style="41" customWidth="1"/>
    <col min="13573" max="13573" width="5.5703125" style="41" customWidth="1"/>
    <col min="13574" max="13574" width="10.140625" style="41" bestFit="1" customWidth="1"/>
    <col min="13575" max="13575" width="9.140625" style="41"/>
    <col min="13576" max="13576" width="10.7109375" style="41" customWidth="1"/>
    <col min="13577" max="13825" width="9.140625" style="41"/>
    <col min="13826" max="13826" width="4.140625" style="41" customWidth="1"/>
    <col min="13827" max="13827" width="43.140625" style="41" customWidth="1"/>
    <col min="13828" max="13828" width="8.5703125" style="41" customWidth="1"/>
    <col min="13829" max="13829" width="5.5703125" style="41" customWidth="1"/>
    <col min="13830" max="13830" width="10.140625" style="41" bestFit="1" customWidth="1"/>
    <col min="13831" max="13831" width="9.140625" style="41"/>
    <col min="13832" max="13832" width="10.7109375" style="41" customWidth="1"/>
    <col min="13833" max="14081" width="9.140625" style="41"/>
    <col min="14082" max="14082" width="4.140625" style="41" customWidth="1"/>
    <col min="14083" max="14083" width="43.140625" style="41" customWidth="1"/>
    <col min="14084" max="14084" width="8.5703125" style="41" customWidth="1"/>
    <col min="14085" max="14085" width="5.5703125" style="41" customWidth="1"/>
    <col min="14086" max="14086" width="10.140625" style="41" bestFit="1" customWidth="1"/>
    <col min="14087" max="14087" width="9.140625" style="41"/>
    <col min="14088" max="14088" width="10.7109375" style="41" customWidth="1"/>
    <col min="14089" max="14337" width="9.140625" style="41"/>
    <col min="14338" max="14338" width="4.140625" style="41" customWidth="1"/>
    <col min="14339" max="14339" width="43.140625" style="41" customWidth="1"/>
    <col min="14340" max="14340" width="8.5703125" style="41" customWidth="1"/>
    <col min="14341" max="14341" width="5.5703125" style="41" customWidth="1"/>
    <col min="14342" max="14342" width="10.140625" style="41" bestFit="1" customWidth="1"/>
    <col min="14343" max="14343" width="9.140625" style="41"/>
    <col min="14344" max="14344" width="10.7109375" style="41" customWidth="1"/>
    <col min="14345" max="14593" width="9.140625" style="41"/>
    <col min="14594" max="14594" width="4.140625" style="41" customWidth="1"/>
    <col min="14595" max="14595" width="43.140625" style="41" customWidth="1"/>
    <col min="14596" max="14596" width="8.5703125" style="41" customWidth="1"/>
    <col min="14597" max="14597" width="5.5703125" style="41" customWidth="1"/>
    <col min="14598" max="14598" width="10.140625" style="41" bestFit="1" customWidth="1"/>
    <col min="14599" max="14599" width="9.140625" style="41"/>
    <col min="14600" max="14600" width="10.7109375" style="41" customWidth="1"/>
    <col min="14601" max="14849" width="9.140625" style="41"/>
    <col min="14850" max="14850" width="4.140625" style="41" customWidth="1"/>
    <col min="14851" max="14851" width="43.140625" style="41" customWidth="1"/>
    <col min="14852" max="14852" width="8.5703125" style="41" customWidth="1"/>
    <col min="14853" max="14853" width="5.5703125" style="41" customWidth="1"/>
    <col min="14854" max="14854" width="10.140625" style="41" bestFit="1" customWidth="1"/>
    <col min="14855" max="14855" width="9.140625" style="41"/>
    <col min="14856" max="14856" width="10.7109375" style="41" customWidth="1"/>
    <col min="14857" max="15105" width="9.140625" style="41"/>
    <col min="15106" max="15106" width="4.140625" style="41" customWidth="1"/>
    <col min="15107" max="15107" width="43.140625" style="41" customWidth="1"/>
    <col min="15108" max="15108" width="8.5703125" style="41" customWidth="1"/>
    <col min="15109" max="15109" width="5.5703125" style="41" customWidth="1"/>
    <col min="15110" max="15110" width="10.140625" style="41" bestFit="1" customWidth="1"/>
    <col min="15111" max="15111" width="9.140625" style="41"/>
    <col min="15112" max="15112" width="10.7109375" style="41" customWidth="1"/>
    <col min="15113" max="15361" width="9.140625" style="41"/>
    <col min="15362" max="15362" width="4.140625" style="41" customWidth="1"/>
    <col min="15363" max="15363" width="43.140625" style="41" customWidth="1"/>
    <col min="15364" max="15364" width="8.5703125" style="41" customWidth="1"/>
    <col min="15365" max="15365" width="5.5703125" style="41" customWidth="1"/>
    <col min="15366" max="15366" width="10.140625" style="41" bestFit="1" customWidth="1"/>
    <col min="15367" max="15367" width="9.140625" style="41"/>
    <col min="15368" max="15368" width="10.7109375" style="41" customWidth="1"/>
    <col min="15369" max="15617" width="9.140625" style="41"/>
    <col min="15618" max="15618" width="4.140625" style="41" customWidth="1"/>
    <col min="15619" max="15619" width="43.140625" style="41" customWidth="1"/>
    <col min="15620" max="15620" width="8.5703125" style="41" customWidth="1"/>
    <col min="15621" max="15621" width="5.5703125" style="41" customWidth="1"/>
    <col min="15622" max="15622" width="10.140625" style="41" bestFit="1" customWidth="1"/>
    <col min="15623" max="15623" width="9.140625" style="41"/>
    <col min="15624" max="15624" width="10.7109375" style="41" customWidth="1"/>
    <col min="15625" max="15873" width="9.140625" style="41"/>
    <col min="15874" max="15874" width="4.140625" style="41" customWidth="1"/>
    <col min="15875" max="15875" width="43.140625" style="41" customWidth="1"/>
    <col min="15876" max="15876" width="8.5703125" style="41" customWidth="1"/>
    <col min="15877" max="15877" width="5.5703125" style="41" customWidth="1"/>
    <col min="15878" max="15878" width="10.140625" style="41" bestFit="1" customWidth="1"/>
    <col min="15879" max="15879" width="9.140625" style="41"/>
    <col min="15880" max="15880" width="10.7109375" style="41" customWidth="1"/>
    <col min="15881" max="16129" width="9.140625" style="41"/>
    <col min="16130" max="16130" width="4.140625" style="41" customWidth="1"/>
    <col min="16131" max="16131" width="43.140625" style="41" customWidth="1"/>
    <col min="16132" max="16132" width="8.5703125" style="41" customWidth="1"/>
    <col min="16133" max="16133" width="5.5703125" style="41" customWidth="1"/>
    <col min="16134" max="16134" width="10.140625" style="41" bestFit="1" customWidth="1"/>
    <col min="16135" max="16135" width="9.140625" style="41"/>
    <col min="16136" max="16136" width="10.7109375" style="41" customWidth="1"/>
    <col min="16137" max="16384" width="9.140625" style="41"/>
  </cols>
  <sheetData>
    <row r="1" spans="1:8" ht="18.75">
      <c r="A1" s="1812" t="s">
        <v>1515</v>
      </c>
      <c r="B1" s="1812"/>
      <c r="C1" s="1812"/>
      <c r="D1" s="1812"/>
      <c r="E1" s="1812"/>
      <c r="F1" s="1812"/>
      <c r="G1" s="1812"/>
      <c r="H1" s="1812"/>
    </row>
    <row r="2" spans="1:8" ht="28.5" customHeight="1">
      <c r="A2" s="1813" t="str">
        <f>'lead 19-20'!B2&amp;'lead 19-20'!C2</f>
        <v>Name of the Work: Providing Additional Space for Agriculture Staff in  Baduguleru GP of Kanigiri Mandal</v>
      </c>
      <c r="B2" s="1813"/>
      <c r="C2" s="1813"/>
      <c r="D2" s="1813"/>
      <c r="E2" s="1813"/>
      <c r="F2" s="1813"/>
      <c r="G2" s="1813"/>
      <c r="H2" s="1813"/>
    </row>
    <row r="3" spans="1:8">
      <c r="A3" s="331"/>
      <c r="B3" s="332"/>
      <c r="C3" s="14"/>
      <c r="D3" s="14"/>
      <c r="E3" s="333" t="s">
        <v>270</v>
      </c>
      <c r="F3" s="328" t="str">
        <f>'lead 19-20'!K4</f>
        <v>21.80 Lakhs</v>
      </c>
      <c r="G3" s="330"/>
      <c r="H3" s="330"/>
    </row>
    <row r="4" spans="1:8" ht="35.25" customHeight="1">
      <c r="A4" s="13" t="s">
        <v>23</v>
      </c>
      <c r="B4" s="13" t="s">
        <v>144</v>
      </c>
      <c r="C4" s="13" t="s">
        <v>143</v>
      </c>
      <c r="D4" s="13" t="s">
        <v>16</v>
      </c>
      <c r="E4" s="13" t="s">
        <v>138</v>
      </c>
      <c r="F4" s="334" t="s">
        <v>145</v>
      </c>
      <c r="G4" s="334" t="s">
        <v>10</v>
      </c>
      <c r="H4" s="334" t="s">
        <v>1431</v>
      </c>
    </row>
    <row r="5" spans="1:8" ht="20.100000000000001" customHeight="1">
      <c r="A5" s="335">
        <v>1</v>
      </c>
      <c r="B5" s="335">
        <v>34816</v>
      </c>
      <c r="C5" s="326" t="s">
        <v>243</v>
      </c>
      <c r="D5" s="326"/>
      <c r="E5" s="336"/>
      <c r="F5" s="25"/>
      <c r="G5" s="337">
        <v>1</v>
      </c>
      <c r="H5" s="338"/>
    </row>
    <row r="6" spans="1:8" s="434" customFormat="1" hidden="1">
      <c r="A6" s="435"/>
      <c r="B6" s="435"/>
      <c r="C6" s="436" t="s">
        <v>2021</v>
      </c>
      <c r="D6" s="436"/>
      <c r="E6" s="437"/>
      <c r="F6" s="438"/>
      <c r="G6" s="439"/>
      <c r="H6" s="440"/>
    </row>
    <row r="7" spans="1:8" s="366" customFormat="1" hidden="1">
      <c r="A7" s="452"/>
      <c r="B7" s="452"/>
      <c r="C7" s="367" t="s">
        <v>1430</v>
      </c>
      <c r="D7" s="367" t="s">
        <v>102</v>
      </c>
      <c r="E7" s="453">
        <f>WORK!I13</f>
        <v>0</v>
      </c>
      <c r="F7" s="368">
        <f>WORK!K13</f>
        <v>5.22</v>
      </c>
      <c r="G7" s="450">
        <f>ROUND(E7*F7,0)</f>
        <v>0</v>
      </c>
      <c r="H7" s="450"/>
    </row>
    <row r="8" spans="1:8" s="366" customFormat="1">
      <c r="A8" s="452"/>
      <c r="B8" s="452"/>
      <c r="C8" s="367" t="s">
        <v>1432</v>
      </c>
      <c r="D8" s="367" t="s">
        <v>5</v>
      </c>
      <c r="E8" s="453">
        <f>WORK!I48</f>
        <v>82.240000000000009</v>
      </c>
      <c r="F8" s="368">
        <f>WORK!K48</f>
        <v>124.24</v>
      </c>
      <c r="G8" s="450">
        <f>ROUND(E8*F8,0)</f>
        <v>10217</v>
      </c>
      <c r="H8" s="450"/>
    </row>
    <row r="9" spans="1:8" s="434" customFormat="1" hidden="1">
      <c r="A9" s="435"/>
      <c r="B9" s="435"/>
      <c r="C9" s="436" t="s">
        <v>2022</v>
      </c>
      <c r="D9" s="436"/>
      <c r="E9" s="437"/>
      <c r="F9" s="438"/>
      <c r="G9" s="439"/>
      <c r="H9" s="440"/>
    </row>
    <row r="10" spans="1:8" s="434" customFormat="1" hidden="1">
      <c r="A10" s="435"/>
      <c r="B10" s="435"/>
      <c r="C10" s="436" t="s">
        <v>1430</v>
      </c>
      <c r="D10" s="436" t="s">
        <v>102</v>
      </c>
      <c r="E10" s="441">
        <f>WORK!I19</f>
        <v>0</v>
      </c>
      <c r="F10" s="438">
        <f>WORK!K19</f>
        <v>5.86</v>
      </c>
      <c r="G10" s="440">
        <f>ROUND(E10*F10,0)</f>
        <v>0</v>
      </c>
      <c r="H10" s="440"/>
    </row>
    <row r="11" spans="1:8" s="366" customFormat="1" hidden="1">
      <c r="A11" s="452"/>
      <c r="B11" s="452"/>
      <c r="C11" s="367" t="s">
        <v>1432</v>
      </c>
      <c r="D11" s="367" t="s">
        <v>5</v>
      </c>
      <c r="E11" s="453">
        <f>WORK!I54</f>
        <v>0</v>
      </c>
      <c r="F11" s="368">
        <f>WORK!K54</f>
        <v>139.55000000000001</v>
      </c>
      <c r="G11" s="450">
        <f>ROUND(E11*F11,0)</f>
        <v>0</v>
      </c>
      <c r="H11" s="450"/>
    </row>
    <row r="12" spans="1:8" s="434" customFormat="1" hidden="1">
      <c r="A12" s="435"/>
      <c r="B12" s="435"/>
      <c r="C12" s="436" t="s">
        <v>2319</v>
      </c>
      <c r="D12" s="436"/>
      <c r="E12" s="437"/>
      <c r="F12" s="438"/>
      <c r="G12" s="439"/>
      <c r="H12" s="440"/>
    </row>
    <row r="13" spans="1:8" s="434" customFormat="1" hidden="1">
      <c r="A13" s="435"/>
      <c r="B13" s="435"/>
      <c r="C13" s="436" t="s">
        <v>1430</v>
      </c>
      <c r="D13" s="436" t="s">
        <v>102</v>
      </c>
      <c r="E13" s="441">
        <f>WORK!I25</f>
        <v>0</v>
      </c>
      <c r="F13" s="438">
        <f>WORK!K25</f>
        <v>6.06</v>
      </c>
      <c r="G13" s="440">
        <f>ROUND(E13*F13,0)</f>
        <v>0</v>
      </c>
      <c r="H13" s="440"/>
    </row>
    <row r="14" spans="1:8" s="366" customFormat="1" hidden="1">
      <c r="A14" s="452"/>
      <c r="B14" s="452"/>
      <c r="C14" s="367" t="s">
        <v>1432</v>
      </c>
      <c r="D14" s="367" t="s">
        <v>5</v>
      </c>
      <c r="E14" s="453">
        <f>WORK!I61</f>
        <v>0</v>
      </c>
      <c r="F14" s="368">
        <f>WORK!K61</f>
        <v>144.26</v>
      </c>
      <c r="G14" s="450">
        <f>ROUND(E14*F14,0)</f>
        <v>0</v>
      </c>
      <c r="H14" s="450"/>
    </row>
    <row r="15" spans="1:8" s="434" customFormat="1" hidden="1">
      <c r="A15" s="435"/>
      <c r="B15" s="435"/>
      <c r="C15" s="436" t="s">
        <v>2320</v>
      </c>
      <c r="D15" s="436"/>
      <c r="E15" s="437"/>
      <c r="F15" s="438"/>
      <c r="G15" s="439"/>
      <c r="H15" s="440"/>
    </row>
    <row r="16" spans="1:8" s="434" customFormat="1" hidden="1">
      <c r="A16" s="435"/>
      <c r="B16" s="435"/>
      <c r="C16" s="436" t="s">
        <v>1430</v>
      </c>
      <c r="D16" s="436" t="s">
        <v>102</v>
      </c>
      <c r="E16" s="441">
        <f>WORK!I31</f>
        <v>0</v>
      </c>
      <c r="F16" s="438">
        <f>WORK!K31</f>
        <v>6.06</v>
      </c>
      <c r="G16" s="440">
        <f>ROUND(E16*F16,0)</f>
        <v>0</v>
      </c>
      <c r="H16" s="440"/>
    </row>
    <row r="17" spans="1:11" s="366" customFormat="1" hidden="1">
      <c r="A17" s="452"/>
      <c r="B17" s="452"/>
      <c r="C17" s="367" t="s">
        <v>1432</v>
      </c>
      <c r="D17" s="367" t="s">
        <v>5</v>
      </c>
      <c r="E17" s="453">
        <f>WORK!I68</f>
        <v>0</v>
      </c>
      <c r="F17" s="368">
        <f>WORK!K68</f>
        <v>144.26</v>
      </c>
      <c r="G17" s="450">
        <f>ROUND(E17*F17,0)</f>
        <v>0</v>
      </c>
      <c r="H17" s="450"/>
    </row>
    <row r="18" spans="1:11">
      <c r="A18" s="335"/>
      <c r="B18" s="335"/>
      <c r="C18" s="326"/>
      <c r="D18" s="326"/>
      <c r="E18" s="336"/>
      <c r="F18" s="25"/>
      <c r="G18" s="340">
        <f>SUM(G6:G17)</f>
        <v>10217</v>
      </c>
      <c r="H18" s="340">
        <f>SUM(G18)</f>
        <v>10217</v>
      </c>
    </row>
    <row r="19" spans="1:11">
      <c r="A19" s="335">
        <v>2</v>
      </c>
      <c r="B19" s="335">
        <v>34817</v>
      </c>
      <c r="C19" s="326" t="s">
        <v>244</v>
      </c>
      <c r="D19" s="326"/>
      <c r="E19" s="25"/>
      <c r="F19" s="25"/>
      <c r="G19" s="337">
        <v>1</v>
      </c>
      <c r="H19" s="25"/>
    </row>
    <row r="20" spans="1:11" s="366" customFormat="1" hidden="1">
      <c r="A20" s="452"/>
      <c r="B20" s="452"/>
      <c r="C20" s="326" t="s">
        <v>2219</v>
      </c>
      <c r="D20" s="367" t="s">
        <v>142</v>
      </c>
      <c r="E20" s="368">
        <f>'Differ- Material'!C8</f>
        <v>544.25</v>
      </c>
      <c r="F20" s="368">
        <f>'Differ- Material'!D8</f>
        <v>235</v>
      </c>
      <c r="G20" s="450">
        <f t="shared" ref="G20" si="0">ROUND(E20*F20,0)</f>
        <v>127899</v>
      </c>
      <c r="H20" s="368"/>
    </row>
    <row r="21" spans="1:11" s="366" customFormat="1" hidden="1">
      <c r="A21" s="452"/>
      <c r="B21" s="452"/>
      <c r="C21" s="326" t="s">
        <v>2220</v>
      </c>
      <c r="D21" s="367" t="s">
        <v>142</v>
      </c>
      <c r="E21" s="368">
        <f>'Differ- Material'!C9</f>
        <v>0</v>
      </c>
      <c r="F21" s="368">
        <f>'Differ- Material'!D9</f>
        <v>235</v>
      </c>
      <c r="G21" s="450">
        <f t="shared" ref="G21:G23" si="1">ROUND(E21*F21,0)</f>
        <v>0</v>
      </c>
      <c r="H21" s="368"/>
    </row>
    <row r="22" spans="1:11" s="366" customFormat="1" hidden="1">
      <c r="A22" s="452"/>
      <c r="B22" s="452"/>
      <c r="C22" s="326" t="s">
        <v>2221</v>
      </c>
      <c r="D22" s="367" t="s">
        <v>142</v>
      </c>
      <c r="E22" s="368">
        <f>'Differ- Material'!C10</f>
        <v>0</v>
      </c>
      <c r="F22" s="368">
        <f>'Differ- Material'!D10</f>
        <v>235</v>
      </c>
      <c r="G22" s="450">
        <f t="shared" si="1"/>
        <v>0</v>
      </c>
      <c r="H22" s="368"/>
    </row>
    <row r="23" spans="1:11" s="366" customFormat="1" hidden="1">
      <c r="A23" s="452"/>
      <c r="B23" s="452"/>
      <c r="C23" s="326" t="s">
        <v>2222</v>
      </c>
      <c r="D23" s="367" t="s">
        <v>142</v>
      </c>
      <c r="E23" s="368">
        <f>'Differ- Material'!C11</f>
        <v>0</v>
      </c>
      <c r="F23" s="368">
        <f>'Differ- Material'!D11</f>
        <v>235</v>
      </c>
      <c r="G23" s="450">
        <f t="shared" si="1"/>
        <v>0</v>
      </c>
      <c r="H23" s="368"/>
    </row>
    <row r="24" spans="1:11" hidden="1">
      <c r="A24" s="335"/>
      <c r="B24" s="335"/>
      <c r="C24" s="326" t="s">
        <v>117</v>
      </c>
      <c r="D24" s="326"/>
      <c r="E24" s="340">
        <f>SUM(E20:E23)</f>
        <v>544.25</v>
      </c>
      <c r="F24" s="339"/>
      <c r="G24" s="340">
        <f>SUM(G20:G23)</f>
        <v>127899</v>
      </c>
      <c r="H24" s="340"/>
      <c r="J24" s="329"/>
      <c r="K24" s="329"/>
    </row>
    <row r="25" spans="1:11" hidden="1">
      <c r="A25" s="335"/>
      <c r="B25" s="335"/>
      <c r="C25" s="326"/>
      <c r="D25" s="326"/>
      <c r="E25" s="338"/>
      <c r="F25" s="25"/>
      <c r="G25" s="338"/>
      <c r="H25" s="340"/>
      <c r="J25" s="329"/>
      <c r="K25" s="329"/>
    </row>
    <row r="26" spans="1:11">
      <c r="A26" s="335"/>
      <c r="B26" s="335"/>
      <c r="C26" s="326" t="s">
        <v>1466</v>
      </c>
      <c r="D26" s="326" t="s">
        <v>142</v>
      </c>
      <c r="E26" s="25">
        <f>'Differ- Material'!C14</f>
        <v>544.25</v>
      </c>
      <c r="F26" s="25">
        <f>'Differ- Material'!D14</f>
        <v>235</v>
      </c>
      <c r="G26" s="338">
        <f>ROUND(E26*F26,0)</f>
        <v>127899</v>
      </c>
      <c r="H26" s="25"/>
    </row>
    <row r="27" spans="1:11" hidden="1">
      <c r="A27" s="335"/>
      <c r="B27" s="335"/>
      <c r="C27" s="326" t="s">
        <v>1466</v>
      </c>
      <c r="D27" s="326" t="s">
        <v>142</v>
      </c>
      <c r="E27" s="25">
        <f>'Differ- Material'!C15</f>
        <v>0</v>
      </c>
      <c r="F27" s="25">
        <f>'Differ- Material'!D15</f>
        <v>260</v>
      </c>
      <c r="G27" s="338">
        <f>ROUND(E27*F27,0)</f>
        <v>0</v>
      </c>
      <c r="H27" s="25"/>
    </row>
    <row r="28" spans="1:11" hidden="1">
      <c r="A28" s="335"/>
      <c r="B28" s="335"/>
      <c r="C28" s="326"/>
      <c r="D28" s="326"/>
      <c r="E28" s="25"/>
      <c r="F28" s="25"/>
      <c r="G28" s="338"/>
      <c r="H28" s="25"/>
    </row>
    <row r="29" spans="1:11">
      <c r="A29" s="335"/>
      <c r="B29" s="335"/>
      <c r="C29" s="326"/>
      <c r="D29" s="326"/>
      <c r="E29" s="339">
        <f>SUM(E26:E28)</f>
        <v>544.25</v>
      </c>
      <c r="F29" s="25"/>
      <c r="G29" s="339">
        <f>SUM(G26:G28)</f>
        <v>127899</v>
      </c>
      <c r="H29" s="340">
        <f>SUM(G29)</f>
        <v>127899</v>
      </c>
    </row>
    <row r="30" spans="1:11">
      <c r="A30" s="335">
        <v>3</v>
      </c>
      <c r="B30" s="335"/>
      <c r="C30" s="326" t="s">
        <v>1566</v>
      </c>
      <c r="D30" s="326"/>
      <c r="E30" s="25"/>
      <c r="F30" s="25"/>
      <c r="G30" s="337">
        <v>1</v>
      </c>
      <c r="H30" s="25"/>
    </row>
    <row r="31" spans="1:11">
      <c r="A31" s="335"/>
      <c r="B31" s="335"/>
      <c r="C31" s="326" t="s">
        <v>1566</v>
      </c>
      <c r="D31" s="326" t="s">
        <v>29</v>
      </c>
      <c r="E31" s="25">
        <f>'Differ- Material'!C33</f>
        <v>36</v>
      </c>
      <c r="F31" s="25">
        <f>'Differ- Material'!D33</f>
        <v>375</v>
      </c>
      <c r="G31" s="338">
        <f>ROUND(E31*F31,0)</f>
        <v>13500</v>
      </c>
      <c r="H31" s="340"/>
    </row>
    <row r="32" spans="1:11">
      <c r="A32" s="335"/>
      <c r="B32" s="335"/>
      <c r="C32" s="326" t="s">
        <v>1567</v>
      </c>
      <c r="D32" s="326" t="s">
        <v>35</v>
      </c>
      <c r="E32" s="25">
        <f>'Differ- Material'!C34</f>
        <v>22.5</v>
      </c>
      <c r="F32" s="25">
        <f>'Differ- Material'!D34</f>
        <v>809</v>
      </c>
      <c r="G32" s="338">
        <f>ROUND(E32*F32,0)</f>
        <v>18203</v>
      </c>
      <c r="H32" s="340"/>
    </row>
    <row r="33" spans="1:11" hidden="1">
      <c r="A33" s="335"/>
      <c r="B33" s="335"/>
      <c r="C33" s="326"/>
      <c r="D33" s="326"/>
      <c r="E33" s="25"/>
      <c r="F33" s="25"/>
      <c r="G33" s="338"/>
      <c r="H33" s="340"/>
    </row>
    <row r="34" spans="1:11">
      <c r="A34" s="335"/>
      <c r="B34" s="335"/>
      <c r="C34" s="326"/>
      <c r="D34" s="326"/>
      <c r="E34" s="339"/>
      <c r="F34" s="25"/>
      <c r="G34" s="25">
        <f>SUM(G31:G33)</f>
        <v>31703</v>
      </c>
      <c r="H34" s="340">
        <f>SUM(G34)</f>
        <v>31703</v>
      </c>
    </row>
    <row r="35" spans="1:11">
      <c r="A35" s="335">
        <v>4</v>
      </c>
      <c r="B35" s="335">
        <v>34818</v>
      </c>
      <c r="C35" s="326" t="s">
        <v>971</v>
      </c>
      <c r="D35" s="326"/>
      <c r="E35" s="25"/>
      <c r="F35" s="25"/>
      <c r="G35" s="337">
        <v>1</v>
      </c>
      <c r="H35" s="25"/>
    </row>
    <row r="36" spans="1:11" s="366" customFormat="1" hidden="1">
      <c r="A36" s="452"/>
      <c r="B36" s="452"/>
      <c r="C36" s="326" t="s">
        <v>2219</v>
      </c>
      <c r="D36" s="326" t="s">
        <v>35</v>
      </c>
      <c r="E36" s="368">
        <f>'Differ- Material'!C21</f>
        <v>99.320000000000007</v>
      </c>
      <c r="F36" s="368">
        <f>'Differ- Material'!D21</f>
        <v>1249.7999999999988</v>
      </c>
      <c r="G36" s="450">
        <f t="shared" ref="G36:G39" si="2">ROUND(E36*F36,0)</f>
        <v>124130</v>
      </c>
      <c r="H36" s="368"/>
    </row>
    <row r="37" spans="1:11" s="366" customFormat="1" hidden="1">
      <c r="A37" s="452"/>
      <c r="B37" s="452"/>
      <c r="C37" s="326" t="s">
        <v>2220</v>
      </c>
      <c r="D37" s="326" t="s">
        <v>35</v>
      </c>
      <c r="E37" s="368">
        <f>'Differ- Material'!C22</f>
        <v>0</v>
      </c>
      <c r="F37" s="368">
        <f>'Differ- Material'!D22</f>
        <v>1316.600000000001</v>
      </c>
      <c r="G37" s="450">
        <f t="shared" si="2"/>
        <v>0</v>
      </c>
      <c r="H37" s="368"/>
    </row>
    <row r="38" spans="1:11" s="366" customFormat="1" hidden="1">
      <c r="A38" s="452"/>
      <c r="B38" s="452"/>
      <c r="C38" s="326" t="s">
        <v>2221</v>
      </c>
      <c r="D38" s="326" t="s">
        <v>35</v>
      </c>
      <c r="E38" s="368">
        <f>'Differ- Material'!C23</f>
        <v>0</v>
      </c>
      <c r="F38" s="368">
        <f>'Differ- Material'!D23</f>
        <v>1503.4000000000019</v>
      </c>
      <c r="G38" s="450">
        <f t="shared" si="2"/>
        <v>0</v>
      </c>
      <c r="H38" s="368"/>
    </row>
    <row r="39" spans="1:11" s="366" customFormat="1" hidden="1">
      <c r="A39" s="452"/>
      <c r="B39" s="452"/>
      <c r="C39" s="326" t="s">
        <v>2222</v>
      </c>
      <c r="D39" s="326" t="s">
        <v>35</v>
      </c>
      <c r="E39" s="368">
        <f>'Differ- Material'!C24</f>
        <v>0</v>
      </c>
      <c r="F39" s="368">
        <f>'Differ- Material'!D24</f>
        <v>1575.9999999999998</v>
      </c>
      <c r="G39" s="450">
        <f t="shared" si="2"/>
        <v>0</v>
      </c>
      <c r="H39" s="368"/>
    </row>
    <row r="40" spans="1:11" hidden="1">
      <c r="A40" s="335"/>
      <c r="B40" s="335"/>
      <c r="C40" s="326"/>
      <c r="D40" s="326"/>
      <c r="E40" s="338">
        <f>SUM(E36:E39)</f>
        <v>99.320000000000007</v>
      </c>
      <c r="F40" s="25"/>
      <c r="G40" s="338">
        <f>SUM(G36:G39)</f>
        <v>124130</v>
      </c>
      <c r="H40" s="340"/>
      <c r="J40" s="329"/>
      <c r="K40" s="329">
        <f>E40-J40</f>
        <v>99.320000000000007</v>
      </c>
    </row>
    <row r="41" spans="1:11" hidden="1">
      <c r="A41" s="335"/>
      <c r="B41" s="335"/>
      <c r="C41" s="326"/>
      <c r="D41" s="326"/>
      <c r="E41" s="25"/>
      <c r="F41" s="25"/>
      <c r="G41" s="338"/>
      <c r="H41" s="340"/>
      <c r="J41" s="329"/>
      <c r="K41" s="329"/>
    </row>
    <row r="42" spans="1:11">
      <c r="A42" s="335"/>
      <c r="B42" s="335"/>
      <c r="C42" s="326" t="s">
        <v>1466</v>
      </c>
      <c r="D42" s="326" t="s">
        <v>35</v>
      </c>
      <c r="E42" s="25">
        <f>'Differ- Material'!C27</f>
        <v>36.17</v>
      </c>
      <c r="F42" s="25">
        <f>'Differ- Material'!D27</f>
        <v>1915.93</v>
      </c>
      <c r="G42" s="338">
        <f>ROUND(E42*F42,0)</f>
        <v>69299</v>
      </c>
      <c r="H42" s="340"/>
    </row>
    <row r="43" spans="1:11">
      <c r="A43" s="335"/>
      <c r="B43" s="335"/>
      <c r="C43" s="326" t="s">
        <v>1466</v>
      </c>
      <c r="D43" s="326" t="s">
        <v>35</v>
      </c>
      <c r="E43" s="25">
        <f>'Differ- Material'!C28</f>
        <v>40.669999999999987</v>
      </c>
      <c r="F43" s="25">
        <f>'Differ- Material'!D28</f>
        <v>304.7</v>
      </c>
      <c r="G43" s="338">
        <f>ROUND(E43*F43,0)</f>
        <v>12392</v>
      </c>
      <c r="H43" s="340"/>
    </row>
    <row r="44" spans="1:11">
      <c r="A44" s="335"/>
      <c r="B44" s="335"/>
      <c r="C44" s="326"/>
      <c r="D44" s="326"/>
      <c r="E44" s="339"/>
      <c r="F44" s="25"/>
      <c r="G44" s="25">
        <f>SUM(G42:G43)</f>
        <v>81691</v>
      </c>
      <c r="H44" s="340">
        <f>SUM(G44)</f>
        <v>81691</v>
      </c>
    </row>
    <row r="45" spans="1:11">
      <c r="A45" s="335">
        <v>5</v>
      </c>
      <c r="B45" s="335">
        <v>34819</v>
      </c>
      <c r="C45" s="326" t="s">
        <v>972</v>
      </c>
      <c r="D45" s="326"/>
      <c r="E45" s="25"/>
      <c r="F45" s="25"/>
      <c r="G45" s="337">
        <v>1</v>
      </c>
      <c r="H45" s="25"/>
    </row>
    <row r="46" spans="1:11" s="366" customFormat="1" hidden="1">
      <c r="A46" s="452"/>
      <c r="B46" s="452"/>
      <c r="C46" s="326" t="s">
        <v>2219</v>
      </c>
      <c r="D46" s="326" t="s">
        <v>35</v>
      </c>
      <c r="E46" s="368">
        <f>'Differ- Material'!C39</f>
        <v>21.740000000000002</v>
      </c>
      <c r="F46" s="368">
        <f>'Differ- Material'!D39</f>
        <v>1464.7999999999988</v>
      </c>
      <c r="G46" s="450">
        <f t="shared" ref="G46:G49" si="3">ROUND(E46*F46,0)</f>
        <v>31845</v>
      </c>
      <c r="H46" s="368"/>
    </row>
    <row r="47" spans="1:11" s="366" customFormat="1" hidden="1">
      <c r="A47" s="452"/>
      <c r="B47" s="452"/>
      <c r="C47" s="326" t="s">
        <v>2220</v>
      </c>
      <c r="D47" s="326" t="s">
        <v>35</v>
      </c>
      <c r="E47" s="368">
        <f>'Differ- Material'!C40</f>
        <v>0</v>
      </c>
      <c r="F47" s="368">
        <f>'Differ- Material'!D40</f>
        <v>1546.600000000001</v>
      </c>
      <c r="G47" s="450">
        <f t="shared" si="3"/>
        <v>0</v>
      </c>
      <c r="H47" s="368"/>
    </row>
    <row r="48" spans="1:11" s="366" customFormat="1" hidden="1">
      <c r="A48" s="452"/>
      <c r="B48" s="452"/>
      <c r="C48" s="326" t="s">
        <v>2221</v>
      </c>
      <c r="D48" s="326" t="s">
        <v>35</v>
      </c>
      <c r="E48" s="368">
        <f>'Differ- Material'!C41</f>
        <v>0</v>
      </c>
      <c r="F48" s="368">
        <f>'Differ- Material'!D41</f>
        <v>1743.4000000000019</v>
      </c>
      <c r="G48" s="450">
        <f t="shared" si="3"/>
        <v>0</v>
      </c>
      <c r="H48" s="368"/>
    </row>
    <row r="49" spans="1:11" s="366" customFormat="1" hidden="1">
      <c r="A49" s="452"/>
      <c r="B49" s="452"/>
      <c r="C49" s="326" t="s">
        <v>2222</v>
      </c>
      <c r="D49" s="326" t="s">
        <v>35</v>
      </c>
      <c r="E49" s="368">
        <f>'Differ- Material'!C42</f>
        <v>0</v>
      </c>
      <c r="F49" s="368">
        <f>'Differ- Material'!D42</f>
        <v>1815.9999999999998</v>
      </c>
      <c r="G49" s="450">
        <f t="shared" si="3"/>
        <v>0</v>
      </c>
      <c r="H49" s="368"/>
    </row>
    <row r="50" spans="1:11" hidden="1">
      <c r="A50" s="335"/>
      <c r="B50" s="335"/>
      <c r="C50" s="326"/>
      <c r="D50" s="326"/>
      <c r="E50" s="338">
        <f>SUM(E46:E49)</f>
        <v>21.740000000000002</v>
      </c>
      <c r="F50" s="25"/>
      <c r="G50" s="338">
        <f>SUM(G46:G49)</f>
        <v>31845</v>
      </c>
      <c r="H50" s="340"/>
      <c r="J50" s="329"/>
      <c r="K50" s="329"/>
    </row>
    <row r="51" spans="1:11" hidden="1">
      <c r="A51" s="335"/>
      <c r="B51" s="335"/>
      <c r="C51" s="326"/>
      <c r="D51" s="326"/>
      <c r="E51" s="338"/>
      <c r="F51" s="25"/>
      <c r="G51" s="338"/>
      <c r="H51" s="340"/>
      <c r="J51" s="329"/>
      <c r="K51" s="329"/>
    </row>
    <row r="52" spans="1:11">
      <c r="A52" s="335"/>
      <c r="B52" s="335"/>
      <c r="C52" s="326" t="s">
        <v>1442</v>
      </c>
      <c r="D52" s="326" t="s">
        <v>35</v>
      </c>
      <c r="E52" s="25">
        <f>'Differ- Material'!C46</f>
        <v>21.72</v>
      </c>
      <c r="F52" s="25">
        <f>'Differ- Material'!D46</f>
        <v>2059.9299999999998</v>
      </c>
      <c r="G52" s="338">
        <f>ROUND(E52*F52,0)</f>
        <v>44742</v>
      </c>
      <c r="H52" s="340"/>
    </row>
    <row r="53" spans="1:11" hidden="1">
      <c r="A53" s="335"/>
      <c r="B53" s="335"/>
      <c r="C53" s="326" t="s">
        <v>1442</v>
      </c>
      <c r="D53" s="326" t="s">
        <v>35</v>
      </c>
      <c r="E53" s="25">
        <f>'Differ- Material'!C47</f>
        <v>0</v>
      </c>
      <c r="F53" s="25">
        <f>'Differ- Material'!D47</f>
        <v>304.7</v>
      </c>
      <c r="G53" s="338">
        <f>ROUND(E53*F53,0)</f>
        <v>0</v>
      </c>
      <c r="H53" s="340"/>
    </row>
    <row r="54" spans="1:11" s="348" customFormat="1">
      <c r="A54" s="349"/>
      <c r="B54" s="349"/>
      <c r="C54" s="350"/>
      <c r="D54" s="350"/>
      <c r="E54" s="339">
        <f>SUM(E52:E53)</f>
        <v>21.72</v>
      </c>
      <c r="F54" s="339"/>
      <c r="G54" s="339">
        <f>SUM(G52:G53)</f>
        <v>44742</v>
      </c>
      <c r="H54" s="340">
        <f>SUM(G54)</f>
        <v>44742</v>
      </c>
    </row>
    <row r="55" spans="1:11" hidden="1">
      <c r="A55" s="335"/>
      <c r="B55" s="335"/>
      <c r="C55" s="326"/>
      <c r="D55" s="326"/>
      <c r="E55" s="25"/>
      <c r="F55" s="25"/>
      <c r="G55" s="338"/>
      <c r="H55" s="25"/>
    </row>
    <row r="56" spans="1:11">
      <c r="A56" s="335">
        <v>6</v>
      </c>
      <c r="B56" s="335">
        <v>34832</v>
      </c>
      <c r="C56" s="326" t="s">
        <v>973</v>
      </c>
      <c r="D56" s="326"/>
      <c r="E56" s="25"/>
      <c r="F56" s="25"/>
      <c r="G56" s="337">
        <v>1</v>
      </c>
      <c r="H56" s="25"/>
    </row>
    <row r="57" spans="1:11" s="366" customFormat="1" hidden="1">
      <c r="A57" s="452"/>
      <c r="B57" s="452"/>
      <c r="C57" s="326" t="s">
        <v>2219</v>
      </c>
      <c r="D57" s="326" t="s">
        <v>35</v>
      </c>
      <c r="E57" s="368">
        <f>'Differ- Material'!C52</f>
        <v>29.45</v>
      </c>
      <c r="F57" s="368">
        <f>'Differ- Material'!D52</f>
        <v>1384.7999999999988</v>
      </c>
      <c r="G57" s="450">
        <f t="shared" ref="G57:G60" si="4">ROUND(E57*F57,0)</f>
        <v>40782</v>
      </c>
      <c r="H57" s="368"/>
    </row>
    <row r="58" spans="1:11" s="366" customFormat="1" hidden="1">
      <c r="A58" s="452"/>
      <c r="B58" s="452"/>
      <c r="C58" s="326" t="s">
        <v>2220</v>
      </c>
      <c r="D58" s="326" t="s">
        <v>35</v>
      </c>
      <c r="E58" s="368">
        <f>'Differ- Material'!C53</f>
        <v>0</v>
      </c>
      <c r="F58" s="368">
        <f>'Differ- Material'!D53</f>
        <v>1451.600000000001</v>
      </c>
      <c r="G58" s="450">
        <f t="shared" si="4"/>
        <v>0</v>
      </c>
      <c r="H58" s="368"/>
    </row>
    <row r="59" spans="1:11" s="366" customFormat="1" hidden="1">
      <c r="A59" s="452"/>
      <c r="B59" s="452"/>
      <c r="C59" s="326" t="s">
        <v>2221</v>
      </c>
      <c r="D59" s="326" t="s">
        <v>35</v>
      </c>
      <c r="E59" s="368">
        <f>'Differ- Material'!C54</f>
        <v>0</v>
      </c>
      <c r="F59" s="368">
        <f>'Differ- Material'!D54</f>
        <v>1648.4000000000019</v>
      </c>
      <c r="G59" s="450">
        <f t="shared" si="4"/>
        <v>0</v>
      </c>
      <c r="H59" s="368"/>
    </row>
    <row r="60" spans="1:11" s="366" customFormat="1" hidden="1">
      <c r="A60" s="452"/>
      <c r="B60" s="452"/>
      <c r="C60" s="326" t="s">
        <v>2222</v>
      </c>
      <c r="D60" s="326" t="s">
        <v>35</v>
      </c>
      <c r="E60" s="368">
        <f>'Differ- Material'!C55</f>
        <v>0</v>
      </c>
      <c r="F60" s="368">
        <f>'Differ- Material'!D55</f>
        <v>1720.9999999999998</v>
      </c>
      <c r="G60" s="450">
        <f t="shared" si="4"/>
        <v>0</v>
      </c>
      <c r="H60" s="368"/>
    </row>
    <row r="61" spans="1:11" hidden="1">
      <c r="A61" s="335"/>
      <c r="B61" s="335"/>
      <c r="C61" s="326"/>
      <c r="D61" s="326"/>
      <c r="E61" s="338">
        <f>SUM(E57:E60)</f>
        <v>29.45</v>
      </c>
      <c r="F61" s="25"/>
      <c r="G61" s="338">
        <f>SUM(G57:G60)</f>
        <v>40782</v>
      </c>
      <c r="H61" s="340"/>
      <c r="J61" s="329"/>
      <c r="K61" s="329"/>
    </row>
    <row r="62" spans="1:11" hidden="1">
      <c r="A62" s="335"/>
      <c r="B62" s="335"/>
      <c r="C62" s="326"/>
      <c r="D62" s="326"/>
      <c r="E62" s="338"/>
      <c r="F62" s="25"/>
      <c r="G62" s="338"/>
      <c r="H62" s="340"/>
      <c r="J62" s="329"/>
      <c r="K62" s="329"/>
    </row>
    <row r="63" spans="1:11">
      <c r="A63" s="335"/>
      <c r="B63" s="335"/>
      <c r="C63" s="326" t="s">
        <v>1442</v>
      </c>
      <c r="D63" s="326" t="s">
        <v>35</v>
      </c>
      <c r="E63" s="25">
        <f>'Differ- Material'!C59</f>
        <v>29.45</v>
      </c>
      <c r="F63" s="25">
        <f>'Differ- Material'!D59</f>
        <v>2059.9299999999998</v>
      </c>
      <c r="G63" s="338">
        <f>ROUND(E63*F63,0)</f>
        <v>60665</v>
      </c>
      <c r="H63" s="340"/>
    </row>
    <row r="64" spans="1:11" hidden="1">
      <c r="A64" s="335"/>
      <c r="B64" s="335"/>
      <c r="C64" s="326" t="s">
        <v>1442</v>
      </c>
      <c r="D64" s="326" t="s">
        <v>35</v>
      </c>
      <c r="E64" s="25">
        <f>'Differ- Material'!C60</f>
        <v>0</v>
      </c>
      <c r="F64" s="25">
        <f>'Differ- Material'!D60</f>
        <v>1720.9999999999998</v>
      </c>
      <c r="G64" s="338">
        <f>ROUND(E64*F64,0)</f>
        <v>0</v>
      </c>
      <c r="H64" s="340"/>
    </row>
    <row r="65" spans="1:11" s="348" customFormat="1">
      <c r="A65" s="349"/>
      <c r="B65" s="349"/>
      <c r="C65" s="350"/>
      <c r="D65" s="350"/>
      <c r="E65" s="339">
        <f>SUM(E63:E64)</f>
        <v>29.45</v>
      </c>
      <c r="F65" s="339"/>
      <c r="G65" s="339">
        <f>SUM(G63:G64)</f>
        <v>60665</v>
      </c>
      <c r="H65" s="340">
        <f>SUM(G65)</f>
        <v>60665</v>
      </c>
    </row>
    <row r="66" spans="1:11" hidden="1">
      <c r="A66" s="335"/>
      <c r="B66" s="335"/>
      <c r="C66" s="326"/>
      <c r="D66" s="326"/>
      <c r="E66" s="339"/>
      <c r="F66" s="25"/>
      <c r="G66" s="338"/>
      <c r="H66" s="25"/>
    </row>
    <row r="67" spans="1:11">
      <c r="A67" s="335">
        <v>7</v>
      </c>
      <c r="B67" s="335">
        <v>34822</v>
      </c>
      <c r="C67" s="326" t="s">
        <v>908</v>
      </c>
      <c r="D67" s="326"/>
      <c r="E67" s="25"/>
      <c r="F67" s="341"/>
      <c r="G67" s="337">
        <v>1</v>
      </c>
      <c r="H67" s="25"/>
    </row>
    <row r="68" spans="1:11" s="366" customFormat="1" hidden="1">
      <c r="A68" s="452"/>
      <c r="B68" s="452"/>
      <c r="C68" s="326" t="s">
        <v>2219</v>
      </c>
      <c r="D68" s="326" t="s">
        <v>35</v>
      </c>
      <c r="E68" s="368">
        <f>'Differ- Material'!C65</f>
        <v>39.090000000000003</v>
      </c>
      <c r="F68" s="368">
        <f>'Differ- Material'!D65</f>
        <v>1722.2999999999997</v>
      </c>
      <c r="G68" s="450">
        <f t="shared" ref="G68:G71" si="5">ROUND(E68*F68,0)</f>
        <v>67325</v>
      </c>
      <c r="H68" s="368"/>
    </row>
    <row r="69" spans="1:11" s="366" customFormat="1" hidden="1">
      <c r="A69" s="452"/>
      <c r="B69" s="452"/>
      <c r="C69" s="326" t="s">
        <v>2220</v>
      </c>
      <c r="D69" s="326" t="s">
        <v>35</v>
      </c>
      <c r="E69" s="368">
        <f>'Differ- Material'!C66</f>
        <v>0</v>
      </c>
      <c r="F69" s="368">
        <f>'Differ- Material'!D66</f>
        <v>1799.05</v>
      </c>
      <c r="G69" s="450">
        <f t="shared" si="5"/>
        <v>0</v>
      </c>
      <c r="H69" s="368"/>
    </row>
    <row r="70" spans="1:11" s="366" customFormat="1" hidden="1">
      <c r="A70" s="452"/>
      <c r="B70" s="452"/>
      <c r="C70" s="326" t="s">
        <v>2221</v>
      </c>
      <c r="D70" s="326" t="s">
        <v>35</v>
      </c>
      <c r="E70" s="368">
        <f>'Differ- Material'!C67</f>
        <v>0</v>
      </c>
      <c r="F70" s="368">
        <f>'Differ- Material'!D67</f>
        <v>1876.2299999999998</v>
      </c>
      <c r="G70" s="450">
        <f t="shared" si="5"/>
        <v>0</v>
      </c>
      <c r="H70" s="368"/>
    </row>
    <row r="71" spans="1:11" s="366" customFormat="1" hidden="1">
      <c r="A71" s="452"/>
      <c r="B71" s="452"/>
      <c r="C71" s="326" t="s">
        <v>2222</v>
      </c>
      <c r="D71" s="326" t="s">
        <v>35</v>
      </c>
      <c r="E71" s="368">
        <f>'Differ- Material'!C68</f>
        <v>0</v>
      </c>
      <c r="F71" s="368">
        <f>'Differ- Material'!D68</f>
        <v>2046.91</v>
      </c>
      <c r="G71" s="450">
        <f t="shared" si="5"/>
        <v>0</v>
      </c>
      <c r="H71" s="368"/>
    </row>
    <row r="72" spans="1:11" hidden="1">
      <c r="A72" s="335"/>
      <c r="B72" s="335"/>
      <c r="C72" s="326"/>
      <c r="D72" s="326"/>
      <c r="E72" s="338">
        <f>SUM(E68:E71)</f>
        <v>39.090000000000003</v>
      </c>
      <c r="F72" s="25"/>
      <c r="G72" s="338">
        <f>SUM(G68:G71)</f>
        <v>67325</v>
      </c>
      <c r="H72" s="340"/>
      <c r="J72" s="329"/>
      <c r="K72" s="329"/>
    </row>
    <row r="73" spans="1:11">
      <c r="A73" s="335"/>
      <c r="B73" s="335"/>
      <c r="C73" s="326" t="s">
        <v>1466</v>
      </c>
      <c r="D73" s="326" t="s">
        <v>35</v>
      </c>
      <c r="E73" s="25">
        <f>'Differ- Material'!C72</f>
        <v>39.090000000000003</v>
      </c>
      <c r="F73" s="25">
        <f>'Differ- Material'!D72</f>
        <v>1377.84</v>
      </c>
      <c r="G73" s="338">
        <f>ROUND(E73*F73,0)</f>
        <v>53860</v>
      </c>
      <c r="H73" s="340"/>
    </row>
    <row r="74" spans="1:11" hidden="1">
      <c r="A74" s="335"/>
      <c r="B74" s="335"/>
      <c r="C74" s="326" t="s">
        <v>1466</v>
      </c>
      <c r="D74" s="326" t="s">
        <v>35</v>
      </c>
      <c r="E74" s="25">
        <f>'Differ- Material'!C73</f>
        <v>0</v>
      </c>
      <c r="F74" s="25">
        <f>'Differ- Material'!D73</f>
        <v>2046.91</v>
      </c>
      <c r="G74" s="338">
        <f>ROUND(E74*F74,0)</f>
        <v>0</v>
      </c>
      <c r="H74" s="340"/>
    </row>
    <row r="75" spans="1:11" s="348" customFormat="1">
      <c r="A75" s="349"/>
      <c r="B75" s="349"/>
      <c r="C75" s="350"/>
      <c r="D75" s="350"/>
      <c r="E75" s="339">
        <f>SUM(E73:E74)</f>
        <v>39.090000000000003</v>
      </c>
      <c r="F75" s="339"/>
      <c r="G75" s="339">
        <f>SUM(G73:G74)</f>
        <v>53860</v>
      </c>
      <c r="H75" s="340">
        <f>SUM(G75)</f>
        <v>53860</v>
      </c>
    </row>
    <row r="76" spans="1:11" ht="25.5">
      <c r="A76" s="335">
        <v>8</v>
      </c>
      <c r="B76" s="335">
        <v>34824</v>
      </c>
      <c r="C76" s="326" t="s">
        <v>147</v>
      </c>
      <c r="D76" s="326"/>
      <c r="E76" s="25"/>
      <c r="F76" s="341"/>
      <c r="G76" s="337">
        <v>1</v>
      </c>
      <c r="H76" s="25"/>
    </row>
    <row r="77" spans="1:11" s="366" customFormat="1" hidden="1">
      <c r="A77" s="452"/>
      <c r="B77" s="452"/>
      <c r="C77" s="326" t="s">
        <v>2219</v>
      </c>
      <c r="D77" s="326" t="s">
        <v>35</v>
      </c>
      <c r="E77" s="368">
        <f>'Differ- Material'!C78</f>
        <v>19.829999999999998</v>
      </c>
      <c r="F77" s="368">
        <f>'Differ- Material'!D78</f>
        <v>1375.7999999999997</v>
      </c>
      <c r="G77" s="450">
        <f t="shared" ref="G77:G80" si="6">ROUND(E77*F77,0)</f>
        <v>27282</v>
      </c>
      <c r="H77" s="368"/>
    </row>
    <row r="78" spans="1:11" s="366" customFormat="1" hidden="1">
      <c r="A78" s="452"/>
      <c r="B78" s="452"/>
      <c r="C78" s="326" t="s">
        <v>2220</v>
      </c>
      <c r="D78" s="326" t="s">
        <v>35</v>
      </c>
      <c r="E78" s="368">
        <f>'Differ- Material'!C79</f>
        <v>0</v>
      </c>
      <c r="F78" s="368">
        <f>'Differ- Material'!D79</f>
        <v>1436.7999999999997</v>
      </c>
      <c r="G78" s="450">
        <f t="shared" si="6"/>
        <v>0</v>
      </c>
      <c r="H78" s="368"/>
    </row>
    <row r="79" spans="1:11" s="366" customFormat="1" hidden="1">
      <c r="A79" s="452"/>
      <c r="B79" s="452"/>
      <c r="C79" s="326" t="s">
        <v>2221</v>
      </c>
      <c r="D79" s="326" t="s">
        <v>35</v>
      </c>
      <c r="E79" s="368">
        <f>'Differ- Material'!C80</f>
        <v>0</v>
      </c>
      <c r="F79" s="368">
        <f>'Differ- Material'!D80</f>
        <v>1436.7999999999997</v>
      </c>
      <c r="G79" s="450">
        <f t="shared" si="6"/>
        <v>0</v>
      </c>
      <c r="H79" s="368"/>
    </row>
    <row r="80" spans="1:11" s="366" customFormat="1" hidden="1">
      <c r="A80" s="452"/>
      <c r="B80" s="452"/>
      <c r="C80" s="326" t="s">
        <v>2222</v>
      </c>
      <c r="D80" s="326" t="s">
        <v>35</v>
      </c>
      <c r="E80" s="368">
        <f>'Differ- Material'!C81</f>
        <v>0</v>
      </c>
      <c r="F80" s="368">
        <f>'Differ- Material'!D81</f>
        <v>1436.7999999999997</v>
      </c>
      <c r="G80" s="450">
        <f t="shared" si="6"/>
        <v>0</v>
      </c>
      <c r="H80" s="368"/>
    </row>
    <row r="81" spans="1:11" hidden="1">
      <c r="A81" s="335"/>
      <c r="B81" s="335"/>
      <c r="C81" s="326"/>
      <c r="D81" s="326"/>
      <c r="E81" s="338">
        <f>SUM(E77:E80)</f>
        <v>19.829999999999998</v>
      </c>
      <c r="F81" s="25"/>
      <c r="G81" s="338">
        <f>SUM(G77:G80)</f>
        <v>27282</v>
      </c>
      <c r="H81" s="340"/>
      <c r="J81" s="329"/>
      <c r="K81" s="329"/>
    </row>
    <row r="82" spans="1:11" hidden="1">
      <c r="A82" s="335"/>
      <c r="B82" s="335"/>
      <c r="C82" s="326"/>
      <c r="D82" s="326"/>
      <c r="E82" s="338"/>
      <c r="F82" s="25"/>
      <c r="G82" s="338"/>
      <c r="H82" s="340"/>
      <c r="J82" s="329"/>
      <c r="K82" s="329"/>
    </row>
    <row r="83" spans="1:11">
      <c r="A83" s="335"/>
      <c r="B83" s="335"/>
      <c r="C83" s="326" t="s">
        <v>1442</v>
      </c>
      <c r="D83" s="326" t="s">
        <v>35</v>
      </c>
      <c r="E83" s="25">
        <f>'Differ- Material'!C84</f>
        <v>19.829999999999998</v>
      </c>
      <c r="F83" s="25">
        <f>'Differ- Material'!D84</f>
        <v>1375.8</v>
      </c>
      <c r="G83" s="338">
        <f>ROUND(E83*F83,0)</f>
        <v>27282</v>
      </c>
      <c r="H83" s="340"/>
    </row>
    <row r="84" spans="1:11" hidden="1">
      <c r="A84" s="335"/>
      <c r="B84" s="335"/>
      <c r="C84" s="326" t="s">
        <v>1442</v>
      </c>
      <c r="D84" s="326" t="s">
        <v>35</v>
      </c>
      <c r="E84" s="25">
        <f>'Differ- Material'!C85</f>
        <v>0</v>
      </c>
      <c r="F84" s="25">
        <f>'Differ- Material'!D85</f>
        <v>1730.8</v>
      </c>
      <c r="G84" s="338">
        <f>ROUND(E84*F84,0)</f>
        <v>0</v>
      </c>
      <c r="H84" s="340"/>
    </row>
    <row r="85" spans="1:11" s="348" customFormat="1">
      <c r="A85" s="349"/>
      <c r="B85" s="349"/>
      <c r="C85" s="350"/>
      <c r="D85" s="350"/>
      <c r="E85" s="339">
        <f>SUM(E83:E84)</f>
        <v>19.829999999999998</v>
      </c>
      <c r="F85" s="339"/>
      <c r="G85" s="339">
        <f>SUM(G83:G84)</f>
        <v>27282</v>
      </c>
      <c r="H85" s="340">
        <f>SUM(G85)</f>
        <v>27282</v>
      </c>
    </row>
    <row r="86" spans="1:11">
      <c r="A86" s="335">
        <v>9</v>
      </c>
      <c r="B86" s="335">
        <v>35253</v>
      </c>
      <c r="C86" s="326" t="s">
        <v>252</v>
      </c>
      <c r="D86" s="342"/>
      <c r="E86" s="343"/>
      <c r="F86" s="25"/>
      <c r="G86" s="337">
        <v>1</v>
      </c>
      <c r="H86" s="25"/>
    </row>
    <row r="87" spans="1:11" s="366" customFormat="1" hidden="1">
      <c r="A87" s="452"/>
      <c r="B87" s="452"/>
      <c r="C87" s="326" t="s">
        <v>2391</v>
      </c>
      <c r="D87" s="342" t="s">
        <v>29</v>
      </c>
      <c r="E87" s="368">
        <f>'Differ- Material'!C93</f>
        <v>4.88</v>
      </c>
      <c r="F87" s="368">
        <f>'Differ- Material'!D93</f>
        <v>48970</v>
      </c>
      <c r="G87" s="338">
        <f>ROUND(E87*F87,0)</f>
        <v>238974</v>
      </c>
      <c r="H87" s="368"/>
    </row>
    <row r="88" spans="1:11" s="366" customFormat="1" hidden="1">
      <c r="A88" s="452"/>
      <c r="B88" s="452"/>
      <c r="C88" s="326" t="s">
        <v>2392</v>
      </c>
      <c r="D88" s="342" t="s">
        <v>29</v>
      </c>
      <c r="E88" s="368">
        <f>'Differ- Material'!C94</f>
        <v>0</v>
      </c>
      <c r="F88" s="368">
        <f>'Differ- Material'!D94</f>
        <v>48970</v>
      </c>
      <c r="G88" s="338">
        <f t="shared" ref="G88:G92" si="7">ROUND(E88*F88,0)</f>
        <v>0</v>
      </c>
      <c r="H88" s="368"/>
    </row>
    <row r="89" spans="1:11" s="366" customFormat="1" hidden="1">
      <c r="A89" s="452"/>
      <c r="B89" s="452"/>
      <c r="C89" s="326" t="s">
        <v>2393</v>
      </c>
      <c r="D89" s="342" t="s">
        <v>29</v>
      </c>
      <c r="E89" s="368">
        <f>'Differ- Material'!C95</f>
        <v>0</v>
      </c>
      <c r="F89" s="368">
        <f>'Differ- Material'!D95</f>
        <v>48970</v>
      </c>
      <c r="G89" s="338">
        <f t="shared" si="7"/>
        <v>0</v>
      </c>
      <c r="H89" s="368"/>
    </row>
    <row r="90" spans="1:11" s="366" customFormat="1" hidden="1">
      <c r="A90" s="452"/>
      <c r="B90" s="452"/>
      <c r="C90" s="326" t="s">
        <v>2394</v>
      </c>
      <c r="D90" s="342" t="s">
        <v>29</v>
      </c>
      <c r="E90" s="368">
        <f>'Differ- Material'!C97</f>
        <v>0</v>
      </c>
      <c r="F90" s="368">
        <f>'Differ- Material'!D97</f>
        <v>48380</v>
      </c>
      <c r="G90" s="338">
        <f t="shared" si="7"/>
        <v>0</v>
      </c>
      <c r="H90" s="368"/>
    </row>
    <row r="91" spans="1:11" s="366" customFormat="1" hidden="1">
      <c r="A91" s="452"/>
      <c r="B91" s="452"/>
      <c r="C91" s="326" t="s">
        <v>2401</v>
      </c>
      <c r="D91" s="342" t="s">
        <v>29</v>
      </c>
      <c r="E91" s="368">
        <f>'Differ- Material'!C98</f>
        <v>0</v>
      </c>
      <c r="F91" s="368">
        <f>'Differ- Material'!D98</f>
        <v>48380</v>
      </c>
      <c r="G91" s="338">
        <f t="shared" si="7"/>
        <v>0</v>
      </c>
      <c r="H91" s="368"/>
    </row>
    <row r="92" spans="1:11" s="366" customFormat="1" hidden="1">
      <c r="A92" s="452"/>
      <c r="B92" s="452"/>
      <c r="C92" s="326" t="s">
        <v>2402</v>
      </c>
      <c r="D92" s="342" t="s">
        <v>29</v>
      </c>
      <c r="E92" s="368">
        <f>'Differ- Material'!C99</f>
        <v>0</v>
      </c>
      <c r="F92" s="368">
        <f>'Differ- Material'!D99</f>
        <v>48380</v>
      </c>
      <c r="G92" s="338">
        <f t="shared" si="7"/>
        <v>0</v>
      </c>
      <c r="H92" s="368"/>
    </row>
    <row r="93" spans="1:11" s="366" customFormat="1" hidden="1">
      <c r="A93" s="452"/>
      <c r="B93" s="452"/>
      <c r="C93" s="326" t="s">
        <v>2397</v>
      </c>
      <c r="D93" s="342" t="s">
        <v>29</v>
      </c>
      <c r="E93" s="368">
        <f>'Differ- Material'!C101</f>
        <v>0</v>
      </c>
      <c r="F93" s="368">
        <f>'Differ- Material'!D101</f>
        <v>64310</v>
      </c>
      <c r="G93" s="338">
        <f t="shared" ref="G93:G95" si="8">ROUND(E93*F93,0)</f>
        <v>0</v>
      </c>
      <c r="H93" s="368"/>
    </row>
    <row r="94" spans="1:11" s="366" customFormat="1" hidden="1">
      <c r="A94" s="452"/>
      <c r="B94" s="452"/>
      <c r="C94" s="326" t="s">
        <v>2395</v>
      </c>
      <c r="D94" s="342" t="s">
        <v>29</v>
      </c>
      <c r="E94" s="368">
        <f>'Differ- Material'!C102</f>
        <v>0</v>
      </c>
      <c r="F94" s="368">
        <f>'Differ- Material'!D102</f>
        <v>64310</v>
      </c>
      <c r="G94" s="338">
        <f t="shared" si="8"/>
        <v>0</v>
      </c>
      <c r="H94" s="368"/>
    </row>
    <row r="95" spans="1:11" s="366" customFormat="1" hidden="1">
      <c r="A95" s="452"/>
      <c r="B95" s="452"/>
      <c r="C95" s="326" t="s">
        <v>2398</v>
      </c>
      <c r="D95" s="342" t="s">
        <v>29</v>
      </c>
      <c r="E95" s="368">
        <f>'Differ- Material'!C103</f>
        <v>0</v>
      </c>
      <c r="F95" s="368">
        <f>'Differ- Material'!D103</f>
        <v>64310</v>
      </c>
      <c r="G95" s="338">
        <f t="shared" si="8"/>
        <v>0</v>
      </c>
      <c r="H95" s="368"/>
    </row>
    <row r="96" spans="1:11" s="366" customFormat="1" hidden="1">
      <c r="A96" s="452"/>
      <c r="B96" s="452"/>
      <c r="C96" s="326" t="s">
        <v>2399</v>
      </c>
      <c r="D96" s="342" t="s">
        <v>29</v>
      </c>
      <c r="E96" s="368">
        <f>'Differ- Material'!C105</f>
        <v>0</v>
      </c>
      <c r="F96" s="368">
        <f>'Differ- Material'!D105</f>
        <v>75520</v>
      </c>
      <c r="G96" s="338">
        <f t="shared" ref="G96:G98" si="9">ROUND(E96*F96,0)</f>
        <v>0</v>
      </c>
      <c r="H96" s="368"/>
    </row>
    <row r="97" spans="1:12" s="366" customFormat="1" hidden="1">
      <c r="A97" s="452"/>
      <c r="B97" s="452"/>
      <c r="C97" s="326" t="s">
        <v>2400</v>
      </c>
      <c r="D97" s="342" t="s">
        <v>29</v>
      </c>
      <c r="E97" s="368">
        <f>'Differ- Material'!C106</f>
        <v>0</v>
      </c>
      <c r="F97" s="368">
        <f>'Differ- Material'!D106</f>
        <v>75520</v>
      </c>
      <c r="G97" s="338">
        <f t="shared" si="9"/>
        <v>0</v>
      </c>
      <c r="H97" s="368"/>
    </row>
    <row r="98" spans="1:12" s="366" customFormat="1" hidden="1">
      <c r="A98" s="452"/>
      <c r="B98" s="452"/>
      <c r="C98" s="326" t="s">
        <v>2396</v>
      </c>
      <c r="D98" s="342" t="s">
        <v>29</v>
      </c>
      <c r="E98" s="368">
        <f>'Differ- Material'!C107</f>
        <v>0</v>
      </c>
      <c r="F98" s="368">
        <f>'Differ- Material'!D107</f>
        <v>75520</v>
      </c>
      <c r="G98" s="338">
        <f t="shared" si="9"/>
        <v>0</v>
      </c>
      <c r="H98" s="368"/>
    </row>
    <row r="99" spans="1:12" hidden="1">
      <c r="A99" s="335"/>
      <c r="B99" s="335"/>
      <c r="C99" s="39"/>
      <c r="D99" s="342"/>
      <c r="E99" s="339">
        <f>SUM(E87:E98)</f>
        <v>4.88</v>
      </c>
      <c r="F99" s="25"/>
      <c r="G99" s="339">
        <f>SUM(G87:G98)</f>
        <v>238974</v>
      </c>
      <c r="H99" s="340"/>
    </row>
    <row r="100" spans="1:12" hidden="1">
      <c r="A100" s="335"/>
      <c r="B100" s="335"/>
      <c r="C100" s="39"/>
      <c r="D100" s="342"/>
      <c r="E100" s="339"/>
      <c r="F100" s="25"/>
      <c r="G100" s="25"/>
      <c r="H100" s="340"/>
    </row>
    <row r="101" spans="1:12">
      <c r="A101" s="335"/>
      <c r="B101" s="335"/>
      <c r="C101" s="326" t="s">
        <v>1442</v>
      </c>
      <c r="D101" s="326" t="s">
        <v>29</v>
      </c>
      <c r="E101" s="345">
        <f>'Differ- Material'!C111</f>
        <v>2.2799999999999998</v>
      </c>
      <c r="F101" s="25">
        <f>'Differ- Material'!D111</f>
        <v>48970</v>
      </c>
      <c r="G101" s="338">
        <f>ROUND(E101*F101,0)</f>
        <v>111652</v>
      </c>
      <c r="H101" s="340"/>
    </row>
    <row r="102" spans="1:12">
      <c r="A102" s="335"/>
      <c r="B102" s="335"/>
      <c r="C102" s="326"/>
      <c r="D102" s="326" t="s">
        <v>29</v>
      </c>
      <c r="E102" s="345">
        <f>'Differ- Material'!C112</f>
        <v>2.08</v>
      </c>
      <c r="F102" s="25">
        <f>'Differ- Material'!D112</f>
        <v>48380</v>
      </c>
      <c r="G102" s="338">
        <f t="shared" ref="G102:G106" si="10">ROUND(E102*F102,0)</f>
        <v>100630</v>
      </c>
      <c r="H102" s="340"/>
    </row>
    <row r="103" spans="1:12">
      <c r="A103" s="335"/>
      <c r="B103" s="335"/>
      <c r="C103" s="326"/>
      <c r="D103" s="326" t="s">
        <v>29</v>
      </c>
      <c r="E103" s="343">
        <f>'Differ- Material'!C113</f>
        <v>0.3</v>
      </c>
      <c r="F103" s="25">
        <f>'Differ- Material'!D113</f>
        <v>62540</v>
      </c>
      <c r="G103" s="338">
        <f t="shared" si="10"/>
        <v>18762</v>
      </c>
      <c r="H103" s="340"/>
    </row>
    <row r="104" spans="1:12">
      <c r="A104" s="335"/>
      <c r="B104" s="335"/>
      <c r="C104" s="326"/>
      <c r="D104" s="326" t="s">
        <v>29</v>
      </c>
      <c r="E104" s="343">
        <f>'Differ- Material'!C114</f>
        <v>0.22</v>
      </c>
      <c r="F104" s="25">
        <f>'Differ- Material'!D114</f>
        <v>71980</v>
      </c>
      <c r="G104" s="338">
        <f t="shared" si="10"/>
        <v>15836</v>
      </c>
      <c r="H104" s="340"/>
    </row>
    <row r="105" spans="1:12" hidden="1">
      <c r="A105" s="335"/>
      <c r="B105" s="335"/>
      <c r="C105" s="326"/>
      <c r="D105" s="326" t="s">
        <v>29</v>
      </c>
      <c r="E105" s="343">
        <f>'Differ- Material'!C115</f>
        <v>0</v>
      </c>
      <c r="F105" s="25">
        <f>'Differ- Material'!D115</f>
        <v>75520</v>
      </c>
      <c r="G105" s="338">
        <f t="shared" si="10"/>
        <v>0</v>
      </c>
      <c r="H105" s="340"/>
    </row>
    <row r="106" spans="1:12" hidden="1">
      <c r="A106" s="335"/>
      <c r="B106" s="335"/>
      <c r="C106" s="326"/>
      <c r="D106" s="326" t="s">
        <v>29</v>
      </c>
      <c r="E106" s="343">
        <f>'Differ- Material'!C116</f>
        <v>0</v>
      </c>
      <c r="F106" s="25">
        <f>'Differ- Material'!D116</f>
        <v>35000</v>
      </c>
      <c r="G106" s="338">
        <f t="shared" si="10"/>
        <v>0</v>
      </c>
      <c r="H106" s="340"/>
    </row>
    <row r="107" spans="1:12">
      <c r="A107" s="335"/>
      <c r="B107" s="335"/>
      <c r="C107" s="326"/>
      <c r="D107" s="326"/>
      <c r="E107" s="345">
        <f>SUM(E101:E106)</f>
        <v>4.879999999999999</v>
      </c>
      <c r="F107" s="25"/>
      <c r="G107" s="25">
        <f>SUM(G101:G106)</f>
        <v>246880</v>
      </c>
      <c r="H107" s="340">
        <f>SUM(G107)</f>
        <v>246880</v>
      </c>
    </row>
    <row r="108" spans="1:12" s="366" customFormat="1" ht="51">
      <c r="A108" s="452">
        <v>10</v>
      </c>
      <c r="B108" s="452"/>
      <c r="C108" s="326" t="s">
        <v>245</v>
      </c>
      <c r="D108" s="367"/>
      <c r="E108" s="368"/>
      <c r="F108" s="368"/>
      <c r="G108" s="450">
        <f>J108-H107-H85-H75-H65-H54-H44-H29-H18-H34</f>
        <v>1461312</v>
      </c>
      <c r="H108" s="340">
        <f>SUM(G108)</f>
        <v>1461312</v>
      </c>
      <c r="J108" s="451">
        <f>WORK!M4019</f>
        <v>2146251</v>
      </c>
    </row>
    <row r="109" spans="1:12" s="366" customFormat="1" hidden="1">
      <c r="A109" s="452">
        <v>10</v>
      </c>
      <c r="B109" s="452"/>
      <c r="C109" s="326" t="s">
        <v>2545</v>
      </c>
      <c r="D109" s="367"/>
      <c r="E109" s="368"/>
      <c r="F109" s="368"/>
      <c r="G109" s="450"/>
      <c r="H109" s="340">
        <f>SUM(G109)</f>
        <v>0</v>
      </c>
      <c r="J109" s="451"/>
    </row>
    <row r="110" spans="1:12" s="366" customFormat="1" hidden="1">
      <c r="A110" s="452">
        <v>10</v>
      </c>
      <c r="B110" s="452"/>
      <c r="C110" s="326" t="s">
        <v>2544</v>
      </c>
      <c r="D110" s="367"/>
      <c r="E110" s="368"/>
      <c r="F110" s="368"/>
      <c r="G110" s="450"/>
      <c r="H110" s="340">
        <f>SUM(G110)</f>
        <v>0</v>
      </c>
      <c r="J110" s="451"/>
    </row>
    <row r="111" spans="1:12" s="366" customFormat="1">
      <c r="A111" s="452"/>
      <c r="B111" s="452"/>
      <c r="C111" s="326"/>
      <c r="D111" s="367"/>
      <c r="E111" s="368"/>
      <c r="F111" s="368"/>
      <c r="G111" s="450"/>
      <c r="H111" s="340"/>
      <c r="J111" s="451"/>
    </row>
    <row r="112" spans="1:12">
      <c r="A112" s="335"/>
      <c r="B112" s="335"/>
      <c r="C112" s="326"/>
      <c r="D112" s="342"/>
      <c r="E112" s="345"/>
      <c r="F112" s="25"/>
      <c r="G112" s="25"/>
      <c r="H112" s="339">
        <f>SUM(H5:H111)</f>
        <v>2146251</v>
      </c>
      <c r="J112" s="329"/>
      <c r="K112" s="329"/>
      <c r="L112" s="451"/>
    </row>
    <row r="113" spans="1:10">
      <c r="A113" s="335">
        <v>11</v>
      </c>
      <c r="B113" s="335">
        <v>34826</v>
      </c>
      <c r="C113" s="326" t="s">
        <v>246</v>
      </c>
      <c r="D113" s="326" t="s">
        <v>104</v>
      </c>
      <c r="E113" s="344"/>
      <c r="F113" s="25"/>
      <c r="G113" s="338"/>
      <c r="H113" s="338">
        <f>WORK!M4020</f>
        <v>10680</v>
      </c>
    </row>
    <row r="114" spans="1:10">
      <c r="A114" s="335">
        <v>12</v>
      </c>
      <c r="B114" s="335">
        <v>34827</v>
      </c>
      <c r="C114" s="326" t="s">
        <v>247</v>
      </c>
      <c r="D114" s="326" t="s">
        <v>104</v>
      </c>
      <c r="E114" s="344"/>
      <c r="F114" s="25"/>
      <c r="G114" s="338"/>
      <c r="H114" s="338">
        <f>WORK!M4021</f>
        <v>22792</v>
      </c>
    </row>
    <row r="115" spans="1:10" ht="25.5" hidden="1">
      <c r="A115" s="335">
        <v>13</v>
      </c>
      <c r="B115" s="335">
        <v>34828</v>
      </c>
      <c r="C115" s="326" t="s">
        <v>248</v>
      </c>
      <c r="D115" s="342" t="s">
        <v>104</v>
      </c>
      <c r="E115" s="344">
        <v>0</v>
      </c>
      <c r="F115" s="25">
        <v>0</v>
      </c>
      <c r="G115" s="25"/>
      <c r="H115" s="338">
        <v>0</v>
      </c>
    </row>
    <row r="116" spans="1:10" ht="25.5" hidden="1">
      <c r="A116" s="335">
        <v>14</v>
      </c>
      <c r="B116" s="335">
        <v>34461</v>
      </c>
      <c r="C116" s="326" t="s">
        <v>251</v>
      </c>
      <c r="D116" s="326" t="s">
        <v>146</v>
      </c>
      <c r="E116" s="346">
        <v>1</v>
      </c>
      <c r="F116" s="25">
        <f>abstract!G17</f>
        <v>0</v>
      </c>
      <c r="G116" s="25"/>
      <c r="H116" s="25">
        <f>ROUND(E116*F116,0)</f>
        <v>0</v>
      </c>
    </row>
    <row r="117" spans="1:10">
      <c r="A117" s="335">
        <v>15</v>
      </c>
      <c r="B117" s="335">
        <v>35270</v>
      </c>
      <c r="C117" s="326" t="s">
        <v>249</v>
      </c>
      <c r="D117" s="342" t="s">
        <v>104</v>
      </c>
      <c r="E117" s="344">
        <v>0</v>
      </c>
      <c r="F117" s="25">
        <v>0</v>
      </c>
      <c r="G117" s="25"/>
      <c r="H117" s="338">
        <f>WORK!M4023</f>
        <v>0</v>
      </c>
    </row>
    <row r="118" spans="1:10">
      <c r="A118" s="335">
        <v>16</v>
      </c>
      <c r="B118" s="335">
        <v>34829</v>
      </c>
      <c r="C118" s="326" t="s">
        <v>250</v>
      </c>
      <c r="D118" s="326" t="s">
        <v>104</v>
      </c>
      <c r="E118" s="344"/>
      <c r="F118" s="25"/>
      <c r="G118" s="334"/>
      <c r="H118" s="25">
        <f>WORK!M4024</f>
        <v>277</v>
      </c>
      <c r="I118" s="347"/>
      <c r="J118" s="348"/>
    </row>
    <row r="119" spans="1:10">
      <c r="A119" s="1814" t="s">
        <v>153</v>
      </c>
      <c r="B119" s="1814"/>
      <c r="C119" s="1814"/>
      <c r="D119" s="1814"/>
      <c r="E119" s="442"/>
      <c r="F119" s="443"/>
      <c r="G119" s="339"/>
      <c r="H119" s="339">
        <f>SUM(H112:H118)</f>
        <v>2180000</v>
      </c>
      <c r="I119" s="347"/>
      <c r="J119" s="348"/>
    </row>
    <row r="120" spans="1:10">
      <c r="C120" s="41" t="s">
        <v>155</v>
      </c>
      <c r="D120" s="329"/>
    </row>
    <row r="125" spans="1:10">
      <c r="C125" s="55" t="str">
        <f>'lead 19-20'!$H$31</f>
        <v>Deputy Executive Engineer</v>
      </c>
      <c r="D125" s="348"/>
      <c r="E125" s="333"/>
      <c r="G125" s="226" t="str">
        <f>'lead 19-20'!$K$31</f>
        <v>Assistant  Engineer</v>
      </c>
      <c r="H125" s="351"/>
    </row>
    <row r="126" spans="1:10">
      <c r="C126" s="55" t="str">
        <f>'lead 19-20'!$H$32</f>
        <v>PRI Sub Division</v>
      </c>
      <c r="D126" s="348"/>
      <c r="E126" s="333"/>
      <c r="G126" s="226" t="str">
        <f>'lead 19-20'!$K$32</f>
        <v>Mandal Praja parishad</v>
      </c>
      <c r="H126" s="351"/>
    </row>
    <row r="127" spans="1:10" ht="15" customHeight="1">
      <c r="C127" s="55" t="str">
        <f>'lead 19-20'!$H$33</f>
        <v>Kanigiri</v>
      </c>
      <c r="G127" s="226" t="str">
        <f>'lead 19-20'!$K$33</f>
        <v>Kanigiri</v>
      </c>
    </row>
    <row r="128" spans="1:10" ht="12.75" customHeight="1">
      <c r="C128" s="332"/>
      <c r="D128" s="348"/>
      <c r="E128" s="333"/>
      <c r="F128" s="352"/>
      <c r="G128" s="351"/>
      <c r="H128" s="351"/>
    </row>
    <row r="129" spans="3:8" ht="12.75" customHeight="1">
      <c r="C129" s="332"/>
      <c r="D129" s="348"/>
      <c r="E129" s="333"/>
      <c r="F129" s="352"/>
      <c r="G129" s="351"/>
      <c r="H129" s="351"/>
    </row>
    <row r="130" spans="3:8" ht="7.5" customHeight="1"/>
  </sheetData>
  <autoFilter ref="A4:H110">
    <filterColumn colId="6">
      <customFilters>
        <customFilter operator="notEqual" val=" "/>
      </customFilters>
    </filterColumn>
  </autoFilter>
  <mergeCells count="3">
    <mergeCell ref="A1:H1"/>
    <mergeCell ref="A2:H2"/>
    <mergeCell ref="A119:D119"/>
  </mergeCells>
  <pageMargins left="0.7" right="0.22" top="0.52" bottom="0.25" header="0.16" footer="0.16"/>
  <pageSetup paperSize="9" orientation="portrait" r:id="rId1"/>
</worksheet>
</file>

<file path=xl/worksheets/sheet7.xml><?xml version="1.0" encoding="utf-8"?>
<worksheet xmlns="http://schemas.openxmlformats.org/spreadsheetml/2006/main" xmlns:r="http://schemas.openxmlformats.org/officeDocument/2006/relationships">
  <sheetPr filterMode="1">
    <tabColor rgb="FF00B050"/>
  </sheetPr>
  <dimension ref="A1:I27"/>
  <sheetViews>
    <sheetView showZeros="0" defaultGridColor="0" view="pageBreakPreview" topLeftCell="A14" colorId="22" zoomScale="115" zoomScaleNormal="115" zoomScaleSheetLayoutView="115" workbookViewId="0">
      <selection activeCell="E16" sqref="E16"/>
    </sheetView>
  </sheetViews>
  <sheetFormatPr defaultColWidth="9.140625" defaultRowHeight="12.75"/>
  <cols>
    <col min="1" max="1" width="3.5703125" style="58" customWidth="1"/>
    <col min="2" max="2" width="33.7109375" style="58" customWidth="1"/>
    <col min="3" max="3" width="8.7109375" style="601" customWidth="1"/>
    <col min="4" max="4" width="5.28515625" style="601" customWidth="1"/>
    <col min="5" max="5" width="9.7109375" style="12" customWidth="1"/>
    <col min="6" max="6" width="8.85546875" style="602" customWidth="1"/>
    <col min="7" max="7" width="10.85546875" style="601" customWidth="1"/>
    <col min="8" max="9" width="10.42578125" style="58" bestFit="1" customWidth="1"/>
    <col min="10" max="16384" width="9.140625" style="58"/>
  </cols>
  <sheetData>
    <row r="1" spans="1:9" ht="26.25" customHeight="1">
      <c r="A1" s="1820" t="s">
        <v>3351</v>
      </c>
      <c r="B1" s="1820"/>
      <c r="C1" s="1820"/>
      <c r="D1" s="1820"/>
      <c r="E1" s="1820"/>
      <c r="F1" s="1820"/>
      <c r="G1" s="1820"/>
    </row>
    <row r="2" spans="1:9" ht="42" customHeight="1">
      <c r="A2" s="1821" t="s">
        <v>896</v>
      </c>
      <c r="B2" s="1821"/>
      <c r="C2" s="1822" t="str">
        <f>'lead 19-20'!C2:L2</f>
        <v>Providing Additional Space for Agriculture Staff in  Baduguleru GP of Kanigiri Mandal</v>
      </c>
      <c r="D2" s="1822"/>
      <c r="E2" s="1822"/>
      <c r="F2" s="1822"/>
      <c r="G2" s="1822"/>
    </row>
    <row r="3" spans="1:9" ht="19.5" hidden="1" customHeight="1">
      <c r="A3" s="1821" t="s">
        <v>897</v>
      </c>
      <c r="B3" s="1821"/>
      <c r="C3" s="1822"/>
      <c r="D3" s="1822"/>
      <c r="E3" s="1822"/>
      <c r="F3" s="1822"/>
      <c r="G3" s="1822"/>
    </row>
    <row r="4" spans="1:9" ht="15" customHeight="1">
      <c r="A4" s="525"/>
      <c r="B4" s="941"/>
      <c r="C4" s="1818" t="s">
        <v>452</v>
      </c>
      <c r="D4" s="1818"/>
      <c r="E4" s="1818"/>
      <c r="F4" s="1819" t="str">
        <f>'lead 19-20'!K4</f>
        <v>21.80 Lakhs</v>
      </c>
      <c r="G4" s="1819"/>
    </row>
    <row r="5" spans="1:9" s="527" customFormat="1" ht="12.75" customHeight="1">
      <c r="A5" s="1824" t="s">
        <v>271</v>
      </c>
      <c r="B5" s="1824" t="s">
        <v>272</v>
      </c>
      <c r="C5" s="1824" t="s">
        <v>6</v>
      </c>
      <c r="D5" s="1824"/>
      <c r="E5" s="1824" t="s">
        <v>8</v>
      </c>
      <c r="F5" s="1823" t="s">
        <v>9</v>
      </c>
      <c r="G5" s="1824" t="s">
        <v>10</v>
      </c>
    </row>
    <row r="6" spans="1:9" s="527" customFormat="1" ht="21.75" customHeight="1">
      <c r="A6" s="1824"/>
      <c r="B6" s="1824"/>
      <c r="C6" s="1824"/>
      <c r="D6" s="1824"/>
      <c r="E6" s="1824"/>
      <c r="F6" s="1823"/>
      <c r="G6" s="1824"/>
    </row>
    <row r="7" spans="1:9" s="527" customFormat="1" ht="15.75">
      <c r="A7" s="939">
        <v>1</v>
      </c>
      <c r="B7" s="939">
        <v>2</v>
      </c>
      <c r="C7" s="529">
        <v>7</v>
      </c>
      <c r="D7" s="530"/>
      <c r="E7" s="939">
        <v>8</v>
      </c>
      <c r="F7" s="938">
        <v>9</v>
      </c>
      <c r="G7" s="939">
        <v>10</v>
      </c>
    </row>
    <row r="8" spans="1:9" ht="18" customHeight="1">
      <c r="A8" s="16">
        <v>1</v>
      </c>
      <c r="B8" s="700" t="s">
        <v>470</v>
      </c>
      <c r="C8" s="537"/>
      <c r="D8" s="538"/>
      <c r="E8" s="16"/>
      <c r="F8" s="208"/>
      <c r="G8" s="9"/>
      <c r="H8" s="536"/>
    </row>
    <row r="9" spans="1:9" ht="18" customHeight="1">
      <c r="A9" s="16">
        <v>2</v>
      </c>
      <c r="B9" s="700" t="s">
        <v>2574</v>
      </c>
      <c r="C9" s="537"/>
      <c r="D9" s="538"/>
      <c r="E9" s="16"/>
      <c r="F9" s="208"/>
      <c r="G9" s="9">
        <f>FF!M1544</f>
        <v>0</v>
      </c>
      <c r="H9" s="536"/>
    </row>
    <row r="10" spans="1:9" ht="18" customHeight="1">
      <c r="A10" s="16">
        <v>3</v>
      </c>
      <c r="B10" s="700" t="s">
        <v>2575</v>
      </c>
      <c r="C10" s="537"/>
      <c r="D10" s="538"/>
      <c r="E10" s="16"/>
      <c r="F10" s="208"/>
      <c r="G10" s="9">
        <f>SF!M963</f>
        <v>0</v>
      </c>
      <c r="H10" s="536"/>
    </row>
    <row r="11" spans="1:9" ht="29.25" customHeight="1">
      <c r="A11" s="16">
        <v>4</v>
      </c>
      <c r="B11" s="700" t="s">
        <v>3243</v>
      </c>
      <c r="C11" s="537"/>
      <c r="D11" s="538"/>
      <c r="E11" s="16"/>
      <c r="F11" s="208"/>
      <c r="G11" s="9"/>
      <c r="H11" s="536"/>
    </row>
    <row r="12" spans="1:9" ht="18.75" hidden="1" customHeight="1">
      <c r="A12" s="16">
        <v>5</v>
      </c>
      <c r="B12" s="700" t="s">
        <v>2775</v>
      </c>
      <c r="C12" s="537"/>
      <c r="D12" s="538"/>
      <c r="E12" s="16"/>
      <c r="F12" s="208"/>
      <c r="G12" s="9">
        <f>'3.60 lakhs'!M1465</f>
        <v>0</v>
      </c>
      <c r="H12" s="536"/>
    </row>
    <row r="13" spans="1:9" hidden="1">
      <c r="A13" s="16"/>
      <c r="B13" s="39"/>
      <c r="C13" s="592"/>
      <c r="D13" s="553"/>
      <c r="E13" s="10"/>
      <c r="F13" s="208"/>
      <c r="G13" s="9"/>
    </row>
    <row r="14" spans="1:9">
      <c r="A14" s="16"/>
      <c r="B14" s="700"/>
      <c r="C14" s="552"/>
      <c r="D14" s="595"/>
      <c r="E14" s="10"/>
      <c r="F14" s="208"/>
      <c r="G14" s="596">
        <f>SUM(G8:G13)</f>
        <v>0</v>
      </c>
      <c r="H14" s="597"/>
      <c r="I14" s="597"/>
    </row>
    <row r="15" spans="1:9" s="871" customFormat="1" ht="20.25" customHeight="1">
      <c r="A15" s="868">
        <v>5</v>
      </c>
      <c r="B15" s="940" t="s">
        <v>2436</v>
      </c>
      <c r="C15" s="873"/>
      <c r="D15" s="870"/>
      <c r="E15" s="912">
        <f>G14-INPUT!H18</f>
        <v>-10217</v>
      </c>
      <c r="F15" s="868"/>
    </row>
    <row r="16" spans="1:9" s="871" customFormat="1" ht="20.25" customHeight="1">
      <c r="A16" s="868">
        <v>6</v>
      </c>
      <c r="B16" s="940" t="s">
        <v>444</v>
      </c>
      <c r="C16" s="873"/>
      <c r="D16" s="870"/>
      <c r="E16" s="868"/>
      <c r="F16" s="868"/>
    </row>
    <row r="17" spans="1:8" s="871" customFormat="1" ht="20.25" hidden="1" customHeight="1">
      <c r="A17" s="942">
        <v>8</v>
      </c>
      <c r="B17" s="1815" t="s">
        <v>3072</v>
      </c>
      <c r="C17" s="1816"/>
      <c r="D17" s="1816"/>
      <c r="E17" s="1817"/>
      <c r="F17" s="942"/>
      <c r="G17" s="943">
        <v>0</v>
      </c>
    </row>
    <row r="18" spans="1:8" s="871" customFormat="1" ht="20.25" customHeight="1">
      <c r="A18" s="868">
        <v>7</v>
      </c>
      <c r="B18" s="940" t="s">
        <v>249</v>
      </c>
      <c r="C18" s="873"/>
      <c r="D18" s="870"/>
      <c r="E18" s="868"/>
      <c r="F18" s="868"/>
    </row>
    <row r="19" spans="1:8" s="871" customFormat="1" ht="20.25" customHeight="1">
      <c r="A19" s="868">
        <v>8</v>
      </c>
      <c r="B19" s="940" t="s">
        <v>292</v>
      </c>
      <c r="C19" s="873"/>
      <c r="D19" s="870"/>
      <c r="E19" s="868"/>
      <c r="F19" s="868"/>
      <c r="H19" s="874">
        <f>H20-G14-WORK!M4020-WORK!M4021-G17-WORK!M4023</f>
        <v>4326528</v>
      </c>
    </row>
    <row r="20" spans="1:8" s="871" customFormat="1" ht="20.25" customHeight="1">
      <c r="A20" s="868"/>
      <c r="B20" s="418" t="s">
        <v>2781</v>
      </c>
      <c r="C20" s="873"/>
      <c r="D20" s="870"/>
      <c r="E20" s="868"/>
      <c r="F20" s="868"/>
      <c r="G20" s="911">
        <f>SUM(G14:G18)</f>
        <v>0</v>
      </c>
      <c r="H20" s="871">
        <v>4360000</v>
      </c>
    </row>
    <row r="25" spans="1:8">
      <c r="C25" s="12" t="str">
        <f>'lead 19-20'!H31</f>
        <v>Deputy Executive Engineer</v>
      </c>
      <c r="F25" s="602" t="str">
        <f>'lead 19-20'!K31</f>
        <v>Assistant  Engineer</v>
      </c>
    </row>
    <row r="26" spans="1:8">
      <c r="C26" s="12" t="str">
        <f>'lead 19-20'!H32</f>
        <v>PRI Sub Division</v>
      </c>
      <c r="F26" s="602" t="str">
        <f>'lead 19-20'!K32</f>
        <v>Mandal Praja parishad</v>
      </c>
    </row>
    <row r="27" spans="1:8">
      <c r="C27" s="12" t="str">
        <f>'lead 19-20'!H33</f>
        <v>Kanigiri</v>
      </c>
      <c r="F27" s="602" t="str">
        <f>'lead 19-20'!K33</f>
        <v>Kanigiri</v>
      </c>
    </row>
  </sheetData>
  <autoFilter ref="A7:G20">
    <filterColumn colId="6">
      <customFilters>
        <customFilter operator="notEqual" val=" "/>
      </customFilters>
    </filterColumn>
  </autoFilter>
  <mergeCells count="14">
    <mergeCell ref="B17:E17"/>
    <mergeCell ref="C4:E4"/>
    <mergeCell ref="F4:G4"/>
    <mergeCell ref="A1:G1"/>
    <mergeCell ref="A2:B2"/>
    <mergeCell ref="C2:G2"/>
    <mergeCell ref="A3:B3"/>
    <mergeCell ref="C3:G3"/>
    <mergeCell ref="F5:F6"/>
    <mergeCell ref="G5:G6"/>
    <mergeCell ref="A5:A6"/>
    <mergeCell ref="B5:B6"/>
    <mergeCell ref="C5:D6"/>
    <mergeCell ref="E5:E6"/>
  </mergeCells>
  <printOptions horizontalCentered="1"/>
  <pageMargins left="0.15" right="0.1" top="0.2" bottom="0.23" header="0.25" footer="0.08"/>
  <pageSetup paperSize="9" scale="90" pageOrder="overThenDown" orientation="portrait" r:id="rId1"/>
  <headerFooter alignWithMargins="0"/>
</worksheet>
</file>

<file path=xl/worksheets/sheet8.xml><?xml version="1.0" encoding="utf-8"?>
<worksheet xmlns="http://schemas.openxmlformats.org/spreadsheetml/2006/main" xmlns:r="http://schemas.openxmlformats.org/officeDocument/2006/relationships">
  <sheetPr filterMode="1">
    <tabColor rgb="FF00B050"/>
  </sheetPr>
  <dimension ref="A1:Q4037"/>
  <sheetViews>
    <sheetView showZeros="0" defaultGridColor="0" view="pageBreakPreview" topLeftCell="A3318" colorId="22" zoomScale="115" zoomScaleNormal="115" zoomScaleSheetLayoutView="115" workbookViewId="0">
      <selection activeCell="B3323" sqref="B3323:H3323"/>
    </sheetView>
  </sheetViews>
  <sheetFormatPr defaultColWidth="9.140625" defaultRowHeight="12.75"/>
  <cols>
    <col min="1" max="1" width="3.5703125" style="1162" customWidth="1"/>
    <col min="2" max="2" width="31.42578125" style="1162" customWidth="1"/>
    <col min="3" max="3" width="3.5703125" style="1162" customWidth="1"/>
    <col min="4" max="4" width="1.7109375" style="1205" customWidth="1"/>
    <col min="5" max="5" width="5.140625" style="1391" customWidth="1"/>
    <col min="6" max="6" width="6.7109375" style="1392" customWidth="1"/>
    <col min="7" max="7" width="6.140625" style="1393" customWidth="1"/>
    <col min="8" max="8" width="7.42578125" style="1205" customWidth="1"/>
    <col min="9" max="9" width="8.7109375" style="1256" customWidth="1"/>
    <col min="10" max="10" width="5.28515625" style="1405" customWidth="1"/>
    <col min="11" max="11" width="8.42578125" style="1205" customWidth="1"/>
    <col min="12" max="12" width="8.7109375" style="1394" customWidth="1"/>
    <col min="13" max="13" width="10.28515625" style="1256" customWidth="1"/>
    <col min="14" max="15" width="10.42578125" style="1162" bestFit="1" customWidth="1"/>
    <col min="16" max="16384" width="9.140625" style="1162"/>
  </cols>
  <sheetData>
    <row r="1" spans="1:14" ht="26.25" customHeight="1">
      <c r="A1" s="1838" t="s">
        <v>269</v>
      </c>
      <c r="B1" s="1838"/>
      <c r="C1" s="1838"/>
      <c r="D1" s="1839"/>
      <c r="E1" s="1838"/>
      <c r="F1" s="1838"/>
      <c r="G1" s="1838"/>
      <c r="H1" s="1838"/>
      <c r="I1" s="1838"/>
      <c r="J1" s="1838"/>
      <c r="K1" s="1838"/>
      <c r="L1" s="1838"/>
      <c r="M1" s="1838"/>
    </row>
    <row r="2" spans="1:14" ht="42" customHeight="1">
      <c r="A2" s="1840" t="s">
        <v>896</v>
      </c>
      <c r="B2" s="1840"/>
      <c r="C2" s="1841" t="str">
        <f>'lead 19-20'!C2</f>
        <v>Providing Additional Space for Agriculture Staff in  Baduguleru GP of Kanigiri Mandal</v>
      </c>
      <c r="D2" s="1842"/>
      <c r="E2" s="1841"/>
      <c r="F2" s="1841"/>
      <c r="G2" s="1841"/>
      <c r="H2" s="1841"/>
      <c r="I2" s="1841"/>
      <c r="J2" s="1841"/>
      <c r="K2" s="1841"/>
      <c r="L2" s="1841"/>
      <c r="M2" s="1841"/>
    </row>
    <row r="3" spans="1:14" ht="15" customHeight="1">
      <c r="A3" s="1320"/>
      <c r="B3" s="1321"/>
      <c r="C3" s="1321"/>
      <c r="D3" s="1322"/>
      <c r="E3" s="1321"/>
      <c r="F3" s="1321"/>
      <c r="G3" s="1321"/>
      <c r="H3" s="1323"/>
      <c r="I3" s="1843" t="s">
        <v>270</v>
      </c>
      <c r="J3" s="1843"/>
      <c r="K3" s="1843"/>
      <c r="L3" s="1844" t="str">
        <f>'lead 19-20'!K4</f>
        <v>21.80 Lakhs</v>
      </c>
      <c r="M3" s="1844"/>
    </row>
    <row r="4" spans="1:14" s="1324" customFormat="1" ht="12.75" customHeight="1">
      <c r="A4" s="1829" t="s">
        <v>271</v>
      </c>
      <c r="B4" s="1829" t="s">
        <v>272</v>
      </c>
      <c r="C4" s="1829" t="s">
        <v>115</v>
      </c>
      <c r="D4" s="1830"/>
      <c r="E4" s="1829"/>
      <c r="F4" s="1829" t="s">
        <v>123</v>
      </c>
      <c r="G4" s="1829"/>
      <c r="H4" s="1829"/>
      <c r="I4" s="1845" t="s">
        <v>6</v>
      </c>
      <c r="J4" s="1846"/>
      <c r="K4" s="1829" t="s">
        <v>8</v>
      </c>
      <c r="L4" s="1847" t="s">
        <v>9</v>
      </c>
      <c r="M4" s="1829" t="s">
        <v>10</v>
      </c>
    </row>
    <row r="5" spans="1:14" s="1324" customFormat="1" ht="21.75" customHeight="1">
      <c r="A5" s="1829"/>
      <c r="B5" s="1829"/>
      <c r="C5" s="1829"/>
      <c r="D5" s="1830"/>
      <c r="E5" s="1829"/>
      <c r="F5" s="1325" t="s">
        <v>12</v>
      </c>
      <c r="G5" s="1325" t="s">
        <v>13</v>
      </c>
      <c r="H5" s="1762" t="s">
        <v>14</v>
      </c>
      <c r="I5" s="1845"/>
      <c r="J5" s="1846"/>
      <c r="K5" s="1829"/>
      <c r="L5" s="1847"/>
      <c r="M5" s="1829"/>
    </row>
    <row r="6" spans="1:14" s="1324" customFormat="1" ht="15.75">
      <c r="A6" s="1762">
        <v>1</v>
      </c>
      <c r="B6" s="1762">
        <v>2</v>
      </c>
      <c r="C6" s="1829">
        <v>3</v>
      </c>
      <c r="D6" s="1830"/>
      <c r="E6" s="1829"/>
      <c r="F6" s="1763">
        <v>4</v>
      </c>
      <c r="G6" s="1763">
        <v>5</v>
      </c>
      <c r="H6" s="1762">
        <v>6</v>
      </c>
      <c r="I6" s="1326">
        <v>7</v>
      </c>
      <c r="J6" s="1327"/>
      <c r="K6" s="1762">
        <v>8</v>
      </c>
      <c r="L6" s="1763">
        <v>9</v>
      </c>
      <c r="M6" s="1762">
        <v>10</v>
      </c>
    </row>
    <row r="7" spans="1:14" s="1320" customFormat="1" ht="15.75" hidden="1">
      <c r="A7" s="1212"/>
      <c r="B7" s="1545" t="s">
        <v>2443</v>
      </c>
      <c r="C7" s="1759"/>
      <c r="D7" s="1760"/>
      <c r="E7" s="1761"/>
      <c r="F7" s="1223"/>
      <c r="G7" s="1223"/>
      <c r="H7" s="1212"/>
      <c r="I7" s="1546"/>
      <c r="J7" s="1547"/>
      <c r="K7" s="1212"/>
      <c r="L7" s="1240"/>
      <c r="M7" s="1212"/>
      <c r="N7" s="1161" t="s">
        <v>2218</v>
      </c>
    </row>
    <row r="8" spans="1:14" s="1320" customFormat="1" ht="15.75" hidden="1">
      <c r="A8" s="1212"/>
      <c r="B8" s="1545" t="s">
        <v>293</v>
      </c>
      <c r="C8" s="1759"/>
      <c r="D8" s="1760"/>
      <c r="E8" s="1761"/>
      <c r="F8" s="1223"/>
      <c r="G8" s="1223"/>
      <c r="H8" s="1212"/>
      <c r="I8" s="1546"/>
      <c r="J8" s="1547"/>
      <c r="K8" s="1212"/>
      <c r="L8" s="1240"/>
      <c r="M8" s="1212"/>
      <c r="N8" s="1161" t="s">
        <v>2218</v>
      </c>
    </row>
    <row r="9" spans="1:14" ht="30" hidden="1" customHeight="1">
      <c r="A9" s="1156">
        <v>1</v>
      </c>
      <c r="B9" s="1826" t="s">
        <v>294</v>
      </c>
      <c r="C9" s="1826"/>
      <c r="D9" s="1828"/>
      <c r="E9" s="1826"/>
      <c r="F9" s="1826"/>
      <c r="G9" s="1826"/>
      <c r="H9" s="1826"/>
      <c r="I9" s="1157"/>
      <c r="J9" s="1158"/>
      <c r="K9" s="1156"/>
      <c r="L9" s="1159"/>
      <c r="M9" s="1160"/>
      <c r="N9" s="1161" t="s">
        <v>2218</v>
      </c>
    </row>
    <row r="10" spans="1:14" s="1170" customFormat="1" ht="16.5" hidden="1" customHeight="1">
      <c r="A10" s="1156"/>
      <c r="B10" s="1169" t="s">
        <v>3464</v>
      </c>
      <c r="C10" s="1157"/>
      <c r="D10" s="1328" t="s">
        <v>3526</v>
      </c>
      <c r="E10" s="1165"/>
      <c r="F10" s="1166"/>
      <c r="G10" s="1166"/>
      <c r="H10" s="1166"/>
      <c r="I10" s="1167"/>
      <c r="J10" s="1329"/>
      <c r="K10" s="1169"/>
      <c r="L10" s="1156"/>
      <c r="M10" s="1169"/>
      <c r="N10" s="1161" t="s">
        <v>2218</v>
      </c>
    </row>
    <row r="11" spans="1:14" s="1170" customFormat="1" ht="16.5" hidden="1" customHeight="1">
      <c r="A11" s="1156"/>
      <c r="B11" s="1169"/>
      <c r="C11" s="1157">
        <v>1</v>
      </c>
      <c r="D11" s="1171" t="s">
        <v>273</v>
      </c>
      <c r="E11" s="1165">
        <v>1</v>
      </c>
      <c r="F11" s="1166">
        <v>12</v>
      </c>
      <c r="G11" s="1166">
        <v>6</v>
      </c>
      <c r="H11" s="1166">
        <v>0</v>
      </c>
      <c r="I11" s="1172">
        <f>ROUND(IF(AND(F11:H11),C11*E11*F11*G11*H11,IF(AND(F11,G11),C11*E11*F11*G11,IF(AND(F11,H11),C11*E11*F11*H11,IF(AND(G11,H11),C11*E11*G11*H11,IF(F11,C11*E11*F11,IF(G11,C11*E11*G11,IF(H11,C11*E11*H11,C11*E11))))))),2)</f>
        <v>72</v>
      </c>
      <c r="J11" s="1330" t="s">
        <v>102</v>
      </c>
      <c r="K11" s="1169"/>
      <c r="L11" s="1156"/>
      <c r="M11" s="1169"/>
      <c r="N11" s="1161" t="s">
        <v>2218</v>
      </c>
    </row>
    <row r="12" spans="1:14" s="1170" customFormat="1" ht="16.5" hidden="1" customHeight="1">
      <c r="A12" s="1156"/>
      <c r="B12" s="1331" t="s">
        <v>295</v>
      </c>
      <c r="C12" s="1332"/>
      <c r="D12" s="1333"/>
      <c r="E12" s="1334"/>
      <c r="F12" s="1334"/>
      <c r="G12" s="1335"/>
      <c r="H12" s="1335"/>
      <c r="I12" s="1336">
        <f>-ROUND(I11*40%,2)</f>
        <v>-28.8</v>
      </c>
      <c r="J12" s="1168" t="s">
        <v>102</v>
      </c>
      <c r="K12" s="1169"/>
      <c r="L12" s="1156"/>
      <c r="M12" s="1169"/>
      <c r="N12" s="1161" t="s">
        <v>2218</v>
      </c>
    </row>
    <row r="13" spans="1:14" ht="15.75" hidden="1">
      <c r="A13" s="1156"/>
      <c r="B13" s="1160"/>
      <c r="C13" s="1337"/>
      <c r="D13" s="1171"/>
      <c r="E13" s="1165"/>
      <c r="F13" s="1166"/>
      <c r="G13" s="1166"/>
      <c r="H13" s="1166"/>
      <c r="I13" s="1336"/>
      <c r="J13" s="1168" t="s">
        <v>102</v>
      </c>
      <c r="K13" s="1221">
        <f>data!G44</f>
        <v>5.22</v>
      </c>
      <c r="L13" s="1159" t="s">
        <v>2218</v>
      </c>
      <c r="M13" s="1224">
        <f>ROUND(I13*K13,0)</f>
        <v>0</v>
      </c>
      <c r="N13" s="1161" t="s">
        <v>2218</v>
      </c>
    </row>
    <row r="14" spans="1:14" ht="30" hidden="1" customHeight="1">
      <c r="A14" s="1156">
        <v>1</v>
      </c>
      <c r="B14" s="1826" t="s">
        <v>294</v>
      </c>
      <c r="C14" s="1826"/>
      <c r="D14" s="1826"/>
      <c r="E14" s="1826"/>
      <c r="F14" s="1826"/>
      <c r="G14" s="1826"/>
      <c r="H14" s="1826"/>
      <c r="I14" s="1157"/>
      <c r="J14" s="1158"/>
      <c r="K14" s="1156"/>
      <c r="L14" s="1159"/>
      <c r="M14" s="1160"/>
      <c r="N14" s="1161" t="s">
        <v>2306</v>
      </c>
    </row>
    <row r="15" spans="1:14" s="1170" customFormat="1" ht="16.5" hidden="1" customHeight="1">
      <c r="A15" s="1156"/>
      <c r="B15" s="1169" t="s">
        <v>3464</v>
      </c>
      <c r="C15" s="1157"/>
      <c r="D15" s="1171"/>
      <c r="E15" s="1165"/>
      <c r="F15" s="1166"/>
      <c r="G15" s="1166"/>
      <c r="H15" s="1166"/>
      <c r="I15" s="1167"/>
      <c r="J15" s="1329"/>
      <c r="K15" s="1169"/>
      <c r="L15" s="1156"/>
      <c r="M15" s="1169"/>
      <c r="N15" s="1161" t="s">
        <v>2306</v>
      </c>
    </row>
    <row r="16" spans="1:14" s="1170" customFormat="1" ht="16.5" hidden="1" customHeight="1">
      <c r="A16" s="1156"/>
      <c r="B16" s="1169"/>
      <c r="C16" s="1157">
        <v>1</v>
      </c>
      <c r="D16" s="1171" t="s">
        <v>273</v>
      </c>
      <c r="E16" s="1165">
        <v>1</v>
      </c>
      <c r="F16" s="1166">
        <v>7.6</v>
      </c>
      <c r="G16" s="1166">
        <v>5.24</v>
      </c>
      <c r="H16" s="1166">
        <v>0</v>
      </c>
      <c r="I16" s="1172">
        <f>ROUND(IF(AND(F16:H16),C16*E16*F16*G16*H16,IF(AND(F16,G16),C16*E16*F16*G16,IF(AND(F16,H16),C16*E16*F16*H16,IF(AND(G16,H16),C16*E16*G16*H16,IF(F16,C16*E16*F16,IF(G16,C16*E16*G16,IF(H16,C16*E16*H16,C16*E16))))))),2)</f>
        <v>39.82</v>
      </c>
      <c r="J16" s="1330" t="s">
        <v>102</v>
      </c>
      <c r="K16" s="1169"/>
      <c r="L16" s="1156"/>
      <c r="M16" s="1169"/>
      <c r="N16" s="1161" t="s">
        <v>2306</v>
      </c>
    </row>
    <row r="17" spans="1:14" s="1170" customFormat="1" ht="16.5" hidden="1" customHeight="1">
      <c r="A17" s="1156"/>
      <c r="B17" s="1331"/>
      <c r="C17" s="1332"/>
      <c r="D17" s="1333"/>
      <c r="E17" s="1334"/>
      <c r="F17" s="1335"/>
      <c r="G17" s="1335"/>
      <c r="H17" s="1335"/>
      <c r="I17" s="1336">
        <f>SUM(I16:I16)</f>
        <v>39.82</v>
      </c>
      <c r="J17" s="1168" t="s">
        <v>102</v>
      </c>
      <c r="K17" s="1169"/>
      <c r="L17" s="1156"/>
      <c r="M17" s="1169"/>
      <c r="N17" s="1161" t="s">
        <v>2306</v>
      </c>
    </row>
    <row r="18" spans="1:14" s="1170" customFormat="1" ht="16.5" hidden="1" customHeight="1">
      <c r="A18" s="1156"/>
      <c r="B18" s="1331" t="s">
        <v>295</v>
      </c>
      <c r="C18" s="1332"/>
      <c r="D18" s="1333"/>
      <c r="E18" s="1334"/>
      <c r="F18" s="1334"/>
      <c r="G18" s="1335"/>
      <c r="H18" s="1335"/>
      <c r="I18" s="1336">
        <f>-ROUND(I17*40%,2)</f>
        <v>-15.93</v>
      </c>
      <c r="J18" s="1168" t="s">
        <v>102</v>
      </c>
      <c r="K18" s="1169"/>
      <c r="L18" s="1156"/>
      <c r="M18" s="1169"/>
      <c r="N18" s="1161" t="s">
        <v>2306</v>
      </c>
    </row>
    <row r="19" spans="1:14" ht="15.75" hidden="1">
      <c r="A19" s="1156"/>
      <c r="B19" s="1160"/>
      <c r="C19" s="1337"/>
      <c r="D19" s="1171"/>
      <c r="E19" s="1165"/>
      <c r="F19" s="1166"/>
      <c r="G19" s="1166"/>
      <c r="H19" s="1166"/>
      <c r="I19" s="1336"/>
      <c r="J19" s="1168" t="s">
        <v>102</v>
      </c>
      <c r="K19" s="1221">
        <f>data!G960</f>
        <v>5.86</v>
      </c>
      <c r="L19" s="1159" t="s">
        <v>2306</v>
      </c>
      <c r="M19" s="1224">
        <f>ROUND(I19*K19,0)</f>
        <v>0</v>
      </c>
      <c r="N19" s="1161" t="s">
        <v>2306</v>
      </c>
    </row>
    <row r="20" spans="1:14" ht="30" hidden="1" customHeight="1">
      <c r="A20" s="1156">
        <v>1</v>
      </c>
      <c r="B20" s="1826" t="s">
        <v>294</v>
      </c>
      <c r="C20" s="1826"/>
      <c r="D20" s="1826"/>
      <c r="E20" s="1826"/>
      <c r="F20" s="1826"/>
      <c r="G20" s="1826"/>
      <c r="H20" s="1826"/>
      <c r="I20" s="1157"/>
      <c r="J20" s="1158"/>
      <c r="K20" s="1156"/>
      <c r="L20" s="1159"/>
      <c r="M20" s="1160"/>
      <c r="N20" s="1161" t="s">
        <v>2317</v>
      </c>
    </row>
    <row r="21" spans="1:14" s="1170" customFormat="1" ht="16.5" hidden="1" customHeight="1">
      <c r="A21" s="1156"/>
      <c r="B21" s="1169" t="s">
        <v>3464</v>
      </c>
      <c r="C21" s="1157"/>
      <c r="D21" s="1171"/>
      <c r="E21" s="1165"/>
      <c r="F21" s="1166"/>
      <c r="G21" s="1166"/>
      <c r="H21" s="1166"/>
      <c r="I21" s="1167"/>
      <c r="J21" s="1329"/>
      <c r="K21" s="1169"/>
      <c r="L21" s="1156"/>
      <c r="M21" s="1169"/>
      <c r="N21" s="1161" t="s">
        <v>2317</v>
      </c>
    </row>
    <row r="22" spans="1:14" s="1170" customFormat="1" ht="16.5" hidden="1" customHeight="1">
      <c r="A22" s="1156"/>
      <c r="B22" s="1169"/>
      <c r="C22" s="1157">
        <v>1</v>
      </c>
      <c r="D22" s="1171" t="s">
        <v>273</v>
      </c>
      <c r="E22" s="1165">
        <v>1</v>
      </c>
      <c r="F22" s="1166">
        <v>7.6</v>
      </c>
      <c r="G22" s="1166">
        <v>5.24</v>
      </c>
      <c r="H22" s="1166">
        <v>0</v>
      </c>
      <c r="I22" s="1172">
        <f>ROUND(IF(AND(F22:H22),C22*E22*F22*G22*H22,IF(AND(F22,G22),C22*E22*F22*G22,IF(AND(F22,H22),C22*E22*F22*H22,IF(AND(G22,H22),C22*E22*G22*H22,IF(F22,C22*E22*F22,IF(G22,C22*E22*G22,IF(H22,C22*E22*H22,C22*E22))))))),2)</f>
        <v>39.82</v>
      </c>
      <c r="J22" s="1330" t="s">
        <v>102</v>
      </c>
      <c r="K22" s="1169"/>
      <c r="L22" s="1156"/>
      <c r="M22" s="1169"/>
      <c r="N22" s="1161" t="s">
        <v>2317</v>
      </c>
    </row>
    <row r="23" spans="1:14" s="1170" customFormat="1" ht="16.5" hidden="1" customHeight="1">
      <c r="A23" s="1156"/>
      <c r="B23" s="1331"/>
      <c r="C23" s="1332"/>
      <c r="D23" s="1333"/>
      <c r="E23" s="1334"/>
      <c r="F23" s="1335"/>
      <c r="G23" s="1335"/>
      <c r="H23" s="1335"/>
      <c r="I23" s="1336">
        <f>SUM(I22:I22)</f>
        <v>39.82</v>
      </c>
      <c r="J23" s="1168" t="s">
        <v>102</v>
      </c>
      <c r="K23" s="1169"/>
      <c r="L23" s="1156"/>
      <c r="M23" s="1169"/>
      <c r="N23" s="1161" t="s">
        <v>2317</v>
      </c>
    </row>
    <row r="24" spans="1:14" s="1170" customFormat="1" ht="16.5" hidden="1" customHeight="1">
      <c r="A24" s="1156"/>
      <c r="B24" s="1331" t="s">
        <v>295</v>
      </c>
      <c r="C24" s="1332"/>
      <c r="D24" s="1333"/>
      <c r="E24" s="1334"/>
      <c r="F24" s="1334"/>
      <c r="G24" s="1335"/>
      <c r="H24" s="1335"/>
      <c r="I24" s="1336">
        <f>-ROUND(I23*40%,2)</f>
        <v>-15.93</v>
      </c>
      <c r="J24" s="1168" t="s">
        <v>102</v>
      </c>
      <c r="K24" s="1169"/>
      <c r="L24" s="1156"/>
      <c r="M24" s="1169"/>
      <c r="N24" s="1161" t="s">
        <v>2317</v>
      </c>
    </row>
    <row r="25" spans="1:14" ht="15.75" hidden="1">
      <c r="A25" s="1156"/>
      <c r="B25" s="1160"/>
      <c r="C25" s="1337"/>
      <c r="D25" s="1171"/>
      <c r="E25" s="1165"/>
      <c r="F25" s="1166"/>
      <c r="G25" s="1166"/>
      <c r="H25" s="1166"/>
      <c r="I25" s="1336"/>
      <c r="J25" s="1168" t="s">
        <v>102</v>
      </c>
      <c r="K25" s="1221">
        <f>data!G1877</f>
        <v>6.06</v>
      </c>
      <c r="L25" s="1159" t="s">
        <v>2317</v>
      </c>
      <c r="M25" s="1224">
        <f>ROUND(I25*K25,0)</f>
        <v>0</v>
      </c>
      <c r="N25" s="1161" t="s">
        <v>2317</v>
      </c>
    </row>
    <row r="26" spans="1:14" ht="30" hidden="1" customHeight="1">
      <c r="A26" s="1156">
        <v>1</v>
      </c>
      <c r="B26" s="1826" t="s">
        <v>294</v>
      </c>
      <c r="C26" s="1826"/>
      <c r="D26" s="1826"/>
      <c r="E26" s="1826"/>
      <c r="F26" s="1826"/>
      <c r="G26" s="1826"/>
      <c r="H26" s="1826"/>
      <c r="I26" s="1157"/>
      <c r="J26" s="1158"/>
      <c r="K26" s="1156"/>
      <c r="L26" s="1159"/>
      <c r="M26" s="1160"/>
      <c r="N26" s="1161" t="s">
        <v>2318</v>
      </c>
    </row>
    <row r="27" spans="1:14" s="1170" customFormat="1" ht="16.5" hidden="1" customHeight="1">
      <c r="A27" s="1156"/>
      <c r="B27" s="1169" t="s">
        <v>3464</v>
      </c>
      <c r="C27" s="1157"/>
      <c r="D27" s="1171"/>
      <c r="E27" s="1165"/>
      <c r="F27" s="1166"/>
      <c r="G27" s="1166"/>
      <c r="H27" s="1166"/>
      <c r="I27" s="1167"/>
      <c r="J27" s="1329"/>
      <c r="K27" s="1169"/>
      <c r="L27" s="1156"/>
      <c r="M27" s="1169"/>
      <c r="N27" s="1161" t="s">
        <v>2318</v>
      </c>
    </row>
    <row r="28" spans="1:14" s="1170" customFormat="1" ht="16.5" hidden="1" customHeight="1">
      <c r="A28" s="1156"/>
      <c r="B28" s="1169"/>
      <c r="C28" s="1157">
        <v>1</v>
      </c>
      <c r="D28" s="1171" t="s">
        <v>273</v>
      </c>
      <c r="E28" s="1165">
        <v>1</v>
      </c>
      <c r="F28" s="1166">
        <v>7.6</v>
      </c>
      <c r="G28" s="1166">
        <v>5.24</v>
      </c>
      <c r="H28" s="1166">
        <v>0</v>
      </c>
      <c r="I28" s="1172">
        <f>ROUND(IF(AND(F28:H28),C28*E28*F28*G28*H28,IF(AND(F28,G28),C28*E28*F28*G28,IF(AND(F28,H28),C28*E28*F28*H28,IF(AND(G28,H28),C28*E28*G28*H28,IF(F28,C28*E28*F28,IF(G28,C28*E28*G28,IF(H28,C28*E28*H28,C28*E28))))))),2)</f>
        <v>39.82</v>
      </c>
      <c r="J28" s="1330" t="s">
        <v>102</v>
      </c>
      <c r="K28" s="1169"/>
      <c r="L28" s="1156"/>
      <c r="M28" s="1169"/>
      <c r="N28" s="1161" t="s">
        <v>2318</v>
      </c>
    </row>
    <row r="29" spans="1:14" s="1170" customFormat="1" ht="16.5" hidden="1" customHeight="1">
      <c r="A29" s="1156"/>
      <c r="B29" s="1331"/>
      <c r="C29" s="1332"/>
      <c r="D29" s="1333"/>
      <c r="E29" s="1334"/>
      <c r="F29" s="1335"/>
      <c r="G29" s="1335"/>
      <c r="H29" s="1335"/>
      <c r="I29" s="1336">
        <f>SUM(I28:I28)</f>
        <v>39.82</v>
      </c>
      <c r="J29" s="1168" t="s">
        <v>102</v>
      </c>
      <c r="K29" s="1169"/>
      <c r="L29" s="1156"/>
      <c r="M29" s="1169"/>
      <c r="N29" s="1161" t="s">
        <v>2318</v>
      </c>
    </row>
    <row r="30" spans="1:14" s="1170" customFormat="1" ht="16.5" hidden="1" customHeight="1">
      <c r="A30" s="1156"/>
      <c r="B30" s="1331" t="s">
        <v>295</v>
      </c>
      <c r="C30" s="1332"/>
      <c r="D30" s="1333"/>
      <c r="E30" s="1334"/>
      <c r="F30" s="1334"/>
      <c r="G30" s="1335"/>
      <c r="H30" s="1335"/>
      <c r="I30" s="1336">
        <f>-ROUND(I29*40%,2)</f>
        <v>-15.93</v>
      </c>
      <c r="J30" s="1168" t="s">
        <v>102</v>
      </c>
      <c r="K30" s="1169"/>
      <c r="L30" s="1156"/>
      <c r="M30" s="1169"/>
      <c r="N30" s="1161" t="s">
        <v>2318</v>
      </c>
    </row>
    <row r="31" spans="1:14" ht="15.75" hidden="1">
      <c r="A31" s="1156"/>
      <c r="B31" s="1160"/>
      <c r="C31" s="1337"/>
      <c r="D31" s="1171"/>
      <c r="E31" s="1165"/>
      <c r="F31" s="1166"/>
      <c r="G31" s="1166"/>
      <c r="H31" s="1166"/>
      <c r="I31" s="1336"/>
      <c r="J31" s="1168" t="s">
        <v>102</v>
      </c>
      <c r="K31" s="1221">
        <f>data!G2794</f>
        <v>6.06</v>
      </c>
      <c r="L31" s="1159" t="s">
        <v>2318</v>
      </c>
      <c r="M31" s="1224">
        <f>ROUND(I31*K31,0)</f>
        <v>0</v>
      </c>
      <c r="N31" s="1161" t="s">
        <v>2318</v>
      </c>
    </row>
    <row r="32" spans="1:14" s="1575" customFormat="1" ht="49.5" customHeight="1">
      <c r="A32" s="1570">
        <v>1</v>
      </c>
      <c r="B32" s="1827" t="s">
        <v>296</v>
      </c>
      <c r="C32" s="1827"/>
      <c r="D32" s="1827"/>
      <c r="E32" s="1827"/>
      <c r="F32" s="1827"/>
      <c r="G32" s="1827"/>
      <c r="H32" s="1827"/>
      <c r="I32" s="1571"/>
      <c r="J32" s="1572"/>
      <c r="K32" s="1570"/>
      <c r="L32" s="1573"/>
      <c r="M32" s="1577"/>
      <c r="N32" s="1578" t="s">
        <v>2218</v>
      </c>
    </row>
    <row r="33" spans="1:14" s="1586" customFormat="1" ht="16.5" customHeight="1">
      <c r="A33" s="1570"/>
      <c r="B33" s="1579" t="s">
        <v>3746</v>
      </c>
      <c r="C33" s="1580"/>
      <c r="D33" s="1790" t="s">
        <v>3857</v>
      </c>
      <c r="E33" s="1581"/>
      <c r="F33" s="1582"/>
      <c r="G33" s="1582"/>
      <c r="H33" s="1582"/>
      <c r="I33" s="1583"/>
      <c r="J33" s="1584"/>
      <c r="K33" s="1585"/>
      <c r="L33" s="1573"/>
      <c r="M33" s="1585"/>
      <c r="N33" s="1578" t="s">
        <v>2218</v>
      </c>
    </row>
    <row r="34" spans="1:14" s="1586" customFormat="1" ht="18" customHeight="1">
      <c r="A34" s="1570"/>
      <c r="B34" s="1585" t="s">
        <v>298</v>
      </c>
      <c r="C34" s="1571">
        <v>1</v>
      </c>
      <c r="D34" s="1587" t="s">
        <v>273</v>
      </c>
      <c r="E34" s="1588">
        <v>10</v>
      </c>
      <c r="F34" s="1589">
        <v>1.75</v>
      </c>
      <c r="G34" s="1589">
        <v>1.75</v>
      </c>
      <c r="H34" s="1589">
        <v>1.5</v>
      </c>
      <c r="I34" s="1590">
        <f t="shared" ref="I34:I35" si="0">ROUND(IF(AND(F34:H34),C34*E34*F34*G34*H34,IF(AND(F34,G34),C34*E34*F34*G34,IF(AND(F34,H34),C34*E34*F34*H34,IF(AND(G34,H34),C34*E34*G34*H34,IF(F34,C34*E34*F34,IF(G34,C34*E34*G34,IF(H34,C34*E34*H34,C34*E34))))))),2)</f>
        <v>45.94</v>
      </c>
      <c r="J34" s="1591" t="s">
        <v>5</v>
      </c>
      <c r="K34" s="1585"/>
      <c r="L34" s="1573"/>
      <c r="M34" s="1585"/>
      <c r="N34" s="1578" t="s">
        <v>2218</v>
      </c>
    </row>
    <row r="35" spans="1:14" s="1586" customFormat="1" ht="18" customHeight="1">
      <c r="A35" s="1570"/>
      <c r="B35" s="1585" t="s">
        <v>299</v>
      </c>
      <c r="C35" s="1571">
        <v>1</v>
      </c>
      <c r="D35" s="1587" t="s">
        <v>273</v>
      </c>
      <c r="E35" s="1588">
        <v>4</v>
      </c>
      <c r="F35" s="1589">
        <v>2.0499999999999998</v>
      </c>
      <c r="G35" s="1589">
        <v>2.0499999999999998</v>
      </c>
      <c r="H35" s="1589">
        <v>1.5</v>
      </c>
      <c r="I35" s="1590">
        <f t="shared" si="0"/>
        <v>25.22</v>
      </c>
      <c r="J35" s="1591" t="s">
        <v>5</v>
      </c>
      <c r="K35" s="1585"/>
      <c r="L35" s="1573"/>
      <c r="M35" s="1585"/>
      <c r="N35" s="1578" t="s">
        <v>2218</v>
      </c>
    </row>
    <row r="36" spans="1:14" s="1586" customFormat="1" ht="18" customHeight="1">
      <c r="A36" s="1570"/>
      <c r="B36" s="1579" t="s">
        <v>3747</v>
      </c>
      <c r="C36" s="1580"/>
      <c r="D36" s="1790" t="s">
        <v>3858</v>
      </c>
      <c r="E36" s="1581"/>
      <c r="F36" s="1582"/>
      <c r="G36" s="1582"/>
      <c r="H36" s="1582"/>
      <c r="I36" s="1583"/>
      <c r="J36" s="1584"/>
      <c r="K36" s="1585"/>
      <c r="L36" s="1573"/>
      <c r="M36" s="1585"/>
      <c r="N36" s="1578" t="s">
        <v>2218</v>
      </c>
    </row>
    <row r="37" spans="1:14" s="1586" customFormat="1" ht="18" customHeight="1">
      <c r="A37" s="1570"/>
      <c r="B37" s="1585" t="s">
        <v>2136</v>
      </c>
      <c r="C37" s="1571">
        <v>1</v>
      </c>
      <c r="D37" s="1587" t="s">
        <v>273</v>
      </c>
      <c r="E37" s="1588">
        <v>2</v>
      </c>
      <c r="F37" s="1589">
        <v>10.86</v>
      </c>
      <c r="G37" s="1589">
        <v>0.5</v>
      </c>
      <c r="H37" s="1589">
        <v>0.45</v>
      </c>
      <c r="I37" s="1590">
        <f t="shared" ref="I37:I38" si="1">ROUND(IF(AND(F37:H37),C37*E37*F37*G37*H37,IF(AND(F37,G37),C37*E37*F37*G37,IF(AND(F37,H37),C37*E37*F37*H37,IF(AND(G37,H37),C37*E37*G37*H37,IF(F37,C37*E37*F37,IF(G37,C37*E37*G37,IF(H37,C37*E37*H37,C37*E37))))))),2)</f>
        <v>4.8899999999999997</v>
      </c>
      <c r="J37" s="1591" t="s">
        <v>5</v>
      </c>
      <c r="K37" s="1585"/>
      <c r="L37" s="1573"/>
      <c r="M37" s="1585"/>
      <c r="N37" s="1578" t="s">
        <v>2218</v>
      </c>
    </row>
    <row r="38" spans="1:14" s="1586" customFormat="1" ht="18" customHeight="1">
      <c r="A38" s="1570"/>
      <c r="B38" s="1585" t="s">
        <v>3142</v>
      </c>
      <c r="C38" s="1571">
        <v>1</v>
      </c>
      <c r="D38" s="1587" t="s">
        <v>273</v>
      </c>
      <c r="E38" s="1588">
        <v>2</v>
      </c>
      <c r="F38" s="1589">
        <v>9.1</v>
      </c>
      <c r="G38" s="1589">
        <v>0.5</v>
      </c>
      <c r="H38" s="1589">
        <v>0.45</v>
      </c>
      <c r="I38" s="1590">
        <f t="shared" si="1"/>
        <v>4.0999999999999996</v>
      </c>
      <c r="J38" s="1591" t="s">
        <v>5</v>
      </c>
      <c r="K38" s="1585"/>
      <c r="L38" s="1573"/>
      <c r="M38" s="1585"/>
      <c r="N38" s="1578" t="s">
        <v>2218</v>
      </c>
    </row>
    <row r="39" spans="1:14" s="1586" customFormat="1" ht="18" customHeight="1">
      <c r="A39" s="1570"/>
      <c r="B39" s="1585" t="s">
        <v>281</v>
      </c>
      <c r="C39" s="1571">
        <v>1</v>
      </c>
      <c r="D39" s="1587" t="s">
        <v>273</v>
      </c>
      <c r="E39" s="1588">
        <v>12</v>
      </c>
      <c r="F39" s="1589">
        <v>0.23</v>
      </c>
      <c r="G39" s="1589">
        <v>0.38</v>
      </c>
      <c r="H39" s="1589">
        <v>0.45</v>
      </c>
      <c r="I39" s="1590">
        <f>-ROUND(IF(AND(F39:H39),C39*E39*F39*G39*H39,IF(AND(F39,G39),C39*E39*F39*G39,IF(AND(F39,H39),C39*E39*F39*H39,IF(AND(G39,H39),C39*E39*G39*H39,IF(F39,C39*E39*F39,IF(G39,C39*E39*G39,IF(H39,C39*E39*H39,C39*E39))))))),2)</f>
        <v>-0.47</v>
      </c>
      <c r="J39" s="1591" t="s">
        <v>5</v>
      </c>
      <c r="K39" s="1585"/>
      <c r="L39" s="1573"/>
      <c r="M39" s="1585"/>
      <c r="N39" s="1578" t="s">
        <v>2218</v>
      </c>
    </row>
    <row r="40" spans="1:14" s="1586" customFormat="1" ht="18" customHeight="1">
      <c r="A40" s="1570"/>
      <c r="B40" s="1579" t="s">
        <v>3748</v>
      </c>
      <c r="C40" s="1580"/>
      <c r="D40" s="1790" t="s">
        <v>3859</v>
      </c>
      <c r="E40" s="1581"/>
      <c r="F40" s="1582"/>
      <c r="G40" s="1582"/>
      <c r="H40" s="1582"/>
      <c r="I40" s="1583"/>
      <c r="J40" s="1584"/>
      <c r="K40" s="1585"/>
      <c r="L40" s="1573"/>
      <c r="M40" s="1585"/>
      <c r="N40" s="1578" t="s">
        <v>2218</v>
      </c>
    </row>
    <row r="41" spans="1:14" s="1586" customFormat="1" ht="18" customHeight="1">
      <c r="A41" s="1570"/>
      <c r="B41" s="1585" t="s">
        <v>3578</v>
      </c>
      <c r="C41" s="1571">
        <v>1</v>
      </c>
      <c r="D41" s="1587" t="s">
        <v>273</v>
      </c>
      <c r="E41" s="1588">
        <v>1</v>
      </c>
      <c r="F41" s="1589">
        <v>3.55</v>
      </c>
      <c r="G41" s="1589">
        <v>0.35</v>
      </c>
      <c r="H41" s="1589">
        <v>0.5</v>
      </c>
      <c r="I41" s="1590">
        <f t="shared" ref="I41:I46" si="2">ROUND(IF(AND(F41:H41),C41*E41*F41*G41*H41,IF(AND(F41,G41),C41*E41*F41*G41,IF(AND(F41,H41),C41*E41*F41*H41,IF(AND(G41,H41),C41*E41*G41*H41,IF(F41,C41*E41*F41,IF(G41,C41*E41*G41,IF(H41,C41*E41*H41,C41*E41))))))),2)</f>
        <v>0.62</v>
      </c>
      <c r="J41" s="1591" t="s">
        <v>5</v>
      </c>
      <c r="K41" s="1585"/>
      <c r="L41" s="1573"/>
      <c r="M41" s="1585"/>
      <c r="N41" s="1578" t="s">
        <v>2218</v>
      </c>
    </row>
    <row r="42" spans="1:14" s="1586" customFormat="1" ht="18" customHeight="1">
      <c r="A42" s="1570"/>
      <c r="B42" s="1585" t="s">
        <v>3579</v>
      </c>
      <c r="C42" s="1571">
        <v>1</v>
      </c>
      <c r="D42" s="1587" t="s">
        <v>273</v>
      </c>
      <c r="E42" s="1588">
        <v>1</v>
      </c>
      <c r="F42" s="1589">
        <v>3.2</v>
      </c>
      <c r="G42" s="1589">
        <v>0.35</v>
      </c>
      <c r="H42" s="1589">
        <v>0.5</v>
      </c>
      <c r="I42" s="1590">
        <f t="shared" si="2"/>
        <v>0.56000000000000005</v>
      </c>
      <c r="J42" s="1591" t="s">
        <v>5</v>
      </c>
      <c r="K42" s="1585"/>
      <c r="L42" s="1573"/>
      <c r="M42" s="1585"/>
      <c r="N42" s="1578" t="s">
        <v>2218</v>
      </c>
    </row>
    <row r="43" spans="1:14" s="1586" customFormat="1" ht="18" customHeight="1">
      <c r="A43" s="1570"/>
      <c r="B43" s="1585"/>
      <c r="C43" s="1571">
        <v>1</v>
      </c>
      <c r="D43" s="1587" t="s">
        <v>273</v>
      </c>
      <c r="E43" s="1588">
        <v>1</v>
      </c>
      <c r="F43" s="1589">
        <v>3.1</v>
      </c>
      <c r="G43" s="1589">
        <v>0.35</v>
      </c>
      <c r="H43" s="1589">
        <v>0.5</v>
      </c>
      <c r="I43" s="1590">
        <f t="shared" si="2"/>
        <v>0.54</v>
      </c>
      <c r="J43" s="1591" t="s">
        <v>5</v>
      </c>
      <c r="K43" s="1585"/>
      <c r="L43" s="1573"/>
      <c r="M43" s="1585"/>
      <c r="N43" s="1578" t="s">
        <v>2218</v>
      </c>
    </row>
    <row r="44" spans="1:14" s="1586" customFormat="1" ht="18" customHeight="1">
      <c r="A44" s="1570"/>
      <c r="B44" s="1585"/>
      <c r="C44" s="1571">
        <v>1</v>
      </c>
      <c r="D44" s="1587" t="s">
        <v>273</v>
      </c>
      <c r="E44" s="1588">
        <v>2</v>
      </c>
      <c r="F44" s="1589">
        <v>0.84</v>
      </c>
      <c r="G44" s="1589">
        <v>0.35</v>
      </c>
      <c r="H44" s="1589">
        <v>0.5</v>
      </c>
      <c r="I44" s="1590">
        <f t="shared" si="2"/>
        <v>0.28999999999999998</v>
      </c>
      <c r="J44" s="1591" t="s">
        <v>5</v>
      </c>
      <c r="K44" s="1585"/>
      <c r="L44" s="1573"/>
      <c r="M44" s="1585"/>
      <c r="N44" s="1578" t="s">
        <v>2218</v>
      </c>
    </row>
    <row r="45" spans="1:14" s="1586" customFormat="1" ht="18" customHeight="1">
      <c r="A45" s="1570"/>
      <c r="B45" s="1585" t="s">
        <v>3580</v>
      </c>
      <c r="C45" s="1571">
        <v>1</v>
      </c>
      <c r="D45" s="1587" t="s">
        <v>273</v>
      </c>
      <c r="E45" s="1588">
        <v>2</v>
      </c>
      <c r="F45" s="1589">
        <v>0.57999999999999996</v>
      </c>
      <c r="G45" s="1589">
        <v>0.35</v>
      </c>
      <c r="H45" s="1589">
        <v>0.5</v>
      </c>
      <c r="I45" s="1590">
        <f t="shared" si="2"/>
        <v>0.2</v>
      </c>
      <c r="J45" s="1591" t="s">
        <v>5</v>
      </c>
      <c r="K45" s="1585"/>
      <c r="L45" s="1573"/>
      <c r="M45" s="1585"/>
      <c r="N45" s="1578" t="s">
        <v>2218</v>
      </c>
    </row>
    <row r="46" spans="1:14" s="1586" customFormat="1" ht="15.75">
      <c r="A46" s="1570"/>
      <c r="B46" s="1585" t="s">
        <v>3712</v>
      </c>
      <c r="C46" s="1571">
        <v>1</v>
      </c>
      <c r="D46" s="1587" t="s">
        <v>273</v>
      </c>
      <c r="E46" s="1588">
        <v>1</v>
      </c>
      <c r="F46" s="1589">
        <v>3.5</v>
      </c>
      <c r="G46" s="1589">
        <v>1</v>
      </c>
      <c r="H46" s="1589">
        <v>0.1</v>
      </c>
      <c r="I46" s="1590">
        <f t="shared" si="2"/>
        <v>0.35</v>
      </c>
      <c r="J46" s="1591" t="s">
        <v>5</v>
      </c>
      <c r="K46" s="1585"/>
      <c r="L46" s="1573"/>
      <c r="M46" s="1585"/>
      <c r="N46" s="1578" t="s">
        <v>2218</v>
      </c>
    </row>
    <row r="47" spans="1:14" s="1586" customFormat="1" ht="15.75">
      <c r="A47" s="1570"/>
      <c r="B47" s="1585"/>
      <c r="C47" s="1571"/>
      <c r="D47" s="1587"/>
      <c r="E47" s="1588"/>
      <c r="F47" s="1589"/>
      <c r="G47" s="1589"/>
      <c r="H47" s="1589"/>
      <c r="I47" s="1590"/>
      <c r="J47" s="1591"/>
      <c r="K47" s="1585"/>
      <c r="L47" s="1573"/>
      <c r="M47" s="1585"/>
      <c r="N47" s="1578" t="s">
        <v>2218</v>
      </c>
    </row>
    <row r="48" spans="1:14" s="1575" customFormat="1" ht="15.75">
      <c r="A48" s="1570"/>
      <c r="B48" s="1585"/>
      <c r="C48" s="1606"/>
      <c r="D48" s="1587"/>
      <c r="E48" s="1588"/>
      <c r="F48" s="1589"/>
      <c r="G48" s="1607"/>
      <c r="H48" s="1570"/>
      <c r="I48" s="1605">
        <f>SUM(I34:I47)</f>
        <v>82.240000000000009</v>
      </c>
      <c r="J48" s="1598" t="s">
        <v>5</v>
      </c>
      <c r="K48" s="1608">
        <f>data!G49</f>
        <v>124.24</v>
      </c>
      <c r="L48" s="1573" t="s">
        <v>2218</v>
      </c>
      <c r="M48" s="1609">
        <f>ROUND(I48*K48,0)</f>
        <v>10217</v>
      </c>
      <c r="N48" s="1578" t="s">
        <v>2218</v>
      </c>
    </row>
    <row r="49" spans="1:14" ht="49.5" hidden="1" customHeight="1">
      <c r="A49" s="1156">
        <v>2</v>
      </c>
      <c r="B49" s="1826" t="s">
        <v>296</v>
      </c>
      <c r="C49" s="1826"/>
      <c r="D49" s="1828"/>
      <c r="E49" s="1826"/>
      <c r="F49" s="1826"/>
      <c r="G49" s="1826"/>
      <c r="H49" s="1826"/>
      <c r="I49" s="1157"/>
      <c r="J49" s="1158"/>
      <c r="K49" s="1156"/>
      <c r="L49" s="1159"/>
      <c r="M49" s="1160"/>
      <c r="N49" s="1161" t="s">
        <v>2306</v>
      </c>
    </row>
    <row r="50" spans="1:14" s="1170" customFormat="1" ht="16.5" hidden="1" customHeight="1">
      <c r="A50" s="1156"/>
      <c r="B50" s="1163" t="s">
        <v>3674</v>
      </c>
      <c r="C50" s="1157"/>
      <c r="D50" s="1548" t="s">
        <v>3734</v>
      </c>
      <c r="E50" s="1165"/>
      <c r="F50" s="1166"/>
      <c r="G50" s="1166"/>
      <c r="H50" s="1166"/>
      <c r="I50" s="1167"/>
      <c r="J50" s="1168"/>
      <c r="K50" s="1169"/>
      <c r="L50" s="1159"/>
      <c r="M50" s="1169"/>
      <c r="N50" s="1161" t="s">
        <v>2306</v>
      </c>
    </row>
    <row r="51" spans="1:14" s="1170" customFormat="1" ht="18" hidden="1" customHeight="1">
      <c r="A51" s="1156"/>
      <c r="B51" s="1169" t="s">
        <v>578</v>
      </c>
      <c r="C51" s="1157">
        <v>1</v>
      </c>
      <c r="D51" s="1171" t="s">
        <v>273</v>
      </c>
      <c r="E51" s="1165">
        <v>1</v>
      </c>
      <c r="F51" s="1166">
        <v>10.1</v>
      </c>
      <c r="G51" s="1166">
        <v>0.5</v>
      </c>
      <c r="H51" s="1166">
        <v>0.15</v>
      </c>
      <c r="I51" s="1172">
        <f t="shared" ref="I51:I52" si="3">ROUND(IF(AND(F51:H51),C51*E51*F51*G51*H51,IF(AND(F51,G51),C51*E51*F51*G51,IF(AND(F51,H51),C51*E51*F51*H51,IF(AND(G51,H51),C51*E51*G51*H51,IF(F51,C51*E51*F51,IF(G51,C51*E51*G51,IF(H51,C51*E51*H51,C51*E51))))))),2)</f>
        <v>0.76</v>
      </c>
      <c r="J51" s="1168" t="s">
        <v>5</v>
      </c>
      <c r="K51" s="1169"/>
      <c r="L51" s="1159"/>
      <c r="M51" s="1169"/>
      <c r="N51" s="1161" t="s">
        <v>2306</v>
      </c>
    </row>
    <row r="52" spans="1:14" s="1170" customFormat="1" ht="18" hidden="1" customHeight="1">
      <c r="A52" s="1156"/>
      <c r="B52" s="1169"/>
      <c r="C52" s="1157">
        <v>1</v>
      </c>
      <c r="D52" s="1171" t="s">
        <v>273</v>
      </c>
      <c r="E52" s="1165">
        <v>2</v>
      </c>
      <c r="F52" s="1166">
        <v>0.8</v>
      </c>
      <c r="G52" s="1166">
        <v>0.5</v>
      </c>
      <c r="H52" s="1166">
        <v>0.15</v>
      </c>
      <c r="I52" s="1172">
        <f t="shared" si="3"/>
        <v>0.12</v>
      </c>
      <c r="J52" s="1168" t="s">
        <v>5</v>
      </c>
      <c r="K52" s="1169"/>
      <c r="L52" s="1159"/>
      <c r="M52" s="1169"/>
      <c r="N52" s="1161" t="s">
        <v>2306</v>
      </c>
    </row>
    <row r="53" spans="1:14" s="1170" customFormat="1" ht="16.5" hidden="1" customHeight="1">
      <c r="A53" s="1156"/>
      <c r="B53" s="1331"/>
      <c r="C53" s="1332"/>
      <c r="D53" s="1333"/>
      <c r="E53" s="1334"/>
      <c r="F53" s="1335"/>
      <c r="G53" s="1335"/>
      <c r="H53" s="1335"/>
      <c r="I53" s="1336"/>
      <c r="J53" s="1330"/>
      <c r="K53" s="1169"/>
      <c r="L53" s="1159"/>
      <c r="M53" s="1169"/>
      <c r="N53" s="1161" t="s">
        <v>2306</v>
      </c>
    </row>
    <row r="54" spans="1:14" ht="15.75" hidden="1">
      <c r="A54" s="1156"/>
      <c r="B54" s="1169"/>
      <c r="C54" s="1337"/>
      <c r="D54" s="1171"/>
      <c r="E54" s="1165"/>
      <c r="F54" s="1166"/>
      <c r="G54" s="1343"/>
      <c r="H54" s="1156"/>
      <c r="I54" s="1336"/>
      <c r="J54" s="1168" t="s">
        <v>5</v>
      </c>
      <c r="K54" s="1221">
        <f>data!G965</f>
        <v>139.55000000000001</v>
      </c>
      <c r="L54" s="1159" t="s">
        <v>2306</v>
      </c>
      <c r="M54" s="1224">
        <f>ROUND(I54*K54,0)</f>
        <v>0</v>
      </c>
      <c r="N54" s="1161" t="s">
        <v>2306</v>
      </c>
    </row>
    <row r="55" spans="1:14" ht="49.5" hidden="1" customHeight="1">
      <c r="A55" s="1156">
        <v>2</v>
      </c>
      <c r="B55" s="1826" t="s">
        <v>296</v>
      </c>
      <c r="C55" s="1826"/>
      <c r="D55" s="1826"/>
      <c r="E55" s="1826"/>
      <c r="F55" s="1826"/>
      <c r="G55" s="1826"/>
      <c r="H55" s="1826"/>
      <c r="I55" s="1157"/>
      <c r="J55" s="1158"/>
      <c r="K55" s="1156"/>
      <c r="L55" s="1159"/>
      <c r="M55" s="1160"/>
      <c r="N55" s="1161" t="s">
        <v>2317</v>
      </c>
    </row>
    <row r="56" spans="1:14" s="1170" customFormat="1" ht="15.75" hidden="1">
      <c r="A56" s="1156"/>
      <c r="B56" s="1169" t="s">
        <v>3465</v>
      </c>
      <c r="C56" s="1157"/>
      <c r="D56" s="1171"/>
      <c r="E56" s="1165"/>
      <c r="F56" s="1166"/>
      <c r="G56" s="1166"/>
      <c r="H56" s="1166"/>
      <c r="I56" s="1167"/>
      <c r="J56" s="1329"/>
      <c r="K56" s="1169"/>
      <c r="L56" s="1159"/>
      <c r="M56" s="1169"/>
      <c r="N56" s="1161" t="s">
        <v>2317</v>
      </c>
    </row>
    <row r="57" spans="1:14" s="1170" customFormat="1" ht="15.75" hidden="1">
      <c r="A57" s="1156"/>
      <c r="B57" s="1169" t="s">
        <v>2369</v>
      </c>
      <c r="C57" s="1157">
        <v>1</v>
      </c>
      <c r="D57" s="1171" t="s">
        <v>273</v>
      </c>
      <c r="E57" s="1165">
        <v>1</v>
      </c>
      <c r="F57" s="1166">
        <v>1.5</v>
      </c>
      <c r="G57" s="1166">
        <v>0.9</v>
      </c>
      <c r="H57" s="1166">
        <v>0.1</v>
      </c>
      <c r="I57" s="1172">
        <f>ROUND(IF(AND(F57:H57),C57*E57*F57*G57*H57,IF(AND(F57,G57),C57*E57*F57*G57,IF(AND(F57,H57),C57*E57*F57*H57,IF(AND(G57,H57),C57*E57*G57*H57,IF(F57,C57*E57*F57,IF(G57,C57*E57*G57,IF(H57,C57*E57*H57,C57*E57))))))),2)</f>
        <v>0.14000000000000001</v>
      </c>
      <c r="J57" s="1330" t="s">
        <v>5</v>
      </c>
      <c r="K57" s="1169"/>
      <c r="L57" s="1159"/>
      <c r="M57" s="1169"/>
      <c r="N57" s="1161" t="s">
        <v>2317</v>
      </c>
    </row>
    <row r="58" spans="1:14" s="1170" customFormat="1" ht="15.75" hidden="1">
      <c r="A58" s="1156"/>
      <c r="B58" s="1169" t="s">
        <v>2370</v>
      </c>
      <c r="C58" s="1157">
        <v>1</v>
      </c>
      <c r="D58" s="1171" t="s">
        <v>273</v>
      </c>
      <c r="E58" s="1165">
        <v>1</v>
      </c>
      <c r="F58" s="1166">
        <v>1.28</v>
      </c>
      <c r="G58" s="1166">
        <v>0.6</v>
      </c>
      <c r="H58" s="1166">
        <v>0.1</v>
      </c>
      <c r="I58" s="1172">
        <f>ROUND(IF(AND(F58:H58),C58*E58*F58*G58*H58,IF(AND(F58,G58),C58*E58*F58*G58,IF(AND(F58,H58),C58*E58*F58*H58,IF(AND(G58,H58),C58*E58*G58*H58,IF(F58,C58*E58*F58,IF(G58,C58*E58*G58,IF(H58,C58*E58*H58,C58*E58))))))),2)</f>
        <v>0.08</v>
      </c>
      <c r="J58" s="1330" t="s">
        <v>5</v>
      </c>
      <c r="K58" s="1169"/>
      <c r="L58" s="1159"/>
      <c r="M58" s="1169"/>
      <c r="N58" s="1161" t="s">
        <v>2317</v>
      </c>
    </row>
    <row r="59" spans="1:14" s="1170" customFormat="1" ht="15.75" hidden="1">
      <c r="A59" s="1156"/>
      <c r="B59" s="1169" t="s">
        <v>2371</v>
      </c>
      <c r="C59" s="1157">
        <v>1</v>
      </c>
      <c r="D59" s="1171" t="s">
        <v>273</v>
      </c>
      <c r="E59" s="1165">
        <v>1</v>
      </c>
      <c r="F59" s="1166">
        <v>1.1299999999999999</v>
      </c>
      <c r="G59" s="1166">
        <v>0.6</v>
      </c>
      <c r="H59" s="1166">
        <v>0.1</v>
      </c>
      <c r="I59" s="1172">
        <f>ROUND(IF(AND(F59:H59),C59*E59*F59*G59*H59,IF(AND(F59,G59),C59*E59*F59*G59,IF(AND(F59,H59),C59*E59*F59*H59,IF(AND(G59,H59),C59*E59*G59*H59,IF(F59,C59*E59*F59,IF(G59,C59*E59*G59,IF(H59,C59*E59*H59,C59*E59))))))),2)</f>
        <v>7.0000000000000007E-2</v>
      </c>
      <c r="J59" s="1330" t="s">
        <v>5</v>
      </c>
      <c r="K59" s="1169"/>
      <c r="L59" s="1159"/>
      <c r="M59" s="1169"/>
      <c r="N59" s="1161" t="s">
        <v>2317</v>
      </c>
    </row>
    <row r="60" spans="1:14" s="1170" customFormat="1" ht="15.75" hidden="1">
      <c r="A60" s="1156"/>
      <c r="B60" s="1331"/>
      <c r="C60" s="1332"/>
      <c r="D60" s="1333"/>
      <c r="E60" s="1334"/>
      <c r="F60" s="1335"/>
      <c r="G60" s="1335"/>
      <c r="H60" s="1335"/>
      <c r="I60" s="1336"/>
      <c r="J60" s="1330"/>
      <c r="K60" s="1169"/>
      <c r="L60" s="1159"/>
      <c r="M60" s="1169"/>
      <c r="N60" s="1161" t="s">
        <v>2317</v>
      </c>
    </row>
    <row r="61" spans="1:14" ht="15.75" hidden="1">
      <c r="A61" s="1156"/>
      <c r="B61" s="1169"/>
      <c r="C61" s="1337"/>
      <c r="D61" s="1171"/>
      <c r="E61" s="1165"/>
      <c r="F61" s="1166"/>
      <c r="G61" s="1343"/>
      <c r="H61" s="1156"/>
      <c r="I61" s="1336"/>
      <c r="J61" s="1168" t="s">
        <v>5</v>
      </c>
      <c r="K61" s="1221">
        <f>data!G1882</f>
        <v>144.26</v>
      </c>
      <c r="L61" s="1159" t="s">
        <v>2317</v>
      </c>
      <c r="M61" s="1224">
        <f>ROUND(I61*K61,0)</f>
        <v>0</v>
      </c>
      <c r="N61" s="1161" t="s">
        <v>2317</v>
      </c>
    </row>
    <row r="62" spans="1:14" ht="49.5" hidden="1" customHeight="1">
      <c r="A62" s="1156">
        <v>3</v>
      </c>
      <c r="B62" s="1826" t="s">
        <v>296</v>
      </c>
      <c r="C62" s="1826"/>
      <c r="D62" s="1828"/>
      <c r="E62" s="1826"/>
      <c r="F62" s="1826"/>
      <c r="G62" s="1826"/>
      <c r="H62" s="1826"/>
      <c r="I62" s="1157"/>
      <c r="J62" s="1158"/>
      <c r="K62" s="1156"/>
      <c r="L62" s="1159"/>
      <c r="M62" s="1160"/>
      <c r="N62" s="1161" t="s">
        <v>2318</v>
      </c>
    </row>
    <row r="63" spans="1:14" s="1170" customFormat="1" ht="16.5" hidden="1" customHeight="1">
      <c r="A63" s="1156"/>
      <c r="B63" s="1169" t="s">
        <v>3397</v>
      </c>
      <c r="C63" s="1157"/>
      <c r="D63" s="1171"/>
      <c r="E63" s="1165"/>
      <c r="F63" s="1166"/>
      <c r="G63" s="1166"/>
      <c r="H63" s="1166"/>
      <c r="I63" s="1167"/>
      <c r="J63" s="1168"/>
      <c r="K63" s="1169"/>
      <c r="L63" s="1159"/>
      <c r="M63" s="1169"/>
      <c r="N63" s="1161" t="s">
        <v>2318</v>
      </c>
    </row>
    <row r="64" spans="1:14" s="1170" customFormat="1" ht="18" hidden="1" customHeight="1">
      <c r="A64" s="1156"/>
      <c r="B64" s="1169" t="s">
        <v>3624</v>
      </c>
      <c r="C64" s="1157">
        <v>1</v>
      </c>
      <c r="D64" s="1171" t="s">
        <v>273</v>
      </c>
      <c r="E64" s="1165">
        <v>2</v>
      </c>
      <c r="F64" s="1166">
        <v>2.2000000000000002</v>
      </c>
      <c r="G64" s="1166">
        <v>0.45</v>
      </c>
      <c r="H64" s="1166">
        <v>0.6</v>
      </c>
      <c r="I64" s="1172">
        <f t="shared" ref="I64" si="4">ROUND(IF(AND(F64:H64),C64*E64*F64*G64*H64,IF(AND(F64,G64),C64*E64*F64*G64,IF(AND(F64,H64),C64*E64*F64*H64,IF(AND(G64,H64),C64*E64*G64*H64,IF(F64,C64*E64*F64,IF(G64,C64*E64*G64,IF(H64,C64*E64*H64,C64*E64))))))),2)</f>
        <v>1.19</v>
      </c>
      <c r="J64" s="1330" t="s">
        <v>5</v>
      </c>
      <c r="K64" s="1169"/>
      <c r="L64" s="1159"/>
      <c r="M64" s="1169"/>
      <c r="N64" s="1161" t="s">
        <v>2318</v>
      </c>
    </row>
    <row r="65" spans="1:14" s="1170" customFormat="1" ht="18" hidden="1" customHeight="1">
      <c r="A65" s="1156"/>
      <c r="B65" s="1169"/>
      <c r="C65" s="1157">
        <v>1</v>
      </c>
      <c r="D65" s="1171" t="s">
        <v>273</v>
      </c>
      <c r="E65" s="1165">
        <v>2</v>
      </c>
      <c r="F65" s="1166">
        <v>1.8</v>
      </c>
      <c r="G65" s="1166">
        <v>0.45</v>
      </c>
      <c r="H65" s="1166">
        <v>0.6</v>
      </c>
      <c r="I65" s="1172">
        <f t="shared" ref="I65" si="5">ROUND(IF(AND(F65:H65),C65*E65*F65*G65*H65,IF(AND(F65,G65),C65*E65*F65*G65,IF(AND(F65,H65),C65*E65*F65*H65,IF(AND(G65,H65),C65*E65*G65*H65,IF(F65,C65*E65*F65,IF(G65,C65*E65*G65,IF(H65,C65*E65*H65,C65*E65))))))),2)</f>
        <v>0.97</v>
      </c>
      <c r="J65" s="1330" t="s">
        <v>5</v>
      </c>
      <c r="K65" s="1169"/>
      <c r="L65" s="1159"/>
      <c r="M65" s="1169"/>
      <c r="N65" s="1161" t="s">
        <v>2318</v>
      </c>
    </row>
    <row r="66" spans="1:14" s="1170" customFormat="1" ht="18" hidden="1" customHeight="1">
      <c r="A66" s="1156"/>
      <c r="B66" s="1169" t="s">
        <v>1241</v>
      </c>
      <c r="C66" s="1157">
        <v>1</v>
      </c>
      <c r="D66" s="1171" t="s">
        <v>273</v>
      </c>
      <c r="E66" s="1165">
        <v>1</v>
      </c>
      <c r="F66" s="1166">
        <v>1.5</v>
      </c>
      <c r="G66" s="1166">
        <v>1.8</v>
      </c>
      <c r="H66" s="1166">
        <v>2</v>
      </c>
      <c r="I66" s="1172">
        <f t="shared" ref="I66" si="6">ROUND(IF(AND(F66:H66),C66*E66*F66*G66*H66,IF(AND(F66,G66),C66*E66*F66*G66,IF(AND(F66,H66),C66*E66*F66*H66,IF(AND(G66,H66),C66*E66*G66*H66,IF(F66,C66*E66*F66,IF(G66,C66*E66*G66,IF(H66,C66*E66*H66,C66*E66))))))),2)</f>
        <v>5.4</v>
      </c>
      <c r="J66" s="1330" t="s">
        <v>5</v>
      </c>
      <c r="K66" s="1169"/>
      <c r="L66" s="1159"/>
      <c r="M66" s="1169"/>
      <c r="N66" s="1161" t="s">
        <v>2318</v>
      </c>
    </row>
    <row r="67" spans="1:14" s="1170" customFormat="1" ht="16.5" hidden="1" customHeight="1">
      <c r="A67" s="1156"/>
      <c r="B67" s="1331"/>
      <c r="C67" s="1332"/>
      <c r="D67" s="1333"/>
      <c r="E67" s="1334"/>
      <c r="F67" s="1335"/>
      <c r="G67" s="1335"/>
      <c r="H67" s="1335"/>
      <c r="I67" s="1336"/>
      <c r="J67" s="1330"/>
      <c r="K67" s="1169"/>
      <c r="L67" s="1159"/>
      <c r="M67" s="1169"/>
      <c r="N67" s="1161" t="s">
        <v>2318</v>
      </c>
    </row>
    <row r="68" spans="1:14" ht="15.75" hidden="1">
      <c r="A68" s="1156"/>
      <c r="B68" s="1169"/>
      <c r="C68" s="1337"/>
      <c r="D68" s="1171"/>
      <c r="E68" s="1165"/>
      <c r="F68" s="1166"/>
      <c r="G68" s="1343"/>
      <c r="H68" s="1156"/>
      <c r="I68" s="1336"/>
      <c r="J68" s="1168" t="s">
        <v>5</v>
      </c>
      <c r="K68" s="1221">
        <f>data!G2799</f>
        <v>144.26</v>
      </c>
      <c r="L68" s="1159" t="s">
        <v>2318</v>
      </c>
      <c r="M68" s="1224">
        <f>ROUND(I68*K68,0)</f>
        <v>0</v>
      </c>
      <c r="N68" s="1161" t="s">
        <v>2318</v>
      </c>
    </row>
    <row r="69" spans="1:14" s="1575" customFormat="1" ht="57" customHeight="1">
      <c r="A69" s="1570">
        <v>2</v>
      </c>
      <c r="B69" s="1827" t="s">
        <v>297</v>
      </c>
      <c r="C69" s="1827"/>
      <c r="D69" s="1827"/>
      <c r="E69" s="1827"/>
      <c r="F69" s="1827"/>
      <c r="G69" s="1827"/>
      <c r="H69" s="1827"/>
      <c r="I69" s="1571"/>
      <c r="J69" s="1572"/>
      <c r="K69" s="1570"/>
      <c r="L69" s="1573"/>
      <c r="M69" s="1577"/>
      <c r="N69" s="1578" t="s">
        <v>2218</v>
      </c>
    </row>
    <row r="70" spans="1:14" s="1586" customFormat="1" ht="16.5" customHeight="1">
      <c r="A70" s="1570"/>
      <c r="B70" s="1579" t="s">
        <v>3749</v>
      </c>
      <c r="C70" s="1580"/>
      <c r="D70" s="1790" t="s">
        <v>3860</v>
      </c>
      <c r="E70" s="1581"/>
      <c r="F70" s="1582"/>
      <c r="G70" s="1582"/>
      <c r="H70" s="1582"/>
      <c r="I70" s="1583"/>
      <c r="J70" s="1584"/>
      <c r="K70" s="1585"/>
      <c r="L70" s="1573"/>
      <c r="M70" s="1585"/>
      <c r="N70" s="1578" t="s">
        <v>2218</v>
      </c>
    </row>
    <row r="71" spans="1:14" s="1586" customFormat="1" ht="18" customHeight="1">
      <c r="A71" s="1570"/>
      <c r="B71" s="1585" t="s">
        <v>298</v>
      </c>
      <c r="C71" s="1571">
        <v>1</v>
      </c>
      <c r="D71" s="1587" t="s">
        <v>273</v>
      </c>
      <c r="E71" s="1588">
        <v>10</v>
      </c>
      <c r="F71" s="1589">
        <v>1.75</v>
      </c>
      <c r="G71" s="1589">
        <v>1.75</v>
      </c>
      <c r="H71" s="1589">
        <v>0.15</v>
      </c>
      <c r="I71" s="1590">
        <f t="shared" ref="I71:I72" si="7">ROUND(IF(AND(F71:H71),C71*E71*F71*G71*H71,IF(AND(F71,G71),C71*E71*F71*G71,IF(AND(F71,H71),C71*E71*F71*H71,IF(AND(G71,H71),C71*E71*G71*H71,IF(F71,C71*E71*F71,IF(G71,C71*E71*G71,IF(H71,C71*E71*H71,C71*E71))))))),2)</f>
        <v>4.59</v>
      </c>
      <c r="J71" s="1591" t="s">
        <v>5</v>
      </c>
      <c r="K71" s="1585"/>
      <c r="L71" s="1573"/>
      <c r="M71" s="1585"/>
      <c r="N71" s="1578" t="s">
        <v>2218</v>
      </c>
    </row>
    <row r="72" spans="1:14" s="1586" customFormat="1" ht="18" customHeight="1">
      <c r="A72" s="1570"/>
      <c r="B72" s="1585" t="s">
        <v>299</v>
      </c>
      <c r="C72" s="1571">
        <v>1</v>
      </c>
      <c r="D72" s="1587" t="s">
        <v>273</v>
      </c>
      <c r="E72" s="1588">
        <v>4</v>
      </c>
      <c r="F72" s="1589">
        <v>2.0499999999999998</v>
      </c>
      <c r="G72" s="1589">
        <v>2.0499999999999998</v>
      </c>
      <c r="H72" s="1589">
        <v>0.15</v>
      </c>
      <c r="I72" s="1590">
        <f t="shared" si="7"/>
        <v>2.52</v>
      </c>
      <c r="J72" s="1591" t="s">
        <v>5</v>
      </c>
      <c r="K72" s="1585"/>
      <c r="L72" s="1573"/>
      <c r="M72" s="1585"/>
      <c r="N72" s="1578" t="s">
        <v>2218</v>
      </c>
    </row>
    <row r="73" spans="1:14" s="1586" customFormat="1" ht="18" customHeight="1">
      <c r="A73" s="1570"/>
      <c r="B73" s="1579" t="s">
        <v>3778</v>
      </c>
      <c r="C73" s="1580"/>
      <c r="D73" s="1790" t="s">
        <v>3861</v>
      </c>
      <c r="E73" s="1581"/>
      <c r="F73" s="1582"/>
      <c r="G73" s="1582"/>
      <c r="H73" s="1582"/>
      <c r="I73" s="1583"/>
      <c r="J73" s="1584"/>
      <c r="K73" s="1585"/>
      <c r="L73" s="1573"/>
      <c r="M73" s="1585"/>
      <c r="N73" s="1578" t="s">
        <v>2218</v>
      </c>
    </row>
    <row r="74" spans="1:14" s="1586" customFormat="1" ht="18" customHeight="1">
      <c r="A74" s="1570"/>
      <c r="B74" s="1585" t="s">
        <v>2136</v>
      </c>
      <c r="C74" s="1571">
        <v>1</v>
      </c>
      <c r="D74" s="1587" t="s">
        <v>273</v>
      </c>
      <c r="E74" s="1588">
        <v>2</v>
      </c>
      <c r="F74" s="1589">
        <v>10.86</v>
      </c>
      <c r="G74" s="1589">
        <v>0.5</v>
      </c>
      <c r="H74" s="1589">
        <v>0.15</v>
      </c>
      <c r="I74" s="1590">
        <f t="shared" ref="I74:I75" si="8">ROUND(IF(AND(F74:H74),C74*E74*F74*G74*H74,IF(AND(F74,G74),C74*E74*F74*G74,IF(AND(F74,H74),C74*E74*F74*H74,IF(AND(G74,H74),C74*E74*G74*H74,IF(F74,C74*E74*F74,IF(G74,C74*E74*G74,IF(H74,C74*E74*H74,C74*E74))))))),2)</f>
        <v>1.63</v>
      </c>
      <c r="J74" s="1591" t="s">
        <v>5</v>
      </c>
      <c r="K74" s="1585"/>
      <c r="L74" s="1573"/>
      <c r="M74" s="1585"/>
      <c r="N74" s="1578" t="s">
        <v>2218</v>
      </c>
    </row>
    <row r="75" spans="1:14" s="1586" customFormat="1" ht="18" customHeight="1">
      <c r="A75" s="1570"/>
      <c r="B75" s="1585" t="s">
        <v>3142</v>
      </c>
      <c r="C75" s="1571">
        <v>1</v>
      </c>
      <c r="D75" s="1587" t="s">
        <v>273</v>
      </c>
      <c r="E75" s="1588">
        <v>2</v>
      </c>
      <c r="F75" s="1589">
        <v>9.1</v>
      </c>
      <c r="G75" s="1589">
        <v>0.5</v>
      </c>
      <c r="H75" s="1589">
        <v>0.15</v>
      </c>
      <c r="I75" s="1590">
        <f t="shared" si="8"/>
        <v>1.37</v>
      </c>
      <c r="J75" s="1591" t="s">
        <v>5</v>
      </c>
      <c r="K75" s="1585"/>
      <c r="L75" s="1573"/>
      <c r="M75" s="1585"/>
      <c r="N75" s="1578" t="s">
        <v>2218</v>
      </c>
    </row>
    <row r="76" spans="1:14" s="1586" customFormat="1" ht="18" customHeight="1">
      <c r="A76" s="1570"/>
      <c r="B76" s="1585" t="s">
        <v>281</v>
      </c>
      <c r="C76" s="1571">
        <v>1</v>
      </c>
      <c r="D76" s="1587" t="s">
        <v>273</v>
      </c>
      <c r="E76" s="1588">
        <v>12</v>
      </c>
      <c r="F76" s="1589">
        <v>0.23</v>
      </c>
      <c r="G76" s="1589">
        <v>0.38</v>
      </c>
      <c r="H76" s="1589">
        <v>0.15</v>
      </c>
      <c r="I76" s="1590">
        <f>-ROUND(IF(AND(F76:H76),C76*E76*F76*G76*H76,IF(AND(F76,G76),C76*E76*F76*G76,IF(AND(F76,H76),C76*E76*F76*H76,IF(AND(G76,H76),C76*E76*G76*H76,IF(F76,C76*E76*F76,IF(G76,C76*E76*G76,IF(H76,C76*E76*H76,C76*E76))))))),2)</f>
        <v>-0.16</v>
      </c>
      <c r="J76" s="1591" t="s">
        <v>5</v>
      </c>
      <c r="K76" s="1585"/>
      <c r="L76" s="1573"/>
      <c r="M76" s="1585"/>
      <c r="N76" s="1578" t="s">
        <v>2218</v>
      </c>
    </row>
    <row r="77" spans="1:14" s="1586" customFormat="1" ht="18" customHeight="1">
      <c r="A77" s="1570"/>
      <c r="B77" s="1579" t="s">
        <v>3782</v>
      </c>
      <c r="C77" s="1580"/>
      <c r="D77" s="1790" t="s">
        <v>3862</v>
      </c>
      <c r="E77" s="1581"/>
      <c r="F77" s="1582"/>
      <c r="G77" s="1582"/>
      <c r="H77" s="1582"/>
      <c r="I77" s="1583"/>
      <c r="J77" s="1584"/>
      <c r="K77" s="1585"/>
      <c r="L77" s="1573"/>
      <c r="M77" s="1585"/>
      <c r="N77" s="1578" t="s">
        <v>2218</v>
      </c>
    </row>
    <row r="78" spans="1:14" s="1586" customFormat="1" ht="18" customHeight="1">
      <c r="A78" s="1570"/>
      <c r="B78" s="1585" t="s">
        <v>3555</v>
      </c>
      <c r="C78" s="1571">
        <v>1</v>
      </c>
      <c r="D78" s="1587" t="s">
        <v>273</v>
      </c>
      <c r="E78" s="1588">
        <v>1</v>
      </c>
      <c r="F78" s="1589">
        <v>9.25</v>
      </c>
      <c r="G78" s="1589">
        <v>0.38</v>
      </c>
      <c r="H78" s="1589">
        <v>0.1</v>
      </c>
      <c r="I78" s="1590">
        <f t="shared" ref="I78:I79" si="9">ROUND(IF(AND(F78:H78),C78*E78*F78*G78*H78,IF(AND(F78,G78),C78*E78*F78*G78,IF(AND(F78,H78),C78*E78*F78*H78,IF(AND(G78,H78),C78*E78*G78*H78,IF(F78,C78*E78*F78,IF(G78,C78*E78*G78,IF(H78,C78*E78*H78,C78*E78))))))),2)</f>
        <v>0.35</v>
      </c>
      <c r="J78" s="1591" t="s">
        <v>5</v>
      </c>
      <c r="K78" s="1585"/>
      <c r="L78" s="1573"/>
      <c r="M78" s="1585"/>
      <c r="N78" s="1578" t="s">
        <v>2218</v>
      </c>
    </row>
    <row r="79" spans="1:14" s="1586" customFormat="1" ht="18" customHeight="1">
      <c r="A79" s="1570"/>
      <c r="B79" s="1585" t="s">
        <v>3556</v>
      </c>
      <c r="C79" s="1571">
        <v>1</v>
      </c>
      <c r="D79" s="1587" t="s">
        <v>273</v>
      </c>
      <c r="E79" s="1588">
        <v>2</v>
      </c>
      <c r="F79" s="1589">
        <v>3.85</v>
      </c>
      <c r="G79" s="1589">
        <v>0.38</v>
      </c>
      <c r="H79" s="1589">
        <v>0.1</v>
      </c>
      <c r="I79" s="1590">
        <f t="shared" si="9"/>
        <v>0.28999999999999998</v>
      </c>
      <c r="J79" s="1591" t="s">
        <v>5</v>
      </c>
      <c r="K79" s="1585"/>
      <c r="L79" s="1573"/>
      <c r="M79" s="1585"/>
      <c r="N79" s="1578" t="s">
        <v>2218</v>
      </c>
    </row>
    <row r="80" spans="1:14" s="1586" customFormat="1" ht="18" customHeight="1">
      <c r="A80" s="1570"/>
      <c r="B80" s="1579" t="s">
        <v>3785</v>
      </c>
      <c r="C80" s="1580"/>
      <c r="D80" s="1790" t="s">
        <v>3863</v>
      </c>
      <c r="E80" s="1581"/>
      <c r="F80" s="1582"/>
      <c r="G80" s="1582"/>
      <c r="H80" s="1582"/>
      <c r="I80" s="1583"/>
      <c r="J80" s="1584"/>
      <c r="K80" s="1585"/>
      <c r="L80" s="1573"/>
      <c r="M80" s="1585"/>
      <c r="N80" s="1578" t="s">
        <v>2218</v>
      </c>
    </row>
    <row r="81" spans="1:14" s="1586" customFormat="1" ht="18" customHeight="1">
      <c r="A81" s="1570"/>
      <c r="B81" s="1585" t="s">
        <v>3359</v>
      </c>
      <c r="C81" s="1571">
        <v>1</v>
      </c>
      <c r="D81" s="1587" t="s">
        <v>273</v>
      </c>
      <c r="E81" s="1588">
        <v>1</v>
      </c>
      <c r="F81" s="1589">
        <v>9.35</v>
      </c>
      <c r="G81" s="1589">
        <v>5.75</v>
      </c>
      <c r="H81" s="1589">
        <v>0.1</v>
      </c>
      <c r="I81" s="1590">
        <f t="shared" ref="I81:I84" si="10">ROUND(IF(AND(F81:H81),C81*E81*F81*G81*H81,IF(AND(F81,G81),C81*E81*F81*G81,IF(AND(F81,H81),C81*E81*F81*H81,IF(AND(G81,H81),C81*E81*G81*H81,IF(F81,C81*E81*F81,IF(G81,C81*E81*G81,IF(H81,C81*E81*H81,C81*E81))))))),2)</f>
        <v>5.38</v>
      </c>
      <c r="J81" s="1591" t="s">
        <v>5</v>
      </c>
      <c r="K81" s="1585"/>
      <c r="L81" s="1573"/>
      <c r="M81" s="1585"/>
      <c r="N81" s="1578" t="s">
        <v>2218</v>
      </c>
    </row>
    <row r="82" spans="1:14" s="1586" customFormat="1" ht="18" customHeight="1">
      <c r="A82" s="1570"/>
      <c r="B82" s="1585" t="s">
        <v>3352</v>
      </c>
      <c r="C82" s="1571">
        <v>1</v>
      </c>
      <c r="D82" s="1587" t="s">
        <v>273</v>
      </c>
      <c r="E82" s="1588">
        <v>1</v>
      </c>
      <c r="F82" s="1589">
        <v>2.93</v>
      </c>
      <c r="G82" s="1589">
        <v>4.1500000000000004</v>
      </c>
      <c r="H82" s="1589">
        <v>0.1</v>
      </c>
      <c r="I82" s="1590">
        <f t="shared" si="10"/>
        <v>1.22</v>
      </c>
      <c r="J82" s="1591" t="s">
        <v>5</v>
      </c>
      <c r="K82" s="1585"/>
      <c r="L82" s="1573"/>
      <c r="M82" s="1585"/>
      <c r="N82" s="1578" t="s">
        <v>2218</v>
      </c>
    </row>
    <row r="83" spans="1:14" s="1586" customFormat="1" ht="18" customHeight="1">
      <c r="A83" s="1570"/>
      <c r="B83" s="1585" t="s">
        <v>586</v>
      </c>
      <c r="C83" s="1571">
        <v>1</v>
      </c>
      <c r="D83" s="1587" t="s">
        <v>273</v>
      </c>
      <c r="E83" s="1588">
        <v>1</v>
      </c>
      <c r="F83" s="1589">
        <v>3.05</v>
      </c>
      <c r="G83" s="1589">
        <v>4.1500000000000004</v>
      </c>
      <c r="H83" s="1589">
        <v>0.1</v>
      </c>
      <c r="I83" s="1590">
        <f t="shared" si="10"/>
        <v>1.27</v>
      </c>
      <c r="J83" s="1591" t="s">
        <v>5</v>
      </c>
      <c r="K83" s="1585"/>
      <c r="L83" s="1573"/>
      <c r="M83" s="1585"/>
      <c r="N83" s="1578" t="s">
        <v>2218</v>
      </c>
    </row>
    <row r="84" spans="1:14" s="1586" customFormat="1" ht="18" customHeight="1">
      <c r="A84" s="1570"/>
      <c r="B84" s="1585" t="s">
        <v>3353</v>
      </c>
      <c r="C84" s="1571">
        <v>1</v>
      </c>
      <c r="D84" s="1587" t="s">
        <v>273</v>
      </c>
      <c r="E84" s="1588">
        <v>1</v>
      </c>
      <c r="F84" s="1589">
        <v>2.93</v>
      </c>
      <c r="G84" s="1589">
        <v>4.1500000000000004</v>
      </c>
      <c r="H84" s="1589">
        <v>0.1</v>
      </c>
      <c r="I84" s="1590">
        <f t="shared" si="10"/>
        <v>1.22</v>
      </c>
      <c r="J84" s="1591" t="s">
        <v>5</v>
      </c>
      <c r="K84" s="1585"/>
      <c r="L84" s="1573"/>
      <c r="M84" s="1585"/>
      <c r="N84" s="1578" t="s">
        <v>2218</v>
      </c>
    </row>
    <row r="85" spans="1:14" s="1586" customFormat="1" ht="18" customHeight="1">
      <c r="A85" s="1570"/>
      <c r="B85" s="1579" t="s">
        <v>3801</v>
      </c>
      <c r="C85" s="1580"/>
      <c r="D85" s="1790" t="s">
        <v>3332</v>
      </c>
      <c r="E85" s="1581"/>
      <c r="F85" s="1582"/>
      <c r="G85" s="1582"/>
      <c r="H85" s="1582"/>
      <c r="I85" s="1583"/>
      <c r="J85" s="1584"/>
      <c r="K85" s="1585"/>
      <c r="L85" s="1573"/>
      <c r="M85" s="1585"/>
      <c r="N85" s="1578" t="s">
        <v>2218</v>
      </c>
    </row>
    <row r="86" spans="1:14" s="1586" customFormat="1" ht="18" customHeight="1">
      <c r="A86" s="1570"/>
      <c r="B86" s="1585" t="s">
        <v>3578</v>
      </c>
      <c r="C86" s="1571">
        <v>1</v>
      </c>
      <c r="D86" s="1587" t="s">
        <v>273</v>
      </c>
      <c r="E86" s="1588">
        <v>1</v>
      </c>
      <c r="F86" s="1589">
        <v>3.55</v>
      </c>
      <c r="G86" s="1589">
        <v>0.35</v>
      </c>
      <c r="H86" s="1589">
        <v>0.15</v>
      </c>
      <c r="I86" s="1590">
        <f t="shared" ref="I86:I90" si="11">ROUND(IF(AND(F86:H86),C86*E86*F86*G86*H86,IF(AND(F86,G86),C86*E86*F86*G86,IF(AND(F86,H86),C86*E86*F86*H86,IF(AND(G86,H86),C86*E86*G86*H86,IF(F86,C86*E86*F86,IF(G86,C86*E86*G86,IF(H86,C86*E86*H86,C86*E86))))))),2)</f>
        <v>0.19</v>
      </c>
      <c r="J86" s="1591" t="s">
        <v>5</v>
      </c>
      <c r="K86" s="1585"/>
      <c r="L86" s="1573"/>
      <c r="M86" s="1585"/>
      <c r="N86" s="1578" t="s">
        <v>2218</v>
      </c>
    </row>
    <row r="87" spans="1:14" s="1586" customFormat="1" ht="18" customHeight="1">
      <c r="A87" s="1570"/>
      <c r="B87" s="1585" t="s">
        <v>3579</v>
      </c>
      <c r="C87" s="1571">
        <v>1</v>
      </c>
      <c r="D87" s="1587" t="s">
        <v>273</v>
      </c>
      <c r="E87" s="1588">
        <v>1</v>
      </c>
      <c r="F87" s="1589">
        <v>3.2</v>
      </c>
      <c r="G87" s="1589">
        <v>0.35</v>
      </c>
      <c r="H87" s="1589">
        <v>0.15</v>
      </c>
      <c r="I87" s="1590">
        <f t="shared" si="11"/>
        <v>0.17</v>
      </c>
      <c r="J87" s="1591" t="s">
        <v>5</v>
      </c>
      <c r="K87" s="1585"/>
      <c r="L87" s="1573"/>
      <c r="M87" s="1585"/>
      <c r="N87" s="1578" t="s">
        <v>2218</v>
      </c>
    </row>
    <row r="88" spans="1:14" s="1586" customFormat="1" ht="18" customHeight="1">
      <c r="A88" s="1570"/>
      <c r="B88" s="1585"/>
      <c r="C88" s="1571">
        <v>1</v>
      </c>
      <c r="D88" s="1587" t="s">
        <v>273</v>
      </c>
      <c r="E88" s="1588">
        <v>1</v>
      </c>
      <c r="F88" s="1589">
        <v>3.1</v>
      </c>
      <c r="G88" s="1589">
        <v>0.35</v>
      </c>
      <c r="H88" s="1589">
        <v>0.15</v>
      </c>
      <c r="I88" s="1590">
        <f t="shared" si="11"/>
        <v>0.16</v>
      </c>
      <c r="J88" s="1591" t="s">
        <v>5</v>
      </c>
      <c r="K88" s="1585"/>
      <c r="L88" s="1573"/>
      <c r="M88" s="1585"/>
      <c r="N88" s="1578" t="s">
        <v>2218</v>
      </c>
    </row>
    <row r="89" spans="1:14" s="1586" customFormat="1" ht="18" customHeight="1">
      <c r="A89" s="1570"/>
      <c r="B89" s="1585"/>
      <c r="C89" s="1571">
        <v>1</v>
      </c>
      <c r="D89" s="1587" t="s">
        <v>273</v>
      </c>
      <c r="E89" s="1588">
        <v>2</v>
      </c>
      <c r="F89" s="1589">
        <v>0.84</v>
      </c>
      <c r="G89" s="1589">
        <v>0.35</v>
      </c>
      <c r="H89" s="1589">
        <v>0.15</v>
      </c>
      <c r="I89" s="1590">
        <f t="shared" si="11"/>
        <v>0.09</v>
      </c>
      <c r="J89" s="1591" t="s">
        <v>5</v>
      </c>
      <c r="K89" s="1585"/>
      <c r="L89" s="1573"/>
      <c r="M89" s="1585"/>
      <c r="N89" s="1578" t="s">
        <v>2218</v>
      </c>
    </row>
    <row r="90" spans="1:14" s="1586" customFormat="1" ht="18" customHeight="1">
      <c r="A90" s="1570"/>
      <c r="B90" s="1585" t="s">
        <v>3580</v>
      </c>
      <c r="C90" s="1571">
        <v>1</v>
      </c>
      <c r="D90" s="1587" t="s">
        <v>273</v>
      </c>
      <c r="E90" s="1588">
        <v>2</v>
      </c>
      <c r="F90" s="1589">
        <v>0.57999999999999996</v>
      </c>
      <c r="G90" s="1589">
        <v>0.35</v>
      </c>
      <c r="H90" s="1589">
        <v>0.15</v>
      </c>
      <c r="I90" s="1590">
        <f t="shared" si="11"/>
        <v>0.06</v>
      </c>
      <c r="J90" s="1591" t="s">
        <v>5</v>
      </c>
      <c r="K90" s="1585"/>
      <c r="L90" s="1573"/>
      <c r="M90" s="1585"/>
      <c r="N90" s="1578" t="s">
        <v>2218</v>
      </c>
    </row>
    <row r="91" spans="1:14" s="1586" customFormat="1" ht="18" customHeight="1">
      <c r="A91" s="1570"/>
      <c r="B91" s="1579" t="s">
        <v>3751</v>
      </c>
      <c r="C91" s="1571"/>
      <c r="D91" s="1790" t="s">
        <v>3864</v>
      </c>
      <c r="E91" s="1588"/>
      <c r="F91" s="1589"/>
      <c r="G91" s="1589"/>
      <c r="H91" s="1589"/>
      <c r="I91" s="1630"/>
      <c r="J91" s="1631"/>
      <c r="K91" s="1585"/>
      <c r="L91" s="1573"/>
      <c r="M91" s="1585"/>
      <c r="N91" s="1578" t="s">
        <v>2218</v>
      </c>
    </row>
    <row r="92" spans="1:14" s="1586" customFormat="1" ht="18" customHeight="1">
      <c r="A92" s="1570"/>
      <c r="B92" s="1585" t="s">
        <v>3587</v>
      </c>
      <c r="C92" s="1571">
        <v>1</v>
      </c>
      <c r="D92" s="1587" t="s">
        <v>273</v>
      </c>
      <c r="E92" s="1588">
        <v>1</v>
      </c>
      <c r="F92" s="1589">
        <v>9.3800000000000008</v>
      </c>
      <c r="G92" s="1589">
        <v>0.84</v>
      </c>
      <c r="H92" s="1589">
        <v>0.1</v>
      </c>
      <c r="I92" s="1590">
        <f t="shared" ref="I92:I94" si="12">ROUND(IF(AND(F92:H92),C92*E92*F92*G92*H92,IF(AND(F92,G92),C92*E92*F92*G92,IF(AND(F92,H92),C92*E92*F92*H92,IF(AND(G92,H92),C92*E92*G92*H92,IF(F92,C92*E92*F92,IF(G92,C92*E92*G92,IF(H92,C92*E92*H92,C92*E92))))))),2)</f>
        <v>0.79</v>
      </c>
      <c r="J92" s="1591" t="s">
        <v>5</v>
      </c>
      <c r="K92" s="1585"/>
      <c r="L92" s="1573"/>
      <c r="M92" s="1585"/>
      <c r="N92" s="1578" t="s">
        <v>2218</v>
      </c>
    </row>
    <row r="93" spans="1:14" s="1586" customFormat="1" ht="18" customHeight="1">
      <c r="A93" s="1570"/>
      <c r="B93" s="1585"/>
      <c r="C93" s="1571">
        <v>1</v>
      </c>
      <c r="D93" s="1587" t="s">
        <v>273</v>
      </c>
      <c r="E93" s="1588">
        <v>1</v>
      </c>
      <c r="F93" s="1589">
        <v>3.05</v>
      </c>
      <c r="G93" s="1589">
        <v>1.77</v>
      </c>
      <c r="H93" s="1589">
        <v>0.1</v>
      </c>
      <c r="I93" s="1590">
        <f t="shared" si="12"/>
        <v>0.54</v>
      </c>
      <c r="J93" s="1591" t="s">
        <v>5</v>
      </c>
      <c r="K93" s="1585"/>
      <c r="L93" s="1573"/>
      <c r="M93" s="1585"/>
      <c r="N93" s="1578" t="s">
        <v>2218</v>
      </c>
    </row>
    <row r="94" spans="1:14" s="1586" customFormat="1" ht="18" customHeight="1">
      <c r="A94" s="1570"/>
      <c r="B94" s="1585"/>
      <c r="C94" s="1571">
        <v>1</v>
      </c>
      <c r="D94" s="1587" t="s">
        <v>273</v>
      </c>
      <c r="E94" s="1588">
        <v>1</v>
      </c>
      <c r="F94" s="1589">
        <v>3.5</v>
      </c>
      <c r="G94" s="1589">
        <v>1</v>
      </c>
      <c r="H94" s="1589">
        <v>0.1</v>
      </c>
      <c r="I94" s="1590">
        <f t="shared" si="12"/>
        <v>0.35</v>
      </c>
      <c r="J94" s="1591" t="s">
        <v>5</v>
      </c>
      <c r="K94" s="1585"/>
      <c r="L94" s="1573"/>
      <c r="M94" s="1585"/>
      <c r="N94" s="1578" t="s">
        <v>2218</v>
      </c>
    </row>
    <row r="95" spans="1:14" s="1586" customFormat="1" ht="16.5" customHeight="1">
      <c r="A95" s="1570"/>
      <c r="B95" s="1600"/>
      <c r="C95" s="1601"/>
      <c r="D95" s="1602"/>
      <c r="E95" s="1603"/>
      <c r="F95" s="1604"/>
      <c r="G95" s="1604"/>
      <c r="H95" s="1604"/>
      <c r="I95" s="1605"/>
      <c r="J95" s="1598"/>
      <c r="K95" s="1585"/>
      <c r="L95" s="1573"/>
      <c r="M95" s="1585"/>
      <c r="N95" s="1578" t="s">
        <v>2218</v>
      </c>
    </row>
    <row r="96" spans="1:14" s="1575" customFormat="1" ht="15.75">
      <c r="A96" s="1570"/>
      <c r="B96" s="1585"/>
      <c r="C96" s="1606"/>
      <c r="D96" s="1587"/>
      <c r="E96" s="1588"/>
      <c r="F96" s="1589"/>
      <c r="G96" s="1607"/>
      <c r="H96" s="1570"/>
      <c r="I96" s="1605">
        <f>SUM(I71:I95)</f>
        <v>22.029999999999998</v>
      </c>
      <c r="J96" s="1598" t="s">
        <v>5</v>
      </c>
      <c r="K96" s="1608">
        <f>data!G92</f>
        <v>3877.2799999999997</v>
      </c>
      <c r="L96" s="1573" t="s">
        <v>2218</v>
      </c>
      <c r="M96" s="1609">
        <f>ROUND(I96*K96,0)</f>
        <v>85416</v>
      </c>
      <c r="N96" s="1578" t="s">
        <v>2218</v>
      </c>
    </row>
    <row r="97" spans="1:14" ht="57" hidden="1" customHeight="1">
      <c r="A97" s="1156">
        <v>4</v>
      </c>
      <c r="B97" s="1831" t="s">
        <v>297</v>
      </c>
      <c r="C97" s="1832"/>
      <c r="D97" s="1833"/>
      <c r="E97" s="1832"/>
      <c r="F97" s="1832"/>
      <c r="G97" s="1832"/>
      <c r="H97" s="1834"/>
      <c r="I97" s="1157"/>
      <c r="J97" s="1158"/>
      <c r="K97" s="1156"/>
      <c r="L97" s="1159"/>
      <c r="M97" s="1160"/>
      <c r="N97" s="1161" t="s">
        <v>2306</v>
      </c>
    </row>
    <row r="98" spans="1:14" s="1170" customFormat="1" ht="18" hidden="1" customHeight="1">
      <c r="A98" s="1156"/>
      <c r="B98" s="1169" t="s">
        <v>3536</v>
      </c>
      <c r="C98" s="1157"/>
      <c r="D98" s="1548" t="s">
        <v>3640</v>
      </c>
      <c r="E98" s="1165"/>
      <c r="F98" s="1166"/>
      <c r="G98" s="1166"/>
      <c r="H98" s="1166"/>
      <c r="I98" s="1167"/>
      <c r="J98" s="1329"/>
      <c r="K98" s="1169"/>
      <c r="L98" s="1159"/>
      <c r="M98" s="1169"/>
      <c r="N98" s="1161" t="s">
        <v>2306</v>
      </c>
    </row>
    <row r="99" spans="1:14" s="1170" customFormat="1" ht="16.5" hidden="1" customHeight="1">
      <c r="A99" s="1156"/>
      <c r="B99" s="1169" t="s">
        <v>3575</v>
      </c>
      <c r="C99" s="1157">
        <v>1</v>
      </c>
      <c r="D99" s="1171" t="s">
        <v>273</v>
      </c>
      <c r="E99" s="1165">
        <v>4</v>
      </c>
      <c r="F99" s="1166">
        <v>1.05</v>
      </c>
      <c r="G99" s="1166">
        <v>1.05</v>
      </c>
      <c r="H99" s="1166">
        <v>0.15</v>
      </c>
      <c r="I99" s="1172">
        <f t="shared" ref="I99" si="13">ROUND(IF(AND(F99:H99),C99*E99*F99*G99*H99,IF(AND(F99,G99),C99*E99*F99*G99,IF(AND(F99,H99),C99*E99*F99*H99,IF(AND(G99,H99),C99*E99*G99*H99,IF(F99,C99*E99*F99,IF(G99,C99*E99*G99,IF(H99,C99*E99*H99,C99*E99))))))),2)</f>
        <v>0.66</v>
      </c>
      <c r="J99" s="1330" t="s">
        <v>5</v>
      </c>
      <c r="K99" s="1169"/>
      <c r="L99" s="1159"/>
      <c r="M99" s="1169"/>
      <c r="N99" s="1161" t="s">
        <v>2306</v>
      </c>
    </row>
    <row r="100" spans="1:14" s="1170" customFormat="1" ht="18.75" hidden="1" customHeight="1">
      <c r="A100" s="1156"/>
      <c r="B100" s="1169" t="s">
        <v>3537</v>
      </c>
      <c r="C100" s="1157"/>
      <c r="D100" s="1548" t="s">
        <v>3642</v>
      </c>
      <c r="E100" s="1165"/>
      <c r="F100" s="1166"/>
      <c r="G100" s="1166"/>
      <c r="H100" s="1166"/>
      <c r="I100" s="1167"/>
      <c r="J100" s="1329"/>
      <c r="K100" s="1169"/>
      <c r="L100" s="1156"/>
      <c r="M100" s="1169"/>
      <c r="N100" s="1161" t="s">
        <v>2306</v>
      </c>
    </row>
    <row r="101" spans="1:14" s="1170" customFormat="1" ht="16.5" hidden="1" customHeight="1">
      <c r="A101" s="1156"/>
      <c r="B101" s="1169" t="s">
        <v>3578</v>
      </c>
      <c r="C101" s="1157">
        <v>1</v>
      </c>
      <c r="D101" s="1171" t="s">
        <v>273</v>
      </c>
      <c r="E101" s="1165">
        <v>1</v>
      </c>
      <c r="F101" s="1166">
        <v>3.51</v>
      </c>
      <c r="G101" s="1166">
        <v>0.35</v>
      </c>
      <c r="H101" s="1166">
        <v>0.15</v>
      </c>
      <c r="I101" s="1172">
        <f t="shared" ref="I101:I105" si="14">ROUND(IF(AND(F101:H101),C101*E101*F101*G101*H101,IF(AND(F101,G101),C101*E101*F101*G101,IF(AND(F101,H101),C101*E101*F101*H101,IF(AND(G101,H101),C101*E101*G101*H101,IF(F101,C101*E101*F101,IF(G101,C101*E101*G101,IF(H101,C101*E101*H101,C101*E101))))))),2)</f>
        <v>0.18</v>
      </c>
      <c r="J101" s="1330" t="s">
        <v>5</v>
      </c>
      <c r="K101" s="1169"/>
      <c r="L101" s="1159"/>
      <c r="M101" s="1169"/>
      <c r="N101" s="1161" t="s">
        <v>2306</v>
      </c>
    </row>
    <row r="102" spans="1:14" s="1170" customFormat="1" ht="16.5" hidden="1" customHeight="1">
      <c r="A102" s="1156"/>
      <c r="B102" s="1169" t="s">
        <v>3579</v>
      </c>
      <c r="C102" s="1157">
        <v>1</v>
      </c>
      <c r="D102" s="1171" t="s">
        <v>273</v>
      </c>
      <c r="E102" s="1165">
        <v>2</v>
      </c>
      <c r="F102" s="1166">
        <v>3.28</v>
      </c>
      <c r="G102" s="1166">
        <v>0.35</v>
      </c>
      <c r="H102" s="1166">
        <v>0.15</v>
      </c>
      <c r="I102" s="1172">
        <f t="shared" si="14"/>
        <v>0.34</v>
      </c>
      <c r="J102" s="1330" t="s">
        <v>5</v>
      </c>
      <c r="K102" s="1169"/>
      <c r="L102" s="1159"/>
      <c r="M102" s="1169"/>
      <c r="N102" s="1161" t="s">
        <v>2306</v>
      </c>
    </row>
    <row r="103" spans="1:14" s="1170" customFormat="1" ht="16.5" hidden="1" customHeight="1">
      <c r="A103" s="1156"/>
      <c r="B103" s="1169"/>
      <c r="C103" s="1157">
        <v>1</v>
      </c>
      <c r="D103" s="1171" t="s">
        <v>273</v>
      </c>
      <c r="E103" s="1165">
        <v>2</v>
      </c>
      <c r="F103" s="1166">
        <v>0.72</v>
      </c>
      <c r="G103" s="1166">
        <v>0.35</v>
      </c>
      <c r="H103" s="1166">
        <v>0.15</v>
      </c>
      <c r="I103" s="1172">
        <f t="shared" si="14"/>
        <v>0.08</v>
      </c>
      <c r="J103" s="1330" t="s">
        <v>5</v>
      </c>
      <c r="K103" s="1169"/>
      <c r="L103" s="1159"/>
      <c r="M103" s="1169"/>
      <c r="N103" s="1161" t="s">
        <v>2306</v>
      </c>
    </row>
    <row r="104" spans="1:14" s="1170" customFormat="1" ht="16.5" hidden="1" customHeight="1">
      <c r="A104" s="1156"/>
      <c r="B104" s="1169"/>
      <c r="C104" s="1157">
        <v>1</v>
      </c>
      <c r="D104" s="1171" t="s">
        <v>273</v>
      </c>
      <c r="E104" s="1165">
        <v>2</v>
      </c>
      <c r="F104" s="1166">
        <v>0.57999999999999996</v>
      </c>
      <c r="G104" s="1166">
        <v>0.35</v>
      </c>
      <c r="H104" s="1166">
        <v>0.15</v>
      </c>
      <c r="I104" s="1172">
        <f t="shared" si="14"/>
        <v>0.06</v>
      </c>
      <c r="J104" s="1330" t="s">
        <v>5</v>
      </c>
      <c r="K104" s="1169"/>
      <c r="L104" s="1159"/>
      <c r="M104" s="1169"/>
      <c r="N104" s="1161" t="s">
        <v>2306</v>
      </c>
    </row>
    <row r="105" spans="1:14" s="1170" customFormat="1" ht="16.5" hidden="1" customHeight="1">
      <c r="A105" s="1156"/>
      <c r="B105" s="1169" t="s">
        <v>2522</v>
      </c>
      <c r="C105" s="1157">
        <v>1</v>
      </c>
      <c r="D105" s="1171" t="s">
        <v>273</v>
      </c>
      <c r="E105" s="1165">
        <v>1</v>
      </c>
      <c r="F105" s="1166">
        <v>3.45</v>
      </c>
      <c r="G105" s="1166">
        <v>1.5</v>
      </c>
      <c r="H105" s="1166">
        <v>0.1</v>
      </c>
      <c r="I105" s="1172">
        <f t="shared" si="14"/>
        <v>0.52</v>
      </c>
      <c r="J105" s="1330" t="s">
        <v>5</v>
      </c>
      <c r="K105" s="1169"/>
      <c r="L105" s="1159"/>
      <c r="M105" s="1169"/>
      <c r="N105" s="1161" t="s">
        <v>2306</v>
      </c>
    </row>
    <row r="106" spans="1:14" s="1170" customFormat="1" ht="16.5" hidden="1" customHeight="1">
      <c r="A106" s="1156"/>
      <c r="B106" s="1169" t="s">
        <v>3586</v>
      </c>
      <c r="C106" s="1157"/>
      <c r="D106" s="1548" t="s">
        <v>3643</v>
      </c>
      <c r="E106" s="1165"/>
      <c r="F106" s="1166"/>
      <c r="G106" s="1166"/>
      <c r="H106" s="1166"/>
      <c r="I106" s="1167"/>
      <c r="J106" s="1329"/>
      <c r="K106" s="1169"/>
      <c r="L106" s="1159"/>
      <c r="M106" s="1169"/>
      <c r="N106" s="1161" t="s">
        <v>2306</v>
      </c>
    </row>
    <row r="107" spans="1:14" s="1170" customFormat="1" ht="18.75" hidden="1" customHeight="1">
      <c r="A107" s="1156"/>
      <c r="B107" s="1169" t="s">
        <v>3587</v>
      </c>
      <c r="C107" s="1157">
        <v>1</v>
      </c>
      <c r="D107" s="1171" t="s">
        <v>273</v>
      </c>
      <c r="E107" s="1165">
        <v>1</v>
      </c>
      <c r="F107" s="1166">
        <v>9.14</v>
      </c>
      <c r="G107" s="1166">
        <v>0.84</v>
      </c>
      <c r="H107" s="1166">
        <v>0.1</v>
      </c>
      <c r="I107" s="1172">
        <f t="shared" ref="I107:I108" si="15">ROUND(IF(AND(F107:H107),C107*E107*F107*G107*H107,IF(AND(F107,G107),C107*E107*F107*G107,IF(AND(F107,H107),C107*E107*F107*H107,IF(AND(G107,H107),C107*E107*G107*H107,IF(F107,C107*E107*F107,IF(G107,C107*E107*G107,IF(H107,C107*E107*H107,C107*E107))))))),2)</f>
        <v>0.77</v>
      </c>
      <c r="J107" s="1330" t="s">
        <v>5</v>
      </c>
      <c r="K107" s="1169"/>
      <c r="L107" s="1156"/>
      <c r="M107" s="1169"/>
      <c r="N107" s="1161" t="s">
        <v>2306</v>
      </c>
    </row>
    <row r="108" spans="1:14" s="1170" customFormat="1" ht="16.5" hidden="1" customHeight="1">
      <c r="A108" s="1156"/>
      <c r="B108" s="1169"/>
      <c r="C108" s="1157">
        <v>1</v>
      </c>
      <c r="D108" s="1171" t="s">
        <v>273</v>
      </c>
      <c r="E108" s="1165">
        <v>1</v>
      </c>
      <c r="F108" s="1166">
        <v>3.05</v>
      </c>
      <c r="G108" s="1166">
        <v>0.93</v>
      </c>
      <c r="H108" s="1166">
        <v>0.1</v>
      </c>
      <c r="I108" s="1172">
        <f t="shared" si="15"/>
        <v>0.28000000000000003</v>
      </c>
      <c r="J108" s="1330" t="s">
        <v>5</v>
      </c>
      <c r="K108" s="1169"/>
      <c r="L108" s="1159"/>
      <c r="M108" s="1169"/>
      <c r="N108" s="1161" t="s">
        <v>2306</v>
      </c>
    </row>
    <row r="109" spans="1:14" s="1170" customFormat="1" ht="16.5" hidden="1" customHeight="1">
      <c r="A109" s="1156"/>
      <c r="B109" s="1331"/>
      <c r="C109" s="1332"/>
      <c r="D109" s="1333"/>
      <c r="E109" s="1334"/>
      <c r="F109" s="1335"/>
      <c r="G109" s="1335"/>
      <c r="H109" s="1335"/>
      <c r="I109" s="1336"/>
      <c r="J109" s="1168"/>
      <c r="K109" s="1169"/>
      <c r="L109" s="1159"/>
      <c r="M109" s="1169"/>
      <c r="N109" s="1161" t="s">
        <v>2306</v>
      </c>
    </row>
    <row r="110" spans="1:14" ht="15.75" hidden="1">
      <c r="A110" s="1156"/>
      <c r="B110" s="1169"/>
      <c r="C110" s="1337"/>
      <c r="D110" s="1171"/>
      <c r="E110" s="1165"/>
      <c r="F110" s="1166"/>
      <c r="G110" s="1343"/>
      <c r="H110" s="1156"/>
      <c r="I110" s="1336"/>
      <c r="J110" s="1168" t="s">
        <v>5</v>
      </c>
      <c r="K110" s="1221">
        <f>data!G1008</f>
        <v>4067.8399999999997</v>
      </c>
      <c r="L110" s="1159" t="s">
        <v>2306</v>
      </c>
      <c r="M110" s="1224">
        <f>ROUND(I110*K110,0)</f>
        <v>0</v>
      </c>
      <c r="N110" s="1161" t="s">
        <v>2306</v>
      </c>
    </row>
    <row r="111" spans="1:14" ht="57" hidden="1" customHeight="1">
      <c r="A111" s="1156">
        <v>4</v>
      </c>
      <c r="B111" s="1826" t="s">
        <v>297</v>
      </c>
      <c r="C111" s="1826"/>
      <c r="D111" s="1826"/>
      <c r="E111" s="1826"/>
      <c r="F111" s="1826"/>
      <c r="G111" s="1826"/>
      <c r="H111" s="1826"/>
      <c r="I111" s="1157"/>
      <c r="J111" s="1158"/>
      <c r="K111" s="1156"/>
      <c r="L111" s="1159"/>
      <c r="M111" s="1160"/>
      <c r="N111" s="1161" t="s">
        <v>2317</v>
      </c>
    </row>
    <row r="112" spans="1:14" s="1170" customFormat="1" ht="16.5" hidden="1" customHeight="1">
      <c r="A112" s="1156"/>
      <c r="B112" s="1163" t="s">
        <v>3688</v>
      </c>
      <c r="C112" s="1157"/>
      <c r="D112" s="1548" t="s">
        <v>3735</v>
      </c>
      <c r="E112" s="1165"/>
      <c r="F112" s="1166"/>
      <c r="G112" s="1166"/>
      <c r="H112" s="1166"/>
      <c r="I112" s="1167"/>
      <c r="J112" s="1168"/>
      <c r="K112" s="1169"/>
      <c r="L112" s="1159"/>
      <c r="M112" s="1169"/>
      <c r="N112" s="1161" t="s">
        <v>2317</v>
      </c>
    </row>
    <row r="113" spans="1:14" s="1170" customFormat="1" ht="18" hidden="1" customHeight="1">
      <c r="A113" s="1156"/>
      <c r="B113" s="1169" t="s">
        <v>578</v>
      </c>
      <c r="C113" s="1157">
        <v>1</v>
      </c>
      <c r="D113" s="1171" t="s">
        <v>273</v>
      </c>
      <c r="E113" s="1165">
        <v>1</v>
      </c>
      <c r="F113" s="1166">
        <v>10.1</v>
      </c>
      <c r="G113" s="1166">
        <v>0.5</v>
      </c>
      <c r="H113" s="1166">
        <v>0.15</v>
      </c>
      <c r="I113" s="1172">
        <f t="shared" ref="I113:I114" si="16">ROUND(IF(AND(F113:H113),C113*E113*F113*G113*H113,IF(AND(F113,G113),C113*E113*F113*G113,IF(AND(F113,H113),C113*E113*F113*H113,IF(AND(G113,H113),C113*E113*G113*H113,IF(F113,C113*E113*F113,IF(G113,C113*E113*G113,IF(H113,C113*E113*H113,C113*E113))))))),2)</f>
        <v>0.76</v>
      </c>
      <c r="J113" s="1168" t="s">
        <v>5</v>
      </c>
      <c r="K113" s="1169"/>
      <c r="L113" s="1159"/>
      <c r="M113" s="1169"/>
      <c r="N113" s="1161" t="s">
        <v>2317</v>
      </c>
    </row>
    <row r="114" spans="1:14" s="1170" customFormat="1" ht="18" hidden="1" customHeight="1">
      <c r="A114" s="1156"/>
      <c r="B114" s="1169"/>
      <c r="C114" s="1157">
        <v>1</v>
      </c>
      <c r="D114" s="1171" t="s">
        <v>273</v>
      </c>
      <c r="E114" s="1165">
        <v>2</v>
      </c>
      <c r="F114" s="1166">
        <v>0.8</v>
      </c>
      <c r="G114" s="1166">
        <v>0.5</v>
      </c>
      <c r="H114" s="1166">
        <v>0.15</v>
      </c>
      <c r="I114" s="1172">
        <f t="shared" si="16"/>
        <v>0.12</v>
      </c>
      <c r="J114" s="1168" t="s">
        <v>5</v>
      </c>
      <c r="K114" s="1169"/>
      <c r="L114" s="1159"/>
      <c r="M114" s="1169"/>
      <c r="N114" s="1161" t="s">
        <v>2317</v>
      </c>
    </row>
    <row r="115" spans="1:14" s="1170" customFormat="1" ht="18" hidden="1" customHeight="1">
      <c r="A115" s="1156"/>
      <c r="B115" s="1163" t="s">
        <v>3695</v>
      </c>
      <c r="C115" s="1157"/>
      <c r="D115" s="1548" t="s">
        <v>3736</v>
      </c>
      <c r="E115" s="1165"/>
      <c r="F115" s="1166"/>
      <c r="G115" s="1166"/>
      <c r="H115" s="1166"/>
      <c r="I115" s="1167"/>
      <c r="J115" s="1168"/>
      <c r="K115" s="1169"/>
      <c r="L115" s="1159"/>
      <c r="M115" s="1169"/>
      <c r="N115" s="1161" t="s">
        <v>2317</v>
      </c>
    </row>
    <row r="116" spans="1:14" s="1170" customFormat="1" ht="18" hidden="1" customHeight="1">
      <c r="A116" s="1156"/>
      <c r="B116" s="1169" t="s">
        <v>578</v>
      </c>
      <c r="C116" s="1157">
        <v>1</v>
      </c>
      <c r="D116" s="1171" t="s">
        <v>273</v>
      </c>
      <c r="E116" s="1165">
        <v>1</v>
      </c>
      <c r="F116" s="1166">
        <v>3.05</v>
      </c>
      <c r="G116" s="1166">
        <v>1.77</v>
      </c>
      <c r="H116" s="1166">
        <v>0.1</v>
      </c>
      <c r="I116" s="1172">
        <f t="shared" ref="I116:I118" si="17">ROUND(IF(AND(F116:H116),C116*E116*F116*G116*H116,IF(AND(F116,G116),C116*E116*F116*G116,IF(AND(F116,H116),C116*E116*F116*H116,IF(AND(G116,H116),C116*E116*G116*H116,IF(F116,C116*E116*F116,IF(G116,C116*E116*G116,IF(H116,C116*E116*H116,C116*E116))))))),2)</f>
        <v>0.54</v>
      </c>
      <c r="J116" s="1168" t="s">
        <v>5</v>
      </c>
      <c r="K116" s="1169"/>
      <c r="L116" s="1159"/>
      <c r="M116" s="1169"/>
      <c r="N116" s="1161" t="s">
        <v>2317</v>
      </c>
    </row>
    <row r="117" spans="1:14" s="1170" customFormat="1" ht="18" hidden="1" customHeight="1">
      <c r="A117" s="1156"/>
      <c r="B117" s="1169"/>
      <c r="C117" s="1157">
        <v>1</v>
      </c>
      <c r="D117" s="1171" t="s">
        <v>273</v>
      </c>
      <c r="E117" s="1165">
        <v>2</v>
      </c>
      <c r="F117" s="1166">
        <v>3.05</v>
      </c>
      <c r="G117" s="1166">
        <v>0.84</v>
      </c>
      <c r="H117" s="1166">
        <v>0.1</v>
      </c>
      <c r="I117" s="1172">
        <f t="shared" si="17"/>
        <v>0.51</v>
      </c>
      <c r="J117" s="1168" t="s">
        <v>5</v>
      </c>
      <c r="K117" s="1169"/>
      <c r="L117" s="1159"/>
      <c r="M117" s="1169"/>
      <c r="N117" s="1161" t="s">
        <v>2317</v>
      </c>
    </row>
    <row r="118" spans="1:14" s="1170" customFormat="1" ht="18" hidden="1" customHeight="1">
      <c r="A118" s="1156"/>
      <c r="B118" s="1169"/>
      <c r="C118" s="1157">
        <v>1</v>
      </c>
      <c r="D118" s="1171" t="s">
        <v>273</v>
      </c>
      <c r="E118" s="1165">
        <v>1</v>
      </c>
      <c r="F118" s="1166">
        <v>3.6</v>
      </c>
      <c r="G118" s="1166">
        <v>1.5</v>
      </c>
      <c r="H118" s="1166">
        <v>0.1</v>
      </c>
      <c r="I118" s="1172">
        <f t="shared" si="17"/>
        <v>0.54</v>
      </c>
      <c r="J118" s="1168" t="s">
        <v>5</v>
      </c>
      <c r="K118" s="1169"/>
      <c r="L118" s="1159"/>
      <c r="M118" s="1169"/>
      <c r="N118" s="1161" t="s">
        <v>2317</v>
      </c>
    </row>
    <row r="119" spans="1:14" s="1170" customFormat="1" ht="18" hidden="1" customHeight="1">
      <c r="A119" s="1156"/>
      <c r="B119" s="1169"/>
      <c r="C119" s="1157"/>
      <c r="D119" s="1171"/>
      <c r="E119" s="1165"/>
      <c r="F119" s="1166"/>
      <c r="G119" s="1166"/>
      <c r="H119" s="1166"/>
      <c r="I119" s="1172"/>
      <c r="J119" s="1330"/>
      <c r="K119" s="1169"/>
      <c r="L119" s="1159"/>
      <c r="M119" s="1169"/>
      <c r="N119" s="1161" t="s">
        <v>2317</v>
      </c>
    </row>
    <row r="120" spans="1:14" ht="15.75" hidden="1">
      <c r="A120" s="1156"/>
      <c r="B120" s="1169"/>
      <c r="C120" s="1337"/>
      <c r="D120" s="1171"/>
      <c r="E120" s="1165"/>
      <c r="F120" s="1166"/>
      <c r="G120" s="1343"/>
      <c r="H120" s="1156"/>
      <c r="I120" s="1336"/>
      <c r="J120" s="1168" t="s">
        <v>5</v>
      </c>
      <c r="K120" s="1221">
        <f>data!G1925</f>
        <v>4332.55</v>
      </c>
      <c r="L120" s="1159" t="s">
        <v>2317</v>
      </c>
      <c r="M120" s="1224">
        <f>ROUND(I120*K120,0)</f>
        <v>0</v>
      </c>
      <c r="N120" s="1161" t="s">
        <v>2317</v>
      </c>
    </row>
    <row r="121" spans="1:14" ht="57" hidden="1" customHeight="1">
      <c r="A121" s="1156">
        <v>7</v>
      </c>
      <c r="B121" s="1826" t="s">
        <v>297</v>
      </c>
      <c r="C121" s="1826"/>
      <c r="D121" s="1828"/>
      <c r="E121" s="1826"/>
      <c r="F121" s="1826"/>
      <c r="G121" s="1826"/>
      <c r="H121" s="1826"/>
      <c r="I121" s="1157"/>
      <c r="J121" s="1158"/>
      <c r="K121" s="1156"/>
      <c r="L121" s="1159"/>
      <c r="M121" s="1160"/>
      <c r="N121" s="1161" t="s">
        <v>2318</v>
      </c>
    </row>
    <row r="122" spans="1:14" s="1170" customFormat="1" ht="16.5" hidden="1" customHeight="1">
      <c r="A122" s="1156"/>
      <c r="B122" s="1169" t="s">
        <v>3397</v>
      </c>
      <c r="C122" s="1157"/>
      <c r="D122" s="1171"/>
      <c r="E122" s="1165"/>
      <c r="F122" s="1166"/>
      <c r="G122" s="1166"/>
      <c r="H122" s="1166"/>
      <c r="I122" s="1167"/>
      <c r="J122" s="1168"/>
      <c r="K122" s="1169"/>
      <c r="L122" s="1159"/>
      <c r="M122" s="1169"/>
      <c r="N122" s="1161" t="s">
        <v>2318</v>
      </c>
    </row>
    <row r="123" spans="1:14" s="1170" customFormat="1" ht="18" hidden="1" customHeight="1">
      <c r="A123" s="1156"/>
      <c r="B123" s="1169" t="s">
        <v>3625</v>
      </c>
      <c r="C123" s="1157">
        <v>1</v>
      </c>
      <c r="D123" s="1171" t="s">
        <v>273</v>
      </c>
      <c r="E123" s="1165">
        <v>2</v>
      </c>
      <c r="F123" s="1166">
        <v>2.2000000000000002</v>
      </c>
      <c r="G123" s="1166">
        <v>0.45</v>
      </c>
      <c r="H123" s="1166">
        <v>0.1</v>
      </c>
      <c r="I123" s="1172">
        <f t="shared" ref="I123:I124" si="18">ROUND(IF(AND(F123:H123),C123*E123*F123*G123*H123,IF(AND(F123,G123),C123*E123*F123*G123,IF(AND(F123,H123),C123*E123*F123*H123,IF(AND(G123,H123),C123*E123*G123*H123,IF(F123,C123*E123*F123,IF(G123,C123*E123*G123,IF(H123,C123*E123*H123,C123*E123))))))),2)</f>
        <v>0.2</v>
      </c>
      <c r="J123" s="1330" t="s">
        <v>5</v>
      </c>
      <c r="K123" s="1169"/>
      <c r="L123" s="1159"/>
      <c r="M123" s="1169"/>
      <c r="N123" s="1161" t="s">
        <v>2318</v>
      </c>
    </row>
    <row r="124" spans="1:14" s="1170" customFormat="1" ht="18" hidden="1" customHeight="1">
      <c r="A124" s="1156"/>
      <c r="B124" s="1169"/>
      <c r="C124" s="1157">
        <v>1</v>
      </c>
      <c r="D124" s="1171" t="s">
        <v>273</v>
      </c>
      <c r="E124" s="1165">
        <v>2</v>
      </c>
      <c r="F124" s="1166">
        <v>1.8</v>
      </c>
      <c r="G124" s="1166">
        <v>0.45</v>
      </c>
      <c r="H124" s="1166">
        <v>0.1</v>
      </c>
      <c r="I124" s="1172">
        <f t="shared" si="18"/>
        <v>0.16</v>
      </c>
      <c r="J124" s="1330" t="s">
        <v>5</v>
      </c>
      <c r="K124" s="1169"/>
      <c r="L124" s="1159"/>
      <c r="M124" s="1169"/>
      <c r="N124" s="1161" t="s">
        <v>2318</v>
      </c>
    </row>
    <row r="125" spans="1:14" s="1170" customFormat="1" ht="18" hidden="1" customHeight="1">
      <c r="A125" s="1156"/>
      <c r="B125" s="1169" t="s">
        <v>3623</v>
      </c>
      <c r="C125" s="1157">
        <v>1</v>
      </c>
      <c r="D125" s="1171" t="s">
        <v>273</v>
      </c>
      <c r="E125" s="1165">
        <v>1</v>
      </c>
      <c r="F125" s="1166">
        <v>1.8</v>
      </c>
      <c r="G125" s="1166">
        <v>1.8</v>
      </c>
      <c r="H125" s="1166">
        <v>0.1</v>
      </c>
      <c r="I125" s="1172">
        <f t="shared" ref="I125" si="19">ROUND(IF(AND(F125:H125),C125*E125*F125*G125*H125,IF(AND(F125,G125),C125*E125*F125*G125,IF(AND(F125,H125),C125*E125*F125*H125,IF(AND(G125,H125),C125*E125*G125*H125,IF(F125,C125*E125*F125,IF(G125,C125*E125*G125,IF(H125,C125*E125*H125,C125*E125))))))),2)</f>
        <v>0.32</v>
      </c>
      <c r="J125" s="1330" t="s">
        <v>5</v>
      </c>
      <c r="K125" s="1169"/>
      <c r="L125" s="1159"/>
      <c r="M125" s="1169"/>
      <c r="N125" s="1161" t="s">
        <v>2318</v>
      </c>
    </row>
    <row r="126" spans="1:14" s="1170" customFormat="1" ht="18" hidden="1" customHeight="1">
      <c r="A126" s="1156"/>
      <c r="B126" s="1169" t="s">
        <v>1241</v>
      </c>
      <c r="C126" s="1157">
        <v>1</v>
      </c>
      <c r="D126" s="1171" t="s">
        <v>273</v>
      </c>
      <c r="E126" s="1165">
        <v>1</v>
      </c>
      <c r="F126" s="1166">
        <v>1.5</v>
      </c>
      <c r="G126" s="1166">
        <v>1.8</v>
      </c>
      <c r="H126" s="1166">
        <v>0.1</v>
      </c>
      <c r="I126" s="1172">
        <f t="shared" ref="I126" si="20">ROUND(IF(AND(F126:H126),C126*E126*F126*G126*H126,IF(AND(F126,G126),C126*E126*F126*G126,IF(AND(F126,H126),C126*E126*F126*H126,IF(AND(G126,H126),C126*E126*G126*H126,IF(F126,C126*E126*F126,IF(G126,C126*E126*G126,IF(H126,C126*E126*H126,C126*E126))))))),2)</f>
        <v>0.27</v>
      </c>
      <c r="J126" s="1330" t="s">
        <v>5</v>
      </c>
      <c r="K126" s="1169"/>
      <c r="L126" s="1159"/>
      <c r="M126" s="1169"/>
      <c r="N126" s="1161" t="s">
        <v>2318</v>
      </c>
    </row>
    <row r="127" spans="1:14" s="1170" customFormat="1" ht="18" hidden="1" customHeight="1">
      <c r="A127" s="1156"/>
      <c r="B127" s="1169"/>
      <c r="C127" s="1157"/>
      <c r="D127" s="1171"/>
      <c r="E127" s="1165"/>
      <c r="F127" s="1166"/>
      <c r="G127" s="1166"/>
      <c r="H127" s="1166"/>
      <c r="I127" s="1172"/>
      <c r="J127" s="1330"/>
      <c r="K127" s="1169"/>
      <c r="L127" s="1159"/>
      <c r="M127" s="1169"/>
      <c r="N127" s="1161" t="s">
        <v>2318</v>
      </c>
    </row>
    <row r="128" spans="1:14" ht="15.75" hidden="1">
      <c r="A128" s="1156"/>
      <c r="B128" s="1169"/>
      <c r="C128" s="1337"/>
      <c r="D128" s="1171"/>
      <c r="E128" s="1165"/>
      <c r="F128" s="1166"/>
      <c r="G128" s="1343"/>
      <c r="H128" s="1156"/>
      <c r="I128" s="1336"/>
      <c r="J128" s="1168" t="s">
        <v>5</v>
      </c>
      <c r="K128" s="1221">
        <f>data!G2842</f>
        <v>4583.3100000000004</v>
      </c>
      <c r="L128" s="1159" t="s">
        <v>2318</v>
      </c>
      <c r="M128" s="1224">
        <f>ROUND(I128*K128,0)</f>
        <v>0</v>
      </c>
      <c r="N128" s="1161" t="s">
        <v>2318</v>
      </c>
    </row>
    <row r="129" spans="1:14" ht="57" hidden="1" customHeight="1">
      <c r="A129" s="1156">
        <v>3</v>
      </c>
      <c r="B129" s="1826" t="s">
        <v>67</v>
      </c>
      <c r="C129" s="1826"/>
      <c r="D129" s="1826"/>
      <c r="E129" s="1826"/>
      <c r="F129" s="1826"/>
      <c r="G129" s="1826"/>
      <c r="H129" s="1826"/>
      <c r="I129" s="1157"/>
      <c r="J129" s="1158"/>
      <c r="K129" s="1156"/>
      <c r="L129" s="1159"/>
      <c r="M129" s="1160"/>
      <c r="N129" s="1161" t="s">
        <v>2218</v>
      </c>
    </row>
    <row r="130" spans="1:14" s="1170" customFormat="1" ht="16.5" hidden="1" customHeight="1">
      <c r="A130" s="1156"/>
      <c r="B130" s="1358" t="s">
        <v>3468</v>
      </c>
      <c r="C130" s="1354"/>
      <c r="D130" s="1346"/>
      <c r="E130" s="1355"/>
      <c r="F130" s="1356"/>
      <c r="G130" s="1356"/>
      <c r="H130" s="1356"/>
      <c r="I130" s="1350"/>
      <c r="J130" s="1168"/>
      <c r="K130" s="1169"/>
      <c r="L130" s="1159"/>
      <c r="M130" s="1169"/>
      <c r="N130" s="1161" t="s">
        <v>2218</v>
      </c>
    </row>
    <row r="131" spans="1:14" s="1170" customFormat="1" ht="16.5" hidden="1" customHeight="1">
      <c r="A131" s="1156"/>
      <c r="B131" s="1358"/>
      <c r="C131" s="1354">
        <v>1</v>
      </c>
      <c r="D131" s="1346" t="s">
        <v>273</v>
      </c>
      <c r="E131" s="1355">
        <v>1</v>
      </c>
      <c r="F131" s="1356">
        <v>4.72</v>
      </c>
      <c r="G131" s="1356">
        <v>0.45</v>
      </c>
      <c r="H131" s="1356">
        <v>0.1</v>
      </c>
      <c r="I131" s="1350">
        <f>ROUND(IF(AND(F131:H131),C131*E131*F131*G131*H131,IF(AND(F131,G131),C131*E131*F131*G131,IF(AND(F131,H131),C131*E131*F131*H131,IF(AND(G131,H131),C131*E131*G131*H131,IF(F131,C131*E131*F131,IF(G131,C131*E131*G131,IF(H131,C131*E131*H131,C131*E131))))))),2)</f>
        <v>0.21</v>
      </c>
      <c r="J131" s="1168" t="s">
        <v>5</v>
      </c>
      <c r="K131" s="1169"/>
      <c r="L131" s="1159"/>
      <c r="M131" s="1169"/>
      <c r="N131" s="1161" t="s">
        <v>2218</v>
      </c>
    </row>
    <row r="132" spans="1:14" s="1170" customFormat="1" ht="16.5" hidden="1" customHeight="1">
      <c r="A132" s="1156"/>
      <c r="B132" s="1358" t="s">
        <v>651</v>
      </c>
      <c r="C132" s="1354">
        <v>1</v>
      </c>
      <c r="D132" s="1346" t="s">
        <v>273</v>
      </c>
      <c r="E132" s="1355">
        <v>1</v>
      </c>
      <c r="F132" s="1356">
        <v>5.4</v>
      </c>
      <c r="G132" s="1356">
        <v>0.45</v>
      </c>
      <c r="H132" s="1356">
        <v>0.1</v>
      </c>
      <c r="I132" s="1350">
        <f>ROUND(IF(AND(F132:H132),C132*E132*F132*G132*H132,IF(AND(F132,G132),C132*E132*F132*G132,IF(AND(F132,H132),C132*E132*F132*H132,IF(AND(G132,H132),C132*E132*G132*H132,IF(F132,C132*E132*F132,IF(G132,C132*E132*G132,IF(H132,C132*E132*H132,C132*E132))))))),2)</f>
        <v>0.24</v>
      </c>
      <c r="J132" s="1168" t="s">
        <v>5</v>
      </c>
      <c r="K132" s="1169"/>
      <c r="L132" s="1159"/>
      <c r="M132" s="1169"/>
      <c r="N132" s="1161" t="s">
        <v>2218</v>
      </c>
    </row>
    <row r="133" spans="1:14" s="1170" customFormat="1" ht="16.5" hidden="1" customHeight="1">
      <c r="A133" s="1156"/>
      <c r="B133" s="1358" t="s">
        <v>652</v>
      </c>
      <c r="C133" s="1354">
        <v>1</v>
      </c>
      <c r="D133" s="1346" t="s">
        <v>273</v>
      </c>
      <c r="E133" s="1355">
        <v>1</v>
      </c>
      <c r="F133" s="1356">
        <v>10.050000000000001</v>
      </c>
      <c r="G133" s="1356">
        <v>0.45</v>
      </c>
      <c r="H133" s="1356">
        <v>0.1</v>
      </c>
      <c r="I133" s="1350">
        <f>ROUND(IF(AND(F133:H133),C133*E133*F133*G133*H133,IF(AND(F133,G133),C133*E133*F133*G133,IF(AND(F133,H133),C133*E133*F133*H133,IF(AND(G133,H133),C133*E133*G133*H133,IF(F133,C133*E133*F133,IF(G133,C133*E133*G133,IF(H133,C133*E133*H133,C133*E133))))))),2)</f>
        <v>0.45</v>
      </c>
      <c r="J133" s="1168" t="s">
        <v>5</v>
      </c>
      <c r="K133" s="1169"/>
      <c r="L133" s="1159"/>
      <c r="M133" s="1169"/>
      <c r="N133" s="1161" t="s">
        <v>2218</v>
      </c>
    </row>
    <row r="134" spans="1:14" s="1170" customFormat="1" ht="16.5" hidden="1" customHeight="1">
      <c r="A134" s="1156"/>
      <c r="B134" s="1358" t="s">
        <v>653</v>
      </c>
      <c r="C134" s="1354">
        <v>1</v>
      </c>
      <c r="D134" s="1346" t="s">
        <v>273</v>
      </c>
      <c r="E134" s="1355">
        <v>1</v>
      </c>
      <c r="F134" s="1356">
        <v>5.46</v>
      </c>
      <c r="G134" s="1356">
        <v>0.3</v>
      </c>
      <c r="H134" s="1356">
        <v>0.1</v>
      </c>
      <c r="I134" s="1350">
        <f>ROUND(IF(AND(F134:H134),C134*E134*F134*G134*H134,IF(AND(F134,G134),C134*E134*F134*G134,IF(AND(F134,H134),C134*E134*F134*H134,IF(AND(G134,H134),C134*E134*G134*H134,IF(F134,C134*E134*F134,IF(G134,C134*E134*G134,IF(H134,C134*E134*H134,C134*E134))))))),2)</f>
        <v>0.16</v>
      </c>
      <c r="J134" s="1168" t="s">
        <v>5</v>
      </c>
      <c r="K134" s="1169"/>
      <c r="L134" s="1159"/>
      <c r="M134" s="1169"/>
      <c r="N134" s="1161" t="s">
        <v>2218</v>
      </c>
    </row>
    <row r="135" spans="1:14" s="1170" customFormat="1" ht="16.5" hidden="1" customHeight="1">
      <c r="A135" s="1156"/>
      <c r="B135" s="1358" t="s">
        <v>720</v>
      </c>
      <c r="C135" s="1354">
        <v>1</v>
      </c>
      <c r="D135" s="1346" t="s">
        <v>273</v>
      </c>
      <c r="E135" s="1355">
        <v>1</v>
      </c>
      <c r="F135" s="1356">
        <v>4.7</v>
      </c>
      <c r="G135" s="1356">
        <v>2.2999999999999998</v>
      </c>
      <c r="H135" s="1356">
        <v>0.15</v>
      </c>
      <c r="I135" s="1350">
        <f>ROUND(IF(AND(F135:H135),C135*E135*F135*G135*H135,IF(AND(F135,G135),C135*E135*F135*G135,IF(AND(F135,H135),C135*E135*F135*H135,IF(AND(G135,H135),C135*E135*G135*H135,IF(F135,C135*E135*F135,IF(G135,C135*E135*G135,IF(H135,C135*E135*H135,C135*E135))))))),2)</f>
        <v>1.62</v>
      </c>
      <c r="J135" s="1168" t="s">
        <v>5</v>
      </c>
      <c r="K135" s="1169"/>
      <c r="L135" s="1159"/>
      <c r="M135" s="1169"/>
      <c r="N135" s="1161" t="s">
        <v>2218</v>
      </c>
    </row>
    <row r="136" spans="1:14" s="1170" customFormat="1" ht="16.5" hidden="1" customHeight="1">
      <c r="A136" s="1156"/>
      <c r="B136" s="1331"/>
      <c r="C136" s="1332"/>
      <c r="D136" s="1333"/>
      <c r="E136" s="1334"/>
      <c r="F136" s="1335"/>
      <c r="G136" s="1335"/>
      <c r="H136" s="1335"/>
      <c r="I136" s="1336"/>
      <c r="J136" s="1168"/>
      <c r="K136" s="1169"/>
      <c r="L136" s="1159"/>
      <c r="M136" s="1169"/>
      <c r="N136" s="1161" t="s">
        <v>2218</v>
      </c>
    </row>
    <row r="137" spans="1:14" ht="15.75" hidden="1">
      <c r="A137" s="1156"/>
      <c r="B137" s="1169"/>
      <c r="C137" s="1337"/>
      <c r="D137" s="1171"/>
      <c r="E137" s="1165"/>
      <c r="F137" s="1166"/>
      <c r="G137" s="1343"/>
      <c r="H137" s="1156"/>
      <c r="I137" s="1336"/>
      <c r="J137" s="1168" t="s">
        <v>5</v>
      </c>
      <c r="K137" s="1221">
        <f>data!G104</f>
        <v>3725</v>
      </c>
      <c r="L137" s="1159" t="s">
        <v>2218</v>
      </c>
      <c r="M137" s="1224">
        <f>ROUND(I137*K137,0)</f>
        <v>0</v>
      </c>
      <c r="N137" s="1161" t="s">
        <v>2218</v>
      </c>
    </row>
    <row r="138" spans="1:14" ht="57" hidden="1" customHeight="1">
      <c r="A138" s="1156">
        <v>3</v>
      </c>
      <c r="B138" s="1826" t="s">
        <v>67</v>
      </c>
      <c r="C138" s="1826"/>
      <c r="D138" s="1826"/>
      <c r="E138" s="1826"/>
      <c r="F138" s="1826"/>
      <c r="G138" s="1826"/>
      <c r="H138" s="1826"/>
      <c r="I138" s="1157"/>
      <c r="J138" s="1158"/>
      <c r="K138" s="1156"/>
      <c r="L138" s="1159"/>
      <c r="M138" s="1160"/>
      <c r="N138" s="1161" t="s">
        <v>2306</v>
      </c>
    </row>
    <row r="139" spans="1:14" s="1170" customFormat="1" ht="16.5" hidden="1" customHeight="1">
      <c r="A139" s="1156"/>
      <c r="B139" s="1358" t="s">
        <v>3468</v>
      </c>
      <c r="C139" s="1354"/>
      <c r="D139" s="1346"/>
      <c r="E139" s="1355"/>
      <c r="F139" s="1356"/>
      <c r="G139" s="1356"/>
      <c r="H139" s="1356"/>
      <c r="I139" s="1350"/>
      <c r="J139" s="1168"/>
      <c r="K139" s="1169"/>
      <c r="L139" s="1159"/>
      <c r="M139" s="1169"/>
      <c r="N139" s="1161" t="s">
        <v>2306</v>
      </c>
    </row>
    <row r="140" spans="1:14" s="1170" customFormat="1" ht="16.5" hidden="1" customHeight="1">
      <c r="A140" s="1156"/>
      <c r="B140" s="1358"/>
      <c r="C140" s="1354">
        <v>1</v>
      </c>
      <c r="D140" s="1346" t="s">
        <v>273</v>
      </c>
      <c r="E140" s="1355">
        <v>1</v>
      </c>
      <c r="F140" s="1356">
        <v>4.72</v>
      </c>
      <c r="G140" s="1356">
        <v>0.45</v>
      </c>
      <c r="H140" s="1356">
        <v>0.1</v>
      </c>
      <c r="I140" s="1350">
        <f>ROUND(IF(AND(F140:H140),C140*E140*F140*G140*H140,IF(AND(F140,G140),C140*E140*F140*G140,IF(AND(F140,H140),C140*E140*F140*H140,IF(AND(G140,H140),C140*E140*G140*H140,IF(F140,C140*E140*F140,IF(G140,C140*E140*G140,IF(H140,C140*E140*H140,C140*E140))))))),2)</f>
        <v>0.21</v>
      </c>
      <c r="J140" s="1168" t="s">
        <v>5</v>
      </c>
      <c r="K140" s="1169"/>
      <c r="L140" s="1159"/>
      <c r="M140" s="1169"/>
      <c r="N140" s="1161" t="s">
        <v>2306</v>
      </c>
    </row>
    <row r="141" spans="1:14" s="1170" customFormat="1" ht="16.5" hidden="1" customHeight="1">
      <c r="A141" s="1156"/>
      <c r="B141" s="1358" t="s">
        <v>651</v>
      </c>
      <c r="C141" s="1354">
        <v>1</v>
      </c>
      <c r="D141" s="1346" t="s">
        <v>273</v>
      </c>
      <c r="E141" s="1355">
        <v>1</v>
      </c>
      <c r="F141" s="1356">
        <v>5.4</v>
      </c>
      <c r="G141" s="1356">
        <v>0.45</v>
      </c>
      <c r="H141" s="1356">
        <v>0.1</v>
      </c>
      <c r="I141" s="1350">
        <f>ROUND(IF(AND(F141:H141),C141*E141*F141*G141*H141,IF(AND(F141,G141),C141*E141*F141*G141,IF(AND(F141,H141),C141*E141*F141*H141,IF(AND(G141,H141),C141*E141*G141*H141,IF(F141,C141*E141*F141,IF(G141,C141*E141*G141,IF(H141,C141*E141*H141,C141*E141))))))),2)</f>
        <v>0.24</v>
      </c>
      <c r="J141" s="1168" t="s">
        <v>5</v>
      </c>
      <c r="K141" s="1169"/>
      <c r="L141" s="1159"/>
      <c r="M141" s="1169"/>
      <c r="N141" s="1161" t="s">
        <v>2306</v>
      </c>
    </row>
    <row r="142" spans="1:14" s="1170" customFormat="1" ht="16.5" hidden="1" customHeight="1">
      <c r="A142" s="1156"/>
      <c r="B142" s="1358" t="s">
        <v>652</v>
      </c>
      <c r="C142" s="1354">
        <v>1</v>
      </c>
      <c r="D142" s="1346" t="s">
        <v>273</v>
      </c>
      <c r="E142" s="1355">
        <v>1</v>
      </c>
      <c r="F142" s="1356">
        <v>10.050000000000001</v>
      </c>
      <c r="G142" s="1356">
        <v>0.45</v>
      </c>
      <c r="H142" s="1356">
        <v>0.1</v>
      </c>
      <c r="I142" s="1350">
        <f>ROUND(IF(AND(F142:H142),C142*E142*F142*G142*H142,IF(AND(F142,G142),C142*E142*F142*G142,IF(AND(F142,H142),C142*E142*F142*H142,IF(AND(G142,H142),C142*E142*G142*H142,IF(F142,C142*E142*F142,IF(G142,C142*E142*G142,IF(H142,C142*E142*H142,C142*E142))))))),2)</f>
        <v>0.45</v>
      </c>
      <c r="J142" s="1168" t="s">
        <v>5</v>
      </c>
      <c r="K142" s="1169"/>
      <c r="L142" s="1159"/>
      <c r="M142" s="1169"/>
      <c r="N142" s="1161" t="s">
        <v>2306</v>
      </c>
    </row>
    <row r="143" spans="1:14" s="1170" customFormat="1" ht="16.5" hidden="1" customHeight="1">
      <c r="A143" s="1156"/>
      <c r="B143" s="1358" t="s">
        <v>653</v>
      </c>
      <c r="C143" s="1354">
        <v>1</v>
      </c>
      <c r="D143" s="1346" t="s">
        <v>273</v>
      </c>
      <c r="E143" s="1355">
        <v>1</v>
      </c>
      <c r="F143" s="1356">
        <v>5.46</v>
      </c>
      <c r="G143" s="1356">
        <v>0.3</v>
      </c>
      <c r="H143" s="1356">
        <v>0.1</v>
      </c>
      <c r="I143" s="1350">
        <f>ROUND(IF(AND(F143:H143),C143*E143*F143*G143*H143,IF(AND(F143,G143),C143*E143*F143*G143,IF(AND(F143,H143),C143*E143*F143*H143,IF(AND(G143,H143),C143*E143*G143*H143,IF(F143,C143*E143*F143,IF(G143,C143*E143*G143,IF(H143,C143*E143*H143,C143*E143))))))),2)</f>
        <v>0.16</v>
      </c>
      <c r="J143" s="1168" t="s">
        <v>5</v>
      </c>
      <c r="K143" s="1169"/>
      <c r="L143" s="1159"/>
      <c r="M143" s="1169"/>
      <c r="N143" s="1161" t="s">
        <v>2306</v>
      </c>
    </row>
    <row r="144" spans="1:14" s="1170" customFormat="1" ht="16.5" hidden="1" customHeight="1">
      <c r="A144" s="1156"/>
      <c r="B144" s="1358" t="s">
        <v>720</v>
      </c>
      <c r="C144" s="1354">
        <v>1</v>
      </c>
      <c r="D144" s="1346" t="s">
        <v>273</v>
      </c>
      <c r="E144" s="1355">
        <v>1</v>
      </c>
      <c r="F144" s="1356">
        <v>4.7</v>
      </c>
      <c r="G144" s="1356">
        <v>2.2999999999999998</v>
      </c>
      <c r="H144" s="1356">
        <v>0.15</v>
      </c>
      <c r="I144" s="1350">
        <f>ROUND(IF(AND(F144:H144),C144*E144*F144*G144*H144,IF(AND(F144,G144),C144*E144*F144*G144,IF(AND(F144,H144),C144*E144*F144*H144,IF(AND(G144,H144),C144*E144*G144*H144,IF(F144,C144*E144*F144,IF(G144,C144*E144*G144,IF(H144,C144*E144*H144,C144*E144))))))),2)</f>
        <v>1.62</v>
      </c>
      <c r="J144" s="1168" t="s">
        <v>5</v>
      </c>
      <c r="K144" s="1169"/>
      <c r="L144" s="1159"/>
      <c r="M144" s="1169"/>
      <c r="N144" s="1161" t="s">
        <v>2306</v>
      </c>
    </row>
    <row r="145" spans="1:14" s="1170" customFormat="1" ht="16.5" hidden="1" customHeight="1">
      <c r="A145" s="1156"/>
      <c r="B145" s="1331"/>
      <c r="C145" s="1332"/>
      <c r="D145" s="1333"/>
      <c r="E145" s="1334"/>
      <c r="F145" s="1335"/>
      <c r="G145" s="1335"/>
      <c r="H145" s="1335"/>
      <c r="I145" s="1336"/>
      <c r="J145" s="1168"/>
      <c r="K145" s="1169"/>
      <c r="L145" s="1159"/>
      <c r="M145" s="1169"/>
      <c r="N145" s="1161" t="s">
        <v>2306</v>
      </c>
    </row>
    <row r="146" spans="1:14" ht="15.75" hidden="1">
      <c r="A146" s="1156"/>
      <c r="B146" s="1169"/>
      <c r="C146" s="1337"/>
      <c r="D146" s="1171"/>
      <c r="E146" s="1165"/>
      <c r="F146" s="1166"/>
      <c r="G146" s="1343"/>
      <c r="H146" s="1156"/>
      <c r="I146" s="1336"/>
      <c r="J146" s="1168" t="s">
        <v>5</v>
      </c>
      <c r="K146" s="1221">
        <f>data!G1020</f>
        <v>3915.56</v>
      </c>
      <c r="L146" s="1159" t="s">
        <v>2306</v>
      </c>
      <c r="M146" s="1224">
        <f>ROUND(I146*K146,0)</f>
        <v>0</v>
      </c>
      <c r="N146" s="1161" t="s">
        <v>2306</v>
      </c>
    </row>
    <row r="147" spans="1:14" ht="57" hidden="1" customHeight="1">
      <c r="A147" s="1156">
        <v>3</v>
      </c>
      <c r="B147" s="1826" t="s">
        <v>67</v>
      </c>
      <c r="C147" s="1826"/>
      <c r="D147" s="1826"/>
      <c r="E147" s="1826"/>
      <c r="F147" s="1826"/>
      <c r="G147" s="1826"/>
      <c r="H147" s="1826"/>
      <c r="I147" s="1157"/>
      <c r="J147" s="1158"/>
      <c r="K147" s="1156"/>
      <c r="L147" s="1159"/>
      <c r="M147" s="1160"/>
      <c r="N147" s="1161" t="s">
        <v>2317</v>
      </c>
    </row>
    <row r="148" spans="1:14" s="1170" customFormat="1" ht="16.5" hidden="1" customHeight="1">
      <c r="A148" s="1156"/>
      <c r="B148" s="1358" t="s">
        <v>3468</v>
      </c>
      <c r="C148" s="1354"/>
      <c r="D148" s="1346"/>
      <c r="E148" s="1355"/>
      <c r="F148" s="1356"/>
      <c r="G148" s="1356"/>
      <c r="H148" s="1356"/>
      <c r="I148" s="1350"/>
      <c r="J148" s="1168"/>
      <c r="K148" s="1169"/>
      <c r="L148" s="1159"/>
      <c r="M148" s="1169"/>
      <c r="N148" s="1161" t="s">
        <v>2317</v>
      </c>
    </row>
    <row r="149" spans="1:14" s="1170" customFormat="1" ht="16.5" hidden="1" customHeight="1">
      <c r="A149" s="1156"/>
      <c r="B149" s="1358"/>
      <c r="C149" s="1354">
        <v>1</v>
      </c>
      <c r="D149" s="1346" t="s">
        <v>273</v>
      </c>
      <c r="E149" s="1355">
        <v>1</v>
      </c>
      <c r="F149" s="1356">
        <v>4.72</v>
      </c>
      <c r="G149" s="1356">
        <v>0.45</v>
      </c>
      <c r="H149" s="1356">
        <v>0.1</v>
      </c>
      <c r="I149" s="1350">
        <f>ROUND(IF(AND(F149:H149),C149*E149*F149*G149*H149,IF(AND(F149,G149),C149*E149*F149*G149,IF(AND(F149,H149),C149*E149*F149*H149,IF(AND(G149,H149),C149*E149*G149*H149,IF(F149,C149*E149*F149,IF(G149,C149*E149*G149,IF(H149,C149*E149*H149,C149*E149))))))),2)</f>
        <v>0.21</v>
      </c>
      <c r="J149" s="1168" t="s">
        <v>5</v>
      </c>
      <c r="K149" s="1169"/>
      <c r="L149" s="1159"/>
      <c r="M149" s="1169"/>
      <c r="N149" s="1161" t="s">
        <v>2317</v>
      </c>
    </row>
    <row r="150" spans="1:14" s="1170" customFormat="1" ht="16.5" hidden="1" customHeight="1">
      <c r="A150" s="1156"/>
      <c r="B150" s="1358" t="s">
        <v>651</v>
      </c>
      <c r="C150" s="1354">
        <v>1</v>
      </c>
      <c r="D150" s="1346" t="s">
        <v>273</v>
      </c>
      <c r="E150" s="1355">
        <v>1</v>
      </c>
      <c r="F150" s="1356">
        <v>5.4</v>
      </c>
      <c r="G150" s="1356">
        <v>0.45</v>
      </c>
      <c r="H150" s="1356">
        <v>0.1</v>
      </c>
      <c r="I150" s="1350">
        <f>ROUND(IF(AND(F150:H150),C150*E150*F150*G150*H150,IF(AND(F150,G150),C150*E150*F150*G150,IF(AND(F150,H150),C150*E150*F150*H150,IF(AND(G150,H150),C150*E150*G150*H150,IF(F150,C150*E150*F150,IF(G150,C150*E150*G150,IF(H150,C150*E150*H150,C150*E150))))))),2)</f>
        <v>0.24</v>
      </c>
      <c r="J150" s="1168" t="s">
        <v>5</v>
      </c>
      <c r="K150" s="1169"/>
      <c r="L150" s="1159"/>
      <c r="M150" s="1169"/>
      <c r="N150" s="1161" t="s">
        <v>2317</v>
      </c>
    </row>
    <row r="151" spans="1:14" s="1170" customFormat="1" ht="16.5" hidden="1" customHeight="1">
      <c r="A151" s="1156"/>
      <c r="B151" s="1358" t="s">
        <v>652</v>
      </c>
      <c r="C151" s="1354">
        <v>1</v>
      </c>
      <c r="D151" s="1346" t="s">
        <v>273</v>
      </c>
      <c r="E151" s="1355">
        <v>1</v>
      </c>
      <c r="F151" s="1356">
        <v>10.050000000000001</v>
      </c>
      <c r="G151" s="1356">
        <v>0.45</v>
      </c>
      <c r="H151" s="1356">
        <v>0.1</v>
      </c>
      <c r="I151" s="1350">
        <f>ROUND(IF(AND(F151:H151),C151*E151*F151*G151*H151,IF(AND(F151,G151),C151*E151*F151*G151,IF(AND(F151,H151),C151*E151*F151*H151,IF(AND(G151,H151),C151*E151*G151*H151,IF(F151,C151*E151*F151,IF(G151,C151*E151*G151,IF(H151,C151*E151*H151,C151*E151))))))),2)</f>
        <v>0.45</v>
      </c>
      <c r="J151" s="1168" t="s">
        <v>5</v>
      </c>
      <c r="K151" s="1169"/>
      <c r="L151" s="1159"/>
      <c r="M151" s="1169"/>
      <c r="N151" s="1161" t="s">
        <v>2317</v>
      </c>
    </row>
    <row r="152" spans="1:14" s="1170" customFormat="1" ht="16.5" hidden="1" customHeight="1">
      <c r="A152" s="1156"/>
      <c r="B152" s="1358" t="s">
        <v>653</v>
      </c>
      <c r="C152" s="1354">
        <v>1</v>
      </c>
      <c r="D152" s="1346" t="s">
        <v>273</v>
      </c>
      <c r="E152" s="1355">
        <v>1</v>
      </c>
      <c r="F152" s="1356">
        <v>5.46</v>
      </c>
      <c r="G152" s="1356">
        <v>0.3</v>
      </c>
      <c r="H152" s="1356">
        <v>0.1</v>
      </c>
      <c r="I152" s="1350">
        <f>ROUND(IF(AND(F152:H152),C152*E152*F152*G152*H152,IF(AND(F152,G152),C152*E152*F152*G152,IF(AND(F152,H152),C152*E152*F152*H152,IF(AND(G152,H152),C152*E152*G152*H152,IF(F152,C152*E152*F152,IF(G152,C152*E152*G152,IF(H152,C152*E152*H152,C152*E152))))))),2)</f>
        <v>0.16</v>
      </c>
      <c r="J152" s="1168" t="s">
        <v>5</v>
      </c>
      <c r="K152" s="1169"/>
      <c r="L152" s="1159"/>
      <c r="M152" s="1169"/>
      <c r="N152" s="1161" t="s">
        <v>2317</v>
      </c>
    </row>
    <row r="153" spans="1:14" s="1170" customFormat="1" ht="16.5" hidden="1" customHeight="1">
      <c r="A153" s="1156"/>
      <c r="B153" s="1358" t="s">
        <v>720</v>
      </c>
      <c r="C153" s="1354">
        <v>1</v>
      </c>
      <c r="D153" s="1346" t="s">
        <v>273</v>
      </c>
      <c r="E153" s="1355">
        <v>1</v>
      </c>
      <c r="F153" s="1356">
        <v>4.7</v>
      </c>
      <c r="G153" s="1356">
        <v>2.2999999999999998</v>
      </c>
      <c r="H153" s="1356">
        <v>0.15</v>
      </c>
      <c r="I153" s="1350">
        <f>ROUND(IF(AND(F153:H153),C153*E153*F153*G153*H153,IF(AND(F153,G153),C153*E153*F153*G153,IF(AND(F153,H153),C153*E153*F153*H153,IF(AND(G153,H153),C153*E153*G153*H153,IF(F153,C153*E153*F153,IF(G153,C153*E153*G153,IF(H153,C153*E153*H153,C153*E153))))))),2)</f>
        <v>1.62</v>
      </c>
      <c r="J153" s="1168" t="s">
        <v>5</v>
      </c>
      <c r="K153" s="1169"/>
      <c r="L153" s="1159"/>
      <c r="M153" s="1169"/>
      <c r="N153" s="1161" t="s">
        <v>2317</v>
      </c>
    </row>
    <row r="154" spans="1:14" s="1170" customFormat="1" ht="16.5" hidden="1" customHeight="1">
      <c r="A154" s="1156"/>
      <c r="B154" s="1331"/>
      <c r="C154" s="1332"/>
      <c r="D154" s="1333"/>
      <c r="E154" s="1334"/>
      <c r="F154" s="1335"/>
      <c r="G154" s="1335"/>
      <c r="H154" s="1335"/>
      <c r="I154" s="1336"/>
      <c r="J154" s="1168"/>
      <c r="K154" s="1169"/>
      <c r="L154" s="1159"/>
      <c r="M154" s="1169"/>
      <c r="N154" s="1161" t="s">
        <v>2317</v>
      </c>
    </row>
    <row r="155" spans="1:14" ht="15.75" hidden="1">
      <c r="A155" s="1156"/>
      <c r="B155" s="1169"/>
      <c r="C155" s="1337"/>
      <c r="D155" s="1171"/>
      <c r="E155" s="1165"/>
      <c r="F155" s="1166"/>
      <c r="G155" s="1343"/>
      <c r="H155" s="1156"/>
      <c r="I155" s="1336"/>
      <c r="J155" s="1168" t="s">
        <v>5</v>
      </c>
      <c r="K155" s="1221">
        <f>data!G1937</f>
        <v>4180.2700000000004</v>
      </c>
      <c r="L155" s="1159" t="s">
        <v>2317</v>
      </c>
      <c r="M155" s="1224">
        <f>ROUND(I155*K155,0)</f>
        <v>0</v>
      </c>
      <c r="N155" s="1161" t="s">
        <v>2317</v>
      </c>
    </row>
    <row r="156" spans="1:14" ht="57" hidden="1" customHeight="1">
      <c r="A156" s="1156">
        <v>3</v>
      </c>
      <c r="B156" s="1826" t="s">
        <v>67</v>
      </c>
      <c r="C156" s="1826"/>
      <c r="D156" s="1826"/>
      <c r="E156" s="1826"/>
      <c r="F156" s="1826"/>
      <c r="G156" s="1826"/>
      <c r="H156" s="1826"/>
      <c r="I156" s="1157"/>
      <c r="J156" s="1158"/>
      <c r="K156" s="1156"/>
      <c r="L156" s="1159"/>
      <c r="M156" s="1160"/>
      <c r="N156" s="1161" t="s">
        <v>2318</v>
      </c>
    </row>
    <row r="157" spans="1:14" s="1170" customFormat="1" ht="16.5" hidden="1" customHeight="1">
      <c r="A157" s="1156"/>
      <c r="B157" s="1358" t="s">
        <v>3468</v>
      </c>
      <c r="C157" s="1354"/>
      <c r="D157" s="1346"/>
      <c r="E157" s="1355"/>
      <c r="F157" s="1356"/>
      <c r="G157" s="1356"/>
      <c r="H157" s="1356"/>
      <c r="I157" s="1350"/>
      <c r="J157" s="1168"/>
      <c r="K157" s="1169"/>
      <c r="L157" s="1159"/>
      <c r="M157" s="1169"/>
      <c r="N157" s="1161" t="s">
        <v>2318</v>
      </c>
    </row>
    <row r="158" spans="1:14" s="1170" customFormat="1" ht="16.5" hidden="1" customHeight="1">
      <c r="A158" s="1156"/>
      <c r="B158" s="1358"/>
      <c r="C158" s="1354">
        <v>1</v>
      </c>
      <c r="D158" s="1346" t="s">
        <v>273</v>
      </c>
      <c r="E158" s="1355">
        <v>1</v>
      </c>
      <c r="F158" s="1356">
        <v>4.72</v>
      </c>
      <c r="G158" s="1356">
        <v>0.45</v>
      </c>
      <c r="H158" s="1356">
        <v>0.1</v>
      </c>
      <c r="I158" s="1350">
        <f>ROUND(IF(AND(F158:H158),C158*E158*F158*G158*H158,IF(AND(F158,G158),C158*E158*F158*G158,IF(AND(F158,H158),C158*E158*F158*H158,IF(AND(G158,H158),C158*E158*G158*H158,IF(F158,C158*E158*F158,IF(G158,C158*E158*G158,IF(H158,C158*E158*H158,C158*E158))))))),2)</f>
        <v>0.21</v>
      </c>
      <c r="J158" s="1168" t="s">
        <v>5</v>
      </c>
      <c r="K158" s="1169"/>
      <c r="L158" s="1159"/>
      <c r="M158" s="1169"/>
      <c r="N158" s="1161" t="s">
        <v>2318</v>
      </c>
    </row>
    <row r="159" spans="1:14" s="1170" customFormat="1" ht="16.5" hidden="1" customHeight="1">
      <c r="A159" s="1156"/>
      <c r="B159" s="1358" t="s">
        <v>651</v>
      </c>
      <c r="C159" s="1354">
        <v>1</v>
      </c>
      <c r="D159" s="1346" t="s">
        <v>273</v>
      </c>
      <c r="E159" s="1355">
        <v>1</v>
      </c>
      <c r="F159" s="1356">
        <v>5.4</v>
      </c>
      <c r="G159" s="1356">
        <v>0.45</v>
      </c>
      <c r="H159" s="1356">
        <v>0.1</v>
      </c>
      <c r="I159" s="1350">
        <f>ROUND(IF(AND(F159:H159),C159*E159*F159*G159*H159,IF(AND(F159,G159),C159*E159*F159*G159,IF(AND(F159,H159),C159*E159*F159*H159,IF(AND(G159,H159),C159*E159*G159*H159,IF(F159,C159*E159*F159,IF(G159,C159*E159*G159,IF(H159,C159*E159*H159,C159*E159))))))),2)</f>
        <v>0.24</v>
      </c>
      <c r="J159" s="1168" t="s">
        <v>5</v>
      </c>
      <c r="K159" s="1169"/>
      <c r="L159" s="1159"/>
      <c r="M159" s="1169"/>
      <c r="N159" s="1161" t="s">
        <v>2318</v>
      </c>
    </row>
    <row r="160" spans="1:14" s="1170" customFormat="1" ht="16.5" hidden="1" customHeight="1">
      <c r="A160" s="1156"/>
      <c r="B160" s="1358" t="s">
        <v>652</v>
      </c>
      <c r="C160" s="1354">
        <v>1</v>
      </c>
      <c r="D160" s="1346" t="s">
        <v>273</v>
      </c>
      <c r="E160" s="1355">
        <v>1</v>
      </c>
      <c r="F160" s="1356">
        <v>10.050000000000001</v>
      </c>
      <c r="G160" s="1356">
        <v>0.45</v>
      </c>
      <c r="H160" s="1356">
        <v>0.1</v>
      </c>
      <c r="I160" s="1350">
        <f>ROUND(IF(AND(F160:H160),C160*E160*F160*G160*H160,IF(AND(F160,G160),C160*E160*F160*G160,IF(AND(F160,H160),C160*E160*F160*H160,IF(AND(G160,H160),C160*E160*G160*H160,IF(F160,C160*E160*F160,IF(G160,C160*E160*G160,IF(H160,C160*E160*H160,C160*E160))))))),2)</f>
        <v>0.45</v>
      </c>
      <c r="J160" s="1168" t="s">
        <v>5</v>
      </c>
      <c r="K160" s="1169"/>
      <c r="L160" s="1159"/>
      <c r="M160" s="1169"/>
      <c r="N160" s="1161" t="s">
        <v>2318</v>
      </c>
    </row>
    <row r="161" spans="1:14" s="1170" customFormat="1" ht="16.5" hidden="1" customHeight="1">
      <c r="A161" s="1156"/>
      <c r="B161" s="1358" t="s">
        <v>653</v>
      </c>
      <c r="C161" s="1354">
        <v>1</v>
      </c>
      <c r="D161" s="1346" t="s">
        <v>273</v>
      </c>
      <c r="E161" s="1355">
        <v>1</v>
      </c>
      <c r="F161" s="1356">
        <v>5.46</v>
      </c>
      <c r="G161" s="1356">
        <v>0.3</v>
      </c>
      <c r="H161" s="1356">
        <v>0.1</v>
      </c>
      <c r="I161" s="1350">
        <f>ROUND(IF(AND(F161:H161),C161*E161*F161*G161*H161,IF(AND(F161,G161),C161*E161*F161*G161,IF(AND(F161,H161),C161*E161*F161*H161,IF(AND(G161,H161),C161*E161*G161*H161,IF(F161,C161*E161*F161,IF(G161,C161*E161*G161,IF(H161,C161*E161*H161,C161*E161))))))),2)</f>
        <v>0.16</v>
      </c>
      <c r="J161" s="1168" t="s">
        <v>5</v>
      </c>
      <c r="K161" s="1169"/>
      <c r="L161" s="1159"/>
      <c r="M161" s="1169"/>
      <c r="N161" s="1161" t="s">
        <v>2318</v>
      </c>
    </row>
    <row r="162" spans="1:14" s="1170" customFormat="1" ht="16.5" hidden="1" customHeight="1">
      <c r="A162" s="1156"/>
      <c r="B162" s="1358" t="s">
        <v>720</v>
      </c>
      <c r="C162" s="1354">
        <v>1</v>
      </c>
      <c r="D162" s="1346" t="s">
        <v>273</v>
      </c>
      <c r="E162" s="1355">
        <v>1</v>
      </c>
      <c r="F162" s="1356">
        <v>4.7</v>
      </c>
      <c r="G162" s="1356">
        <v>2.2999999999999998</v>
      </c>
      <c r="H162" s="1356">
        <v>0.15</v>
      </c>
      <c r="I162" s="1350">
        <f>ROUND(IF(AND(F162:H162),C162*E162*F162*G162*H162,IF(AND(F162,G162),C162*E162*F162*G162,IF(AND(F162,H162),C162*E162*F162*H162,IF(AND(G162,H162),C162*E162*G162*H162,IF(F162,C162*E162*F162,IF(G162,C162*E162*G162,IF(H162,C162*E162*H162,C162*E162))))))),2)</f>
        <v>1.62</v>
      </c>
      <c r="J162" s="1168" t="s">
        <v>5</v>
      </c>
      <c r="K162" s="1169"/>
      <c r="L162" s="1159"/>
      <c r="M162" s="1169"/>
      <c r="N162" s="1161" t="s">
        <v>2318</v>
      </c>
    </row>
    <row r="163" spans="1:14" s="1170" customFormat="1" ht="16.5" hidden="1" customHeight="1">
      <c r="A163" s="1156"/>
      <c r="B163" s="1331"/>
      <c r="C163" s="1332"/>
      <c r="D163" s="1333"/>
      <c r="E163" s="1334"/>
      <c r="F163" s="1335"/>
      <c r="G163" s="1335"/>
      <c r="H163" s="1335"/>
      <c r="I163" s="1336"/>
      <c r="J163" s="1168"/>
      <c r="K163" s="1169"/>
      <c r="L163" s="1159"/>
      <c r="M163" s="1169"/>
      <c r="N163" s="1161" t="s">
        <v>2318</v>
      </c>
    </row>
    <row r="164" spans="1:14" ht="15.75" hidden="1">
      <c r="A164" s="1156"/>
      <c r="B164" s="1169"/>
      <c r="C164" s="1337"/>
      <c r="D164" s="1171"/>
      <c r="E164" s="1165"/>
      <c r="F164" s="1166"/>
      <c r="G164" s="1343"/>
      <c r="H164" s="1156"/>
      <c r="I164" s="1336"/>
      <c r="J164" s="1168" t="s">
        <v>5</v>
      </c>
      <c r="K164" s="1221">
        <f>data!G2854</f>
        <v>4431.03</v>
      </c>
      <c r="L164" s="1159" t="s">
        <v>2318</v>
      </c>
      <c r="M164" s="1224">
        <f>ROUND(I164*K164,0)</f>
        <v>0</v>
      </c>
      <c r="N164" s="1161" t="s">
        <v>2318</v>
      </c>
    </row>
    <row r="165" spans="1:14" s="1575" customFormat="1" ht="43.5" customHeight="1">
      <c r="A165" s="1570">
        <v>3</v>
      </c>
      <c r="B165" s="1827" t="s">
        <v>1187</v>
      </c>
      <c r="C165" s="1827"/>
      <c r="D165" s="1827"/>
      <c r="E165" s="1827"/>
      <c r="F165" s="1827"/>
      <c r="G165" s="1827"/>
      <c r="H165" s="1827"/>
      <c r="I165" s="1571"/>
      <c r="J165" s="1572"/>
      <c r="K165" s="1570"/>
      <c r="L165" s="1573"/>
      <c r="M165" s="1577"/>
      <c r="N165" s="1578" t="s">
        <v>2218</v>
      </c>
    </row>
    <row r="166" spans="1:14" s="1586" customFormat="1" ht="18.75" customHeight="1">
      <c r="A166" s="1570"/>
      <c r="B166" s="1579" t="s">
        <v>3752</v>
      </c>
      <c r="C166" s="1571"/>
      <c r="D166" s="1790" t="s">
        <v>3864</v>
      </c>
      <c r="E166" s="1588"/>
      <c r="F166" s="1589"/>
      <c r="G166" s="1589"/>
      <c r="H166" s="1589"/>
      <c r="I166" s="1630"/>
      <c r="J166" s="1631"/>
      <c r="K166" s="1585"/>
      <c r="L166" s="1573"/>
      <c r="M166" s="1585"/>
      <c r="N166" s="1578" t="s">
        <v>2218</v>
      </c>
    </row>
    <row r="167" spans="1:14" s="1586" customFormat="1" ht="16.5" customHeight="1">
      <c r="A167" s="1570"/>
      <c r="B167" s="1585" t="s">
        <v>2086</v>
      </c>
      <c r="C167" s="1571">
        <v>1</v>
      </c>
      <c r="D167" s="1587" t="s">
        <v>273</v>
      </c>
      <c r="E167" s="1588">
        <v>1</v>
      </c>
      <c r="F167" s="1589">
        <v>9.3800000000000008</v>
      </c>
      <c r="G167" s="1589">
        <v>0.84</v>
      </c>
      <c r="H167" s="1589">
        <v>1</v>
      </c>
      <c r="I167" s="1590">
        <f t="shared" ref="I167:I168" si="21">ROUND(IF(AND(F167:H167),C167*E167*F167*G167*H167,IF(AND(F167,G167),C167*E167*F167*G167,IF(AND(F167,H167),C167*E167*F167*H167,IF(AND(G167,H167),C167*E167*G167*H167,IF(F167,C167*E167*F167,IF(G167,C167*E167*G167,IF(H167,C167*E167*H167,C167*E167))))))),2)</f>
        <v>7.88</v>
      </c>
      <c r="J167" s="1591" t="s">
        <v>5</v>
      </c>
      <c r="K167" s="1585"/>
      <c r="L167" s="1573"/>
      <c r="M167" s="1585"/>
      <c r="N167" s="1578" t="s">
        <v>2218</v>
      </c>
    </row>
    <row r="168" spans="1:14" s="1586" customFormat="1" ht="16.5" customHeight="1">
      <c r="A168" s="1570"/>
      <c r="B168" s="1585"/>
      <c r="C168" s="1571">
        <v>1</v>
      </c>
      <c r="D168" s="1587" t="s">
        <v>273</v>
      </c>
      <c r="E168" s="1588">
        <v>1</v>
      </c>
      <c r="F168" s="1589">
        <v>3.05</v>
      </c>
      <c r="G168" s="1589">
        <v>1.77</v>
      </c>
      <c r="H168" s="1589">
        <v>1</v>
      </c>
      <c r="I168" s="1590">
        <f t="shared" si="21"/>
        <v>5.4</v>
      </c>
      <c r="J168" s="1591" t="s">
        <v>5</v>
      </c>
      <c r="K168" s="1585"/>
      <c r="L168" s="1573"/>
      <c r="M168" s="1585"/>
      <c r="N168" s="1578" t="s">
        <v>2218</v>
      </c>
    </row>
    <row r="169" spans="1:14" s="1586" customFormat="1" ht="16.5" customHeight="1">
      <c r="A169" s="1570"/>
      <c r="B169" s="1585"/>
      <c r="C169" s="1571"/>
      <c r="D169" s="1587"/>
      <c r="E169" s="1588"/>
      <c r="F169" s="1589"/>
      <c r="G169" s="1589"/>
      <c r="H169" s="1589"/>
      <c r="I169" s="1590"/>
      <c r="J169" s="1591"/>
      <c r="K169" s="1585"/>
      <c r="L169" s="1573"/>
      <c r="M169" s="1585"/>
      <c r="N169" s="1578" t="s">
        <v>2218</v>
      </c>
    </row>
    <row r="170" spans="1:14" s="1575" customFormat="1" ht="15.75">
      <c r="A170" s="1570"/>
      <c r="B170" s="1585"/>
      <c r="C170" s="1606"/>
      <c r="D170" s="1587"/>
      <c r="E170" s="1588"/>
      <c r="F170" s="1589"/>
      <c r="G170" s="1607"/>
      <c r="H170" s="1570"/>
      <c r="I170" s="1605">
        <f>SUM(I167:I169)</f>
        <v>13.280000000000001</v>
      </c>
      <c r="J170" s="1598" t="s">
        <v>5</v>
      </c>
      <c r="K170" s="1608">
        <f>data!G66</f>
        <v>183</v>
      </c>
      <c r="L170" s="1573" t="s">
        <v>2218</v>
      </c>
      <c r="M170" s="1609">
        <f>ROUND(I170*K170,0)</f>
        <v>2430</v>
      </c>
      <c r="N170" s="1578" t="s">
        <v>2218</v>
      </c>
    </row>
    <row r="171" spans="1:14" ht="43.5" hidden="1" customHeight="1">
      <c r="A171" s="1156">
        <v>6</v>
      </c>
      <c r="B171" s="1826" t="s">
        <v>1187</v>
      </c>
      <c r="C171" s="1826"/>
      <c r="D171" s="1826"/>
      <c r="E171" s="1826"/>
      <c r="F171" s="1826"/>
      <c r="G171" s="1826"/>
      <c r="H171" s="1826"/>
      <c r="I171" s="1157"/>
      <c r="J171" s="1158"/>
      <c r="K171" s="1156"/>
      <c r="L171" s="1159"/>
      <c r="M171" s="1160"/>
      <c r="N171" s="1161" t="s">
        <v>2306</v>
      </c>
    </row>
    <row r="172" spans="1:14" s="1170" customFormat="1" ht="18.75" hidden="1" customHeight="1">
      <c r="A172" s="1156"/>
      <c r="B172" s="1169" t="s">
        <v>3538</v>
      </c>
      <c r="C172" s="1157"/>
      <c r="D172" s="1548" t="s">
        <v>3643</v>
      </c>
      <c r="E172" s="1165"/>
      <c r="F172" s="1166"/>
      <c r="G172" s="1166"/>
      <c r="H172" s="1166"/>
      <c r="I172" s="1167"/>
      <c r="J172" s="1329"/>
      <c r="K172" s="1169"/>
      <c r="L172" s="1156"/>
      <c r="M172" s="1169"/>
      <c r="N172" s="1161" t="s">
        <v>2306</v>
      </c>
    </row>
    <row r="173" spans="1:14" s="1170" customFormat="1" ht="16.5" hidden="1" customHeight="1">
      <c r="A173" s="1156"/>
      <c r="B173" s="1169" t="s">
        <v>3354</v>
      </c>
      <c r="C173" s="1157">
        <v>1</v>
      </c>
      <c r="D173" s="1171" t="s">
        <v>273</v>
      </c>
      <c r="E173" s="1165">
        <v>1</v>
      </c>
      <c r="F173" s="1166">
        <v>9.14</v>
      </c>
      <c r="G173" s="1166">
        <v>0.84</v>
      </c>
      <c r="H173" s="1166">
        <v>0.85</v>
      </c>
      <c r="I173" s="1172">
        <f t="shared" ref="I173:I174" si="22">ROUND(IF(AND(F173:H173),C173*E173*F173*G173*H173,IF(AND(F173,G173),C173*E173*F173*G173,IF(AND(F173,H173),C173*E173*F173*H173,IF(AND(G173,H173),C173*E173*G173*H173,IF(F173,C173*E173*F173,IF(G173,C173*E173*G173,IF(H173,C173*E173*H173,C173*E173))))))),2)</f>
        <v>6.53</v>
      </c>
      <c r="J173" s="1330" t="s">
        <v>5</v>
      </c>
      <c r="K173" s="1169"/>
      <c r="L173" s="1159"/>
      <c r="M173" s="1169"/>
      <c r="N173" s="1161" t="s">
        <v>2306</v>
      </c>
    </row>
    <row r="174" spans="1:14" s="1170" customFormat="1" ht="16.5" hidden="1" customHeight="1">
      <c r="A174" s="1156"/>
      <c r="B174" s="1169"/>
      <c r="C174" s="1157">
        <v>1</v>
      </c>
      <c r="D174" s="1171" t="s">
        <v>273</v>
      </c>
      <c r="E174" s="1165">
        <v>1</v>
      </c>
      <c r="F174" s="1166">
        <v>3.05</v>
      </c>
      <c r="G174" s="1166">
        <v>0.93</v>
      </c>
      <c r="H174" s="1166">
        <v>0.85</v>
      </c>
      <c r="I174" s="1172">
        <f t="shared" si="22"/>
        <v>2.41</v>
      </c>
      <c r="J174" s="1330" t="s">
        <v>5</v>
      </c>
      <c r="K174" s="1169"/>
      <c r="L174" s="1159"/>
      <c r="M174" s="1169"/>
      <c r="N174" s="1161" t="s">
        <v>2306</v>
      </c>
    </row>
    <row r="175" spans="1:14" s="1170" customFormat="1" ht="16.5" hidden="1" customHeight="1">
      <c r="A175" s="1156"/>
      <c r="B175" s="1331"/>
      <c r="C175" s="1332"/>
      <c r="D175" s="1333"/>
      <c r="E175" s="1334"/>
      <c r="F175" s="1335"/>
      <c r="G175" s="1335"/>
      <c r="H175" s="1335"/>
      <c r="I175" s="1336"/>
      <c r="J175" s="1168"/>
      <c r="K175" s="1169"/>
      <c r="L175" s="1159"/>
      <c r="M175" s="1169"/>
      <c r="N175" s="1161" t="s">
        <v>2306</v>
      </c>
    </row>
    <row r="176" spans="1:14" ht="15.75" hidden="1">
      <c r="A176" s="1156"/>
      <c r="B176" s="1169"/>
      <c r="C176" s="1337"/>
      <c r="D176" s="1171"/>
      <c r="E176" s="1165"/>
      <c r="F176" s="1166"/>
      <c r="G176" s="1343"/>
      <c r="H176" s="1156"/>
      <c r="I176" s="1336"/>
      <c r="J176" s="1168" t="s">
        <v>5</v>
      </c>
      <c r="K176" s="1221">
        <f>data!G982</f>
        <v>205.87</v>
      </c>
      <c r="L176" s="1159" t="s">
        <v>2306</v>
      </c>
      <c r="M176" s="1224">
        <f>ROUND(I176*K176,0)</f>
        <v>0</v>
      </c>
      <c r="N176" s="1161" t="s">
        <v>2306</v>
      </c>
    </row>
    <row r="177" spans="1:14" ht="43.5" hidden="1" customHeight="1">
      <c r="A177" s="1156">
        <v>5</v>
      </c>
      <c r="B177" s="1826" t="s">
        <v>1187</v>
      </c>
      <c r="C177" s="1826"/>
      <c r="D177" s="1826"/>
      <c r="E177" s="1826"/>
      <c r="F177" s="1826"/>
      <c r="G177" s="1826"/>
      <c r="H177" s="1826"/>
      <c r="I177" s="1157"/>
      <c r="J177" s="1158"/>
      <c r="K177" s="1156"/>
      <c r="L177" s="1159"/>
      <c r="M177" s="1160"/>
      <c r="N177" s="1161" t="s">
        <v>2317</v>
      </c>
    </row>
    <row r="178" spans="1:14" s="1170" customFormat="1" ht="18.75" hidden="1" customHeight="1">
      <c r="A178" s="1156"/>
      <c r="B178" s="1163" t="s">
        <v>3652</v>
      </c>
      <c r="C178" s="1157"/>
      <c r="D178" s="1548" t="s">
        <v>3736</v>
      </c>
      <c r="E178" s="1165"/>
      <c r="F178" s="1166"/>
      <c r="G178" s="1166"/>
      <c r="H178" s="1166"/>
      <c r="I178" s="1167"/>
      <c r="J178" s="1329"/>
      <c r="K178" s="1169"/>
      <c r="L178" s="1156"/>
      <c r="M178" s="1169"/>
      <c r="N178" s="1161" t="s">
        <v>2317</v>
      </c>
    </row>
    <row r="179" spans="1:14" s="1170" customFormat="1" ht="16.5" hidden="1" customHeight="1">
      <c r="A179" s="1156"/>
      <c r="B179" s="1169" t="s">
        <v>3354</v>
      </c>
      <c r="C179" s="1157">
        <v>1</v>
      </c>
      <c r="D179" s="1171" t="s">
        <v>273</v>
      </c>
      <c r="E179" s="1165">
        <v>1</v>
      </c>
      <c r="F179" s="1166">
        <v>3.05</v>
      </c>
      <c r="G179" s="1166">
        <v>1.77</v>
      </c>
      <c r="H179" s="1166">
        <v>1.1000000000000001</v>
      </c>
      <c r="I179" s="1172">
        <f t="shared" ref="I179:I180" si="23">ROUND(IF(AND(F179:H179),C179*E179*F179*G179*H179,IF(AND(F179,G179),C179*E179*F179*G179,IF(AND(F179,H179),C179*E179*F179*H179,IF(AND(G179,H179),C179*E179*G179*H179,IF(F179,C179*E179*F179,IF(G179,C179*E179*G179,IF(H179,C179*E179*H179,C179*E179))))))),2)</f>
        <v>5.94</v>
      </c>
      <c r="J179" s="1330" t="s">
        <v>5</v>
      </c>
      <c r="K179" s="1169"/>
      <c r="L179" s="1156"/>
      <c r="M179" s="1169"/>
      <c r="N179" s="1161" t="s">
        <v>2317</v>
      </c>
    </row>
    <row r="180" spans="1:14" s="1170" customFormat="1" ht="16.5" hidden="1" customHeight="1">
      <c r="A180" s="1156"/>
      <c r="B180" s="1169"/>
      <c r="C180" s="1157">
        <v>1</v>
      </c>
      <c r="D180" s="1171" t="s">
        <v>273</v>
      </c>
      <c r="E180" s="1165">
        <v>2</v>
      </c>
      <c r="F180" s="1166">
        <v>3.05</v>
      </c>
      <c r="G180" s="1166">
        <v>0.84</v>
      </c>
      <c r="H180" s="1166">
        <v>1.1000000000000001</v>
      </c>
      <c r="I180" s="1172">
        <f t="shared" si="23"/>
        <v>5.64</v>
      </c>
      <c r="J180" s="1330" t="s">
        <v>5</v>
      </c>
      <c r="K180" s="1169"/>
      <c r="L180" s="1156"/>
      <c r="M180" s="1169"/>
      <c r="N180" s="1161" t="s">
        <v>2317</v>
      </c>
    </row>
    <row r="181" spans="1:14" s="1170" customFormat="1" ht="16.5" hidden="1" customHeight="1">
      <c r="A181" s="1156"/>
      <c r="B181" s="1331"/>
      <c r="C181" s="1332"/>
      <c r="D181" s="1333"/>
      <c r="E181" s="1334"/>
      <c r="F181" s="1335"/>
      <c r="G181" s="1335"/>
      <c r="H181" s="1335"/>
      <c r="I181" s="1336"/>
      <c r="J181" s="1168"/>
      <c r="K181" s="1169"/>
      <c r="L181" s="1159"/>
      <c r="M181" s="1169"/>
      <c r="N181" s="1161" t="s">
        <v>2317</v>
      </c>
    </row>
    <row r="182" spans="1:14" ht="15.75" hidden="1">
      <c r="A182" s="1156"/>
      <c r="B182" s="1169"/>
      <c r="C182" s="1337"/>
      <c r="D182" s="1171"/>
      <c r="E182" s="1165"/>
      <c r="F182" s="1166"/>
      <c r="G182" s="1343"/>
      <c r="H182" s="1156"/>
      <c r="I182" s="1336"/>
      <c r="J182" s="1168" t="s">
        <v>5</v>
      </c>
      <c r="K182" s="1221">
        <f>data!G1899</f>
        <v>199.97</v>
      </c>
      <c r="L182" s="1159" t="s">
        <v>2317</v>
      </c>
      <c r="M182" s="1224">
        <f>ROUND(I182*K182,0)</f>
        <v>0</v>
      </c>
      <c r="N182" s="1161" t="s">
        <v>2317</v>
      </c>
    </row>
    <row r="183" spans="1:14" ht="43.5" hidden="1" customHeight="1">
      <c r="A183" s="1156">
        <v>3</v>
      </c>
      <c r="B183" s="1826" t="s">
        <v>1187</v>
      </c>
      <c r="C183" s="1826"/>
      <c r="D183" s="1826"/>
      <c r="E183" s="1826"/>
      <c r="F183" s="1826"/>
      <c r="G183" s="1826"/>
      <c r="H183" s="1826"/>
      <c r="I183" s="1157"/>
      <c r="J183" s="1158"/>
      <c r="K183" s="1156"/>
      <c r="L183" s="1159"/>
      <c r="M183" s="1160"/>
      <c r="N183" s="1161" t="s">
        <v>2318</v>
      </c>
    </row>
    <row r="184" spans="1:14" s="1170" customFormat="1" ht="18.75" hidden="1" customHeight="1">
      <c r="A184" s="1156"/>
      <c r="B184" s="1169" t="s">
        <v>3495</v>
      </c>
      <c r="C184" s="1157"/>
      <c r="D184" s="1171"/>
      <c r="E184" s="1165"/>
      <c r="F184" s="1166"/>
      <c r="G184" s="1166"/>
      <c r="H184" s="1166"/>
      <c r="I184" s="1167"/>
      <c r="J184" s="1168"/>
      <c r="K184" s="1169"/>
      <c r="L184" s="1156"/>
      <c r="M184" s="1169"/>
      <c r="N184" s="1161" t="s">
        <v>2318</v>
      </c>
    </row>
    <row r="185" spans="1:14" s="1170" customFormat="1" ht="16.5" hidden="1" customHeight="1">
      <c r="A185" s="1156"/>
      <c r="B185" s="1169"/>
      <c r="C185" s="1157">
        <v>1</v>
      </c>
      <c r="D185" s="1171" t="s">
        <v>273</v>
      </c>
      <c r="E185" s="1165">
        <v>1</v>
      </c>
      <c r="F185" s="1166">
        <v>4.9000000000000004</v>
      </c>
      <c r="G185" s="1166">
        <v>2.2999999999999998</v>
      </c>
      <c r="H185" s="1166">
        <v>0.4</v>
      </c>
      <c r="I185" s="1172">
        <f t="shared" ref="I185:I186" si="24">ROUND(IF(AND(F185:H185),C185*E185*F185*G185*H185,IF(AND(F185,G185),C185*E185*F185*G185,IF(AND(F185,H185),C185*E185*F185*H185,IF(AND(G185,H185),C185*E185*G185*H185,IF(F185,C185*E185*F185,IF(G185,C185*E185*G185,IF(H185,C185*E185*H185,C185*E185))))))),2)</f>
        <v>4.51</v>
      </c>
      <c r="J185" s="1168" t="s">
        <v>5</v>
      </c>
      <c r="K185" s="1169"/>
      <c r="L185" s="1156"/>
      <c r="M185" s="1169"/>
      <c r="N185" s="1161" t="s">
        <v>2318</v>
      </c>
    </row>
    <row r="186" spans="1:14" s="1170" customFormat="1" ht="16.5" hidden="1" customHeight="1">
      <c r="A186" s="1156"/>
      <c r="B186" s="1169"/>
      <c r="C186" s="1157">
        <v>1</v>
      </c>
      <c r="D186" s="1171" t="s">
        <v>273</v>
      </c>
      <c r="E186" s="1165">
        <v>1</v>
      </c>
      <c r="F186" s="1166">
        <v>3</v>
      </c>
      <c r="G186" s="1166">
        <v>2.2999999999999998</v>
      </c>
      <c r="H186" s="1166">
        <v>0.25</v>
      </c>
      <c r="I186" s="1172">
        <f t="shared" si="24"/>
        <v>1.73</v>
      </c>
      <c r="J186" s="1168" t="s">
        <v>5</v>
      </c>
      <c r="K186" s="1169"/>
      <c r="L186" s="1156"/>
      <c r="M186" s="1169"/>
      <c r="N186" s="1161" t="s">
        <v>2318</v>
      </c>
    </row>
    <row r="187" spans="1:14" s="1170" customFormat="1" ht="16.5" hidden="1" customHeight="1">
      <c r="A187" s="1156"/>
      <c r="B187" s="1331"/>
      <c r="C187" s="1332"/>
      <c r="D187" s="1333"/>
      <c r="E187" s="1334"/>
      <c r="F187" s="1335"/>
      <c r="G187" s="1335"/>
      <c r="H187" s="1335"/>
      <c r="I187" s="1336"/>
      <c r="J187" s="1168"/>
      <c r="K187" s="1169"/>
      <c r="L187" s="1159"/>
      <c r="M187" s="1169"/>
      <c r="N187" s="1161" t="s">
        <v>2318</v>
      </c>
    </row>
    <row r="188" spans="1:14" ht="15.75" hidden="1">
      <c r="A188" s="1156"/>
      <c r="B188" s="1169"/>
      <c r="C188" s="1337"/>
      <c r="D188" s="1171"/>
      <c r="E188" s="1165"/>
      <c r="F188" s="1166"/>
      <c r="G188" s="1343"/>
      <c r="H188" s="1156"/>
      <c r="I188" s="1336"/>
      <c r="J188" s="1168" t="s">
        <v>5</v>
      </c>
      <c r="K188" s="1221">
        <f>data!G2816</f>
        <v>216.13</v>
      </c>
      <c r="L188" s="1159" t="s">
        <v>2318</v>
      </c>
      <c r="M188" s="1224">
        <f>ROUND(I188*K188,0)</f>
        <v>0</v>
      </c>
      <c r="N188" s="1161" t="s">
        <v>2318</v>
      </c>
    </row>
    <row r="189" spans="1:14" ht="43.5" hidden="1" customHeight="1">
      <c r="A189" s="1156">
        <v>4</v>
      </c>
      <c r="B189" s="1826" t="s">
        <v>656</v>
      </c>
      <c r="C189" s="1826"/>
      <c r="D189" s="1826"/>
      <c r="E189" s="1826"/>
      <c r="F189" s="1826"/>
      <c r="G189" s="1826"/>
      <c r="H189" s="1826"/>
      <c r="I189" s="1157"/>
      <c r="J189" s="1158"/>
      <c r="K189" s="1156"/>
      <c r="L189" s="1159"/>
      <c r="M189" s="1160"/>
      <c r="N189" s="1161" t="s">
        <v>2218</v>
      </c>
    </row>
    <row r="190" spans="1:14" s="1170" customFormat="1" ht="16.5" hidden="1" customHeight="1">
      <c r="A190" s="1156"/>
      <c r="B190" s="1358" t="s">
        <v>3470</v>
      </c>
      <c r="C190" s="1351"/>
      <c r="D190" s="1418"/>
      <c r="E190" s="1352"/>
      <c r="F190" s="1234"/>
      <c r="G190" s="1234"/>
      <c r="H190" s="1235"/>
      <c r="I190" s="1353"/>
      <c r="J190" s="1168"/>
      <c r="K190" s="1169"/>
      <c r="L190" s="1159"/>
      <c r="M190" s="1169"/>
      <c r="N190" s="1161" t="s">
        <v>2218</v>
      </c>
    </row>
    <row r="191" spans="1:14" s="1170" customFormat="1" ht="16.5" hidden="1" customHeight="1">
      <c r="A191" s="1156"/>
      <c r="B191" s="1331" t="s">
        <v>657</v>
      </c>
      <c r="C191" s="1332">
        <v>1</v>
      </c>
      <c r="D191" s="1333" t="s">
        <v>273</v>
      </c>
      <c r="E191" s="1334">
        <v>1</v>
      </c>
      <c r="F191" s="1335">
        <v>2.72</v>
      </c>
      <c r="G191" s="1335">
        <v>0.77</v>
      </c>
      <c r="H191" s="1335">
        <v>1.25</v>
      </c>
      <c r="I191" s="1336">
        <f>ROUND(IF(AND(F191:H191),C191*E191*F191*G191*H191,IF(AND(F191,G191),C191*E191*F191*G191,IF(AND(F191,H191),C191*E191*F191*H191,IF(AND(G191,H191),C191*E191*G191*H191,IF(F191,C191*E191*F191,IF(G191,C191*E191*G191,IF(H191,C191*E191*H191,C191*E191))))))),2)</f>
        <v>2.62</v>
      </c>
      <c r="J191" s="1168" t="s">
        <v>5</v>
      </c>
      <c r="K191" s="1169"/>
      <c r="L191" s="1159"/>
      <c r="M191" s="1169"/>
      <c r="N191" s="1161" t="s">
        <v>2218</v>
      </c>
    </row>
    <row r="192" spans="1:14" s="1170" customFormat="1" ht="16.5" hidden="1" customHeight="1">
      <c r="A192" s="1156"/>
      <c r="B192" s="1331" t="s">
        <v>655</v>
      </c>
      <c r="C192" s="1332">
        <v>1</v>
      </c>
      <c r="D192" s="1333" t="s">
        <v>273</v>
      </c>
      <c r="E192" s="1334">
        <v>1</v>
      </c>
      <c r="F192" s="1335">
        <v>3.16</v>
      </c>
      <c r="G192" s="1335">
        <v>1.27</v>
      </c>
      <c r="H192" s="1335">
        <f>(0.1+0.77)/2</f>
        <v>0.435</v>
      </c>
      <c r="I192" s="1336">
        <f>ROUND(IF(AND(F192:H192),C192*E192*F192*G192*H192,IF(AND(F192,G192),C192*E192*F192*G192,IF(AND(F192,H192),C192*E192*F192*H192,IF(AND(G192,H192),C192*E192*G192*H192,IF(F192,C192*E192*F192,IF(G192,C192*E192*G192,IF(H192,C192*E192*H192,C192*E192))))))),2)</f>
        <v>1.75</v>
      </c>
      <c r="J192" s="1168" t="s">
        <v>5</v>
      </c>
      <c r="K192" s="1169"/>
      <c r="L192" s="1159"/>
      <c r="M192" s="1169"/>
      <c r="N192" s="1161" t="s">
        <v>2218</v>
      </c>
    </row>
    <row r="193" spans="1:14" s="1170" customFormat="1" ht="16.5" hidden="1" customHeight="1">
      <c r="A193" s="1156"/>
      <c r="B193" s="1331"/>
      <c r="C193" s="1332"/>
      <c r="D193" s="1333"/>
      <c r="E193" s="1334"/>
      <c r="F193" s="1335"/>
      <c r="G193" s="1335"/>
      <c r="H193" s="1335"/>
      <c r="I193" s="1336"/>
      <c r="J193" s="1168"/>
      <c r="K193" s="1169"/>
      <c r="L193" s="1159"/>
      <c r="M193" s="1169"/>
      <c r="N193" s="1161" t="s">
        <v>2218</v>
      </c>
    </row>
    <row r="194" spans="1:14" ht="15.75" hidden="1">
      <c r="A194" s="1156"/>
      <c r="B194" s="1169"/>
      <c r="C194" s="1337"/>
      <c r="D194" s="1171"/>
      <c r="E194" s="1165"/>
      <c r="F194" s="1166"/>
      <c r="G194" s="1343"/>
      <c r="H194" s="1156"/>
      <c r="I194" s="1336"/>
      <c r="J194" s="1168" t="s">
        <v>5</v>
      </c>
      <c r="K194" s="1221">
        <f>data!G74</f>
        <v>210</v>
      </c>
      <c r="L194" s="1159" t="s">
        <v>2218</v>
      </c>
      <c r="M194" s="1224">
        <f>ROUND(I194*K194,0)</f>
        <v>0</v>
      </c>
      <c r="N194" s="1161" t="s">
        <v>2218</v>
      </c>
    </row>
    <row r="195" spans="1:14" ht="43.5" hidden="1" customHeight="1">
      <c r="A195" s="1156">
        <v>4</v>
      </c>
      <c r="B195" s="1826" t="s">
        <v>656</v>
      </c>
      <c r="C195" s="1826"/>
      <c r="D195" s="1826"/>
      <c r="E195" s="1826"/>
      <c r="F195" s="1826"/>
      <c r="G195" s="1826"/>
      <c r="H195" s="1826"/>
      <c r="I195" s="1157"/>
      <c r="J195" s="1158"/>
      <c r="K195" s="1156"/>
      <c r="L195" s="1159"/>
      <c r="M195" s="1160"/>
      <c r="N195" s="1161" t="s">
        <v>2306</v>
      </c>
    </row>
    <row r="196" spans="1:14" s="1170" customFormat="1" ht="16.5" hidden="1" customHeight="1">
      <c r="A196" s="1156"/>
      <c r="B196" s="1358" t="s">
        <v>3470</v>
      </c>
      <c r="C196" s="1351"/>
      <c r="D196" s="1418"/>
      <c r="E196" s="1352"/>
      <c r="F196" s="1234"/>
      <c r="G196" s="1234"/>
      <c r="H196" s="1235"/>
      <c r="I196" s="1353"/>
      <c r="J196" s="1168"/>
      <c r="K196" s="1169"/>
      <c r="L196" s="1159"/>
      <c r="M196" s="1169"/>
      <c r="N196" s="1161" t="s">
        <v>2306</v>
      </c>
    </row>
    <row r="197" spans="1:14" s="1170" customFormat="1" ht="16.5" hidden="1" customHeight="1">
      <c r="A197" s="1156"/>
      <c r="B197" s="1331" t="s">
        <v>657</v>
      </c>
      <c r="C197" s="1332">
        <v>1</v>
      </c>
      <c r="D197" s="1333" t="s">
        <v>273</v>
      </c>
      <c r="E197" s="1334">
        <v>1</v>
      </c>
      <c r="F197" s="1335">
        <v>2.72</v>
      </c>
      <c r="G197" s="1335">
        <v>0.77</v>
      </c>
      <c r="H197" s="1335">
        <v>1.25</v>
      </c>
      <c r="I197" s="1336">
        <f>ROUND(IF(AND(F197:H197),C197*E197*F197*G197*H197,IF(AND(F197,G197),C197*E197*F197*G197,IF(AND(F197,H197),C197*E197*F197*H197,IF(AND(G197,H197),C197*E197*G197*H197,IF(F197,C197*E197*F197,IF(G197,C197*E197*G197,IF(H197,C197*E197*H197,C197*E197))))))),2)</f>
        <v>2.62</v>
      </c>
      <c r="J197" s="1168" t="s">
        <v>5</v>
      </c>
      <c r="K197" s="1169"/>
      <c r="L197" s="1159"/>
      <c r="M197" s="1169"/>
      <c r="N197" s="1161" t="s">
        <v>2306</v>
      </c>
    </row>
    <row r="198" spans="1:14" s="1170" customFormat="1" ht="16.5" hidden="1" customHeight="1">
      <c r="A198" s="1156"/>
      <c r="B198" s="1331" t="s">
        <v>655</v>
      </c>
      <c r="C198" s="1332">
        <v>1</v>
      </c>
      <c r="D198" s="1333" t="s">
        <v>273</v>
      </c>
      <c r="E198" s="1334">
        <v>1</v>
      </c>
      <c r="F198" s="1335">
        <v>3.16</v>
      </c>
      <c r="G198" s="1335">
        <v>1.27</v>
      </c>
      <c r="H198" s="1335">
        <f>(0.1+0.77)/2</f>
        <v>0.435</v>
      </c>
      <c r="I198" s="1336">
        <f>ROUND(IF(AND(F198:H198),C198*E198*F198*G198*H198,IF(AND(F198,G198),C198*E198*F198*G198,IF(AND(F198,H198),C198*E198*F198*H198,IF(AND(G198,H198),C198*E198*G198*H198,IF(F198,C198*E198*F198,IF(G198,C198*E198*G198,IF(H198,C198*E198*H198,C198*E198))))))),2)</f>
        <v>1.75</v>
      </c>
      <c r="J198" s="1168" t="s">
        <v>5</v>
      </c>
      <c r="K198" s="1169"/>
      <c r="L198" s="1159"/>
      <c r="M198" s="1169"/>
      <c r="N198" s="1161" t="s">
        <v>2306</v>
      </c>
    </row>
    <row r="199" spans="1:14" s="1170" customFormat="1" ht="16.5" hidden="1" customHeight="1">
      <c r="A199" s="1156"/>
      <c r="B199" s="1331"/>
      <c r="C199" s="1332"/>
      <c r="D199" s="1333"/>
      <c r="E199" s="1334"/>
      <c r="F199" s="1335"/>
      <c r="G199" s="1335"/>
      <c r="H199" s="1335"/>
      <c r="I199" s="1336"/>
      <c r="J199" s="1168"/>
      <c r="K199" s="1169"/>
      <c r="L199" s="1159"/>
      <c r="M199" s="1169"/>
      <c r="N199" s="1161" t="s">
        <v>2306</v>
      </c>
    </row>
    <row r="200" spans="1:14" ht="15.75" hidden="1">
      <c r="A200" s="1156"/>
      <c r="B200" s="1169"/>
      <c r="C200" s="1337"/>
      <c r="D200" s="1171"/>
      <c r="E200" s="1165"/>
      <c r="F200" s="1166"/>
      <c r="G200" s="1343"/>
      <c r="H200" s="1156"/>
      <c r="I200" s="1336"/>
      <c r="J200" s="1168" t="s">
        <v>5</v>
      </c>
      <c r="K200" s="1221">
        <f>data!G990</f>
        <v>247.07</v>
      </c>
      <c r="L200" s="1159" t="s">
        <v>2306</v>
      </c>
      <c r="M200" s="1224">
        <f>ROUND(I200*K200,0)</f>
        <v>0</v>
      </c>
      <c r="N200" s="1161" t="s">
        <v>2306</v>
      </c>
    </row>
    <row r="201" spans="1:14" ht="43.5" hidden="1" customHeight="1">
      <c r="A201" s="1156">
        <v>4</v>
      </c>
      <c r="B201" s="1826" t="s">
        <v>656</v>
      </c>
      <c r="C201" s="1826"/>
      <c r="D201" s="1826"/>
      <c r="E201" s="1826"/>
      <c r="F201" s="1826"/>
      <c r="G201" s="1826"/>
      <c r="H201" s="1826"/>
      <c r="I201" s="1157"/>
      <c r="J201" s="1158"/>
      <c r="K201" s="1156"/>
      <c r="L201" s="1159"/>
      <c r="M201" s="1160"/>
      <c r="N201" s="1161" t="s">
        <v>2317</v>
      </c>
    </row>
    <row r="202" spans="1:14" s="1170" customFormat="1" ht="16.5" hidden="1" customHeight="1">
      <c r="A202" s="1156"/>
      <c r="B202" s="1358" t="s">
        <v>3470</v>
      </c>
      <c r="C202" s="1351"/>
      <c r="D202" s="1418"/>
      <c r="E202" s="1352"/>
      <c r="F202" s="1234"/>
      <c r="G202" s="1234"/>
      <c r="H202" s="1235"/>
      <c r="I202" s="1353"/>
      <c r="J202" s="1168"/>
      <c r="K202" s="1169"/>
      <c r="L202" s="1159"/>
      <c r="M202" s="1169"/>
      <c r="N202" s="1161" t="s">
        <v>2317</v>
      </c>
    </row>
    <row r="203" spans="1:14" s="1170" customFormat="1" ht="16.5" hidden="1" customHeight="1">
      <c r="A203" s="1156"/>
      <c r="B203" s="1331" t="s">
        <v>657</v>
      </c>
      <c r="C203" s="1332">
        <v>1</v>
      </c>
      <c r="D203" s="1333" t="s">
        <v>273</v>
      </c>
      <c r="E203" s="1334">
        <v>1</v>
      </c>
      <c r="F203" s="1335">
        <v>2.72</v>
      </c>
      <c r="G203" s="1335">
        <v>0.77</v>
      </c>
      <c r="H203" s="1335">
        <v>1.25</v>
      </c>
      <c r="I203" s="1336">
        <f>ROUND(IF(AND(F203:H203),C203*E203*F203*G203*H203,IF(AND(F203,G203),C203*E203*F203*G203,IF(AND(F203,H203),C203*E203*F203*H203,IF(AND(G203,H203),C203*E203*G203*H203,IF(F203,C203*E203*F203,IF(G203,C203*E203*G203,IF(H203,C203*E203*H203,C203*E203))))))),2)</f>
        <v>2.62</v>
      </c>
      <c r="J203" s="1168" t="s">
        <v>5</v>
      </c>
      <c r="K203" s="1169"/>
      <c r="L203" s="1159"/>
      <c r="M203" s="1169"/>
      <c r="N203" s="1161" t="s">
        <v>2317</v>
      </c>
    </row>
    <row r="204" spans="1:14" s="1170" customFormat="1" ht="16.5" hidden="1" customHeight="1">
      <c r="A204" s="1156"/>
      <c r="B204" s="1331" t="s">
        <v>655</v>
      </c>
      <c r="C204" s="1332">
        <v>1</v>
      </c>
      <c r="D204" s="1333" t="s">
        <v>273</v>
      </c>
      <c r="E204" s="1334">
        <v>1</v>
      </c>
      <c r="F204" s="1335">
        <v>3.16</v>
      </c>
      <c r="G204" s="1335">
        <v>1.27</v>
      </c>
      <c r="H204" s="1335">
        <f>(0.1+0.77)/2</f>
        <v>0.435</v>
      </c>
      <c r="I204" s="1336">
        <f>ROUND(IF(AND(F204:H204),C204*E204*F204*G204*H204,IF(AND(F204,G204),C204*E204*F204*G204,IF(AND(F204,H204),C204*E204*F204*H204,IF(AND(G204,H204),C204*E204*G204*H204,IF(F204,C204*E204*F204,IF(G204,C204*E204*G204,IF(H204,C204*E204*H204,C204*E204))))))),2)</f>
        <v>1.75</v>
      </c>
      <c r="J204" s="1168" t="s">
        <v>5</v>
      </c>
      <c r="K204" s="1169"/>
      <c r="L204" s="1159"/>
      <c r="M204" s="1169"/>
      <c r="N204" s="1161" t="s">
        <v>2317</v>
      </c>
    </row>
    <row r="205" spans="1:14" s="1170" customFormat="1" ht="16.5" hidden="1" customHeight="1">
      <c r="A205" s="1156"/>
      <c r="B205" s="1331"/>
      <c r="C205" s="1332"/>
      <c r="D205" s="1333"/>
      <c r="E205" s="1334"/>
      <c r="F205" s="1335"/>
      <c r="G205" s="1335"/>
      <c r="H205" s="1335"/>
      <c r="I205" s="1336"/>
      <c r="J205" s="1168"/>
      <c r="K205" s="1169"/>
      <c r="L205" s="1159"/>
      <c r="M205" s="1169"/>
      <c r="N205" s="1161" t="s">
        <v>2317</v>
      </c>
    </row>
    <row r="206" spans="1:14" ht="15.75" hidden="1">
      <c r="A206" s="1156"/>
      <c r="B206" s="1169"/>
      <c r="C206" s="1337"/>
      <c r="D206" s="1171"/>
      <c r="E206" s="1165"/>
      <c r="F206" s="1166"/>
      <c r="G206" s="1343"/>
      <c r="H206" s="1156"/>
      <c r="I206" s="1336"/>
      <c r="J206" s="1168" t="s">
        <v>5</v>
      </c>
      <c r="K206" s="1221">
        <f>data!G1907</f>
        <v>266.72000000000003</v>
      </c>
      <c r="L206" s="1159" t="s">
        <v>2317</v>
      </c>
      <c r="M206" s="1224">
        <f>ROUND(I206*K206,0)</f>
        <v>0</v>
      </c>
      <c r="N206" s="1161" t="s">
        <v>2317</v>
      </c>
    </row>
    <row r="207" spans="1:14" ht="43.5" hidden="1" customHeight="1">
      <c r="A207" s="1156">
        <v>4</v>
      </c>
      <c r="B207" s="1826" t="s">
        <v>656</v>
      </c>
      <c r="C207" s="1826"/>
      <c r="D207" s="1826"/>
      <c r="E207" s="1826"/>
      <c r="F207" s="1826"/>
      <c r="G207" s="1826"/>
      <c r="H207" s="1826"/>
      <c r="I207" s="1157"/>
      <c r="J207" s="1158"/>
      <c r="K207" s="1156"/>
      <c r="L207" s="1159"/>
      <c r="M207" s="1160"/>
      <c r="N207" s="1161" t="s">
        <v>2318</v>
      </c>
    </row>
    <row r="208" spans="1:14" s="1170" customFormat="1" ht="16.5" hidden="1" customHeight="1">
      <c r="A208" s="1156"/>
      <c r="B208" s="1358" t="s">
        <v>3470</v>
      </c>
      <c r="C208" s="1351"/>
      <c r="D208" s="1418"/>
      <c r="E208" s="1352"/>
      <c r="F208" s="1234"/>
      <c r="G208" s="1234"/>
      <c r="H208" s="1235"/>
      <c r="I208" s="1353"/>
      <c r="J208" s="1168"/>
      <c r="K208" s="1169"/>
      <c r="L208" s="1159"/>
      <c r="M208" s="1169"/>
      <c r="N208" s="1161" t="s">
        <v>2318</v>
      </c>
    </row>
    <row r="209" spans="1:14" s="1170" customFormat="1" ht="16.5" hidden="1" customHeight="1">
      <c r="A209" s="1156"/>
      <c r="B209" s="1331" t="s">
        <v>657</v>
      </c>
      <c r="C209" s="1332">
        <v>1</v>
      </c>
      <c r="D209" s="1333" t="s">
        <v>273</v>
      </c>
      <c r="E209" s="1334">
        <v>1</v>
      </c>
      <c r="F209" s="1335">
        <v>2.72</v>
      </c>
      <c r="G209" s="1335">
        <v>0.77</v>
      </c>
      <c r="H209" s="1335">
        <v>1.25</v>
      </c>
      <c r="I209" s="1336">
        <f>ROUND(IF(AND(F209:H209),C209*E209*F209*G209*H209,IF(AND(F209,G209),C209*E209*F209*G209,IF(AND(F209,H209),C209*E209*F209*H209,IF(AND(G209,H209),C209*E209*G209*H209,IF(F209,C209*E209*F209,IF(G209,C209*E209*G209,IF(H209,C209*E209*H209,C209*E209))))))),2)</f>
        <v>2.62</v>
      </c>
      <c r="J209" s="1168" t="s">
        <v>5</v>
      </c>
      <c r="K209" s="1169"/>
      <c r="L209" s="1159"/>
      <c r="M209" s="1169"/>
      <c r="N209" s="1161" t="s">
        <v>2318</v>
      </c>
    </row>
    <row r="210" spans="1:14" s="1170" customFormat="1" ht="16.5" hidden="1" customHeight="1">
      <c r="A210" s="1156"/>
      <c r="B210" s="1331" t="s">
        <v>655</v>
      </c>
      <c r="C210" s="1332">
        <v>1</v>
      </c>
      <c r="D210" s="1333" t="s">
        <v>273</v>
      </c>
      <c r="E210" s="1334">
        <v>1</v>
      </c>
      <c r="F210" s="1335">
        <v>3.16</v>
      </c>
      <c r="G210" s="1335">
        <v>1.27</v>
      </c>
      <c r="H210" s="1335">
        <f>(0.1+0.77)/2</f>
        <v>0.435</v>
      </c>
      <c r="I210" s="1336">
        <f>ROUND(IF(AND(F210:H210),C210*E210*F210*G210*H210,IF(AND(F210,G210),C210*E210*F210*G210,IF(AND(F210,H210),C210*E210*F210*H210,IF(AND(G210,H210),C210*E210*G210*H210,IF(F210,C210*E210*F210,IF(G210,C210*E210*G210,IF(H210,C210*E210*H210,C210*E210))))))),2)</f>
        <v>1.75</v>
      </c>
      <c r="J210" s="1168" t="s">
        <v>5</v>
      </c>
      <c r="K210" s="1169"/>
      <c r="L210" s="1159"/>
      <c r="M210" s="1169"/>
      <c r="N210" s="1161" t="s">
        <v>2318</v>
      </c>
    </row>
    <row r="211" spans="1:14" s="1170" customFormat="1" ht="16.5" hidden="1" customHeight="1">
      <c r="A211" s="1156"/>
      <c r="B211" s="1331"/>
      <c r="C211" s="1332"/>
      <c r="D211" s="1333"/>
      <c r="E211" s="1334"/>
      <c r="F211" s="1335"/>
      <c r="G211" s="1335"/>
      <c r="H211" s="1335"/>
      <c r="I211" s="1336"/>
      <c r="J211" s="1168"/>
      <c r="K211" s="1169"/>
      <c r="L211" s="1159"/>
      <c r="M211" s="1169"/>
      <c r="N211" s="1161" t="s">
        <v>2318</v>
      </c>
    </row>
    <row r="212" spans="1:14" ht="15.75" hidden="1">
      <c r="A212" s="1156"/>
      <c r="B212" s="1169"/>
      <c r="C212" s="1337"/>
      <c r="D212" s="1171"/>
      <c r="E212" s="1165"/>
      <c r="F212" s="1166"/>
      <c r="G212" s="1343"/>
      <c r="H212" s="1156"/>
      <c r="I212" s="1336"/>
      <c r="J212" s="1168" t="s">
        <v>5</v>
      </c>
      <c r="K212" s="1221">
        <f>data!G2824</f>
        <v>272.13</v>
      </c>
      <c r="L212" s="1159" t="s">
        <v>2318</v>
      </c>
      <c r="M212" s="1224">
        <f>ROUND(I212*K212,0)</f>
        <v>0</v>
      </c>
      <c r="N212" s="1161" t="s">
        <v>2318</v>
      </c>
    </row>
    <row r="213" spans="1:14" s="1575" customFormat="1" ht="57" customHeight="1">
      <c r="A213" s="1570">
        <v>4</v>
      </c>
      <c r="B213" s="1827" t="s">
        <v>55</v>
      </c>
      <c r="C213" s="1827"/>
      <c r="D213" s="1827"/>
      <c r="E213" s="1827"/>
      <c r="F213" s="1827"/>
      <c r="G213" s="1827"/>
      <c r="H213" s="1827"/>
      <c r="I213" s="1571"/>
      <c r="J213" s="1572"/>
      <c r="K213" s="1570"/>
      <c r="L213" s="1573"/>
      <c r="M213" s="1577"/>
      <c r="N213" s="1578" t="s">
        <v>2218</v>
      </c>
    </row>
    <row r="214" spans="1:14" s="1586" customFormat="1" ht="15.75">
      <c r="A214" s="1570"/>
      <c r="B214" s="1579" t="s">
        <v>3753</v>
      </c>
      <c r="C214" s="1580"/>
      <c r="D214" s="1790" t="s">
        <v>3862</v>
      </c>
      <c r="E214" s="1581"/>
      <c r="F214" s="1582"/>
      <c r="G214" s="1582"/>
      <c r="H214" s="1582"/>
      <c r="I214" s="1583"/>
      <c r="J214" s="1584"/>
      <c r="K214" s="1585"/>
      <c r="L214" s="1573"/>
      <c r="M214" s="1585"/>
      <c r="N214" s="1578" t="s">
        <v>2218</v>
      </c>
    </row>
    <row r="215" spans="1:14" s="1586" customFormat="1" ht="15.75">
      <c r="A215" s="1570"/>
      <c r="B215" s="1585" t="s">
        <v>3780</v>
      </c>
      <c r="C215" s="1571">
        <v>1</v>
      </c>
      <c r="D215" s="1587" t="s">
        <v>273</v>
      </c>
      <c r="E215" s="1588">
        <v>1</v>
      </c>
      <c r="F215" s="1589">
        <v>10.01</v>
      </c>
      <c r="G215" s="1589">
        <v>9.25</v>
      </c>
      <c r="H215" s="1589">
        <v>0.8</v>
      </c>
      <c r="I215" s="1590">
        <f t="shared" ref="I215" si="25">ROUND(IF(AND(F215:H215),C215*E215*F215*G215*H215,IF(AND(F215,G215),C215*E215*F215*G215,IF(AND(F215,H215),C215*E215*F215*H215,IF(AND(G215,H215),C215*E215*G215*H215,IF(F215,C215*E215*F215,IF(G215,C215*E215*G215,IF(H215,C215*E215*H215,C215*E215))))))),2)</f>
        <v>74.069999999999993</v>
      </c>
      <c r="J215" s="1591" t="s">
        <v>5</v>
      </c>
      <c r="K215" s="1585"/>
      <c r="L215" s="1573"/>
      <c r="M215" s="1585"/>
      <c r="N215" s="1578" t="s">
        <v>2218</v>
      </c>
    </row>
    <row r="216" spans="1:14" s="1586" customFormat="1" ht="15.75">
      <c r="A216" s="1570"/>
      <c r="B216" s="1585" t="s">
        <v>3781</v>
      </c>
      <c r="C216" s="1571">
        <v>1</v>
      </c>
      <c r="D216" s="1587" t="s">
        <v>273</v>
      </c>
      <c r="E216" s="1588">
        <v>2</v>
      </c>
      <c r="F216" s="1589">
        <v>0.23</v>
      </c>
      <c r="G216" s="1589">
        <v>0.38</v>
      </c>
      <c r="H216" s="1589">
        <v>0.8</v>
      </c>
      <c r="I216" s="1590">
        <f>-ROUND(IF(AND(F216:H216),C216*E216*F216*G216*H216,IF(AND(F216,G216),C216*E216*F216*G216,IF(AND(F216,H216),C216*E216*F216*H216,IF(AND(G216,H216),C216*E216*G216*H216,IF(F216,C216*E216*F216,IF(G216,C216*E216*G216,IF(H216,C216*E216*H216,C216*E216))))))),2)</f>
        <v>-0.14000000000000001</v>
      </c>
      <c r="J216" s="1591" t="s">
        <v>5</v>
      </c>
      <c r="K216" s="1585"/>
      <c r="L216" s="1573"/>
      <c r="M216" s="1585"/>
      <c r="N216" s="1578" t="s">
        <v>2218</v>
      </c>
    </row>
    <row r="217" spans="1:14" s="1586" customFormat="1" ht="15.75">
      <c r="A217" s="1570"/>
      <c r="B217" s="1579" t="s">
        <v>3754</v>
      </c>
      <c r="C217" s="1580"/>
      <c r="D217" s="1790" t="s">
        <v>3865</v>
      </c>
      <c r="E217" s="1581"/>
      <c r="F217" s="1582"/>
      <c r="G217" s="1582"/>
      <c r="H217" s="1582"/>
      <c r="I217" s="1583"/>
      <c r="J217" s="1584"/>
      <c r="K217" s="1585"/>
      <c r="L217" s="1573"/>
      <c r="M217" s="1585"/>
      <c r="N217" s="1578" t="s">
        <v>2218</v>
      </c>
    </row>
    <row r="218" spans="1:14" s="1586" customFormat="1" ht="15.75">
      <c r="A218" s="1570"/>
      <c r="B218" s="1585" t="s">
        <v>3359</v>
      </c>
      <c r="C218" s="1571">
        <v>1</v>
      </c>
      <c r="D218" s="1587" t="s">
        <v>273</v>
      </c>
      <c r="E218" s="1588">
        <v>1</v>
      </c>
      <c r="F218" s="1589">
        <v>9.35</v>
      </c>
      <c r="G218" s="1589">
        <v>5.75</v>
      </c>
      <c r="H218" s="1589">
        <v>0.28000000000000003</v>
      </c>
      <c r="I218" s="1590">
        <f t="shared" ref="I218:I221" si="26">ROUND(IF(AND(F218:H218),C218*E218*F218*G218*H218,IF(AND(F218,G218),C218*E218*F218*G218,IF(AND(F218,H218),C218*E218*F218*H218,IF(AND(G218,H218),C218*E218*G218*H218,IF(F218,C218*E218*F218,IF(G218,C218*E218*G218,IF(H218,C218*E218*H218,C218*E218))))))),2)</f>
        <v>15.05</v>
      </c>
      <c r="J218" s="1591" t="s">
        <v>5</v>
      </c>
      <c r="K218" s="1585"/>
      <c r="L218" s="1573"/>
      <c r="M218" s="1585"/>
      <c r="N218" s="1578" t="s">
        <v>2218</v>
      </c>
    </row>
    <row r="219" spans="1:14" s="1586" customFormat="1" ht="15.75">
      <c r="A219" s="1570"/>
      <c r="B219" s="1585" t="s">
        <v>3352</v>
      </c>
      <c r="C219" s="1571">
        <v>1</v>
      </c>
      <c r="D219" s="1587" t="s">
        <v>273</v>
      </c>
      <c r="E219" s="1588">
        <v>1</v>
      </c>
      <c r="F219" s="1589">
        <v>2.93</v>
      </c>
      <c r="G219" s="1589">
        <v>4.1500000000000004</v>
      </c>
      <c r="H219" s="1589">
        <v>0.28000000000000003</v>
      </c>
      <c r="I219" s="1590">
        <f t="shared" si="26"/>
        <v>3.4</v>
      </c>
      <c r="J219" s="1591" t="s">
        <v>5</v>
      </c>
      <c r="K219" s="1585"/>
      <c r="L219" s="1573"/>
      <c r="M219" s="1585"/>
      <c r="N219" s="1578" t="s">
        <v>2218</v>
      </c>
    </row>
    <row r="220" spans="1:14" s="1586" customFormat="1" ht="15.75">
      <c r="A220" s="1570"/>
      <c r="B220" s="1585" t="s">
        <v>586</v>
      </c>
      <c r="C220" s="1571">
        <v>1</v>
      </c>
      <c r="D220" s="1587" t="s">
        <v>273</v>
      </c>
      <c r="E220" s="1588">
        <v>1</v>
      </c>
      <c r="F220" s="1589">
        <v>3.05</v>
      </c>
      <c r="G220" s="1589">
        <v>4.1500000000000004</v>
      </c>
      <c r="H220" s="1589">
        <v>0.28000000000000003</v>
      </c>
      <c r="I220" s="1590">
        <f t="shared" si="26"/>
        <v>3.54</v>
      </c>
      <c r="J220" s="1591" t="s">
        <v>5</v>
      </c>
      <c r="K220" s="1585"/>
      <c r="L220" s="1573"/>
      <c r="M220" s="1585"/>
      <c r="N220" s="1578" t="s">
        <v>2218</v>
      </c>
    </row>
    <row r="221" spans="1:14" s="1586" customFormat="1" ht="15.75">
      <c r="A221" s="1570"/>
      <c r="B221" s="1585" t="s">
        <v>3353</v>
      </c>
      <c r="C221" s="1571">
        <v>1</v>
      </c>
      <c r="D221" s="1587" t="s">
        <v>273</v>
      </c>
      <c r="E221" s="1588">
        <v>1</v>
      </c>
      <c r="F221" s="1589">
        <v>2.93</v>
      </c>
      <c r="G221" s="1589">
        <v>4.1500000000000004</v>
      </c>
      <c r="H221" s="1589">
        <v>0.28000000000000003</v>
      </c>
      <c r="I221" s="1590">
        <f t="shared" si="26"/>
        <v>3.4</v>
      </c>
      <c r="J221" s="1591" t="s">
        <v>5</v>
      </c>
      <c r="K221" s="1585"/>
      <c r="L221" s="1573"/>
      <c r="M221" s="1585"/>
      <c r="N221" s="1578" t="s">
        <v>2218</v>
      </c>
    </row>
    <row r="222" spans="1:14" s="1586" customFormat="1" ht="15.75">
      <c r="A222" s="1570"/>
      <c r="B222" s="1600"/>
      <c r="C222" s="1601"/>
      <c r="D222" s="1602"/>
      <c r="E222" s="1603"/>
      <c r="F222" s="1604"/>
      <c r="G222" s="1604"/>
      <c r="H222" s="1604"/>
      <c r="I222" s="1605"/>
      <c r="J222" s="1598"/>
      <c r="K222" s="1585"/>
      <c r="L222" s="1573"/>
      <c r="M222" s="1585"/>
      <c r="N222" s="1578" t="s">
        <v>2218</v>
      </c>
    </row>
    <row r="223" spans="1:14" s="1575" customFormat="1" ht="15.75">
      <c r="A223" s="1570"/>
      <c r="B223" s="1585"/>
      <c r="C223" s="1606"/>
      <c r="D223" s="1587"/>
      <c r="E223" s="1588"/>
      <c r="F223" s="1589"/>
      <c r="G223" s="1607"/>
      <c r="H223" s="1570"/>
      <c r="I223" s="1605">
        <f>SUM(I215:I222)</f>
        <v>99.320000000000007</v>
      </c>
      <c r="J223" s="1598" t="s">
        <v>5</v>
      </c>
      <c r="K223" s="1608">
        <f>data!G58</f>
        <v>1271.5</v>
      </c>
      <c r="L223" s="1573" t="s">
        <v>2218</v>
      </c>
      <c r="M223" s="1609">
        <f>ROUND(I223*K223,0)</f>
        <v>126285</v>
      </c>
      <c r="N223" s="1578" t="s">
        <v>2218</v>
      </c>
    </row>
    <row r="224" spans="1:14" ht="57" hidden="1" customHeight="1">
      <c r="A224" s="1156">
        <v>3</v>
      </c>
      <c r="B224" s="1826" t="s">
        <v>55</v>
      </c>
      <c r="C224" s="1826"/>
      <c r="D224" s="1828"/>
      <c r="E224" s="1826"/>
      <c r="F224" s="1826"/>
      <c r="G224" s="1826"/>
      <c r="H224" s="1826"/>
      <c r="I224" s="1157"/>
      <c r="J224" s="1158"/>
      <c r="K224" s="1156"/>
      <c r="L224" s="1159"/>
      <c r="M224" s="1160"/>
      <c r="N224" s="1161" t="s">
        <v>2306</v>
      </c>
    </row>
    <row r="225" spans="1:14" s="1170" customFormat="1" ht="15.75" hidden="1">
      <c r="A225" s="1156"/>
      <c r="B225" s="1163" t="s">
        <v>3471</v>
      </c>
      <c r="C225" s="1338"/>
      <c r="D225" s="1548" t="s">
        <v>3461</v>
      </c>
      <c r="E225" s="1339"/>
      <c r="F225" s="1340"/>
      <c r="G225" s="1340"/>
      <c r="H225" s="1340"/>
      <c r="I225" s="1341"/>
      <c r="J225" s="1342"/>
      <c r="K225" s="1169"/>
      <c r="L225" s="1159"/>
      <c r="M225" s="1169"/>
      <c r="N225" s="1161" t="s">
        <v>2218</v>
      </c>
    </row>
    <row r="226" spans="1:14" s="1170" customFormat="1" ht="15.75" hidden="1">
      <c r="A226" s="1156"/>
      <c r="B226" s="1169"/>
      <c r="C226" s="1157">
        <v>1</v>
      </c>
      <c r="D226" s="1171" t="s">
        <v>273</v>
      </c>
      <c r="E226" s="1165">
        <v>1</v>
      </c>
      <c r="F226" s="1166">
        <v>11.06</v>
      </c>
      <c r="G226" s="1166">
        <v>9.23</v>
      </c>
      <c r="H226" s="1166">
        <v>2.25</v>
      </c>
      <c r="I226" s="1172">
        <f t="shared" ref="I226" si="27">ROUND(IF(AND(F226:H226),C226*E226*F226*G226*H226,IF(AND(F226,G226),C226*E226*F226*G226,IF(AND(F226,H226),C226*E226*F226*H226,IF(AND(G226,H226),C226*E226*G226*H226,IF(F226,C226*E226*F226,IF(G226,C226*E226*G226,IF(H226,C226*E226*H226,C226*E226))))))),2)</f>
        <v>229.69</v>
      </c>
      <c r="J226" s="1330" t="s">
        <v>5</v>
      </c>
      <c r="K226" s="1169"/>
      <c r="L226" s="1159"/>
      <c r="M226" s="1169"/>
      <c r="N226" s="1161" t="s">
        <v>2218</v>
      </c>
    </row>
    <row r="227" spans="1:14" s="1170" customFormat="1" ht="15.75" hidden="1">
      <c r="A227" s="1156"/>
      <c r="B227" s="1169" t="s">
        <v>3456</v>
      </c>
      <c r="C227" s="1157">
        <v>1</v>
      </c>
      <c r="D227" s="1171" t="s">
        <v>273</v>
      </c>
      <c r="E227" s="1165">
        <v>1</v>
      </c>
      <c r="F227" s="1166">
        <v>0.9</v>
      </c>
      <c r="G227" s="1166">
        <v>2.9</v>
      </c>
      <c r="H227" s="1166">
        <v>2.25</v>
      </c>
      <c r="I227" s="1172">
        <f t="shared" ref="I227" si="28">ROUND(IF(AND(F227:H227),C227*E227*F227*G227*H227,IF(AND(F227,G227),C227*E227*F227*G227,IF(AND(F227,H227),C227*E227*F227*H227,IF(AND(G227,H227),C227*E227*G227*H227,IF(F227,C227*E227*F227,IF(G227,C227*E227*G227,IF(H227,C227*E227*H227,C227*E227))))))),2)</f>
        <v>5.87</v>
      </c>
      <c r="J227" s="1330" t="s">
        <v>5</v>
      </c>
      <c r="K227" s="1169"/>
      <c r="L227" s="1159"/>
      <c r="M227" s="1169"/>
      <c r="N227" s="1161" t="s">
        <v>2218</v>
      </c>
    </row>
    <row r="228" spans="1:14" s="1170" customFormat="1" ht="15.75" hidden="1">
      <c r="A228" s="1156"/>
      <c r="B228" s="1169" t="s">
        <v>2934</v>
      </c>
      <c r="C228" s="1157">
        <v>1</v>
      </c>
      <c r="D228" s="1171" t="s">
        <v>273</v>
      </c>
      <c r="E228" s="1165">
        <v>4</v>
      </c>
      <c r="F228" s="1166">
        <v>0.23</v>
      </c>
      <c r="G228" s="1166">
        <v>0.38</v>
      </c>
      <c r="H228" s="1166">
        <v>2.25</v>
      </c>
      <c r="I228" s="1172">
        <f>-ROUND(IF(AND(F228:H228),C228*E228*F228*G228*H228,IF(AND(F228,G228),C228*E228*F228*G228,IF(AND(F228,H228),C228*E228*F228*H228,IF(AND(G228,H228),C228*E228*G228*H228,IF(F228,C228*E228*F228,IF(G228,C228*E228*G228,IF(H228,C228*E228*H228,C228*E228))))))),2)</f>
        <v>-0.79</v>
      </c>
      <c r="J228" s="1330" t="s">
        <v>5</v>
      </c>
      <c r="K228" s="1169"/>
      <c r="L228" s="1159"/>
      <c r="M228" s="1169"/>
      <c r="N228" s="1161" t="s">
        <v>2218</v>
      </c>
    </row>
    <row r="229" spans="1:14" s="1170" customFormat="1" ht="15.75" hidden="1">
      <c r="A229" s="1156"/>
      <c r="B229" s="1169" t="s">
        <v>3355</v>
      </c>
      <c r="C229" s="1157">
        <v>1</v>
      </c>
      <c r="D229" s="1171" t="s">
        <v>273</v>
      </c>
      <c r="E229" s="1165">
        <v>2</v>
      </c>
      <c r="F229" s="1166">
        <v>9.3699999999999992</v>
      </c>
      <c r="G229" s="1166">
        <v>0.45</v>
      </c>
      <c r="H229" s="1166">
        <v>0.1</v>
      </c>
      <c r="I229" s="1172">
        <f>-ROUND(IF(AND(F229:H229),C229*E229*F229*G229*H229,IF(AND(F229,G229),C229*E229*F229*G229,IF(AND(F229,H229),C229*E229*F229*H229,IF(AND(G229,H229),C229*E229*G229*H229,IF(F229,C229*E229*F229,IF(G229,C229*E229*G229,IF(H229,C229*E229*H229,C229*E229))))))),2)</f>
        <v>-0.84</v>
      </c>
      <c r="J229" s="1330" t="s">
        <v>5</v>
      </c>
      <c r="K229" s="1169"/>
      <c r="L229" s="1159"/>
      <c r="M229" s="1169"/>
      <c r="N229" s="1161" t="s">
        <v>2218</v>
      </c>
    </row>
    <row r="230" spans="1:14" s="1170" customFormat="1" ht="15.75" hidden="1">
      <c r="A230" s="1156"/>
      <c r="B230" s="1169" t="s">
        <v>3355</v>
      </c>
      <c r="C230" s="1157">
        <v>1</v>
      </c>
      <c r="D230" s="1171" t="s">
        <v>273</v>
      </c>
      <c r="E230" s="1165">
        <v>2</v>
      </c>
      <c r="F230" s="1166">
        <v>4.95</v>
      </c>
      <c r="G230" s="1166">
        <v>0.45</v>
      </c>
      <c r="H230" s="1166">
        <v>0.1</v>
      </c>
      <c r="I230" s="1172">
        <f>-ROUND(IF(AND(F230:H230),C230*E230*F230*G230*H230,IF(AND(F230,G230),C230*E230*F230*G230,IF(AND(F230,H230),C230*E230*F230*H230,IF(AND(G230,H230),C230*E230*G230*H230,IF(F230,C230*E230*F230,IF(G230,C230*E230*G230,IF(H230,C230*E230*H230,C230*E230))))))),2)</f>
        <v>-0.45</v>
      </c>
      <c r="J230" s="1330" t="s">
        <v>5</v>
      </c>
      <c r="K230" s="1169"/>
      <c r="L230" s="1159"/>
      <c r="M230" s="1169"/>
      <c r="N230" s="1161" t="s">
        <v>2218</v>
      </c>
    </row>
    <row r="231" spans="1:14" s="1170" customFormat="1" ht="16.5" hidden="1" customHeight="1">
      <c r="A231" s="1156"/>
      <c r="B231" s="1163" t="s">
        <v>3472</v>
      </c>
      <c r="C231" s="1338"/>
      <c r="D231" s="1548" t="s">
        <v>3462</v>
      </c>
      <c r="E231" s="1339"/>
      <c r="F231" s="1340"/>
      <c r="G231" s="1340"/>
      <c r="H231" s="1340"/>
      <c r="I231" s="1341"/>
      <c r="J231" s="1342"/>
      <c r="K231" s="1169"/>
      <c r="L231" s="1156"/>
      <c r="M231" s="1169"/>
      <c r="N231" s="1161" t="s">
        <v>2306</v>
      </c>
    </row>
    <row r="232" spans="1:14" s="1170" customFormat="1" ht="16.5" hidden="1" customHeight="1">
      <c r="A232" s="1156"/>
      <c r="B232" s="1169" t="s">
        <v>3411</v>
      </c>
      <c r="C232" s="1157">
        <v>1</v>
      </c>
      <c r="D232" s="1171" t="s">
        <v>273</v>
      </c>
      <c r="E232" s="1165">
        <v>1</v>
      </c>
      <c r="F232" s="1166">
        <v>11.66</v>
      </c>
      <c r="G232" s="1166">
        <v>9.83</v>
      </c>
      <c r="H232" s="1166">
        <v>0.38</v>
      </c>
      <c r="I232" s="1172">
        <f t="shared" ref="I232" si="29">ROUND(IF(AND(F232:H232),C232*E232*F232*G232*H232,IF(AND(F232,G232),C232*E232*F232*G232,IF(AND(F232,H232),C232*E232*F232*H232,IF(AND(G232,H232),C232*E232*G232*H232,IF(F232,C232*E232*F232,IF(G232,C232*E232*G232,IF(H232,C232*E232*H232,C232*E232))))))),2)</f>
        <v>43.55</v>
      </c>
      <c r="J232" s="1330" t="s">
        <v>5</v>
      </c>
      <c r="K232" s="1169"/>
      <c r="L232" s="1156"/>
      <c r="M232" s="1169"/>
      <c r="N232" s="1161" t="s">
        <v>2306</v>
      </c>
    </row>
    <row r="233" spans="1:14" s="1170" customFormat="1" ht="16.5" hidden="1" customHeight="1">
      <c r="A233" s="1156"/>
      <c r="B233" s="1169" t="s">
        <v>3457</v>
      </c>
      <c r="C233" s="1157">
        <v>1</v>
      </c>
      <c r="D233" s="1171" t="s">
        <v>273</v>
      </c>
      <c r="E233" s="1165">
        <v>1</v>
      </c>
      <c r="F233" s="1166">
        <v>0.93</v>
      </c>
      <c r="G233" s="1166">
        <v>3.51</v>
      </c>
      <c r="H233" s="1166">
        <v>0.38</v>
      </c>
      <c r="I233" s="1172">
        <f t="shared" ref="I233" si="30">ROUND(IF(AND(F233:H233),C233*E233*F233*G233*H233,IF(AND(F233,G233),C233*E233*F233*G233,IF(AND(F233,H233),C233*E233*F233*H233,IF(AND(G233,H233),C233*E233*G233*H233,IF(F233,C233*E233*F233,IF(G233,C233*E233*G233,IF(H233,C233*E233*H233,C233*E233))))))),2)</f>
        <v>1.24</v>
      </c>
      <c r="J233" s="1330" t="s">
        <v>5</v>
      </c>
      <c r="K233" s="1169"/>
      <c r="L233" s="1156"/>
      <c r="M233" s="1169"/>
      <c r="N233" s="1161" t="s">
        <v>2306</v>
      </c>
    </row>
    <row r="234" spans="1:14" s="1170" customFormat="1" ht="16.5" hidden="1" customHeight="1">
      <c r="A234" s="1156"/>
      <c r="B234" s="1169" t="s">
        <v>3355</v>
      </c>
      <c r="C234" s="1157"/>
      <c r="D234" s="1171"/>
      <c r="E234" s="1165"/>
      <c r="F234" s="1166"/>
      <c r="G234" s="1166"/>
      <c r="H234" s="1166"/>
      <c r="I234" s="1172">
        <v>-6.17</v>
      </c>
      <c r="J234" s="1330" t="s">
        <v>5</v>
      </c>
      <c r="K234" s="1169"/>
      <c r="L234" s="1156"/>
      <c r="M234" s="1169"/>
      <c r="N234" s="1161" t="s">
        <v>2306</v>
      </c>
    </row>
    <row r="235" spans="1:14" s="1170" customFormat="1" ht="16.5" hidden="1" customHeight="1">
      <c r="A235" s="1156"/>
      <c r="B235" s="1331"/>
      <c r="C235" s="1332"/>
      <c r="D235" s="1333"/>
      <c r="E235" s="1334"/>
      <c r="F235" s="1335"/>
      <c r="G235" s="1335"/>
      <c r="H235" s="1335"/>
      <c r="I235" s="1336"/>
      <c r="J235" s="1168"/>
      <c r="K235" s="1169"/>
      <c r="L235" s="1159"/>
      <c r="M235" s="1169"/>
      <c r="N235" s="1161" t="s">
        <v>2306</v>
      </c>
    </row>
    <row r="236" spans="1:14" ht="15.75" hidden="1">
      <c r="A236" s="1156"/>
      <c r="B236" s="1169"/>
      <c r="C236" s="1337"/>
      <c r="D236" s="1171"/>
      <c r="E236" s="1165"/>
      <c r="F236" s="1166"/>
      <c r="G236" s="1343"/>
      <c r="H236" s="1156"/>
      <c r="I236" s="1336"/>
      <c r="J236" s="1168" t="s">
        <v>5</v>
      </c>
      <c r="K236" s="1221">
        <f>data!G974</f>
        <v>1340.37</v>
      </c>
      <c r="L236" s="1159" t="s">
        <v>2306</v>
      </c>
      <c r="M236" s="1224">
        <f>ROUND(I236*K236,0)</f>
        <v>0</v>
      </c>
      <c r="N236" s="1161" t="s">
        <v>2306</v>
      </c>
    </row>
    <row r="237" spans="1:14" ht="57" hidden="1" customHeight="1">
      <c r="A237" s="1156">
        <v>4</v>
      </c>
      <c r="B237" s="1826" t="s">
        <v>55</v>
      </c>
      <c r="C237" s="1826"/>
      <c r="D237" s="1826"/>
      <c r="E237" s="1826"/>
      <c r="F237" s="1826"/>
      <c r="G237" s="1826"/>
      <c r="H237" s="1826"/>
      <c r="I237" s="1157"/>
      <c r="J237" s="1158"/>
      <c r="K237" s="1156"/>
      <c r="L237" s="1159"/>
      <c r="M237" s="1160"/>
      <c r="N237" s="1161" t="s">
        <v>2317</v>
      </c>
    </row>
    <row r="238" spans="1:14" s="1170" customFormat="1" ht="16.5" hidden="1" customHeight="1">
      <c r="A238" s="1156"/>
      <c r="B238" s="1163" t="s">
        <v>3473</v>
      </c>
      <c r="C238" s="1338"/>
      <c r="D238" s="1164"/>
      <c r="E238" s="1339"/>
      <c r="F238" s="1340"/>
      <c r="G238" s="1340"/>
      <c r="H238" s="1340"/>
      <c r="I238" s="1341"/>
      <c r="J238" s="1330"/>
      <c r="K238" s="1169"/>
      <c r="L238" s="1156"/>
      <c r="M238" s="1169"/>
      <c r="N238" s="1161" t="s">
        <v>2317</v>
      </c>
    </row>
    <row r="239" spans="1:14" s="1170" customFormat="1" ht="16.5" hidden="1" customHeight="1">
      <c r="A239" s="1156"/>
      <c r="B239" s="1169" t="s">
        <v>298</v>
      </c>
      <c r="C239" s="1157">
        <v>1</v>
      </c>
      <c r="D239" s="1171" t="s">
        <v>273</v>
      </c>
      <c r="E239" s="1165">
        <v>1</v>
      </c>
      <c r="F239" s="1166">
        <v>1.65</v>
      </c>
      <c r="G239" s="1166">
        <v>1.65</v>
      </c>
      <c r="H239" s="1166">
        <v>0.15</v>
      </c>
      <c r="I239" s="1172">
        <f>ROUND(IF(AND(F239:H239),C239*E239*F239*G239*H239,IF(AND(F239,G239),C239*E239*F239*G239,IF(AND(F239,H239),C239*E239*F239*H239,IF(AND(G239,H239),C239*E239*G239*H239,IF(F239,C239*E239*F239,IF(G239,C239*E239*G239,IF(H239,C239*E239*H239,C239*E239))))))),2)</f>
        <v>0.41</v>
      </c>
      <c r="J239" s="1330" t="s">
        <v>5</v>
      </c>
      <c r="K239" s="1169"/>
      <c r="L239" s="1156"/>
      <c r="M239" s="1169"/>
      <c r="N239" s="1161" t="s">
        <v>2317</v>
      </c>
    </row>
    <row r="240" spans="1:14" s="1170" customFormat="1" ht="16.5" hidden="1" customHeight="1">
      <c r="A240" s="1156"/>
      <c r="B240" s="1169" t="s">
        <v>299</v>
      </c>
      <c r="C240" s="1157">
        <v>1</v>
      </c>
      <c r="D240" s="1171" t="s">
        <v>273</v>
      </c>
      <c r="E240" s="1165">
        <v>4</v>
      </c>
      <c r="F240" s="1166">
        <v>2</v>
      </c>
      <c r="G240" s="1166">
        <v>2</v>
      </c>
      <c r="H240" s="1166">
        <v>0.15</v>
      </c>
      <c r="I240" s="1172">
        <f>ROUND(IF(AND(F240:H240),C240*E240*F240*G240*H240,IF(AND(F240,G240),C240*E240*F240*G240,IF(AND(F240,H240),C240*E240*F240*H240,IF(AND(G240,H240),C240*E240*G240*H240,IF(F240,C240*E240*F240,IF(G240,C240*E240*G240,IF(H240,C240*E240*H240,C240*E240))))))),2)</f>
        <v>2.4</v>
      </c>
      <c r="J240" s="1330" t="s">
        <v>5</v>
      </c>
      <c r="K240" s="1169"/>
      <c r="L240" s="1156"/>
      <c r="M240" s="1169"/>
      <c r="N240" s="1161" t="s">
        <v>2317</v>
      </c>
    </row>
    <row r="241" spans="1:14" s="1170" customFormat="1" ht="16.5" hidden="1" customHeight="1">
      <c r="A241" s="1156"/>
      <c r="B241" s="1331"/>
      <c r="C241" s="1332"/>
      <c r="D241" s="1333"/>
      <c r="E241" s="1334"/>
      <c r="F241" s="1335"/>
      <c r="G241" s="1335"/>
      <c r="H241" s="1335"/>
      <c r="I241" s="1336"/>
      <c r="J241" s="1168"/>
      <c r="K241" s="1169"/>
      <c r="L241" s="1159"/>
      <c r="M241" s="1169"/>
      <c r="N241" s="1161" t="s">
        <v>2317</v>
      </c>
    </row>
    <row r="242" spans="1:14" ht="15.75" hidden="1">
      <c r="A242" s="1156"/>
      <c r="B242" s="1169"/>
      <c r="C242" s="1337"/>
      <c r="D242" s="1171"/>
      <c r="E242" s="1165"/>
      <c r="F242" s="1166"/>
      <c r="G242" s="1343"/>
      <c r="H242" s="1156"/>
      <c r="I242" s="1336"/>
      <c r="J242" s="1168" t="s">
        <v>5</v>
      </c>
      <c r="K242" s="1221">
        <f>data!G1891</f>
        <v>1528.72</v>
      </c>
      <c r="L242" s="1159" t="s">
        <v>2317</v>
      </c>
      <c r="M242" s="1224">
        <f>ROUND(I242*K242,0)</f>
        <v>0</v>
      </c>
      <c r="N242" s="1161" t="s">
        <v>2317</v>
      </c>
    </row>
    <row r="243" spans="1:14" ht="57" hidden="1" customHeight="1">
      <c r="A243" s="1156">
        <v>4</v>
      </c>
      <c r="B243" s="1826" t="s">
        <v>55</v>
      </c>
      <c r="C243" s="1826"/>
      <c r="D243" s="1826"/>
      <c r="E243" s="1826"/>
      <c r="F243" s="1826"/>
      <c r="G243" s="1826"/>
      <c r="H243" s="1826"/>
      <c r="I243" s="1157"/>
      <c r="J243" s="1158"/>
      <c r="K243" s="1156"/>
      <c r="L243" s="1159"/>
      <c r="M243" s="1160"/>
      <c r="N243" s="1161" t="s">
        <v>2318</v>
      </c>
    </row>
    <row r="244" spans="1:14" s="1170" customFormat="1" ht="16.5" hidden="1" customHeight="1">
      <c r="A244" s="1156"/>
      <c r="B244" s="1163" t="s">
        <v>3473</v>
      </c>
      <c r="C244" s="1338"/>
      <c r="D244" s="1164"/>
      <c r="E244" s="1339"/>
      <c r="F244" s="1340"/>
      <c r="G244" s="1340"/>
      <c r="H244" s="1340"/>
      <c r="I244" s="1341"/>
      <c r="J244" s="1330"/>
      <c r="K244" s="1169"/>
      <c r="L244" s="1156"/>
      <c r="M244" s="1169"/>
      <c r="N244" s="1161" t="s">
        <v>2318</v>
      </c>
    </row>
    <row r="245" spans="1:14" s="1170" customFormat="1" ht="16.5" hidden="1" customHeight="1">
      <c r="A245" s="1156"/>
      <c r="B245" s="1169" t="s">
        <v>298</v>
      </c>
      <c r="C245" s="1157">
        <v>1</v>
      </c>
      <c r="D245" s="1171" t="s">
        <v>273</v>
      </c>
      <c r="E245" s="1165">
        <v>1</v>
      </c>
      <c r="F245" s="1166">
        <v>1.65</v>
      </c>
      <c r="G245" s="1166">
        <v>1.65</v>
      </c>
      <c r="H245" s="1166">
        <v>0.15</v>
      </c>
      <c r="I245" s="1172">
        <f>ROUND(IF(AND(F245:H245),C245*E245*F245*G245*H245,IF(AND(F245,G245),C245*E245*F245*G245,IF(AND(F245,H245),C245*E245*F245*H245,IF(AND(G245,H245),C245*E245*G245*H245,IF(F245,C245*E245*F245,IF(G245,C245*E245*G245,IF(H245,C245*E245*H245,C245*E245))))))),2)</f>
        <v>0.41</v>
      </c>
      <c r="J245" s="1330" t="s">
        <v>5</v>
      </c>
      <c r="K245" s="1169"/>
      <c r="L245" s="1156"/>
      <c r="M245" s="1169"/>
      <c r="N245" s="1161" t="s">
        <v>2318</v>
      </c>
    </row>
    <row r="246" spans="1:14" s="1170" customFormat="1" ht="16.5" hidden="1" customHeight="1">
      <c r="A246" s="1156"/>
      <c r="B246" s="1169" t="s">
        <v>299</v>
      </c>
      <c r="C246" s="1157">
        <v>1</v>
      </c>
      <c r="D246" s="1171" t="s">
        <v>273</v>
      </c>
      <c r="E246" s="1165">
        <v>4</v>
      </c>
      <c r="F246" s="1166">
        <v>2</v>
      </c>
      <c r="G246" s="1166">
        <v>2</v>
      </c>
      <c r="H246" s="1166">
        <v>0.15</v>
      </c>
      <c r="I246" s="1172">
        <f>ROUND(IF(AND(F246:H246),C246*E246*F246*G246*H246,IF(AND(F246,G246),C246*E246*F246*G246,IF(AND(F246,H246),C246*E246*F246*H246,IF(AND(G246,H246),C246*E246*G246*H246,IF(F246,C246*E246*F246,IF(G246,C246*E246*G246,IF(H246,C246*E246*H246,C246*E246))))))),2)</f>
        <v>2.4</v>
      </c>
      <c r="J246" s="1330" t="s">
        <v>5</v>
      </c>
      <c r="K246" s="1169"/>
      <c r="L246" s="1156"/>
      <c r="M246" s="1169"/>
      <c r="N246" s="1161" t="s">
        <v>2318</v>
      </c>
    </row>
    <row r="247" spans="1:14" s="1170" customFormat="1" ht="16.5" hidden="1" customHeight="1">
      <c r="A247" s="1156"/>
      <c r="B247" s="1331"/>
      <c r="C247" s="1332"/>
      <c r="D247" s="1333"/>
      <c r="E247" s="1334"/>
      <c r="F247" s="1335"/>
      <c r="G247" s="1335"/>
      <c r="H247" s="1335"/>
      <c r="I247" s="1336"/>
      <c r="J247" s="1168"/>
      <c r="K247" s="1169"/>
      <c r="L247" s="1159"/>
      <c r="M247" s="1169"/>
      <c r="N247" s="1161" t="s">
        <v>2318</v>
      </c>
    </row>
    <row r="248" spans="1:14" ht="15.75" hidden="1">
      <c r="A248" s="1156"/>
      <c r="B248" s="1169"/>
      <c r="C248" s="1337"/>
      <c r="D248" s="1171"/>
      <c r="E248" s="1165"/>
      <c r="F248" s="1166"/>
      <c r="G248" s="1343"/>
      <c r="H248" s="1156"/>
      <c r="I248" s="1336"/>
      <c r="J248" s="1168" t="s">
        <v>5</v>
      </c>
      <c r="K248" s="1221">
        <f>data!G2808</f>
        <v>1603.13</v>
      </c>
      <c r="L248" s="1159" t="s">
        <v>2318</v>
      </c>
      <c r="M248" s="1224">
        <f>ROUND(I248*K248,0)</f>
        <v>0</v>
      </c>
      <c r="N248" s="1161" t="s">
        <v>2318</v>
      </c>
    </row>
    <row r="249" spans="1:14" s="1575" customFormat="1" ht="30.75" customHeight="1">
      <c r="A249" s="1570">
        <v>5</v>
      </c>
      <c r="B249" s="1827" t="s">
        <v>282</v>
      </c>
      <c r="C249" s="1827"/>
      <c r="D249" s="1827"/>
      <c r="E249" s="1827"/>
      <c r="F249" s="1827"/>
      <c r="G249" s="1827"/>
      <c r="H249" s="1827"/>
      <c r="I249" s="1571"/>
      <c r="J249" s="1572"/>
      <c r="K249" s="1570"/>
      <c r="L249" s="1573"/>
      <c r="M249" s="1577"/>
      <c r="N249" s="1578" t="s">
        <v>2218</v>
      </c>
    </row>
    <row r="250" spans="1:14" s="1586" customFormat="1" ht="16.5" customHeight="1">
      <c r="A250" s="1570"/>
      <c r="B250" s="1579" t="s">
        <v>3777</v>
      </c>
      <c r="C250" s="1580"/>
      <c r="D250" s="1790" t="s">
        <v>3858</v>
      </c>
      <c r="E250" s="1581"/>
      <c r="F250" s="1582"/>
      <c r="G250" s="1582"/>
      <c r="H250" s="1582"/>
      <c r="I250" s="1583"/>
      <c r="J250" s="1584"/>
      <c r="K250" s="1585"/>
      <c r="L250" s="1570"/>
      <c r="M250" s="1585"/>
      <c r="N250" s="1578" t="s">
        <v>2218</v>
      </c>
    </row>
    <row r="251" spans="1:14" s="1586" customFormat="1" ht="16.5" customHeight="1">
      <c r="A251" s="1570"/>
      <c r="B251" s="1585" t="s">
        <v>298</v>
      </c>
      <c r="C251" s="1571">
        <v>1</v>
      </c>
      <c r="D251" s="1587" t="s">
        <v>273</v>
      </c>
      <c r="E251" s="1588">
        <v>10</v>
      </c>
      <c r="F251" s="1589">
        <v>1.75</v>
      </c>
      <c r="G251" s="1589">
        <v>1.75</v>
      </c>
      <c r="H251" s="1589">
        <v>1.5</v>
      </c>
      <c r="I251" s="1590">
        <f t="shared" ref="I251:I252" si="31">ROUND(IF(AND(F251:H251),C251*E251*F251*G251*H251,IF(AND(F251,G251),C251*E251*F251*G251,IF(AND(F251,H251),C251*E251*F251*H251,IF(AND(G251,H251),C251*E251*G251*H251,IF(F251,C251*E251*F251,IF(G251,C251*E251*G251,IF(H251,C251*E251*H251,C251*E251))))))),2)</f>
        <v>45.94</v>
      </c>
      <c r="J251" s="1591" t="s">
        <v>5</v>
      </c>
      <c r="K251" s="1585"/>
      <c r="L251" s="1573"/>
      <c r="M251" s="1585"/>
      <c r="N251" s="1578" t="s">
        <v>2218</v>
      </c>
    </row>
    <row r="252" spans="1:14" s="1586" customFormat="1" ht="16.5" customHeight="1">
      <c r="A252" s="1570"/>
      <c r="B252" s="1585" t="s">
        <v>299</v>
      </c>
      <c r="C252" s="1571">
        <v>1</v>
      </c>
      <c r="D252" s="1587" t="s">
        <v>273</v>
      </c>
      <c r="E252" s="1588">
        <v>4</v>
      </c>
      <c r="F252" s="1589">
        <v>2.0499999999999998</v>
      </c>
      <c r="G252" s="1589">
        <v>2.0499999999999998</v>
      </c>
      <c r="H252" s="1589">
        <v>1.5</v>
      </c>
      <c r="I252" s="1590">
        <f t="shared" si="31"/>
        <v>25.22</v>
      </c>
      <c r="J252" s="1591" t="s">
        <v>5</v>
      </c>
      <c r="K252" s="1585"/>
      <c r="L252" s="1573"/>
      <c r="M252" s="1585"/>
      <c r="N252" s="1578" t="s">
        <v>2218</v>
      </c>
    </row>
    <row r="253" spans="1:14" s="1586" customFormat="1" ht="16.5" customHeight="1">
      <c r="A253" s="1570"/>
      <c r="B253" s="1585" t="s">
        <v>1613</v>
      </c>
      <c r="C253" s="1571"/>
      <c r="D253" s="1587"/>
      <c r="E253" s="1588"/>
      <c r="F253" s="1589"/>
      <c r="G253" s="1589"/>
      <c r="H253" s="1589"/>
      <c r="I253" s="1590"/>
      <c r="J253" s="1591"/>
      <c r="K253" s="1585"/>
      <c r="L253" s="1573"/>
      <c r="M253" s="1585"/>
      <c r="N253" s="1578"/>
    </row>
    <row r="254" spans="1:14" s="1586" customFormat="1" ht="16.5" customHeight="1">
      <c r="A254" s="1570"/>
      <c r="B254" s="1585" t="s">
        <v>3554</v>
      </c>
      <c r="C254" s="1571">
        <v>1</v>
      </c>
      <c r="D254" s="1587" t="s">
        <v>273</v>
      </c>
      <c r="E254" s="1588">
        <v>10</v>
      </c>
      <c r="F254" s="1589">
        <v>1.75</v>
      </c>
      <c r="G254" s="1589">
        <v>1.75</v>
      </c>
      <c r="H254" s="1589">
        <v>0.15</v>
      </c>
      <c r="I254" s="1590">
        <f t="shared" ref="I254:I259" si="32">-ROUND(IF(AND(F254:H254),C254*E254*F254*G254*H254,IF(AND(F254,G254),C254*E254*F254*G254,IF(AND(F254,H254),C254*E254*F254*H254,IF(AND(G254,H254),C254*E254*G254*H254,IF(F254,C254*E254*F254,IF(G254,C254*E254*G254,IF(H254,C254*E254*H254,C254*E254))))))),2)</f>
        <v>-4.59</v>
      </c>
      <c r="J254" s="1591" t="s">
        <v>5</v>
      </c>
      <c r="K254" s="1585"/>
      <c r="L254" s="1573"/>
      <c r="M254" s="1585"/>
      <c r="N254" s="1578" t="s">
        <v>2218</v>
      </c>
    </row>
    <row r="255" spans="1:14" s="1586" customFormat="1" ht="16.5" customHeight="1">
      <c r="A255" s="1570"/>
      <c r="B255" s="1585"/>
      <c r="C255" s="1571">
        <v>1</v>
      </c>
      <c r="D255" s="1587" t="s">
        <v>273</v>
      </c>
      <c r="E255" s="1588">
        <v>4</v>
      </c>
      <c r="F255" s="1589">
        <v>2.0499999999999998</v>
      </c>
      <c r="G255" s="1589">
        <v>2.0499999999999998</v>
      </c>
      <c r="H255" s="1589">
        <v>0.15</v>
      </c>
      <c r="I255" s="1590">
        <f t="shared" si="32"/>
        <v>-2.52</v>
      </c>
      <c r="J255" s="1591" t="s">
        <v>5</v>
      </c>
      <c r="K255" s="1585"/>
      <c r="L255" s="1573"/>
      <c r="M255" s="1585"/>
      <c r="N255" s="1578" t="s">
        <v>2218</v>
      </c>
    </row>
    <row r="256" spans="1:14" s="1586" customFormat="1" ht="16.5" customHeight="1">
      <c r="A256" s="1570"/>
      <c r="B256" s="1585" t="s">
        <v>1810</v>
      </c>
      <c r="C256" s="1571">
        <v>1</v>
      </c>
      <c r="D256" s="1587" t="s">
        <v>273</v>
      </c>
      <c r="E256" s="1588">
        <v>14</v>
      </c>
      <c r="F256" s="1589">
        <v>0.45</v>
      </c>
      <c r="G256" s="1589">
        <v>0.45</v>
      </c>
      <c r="H256" s="1589">
        <v>0.45</v>
      </c>
      <c r="I256" s="1590">
        <f t="shared" si="32"/>
        <v>-1.28</v>
      </c>
      <c r="J256" s="1591" t="s">
        <v>5</v>
      </c>
      <c r="K256" s="1585"/>
      <c r="L256" s="1573"/>
      <c r="M256" s="1585"/>
      <c r="N256" s="1578" t="s">
        <v>2218</v>
      </c>
    </row>
    <row r="257" spans="1:14" s="1586" customFormat="1" ht="16.5" customHeight="1">
      <c r="A257" s="1570"/>
      <c r="B257" s="1585" t="s">
        <v>3667</v>
      </c>
      <c r="C257" s="1571">
        <v>1</v>
      </c>
      <c r="D257" s="1587" t="s">
        <v>273</v>
      </c>
      <c r="E257" s="1588">
        <v>10</v>
      </c>
      <c r="F257" s="1589">
        <v>1.45</v>
      </c>
      <c r="G257" s="1589">
        <v>1.45</v>
      </c>
      <c r="H257" s="1589">
        <v>0.32500000000000001</v>
      </c>
      <c r="I257" s="1590">
        <f t="shared" si="32"/>
        <v>-6.83</v>
      </c>
      <c r="J257" s="1591" t="s">
        <v>5</v>
      </c>
      <c r="K257" s="1585"/>
      <c r="L257" s="1573"/>
      <c r="M257" s="1585"/>
      <c r="N257" s="1578" t="s">
        <v>2218</v>
      </c>
    </row>
    <row r="258" spans="1:14" s="1586" customFormat="1" ht="16.5" customHeight="1">
      <c r="A258" s="1570"/>
      <c r="B258" s="1585"/>
      <c r="C258" s="1571">
        <v>1</v>
      </c>
      <c r="D258" s="1587" t="s">
        <v>273</v>
      </c>
      <c r="E258" s="1588">
        <v>4</v>
      </c>
      <c r="F258" s="1589">
        <v>1.75</v>
      </c>
      <c r="G258" s="1589">
        <v>1.75</v>
      </c>
      <c r="H258" s="1589">
        <v>0.4</v>
      </c>
      <c r="I258" s="1590">
        <f t="shared" si="32"/>
        <v>-4.9000000000000004</v>
      </c>
      <c r="J258" s="1591" t="s">
        <v>5</v>
      </c>
      <c r="K258" s="1585"/>
      <c r="L258" s="1573"/>
      <c r="M258" s="1585"/>
      <c r="N258" s="1578" t="s">
        <v>2218</v>
      </c>
    </row>
    <row r="259" spans="1:14" s="1586" customFormat="1" ht="16.5" customHeight="1">
      <c r="A259" s="1570"/>
      <c r="B259" s="1585" t="s">
        <v>1435</v>
      </c>
      <c r="C259" s="1571">
        <v>1</v>
      </c>
      <c r="D259" s="1587" t="s">
        <v>273</v>
      </c>
      <c r="E259" s="1588">
        <v>14</v>
      </c>
      <c r="F259" s="1589">
        <v>0.23</v>
      </c>
      <c r="G259" s="1589">
        <v>0.38</v>
      </c>
      <c r="H259" s="1589">
        <v>0.5</v>
      </c>
      <c r="I259" s="1590">
        <f t="shared" si="32"/>
        <v>-0.61</v>
      </c>
      <c r="J259" s="1591" t="s">
        <v>5</v>
      </c>
      <c r="K259" s="1585"/>
      <c r="L259" s="1573"/>
      <c r="M259" s="1585"/>
      <c r="N259" s="1578" t="s">
        <v>2218</v>
      </c>
    </row>
    <row r="260" spans="1:14" s="1586" customFormat="1" ht="16.5" customHeight="1">
      <c r="A260" s="1570"/>
      <c r="B260" s="1600"/>
      <c r="C260" s="1601"/>
      <c r="D260" s="1602"/>
      <c r="E260" s="1603"/>
      <c r="F260" s="1604"/>
      <c r="G260" s="1604"/>
      <c r="H260" s="1604"/>
      <c r="I260" s="1605"/>
      <c r="J260" s="1598"/>
      <c r="K260" s="1585"/>
      <c r="L260" s="1573"/>
      <c r="M260" s="1585"/>
      <c r="N260" s="1578" t="s">
        <v>2218</v>
      </c>
    </row>
    <row r="261" spans="1:14" s="1575" customFormat="1" ht="15.75">
      <c r="A261" s="1570"/>
      <c r="B261" s="1585"/>
      <c r="C261" s="1606"/>
      <c r="D261" s="1587"/>
      <c r="E261" s="1588"/>
      <c r="F261" s="1589"/>
      <c r="G261" s="1607"/>
      <c r="H261" s="1570"/>
      <c r="I261" s="1605">
        <f>SUM(I251:I260)</f>
        <v>50.43</v>
      </c>
      <c r="J261" s="1598" t="s">
        <v>5</v>
      </c>
      <c r="K261" s="1608">
        <f>data!G80</f>
        <v>228</v>
      </c>
      <c r="L261" s="1573" t="s">
        <v>2218</v>
      </c>
      <c r="M261" s="1609">
        <f>ROUND(I261*K261,0)</f>
        <v>11498</v>
      </c>
      <c r="N261" s="1578" t="s">
        <v>2218</v>
      </c>
    </row>
    <row r="262" spans="1:14" ht="29.25" hidden="1" customHeight="1">
      <c r="A262" s="1156">
        <v>9</v>
      </c>
      <c r="B262" s="1831" t="s">
        <v>282</v>
      </c>
      <c r="C262" s="1832"/>
      <c r="D262" s="1833"/>
      <c r="E262" s="1832"/>
      <c r="F262" s="1832"/>
      <c r="G262" s="1832"/>
      <c r="H262" s="1834"/>
      <c r="I262" s="1157"/>
      <c r="J262" s="1158"/>
      <c r="K262" s="1156"/>
      <c r="L262" s="1159"/>
      <c r="M262" s="1160"/>
      <c r="N262" s="1161" t="s">
        <v>2306</v>
      </c>
    </row>
    <row r="263" spans="1:14" s="1170" customFormat="1" ht="16.5" hidden="1" customHeight="1">
      <c r="A263" s="1156"/>
      <c r="B263" s="1169" t="s">
        <v>3539</v>
      </c>
      <c r="C263" s="1338"/>
      <c r="D263" s="1548" t="s">
        <v>3641</v>
      </c>
      <c r="E263" s="1339"/>
      <c r="F263" s="1340"/>
      <c r="G263" s="1340"/>
      <c r="H263" s="1340"/>
      <c r="I263" s="1341"/>
      <c r="J263" s="1329"/>
      <c r="K263" s="1169"/>
      <c r="L263" s="1156"/>
      <c r="M263" s="1169"/>
      <c r="N263" s="1161" t="s">
        <v>2306</v>
      </c>
    </row>
    <row r="264" spans="1:14" s="1170" customFormat="1" ht="16.5" hidden="1" customHeight="1">
      <c r="A264" s="1156"/>
      <c r="B264" s="1169" t="s">
        <v>3577</v>
      </c>
      <c r="C264" s="1157">
        <v>1</v>
      </c>
      <c r="D264" s="1171" t="s">
        <v>273</v>
      </c>
      <c r="E264" s="1165">
        <v>4</v>
      </c>
      <c r="F264" s="1166">
        <v>1.05</v>
      </c>
      <c r="G264" s="1166">
        <v>1.05</v>
      </c>
      <c r="H264" s="1166">
        <v>0.75</v>
      </c>
      <c r="I264" s="1172">
        <f t="shared" ref="I264" si="33">ROUND(IF(AND(F264:H264),C264*E264*F264*G264*H264,IF(AND(F264,G264),C264*E264*F264*G264,IF(AND(F264,H264),C264*E264*F264*H264,IF(AND(G264,H264),C264*E264*G264*H264,IF(F264,C264*E264*F264,IF(G264,C264*E264*G264,IF(H264,C264*E264*H264,C264*E264))))))),2)</f>
        <v>3.31</v>
      </c>
      <c r="J264" s="1330" t="s">
        <v>5</v>
      </c>
      <c r="K264" s="1169"/>
      <c r="L264" s="1159"/>
      <c r="M264" s="1169"/>
      <c r="N264" s="1161" t="s">
        <v>2306</v>
      </c>
    </row>
    <row r="265" spans="1:14" s="1170" customFormat="1" ht="16.5" hidden="1" customHeight="1">
      <c r="A265" s="1156"/>
      <c r="B265" s="1169" t="s">
        <v>2924</v>
      </c>
      <c r="C265" s="1157">
        <v>1</v>
      </c>
      <c r="D265" s="1171" t="s">
        <v>273</v>
      </c>
      <c r="E265" s="1165">
        <v>4</v>
      </c>
      <c r="F265" s="1166">
        <v>1.05</v>
      </c>
      <c r="G265" s="1166">
        <v>1.05</v>
      </c>
      <c r="H265" s="1166">
        <v>0.15</v>
      </c>
      <c r="I265" s="1172">
        <f>-ROUND(IF(AND(F265:H265),C265*E265*F265*G265*H265,IF(AND(F265,G265),C265*E265*F265*G265,IF(AND(F265,H265),C265*E265*F265*H265,IF(AND(G265,H265),C265*E265*G265*H265,IF(F265,C265*E265*F265,IF(G265,C265*E265*G265,IF(H265,C265*E265*H265,C265*E265))))))),2)</f>
        <v>-0.66</v>
      </c>
      <c r="J265" s="1330" t="s">
        <v>5</v>
      </c>
      <c r="K265" s="1169"/>
      <c r="L265" s="1159"/>
      <c r="M265" s="1169"/>
      <c r="N265" s="1161" t="s">
        <v>2306</v>
      </c>
    </row>
    <row r="266" spans="1:14" s="1170" customFormat="1" ht="16.5" hidden="1" customHeight="1">
      <c r="A266" s="1156"/>
      <c r="B266" s="1169" t="s">
        <v>3540</v>
      </c>
      <c r="C266" s="1157">
        <v>1</v>
      </c>
      <c r="D266" s="1171" t="s">
        <v>273</v>
      </c>
      <c r="E266" s="1165">
        <v>4</v>
      </c>
      <c r="F266" s="1166">
        <v>0.9</v>
      </c>
      <c r="G266" s="1166">
        <v>0.9</v>
      </c>
      <c r="H266" s="1166">
        <v>0.23</v>
      </c>
      <c r="I266" s="1172">
        <f>-ROUND(IF(AND(F266:H266),C266*E266*F266*G266*H266,IF(AND(F266,G266),C266*E266*F266*G266,IF(AND(F266,H266),C266*E266*F266*H266,IF(AND(G266,H266),C266*E266*G266*H266,IF(F266,C266*E266*F266,IF(G266,C266*E266*G266,IF(H266,C266*E266*H266,C266*E266))))))),2)</f>
        <v>-0.75</v>
      </c>
      <c r="J266" s="1330" t="s">
        <v>5</v>
      </c>
      <c r="K266" s="1169"/>
      <c r="L266" s="1159"/>
      <c r="M266" s="1169"/>
      <c r="N266" s="1161" t="s">
        <v>2306</v>
      </c>
    </row>
    <row r="267" spans="1:14" s="1170" customFormat="1" ht="16.5" hidden="1" customHeight="1">
      <c r="A267" s="1156"/>
      <c r="B267" s="1169" t="s">
        <v>281</v>
      </c>
      <c r="C267" s="1157">
        <v>4</v>
      </c>
      <c r="D267" s="1171" t="s">
        <v>273</v>
      </c>
      <c r="E267" s="1165">
        <v>0.78500000000000003</v>
      </c>
      <c r="F267" s="1166">
        <v>0.23</v>
      </c>
      <c r="G267" s="1166">
        <v>0.23</v>
      </c>
      <c r="H267" s="1166">
        <v>0.37</v>
      </c>
      <c r="I267" s="1172">
        <f>-ROUND(IF(AND(F267:H267),C267*E267*F267*G267*H267,IF(AND(F267,G267),C267*E267*F267*G267,IF(AND(F267,H267),C267*E267*F267*H267,IF(AND(G267,H267),C267*E267*G267*H267,IF(F267,C267*E267*F267,IF(G267,C267*E267*G267,IF(H267,C267*E267*H267,C267*E267))))))),2)</f>
        <v>-0.06</v>
      </c>
      <c r="J267" s="1330" t="s">
        <v>5</v>
      </c>
      <c r="K267" s="1169"/>
      <c r="L267" s="1159"/>
      <c r="M267" s="1169"/>
      <c r="N267" s="1161" t="s">
        <v>2306</v>
      </c>
    </row>
    <row r="268" spans="1:14" s="1170" customFormat="1" ht="16.5" hidden="1" customHeight="1">
      <c r="A268" s="1156"/>
      <c r="B268" s="1331"/>
      <c r="C268" s="1332"/>
      <c r="D268" s="1333"/>
      <c r="E268" s="1334"/>
      <c r="F268" s="1335"/>
      <c r="G268" s="1335"/>
      <c r="H268" s="1335"/>
      <c r="I268" s="1336"/>
      <c r="J268" s="1168"/>
      <c r="K268" s="1169"/>
      <c r="L268" s="1159"/>
      <c r="M268" s="1169"/>
      <c r="N268" s="1161" t="s">
        <v>2306</v>
      </c>
    </row>
    <row r="269" spans="1:14" ht="15.75" hidden="1">
      <c r="A269" s="1156"/>
      <c r="B269" s="1169"/>
      <c r="C269" s="1337"/>
      <c r="D269" s="1171"/>
      <c r="E269" s="1165"/>
      <c r="F269" s="1166"/>
      <c r="G269" s="1343"/>
      <c r="H269" s="1156"/>
      <c r="I269" s="1336"/>
      <c r="J269" s="1168" t="s">
        <v>5</v>
      </c>
      <c r="K269" s="1221">
        <f>data!G996</f>
        <v>249.16</v>
      </c>
      <c r="L269" s="1159" t="s">
        <v>2306</v>
      </c>
      <c r="M269" s="1224">
        <f>ROUND(I269*K269,0)</f>
        <v>0</v>
      </c>
      <c r="N269" s="1161" t="s">
        <v>2306</v>
      </c>
    </row>
    <row r="270" spans="1:14" ht="30.75" hidden="1" customHeight="1">
      <c r="A270" s="1156">
        <v>4</v>
      </c>
      <c r="B270" s="1826" t="s">
        <v>282</v>
      </c>
      <c r="C270" s="1826"/>
      <c r="D270" s="1826"/>
      <c r="E270" s="1826"/>
      <c r="F270" s="1826"/>
      <c r="G270" s="1826"/>
      <c r="H270" s="1826"/>
      <c r="I270" s="1157"/>
      <c r="J270" s="1158"/>
      <c r="K270" s="1156"/>
      <c r="L270" s="1159"/>
      <c r="M270" s="1160"/>
      <c r="N270" s="1161" t="s">
        <v>2317</v>
      </c>
    </row>
    <row r="271" spans="1:14" s="1170" customFormat="1" ht="16.5" hidden="1" customHeight="1">
      <c r="A271" s="1156"/>
      <c r="B271" s="1163" t="s">
        <v>3474</v>
      </c>
      <c r="C271" s="1338"/>
      <c r="D271" s="1164"/>
      <c r="E271" s="1339"/>
      <c r="F271" s="1340"/>
      <c r="G271" s="1340"/>
      <c r="H271" s="1340"/>
      <c r="I271" s="1341"/>
      <c r="J271" s="1329"/>
      <c r="K271" s="1169"/>
      <c r="L271" s="1156"/>
      <c r="M271" s="1169"/>
      <c r="N271" s="1161" t="s">
        <v>2317</v>
      </c>
    </row>
    <row r="272" spans="1:14" s="1170" customFormat="1" ht="16.5" hidden="1" customHeight="1">
      <c r="A272" s="1156"/>
      <c r="B272" s="1169" t="s">
        <v>1602</v>
      </c>
      <c r="C272" s="1157">
        <v>1</v>
      </c>
      <c r="D272" s="1171" t="s">
        <v>273</v>
      </c>
      <c r="E272" s="1165">
        <v>10</v>
      </c>
      <c r="F272" s="1166">
        <v>1.5</v>
      </c>
      <c r="G272" s="1166">
        <v>1.5</v>
      </c>
      <c r="H272" s="1166">
        <v>1.8</v>
      </c>
      <c r="I272" s="1172">
        <f>ROUND(IF(AND(F272:H272),C272*E272*F272*G272*H272,IF(AND(F272,G272),C272*E272*F272*G272,IF(AND(F272,H272),C272*E272*F272*H272,IF(AND(G272,H272),C272*E272*G272*H272,IF(F272,C272*E272*F272,IF(G272,C272*E272*G272,IF(H272,C272*E272*H272,C272*E272))))))),2)</f>
        <v>40.5</v>
      </c>
      <c r="J272" s="1330" t="s">
        <v>5</v>
      </c>
      <c r="K272" s="1169"/>
      <c r="L272" s="1156"/>
      <c r="M272" s="1169"/>
      <c r="N272" s="1161" t="s">
        <v>2317</v>
      </c>
    </row>
    <row r="273" spans="1:14" s="1170" customFormat="1" ht="16.5" hidden="1" customHeight="1">
      <c r="A273" s="1156"/>
      <c r="B273" s="1169" t="s">
        <v>1603</v>
      </c>
      <c r="C273" s="1157">
        <v>1</v>
      </c>
      <c r="D273" s="1171" t="s">
        <v>273</v>
      </c>
      <c r="E273" s="1165">
        <v>4</v>
      </c>
      <c r="F273" s="1166">
        <v>1.5</v>
      </c>
      <c r="G273" s="1166">
        <v>1.5</v>
      </c>
      <c r="H273" s="1166">
        <v>1.8</v>
      </c>
      <c r="I273" s="1172">
        <f>ROUND(IF(AND(F273:H273),C273*E273*F273*G273*H273,IF(AND(F273,G273),C273*E273*F273*G273,IF(AND(F273,H273),C273*E273*F273*H273,IF(AND(G273,H273),C273*E273*G273*H273,IF(F273,C273*E273*F273,IF(G273,C273*E273*G273,IF(H273,C273*E273*H273,C273*E273))))))),2)</f>
        <v>16.2</v>
      </c>
      <c r="J273" s="1330" t="s">
        <v>5</v>
      </c>
      <c r="K273" s="1169"/>
      <c r="L273" s="1156"/>
      <c r="M273" s="1169"/>
      <c r="N273" s="1161" t="s">
        <v>2317</v>
      </c>
    </row>
    <row r="274" spans="1:14" s="1170" customFormat="1" ht="16.5" hidden="1" customHeight="1">
      <c r="A274" s="1156"/>
      <c r="B274" s="1169" t="s">
        <v>1610</v>
      </c>
      <c r="C274" s="1157"/>
      <c r="D274" s="1171"/>
      <c r="E274" s="1165"/>
      <c r="F274" s="1166"/>
      <c r="G274" s="1166"/>
      <c r="H274" s="1166"/>
      <c r="I274" s="1172">
        <v>-16.2</v>
      </c>
      <c r="J274" s="1330" t="s">
        <v>5</v>
      </c>
      <c r="K274" s="1169"/>
      <c r="L274" s="1156"/>
      <c r="M274" s="1169"/>
      <c r="N274" s="1161" t="s">
        <v>2317</v>
      </c>
    </row>
    <row r="275" spans="1:14" s="1170" customFormat="1" ht="16.5" hidden="1" customHeight="1">
      <c r="A275" s="1156"/>
      <c r="B275" s="1331"/>
      <c r="C275" s="1332"/>
      <c r="D275" s="1333"/>
      <c r="E275" s="1334"/>
      <c r="F275" s="1335"/>
      <c r="G275" s="1335"/>
      <c r="H275" s="1335"/>
      <c r="I275" s="1336"/>
      <c r="J275" s="1168"/>
      <c r="K275" s="1169"/>
      <c r="L275" s="1159"/>
      <c r="M275" s="1169"/>
      <c r="N275" s="1161" t="s">
        <v>2317</v>
      </c>
    </row>
    <row r="276" spans="1:14" ht="15.75" hidden="1">
      <c r="A276" s="1156"/>
      <c r="B276" s="1169"/>
      <c r="C276" s="1337"/>
      <c r="D276" s="1171"/>
      <c r="E276" s="1165"/>
      <c r="F276" s="1166"/>
      <c r="G276" s="1343"/>
      <c r="H276" s="1156"/>
      <c r="I276" s="1336"/>
      <c r="J276" s="1168" t="s">
        <v>5</v>
      </c>
      <c r="K276" s="1221">
        <f>data!G1913</f>
        <v>265.36</v>
      </c>
      <c r="L276" s="1159" t="s">
        <v>2317</v>
      </c>
      <c r="M276" s="1224">
        <f>ROUND(I276*K276,0)</f>
        <v>0</v>
      </c>
      <c r="N276" s="1161" t="s">
        <v>2317</v>
      </c>
    </row>
    <row r="277" spans="1:14" ht="29.25" hidden="1" customHeight="1">
      <c r="A277" s="1156">
        <v>4</v>
      </c>
      <c r="B277" s="1826" t="s">
        <v>282</v>
      </c>
      <c r="C277" s="1826"/>
      <c r="D277" s="1826"/>
      <c r="E277" s="1826"/>
      <c r="F277" s="1826"/>
      <c r="G277" s="1826"/>
      <c r="H277" s="1826"/>
      <c r="I277" s="1157"/>
      <c r="J277" s="1158"/>
      <c r="K277" s="1156"/>
      <c r="L277" s="1159"/>
      <c r="M277" s="1160"/>
      <c r="N277" s="1161" t="s">
        <v>2318</v>
      </c>
    </row>
    <row r="278" spans="1:14" s="1170" customFormat="1" ht="16.5" hidden="1" customHeight="1">
      <c r="A278" s="1156"/>
      <c r="B278" s="1163" t="s">
        <v>3474</v>
      </c>
      <c r="C278" s="1338"/>
      <c r="D278" s="1164"/>
      <c r="E278" s="1339"/>
      <c r="F278" s="1340"/>
      <c r="G278" s="1340"/>
      <c r="H278" s="1340"/>
      <c r="I278" s="1341"/>
      <c r="J278" s="1329"/>
      <c r="K278" s="1169"/>
      <c r="L278" s="1156"/>
      <c r="M278" s="1169"/>
      <c r="N278" s="1161" t="s">
        <v>2318</v>
      </c>
    </row>
    <row r="279" spans="1:14" s="1170" customFormat="1" ht="16.5" hidden="1" customHeight="1">
      <c r="A279" s="1156"/>
      <c r="B279" s="1169" t="s">
        <v>1602</v>
      </c>
      <c r="C279" s="1157">
        <v>1</v>
      </c>
      <c r="D279" s="1171" t="s">
        <v>273</v>
      </c>
      <c r="E279" s="1165">
        <v>10</v>
      </c>
      <c r="F279" s="1166">
        <v>1.5</v>
      </c>
      <c r="G279" s="1166">
        <v>1.5</v>
      </c>
      <c r="H279" s="1166">
        <v>1.8</v>
      </c>
      <c r="I279" s="1172">
        <f>ROUND(IF(AND(F279:H279),C279*E279*F279*G279*H279,IF(AND(F279,G279),C279*E279*F279*G279,IF(AND(F279,H279),C279*E279*F279*H279,IF(AND(G279,H279),C279*E279*G279*H279,IF(F279,C279*E279*F279,IF(G279,C279*E279*G279,IF(H279,C279*E279*H279,C279*E279))))))),2)</f>
        <v>40.5</v>
      </c>
      <c r="J279" s="1330" t="s">
        <v>5</v>
      </c>
      <c r="K279" s="1169"/>
      <c r="L279" s="1156"/>
      <c r="M279" s="1169"/>
      <c r="N279" s="1161" t="s">
        <v>2318</v>
      </c>
    </row>
    <row r="280" spans="1:14" s="1170" customFormat="1" ht="16.5" hidden="1" customHeight="1">
      <c r="A280" s="1156"/>
      <c r="B280" s="1169" t="s">
        <v>1603</v>
      </c>
      <c r="C280" s="1157">
        <v>1</v>
      </c>
      <c r="D280" s="1171" t="s">
        <v>273</v>
      </c>
      <c r="E280" s="1165">
        <v>4</v>
      </c>
      <c r="F280" s="1166">
        <v>1.5</v>
      </c>
      <c r="G280" s="1166">
        <v>1.5</v>
      </c>
      <c r="H280" s="1166">
        <v>1.8</v>
      </c>
      <c r="I280" s="1172">
        <f>ROUND(IF(AND(F280:H280),C280*E280*F280*G280*H280,IF(AND(F280,G280),C280*E280*F280*G280,IF(AND(F280,H280),C280*E280*F280*H280,IF(AND(G280,H280),C280*E280*G280*H280,IF(F280,C280*E280*F280,IF(G280,C280*E280*G280,IF(H280,C280*E280*H280,C280*E280))))))),2)</f>
        <v>16.2</v>
      </c>
      <c r="J280" s="1330" t="s">
        <v>5</v>
      </c>
      <c r="K280" s="1169"/>
      <c r="L280" s="1156"/>
      <c r="M280" s="1169"/>
      <c r="N280" s="1161" t="s">
        <v>2318</v>
      </c>
    </row>
    <row r="281" spans="1:14" s="1170" customFormat="1" ht="16.5" hidden="1" customHeight="1">
      <c r="A281" s="1156"/>
      <c r="B281" s="1169" t="s">
        <v>1610</v>
      </c>
      <c r="C281" s="1157"/>
      <c r="D281" s="1171"/>
      <c r="E281" s="1165"/>
      <c r="F281" s="1166"/>
      <c r="G281" s="1166"/>
      <c r="H281" s="1166"/>
      <c r="I281" s="1172">
        <v>-16.2</v>
      </c>
      <c r="J281" s="1330" t="s">
        <v>5</v>
      </c>
      <c r="K281" s="1169"/>
      <c r="L281" s="1156"/>
      <c r="M281" s="1169"/>
      <c r="N281" s="1161" t="s">
        <v>2318</v>
      </c>
    </row>
    <row r="282" spans="1:14" s="1170" customFormat="1" ht="16.5" hidden="1" customHeight="1">
      <c r="A282" s="1156"/>
      <c r="B282" s="1331"/>
      <c r="C282" s="1332"/>
      <c r="D282" s="1333"/>
      <c r="E282" s="1334"/>
      <c r="F282" s="1335"/>
      <c r="G282" s="1335"/>
      <c r="H282" s="1335"/>
      <c r="I282" s="1336"/>
      <c r="J282" s="1168"/>
      <c r="K282" s="1169"/>
      <c r="L282" s="1159"/>
      <c r="M282" s="1169"/>
      <c r="N282" s="1161" t="s">
        <v>2318</v>
      </c>
    </row>
    <row r="283" spans="1:14" ht="15.75" hidden="1">
      <c r="A283" s="1156"/>
      <c r="B283" s="1169"/>
      <c r="C283" s="1337"/>
      <c r="D283" s="1171"/>
      <c r="E283" s="1165"/>
      <c r="F283" s="1166"/>
      <c r="G283" s="1343"/>
      <c r="H283" s="1156"/>
      <c r="I283" s="1336"/>
      <c r="J283" s="1168" t="s">
        <v>5</v>
      </c>
      <c r="K283" s="1221">
        <f>data!G2830</f>
        <v>284.39999999999998</v>
      </c>
      <c r="L283" s="1159" t="s">
        <v>2318</v>
      </c>
      <c r="M283" s="1224">
        <f>ROUND(I283*K283,0)</f>
        <v>0</v>
      </c>
      <c r="N283" s="1161" t="s">
        <v>2318</v>
      </c>
    </row>
    <row r="284" spans="1:14" s="1575" customFormat="1" ht="87.75" customHeight="1">
      <c r="A284" s="1570">
        <v>6</v>
      </c>
      <c r="B284" s="1827" t="s">
        <v>1572</v>
      </c>
      <c r="C284" s="1827"/>
      <c r="D284" s="1827"/>
      <c r="E284" s="1827"/>
      <c r="F284" s="1827"/>
      <c r="G284" s="1827"/>
      <c r="H284" s="1827"/>
      <c r="I284" s="1571"/>
      <c r="J284" s="1572"/>
      <c r="K284" s="1570"/>
      <c r="L284" s="1573"/>
      <c r="M284" s="1577"/>
      <c r="N284" s="1578" t="s">
        <v>2218</v>
      </c>
    </row>
    <row r="285" spans="1:14" s="1586" customFormat="1" ht="16.5" customHeight="1">
      <c r="A285" s="1570"/>
      <c r="B285" s="1579" t="s">
        <v>3776</v>
      </c>
      <c r="C285" s="1580"/>
      <c r="D285" s="1790" t="s">
        <v>3866</v>
      </c>
      <c r="E285" s="1581"/>
      <c r="F285" s="1582"/>
      <c r="G285" s="1582"/>
      <c r="H285" s="1582"/>
      <c r="I285" s="1583"/>
      <c r="J285" s="1584"/>
      <c r="K285" s="1585"/>
      <c r="L285" s="1573"/>
      <c r="M285" s="1585"/>
      <c r="N285" s="1578" t="s">
        <v>2218</v>
      </c>
    </row>
    <row r="286" spans="1:14" s="1586" customFormat="1" ht="18" customHeight="1">
      <c r="A286" s="1570"/>
      <c r="B286" s="1585" t="s">
        <v>298</v>
      </c>
      <c r="C286" s="1571">
        <v>1</v>
      </c>
      <c r="D286" s="1587" t="s">
        <v>273</v>
      </c>
      <c r="E286" s="1588">
        <v>10</v>
      </c>
      <c r="F286" s="1589">
        <v>1.45</v>
      </c>
      <c r="G286" s="1589">
        <v>1.45</v>
      </c>
      <c r="H286" s="1589">
        <v>0.32500000000000001</v>
      </c>
      <c r="I286" s="1590">
        <f t="shared" ref="I286:I287" si="34">ROUND(IF(AND(F286:H286),C286*E286*F286*G286*H286,IF(AND(F286,G286),C286*E286*F286*G286,IF(AND(F286,H286),C286*E286*F286*H286,IF(AND(G286,H286),C286*E286*G286*H286,IF(F286,C286*E286*F286,IF(G286,C286*E286*G286,IF(H286,C286*E286*H286,C286*E286))))))),2)</f>
        <v>6.83</v>
      </c>
      <c r="J286" s="1591" t="s">
        <v>5</v>
      </c>
      <c r="K286" s="1585"/>
      <c r="L286" s="1573"/>
      <c r="M286" s="1585"/>
      <c r="N286" s="1578" t="s">
        <v>2218</v>
      </c>
    </row>
    <row r="287" spans="1:14" s="1586" customFormat="1" ht="18" customHeight="1">
      <c r="A287" s="1570"/>
      <c r="B287" s="1585" t="s">
        <v>299</v>
      </c>
      <c r="C287" s="1571">
        <v>1</v>
      </c>
      <c r="D287" s="1587" t="s">
        <v>273</v>
      </c>
      <c r="E287" s="1588">
        <v>4</v>
      </c>
      <c r="F287" s="1589">
        <v>1.75</v>
      </c>
      <c r="G287" s="1589">
        <v>1.75</v>
      </c>
      <c r="H287" s="1589">
        <v>0.4</v>
      </c>
      <c r="I287" s="1590">
        <f t="shared" si="34"/>
        <v>4.9000000000000004</v>
      </c>
      <c r="J287" s="1591" t="s">
        <v>5</v>
      </c>
      <c r="K287" s="1585"/>
      <c r="L287" s="1573"/>
      <c r="M287" s="1585"/>
      <c r="N287" s="1578" t="s">
        <v>2218</v>
      </c>
    </row>
    <row r="288" spans="1:14" s="1586" customFormat="1" ht="18" customHeight="1">
      <c r="A288" s="1570"/>
      <c r="B288" s="1579" t="s">
        <v>3802</v>
      </c>
      <c r="C288" s="1580"/>
      <c r="D288" s="1790" t="s">
        <v>3867</v>
      </c>
      <c r="E288" s="1581"/>
      <c r="F288" s="1582"/>
      <c r="G288" s="1582"/>
      <c r="H288" s="1582"/>
      <c r="I288" s="1583"/>
      <c r="J288" s="1584"/>
      <c r="K288" s="1585"/>
      <c r="L288" s="1573"/>
      <c r="M288" s="1585"/>
      <c r="N288" s="1578" t="s">
        <v>2218</v>
      </c>
    </row>
    <row r="289" spans="1:14" s="1586" customFormat="1" ht="18" customHeight="1">
      <c r="A289" s="1570"/>
      <c r="B289" s="1585" t="s">
        <v>3803</v>
      </c>
      <c r="C289" s="1571">
        <v>4</v>
      </c>
      <c r="D289" s="1587" t="s">
        <v>273</v>
      </c>
      <c r="E289" s="1588">
        <v>1</v>
      </c>
      <c r="F289" s="1589">
        <v>0.45</v>
      </c>
      <c r="G289" s="1589">
        <v>0.35</v>
      </c>
      <c r="H289" s="1589">
        <v>0.23</v>
      </c>
      <c r="I289" s="1590">
        <f t="shared" ref="I289" si="35">ROUND(IF(AND(F289:H289),C289*E289*F289*G289*H289,IF(AND(F289,G289),C289*E289*F289*G289,IF(AND(F289,H289),C289*E289*F289*H289,IF(AND(G289,H289),C289*E289*G289*H289,IF(F289,C289*E289*F289,IF(G289,C289*E289*G289,IF(H289,C289*E289*H289,C289*E289))))))),2)</f>
        <v>0.14000000000000001</v>
      </c>
      <c r="J289" s="1591" t="s">
        <v>5</v>
      </c>
      <c r="K289" s="1585"/>
      <c r="L289" s="1573"/>
      <c r="M289" s="1585"/>
      <c r="N289" s="1578" t="s">
        <v>2218</v>
      </c>
    </row>
    <row r="290" spans="1:14" s="1586" customFormat="1" ht="16.5" customHeight="1">
      <c r="A290" s="1570"/>
      <c r="B290" s="1600"/>
      <c r="C290" s="1601"/>
      <c r="D290" s="1602"/>
      <c r="E290" s="1603"/>
      <c r="F290" s="1604"/>
      <c r="G290" s="1604"/>
      <c r="H290" s="1604"/>
      <c r="I290" s="1605"/>
      <c r="J290" s="1598"/>
      <c r="K290" s="1585"/>
      <c r="L290" s="1573"/>
      <c r="M290" s="1585"/>
      <c r="N290" s="1578" t="s">
        <v>2218</v>
      </c>
    </row>
    <row r="291" spans="1:14" s="1575" customFormat="1" ht="15.75">
      <c r="A291" s="1570"/>
      <c r="B291" s="1585"/>
      <c r="C291" s="1606"/>
      <c r="D291" s="1587"/>
      <c r="E291" s="1588"/>
      <c r="F291" s="1589"/>
      <c r="G291" s="1607"/>
      <c r="H291" s="1570"/>
      <c r="I291" s="1605">
        <f>SUM(I286:I290)</f>
        <v>11.870000000000001</v>
      </c>
      <c r="J291" s="1598" t="s">
        <v>5</v>
      </c>
      <c r="K291" s="1608">
        <f>data!G124</f>
        <v>6979.88</v>
      </c>
      <c r="L291" s="1573" t="s">
        <v>2218</v>
      </c>
      <c r="M291" s="1609">
        <f>ROUND(I291*K291,0)</f>
        <v>82851</v>
      </c>
      <c r="N291" s="1578" t="s">
        <v>2218</v>
      </c>
    </row>
    <row r="292" spans="1:14" ht="87.75" hidden="1" customHeight="1">
      <c r="A292" s="1156">
        <v>11</v>
      </c>
      <c r="B292" s="1826" t="s">
        <v>1572</v>
      </c>
      <c r="C292" s="1826"/>
      <c r="D292" s="1828"/>
      <c r="E292" s="1826"/>
      <c r="F292" s="1826"/>
      <c r="G292" s="1826"/>
      <c r="H292" s="1826"/>
      <c r="I292" s="1157"/>
      <c r="J292" s="1158"/>
      <c r="K292" s="1156"/>
      <c r="L292" s="1159"/>
      <c r="M292" s="1160"/>
      <c r="N292" s="1161" t="s">
        <v>2306</v>
      </c>
    </row>
    <row r="293" spans="1:14" s="1170" customFormat="1" ht="16.5" hidden="1" customHeight="1">
      <c r="A293" s="1156"/>
      <c r="B293" s="1169" t="s">
        <v>3576</v>
      </c>
      <c r="C293" s="1157"/>
      <c r="D293" s="1548" t="s">
        <v>3645</v>
      </c>
      <c r="E293" s="1165"/>
      <c r="F293" s="1166"/>
      <c r="G293" s="1166"/>
      <c r="H293" s="1166"/>
      <c r="I293" s="1167"/>
      <c r="J293" s="1329"/>
      <c r="K293" s="1169"/>
      <c r="L293" s="1159"/>
      <c r="M293" s="1169"/>
      <c r="N293" s="1161" t="s">
        <v>2306</v>
      </c>
    </row>
    <row r="294" spans="1:14" s="1170" customFormat="1" ht="18" hidden="1" customHeight="1">
      <c r="A294" s="1156"/>
      <c r="B294" s="1169"/>
      <c r="C294" s="1157">
        <v>1</v>
      </c>
      <c r="D294" s="1171" t="s">
        <v>273</v>
      </c>
      <c r="E294" s="1165">
        <v>4</v>
      </c>
      <c r="F294" s="1166">
        <v>0.9</v>
      </c>
      <c r="G294" s="1166">
        <v>0.9</v>
      </c>
      <c r="H294" s="1166">
        <v>0.23</v>
      </c>
      <c r="I294" s="1172">
        <f t="shared" ref="I294" si="36">ROUND(IF(AND(F294:H294),C294*E294*F294*G294*H294,IF(AND(F294,G294),C294*E294*F294*G294,IF(AND(F294,H294),C294*E294*F294*H294,IF(AND(G294,H294),C294*E294*G294*H294,IF(F294,C294*E294*F294,IF(G294,C294*E294*G294,IF(H294,C294*E294*H294,C294*E294))))))),2)</f>
        <v>0.75</v>
      </c>
      <c r="J294" s="1330" t="s">
        <v>5</v>
      </c>
      <c r="K294" s="1169"/>
      <c r="L294" s="1159"/>
      <c r="M294" s="1169"/>
      <c r="N294" s="1161" t="s">
        <v>2306</v>
      </c>
    </row>
    <row r="295" spans="1:14" s="1170" customFormat="1" ht="16.5" hidden="1" customHeight="1">
      <c r="A295" s="1156"/>
      <c r="B295" s="1331"/>
      <c r="C295" s="1332"/>
      <c r="D295" s="1333"/>
      <c r="E295" s="1334"/>
      <c r="F295" s="1335"/>
      <c r="G295" s="1335"/>
      <c r="H295" s="1335"/>
      <c r="I295" s="1336"/>
      <c r="J295" s="1168"/>
      <c r="K295" s="1169"/>
      <c r="L295" s="1159"/>
      <c r="M295" s="1169"/>
      <c r="N295" s="1161" t="s">
        <v>2306</v>
      </c>
    </row>
    <row r="296" spans="1:14" ht="15.75" hidden="1">
      <c r="A296" s="1156"/>
      <c r="B296" s="1169"/>
      <c r="C296" s="1337"/>
      <c r="D296" s="1171"/>
      <c r="E296" s="1165"/>
      <c r="F296" s="1166"/>
      <c r="G296" s="1343"/>
      <c r="H296" s="1156"/>
      <c r="I296" s="1336"/>
      <c r="J296" s="1168" t="s">
        <v>5</v>
      </c>
      <c r="K296" s="1221">
        <f>data!G1040</f>
        <v>7288.23</v>
      </c>
      <c r="L296" s="1159" t="s">
        <v>2306</v>
      </c>
      <c r="M296" s="1224">
        <f>ROUND(I296*K296,0)</f>
        <v>0</v>
      </c>
      <c r="N296" s="1161" t="s">
        <v>2306</v>
      </c>
    </row>
    <row r="297" spans="1:14" ht="87.75" hidden="1" customHeight="1">
      <c r="A297" s="1156">
        <v>5</v>
      </c>
      <c r="B297" s="1826" t="s">
        <v>1572</v>
      </c>
      <c r="C297" s="1826"/>
      <c r="D297" s="1826"/>
      <c r="E297" s="1826"/>
      <c r="F297" s="1826"/>
      <c r="G297" s="1826"/>
      <c r="H297" s="1826"/>
      <c r="I297" s="1157"/>
      <c r="J297" s="1158"/>
      <c r="K297" s="1156"/>
      <c r="L297" s="1159"/>
      <c r="M297" s="1160"/>
      <c r="N297" s="1161" t="s">
        <v>2317</v>
      </c>
    </row>
    <row r="298" spans="1:14" s="1170" customFormat="1" ht="16.5" hidden="1" customHeight="1">
      <c r="A298" s="1156"/>
      <c r="B298" s="1163" t="s">
        <v>3475</v>
      </c>
      <c r="C298" s="1338"/>
      <c r="D298" s="1164"/>
      <c r="E298" s="1339"/>
      <c r="F298" s="1340"/>
      <c r="G298" s="1340"/>
      <c r="H298" s="1340"/>
      <c r="I298" s="1341"/>
      <c r="J298" s="1329"/>
      <c r="K298" s="1169"/>
      <c r="L298" s="1156"/>
      <c r="M298" s="1169"/>
      <c r="N298" s="1161" t="s">
        <v>2317</v>
      </c>
    </row>
    <row r="299" spans="1:14" s="1170" customFormat="1" ht="16.5" hidden="1" customHeight="1">
      <c r="A299" s="1156"/>
      <c r="B299" s="1169" t="s">
        <v>1607</v>
      </c>
      <c r="C299" s="1157">
        <v>1</v>
      </c>
      <c r="D299" s="1171" t="s">
        <v>273</v>
      </c>
      <c r="E299" s="1165">
        <v>1</v>
      </c>
      <c r="F299" s="1166">
        <v>1.35</v>
      </c>
      <c r="G299" s="1166">
        <v>1.35</v>
      </c>
      <c r="H299" s="1166">
        <v>0.3</v>
      </c>
      <c r="I299" s="1172">
        <f>ROUND(IF(AND(F299:H299),C299*E299*F299*G299*H299,IF(AND(F299,G299),C299*E299*F299*G299,IF(AND(F299,H299),C299*E299*F299*H299,IF(AND(G299,H299),C299*E299*G299*H299,IF(F299,C299*E299*F299,IF(G299,C299*E299*G299,IF(H299,C299*E299*H299,C299*E299))))))),2)</f>
        <v>0.55000000000000004</v>
      </c>
      <c r="J299" s="1330" t="s">
        <v>5</v>
      </c>
      <c r="K299" s="1169"/>
      <c r="L299" s="1156"/>
      <c r="M299" s="1169"/>
      <c r="N299" s="1161" t="s">
        <v>2317</v>
      </c>
    </row>
    <row r="300" spans="1:14" s="1170" customFormat="1" ht="16.5" hidden="1" customHeight="1">
      <c r="A300" s="1156"/>
      <c r="B300" s="1331"/>
      <c r="C300" s="1332"/>
      <c r="D300" s="1333"/>
      <c r="E300" s="1334"/>
      <c r="F300" s="1335"/>
      <c r="G300" s="1335"/>
      <c r="H300" s="1335"/>
      <c r="I300" s="1336"/>
      <c r="J300" s="1168"/>
      <c r="K300" s="1169"/>
      <c r="L300" s="1159"/>
      <c r="M300" s="1169"/>
      <c r="N300" s="1161" t="s">
        <v>2317</v>
      </c>
    </row>
    <row r="301" spans="1:14" ht="15.75" hidden="1">
      <c r="A301" s="1156"/>
      <c r="B301" s="1169"/>
      <c r="C301" s="1337"/>
      <c r="D301" s="1171"/>
      <c r="E301" s="1165"/>
      <c r="F301" s="1166"/>
      <c r="G301" s="1343"/>
      <c r="H301" s="1156"/>
      <c r="I301" s="1336"/>
      <c r="J301" s="1168" t="s">
        <v>5</v>
      </c>
      <c r="K301" s="1221">
        <f>data!G1957</f>
        <v>7685.43</v>
      </c>
      <c r="L301" s="1159" t="s">
        <v>2317</v>
      </c>
      <c r="M301" s="1224">
        <f>ROUND(I301*K301,0)</f>
        <v>0</v>
      </c>
      <c r="N301" s="1161" t="s">
        <v>2317</v>
      </c>
    </row>
    <row r="302" spans="1:14" ht="87.75" hidden="1" customHeight="1">
      <c r="A302" s="1156">
        <v>5</v>
      </c>
      <c r="B302" s="1826" t="s">
        <v>1572</v>
      </c>
      <c r="C302" s="1826"/>
      <c r="D302" s="1826"/>
      <c r="E302" s="1826"/>
      <c r="F302" s="1826"/>
      <c r="G302" s="1826"/>
      <c r="H302" s="1826"/>
      <c r="I302" s="1157"/>
      <c r="J302" s="1158"/>
      <c r="K302" s="1156"/>
      <c r="L302" s="1159"/>
      <c r="M302" s="1160"/>
      <c r="N302" s="1161" t="s">
        <v>2318</v>
      </c>
    </row>
    <row r="303" spans="1:14" s="1170" customFormat="1" ht="16.5" hidden="1" customHeight="1">
      <c r="A303" s="1156"/>
      <c r="B303" s="1163" t="s">
        <v>3475</v>
      </c>
      <c r="C303" s="1338"/>
      <c r="D303" s="1164"/>
      <c r="E303" s="1339"/>
      <c r="F303" s="1340"/>
      <c r="G303" s="1340"/>
      <c r="H303" s="1340"/>
      <c r="I303" s="1341"/>
      <c r="J303" s="1329"/>
      <c r="K303" s="1169"/>
      <c r="L303" s="1156"/>
      <c r="M303" s="1169"/>
      <c r="N303" s="1161" t="s">
        <v>2318</v>
      </c>
    </row>
    <row r="304" spans="1:14" s="1170" customFormat="1" ht="16.5" hidden="1" customHeight="1">
      <c r="A304" s="1156"/>
      <c r="B304" s="1169" t="s">
        <v>1607</v>
      </c>
      <c r="C304" s="1157">
        <v>1</v>
      </c>
      <c r="D304" s="1171" t="s">
        <v>273</v>
      </c>
      <c r="E304" s="1165">
        <v>1</v>
      </c>
      <c r="F304" s="1166">
        <v>1.35</v>
      </c>
      <c r="G304" s="1166">
        <v>1.35</v>
      </c>
      <c r="H304" s="1166">
        <v>0.3</v>
      </c>
      <c r="I304" s="1172">
        <f>ROUND(IF(AND(F304:H304),C304*E304*F304*G304*H304,IF(AND(F304,G304),C304*E304*F304*G304,IF(AND(F304,H304),C304*E304*F304*H304,IF(AND(G304,H304),C304*E304*G304*H304,IF(F304,C304*E304*F304,IF(G304,C304*E304*G304,IF(H304,C304*E304*H304,C304*E304))))))),2)</f>
        <v>0.55000000000000004</v>
      </c>
      <c r="J304" s="1330" t="s">
        <v>5</v>
      </c>
      <c r="K304" s="1169"/>
      <c r="L304" s="1156"/>
      <c r="M304" s="1169"/>
      <c r="N304" s="1161" t="s">
        <v>2318</v>
      </c>
    </row>
    <row r="305" spans="1:14" s="1170" customFormat="1" ht="16.5" hidden="1" customHeight="1">
      <c r="A305" s="1156"/>
      <c r="B305" s="1331"/>
      <c r="C305" s="1332"/>
      <c r="D305" s="1333"/>
      <c r="E305" s="1334"/>
      <c r="F305" s="1335"/>
      <c r="G305" s="1335"/>
      <c r="H305" s="1335"/>
      <c r="I305" s="1336"/>
      <c r="J305" s="1168"/>
      <c r="K305" s="1169"/>
      <c r="L305" s="1159"/>
      <c r="M305" s="1169"/>
      <c r="N305" s="1161" t="s">
        <v>2318</v>
      </c>
    </row>
    <row r="306" spans="1:14" ht="15.75" hidden="1">
      <c r="A306" s="1156"/>
      <c r="B306" s="1169"/>
      <c r="C306" s="1337"/>
      <c r="D306" s="1171"/>
      <c r="E306" s="1165"/>
      <c r="F306" s="1166"/>
      <c r="G306" s="1343"/>
      <c r="H306" s="1156"/>
      <c r="I306" s="1336"/>
      <c r="J306" s="1168" t="s">
        <v>5</v>
      </c>
      <c r="K306" s="1221">
        <f>data!G2874</f>
        <v>8062.18</v>
      </c>
      <c r="L306" s="1159" t="s">
        <v>2318</v>
      </c>
      <c r="M306" s="1224">
        <f>ROUND(I306*K306,0)</f>
        <v>0</v>
      </c>
      <c r="N306" s="1161" t="s">
        <v>2318</v>
      </c>
    </row>
    <row r="307" spans="1:14" s="1575" customFormat="1" ht="17.25" customHeight="1">
      <c r="A307" s="1570">
        <v>7</v>
      </c>
      <c r="B307" s="1827" t="s">
        <v>300</v>
      </c>
      <c r="C307" s="1827"/>
      <c r="D307" s="1827"/>
      <c r="E307" s="1827"/>
      <c r="F307" s="1827"/>
      <c r="G307" s="1827"/>
      <c r="H307" s="1827"/>
      <c r="I307" s="1571"/>
      <c r="J307" s="1572"/>
      <c r="K307" s="1570"/>
      <c r="L307" s="1573"/>
      <c r="M307" s="1577"/>
      <c r="N307" s="1578" t="s">
        <v>2218</v>
      </c>
    </row>
    <row r="308" spans="1:14" s="1586" customFormat="1" ht="16.5" customHeight="1">
      <c r="A308" s="1570"/>
      <c r="B308" s="1579" t="s">
        <v>3755</v>
      </c>
      <c r="C308" s="1580"/>
      <c r="D308" s="1790" t="s">
        <v>3866</v>
      </c>
      <c r="E308" s="1581"/>
      <c r="F308" s="1582"/>
      <c r="G308" s="1582"/>
      <c r="H308" s="1582"/>
      <c r="I308" s="1583"/>
      <c r="J308" s="1584"/>
      <c r="K308" s="1585"/>
      <c r="L308" s="1570"/>
      <c r="M308" s="1585"/>
      <c r="N308" s="1578" t="s">
        <v>2218</v>
      </c>
    </row>
    <row r="309" spans="1:14" s="1586" customFormat="1" ht="16.5" customHeight="1">
      <c r="A309" s="1570"/>
      <c r="B309" s="1610"/>
      <c r="C309" s="1571">
        <v>1</v>
      </c>
      <c r="D309" s="1587" t="s">
        <v>273</v>
      </c>
      <c r="E309" s="1588">
        <v>14</v>
      </c>
      <c r="F309" s="1589">
        <v>0.45</v>
      </c>
      <c r="G309" s="1589">
        <v>0.45</v>
      </c>
      <c r="H309" s="1589">
        <v>0.45</v>
      </c>
      <c r="I309" s="1590">
        <f t="shared" ref="I309" si="37">ROUND(IF(AND(F309:H309),C309*E309*F309*G309*H309,IF(AND(F309,G309),C309*E309*F309*G309,IF(AND(F309,H309),C309*E309*F309*H309,IF(AND(G309,H309),C309*E309*G309*H309,IF(F309,C309*E309*F309,IF(G309,C309*E309*G309,IF(H309,C309*E309*H309,C309*E309))))))),2)</f>
        <v>1.28</v>
      </c>
      <c r="J309" s="1591" t="s">
        <v>5</v>
      </c>
      <c r="K309" s="1585"/>
      <c r="L309" s="1570"/>
      <c r="M309" s="1585"/>
      <c r="N309" s="1578" t="s">
        <v>2218</v>
      </c>
    </row>
    <row r="310" spans="1:14" s="1586" customFormat="1" ht="16.5" customHeight="1">
      <c r="A310" s="1570"/>
      <c r="B310" s="1755"/>
      <c r="C310" s="1571"/>
      <c r="D310" s="1587"/>
      <c r="E310" s="1588"/>
      <c r="F310" s="1589"/>
      <c r="G310" s="1589"/>
      <c r="H310" s="1589"/>
      <c r="I310" s="1590"/>
      <c r="J310" s="1598"/>
      <c r="K310" s="1585"/>
      <c r="L310" s="1573"/>
      <c r="M310" s="1585"/>
      <c r="N310" s="1578" t="s">
        <v>2218</v>
      </c>
    </row>
    <row r="311" spans="1:14" s="1575" customFormat="1" ht="15.75">
      <c r="A311" s="1570"/>
      <c r="B311" s="1585"/>
      <c r="C311" s="1606"/>
      <c r="D311" s="1587"/>
      <c r="E311" s="1588"/>
      <c r="F311" s="1589"/>
      <c r="G311" s="1607"/>
      <c r="H311" s="1570"/>
      <c r="I311" s="1605">
        <f>SUM(I309:I310)</f>
        <v>1.28</v>
      </c>
      <c r="J311" s="1598" t="s">
        <v>5</v>
      </c>
      <c r="K311" s="1608">
        <f>data!G129</f>
        <v>7392.88</v>
      </c>
      <c r="L311" s="1573" t="s">
        <v>2218</v>
      </c>
      <c r="M311" s="1609">
        <f>ROUND(I311*K311,0)</f>
        <v>9463</v>
      </c>
      <c r="N311" s="1578" t="s">
        <v>2218</v>
      </c>
    </row>
    <row r="312" spans="1:14" ht="17.25" hidden="1" customHeight="1">
      <c r="A312" s="1156">
        <v>6</v>
      </c>
      <c r="B312" s="1826" t="s">
        <v>300</v>
      </c>
      <c r="C312" s="1826"/>
      <c r="D312" s="1828"/>
      <c r="E312" s="1826"/>
      <c r="F312" s="1826"/>
      <c r="G312" s="1826"/>
      <c r="H312" s="1826"/>
      <c r="I312" s="1157"/>
      <c r="J312" s="1158"/>
      <c r="K312" s="1156"/>
      <c r="L312" s="1159"/>
      <c r="M312" s="1160"/>
      <c r="N312" s="1161" t="s">
        <v>2306</v>
      </c>
    </row>
    <row r="313" spans="1:14" s="1170" customFormat="1" ht="16.5" hidden="1" customHeight="1">
      <c r="A313" s="1156"/>
      <c r="B313" s="1163" t="s">
        <v>3474</v>
      </c>
      <c r="C313" s="1338"/>
      <c r="D313" s="1548" t="s">
        <v>3463</v>
      </c>
      <c r="E313" s="1339"/>
      <c r="F313" s="1340"/>
      <c r="G313" s="1340"/>
      <c r="H313" s="1340"/>
      <c r="I313" s="1341"/>
      <c r="J313" s="1168"/>
      <c r="K313" s="1169"/>
      <c r="L313" s="1156"/>
      <c r="M313" s="1169"/>
      <c r="N313" s="1161" t="s">
        <v>2306</v>
      </c>
    </row>
    <row r="314" spans="1:14" s="1170" customFormat="1" ht="16.5" hidden="1" customHeight="1">
      <c r="A314" s="1156"/>
      <c r="B314" s="1255"/>
      <c r="C314" s="1157">
        <v>1</v>
      </c>
      <c r="D314" s="1171" t="s">
        <v>273</v>
      </c>
      <c r="E314" s="1165">
        <v>14</v>
      </c>
      <c r="F314" s="1166">
        <v>0.45</v>
      </c>
      <c r="G314" s="1166">
        <v>0.45</v>
      </c>
      <c r="H314" s="1166">
        <v>0.45</v>
      </c>
      <c r="I314" s="1172">
        <f t="shared" ref="I314" si="38">ROUND(IF(AND(F314:H314),C314*E314*F314*G314*H314,IF(AND(F314,G314),C314*E314*F314*G314,IF(AND(F314,H314),C314*E314*F314*H314,IF(AND(G314,H314),C314*E314*G314*H314,IF(F314,C314*E314*F314,IF(G314,C314*E314*G314,IF(H314,C314*E314*H314,C314*E314))))))),2)</f>
        <v>1.28</v>
      </c>
      <c r="J314" s="1168" t="s">
        <v>5</v>
      </c>
      <c r="K314" s="1169"/>
      <c r="L314" s="1156"/>
      <c r="M314" s="1169"/>
      <c r="N314" s="1161" t="s">
        <v>2306</v>
      </c>
    </row>
    <row r="315" spans="1:14" s="1170" customFormat="1" ht="16.5" hidden="1" customHeight="1">
      <c r="A315" s="1156"/>
      <c r="B315" s="1754"/>
      <c r="C315" s="1157"/>
      <c r="D315" s="1171"/>
      <c r="E315" s="1165"/>
      <c r="F315" s="1166"/>
      <c r="G315" s="1166"/>
      <c r="H315" s="1166"/>
      <c r="I315" s="1172"/>
      <c r="J315" s="1168"/>
      <c r="K315" s="1169"/>
      <c r="L315" s="1159"/>
      <c r="M315" s="1169"/>
      <c r="N315" s="1161" t="s">
        <v>2306</v>
      </c>
    </row>
    <row r="316" spans="1:14" ht="15.75" hidden="1">
      <c r="A316" s="1156"/>
      <c r="B316" s="1169"/>
      <c r="C316" s="1337"/>
      <c r="D316" s="1171"/>
      <c r="E316" s="1165"/>
      <c r="F316" s="1166"/>
      <c r="G316" s="1343"/>
      <c r="H316" s="1156"/>
      <c r="I316" s="1336"/>
      <c r="J316" s="1168" t="s">
        <v>5</v>
      </c>
      <c r="K316" s="1221">
        <f>data!G1045</f>
        <v>7701.23</v>
      </c>
      <c r="L316" s="1159" t="s">
        <v>2306</v>
      </c>
      <c r="M316" s="1224">
        <f>ROUND(I316*K316,0)</f>
        <v>0</v>
      </c>
      <c r="N316" s="1161" t="s">
        <v>2306</v>
      </c>
    </row>
    <row r="317" spans="1:14" ht="17.25" hidden="1" customHeight="1">
      <c r="A317" s="1156">
        <v>6</v>
      </c>
      <c r="B317" s="1826" t="s">
        <v>300</v>
      </c>
      <c r="C317" s="1826"/>
      <c r="D317" s="1826"/>
      <c r="E317" s="1826"/>
      <c r="F317" s="1826"/>
      <c r="G317" s="1826"/>
      <c r="H317" s="1826"/>
      <c r="I317" s="1157"/>
      <c r="J317" s="1158"/>
      <c r="K317" s="1156"/>
      <c r="L317" s="1159"/>
      <c r="M317" s="1160"/>
      <c r="N317" s="1161" t="s">
        <v>2317</v>
      </c>
    </row>
    <row r="318" spans="1:14" s="1170" customFormat="1" ht="16.5" hidden="1" customHeight="1">
      <c r="A318" s="1156"/>
      <c r="B318" s="1163" t="s">
        <v>3476</v>
      </c>
      <c r="C318" s="1338"/>
      <c r="D318" s="1164"/>
      <c r="E318" s="1339"/>
      <c r="F318" s="1340"/>
      <c r="G318" s="1340"/>
      <c r="H318" s="1340"/>
      <c r="I318" s="1341"/>
      <c r="J318" s="1168"/>
      <c r="K318" s="1169"/>
      <c r="L318" s="1156"/>
      <c r="M318" s="1169"/>
      <c r="N318" s="1161" t="s">
        <v>2317</v>
      </c>
    </row>
    <row r="319" spans="1:14" s="1170" customFormat="1" ht="16.5" hidden="1" customHeight="1">
      <c r="A319" s="1156"/>
      <c r="B319" s="1255"/>
      <c r="C319" s="1157">
        <v>1</v>
      </c>
      <c r="D319" s="1171" t="s">
        <v>273</v>
      </c>
      <c r="E319" s="1165">
        <v>18</v>
      </c>
      <c r="F319" s="1166">
        <v>0.45</v>
      </c>
      <c r="G319" s="1166">
        <v>0.45</v>
      </c>
      <c r="H319" s="1166">
        <v>0.45</v>
      </c>
      <c r="I319" s="1172">
        <f>ROUND(IF(AND(F319:H319),C319*E319*F319*G319*H319,IF(AND(F319,G319),C319*E319*F319*G319,IF(AND(F319,H319),C319*E319*F319*H319,IF(AND(G319,H319),C319*E319*G319*H319,IF(F319,C319*E319*F319,IF(G319,C319*E319*G319,IF(H319,C319*E319*H319,C319*E319))))))),2)</f>
        <v>1.64</v>
      </c>
      <c r="J319" s="1168" t="s">
        <v>5</v>
      </c>
      <c r="K319" s="1169"/>
      <c r="L319" s="1156"/>
      <c r="M319" s="1169"/>
      <c r="N319" s="1161" t="s">
        <v>2317</v>
      </c>
    </row>
    <row r="320" spans="1:14" s="1170" customFormat="1" ht="16.5" hidden="1" customHeight="1">
      <c r="A320" s="1156"/>
      <c r="B320" s="1754"/>
      <c r="C320" s="1157"/>
      <c r="D320" s="1171"/>
      <c r="E320" s="1165"/>
      <c r="F320" s="1166"/>
      <c r="G320" s="1166"/>
      <c r="H320" s="1166"/>
      <c r="I320" s="1172"/>
      <c r="J320" s="1168"/>
      <c r="K320" s="1169"/>
      <c r="L320" s="1159"/>
      <c r="M320" s="1169"/>
      <c r="N320" s="1161" t="s">
        <v>2317</v>
      </c>
    </row>
    <row r="321" spans="1:14" ht="15.75" hidden="1">
      <c r="A321" s="1156"/>
      <c r="B321" s="1169"/>
      <c r="C321" s="1337"/>
      <c r="D321" s="1171"/>
      <c r="E321" s="1165"/>
      <c r="F321" s="1166"/>
      <c r="G321" s="1343"/>
      <c r="H321" s="1156"/>
      <c r="I321" s="1336"/>
      <c r="J321" s="1168" t="s">
        <v>5</v>
      </c>
      <c r="K321" s="1221">
        <f>data!G1962</f>
        <v>8124.43</v>
      </c>
      <c r="L321" s="1159" t="s">
        <v>2317</v>
      </c>
      <c r="M321" s="1224">
        <f>ROUND(I321*K321,0)</f>
        <v>0</v>
      </c>
      <c r="N321" s="1161" t="s">
        <v>2317</v>
      </c>
    </row>
    <row r="322" spans="1:14" ht="17.25" hidden="1" customHeight="1">
      <c r="A322" s="1156">
        <v>6</v>
      </c>
      <c r="B322" s="1826" t="s">
        <v>300</v>
      </c>
      <c r="C322" s="1826"/>
      <c r="D322" s="1826"/>
      <c r="E322" s="1826"/>
      <c r="F322" s="1826"/>
      <c r="G322" s="1826"/>
      <c r="H322" s="1826"/>
      <c r="I322" s="1157"/>
      <c r="J322" s="1158"/>
      <c r="K322" s="1156"/>
      <c r="L322" s="1159"/>
      <c r="M322" s="1160"/>
      <c r="N322" s="1161" t="s">
        <v>2318</v>
      </c>
    </row>
    <row r="323" spans="1:14" s="1170" customFormat="1" ht="16.5" hidden="1" customHeight="1">
      <c r="A323" s="1156"/>
      <c r="B323" s="1163" t="s">
        <v>3476</v>
      </c>
      <c r="C323" s="1338"/>
      <c r="D323" s="1164"/>
      <c r="E323" s="1339"/>
      <c r="F323" s="1340"/>
      <c r="G323" s="1340"/>
      <c r="H323" s="1340"/>
      <c r="I323" s="1341"/>
      <c r="J323" s="1168"/>
      <c r="K323" s="1169"/>
      <c r="L323" s="1156"/>
      <c r="M323" s="1169"/>
      <c r="N323" s="1161" t="s">
        <v>2318</v>
      </c>
    </row>
    <row r="324" spans="1:14" s="1170" customFormat="1" ht="16.5" hidden="1" customHeight="1">
      <c r="A324" s="1156"/>
      <c r="B324" s="1255"/>
      <c r="C324" s="1157">
        <v>1</v>
      </c>
      <c r="D324" s="1171" t="s">
        <v>273</v>
      </c>
      <c r="E324" s="1165">
        <v>18</v>
      </c>
      <c r="F324" s="1166">
        <v>0.45</v>
      </c>
      <c r="G324" s="1166">
        <v>0.45</v>
      </c>
      <c r="H324" s="1166">
        <v>0.45</v>
      </c>
      <c r="I324" s="1172">
        <f>ROUND(IF(AND(F324:H324),C324*E324*F324*G324*H324,IF(AND(F324,G324),C324*E324*F324*G324,IF(AND(F324,H324),C324*E324*F324*H324,IF(AND(G324,H324),C324*E324*G324*H324,IF(F324,C324*E324*F324,IF(G324,C324*E324*G324,IF(H324,C324*E324*H324,C324*E324))))))),2)</f>
        <v>1.64</v>
      </c>
      <c r="J324" s="1168" t="s">
        <v>5</v>
      </c>
      <c r="K324" s="1169"/>
      <c r="L324" s="1156"/>
      <c r="M324" s="1169"/>
      <c r="N324" s="1161" t="s">
        <v>2318</v>
      </c>
    </row>
    <row r="325" spans="1:14" s="1170" customFormat="1" ht="16.5" hidden="1" customHeight="1">
      <c r="A325" s="1156"/>
      <c r="B325" s="1754"/>
      <c r="C325" s="1157"/>
      <c r="D325" s="1171"/>
      <c r="E325" s="1165"/>
      <c r="F325" s="1166"/>
      <c r="G325" s="1166"/>
      <c r="H325" s="1166"/>
      <c r="I325" s="1172"/>
      <c r="J325" s="1168"/>
      <c r="K325" s="1169"/>
      <c r="L325" s="1159"/>
      <c r="M325" s="1169"/>
      <c r="N325" s="1161" t="s">
        <v>2318</v>
      </c>
    </row>
    <row r="326" spans="1:14" ht="15.75" hidden="1">
      <c r="A326" s="1156"/>
      <c r="B326" s="1169"/>
      <c r="C326" s="1337"/>
      <c r="D326" s="1171"/>
      <c r="E326" s="1165"/>
      <c r="F326" s="1166"/>
      <c r="G326" s="1343"/>
      <c r="H326" s="1156"/>
      <c r="I326" s="1336"/>
      <c r="J326" s="1168" t="s">
        <v>5</v>
      </c>
      <c r="K326" s="1221">
        <f>data!G2879</f>
        <v>8501.18</v>
      </c>
      <c r="L326" s="1159" t="s">
        <v>2318</v>
      </c>
      <c r="M326" s="1224">
        <f>ROUND(I326*K326,0)</f>
        <v>0</v>
      </c>
      <c r="N326" s="1161" t="s">
        <v>2318</v>
      </c>
    </row>
    <row r="327" spans="1:14" s="1575" customFormat="1" ht="17.25" customHeight="1">
      <c r="A327" s="1570">
        <v>8</v>
      </c>
      <c r="B327" s="1827" t="s">
        <v>301</v>
      </c>
      <c r="C327" s="1827"/>
      <c r="D327" s="1827"/>
      <c r="E327" s="1827"/>
      <c r="F327" s="1827"/>
      <c r="G327" s="1827"/>
      <c r="H327" s="1827"/>
      <c r="I327" s="1571"/>
      <c r="J327" s="1572"/>
      <c r="K327" s="1570"/>
      <c r="L327" s="1573"/>
      <c r="M327" s="1577"/>
      <c r="N327" s="1578" t="s">
        <v>2218</v>
      </c>
    </row>
    <row r="328" spans="1:14" s="1586" customFormat="1" ht="16.5" customHeight="1">
      <c r="A328" s="1570"/>
      <c r="B328" s="1579" t="s">
        <v>3755</v>
      </c>
      <c r="C328" s="1580"/>
      <c r="D328" s="1790" t="s">
        <v>3866</v>
      </c>
      <c r="E328" s="1581"/>
      <c r="F328" s="1582"/>
      <c r="G328" s="1582"/>
      <c r="H328" s="1582"/>
      <c r="I328" s="1583"/>
      <c r="J328" s="1584"/>
      <c r="K328" s="1585"/>
      <c r="L328" s="1570"/>
      <c r="M328" s="1585"/>
      <c r="N328" s="1578" t="s">
        <v>2218</v>
      </c>
    </row>
    <row r="329" spans="1:14" s="1586" customFormat="1" ht="16.5" customHeight="1">
      <c r="A329" s="1570"/>
      <c r="B329" s="1585" t="s">
        <v>3139</v>
      </c>
      <c r="C329" s="1571">
        <v>1</v>
      </c>
      <c r="D329" s="1587" t="s">
        <v>273</v>
      </c>
      <c r="E329" s="1588">
        <v>2</v>
      </c>
      <c r="F329" s="1589">
        <v>0.23</v>
      </c>
      <c r="G329" s="1589">
        <v>0.38</v>
      </c>
      <c r="H329" s="1589">
        <v>1.3</v>
      </c>
      <c r="I329" s="1590">
        <f t="shared" ref="I329:I332" si="39">ROUND(IF(AND(F329:H329),C329*E329*F329*G329*H329,IF(AND(F329,G329),C329*E329*F329*G329,IF(AND(F329,H329),C329*E329*F329*H329,IF(AND(G329,H329),C329*E329*G329*H329,IF(F329,C329*E329*F329,IF(G329,C329*E329*G329,IF(H329,C329*E329*H329,C329*E329))))))),2)</f>
        <v>0.23</v>
      </c>
      <c r="J329" s="1591" t="s">
        <v>5</v>
      </c>
      <c r="K329" s="1585"/>
      <c r="L329" s="1570"/>
      <c r="M329" s="1585"/>
      <c r="N329" s="1578" t="s">
        <v>2218</v>
      </c>
    </row>
    <row r="330" spans="1:14" s="1586" customFormat="1" ht="16.5" customHeight="1">
      <c r="A330" s="1570"/>
      <c r="B330" s="1585" t="s">
        <v>3139</v>
      </c>
      <c r="C330" s="1571">
        <v>1</v>
      </c>
      <c r="D330" s="1587" t="s">
        <v>273</v>
      </c>
      <c r="E330" s="1588">
        <v>3</v>
      </c>
      <c r="F330" s="1589">
        <v>0.23</v>
      </c>
      <c r="G330" s="1589">
        <v>0.38</v>
      </c>
      <c r="H330" s="1589">
        <v>1.4</v>
      </c>
      <c r="I330" s="1590">
        <f t="shared" si="39"/>
        <v>0.37</v>
      </c>
      <c r="J330" s="1591" t="s">
        <v>5</v>
      </c>
      <c r="K330" s="1585"/>
      <c r="L330" s="1570"/>
      <c r="M330" s="1585"/>
      <c r="N330" s="1578" t="s">
        <v>2218</v>
      </c>
    </row>
    <row r="331" spans="1:14" s="1586" customFormat="1" ht="16.5" customHeight="1">
      <c r="A331" s="1570"/>
      <c r="B331" s="1585" t="s">
        <v>3139</v>
      </c>
      <c r="C331" s="1571">
        <v>1</v>
      </c>
      <c r="D331" s="1587" t="s">
        <v>273</v>
      </c>
      <c r="E331" s="1588">
        <v>3</v>
      </c>
      <c r="F331" s="1589">
        <v>0.23</v>
      </c>
      <c r="G331" s="1589">
        <v>0.38</v>
      </c>
      <c r="H331" s="1589">
        <v>1.35</v>
      </c>
      <c r="I331" s="1590">
        <f t="shared" si="39"/>
        <v>0.35</v>
      </c>
      <c r="J331" s="1591" t="s">
        <v>5</v>
      </c>
      <c r="K331" s="1585"/>
      <c r="L331" s="1570"/>
      <c r="M331" s="1585"/>
      <c r="N331" s="1578" t="s">
        <v>2218</v>
      </c>
    </row>
    <row r="332" spans="1:14" s="1586" customFormat="1" ht="16.5" customHeight="1">
      <c r="A332" s="1570"/>
      <c r="B332" s="1585" t="s">
        <v>3140</v>
      </c>
      <c r="C332" s="1571">
        <v>1</v>
      </c>
      <c r="D332" s="1587" t="s">
        <v>273</v>
      </c>
      <c r="E332" s="1588">
        <v>6</v>
      </c>
      <c r="F332" s="1589">
        <v>0.23</v>
      </c>
      <c r="G332" s="1589">
        <v>0.38</v>
      </c>
      <c r="H332" s="1589">
        <v>1.35</v>
      </c>
      <c r="I332" s="1590">
        <f t="shared" si="39"/>
        <v>0.71</v>
      </c>
      <c r="J332" s="1591" t="s">
        <v>5</v>
      </c>
      <c r="K332" s="1585"/>
      <c r="L332" s="1570"/>
      <c r="M332" s="1585"/>
      <c r="N332" s="1578" t="s">
        <v>2218</v>
      </c>
    </row>
    <row r="333" spans="1:14" s="1586" customFormat="1" ht="16.5" customHeight="1">
      <c r="A333" s="1570"/>
      <c r="B333" s="1579" t="s">
        <v>3757</v>
      </c>
      <c r="C333" s="1580"/>
      <c r="D333" s="1790" t="s">
        <v>3868</v>
      </c>
      <c r="E333" s="1581"/>
      <c r="F333" s="1582"/>
      <c r="G333" s="1582"/>
      <c r="H333" s="1582"/>
      <c r="I333" s="1583"/>
      <c r="J333" s="1584"/>
      <c r="K333" s="1585"/>
      <c r="L333" s="1570"/>
      <c r="M333" s="1585"/>
      <c r="N333" s="1578" t="s">
        <v>2218</v>
      </c>
    </row>
    <row r="334" spans="1:14" s="1586" customFormat="1" ht="16.5" customHeight="1">
      <c r="A334" s="1570"/>
      <c r="B334" s="1585" t="s">
        <v>3139</v>
      </c>
      <c r="C334" s="1571">
        <v>1</v>
      </c>
      <c r="D334" s="1587" t="s">
        <v>273</v>
      </c>
      <c r="E334" s="1588">
        <v>8</v>
      </c>
      <c r="F334" s="1589">
        <v>0.23</v>
      </c>
      <c r="G334" s="1589">
        <v>0.38</v>
      </c>
      <c r="H334" s="1589">
        <v>2.82</v>
      </c>
      <c r="I334" s="1590">
        <f t="shared" ref="I334:I336" si="40">ROUND(IF(AND(F334:H334),C334*E334*F334*G334*H334,IF(AND(F334,G334),C334*E334*F334*G334,IF(AND(F334,H334),C334*E334*F334*H334,IF(AND(G334,H334),C334*E334*G334*H334,IF(F334,C334*E334*F334,IF(G334,C334*E334*G334,IF(H334,C334*E334*H334,C334*E334))))))),2)</f>
        <v>1.97</v>
      </c>
      <c r="J334" s="1591" t="s">
        <v>5</v>
      </c>
      <c r="K334" s="1585"/>
      <c r="L334" s="1570"/>
      <c r="M334" s="1585"/>
      <c r="N334" s="1578" t="s">
        <v>2218</v>
      </c>
    </row>
    <row r="335" spans="1:14" s="1586" customFormat="1" ht="16.5" customHeight="1">
      <c r="A335" s="1570"/>
      <c r="B335" s="1585" t="s">
        <v>3139</v>
      </c>
      <c r="C335" s="1571">
        <v>1</v>
      </c>
      <c r="D335" s="1587" t="s">
        <v>273</v>
      </c>
      <c r="E335" s="1588">
        <v>2</v>
      </c>
      <c r="F335" s="1589">
        <v>0.23</v>
      </c>
      <c r="G335" s="1589">
        <v>0.38</v>
      </c>
      <c r="H335" s="1589">
        <v>2.82</v>
      </c>
      <c r="I335" s="1590">
        <f t="shared" si="40"/>
        <v>0.49</v>
      </c>
      <c r="J335" s="1591" t="s">
        <v>5</v>
      </c>
      <c r="K335" s="1585"/>
      <c r="L335" s="1570"/>
      <c r="M335" s="1585"/>
      <c r="N335" s="1578" t="s">
        <v>2218</v>
      </c>
    </row>
    <row r="336" spans="1:14" s="1586" customFormat="1" ht="16.5" customHeight="1">
      <c r="A336" s="1570"/>
      <c r="B336" s="1585" t="s">
        <v>3140</v>
      </c>
      <c r="C336" s="1571">
        <v>1</v>
      </c>
      <c r="D336" s="1587" t="s">
        <v>273</v>
      </c>
      <c r="E336" s="1588">
        <v>4</v>
      </c>
      <c r="F336" s="1589">
        <v>0.23</v>
      </c>
      <c r="G336" s="1589">
        <v>0.38</v>
      </c>
      <c r="H336" s="1589">
        <v>2.9</v>
      </c>
      <c r="I336" s="1590">
        <f t="shared" si="40"/>
        <v>1.01</v>
      </c>
      <c r="J336" s="1591" t="s">
        <v>5</v>
      </c>
      <c r="K336" s="1585"/>
      <c r="L336" s="1570"/>
      <c r="M336" s="1585"/>
      <c r="N336" s="1578" t="s">
        <v>2218</v>
      </c>
    </row>
    <row r="337" spans="1:14" s="1586" customFormat="1" ht="16.5" customHeight="1">
      <c r="A337" s="1570"/>
      <c r="B337" s="1579" t="s">
        <v>3756</v>
      </c>
      <c r="C337" s="1580"/>
      <c r="D337" s="1790" t="s">
        <v>3867</v>
      </c>
      <c r="E337" s="1581"/>
      <c r="F337" s="1582"/>
      <c r="G337" s="1582"/>
      <c r="H337" s="1582"/>
      <c r="I337" s="1583"/>
      <c r="J337" s="1584"/>
      <c r="K337" s="1585"/>
      <c r="L337" s="1570"/>
      <c r="M337" s="1585"/>
      <c r="N337" s="1578" t="s">
        <v>2218</v>
      </c>
    </row>
    <row r="338" spans="1:14" s="1586" customFormat="1" ht="16.5" customHeight="1">
      <c r="A338" s="1570"/>
      <c r="B338" s="1585" t="s">
        <v>3575</v>
      </c>
      <c r="C338" s="1571">
        <v>4</v>
      </c>
      <c r="D338" s="1587" t="s">
        <v>273</v>
      </c>
      <c r="E338" s="1588">
        <v>0.78500000000000003</v>
      </c>
      <c r="F338" s="1589">
        <v>0.23</v>
      </c>
      <c r="G338" s="1589">
        <v>0.23</v>
      </c>
      <c r="H338" s="1589">
        <v>0.6</v>
      </c>
      <c r="I338" s="1590">
        <f t="shared" ref="I338" si="41">ROUND(IF(AND(F338:H338),C338*E338*F338*G338*H338,IF(AND(F338,G338),C338*E338*F338*G338,IF(AND(F338,H338),C338*E338*F338*H338,IF(AND(G338,H338),C338*E338*G338*H338,IF(F338,C338*E338*F338,IF(G338,C338*E338*G338,IF(H338,C338*E338*H338,C338*E338))))))),2)</f>
        <v>0.1</v>
      </c>
      <c r="J338" s="1591" t="s">
        <v>5</v>
      </c>
      <c r="K338" s="1585"/>
      <c r="L338" s="1570"/>
      <c r="M338" s="1585"/>
      <c r="N338" s="1578" t="s">
        <v>2218</v>
      </c>
    </row>
    <row r="339" spans="1:14" s="1586" customFormat="1" ht="16.5" customHeight="1">
      <c r="A339" s="1570"/>
      <c r="B339" s="1579" t="s">
        <v>3758</v>
      </c>
      <c r="C339" s="1580"/>
      <c r="D339" s="1790" t="s">
        <v>3869</v>
      </c>
      <c r="E339" s="1581"/>
      <c r="F339" s="1582"/>
      <c r="G339" s="1582"/>
      <c r="H339" s="1582"/>
      <c r="I339" s="1583"/>
      <c r="J339" s="1584"/>
      <c r="K339" s="1585"/>
      <c r="L339" s="1570"/>
      <c r="M339" s="1585"/>
      <c r="N339" s="1578" t="s">
        <v>2218</v>
      </c>
    </row>
    <row r="340" spans="1:14" s="1586" customFormat="1" ht="16.5" customHeight="1">
      <c r="A340" s="1570"/>
      <c r="B340" s="1585" t="s">
        <v>3575</v>
      </c>
      <c r="C340" s="1571">
        <v>4</v>
      </c>
      <c r="D340" s="1587" t="s">
        <v>273</v>
      </c>
      <c r="E340" s="1588">
        <v>0.78500000000000003</v>
      </c>
      <c r="F340" s="1589">
        <v>0.23</v>
      </c>
      <c r="G340" s="1589">
        <v>0.23</v>
      </c>
      <c r="H340" s="1589">
        <v>2.87</v>
      </c>
      <c r="I340" s="1590">
        <f t="shared" ref="I340" si="42">ROUND(IF(AND(F340:H340),C340*E340*F340*G340*H340,IF(AND(F340,G340),C340*E340*F340*G340,IF(AND(F340,H340),C340*E340*F340*H340,IF(AND(G340,H340),C340*E340*G340*H340,IF(F340,C340*E340*F340,IF(G340,C340*E340*G340,IF(H340,C340*E340*H340,C340*E340))))))),2)</f>
        <v>0.48</v>
      </c>
      <c r="J340" s="1591" t="s">
        <v>5</v>
      </c>
      <c r="K340" s="1585"/>
      <c r="L340" s="1573"/>
      <c r="M340" s="1585"/>
      <c r="N340" s="1578" t="s">
        <v>2218</v>
      </c>
    </row>
    <row r="341" spans="1:14" s="1586" customFormat="1" ht="16.5" customHeight="1">
      <c r="A341" s="1570"/>
      <c r="B341" s="1585"/>
      <c r="C341" s="1571"/>
      <c r="D341" s="1587"/>
      <c r="E341" s="1588"/>
      <c r="F341" s="1589"/>
      <c r="G341" s="1589"/>
      <c r="H341" s="1589"/>
      <c r="I341" s="1590"/>
      <c r="J341" s="1591"/>
      <c r="K341" s="1585"/>
      <c r="L341" s="1573"/>
      <c r="M341" s="1585"/>
      <c r="N341" s="1578" t="s">
        <v>2218</v>
      </c>
    </row>
    <row r="342" spans="1:14" s="1575" customFormat="1" ht="15.75">
      <c r="A342" s="1570"/>
      <c r="B342" s="1585"/>
      <c r="C342" s="1606"/>
      <c r="D342" s="1587"/>
      <c r="E342" s="1588"/>
      <c r="F342" s="1589"/>
      <c r="G342" s="1607"/>
      <c r="H342" s="1570"/>
      <c r="I342" s="1605">
        <f>SUM(I329:I341)</f>
        <v>5.7099999999999991</v>
      </c>
      <c r="J342" s="1598" t="s">
        <v>5</v>
      </c>
      <c r="K342" s="1608">
        <f>data!E155</f>
        <v>9116.880000000001</v>
      </c>
      <c r="L342" s="1573" t="s">
        <v>2218</v>
      </c>
      <c r="M342" s="1609">
        <f>ROUND(I342*K342,0)</f>
        <v>52057</v>
      </c>
      <c r="N342" s="1578" t="s">
        <v>2218</v>
      </c>
    </row>
    <row r="343" spans="1:14" ht="17.25" hidden="1" customHeight="1">
      <c r="A343" s="1156">
        <v>14</v>
      </c>
      <c r="B343" s="1826" t="s">
        <v>301</v>
      </c>
      <c r="C343" s="1826"/>
      <c r="D343" s="1828"/>
      <c r="E343" s="1826"/>
      <c r="F343" s="1826"/>
      <c r="G343" s="1826"/>
      <c r="H343" s="1826"/>
      <c r="I343" s="1157"/>
      <c r="J343" s="1158"/>
      <c r="K343" s="1156"/>
      <c r="L343" s="1159"/>
      <c r="M343" s="1160"/>
      <c r="N343" s="1161" t="s">
        <v>2306</v>
      </c>
    </row>
    <row r="344" spans="1:14" s="1170" customFormat="1" ht="16.5" hidden="1" customHeight="1">
      <c r="A344" s="1156"/>
      <c r="B344" s="1169" t="s">
        <v>3541</v>
      </c>
      <c r="C344" s="1157"/>
      <c r="D344" s="1548" t="s">
        <v>3645</v>
      </c>
      <c r="E344" s="1165"/>
      <c r="F344" s="1166"/>
      <c r="G344" s="1166"/>
      <c r="H344" s="1166"/>
      <c r="I344" s="1167"/>
      <c r="J344" s="1168"/>
      <c r="K344" s="1169"/>
      <c r="L344" s="1156"/>
      <c r="M344" s="1169"/>
      <c r="N344" s="1161" t="s">
        <v>2306</v>
      </c>
    </row>
    <row r="345" spans="1:14" s="1170" customFormat="1" ht="16.5" hidden="1" customHeight="1">
      <c r="A345" s="1156"/>
      <c r="B345" s="1169" t="s">
        <v>3575</v>
      </c>
      <c r="C345" s="1157">
        <v>4</v>
      </c>
      <c r="D345" s="1171" t="s">
        <v>273</v>
      </c>
      <c r="E345" s="1165">
        <v>0.78500000000000003</v>
      </c>
      <c r="F345" s="1166">
        <v>0.23</v>
      </c>
      <c r="G345" s="1166">
        <v>0.23</v>
      </c>
      <c r="H345" s="1166">
        <v>1.4</v>
      </c>
      <c r="I345" s="1172">
        <f t="shared" ref="I345" si="43">ROUND(IF(AND(F345:H345),C345*E345*F345*G345*H345,IF(AND(F345,G345),C345*E345*F345*G345,IF(AND(F345,H345),C345*E345*F345*H345,IF(AND(G345,H345),C345*E345*G345*H345,IF(F345,C345*E345*F345,IF(G345,C345*E345*G345,IF(H345,C345*E345*H345,C345*E345))))))),2)</f>
        <v>0.23</v>
      </c>
      <c r="J345" s="1168" t="s">
        <v>5</v>
      </c>
      <c r="K345" s="1169"/>
      <c r="L345" s="1156"/>
      <c r="M345" s="1169"/>
      <c r="N345" s="1161" t="s">
        <v>2306</v>
      </c>
    </row>
    <row r="346" spans="1:14" s="1170" customFormat="1" ht="16.5" hidden="1" customHeight="1">
      <c r="A346" s="1156"/>
      <c r="B346" s="1169" t="s">
        <v>3542</v>
      </c>
      <c r="C346" s="1157"/>
      <c r="D346" s="1548" t="s">
        <v>3646</v>
      </c>
      <c r="E346" s="1165"/>
      <c r="F346" s="1166"/>
      <c r="G346" s="1166"/>
      <c r="H346" s="1166"/>
      <c r="I346" s="1167"/>
      <c r="J346" s="1168"/>
      <c r="K346" s="1169"/>
      <c r="L346" s="1156"/>
      <c r="M346" s="1169"/>
      <c r="N346" s="1161" t="s">
        <v>2306</v>
      </c>
    </row>
    <row r="347" spans="1:14" s="1170" customFormat="1" ht="16.5" hidden="1" customHeight="1">
      <c r="A347" s="1156"/>
      <c r="B347" s="1169" t="s">
        <v>3575</v>
      </c>
      <c r="C347" s="1157">
        <v>4</v>
      </c>
      <c r="D347" s="1171" t="s">
        <v>273</v>
      </c>
      <c r="E347" s="1165">
        <v>0.78500000000000003</v>
      </c>
      <c r="F347" s="1166">
        <v>0.23</v>
      </c>
      <c r="G347" s="1166">
        <v>0.23</v>
      </c>
      <c r="H347" s="1166">
        <v>2.87</v>
      </c>
      <c r="I347" s="1172">
        <f t="shared" ref="I347" si="44">ROUND(IF(AND(F347:H347),C347*E347*F347*G347*H347,IF(AND(F347,G347),C347*E347*F347*G347,IF(AND(F347,H347),C347*E347*F347*H347,IF(AND(G347,H347),C347*E347*G347*H347,IF(F347,C347*E347*F347,IF(G347,C347*E347*G347,IF(H347,C347*E347*H347,C347*E347))))))),2)</f>
        <v>0.48</v>
      </c>
      <c r="J347" s="1168" t="s">
        <v>5</v>
      </c>
      <c r="K347" s="1169"/>
      <c r="L347" s="1156"/>
      <c r="M347" s="1169"/>
      <c r="N347" s="1161" t="s">
        <v>2306</v>
      </c>
    </row>
    <row r="348" spans="1:14" s="1170" customFormat="1" ht="16.5" hidden="1" customHeight="1">
      <c r="A348" s="1156"/>
      <c r="B348" s="1331"/>
      <c r="C348" s="1332"/>
      <c r="D348" s="1333"/>
      <c r="E348" s="1334"/>
      <c r="F348" s="1335"/>
      <c r="G348" s="1335"/>
      <c r="H348" s="1335"/>
      <c r="I348" s="1336"/>
      <c r="J348" s="1168"/>
      <c r="K348" s="1169"/>
      <c r="L348" s="1159"/>
      <c r="M348" s="1169"/>
      <c r="N348" s="1161" t="s">
        <v>2306</v>
      </c>
    </row>
    <row r="349" spans="1:14" ht="15.75" hidden="1">
      <c r="A349" s="1156"/>
      <c r="B349" s="1169"/>
      <c r="C349" s="1337"/>
      <c r="D349" s="1171"/>
      <c r="E349" s="1165"/>
      <c r="F349" s="1166"/>
      <c r="G349" s="1343"/>
      <c r="H349" s="1156"/>
      <c r="I349" s="1336"/>
      <c r="J349" s="1168" t="s">
        <v>5</v>
      </c>
      <c r="K349" s="1221">
        <f>data!E1071</f>
        <v>9466.93</v>
      </c>
      <c r="L349" s="1159" t="s">
        <v>2306</v>
      </c>
      <c r="M349" s="1224">
        <f>ROUND(I349*K349,0)</f>
        <v>0</v>
      </c>
      <c r="N349" s="1161" t="s">
        <v>2306</v>
      </c>
    </row>
    <row r="350" spans="1:14" ht="17.25" hidden="1" customHeight="1">
      <c r="A350" s="1156">
        <v>11</v>
      </c>
      <c r="B350" s="1826" t="s">
        <v>301</v>
      </c>
      <c r="C350" s="1826"/>
      <c r="D350" s="1826"/>
      <c r="E350" s="1826"/>
      <c r="F350" s="1826"/>
      <c r="G350" s="1826"/>
      <c r="H350" s="1826"/>
      <c r="I350" s="1157"/>
      <c r="J350" s="1158"/>
      <c r="K350" s="1156"/>
      <c r="L350" s="1159"/>
      <c r="M350" s="1160"/>
      <c r="N350" s="1161" t="s">
        <v>2317</v>
      </c>
    </row>
    <row r="351" spans="1:14" s="1170" customFormat="1" ht="16.5" hidden="1" customHeight="1">
      <c r="A351" s="1156"/>
      <c r="B351" s="1163" t="s">
        <v>3653</v>
      </c>
      <c r="C351" s="1157"/>
      <c r="D351" s="1548" t="s">
        <v>3737</v>
      </c>
      <c r="E351" s="1165"/>
      <c r="F351" s="1166"/>
      <c r="G351" s="1166"/>
      <c r="H351" s="1166"/>
      <c r="I351" s="1167"/>
      <c r="J351" s="1168"/>
      <c r="K351" s="1169"/>
      <c r="L351" s="1156"/>
      <c r="M351" s="1169"/>
      <c r="N351" s="1161" t="s">
        <v>2317</v>
      </c>
    </row>
    <row r="352" spans="1:14" s="1170" customFormat="1" ht="16.5" hidden="1" customHeight="1">
      <c r="A352" s="1156"/>
      <c r="B352" s="1169" t="s">
        <v>3694</v>
      </c>
      <c r="C352" s="1157">
        <v>4</v>
      </c>
      <c r="D352" s="1171" t="s">
        <v>273</v>
      </c>
      <c r="E352" s="1772">
        <v>0.78500000000000003</v>
      </c>
      <c r="F352" s="1166">
        <v>0.23</v>
      </c>
      <c r="G352" s="1166">
        <v>0.23</v>
      </c>
      <c r="H352" s="1166">
        <v>2.87</v>
      </c>
      <c r="I352" s="1172">
        <f t="shared" ref="I352" si="45">ROUND(IF(AND(F352:H352),C352*E352*F352*G352*H352,IF(AND(F352,G352),C352*E352*F352*G352,IF(AND(F352,H352),C352*E352*F352*H352,IF(AND(G352,H352),C352*E352*G352*H352,IF(F352,C352*E352*F352,IF(G352,C352*E352*G352,IF(H352,C352*E352*H352,C352*E352))))))),2)</f>
        <v>0.48</v>
      </c>
      <c r="J352" s="1168" t="s">
        <v>5</v>
      </c>
      <c r="K352" s="1169"/>
      <c r="L352" s="1156"/>
      <c r="M352" s="1169"/>
      <c r="N352" s="1161" t="s">
        <v>2317</v>
      </c>
    </row>
    <row r="353" spans="1:14" s="1170" customFormat="1" ht="16.5" hidden="1" customHeight="1">
      <c r="A353" s="1156"/>
      <c r="B353" s="1331"/>
      <c r="C353" s="1332"/>
      <c r="D353" s="1333"/>
      <c r="E353" s="1334"/>
      <c r="F353" s="1335"/>
      <c r="G353" s="1335"/>
      <c r="H353" s="1335"/>
      <c r="I353" s="1336"/>
      <c r="J353" s="1168"/>
      <c r="K353" s="1169"/>
      <c r="L353" s="1159"/>
      <c r="M353" s="1169"/>
      <c r="N353" s="1161" t="s">
        <v>2317</v>
      </c>
    </row>
    <row r="354" spans="1:14" ht="15.75" hidden="1">
      <c r="A354" s="1156"/>
      <c r="B354" s="1169"/>
      <c r="C354" s="1337"/>
      <c r="D354" s="1171"/>
      <c r="E354" s="1165"/>
      <c r="F354" s="1166"/>
      <c r="G354" s="1343"/>
      <c r="H354" s="1156"/>
      <c r="I354" s="1336"/>
      <c r="J354" s="1168" t="s">
        <v>5</v>
      </c>
      <c r="K354" s="1221">
        <f>data!E1988</f>
        <v>10004.82</v>
      </c>
      <c r="L354" s="1159" t="s">
        <v>2317</v>
      </c>
      <c r="M354" s="1224">
        <f>ROUND(I354*K354,0)</f>
        <v>0</v>
      </c>
      <c r="N354" s="1161" t="s">
        <v>2317</v>
      </c>
    </row>
    <row r="355" spans="1:14" ht="17.25" hidden="1" customHeight="1">
      <c r="A355" s="1156">
        <v>7</v>
      </c>
      <c r="B355" s="1826" t="s">
        <v>301</v>
      </c>
      <c r="C355" s="1826"/>
      <c r="D355" s="1826"/>
      <c r="E355" s="1826"/>
      <c r="F355" s="1826"/>
      <c r="G355" s="1826"/>
      <c r="H355" s="1826"/>
      <c r="I355" s="1157"/>
      <c r="J355" s="1158"/>
      <c r="K355" s="1156"/>
      <c r="L355" s="1159"/>
      <c r="M355" s="1160"/>
      <c r="N355" s="1161" t="s">
        <v>2318</v>
      </c>
    </row>
    <row r="356" spans="1:14" s="1170" customFormat="1" ht="16.5" hidden="1" customHeight="1">
      <c r="A356" s="1156"/>
      <c r="B356" s="1163" t="s">
        <v>3477</v>
      </c>
      <c r="C356" s="1338"/>
      <c r="D356" s="1164"/>
      <c r="E356" s="1339"/>
      <c r="F356" s="1340"/>
      <c r="G356" s="1340"/>
      <c r="H356" s="1340"/>
      <c r="I356" s="1341"/>
      <c r="J356" s="1168"/>
      <c r="K356" s="1169"/>
      <c r="L356" s="1156"/>
      <c r="M356" s="1169"/>
      <c r="N356" s="1161" t="s">
        <v>2318</v>
      </c>
    </row>
    <row r="357" spans="1:14" s="1170" customFormat="1" ht="16.5" hidden="1" customHeight="1">
      <c r="A357" s="1156"/>
      <c r="B357" s="1169" t="s">
        <v>1607</v>
      </c>
      <c r="C357" s="1157">
        <v>1</v>
      </c>
      <c r="D357" s="1171" t="s">
        <v>273</v>
      </c>
      <c r="E357" s="1165">
        <v>1</v>
      </c>
      <c r="F357" s="1166">
        <v>0.23</v>
      </c>
      <c r="G357" s="1166">
        <v>0.38</v>
      </c>
      <c r="H357" s="1166">
        <v>1.72</v>
      </c>
      <c r="I357" s="1172">
        <f t="shared" ref="I357:I364" si="46">ROUND(IF(AND(F357:H357),C357*E357*F357*G357*H357,IF(AND(F357,G357),C357*E357*F357*G357,IF(AND(F357,H357),C357*E357*F357*H357,IF(AND(G357,H357),C357*E357*G357*H357,IF(F357,C357*E357*F357,IF(G357,C357*E357*G357,IF(H357,C357*E357*H357,C357*E357))))))),2)</f>
        <v>0.15</v>
      </c>
      <c r="J357" s="1168" t="s">
        <v>5</v>
      </c>
      <c r="K357" s="1169"/>
      <c r="L357" s="1156"/>
      <c r="M357" s="1169"/>
      <c r="N357" s="1161" t="s">
        <v>2318</v>
      </c>
    </row>
    <row r="358" spans="1:14" s="1170" customFormat="1" ht="16.5" hidden="1" customHeight="1">
      <c r="A358" s="1156"/>
      <c r="B358" s="1169" t="s">
        <v>1608</v>
      </c>
      <c r="C358" s="1157">
        <v>1</v>
      </c>
      <c r="D358" s="1171" t="s">
        <v>273</v>
      </c>
      <c r="E358" s="1165">
        <v>1</v>
      </c>
      <c r="F358" s="1166">
        <v>0.23</v>
      </c>
      <c r="G358" s="1166">
        <v>0.38</v>
      </c>
      <c r="H358" s="1166">
        <v>1.79</v>
      </c>
      <c r="I358" s="1172">
        <f t="shared" si="46"/>
        <v>0.16</v>
      </c>
      <c r="J358" s="1168" t="s">
        <v>5</v>
      </c>
      <c r="K358" s="1169"/>
      <c r="L358" s="1156"/>
      <c r="M358" s="1169"/>
      <c r="N358" s="1161" t="s">
        <v>2318</v>
      </c>
    </row>
    <row r="359" spans="1:14" s="1170" customFormat="1" ht="16.5" hidden="1" customHeight="1">
      <c r="A359" s="1156"/>
      <c r="B359" s="1169" t="s">
        <v>1608</v>
      </c>
      <c r="C359" s="1157">
        <v>1</v>
      </c>
      <c r="D359" s="1171" t="s">
        <v>273</v>
      </c>
      <c r="E359" s="1165">
        <v>1</v>
      </c>
      <c r="F359" s="1166">
        <v>0.23</v>
      </c>
      <c r="G359" s="1166">
        <v>0.38</v>
      </c>
      <c r="H359" s="1166">
        <v>1.75</v>
      </c>
      <c r="I359" s="1172">
        <f t="shared" si="46"/>
        <v>0.15</v>
      </c>
      <c r="J359" s="1168" t="s">
        <v>5</v>
      </c>
      <c r="K359" s="1169"/>
      <c r="L359" s="1156"/>
      <c r="M359" s="1169"/>
      <c r="N359" s="1161" t="s">
        <v>2318</v>
      </c>
    </row>
    <row r="360" spans="1:14" s="1170" customFormat="1" ht="16.5" hidden="1" customHeight="1">
      <c r="A360" s="1156"/>
      <c r="B360" s="1169" t="s">
        <v>1609</v>
      </c>
      <c r="C360" s="1157">
        <v>1</v>
      </c>
      <c r="D360" s="1171" t="s">
        <v>273</v>
      </c>
      <c r="E360" s="1165">
        <v>1</v>
      </c>
      <c r="F360" s="1166">
        <v>0.23</v>
      </c>
      <c r="G360" s="1166">
        <v>0.38</v>
      </c>
      <c r="H360" s="1166">
        <v>1.68</v>
      </c>
      <c r="I360" s="1172">
        <f t="shared" si="46"/>
        <v>0.15</v>
      </c>
      <c r="J360" s="1168" t="s">
        <v>5</v>
      </c>
      <c r="K360" s="1169"/>
      <c r="L360" s="1156"/>
      <c r="M360" s="1169"/>
      <c r="N360" s="1161" t="s">
        <v>2318</v>
      </c>
    </row>
    <row r="361" spans="1:14" s="1170" customFormat="1" ht="16.5" hidden="1" customHeight="1">
      <c r="A361" s="1156"/>
      <c r="B361" s="1169" t="s">
        <v>1609</v>
      </c>
      <c r="C361" s="1157">
        <v>1</v>
      </c>
      <c r="D361" s="1171" t="s">
        <v>273</v>
      </c>
      <c r="E361" s="1165">
        <v>1</v>
      </c>
      <c r="F361" s="1166">
        <v>0.23</v>
      </c>
      <c r="G361" s="1166">
        <v>0.38</v>
      </c>
      <c r="H361" s="1166">
        <v>1.74</v>
      </c>
      <c r="I361" s="1172">
        <f t="shared" si="46"/>
        <v>0.15</v>
      </c>
      <c r="J361" s="1168" t="s">
        <v>5</v>
      </c>
      <c r="K361" s="1169"/>
      <c r="L361" s="1156"/>
      <c r="M361" s="1169"/>
      <c r="N361" s="1161" t="s">
        <v>2318</v>
      </c>
    </row>
    <row r="362" spans="1:14" s="1170" customFormat="1" ht="16.5" hidden="1" customHeight="1">
      <c r="A362" s="1156"/>
      <c r="B362" s="1169" t="s">
        <v>1607</v>
      </c>
      <c r="C362" s="1157">
        <v>1</v>
      </c>
      <c r="D362" s="1171" t="s">
        <v>273</v>
      </c>
      <c r="E362" s="1165">
        <v>1</v>
      </c>
      <c r="F362" s="1166">
        <v>0.23</v>
      </c>
      <c r="G362" s="1166">
        <v>0.23</v>
      </c>
      <c r="H362" s="1166">
        <v>2.7949999999999999</v>
      </c>
      <c r="I362" s="1172">
        <f t="shared" si="46"/>
        <v>0.15</v>
      </c>
      <c r="J362" s="1168" t="s">
        <v>5</v>
      </c>
      <c r="K362" s="1169"/>
      <c r="L362" s="1156"/>
      <c r="M362" s="1169"/>
      <c r="N362" s="1161" t="s">
        <v>2318</v>
      </c>
    </row>
    <row r="363" spans="1:14" s="1170" customFormat="1" ht="16.5" hidden="1" customHeight="1">
      <c r="A363" s="1156"/>
      <c r="B363" s="1169" t="s">
        <v>1611</v>
      </c>
      <c r="C363" s="1157">
        <v>1</v>
      </c>
      <c r="D363" s="1171" t="s">
        <v>273</v>
      </c>
      <c r="E363" s="1165">
        <v>5</v>
      </c>
      <c r="F363" s="1166">
        <v>0.23</v>
      </c>
      <c r="G363" s="1166">
        <v>0.38</v>
      </c>
      <c r="H363" s="1166">
        <v>2.7949999999999999</v>
      </c>
      <c r="I363" s="1172">
        <f t="shared" si="46"/>
        <v>1.22</v>
      </c>
      <c r="J363" s="1168" t="s">
        <v>5</v>
      </c>
      <c r="K363" s="1169"/>
      <c r="L363" s="1156"/>
      <c r="M363" s="1169"/>
      <c r="N363" s="1161" t="s">
        <v>2318</v>
      </c>
    </row>
    <row r="364" spans="1:14" s="1170" customFormat="1" ht="16.5" hidden="1" customHeight="1">
      <c r="A364" s="1156"/>
      <c r="B364" s="1169" t="s">
        <v>1607</v>
      </c>
      <c r="C364" s="1157">
        <v>1</v>
      </c>
      <c r="D364" s="1171" t="s">
        <v>273</v>
      </c>
      <c r="E364" s="1165">
        <v>1</v>
      </c>
      <c r="F364" s="1166">
        <v>0.23</v>
      </c>
      <c r="G364" s="1166">
        <v>0.23</v>
      </c>
      <c r="H364" s="1166">
        <v>2.7949999999999999</v>
      </c>
      <c r="I364" s="1172">
        <f t="shared" si="46"/>
        <v>0.15</v>
      </c>
      <c r="J364" s="1168" t="s">
        <v>5</v>
      </c>
      <c r="K364" s="1169"/>
      <c r="L364" s="1156"/>
      <c r="M364" s="1169"/>
      <c r="N364" s="1161" t="s">
        <v>2318</v>
      </c>
    </row>
    <row r="365" spans="1:14" s="1170" customFormat="1" ht="16.5" hidden="1" customHeight="1">
      <c r="A365" s="1156"/>
      <c r="B365" s="1331"/>
      <c r="C365" s="1332"/>
      <c r="D365" s="1333"/>
      <c r="E365" s="1334"/>
      <c r="F365" s="1335"/>
      <c r="G365" s="1335"/>
      <c r="H365" s="1335"/>
      <c r="I365" s="1336"/>
      <c r="J365" s="1168"/>
      <c r="K365" s="1169"/>
      <c r="L365" s="1159"/>
      <c r="M365" s="1169"/>
      <c r="N365" s="1161" t="s">
        <v>2318</v>
      </c>
    </row>
    <row r="366" spans="1:14" ht="15.75" hidden="1">
      <c r="A366" s="1156"/>
      <c r="B366" s="1169"/>
      <c r="C366" s="1337"/>
      <c r="D366" s="1171"/>
      <c r="E366" s="1165"/>
      <c r="F366" s="1166"/>
      <c r="G366" s="1343"/>
      <c r="H366" s="1156"/>
      <c r="I366" s="1336"/>
      <c r="J366" s="1168" t="s">
        <v>5</v>
      </c>
      <c r="K366" s="1221">
        <f>data!E2905</f>
        <v>10417.6</v>
      </c>
      <c r="L366" s="1159" t="s">
        <v>2318</v>
      </c>
      <c r="M366" s="1224">
        <f>ROUND(I366*K366,0)</f>
        <v>0</v>
      </c>
      <c r="N366" s="1161" t="s">
        <v>2318</v>
      </c>
    </row>
    <row r="367" spans="1:14" s="1575" customFormat="1" ht="21" customHeight="1">
      <c r="A367" s="1570">
        <v>9</v>
      </c>
      <c r="B367" s="1827" t="s">
        <v>302</v>
      </c>
      <c r="C367" s="1827"/>
      <c r="D367" s="1827"/>
      <c r="E367" s="1827"/>
      <c r="F367" s="1827"/>
      <c r="G367" s="1827"/>
      <c r="H367" s="1827"/>
      <c r="I367" s="1571"/>
      <c r="J367" s="1572"/>
      <c r="K367" s="1570"/>
      <c r="L367" s="1573"/>
      <c r="M367" s="1577"/>
      <c r="N367" s="1578" t="s">
        <v>2218</v>
      </c>
    </row>
    <row r="368" spans="1:14" s="1586" customFormat="1" ht="16.5" customHeight="1">
      <c r="A368" s="1570"/>
      <c r="B368" s="1579" t="s">
        <v>3784</v>
      </c>
      <c r="C368" s="1580"/>
      <c r="D368" s="1790" t="s">
        <v>3868</v>
      </c>
      <c r="E368" s="1581"/>
      <c r="F368" s="1582"/>
      <c r="G368" s="1582"/>
      <c r="H368" s="1582"/>
      <c r="I368" s="1583"/>
      <c r="J368" s="1584"/>
      <c r="K368" s="1585"/>
      <c r="L368" s="1570"/>
      <c r="M368" s="1585"/>
      <c r="N368" s="1578" t="s">
        <v>2218</v>
      </c>
    </row>
    <row r="369" spans="1:14" s="1586" customFormat="1" ht="16.5" customHeight="1">
      <c r="A369" s="1570"/>
      <c r="B369" s="1585" t="s">
        <v>3557</v>
      </c>
      <c r="C369" s="1571">
        <v>1</v>
      </c>
      <c r="D369" s="1587" t="s">
        <v>273</v>
      </c>
      <c r="E369" s="1588">
        <v>1</v>
      </c>
      <c r="F369" s="1589">
        <v>9.83</v>
      </c>
      <c r="G369" s="1589">
        <v>0.23</v>
      </c>
      <c r="H369" s="1589">
        <v>0.38</v>
      </c>
      <c r="I369" s="1590">
        <f t="shared" ref="I369:I376" si="47">ROUND(IF(AND(F369:H369),C369*E369*F369*G369*H369,IF(AND(F369,G369),C369*E369*F369*G369,IF(AND(F369,H369),C369*E369*F369*H369,IF(AND(G369,H369),C369*E369*G369*H369,IF(F369,C369*E369*F369,IF(G369,C369*E369*G369,IF(H369,C369*E369*H369,C369*E369))))))),2)</f>
        <v>0.86</v>
      </c>
      <c r="J369" s="1591" t="s">
        <v>5</v>
      </c>
      <c r="K369" s="1585"/>
      <c r="L369" s="1570"/>
      <c r="M369" s="1585"/>
      <c r="N369" s="1578" t="s">
        <v>2218</v>
      </c>
    </row>
    <row r="370" spans="1:14" s="1586" customFormat="1" ht="16.5" customHeight="1">
      <c r="A370" s="1570"/>
      <c r="B370" s="1585" t="s">
        <v>3555</v>
      </c>
      <c r="C370" s="1571">
        <v>1</v>
      </c>
      <c r="D370" s="1587" t="s">
        <v>273</v>
      </c>
      <c r="E370" s="1588">
        <v>1</v>
      </c>
      <c r="F370" s="1589">
        <v>9.83</v>
      </c>
      <c r="G370" s="1589">
        <v>0.23</v>
      </c>
      <c r="H370" s="1589">
        <v>0.38</v>
      </c>
      <c r="I370" s="1590">
        <f t="shared" si="47"/>
        <v>0.86</v>
      </c>
      <c r="J370" s="1591" t="s">
        <v>5</v>
      </c>
      <c r="K370" s="1585"/>
      <c r="L370" s="1570"/>
      <c r="M370" s="1585"/>
      <c r="N370" s="1578" t="s">
        <v>2218</v>
      </c>
    </row>
    <row r="371" spans="1:14" s="1586" customFormat="1" ht="16.5" customHeight="1">
      <c r="A371" s="1570"/>
      <c r="B371" s="1585" t="s">
        <v>3558</v>
      </c>
      <c r="C371" s="1571">
        <v>1</v>
      </c>
      <c r="D371" s="1587" t="s">
        <v>273</v>
      </c>
      <c r="E371" s="1588">
        <v>1</v>
      </c>
      <c r="F371" s="1589">
        <v>9.83</v>
      </c>
      <c r="G371" s="1589">
        <v>0.23</v>
      </c>
      <c r="H371" s="1589">
        <v>0.38</v>
      </c>
      <c r="I371" s="1590">
        <f t="shared" si="47"/>
        <v>0.86</v>
      </c>
      <c r="J371" s="1591" t="s">
        <v>5</v>
      </c>
      <c r="K371" s="1585"/>
      <c r="L371" s="1570"/>
      <c r="M371" s="1585"/>
      <c r="N371" s="1578" t="s">
        <v>2218</v>
      </c>
    </row>
    <row r="372" spans="1:14" s="1586" customFormat="1" ht="16.5" customHeight="1">
      <c r="A372" s="1570"/>
      <c r="B372" s="1585" t="s">
        <v>3559</v>
      </c>
      <c r="C372" s="1571">
        <v>1</v>
      </c>
      <c r="D372" s="1587" t="s">
        <v>273</v>
      </c>
      <c r="E372" s="1588">
        <v>1</v>
      </c>
      <c r="F372" s="1589">
        <v>10.59</v>
      </c>
      <c r="G372" s="1589">
        <v>0.23</v>
      </c>
      <c r="H372" s="1589">
        <v>0.38</v>
      </c>
      <c r="I372" s="1590">
        <f t="shared" si="47"/>
        <v>0.93</v>
      </c>
      <c r="J372" s="1591" t="s">
        <v>5</v>
      </c>
      <c r="K372" s="1585"/>
      <c r="L372" s="1570"/>
      <c r="M372" s="1585"/>
      <c r="N372" s="1578" t="s">
        <v>2218</v>
      </c>
    </row>
    <row r="373" spans="1:14" s="1586" customFormat="1" ht="16.5" customHeight="1">
      <c r="A373" s="1570"/>
      <c r="B373" s="1585" t="s">
        <v>3560</v>
      </c>
      <c r="C373" s="1571">
        <v>1</v>
      </c>
      <c r="D373" s="1587" t="s">
        <v>273</v>
      </c>
      <c r="E373" s="1588">
        <v>1</v>
      </c>
      <c r="F373" s="1589">
        <v>0.23</v>
      </c>
      <c r="G373" s="1589">
        <v>0.23</v>
      </c>
      <c r="H373" s="1589">
        <v>0.38</v>
      </c>
      <c r="I373" s="1590">
        <f>-ROUND(IF(AND(F373:H373),C373*E373*F373*G373*H373,IF(AND(F373,G373),C373*E373*F373*G373,IF(AND(F373,H373),C373*E373*F373*H373,IF(AND(G373,H373),C373*E373*G373*H373,IF(F373,C373*E373*F373,IF(G373,C373*E373*G373,IF(H373,C373*E373*H373,C373*E373))))))),2)</f>
        <v>-0.02</v>
      </c>
      <c r="J373" s="1591" t="s">
        <v>5</v>
      </c>
      <c r="K373" s="1585"/>
      <c r="L373" s="1570"/>
      <c r="M373" s="1585"/>
      <c r="N373" s="1578" t="s">
        <v>2218</v>
      </c>
    </row>
    <row r="374" spans="1:14" s="1586" customFormat="1" ht="16.5" customHeight="1">
      <c r="A374" s="1570"/>
      <c r="B374" s="1585" t="s">
        <v>3561</v>
      </c>
      <c r="C374" s="1571">
        <v>1</v>
      </c>
      <c r="D374" s="1587" t="s">
        <v>273</v>
      </c>
      <c r="E374" s="1588">
        <v>1</v>
      </c>
      <c r="F374" s="1589">
        <v>4.1500000000000004</v>
      </c>
      <c r="G374" s="1589">
        <v>0.23</v>
      </c>
      <c r="H374" s="1589">
        <v>0.38</v>
      </c>
      <c r="I374" s="1590">
        <f t="shared" si="47"/>
        <v>0.36</v>
      </c>
      <c r="J374" s="1591" t="s">
        <v>5</v>
      </c>
      <c r="K374" s="1585"/>
      <c r="L374" s="1570"/>
      <c r="M374" s="1585"/>
      <c r="N374" s="1578" t="s">
        <v>2218</v>
      </c>
    </row>
    <row r="375" spans="1:14" s="1586" customFormat="1" ht="16.5" customHeight="1">
      <c r="A375" s="1570"/>
      <c r="B375" s="1585" t="s">
        <v>3562</v>
      </c>
      <c r="C375" s="1571">
        <v>1</v>
      </c>
      <c r="D375" s="1587" t="s">
        <v>273</v>
      </c>
      <c r="E375" s="1588">
        <v>1</v>
      </c>
      <c r="F375" s="1589">
        <v>4.1500000000000004</v>
      </c>
      <c r="G375" s="1589">
        <v>0.23</v>
      </c>
      <c r="H375" s="1589">
        <v>0.38</v>
      </c>
      <c r="I375" s="1590">
        <f t="shared" si="47"/>
        <v>0.36</v>
      </c>
      <c r="J375" s="1591" t="s">
        <v>5</v>
      </c>
      <c r="K375" s="1585"/>
      <c r="L375" s="1570"/>
      <c r="M375" s="1585"/>
      <c r="N375" s="1578" t="s">
        <v>2218</v>
      </c>
    </row>
    <row r="376" spans="1:14" s="1586" customFormat="1" ht="16.5" customHeight="1">
      <c r="A376" s="1570"/>
      <c r="B376" s="1585" t="s">
        <v>3563</v>
      </c>
      <c r="C376" s="1571">
        <v>1</v>
      </c>
      <c r="D376" s="1587" t="s">
        <v>273</v>
      </c>
      <c r="E376" s="1588">
        <v>1</v>
      </c>
      <c r="F376" s="1589">
        <v>10.59</v>
      </c>
      <c r="G376" s="1589">
        <v>0.23</v>
      </c>
      <c r="H376" s="1589">
        <v>0.38</v>
      </c>
      <c r="I376" s="1590">
        <f t="shared" si="47"/>
        <v>0.93</v>
      </c>
      <c r="J376" s="1591" t="s">
        <v>5</v>
      </c>
      <c r="K376" s="1585"/>
      <c r="L376" s="1570"/>
      <c r="M376" s="1585"/>
      <c r="N376" s="1578" t="s">
        <v>2218</v>
      </c>
    </row>
    <row r="377" spans="1:14" s="1586" customFormat="1" ht="16.5" customHeight="1">
      <c r="A377" s="1570"/>
      <c r="B377" s="1585" t="s">
        <v>3560</v>
      </c>
      <c r="C377" s="1571">
        <v>1</v>
      </c>
      <c r="D377" s="1587" t="s">
        <v>273</v>
      </c>
      <c r="E377" s="1588">
        <v>1</v>
      </c>
      <c r="F377" s="1589">
        <v>0.23</v>
      </c>
      <c r="G377" s="1589">
        <v>0.23</v>
      </c>
      <c r="H377" s="1589">
        <v>0.38</v>
      </c>
      <c r="I377" s="1590">
        <f>-ROUND(IF(AND(F377:H377),C377*E377*F377*G377*H377,IF(AND(F377,G377),C377*E377*F377*G377,IF(AND(F377,H377),C377*E377*F377*H377,IF(AND(G377,H377),C377*E377*G377*H377,IF(F377,C377*E377*F377,IF(G377,C377*E377*G377,IF(H377,C377*E377*H377,C377*E377))))))),2)</f>
        <v>-0.02</v>
      </c>
      <c r="J377" s="1591" t="s">
        <v>5</v>
      </c>
      <c r="K377" s="1585"/>
      <c r="L377" s="1570"/>
      <c r="M377" s="1585"/>
      <c r="N377" s="1578" t="s">
        <v>2218</v>
      </c>
    </row>
    <row r="378" spans="1:14" s="1586" customFormat="1" ht="16.5" customHeight="1">
      <c r="A378" s="1570"/>
      <c r="B378" s="1579" t="s">
        <v>3807</v>
      </c>
      <c r="C378" s="1580"/>
      <c r="D378" s="1790" t="s">
        <v>3869</v>
      </c>
      <c r="E378" s="1581"/>
      <c r="F378" s="1582"/>
      <c r="G378" s="1582"/>
      <c r="H378" s="1582"/>
      <c r="I378" s="1583"/>
      <c r="J378" s="1584"/>
      <c r="K378" s="1585"/>
      <c r="L378" s="1570"/>
      <c r="M378" s="1585"/>
      <c r="N378" s="1578" t="s">
        <v>2218</v>
      </c>
    </row>
    <row r="379" spans="1:14" s="1586" customFormat="1" ht="16.5" customHeight="1">
      <c r="A379" s="1570"/>
      <c r="B379" s="1585" t="s">
        <v>3808</v>
      </c>
      <c r="C379" s="1571">
        <v>1</v>
      </c>
      <c r="D379" s="1587" t="s">
        <v>273</v>
      </c>
      <c r="E379" s="1588">
        <v>1</v>
      </c>
      <c r="F379" s="1589">
        <v>3.5</v>
      </c>
      <c r="G379" s="1589">
        <v>0.23</v>
      </c>
      <c r="H379" s="1589">
        <v>0.23</v>
      </c>
      <c r="I379" s="1590">
        <f t="shared" ref="I379:I382" si="48">ROUND(IF(AND(F379:H379),C379*E379*F379*G379*H379,IF(AND(F379,G379),C379*E379*F379*G379,IF(AND(F379,H379),C379*E379*F379*H379,IF(AND(G379,H379),C379*E379*G379*H379,IF(F379,C379*E379*F379,IF(G379,C379*E379*G379,IF(H379,C379*E379*H379,C379*E379))))))),2)</f>
        <v>0.19</v>
      </c>
      <c r="J379" s="1591" t="s">
        <v>5</v>
      </c>
      <c r="K379" s="1585"/>
      <c r="L379" s="1570"/>
      <c r="M379" s="1585"/>
      <c r="N379" s="1578" t="s">
        <v>2218</v>
      </c>
    </row>
    <row r="380" spans="1:14" s="1586" customFormat="1" ht="16.5" customHeight="1">
      <c r="A380" s="1570"/>
      <c r="B380" s="1585" t="s">
        <v>3809</v>
      </c>
      <c r="C380" s="1571">
        <v>1</v>
      </c>
      <c r="D380" s="1587" t="s">
        <v>273</v>
      </c>
      <c r="E380" s="1588">
        <v>2</v>
      </c>
      <c r="F380" s="1589">
        <v>3.15</v>
      </c>
      <c r="G380" s="1589">
        <v>0.23</v>
      </c>
      <c r="H380" s="1589">
        <v>0.23</v>
      </c>
      <c r="I380" s="1590">
        <f t="shared" si="48"/>
        <v>0.33</v>
      </c>
      <c r="J380" s="1591" t="s">
        <v>5</v>
      </c>
      <c r="K380" s="1585"/>
      <c r="L380" s="1570"/>
      <c r="M380" s="1585"/>
      <c r="N380" s="1578" t="s">
        <v>2218</v>
      </c>
    </row>
    <row r="381" spans="1:14" s="1586" customFormat="1" ht="16.5" customHeight="1">
      <c r="A381" s="1570"/>
      <c r="B381" s="1585"/>
      <c r="C381" s="1571">
        <v>1</v>
      </c>
      <c r="D381" s="1587" t="s">
        <v>273</v>
      </c>
      <c r="E381" s="1588">
        <v>2</v>
      </c>
      <c r="F381" s="1589">
        <v>0.84</v>
      </c>
      <c r="G381" s="1589">
        <v>0.23</v>
      </c>
      <c r="H381" s="1589">
        <v>0.23</v>
      </c>
      <c r="I381" s="1590">
        <f t="shared" si="48"/>
        <v>0.09</v>
      </c>
      <c r="J381" s="1591" t="s">
        <v>5</v>
      </c>
      <c r="K381" s="1585"/>
      <c r="L381" s="1570"/>
      <c r="M381" s="1585"/>
      <c r="N381" s="1578" t="s">
        <v>2218</v>
      </c>
    </row>
    <row r="382" spans="1:14" s="1586" customFormat="1" ht="16.5" customHeight="1">
      <c r="A382" s="1570"/>
      <c r="B382" s="1585"/>
      <c r="C382" s="1571">
        <v>1</v>
      </c>
      <c r="D382" s="1587" t="s">
        <v>273</v>
      </c>
      <c r="E382" s="1588">
        <v>2</v>
      </c>
      <c r="F382" s="1589">
        <v>0.7</v>
      </c>
      <c r="G382" s="1589">
        <v>0.23</v>
      </c>
      <c r="H382" s="1589">
        <v>0.23</v>
      </c>
      <c r="I382" s="1590">
        <f t="shared" si="48"/>
        <v>7.0000000000000007E-2</v>
      </c>
      <c r="J382" s="1591" t="s">
        <v>5</v>
      </c>
      <c r="K382" s="1585"/>
      <c r="L382" s="1570"/>
      <c r="M382" s="1585"/>
      <c r="N382" s="1578" t="s">
        <v>2218</v>
      </c>
    </row>
    <row r="383" spans="1:14" s="1586" customFormat="1" ht="16.5" customHeight="1">
      <c r="A383" s="1570"/>
      <c r="B383" s="1600"/>
      <c r="C383" s="1601"/>
      <c r="D383" s="1602"/>
      <c r="E383" s="1603"/>
      <c r="F383" s="1604"/>
      <c r="G383" s="1604"/>
      <c r="H383" s="1604"/>
      <c r="I383" s="1605"/>
      <c r="J383" s="1598"/>
      <c r="K383" s="1585"/>
      <c r="L383" s="1573"/>
      <c r="M383" s="1585"/>
      <c r="N383" s="1578" t="s">
        <v>2218</v>
      </c>
    </row>
    <row r="384" spans="1:14" s="1575" customFormat="1" ht="15.75">
      <c r="A384" s="1570"/>
      <c r="B384" s="1585"/>
      <c r="C384" s="1606"/>
      <c r="D384" s="1587"/>
      <c r="E384" s="1588"/>
      <c r="F384" s="1589"/>
      <c r="G384" s="1607"/>
      <c r="H384" s="1570"/>
      <c r="I384" s="1605">
        <f>SUM(I369:I383)</f>
        <v>5.8000000000000007</v>
      </c>
      <c r="J384" s="1598" t="s">
        <v>5</v>
      </c>
      <c r="K384" s="1608">
        <f>data!G134</f>
        <v>8971.880000000001</v>
      </c>
      <c r="L384" s="1573" t="s">
        <v>2218</v>
      </c>
      <c r="M384" s="1609">
        <f>ROUND(I384*K384,0)</f>
        <v>52037</v>
      </c>
      <c r="N384" s="1578" t="s">
        <v>2218</v>
      </c>
    </row>
    <row r="385" spans="1:14" ht="17.25" hidden="1" customHeight="1">
      <c r="A385" s="1156">
        <v>16</v>
      </c>
      <c r="B385" s="1826" t="s">
        <v>302</v>
      </c>
      <c r="C385" s="1826"/>
      <c r="D385" s="1828"/>
      <c r="E385" s="1826"/>
      <c r="F385" s="1826"/>
      <c r="G385" s="1826"/>
      <c r="H385" s="1826"/>
      <c r="I385" s="1157"/>
      <c r="J385" s="1158"/>
      <c r="K385" s="1156"/>
      <c r="L385" s="1159"/>
      <c r="M385" s="1160"/>
      <c r="N385" s="1161" t="s">
        <v>2306</v>
      </c>
    </row>
    <row r="386" spans="1:14" s="1170" customFormat="1" ht="16.5" hidden="1" customHeight="1">
      <c r="A386" s="1156"/>
      <c r="B386" s="1169" t="s">
        <v>3583</v>
      </c>
      <c r="C386" s="1338"/>
      <c r="D386" s="1548" t="s">
        <v>3646</v>
      </c>
      <c r="E386" s="1339"/>
      <c r="F386" s="1340"/>
      <c r="G386" s="1340"/>
      <c r="H386" s="1340"/>
      <c r="I386" s="1341"/>
      <c r="J386" s="1168"/>
      <c r="K386" s="1169"/>
      <c r="L386" s="1156"/>
      <c r="M386" s="1169"/>
      <c r="N386" s="1161" t="s">
        <v>2306</v>
      </c>
    </row>
    <row r="387" spans="1:14" s="1170" customFormat="1" ht="16.5" hidden="1" customHeight="1">
      <c r="A387" s="1156"/>
      <c r="B387" s="1169" t="s">
        <v>3584</v>
      </c>
      <c r="C387" s="1157">
        <v>1</v>
      </c>
      <c r="D387" s="1171" t="s">
        <v>273</v>
      </c>
      <c r="E387" s="1165">
        <v>1</v>
      </c>
      <c r="F387" s="1166">
        <v>3.51</v>
      </c>
      <c r="G387" s="1166">
        <v>0.23</v>
      </c>
      <c r="H387" s="1166">
        <v>0.23</v>
      </c>
      <c r="I387" s="1172">
        <f t="shared" ref="I387:I390" si="49">ROUND(IF(AND(F387:H387),C387*E387*F387*G387*H387,IF(AND(F387,G387),C387*E387*F387*G387,IF(AND(F387,H387),C387*E387*F387*H387,IF(AND(G387,H387),C387*E387*G387*H387,IF(F387,C387*E387*F387,IF(G387,C387*E387*G387,IF(H387,C387*E387*H387,C387*E387))))))),2)</f>
        <v>0.19</v>
      </c>
      <c r="J387" s="1168" t="s">
        <v>5</v>
      </c>
      <c r="K387" s="1169"/>
      <c r="L387" s="1156"/>
      <c r="M387" s="1169"/>
      <c r="N387" s="1161" t="s">
        <v>2306</v>
      </c>
    </row>
    <row r="388" spans="1:14" s="1170" customFormat="1" ht="16.5" hidden="1" customHeight="1">
      <c r="A388" s="1156"/>
      <c r="B388" s="1169" t="s">
        <v>3585</v>
      </c>
      <c r="C388" s="1157">
        <v>1</v>
      </c>
      <c r="D388" s="1171" t="s">
        <v>273</v>
      </c>
      <c r="E388" s="1165">
        <v>2</v>
      </c>
      <c r="F388" s="1166">
        <v>3.23</v>
      </c>
      <c r="G388" s="1166">
        <v>0.23</v>
      </c>
      <c r="H388" s="1166">
        <v>0.23</v>
      </c>
      <c r="I388" s="1172">
        <f t="shared" si="49"/>
        <v>0.34</v>
      </c>
      <c r="J388" s="1168" t="s">
        <v>5</v>
      </c>
      <c r="K388" s="1169"/>
      <c r="L388" s="1156"/>
      <c r="M388" s="1169"/>
      <c r="N388" s="1161" t="s">
        <v>2306</v>
      </c>
    </row>
    <row r="389" spans="1:14" s="1170" customFormat="1" ht="16.5" hidden="1" customHeight="1">
      <c r="A389" s="1156"/>
      <c r="B389" s="1169"/>
      <c r="C389" s="1157">
        <v>1</v>
      </c>
      <c r="D389" s="1171" t="s">
        <v>273</v>
      </c>
      <c r="E389" s="1165">
        <v>2</v>
      </c>
      <c r="F389" s="1166">
        <v>0.84</v>
      </c>
      <c r="G389" s="1166">
        <v>0.23</v>
      </c>
      <c r="H389" s="1166">
        <v>0.23</v>
      </c>
      <c r="I389" s="1172">
        <f t="shared" si="49"/>
        <v>0.09</v>
      </c>
      <c r="J389" s="1168" t="s">
        <v>5</v>
      </c>
      <c r="K389" s="1169"/>
      <c r="L389" s="1156"/>
      <c r="M389" s="1169"/>
      <c r="N389" s="1161" t="s">
        <v>2306</v>
      </c>
    </row>
    <row r="390" spans="1:14" s="1170" customFormat="1" ht="16.5" hidden="1" customHeight="1">
      <c r="A390" s="1156"/>
      <c r="B390" s="1169"/>
      <c r="C390" s="1157">
        <v>1</v>
      </c>
      <c r="D390" s="1171" t="s">
        <v>273</v>
      </c>
      <c r="E390" s="1165">
        <v>2</v>
      </c>
      <c r="F390" s="1166">
        <v>0.7</v>
      </c>
      <c r="G390" s="1166">
        <v>0.23</v>
      </c>
      <c r="H390" s="1166">
        <v>0.23</v>
      </c>
      <c r="I390" s="1172">
        <f t="shared" si="49"/>
        <v>7.0000000000000007E-2</v>
      </c>
      <c r="J390" s="1168" t="s">
        <v>5</v>
      </c>
      <c r="K390" s="1169"/>
      <c r="L390" s="1156"/>
      <c r="M390" s="1169"/>
      <c r="N390" s="1161" t="s">
        <v>2306</v>
      </c>
    </row>
    <row r="391" spans="1:14" s="1170" customFormat="1" ht="16.5" hidden="1" customHeight="1">
      <c r="A391" s="1156"/>
      <c r="B391" s="1331"/>
      <c r="C391" s="1332"/>
      <c r="D391" s="1333"/>
      <c r="E391" s="1334"/>
      <c r="F391" s="1335"/>
      <c r="G391" s="1335"/>
      <c r="H391" s="1335"/>
      <c r="I391" s="1336"/>
      <c r="J391" s="1168"/>
      <c r="K391" s="1169"/>
      <c r="L391" s="1159"/>
      <c r="M391" s="1169"/>
      <c r="N391" s="1161" t="s">
        <v>2306</v>
      </c>
    </row>
    <row r="392" spans="1:14" ht="15.75" hidden="1">
      <c r="A392" s="1156"/>
      <c r="B392" s="1169"/>
      <c r="C392" s="1337"/>
      <c r="D392" s="1171"/>
      <c r="E392" s="1165"/>
      <c r="F392" s="1166"/>
      <c r="G392" s="1343"/>
      <c r="H392" s="1156"/>
      <c r="I392" s="1336"/>
      <c r="J392" s="1168" t="s">
        <v>5</v>
      </c>
      <c r="K392" s="1221">
        <f>data!G1050</f>
        <v>9280.23</v>
      </c>
      <c r="L392" s="1159" t="s">
        <v>2306</v>
      </c>
      <c r="M392" s="1224">
        <f>ROUND(I392*K392,0)</f>
        <v>0</v>
      </c>
      <c r="N392" s="1161" t="s">
        <v>2306</v>
      </c>
    </row>
    <row r="393" spans="1:14" ht="17.25" hidden="1" customHeight="1">
      <c r="A393" s="1156">
        <v>13</v>
      </c>
      <c r="B393" s="1826" t="s">
        <v>302</v>
      </c>
      <c r="C393" s="1826"/>
      <c r="D393" s="1826"/>
      <c r="E393" s="1826"/>
      <c r="F393" s="1826"/>
      <c r="G393" s="1826"/>
      <c r="H393" s="1826"/>
      <c r="I393" s="1157"/>
      <c r="J393" s="1158"/>
      <c r="K393" s="1156"/>
      <c r="L393" s="1159"/>
      <c r="M393" s="1160"/>
      <c r="N393" s="1161" t="s">
        <v>2317</v>
      </c>
    </row>
    <row r="394" spans="1:14" s="1170" customFormat="1" ht="16.5" hidden="1" customHeight="1">
      <c r="A394" s="1156"/>
      <c r="B394" s="1163" t="s">
        <v>3692</v>
      </c>
      <c r="C394" s="1338"/>
      <c r="D394" s="1548" t="s">
        <v>3737</v>
      </c>
      <c r="E394" s="1339"/>
      <c r="F394" s="1340"/>
      <c r="G394" s="1340"/>
      <c r="H394" s="1340"/>
      <c r="I394" s="1341"/>
      <c r="J394" s="1168"/>
      <c r="K394" s="1169"/>
      <c r="L394" s="1156"/>
      <c r="M394" s="1169"/>
      <c r="N394" s="1161" t="s">
        <v>2317</v>
      </c>
    </row>
    <row r="395" spans="1:14" s="1170" customFormat="1" ht="16.5" hidden="1" customHeight="1">
      <c r="A395" s="1156"/>
      <c r="B395" s="1169" t="s">
        <v>3693</v>
      </c>
      <c r="C395" s="1157">
        <v>1</v>
      </c>
      <c r="D395" s="1171" t="s">
        <v>273</v>
      </c>
      <c r="E395" s="1165">
        <v>1</v>
      </c>
      <c r="F395" s="1166">
        <v>3.5</v>
      </c>
      <c r="G395" s="1166">
        <v>0.23</v>
      </c>
      <c r="H395" s="1166">
        <v>0.23</v>
      </c>
      <c r="I395" s="1172">
        <f t="shared" ref="I395:I398" si="50">ROUND(IF(AND(F395:H395),C395*E395*F395*G395*H395,IF(AND(F395,G395),C395*E395*F395*G395,IF(AND(F395,H395),C395*E395*F395*H395,IF(AND(G395,H395),C395*E395*G395*H395,IF(F395,C395*E395*F395,IF(G395,C395*E395*G395,IF(H395,C395*E395*H395,C395*E395))))))),2)</f>
        <v>0.19</v>
      </c>
      <c r="J395" s="1168" t="s">
        <v>5</v>
      </c>
      <c r="K395" s="1169"/>
      <c r="L395" s="1156"/>
      <c r="M395" s="1169"/>
      <c r="N395" s="1161" t="s">
        <v>2317</v>
      </c>
    </row>
    <row r="396" spans="1:14" s="1170" customFormat="1" ht="16.5" hidden="1" customHeight="1">
      <c r="A396" s="1156"/>
      <c r="B396" s="1169"/>
      <c r="C396" s="1157">
        <v>1</v>
      </c>
      <c r="D396" s="1171" t="s">
        <v>273</v>
      </c>
      <c r="E396" s="1165">
        <v>2</v>
      </c>
      <c r="F396" s="1166">
        <v>3.28</v>
      </c>
      <c r="G396" s="1166">
        <v>0.23</v>
      </c>
      <c r="H396" s="1166">
        <v>0.23</v>
      </c>
      <c r="I396" s="1172">
        <f t="shared" si="50"/>
        <v>0.35</v>
      </c>
      <c r="J396" s="1168" t="s">
        <v>5</v>
      </c>
      <c r="K396" s="1169"/>
      <c r="L396" s="1156"/>
      <c r="M396" s="1169"/>
      <c r="N396" s="1161" t="s">
        <v>2317</v>
      </c>
    </row>
    <row r="397" spans="1:14" s="1170" customFormat="1" ht="16.5" hidden="1" customHeight="1">
      <c r="A397" s="1156"/>
      <c r="B397" s="1169" t="s">
        <v>3164</v>
      </c>
      <c r="C397" s="1157">
        <v>1</v>
      </c>
      <c r="D397" s="1171" t="s">
        <v>273</v>
      </c>
      <c r="E397" s="1165">
        <v>2</v>
      </c>
      <c r="F397" s="1166">
        <v>0.84</v>
      </c>
      <c r="G397" s="1166">
        <v>0.23</v>
      </c>
      <c r="H397" s="1166">
        <v>0.23</v>
      </c>
      <c r="I397" s="1172">
        <f t="shared" si="50"/>
        <v>0.09</v>
      </c>
      <c r="J397" s="1168" t="s">
        <v>5</v>
      </c>
      <c r="K397" s="1169"/>
      <c r="L397" s="1156"/>
      <c r="M397" s="1169"/>
      <c r="N397" s="1161" t="s">
        <v>2317</v>
      </c>
    </row>
    <row r="398" spans="1:14" s="1170" customFormat="1" ht="16.5" hidden="1" customHeight="1">
      <c r="A398" s="1156"/>
      <c r="B398" s="1169"/>
      <c r="C398" s="1157">
        <v>1</v>
      </c>
      <c r="D398" s="1171" t="s">
        <v>273</v>
      </c>
      <c r="E398" s="1165">
        <v>2</v>
      </c>
      <c r="F398" s="1166">
        <v>0.7</v>
      </c>
      <c r="G398" s="1166">
        <v>0.23</v>
      </c>
      <c r="H398" s="1166">
        <v>0.23</v>
      </c>
      <c r="I398" s="1172">
        <f t="shared" si="50"/>
        <v>7.0000000000000007E-2</v>
      </c>
      <c r="J398" s="1168" t="s">
        <v>5</v>
      </c>
      <c r="K398" s="1169"/>
      <c r="L398" s="1156"/>
      <c r="M398" s="1169"/>
      <c r="N398" s="1161" t="s">
        <v>2317</v>
      </c>
    </row>
    <row r="399" spans="1:14" s="1170" customFormat="1" ht="16.5" hidden="1" customHeight="1">
      <c r="A399" s="1156"/>
      <c r="B399" s="1331"/>
      <c r="C399" s="1332"/>
      <c r="D399" s="1333"/>
      <c r="E399" s="1334"/>
      <c r="F399" s="1335"/>
      <c r="G399" s="1335"/>
      <c r="H399" s="1335"/>
      <c r="I399" s="1336"/>
      <c r="J399" s="1168"/>
      <c r="K399" s="1169"/>
      <c r="L399" s="1159"/>
      <c r="M399" s="1169"/>
      <c r="N399" s="1161" t="s">
        <v>2317</v>
      </c>
    </row>
    <row r="400" spans="1:14" ht="15.75" hidden="1">
      <c r="A400" s="1156"/>
      <c r="B400" s="1169"/>
      <c r="C400" s="1337"/>
      <c r="D400" s="1171"/>
      <c r="E400" s="1165"/>
      <c r="F400" s="1166"/>
      <c r="G400" s="1343"/>
      <c r="H400" s="1156"/>
      <c r="I400" s="1336"/>
      <c r="J400" s="1168" t="s">
        <v>5</v>
      </c>
      <c r="K400" s="1221">
        <f>data!G1967</f>
        <v>9785.43</v>
      </c>
      <c r="L400" s="1159" t="s">
        <v>2317</v>
      </c>
      <c r="M400" s="1224">
        <f>ROUND(I400*K400,0)</f>
        <v>0</v>
      </c>
      <c r="N400" s="1161" t="s">
        <v>2317</v>
      </c>
    </row>
    <row r="401" spans="1:14" ht="17.25" hidden="1" customHeight="1">
      <c r="A401" s="1156">
        <v>8</v>
      </c>
      <c r="B401" s="1826" t="s">
        <v>302</v>
      </c>
      <c r="C401" s="1826"/>
      <c r="D401" s="1826"/>
      <c r="E401" s="1826"/>
      <c r="F401" s="1826"/>
      <c r="G401" s="1826"/>
      <c r="H401" s="1826"/>
      <c r="I401" s="1157"/>
      <c r="J401" s="1158"/>
      <c r="K401" s="1156"/>
      <c r="L401" s="1159"/>
      <c r="M401" s="1160"/>
      <c r="N401" s="1161" t="s">
        <v>2318</v>
      </c>
    </row>
    <row r="402" spans="1:14" s="1170" customFormat="1" ht="16.5" hidden="1" customHeight="1">
      <c r="A402" s="1156"/>
      <c r="B402" s="1163" t="s">
        <v>3478</v>
      </c>
      <c r="C402" s="1338"/>
      <c r="D402" s="1164"/>
      <c r="E402" s="1339"/>
      <c r="F402" s="1340"/>
      <c r="G402" s="1340"/>
      <c r="H402" s="1340"/>
      <c r="I402" s="1341"/>
      <c r="J402" s="1168"/>
      <c r="K402" s="1169"/>
      <c r="L402" s="1156"/>
      <c r="M402" s="1169"/>
      <c r="N402" s="1161" t="s">
        <v>2318</v>
      </c>
    </row>
    <row r="403" spans="1:14" s="1170" customFormat="1" ht="16.5" hidden="1" customHeight="1">
      <c r="A403" s="1156"/>
      <c r="B403" s="1169" t="s">
        <v>268</v>
      </c>
      <c r="C403" s="1157">
        <v>1</v>
      </c>
      <c r="D403" s="1171" t="s">
        <v>273</v>
      </c>
      <c r="E403" s="1165">
        <v>1</v>
      </c>
      <c r="F403" s="1166">
        <v>48.51</v>
      </c>
      <c r="G403" s="1166">
        <v>0.23</v>
      </c>
      <c r="H403" s="1166">
        <f>(0.36+0.38)/2</f>
        <v>0.37</v>
      </c>
      <c r="I403" s="1172">
        <f>ROUND(IF(AND(F403:H403),C403*E403*F403*G403*H403,IF(AND(F403,G403),C403*E403*F403*G403,IF(AND(F403,H403),C403*E403*F403*H403,IF(AND(G403,H403),C403*E403*G403*H403,IF(F403,C403*E403*F403,IF(G403,C403*E403*G403,IF(H403,C403*E403*H403,C403*E403))))))),2)</f>
        <v>4.13</v>
      </c>
      <c r="J403" s="1168" t="s">
        <v>5</v>
      </c>
      <c r="K403" s="1169"/>
      <c r="L403" s="1156"/>
      <c r="M403" s="1169"/>
      <c r="N403" s="1161" t="s">
        <v>2318</v>
      </c>
    </row>
    <row r="404" spans="1:14" s="1170" customFormat="1" ht="16.5" hidden="1" customHeight="1">
      <c r="A404" s="1156"/>
      <c r="B404" s="1169"/>
      <c r="C404" s="1157">
        <v>1</v>
      </c>
      <c r="D404" s="1171" t="s">
        <v>273</v>
      </c>
      <c r="E404" s="1165">
        <v>1</v>
      </c>
      <c r="F404" s="1166">
        <v>6.3</v>
      </c>
      <c r="G404" s="1166">
        <v>0.3</v>
      </c>
      <c r="H404" s="1166">
        <v>0.2</v>
      </c>
      <c r="I404" s="1172">
        <f>ROUND(IF(AND(F404:H404),C404*E404*F404*G404*H404,IF(AND(F404,G404),C404*E404*F404*G404,IF(AND(F404,H404),C404*E404*F404*H404,IF(AND(G404,H404),C404*E404*G404*H404,IF(F404,C404*E404*F404,IF(G404,C404*E404*G404,IF(H404,C404*E404*H404,C404*E404))))))),2)</f>
        <v>0.38</v>
      </c>
      <c r="J404" s="1168" t="s">
        <v>5</v>
      </c>
      <c r="K404" s="1169"/>
      <c r="L404" s="1156"/>
      <c r="M404" s="1169"/>
      <c r="N404" s="1161" t="s">
        <v>2318</v>
      </c>
    </row>
    <row r="405" spans="1:14" s="1170" customFormat="1" ht="16.5" hidden="1" customHeight="1">
      <c r="A405" s="1156"/>
      <c r="B405" s="1331"/>
      <c r="C405" s="1332"/>
      <c r="D405" s="1333"/>
      <c r="E405" s="1334"/>
      <c r="F405" s="1335"/>
      <c r="G405" s="1335"/>
      <c r="H405" s="1335"/>
      <c r="I405" s="1336"/>
      <c r="J405" s="1168"/>
      <c r="K405" s="1169"/>
      <c r="L405" s="1159"/>
      <c r="M405" s="1169"/>
      <c r="N405" s="1161" t="s">
        <v>2318</v>
      </c>
    </row>
    <row r="406" spans="1:14" ht="15.75" hidden="1">
      <c r="A406" s="1156"/>
      <c r="B406" s="1169"/>
      <c r="C406" s="1337"/>
      <c r="D406" s="1171"/>
      <c r="E406" s="1165"/>
      <c r="F406" s="1166"/>
      <c r="G406" s="1343"/>
      <c r="H406" s="1156"/>
      <c r="I406" s="1336"/>
      <c r="J406" s="1168" t="s">
        <v>5</v>
      </c>
      <c r="K406" s="1221">
        <f>data!G2884</f>
        <v>10162.18</v>
      </c>
      <c r="L406" s="1159" t="s">
        <v>2318</v>
      </c>
      <c r="M406" s="1224">
        <f>ROUND(I406*K406,0)</f>
        <v>0</v>
      </c>
      <c r="N406" s="1161" t="s">
        <v>2318</v>
      </c>
    </row>
    <row r="407" spans="1:14" s="1575" customFormat="1" ht="17.25" customHeight="1">
      <c r="A407" s="1570">
        <v>10</v>
      </c>
      <c r="B407" s="1827" t="s">
        <v>303</v>
      </c>
      <c r="C407" s="1827"/>
      <c r="D407" s="1827"/>
      <c r="E407" s="1827"/>
      <c r="F407" s="1827"/>
      <c r="G407" s="1827"/>
      <c r="H407" s="1827"/>
      <c r="I407" s="1571"/>
      <c r="J407" s="1572"/>
      <c r="K407" s="1570"/>
      <c r="L407" s="1573"/>
      <c r="M407" s="1577"/>
      <c r="N407" s="1578" t="s">
        <v>2218</v>
      </c>
    </row>
    <row r="408" spans="1:14" s="1586" customFormat="1" ht="16.5" customHeight="1">
      <c r="A408" s="1570"/>
      <c r="B408" s="1579" t="s">
        <v>3787</v>
      </c>
      <c r="C408" s="1580"/>
      <c r="D408" s="1790" t="s">
        <v>3870</v>
      </c>
      <c r="E408" s="1581"/>
      <c r="F408" s="1582"/>
      <c r="G408" s="1582"/>
      <c r="H408" s="1582"/>
      <c r="I408" s="1583"/>
      <c r="J408" s="1598"/>
      <c r="K408" s="1585"/>
      <c r="L408" s="1570"/>
      <c r="M408" s="1585"/>
      <c r="N408" s="1578" t="s">
        <v>2218</v>
      </c>
    </row>
    <row r="409" spans="1:14" s="1586" customFormat="1" ht="16.5" customHeight="1">
      <c r="A409" s="1570"/>
      <c r="B409" s="1585" t="s">
        <v>3564</v>
      </c>
      <c r="C409" s="1571">
        <v>1</v>
      </c>
      <c r="D409" s="1587" t="s">
        <v>273</v>
      </c>
      <c r="E409" s="1588">
        <v>1</v>
      </c>
      <c r="F409" s="1589">
        <v>9.83</v>
      </c>
      <c r="G409" s="1589">
        <v>0.23</v>
      </c>
      <c r="H409" s="1589">
        <v>0.3</v>
      </c>
      <c r="I409" s="1590">
        <f t="shared" ref="I409:I425" si="51">ROUND(IF(AND(F409:H409),C409*E409*F409*G409*H409,IF(AND(F409,G409),C409*E409*F409*G409,IF(AND(F409,H409),C409*E409*F409*H409,IF(AND(G409,H409),C409*E409*G409*H409,IF(F409,C409*E409*F409,IF(G409,C409*E409*G409,IF(H409,C409*E409*H409,C409*E409))))))),2)</f>
        <v>0.68</v>
      </c>
      <c r="J409" s="1598" t="s">
        <v>5</v>
      </c>
      <c r="K409" s="1585"/>
      <c r="L409" s="1570"/>
      <c r="M409" s="1585"/>
      <c r="N409" s="1578" t="s">
        <v>2218</v>
      </c>
    </row>
    <row r="410" spans="1:14" s="1586" customFormat="1" ht="16.5" customHeight="1">
      <c r="A410" s="1570"/>
      <c r="B410" s="1585" t="s">
        <v>3565</v>
      </c>
      <c r="C410" s="1571">
        <v>1</v>
      </c>
      <c r="D410" s="1587" t="s">
        <v>273</v>
      </c>
      <c r="E410" s="1588">
        <v>1</v>
      </c>
      <c r="F410" s="1589">
        <v>9.83</v>
      </c>
      <c r="G410" s="1589">
        <v>0.23</v>
      </c>
      <c r="H410" s="1589">
        <v>0.3</v>
      </c>
      <c r="I410" s="1590">
        <f t="shared" si="51"/>
        <v>0.68</v>
      </c>
      <c r="J410" s="1598" t="s">
        <v>5</v>
      </c>
      <c r="K410" s="1585"/>
      <c r="L410" s="1570"/>
      <c r="M410" s="1585"/>
      <c r="N410" s="1578" t="s">
        <v>2218</v>
      </c>
    </row>
    <row r="411" spans="1:14" s="1586" customFormat="1" ht="16.5" customHeight="1">
      <c r="A411" s="1570"/>
      <c r="B411" s="1585" t="s">
        <v>3566</v>
      </c>
      <c r="C411" s="1571">
        <v>1</v>
      </c>
      <c r="D411" s="1587" t="s">
        <v>273</v>
      </c>
      <c r="E411" s="1588">
        <v>1</v>
      </c>
      <c r="F411" s="1589">
        <v>9.83</v>
      </c>
      <c r="G411" s="1589">
        <v>0.23</v>
      </c>
      <c r="H411" s="1589">
        <v>0.3</v>
      </c>
      <c r="I411" s="1590">
        <f t="shared" si="51"/>
        <v>0.68</v>
      </c>
      <c r="J411" s="1598" t="s">
        <v>5</v>
      </c>
      <c r="K411" s="1585"/>
      <c r="L411" s="1570"/>
      <c r="M411" s="1585"/>
      <c r="N411" s="1578" t="s">
        <v>2218</v>
      </c>
    </row>
    <row r="412" spans="1:14" s="1586" customFormat="1" ht="16.5" customHeight="1">
      <c r="A412" s="1570"/>
      <c r="B412" s="1585" t="s">
        <v>3567</v>
      </c>
      <c r="C412" s="1571">
        <v>1</v>
      </c>
      <c r="D412" s="1587" t="s">
        <v>273</v>
      </c>
      <c r="E412" s="1588">
        <v>1</v>
      </c>
      <c r="F412" s="1589">
        <v>2.93</v>
      </c>
      <c r="G412" s="1589">
        <v>0.23</v>
      </c>
      <c r="H412" s="1589">
        <v>0.3</v>
      </c>
      <c r="I412" s="1590">
        <f t="shared" si="51"/>
        <v>0.2</v>
      </c>
      <c r="J412" s="1598" t="s">
        <v>5</v>
      </c>
      <c r="K412" s="1585"/>
      <c r="L412" s="1570"/>
      <c r="M412" s="1585"/>
      <c r="N412" s="1578" t="s">
        <v>2218</v>
      </c>
    </row>
    <row r="413" spans="1:14" s="1586" customFormat="1" ht="16.5" customHeight="1">
      <c r="A413" s="1570"/>
      <c r="B413" s="1585" t="s">
        <v>3568</v>
      </c>
      <c r="C413" s="1571">
        <v>1</v>
      </c>
      <c r="D413" s="1587" t="s">
        <v>273</v>
      </c>
      <c r="E413" s="1588">
        <v>1</v>
      </c>
      <c r="F413" s="1589">
        <v>2.93</v>
      </c>
      <c r="G413" s="1589">
        <v>0.23</v>
      </c>
      <c r="H413" s="1589">
        <v>0.3</v>
      </c>
      <c r="I413" s="1590">
        <f t="shared" si="51"/>
        <v>0.2</v>
      </c>
      <c r="J413" s="1598" t="s">
        <v>5</v>
      </c>
      <c r="K413" s="1585"/>
      <c r="L413" s="1570"/>
      <c r="M413" s="1585"/>
      <c r="N413" s="1578" t="s">
        <v>2218</v>
      </c>
    </row>
    <row r="414" spans="1:14" s="1586" customFormat="1" ht="16.5" customHeight="1">
      <c r="A414" s="1570"/>
      <c r="B414" s="1585" t="s">
        <v>3356</v>
      </c>
      <c r="C414" s="1571">
        <v>1</v>
      </c>
      <c r="D414" s="1587" t="s">
        <v>273</v>
      </c>
      <c r="E414" s="1588">
        <v>1</v>
      </c>
      <c r="F414" s="1589">
        <v>3.03</v>
      </c>
      <c r="G414" s="1589">
        <v>0.23</v>
      </c>
      <c r="H414" s="1589">
        <v>0.3</v>
      </c>
      <c r="I414" s="1590">
        <f t="shared" si="51"/>
        <v>0.21</v>
      </c>
      <c r="J414" s="1598" t="s">
        <v>5</v>
      </c>
      <c r="K414" s="1585"/>
      <c r="L414" s="1570"/>
      <c r="M414" s="1585"/>
      <c r="N414" s="1578" t="s">
        <v>2218</v>
      </c>
    </row>
    <row r="415" spans="1:14" s="1586" customFormat="1" ht="16.5" customHeight="1">
      <c r="A415" s="1570"/>
      <c r="B415" s="1585" t="s">
        <v>3569</v>
      </c>
      <c r="C415" s="1571">
        <v>1</v>
      </c>
      <c r="D415" s="1587" t="s">
        <v>273</v>
      </c>
      <c r="E415" s="1588">
        <v>1</v>
      </c>
      <c r="F415" s="1589">
        <v>10.130000000000001</v>
      </c>
      <c r="G415" s="1589">
        <v>0.23</v>
      </c>
      <c r="H415" s="1589">
        <v>0.38</v>
      </c>
      <c r="I415" s="1590">
        <f t="shared" si="51"/>
        <v>0.89</v>
      </c>
      <c r="J415" s="1598" t="s">
        <v>5</v>
      </c>
      <c r="K415" s="1585"/>
      <c r="L415" s="1570"/>
      <c r="M415" s="1585"/>
      <c r="N415" s="1578" t="s">
        <v>2218</v>
      </c>
    </row>
    <row r="416" spans="1:14" s="1586" customFormat="1" ht="16.5" customHeight="1">
      <c r="A416" s="1570"/>
      <c r="B416" s="1585"/>
      <c r="C416" s="1571">
        <v>1</v>
      </c>
      <c r="D416" s="1587" t="s">
        <v>273</v>
      </c>
      <c r="E416" s="1588">
        <v>1</v>
      </c>
      <c r="F416" s="1589">
        <v>1.07</v>
      </c>
      <c r="G416" s="1589">
        <v>0.23</v>
      </c>
      <c r="H416" s="1589">
        <v>0.3</v>
      </c>
      <c r="I416" s="1590">
        <f t="shared" si="51"/>
        <v>7.0000000000000007E-2</v>
      </c>
      <c r="J416" s="1598" t="s">
        <v>5</v>
      </c>
      <c r="K416" s="1585"/>
      <c r="L416" s="1570"/>
      <c r="M416" s="1585"/>
      <c r="N416" s="1578" t="s">
        <v>2218</v>
      </c>
    </row>
    <row r="417" spans="1:14" s="1586" customFormat="1" ht="16.5" customHeight="1">
      <c r="A417" s="1570"/>
      <c r="B417" s="1585" t="s">
        <v>3560</v>
      </c>
      <c r="C417" s="1571">
        <v>1</v>
      </c>
      <c r="D417" s="1587" t="s">
        <v>273</v>
      </c>
      <c r="E417" s="1588">
        <v>1</v>
      </c>
      <c r="F417" s="1589">
        <v>0.23</v>
      </c>
      <c r="G417" s="1589">
        <v>0.23</v>
      </c>
      <c r="H417" s="1589">
        <v>0.3</v>
      </c>
      <c r="I417" s="1590">
        <f>-ROUND(IF(AND(F417:H417),C417*E417*F417*G417*H417,IF(AND(F417,G417),C417*E417*F417*G417,IF(AND(F417,H417),C417*E417*F417*H417,IF(AND(G417,H417),C417*E417*G417*H417,IF(F417,C417*E417*F417,IF(G417,C417*E417*G417,IF(H417,C417*E417*H417,C417*E417))))))),2)</f>
        <v>-0.02</v>
      </c>
      <c r="J417" s="1598" t="s">
        <v>5</v>
      </c>
      <c r="K417" s="1585"/>
      <c r="L417" s="1570"/>
      <c r="M417" s="1585"/>
      <c r="N417" s="1578" t="s">
        <v>2218</v>
      </c>
    </row>
    <row r="418" spans="1:14" s="1586" customFormat="1" ht="16.5" customHeight="1">
      <c r="A418" s="1570"/>
      <c r="B418" s="1585" t="s">
        <v>3570</v>
      </c>
      <c r="C418" s="1571">
        <v>1</v>
      </c>
      <c r="D418" s="1587" t="s">
        <v>273</v>
      </c>
      <c r="E418" s="1588">
        <v>1</v>
      </c>
      <c r="F418" s="1589">
        <v>4.1500000000000004</v>
      </c>
      <c r="G418" s="1589">
        <v>0.23</v>
      </c>
      <c r="H418" s="1589">
        <v>0.3</v>
      </c>
      <c r="I418" s="1590">
        <f t="shared" si="51"/>
        <v>0.28999999999999998</v>
      </c>
      <c r="J418" s="1598" t="s">
        <v>5</v>
      </c>
      <c r="K418" s="1585"/>
      <c r="L418" s="1570"/>
      <c r="M418" s="1585"/>
      <c r="N418" s="1578" t="s">
        <v>2218</v>
      </c>
    </row>
    <row r="419" spans="1:14" s="1586" customFormat="1" ht="16.5" customHeight="1">
      <c r="A419" s="1570"/>
      <c r="B419" s="1585"/>
      <c r="C419" s="1571">
        <v>1</v>
      </c>
      <c r="D419" s="1587" t="s">
        <v>273</v>
      </c>
      <c r="E419" s="1588">
        <v>1</v>
      </c>
      <c r="F419" s="1589">
        <v>5.75</v>
      </c>
      <c r="G419" s="1589">
        <v>0.23</v>
      </c>
      <c r="H419" s="1589">
        <v>0.38</v>
      </c>
      <c r="I419" s="1590">
        <f t="shared" si="51"/>
        <v>0.5</v>
      </c>
      <c r="J419" s="1598" t="s">
        <v>5</v>
      </c>
      <c r="K419" s="1585"/>
      <c r="L419" s="1570"/>
      <c r="M419" s="1585"/>
      <c r="N419" s="1578" t="s">
        <v>2218</v>
      </c>
    </row>
    <row r="420" spans="1:14" s="1586" customFormat="1" ht="16.5" customHeight="1">
      <c r="A420" s="1570"/>
      <c r="B420" s="1585" t="s">
        <v>3571</v>
      </c>
      <c r="C420" s="1571">
        <v>1</v>
      </c>
      <c r="D420" s="1587" t="s">
        <v>273</v>
      </c>
      <c r="E420" s="1588">
        <v>1</v>
      </c>
      <c r="F420" s="1589">
        <v>2</v>
      </c>
      <c r="G420" s="1589">
        <v>0.23</v>
      </c>
      <c r="H420" s="1589">
        <v>0.3</v>
      </c>
      <c r="I420" s="1590">
        <f t="shared" si="51"/>
        <v>0.14000000000000001</v>
      </c>
      <c r="J420" s="1598" t="s">
        <v>5</v>
      </c>
      <c r="K420" s="1585"/>
      <c r="L420" s="1570"/>
      <c r="M420" s="1585"/>
      <c r="N420" s="1578" t="s">
        <v>2218</v>
      </c>
    </row>
    <row r="421" spans="1:14" s="1586" customFormat="1" ht="16.5" customHeight="1">
      <c r="A421" s="1570"/>
      <c r="B421" s="1585" t="s">
        <v>3572</v>
      </c>
      <c r="C421" s="1571">
        <v>1</v>
      </c>
      <c r="D421" s="1587" t="s">
        <v>273</v>
      </c>
      <c r="E421" s="1588">
        <v>1</v>
      </c>
      <c r="F421" s="1589">
        <v>4.1500000000000004</v>
      </c>
      <c r="G421" s="1589">
        <v>0.23</v>
      </c>
      <c r="H421" s="1589">
        <v>0.3</v>
      </c>
      <c r="I421" s="1590">
        <f t="shared" si="51"/>
        <v>0.28999999999999998</v>
      </c>
      <c r="J421" s="1598" t="s">
        <v>5</v>
      </c>
      <c r="K421" s="1585"/>
      <c r="L421" s="1570"/>
      <c r="M421" s="1585"/>
      <c r="N421" s="1578" t="s">
        <v>2218</v>
      </c>
    </row>
    <row r="422" spans="1:14" s="1586" customFormat="1" ht="16.5" customHeight="1">
      <c r="A422" s="1570"/>
      <c r="B422" s="1585"/>
      <c r="C422" s="1571">
        <v>1</v>
      </c>
      <c r="D422" s="1587" t="s">
        <v>273</v>
      </c>
      <c r="E422" s="1588">
        <v>1</v>
      </c>
      <c r="F422" s="1589">
        <v>5.75</v>
      </c>
      <c r="G422" s="1589">
        <v>0.23</v>
      </c>
      <c r="H422" s="1589">
        <v>0.38</v>
      </c>
      <c r="I422" s="1590">
        <f t="shared" si="51"/>
        <v>0.5</v>
      </c>
      <c r="J422" s="1598" t="s">
        <v>5</v>
      </c>
      <c r="K422" s="1585"/>
      <c r="L422" s="1570"/>
      <c r="M422" s="1585"/>
      <c r="N422" s="1578" t="s">
        <v>2218</v>
      </c>
    </row>
    <row r="423" spans="1:14" s="1586" customFormat="1" ht="16.5" customHeight="1">
      <c r="A423" s="1570"/>
      <c r="B423" s="1585" t="s">
        <v>3571</v>
      </c>
      <c r="C423" s="1571">
        <v>1</v>
      </c>
      <c r="D423" s="1587" t="s">
        <v>273</v>
      </c>
      <c r="E423" s="1588">
        <v>1</v>
      </c>
      <c r="F423" s="1589">
        <v>2</v>
      </c>
      <c r="G423" s="1589">
        <v>0.23</v>
      </c>
      <c r="H423" s="1589">
        <v>0.3</v>
      </c>
      <c r="I423" s="1590">
        <f t="shared" si="51"/>
        <v>0.14000000000000001</v>
      </c>
      <c r="J423" s="1598" t="s">
        <v>5</v>
      </c>
      <c r="K423" s="1585"/>
      <c r="L423" s="1570"/>
      <c r="M423" s="1585"/>
      <c r="N423" s="1578" t="s">
        <v>2218</v>
      </c>
    </row>
    <row r="424" spans="1:14" s="1586" customFormat="1" ht="16.5" customHeight="1">
      <c r="A424" s="1570"/>
      <c r="B424" s="1585" t="s">
        <v>3573</v>
      </c>
      <c r="C424" s="1571">
        <v>1</v>
      </c>
      <c r="D424" s="1587" t="s">
        <v>273</v>
      </c>
      <c r="E424" s="1588">
        <v>1</v>
      </c>
      <c r="F424" s="1589">
        <v>10.130000000000001</v>
      </c>
      <c r="G424" s="1589">
        <v>0.23</v>
      </c>
      <c r="H424" s="1589">
        <v>0.3</v>
      </c>
      <c r="I424" s="1590">
        <f t="shared" si="51"/>
        <v>0.7</v>
      </c>
      <c r="J424" s="1598" t="s">
        <v>5</v>
      </c>
      <c r="K424" s="1585"/>
      <c r="L424" s="1570"/>
      <c r="M424" s="1585"/>
      <c r="N424" s="1578" t="s">
        <v>2218</v>
      </c>
    </row>
    <row r="425" spans="1:14" s="1586" customFormat="1" ht="16.5" customHeight="1">
      <c r="A425" s="1570"/>
      <c r="B425" s="1585"/>
      <c r="C425" s="1571">
        <v>1</v>
      </c>
      <c r="D425" s="1587" t="s">
        <v>273</v>
      </c>
      <c r="E425" s="1588">
        <v>1</v>
      </c>
      <c r="F425" s="1589">
        <v>1.07</v>
      </c>
      <c r="G425" s="1589">
        <v>0.23</v>
      </c>
      <c r="H425" s="1589">
        <v>0.3</v>
      </c>
      <c r="I425" s="1590">
        <f t="shared" si="51"/>
        <v>7.0000000000000007E-2</v>
      </c>
      <c r="J425" s="1598" t="s">
        <v>5</v>
      </c>
      <c r="K425" s="1585"/>
      <c r="L425" s="1570"/>
      <c r="M425" s="1585"/>
      <c r="N425" s="1578" t="s">
        <v>2218</v>
      </c>
    </row>
    <row r="426" spans="1:14" s="1586" customFormat="1" ht="16.5" customHeight="1">
      <c r="A426" s="1570"/>
      <c r="B426" s="1585" t="s">
        <v>3574</v>
      </c>
      <c r="C426" s="1571">
        <v>1</v>
      </c>
      <c r="D426" s="1587" t="s">
        <v>273</v>
      </c>
      <c r="E426" s="1588">
        <v>1</v>
      </c>
      <c r="F426" s="1589">
        <v>0.23</v>
      </c>
      <c r="G426" s="1589">
        <v>0.23</v>
      </c>
      <c r="H426" s="1589">
        <v>0.3</v>
      </c>
      <c r="I426" s="1590">
        <f>-ROUND(IF(AND(F426:H426),C426*E426*F426*G426*H426,IF(AND(F426,G426),C426*E426*F426*G426,IF(AND(F426,H426),C426*E426*F426*H426,IF(AND(G426,H426),C426*E426*G426*H426,IF(F426,C426*E426*F426,IF(G426,C426*E426*G426,IF(H426,C426*E426*H426,C426*E426))))))),2)</f>
        <v>-0.02</v>
      </c>
      <c r="J426" s="1598" t="s">
        <v>5</v>
      </c>
      <c r="K426" s="1585"/>
      <c r="L426" s="1570"/>
      <c r="M426" s="1585"/>
      <c r="N426" s="1578" t="s">
        <v>2218</v>
      </c>
    </row>
    <row r="427" spans="1:14" s="1586" customFormat="1" ht="16.5" customHeight="1">
      <c r="A427" s="1570"/>
      <c r="B427" s="1600"/>
      <c r="C427" s="1601"/>
      <c r="D427" s="1602"/>
      <c r="E427" s="1603"/>
      <c r="F427" s="1604"/>
      <c r="G427" s="1604"/>
      <c r="H427" s="1604"/>
      <c r="I427" s="1605"/>
      <c r="J427" s="1598"/>
      <c r="K427" s="1585"/>
      <c r="L427" s="1573"/>
      <c r="M427" s="1585"/>
      <c r="N427" s="1578" t="s">
        <v>2218</v>
      </c>
    </row>
    <row r="428" spans="1:14" s="1575" customFormat="1" ht="15.75">
      <c r="A428" s="1570"/>
      <c r="B428" s="1585"/>
      <c r="C428" s="1606"/>
      <c r="D428" s="1587"/>
      <c r="E428" s="1588"/>
      <c r="F428" s="1589"/>
      <c r="G428" s="1607"/>
      <c r="H428" s="1570"/>
      <c r="I428" s="1605">
        <f>SUM(I409:I427)</f>
        <v>6.2000000000000011</v>
      </c>
      <c r="J428" s="1598" t="s">
        <v>5</v>
      </c>
      <c r="K428" s="1608">
        <f>data!E182</f>
        <v>8954.36</v>
      </c>
      <c r="L428" s="1573" t="s">
        <v>2218</v>
      </c>
      <c r="M428" s="1609">
        <f>ROUND(I428*K428,0)</f>
        <v>55517</v>
      </c>
      <c r="N428" s="1578" t="s">
        <v>2218</v>
      </c>
    </row>
    <row r="429" spans="1:14" ht="17.25" hidden="1" customHeight="1">
      <c r="A429" s="1156">
        <v>14</v>
      </c>
      <c r="B429" s="1826" t="s">
        <v>303</v>
      </c>
      <c r="C429" s="1826"/>
      <c r="D429" s="1828"/>
      <c r="E429" s="1826"/>
      <c r="F429" s="1826"/>
      <c r="G429" s="1826"/>
      <c r="H429" s="1826"/>
      <c r="I429" s="1157"/>
      <c r="J429" s="1158"/>
      <c r="K429" s="1156"/>
      <c r="L429" s="1159"/>
      <c r="M429" s="1160"/>
      <c r="N429" s="1161" t="s">
        <v>2306</v>
      </c>
    </row>
    <row r="430" spans="1:14" s="1170" customFormat="1" ht="16.5" hidden="1" customHeight="1">
      <c r="A430" s="1156"/>
      <c r="B430" s="1169" t="s">
        <v>3479</v>
      </c>
      <c r="C430" s="1157"/>
      <c r="D430" s="1328" t="s">
        <v>3528</v>
      </c>
      <c r="E430" s="1165"/>
      <c r="F430" s="1166"/>
      <c r="G430" s="1166"/>
      <c r="H430" s="1166"/>
      <c r="I430" s="1167"/>
      <c r="J430" s="1342"/>
      <c r="K430" s="1169"/>
      <c r="L430" s="1156"/>
      <c r="M430" s="1169"/>
      <c r="N430" s="1161" t="s">
        <v>2306</v>
      </c>
    </row>
    <row r="431" spans="1:14" s="1170" customFormat="1" ht="16.5" hidden="1" customHeight="1">
      <c r="A431" s="1156"/>
      <c r="B431" s="1169" t="s">
        <v>3387</v>
      </c>
      <c r="C431" s="1157">
        <v>1</v>
      </c>
      <c r="D431" s="1171" t="s">
        <v>273</v>
      </c>
      <c r="E431" s="1165">
        <v>3</v>
      </c>
      <c r="F431" s="1166">
        <v>9.3699999999999992</v>
      </c>
      <c r="G431" s="1166">
        <v>0.23</v>
      </c>
      <c r="H431" s="1166">
        <v>0.3</v>
      </c>
      <c r="I431" s="1172">
        <f t="shared" ref="I431" si="52">ROUND(IF(AND(F431:H431),C431*E431*F431*G431*H431,IF(AND(F431,G431),C431*E431*F431*G431,IF(AND(F431,H431),C431*E431*F431*H431,IF(AND(G431,H431),C431*E431*G431*H431,IF(F431,C431*E431*F431,IF(G431,C431*E431*G431,IF(H431,C431*E431*H431,C431*E431))))))),2)</f>
        <v>1.94</v>
      </c>
      <c r="J431" s="1330" t="s">
        <v>5</v>
      </c>
      <c r="K431" s="1169"/>
      <c r="L431" s="1156"/>
      <c r="M431" s="1169"/>
      <c r="N431" s="1161" t="s">
        <v>2306</v>
      </c>
    </row>
    <row r="432" spans="1:14" s="1170" customFormat="1" ht="16.5" hidden="1" customHeight="1">
      <c r="A432" s="1156"/>
      <c r="B432" s="1169" t="s">
        <v>3388</v>
      </c>
      <c r="C432" s="1157">
        <v>1</v>
      </c>
      <c r="D432" s="1171" t="s">
        <v>273</v>
      </c>
      <c r="E432" s="1165">
        <v>2</v>
      </c>
      <c r="F432" s="1166">
        <v>2.93</v>
      </c>
      <c r="G432" s="1166">
        <v>0.23</v>
      </c>
      <c r="H432" s="1166">
        <v>0.3</v>
      </c>
      <c r="I432" s="1172">
        <f t="shared" ref="I432:I436" si="53">ROUND(IF(AND(F432:H432),C432*E432*F432*G432*H432,IF(AND(F432,G432),C432*E432*F432*G432,IF(AND(F432,H432),C432*E432*F432*H432,IF(AND(G432,H432),C432*E432*G432*H432,IF(F432,C432*E432*F432,IF(G432,C432*E432*G432,IF(H432,C432*E432*H432,C432*E432))))))),2)</f>
        <v>0.4</v>
      </c>
      <c r="J432" s="1330" t="s">
        <v>5</v>
      </c>
      <c r="K432" s="1169"/>
      <c r="L432" s="1156"/>
      <c r="M432" s="1169"/>
      <c r="N432" s="1161" t="s">
        <v>2306</v>
      </c>
    </row>
    <row r="433" spans="1:14" s="1170" customFormat="1" ht="16.5" hidden="1" customHeight="1">
      <c r="A433" s="1156"/>
      <c r="B433" s="1169" t="s">
        <v>3356</v>
      </c>
      <c r="C433" s="1157">
        <v>1</v>
      </c>
      <c r="D433" s="1171" t="s">
        <v>273</v>
      </c>
      <c r="E433" s="1165">
        <v>1</v>
      </c>
      <c r="F433" s="1166">
        <v>3.05</v>
      </c>
      <c r="G433" s="1166">
        <v>0.23</v>
      </c>
      <c r="H433" s="1166">
        <v>0.3</v>
      </c>
      <c r="I433" s="1172">
        <f t="shared" si="53"/>
        <v>0.21</v>
      </c>
      <c r="J433" s="1330" t="s">
        <v>5</v>
      </c>
      <c r="K433" s="1169"/>
      <c r="L433" s="1156"/>
      <c r="M433" s="1169"/>
      <c r="N433" s="1161" t="s">
        <v>2306</v>
      </c>
    </row>
    <row r="434" spans="1:14" s="1170" customFormat="1" ht="16.5" hidden="1" customHeight="1">
      <c r="A434" s="1156"/>
      <c r="B434" s="1169" t="s">
        <v>3389</v>
      </c>
      <c r="C434" s="1157">
        <v>1</v>
      </c>
      <c r="D434" s="1171" t="s">
        <v>273</v>
      </c>
      <c r="E434" s="1165">
        <v>2</v>
      </c>
      <c r="F434" s="1166">
        <v>11.66</v>
      </c>
      <c r="G434" s="1166">
        <v>0.23</v>
      </c>
      <c r="H434" s="1166">
        <v>0.3</v>
      </c>
      <c r="I434" s="1172">
        <f t="shared" si="53"/>
        <v>1.61</v>
      </c>
      <c r="J434" s="1330" t="s">
        <v>5</v>
      </c>
      <c r="K434" s="1169"/>
      <c r="L434" s="1156"/>
      <c r="M434" s="1169"/>
      <c r="N434" s="1161" t="s">
        <v>2306</v>
      </c>
    </row>
    <row r="435" spans="1:14" s="1170" customFormat="1" ht="16.5" hidden="1" customHeight="1">
      <c r="A435" s="1156"/>
      <c r="B435" s="1169" t="s">
        <v>3390</v>
      </c>
      <c r="C435" s="1157">
        <v>1</v>
      </c>
      <c r="D435" s="1171" t="s">
        <v>273</v>
      </c>
      <c r="E435" s="1165">
        <v>2</v>
      </c>
      <c r="F435" s="1166">
        <v>6.23</v>
      </c>
      <c r="G435" s="1166">
        <v>0.23</v>
      </c>
      <c r="H435" s="1166">
        <v>0.3</v>
      </c>
      <c r="I435" s="1172">
        <f t="shared" si="53"/>
        <v>0.86</v>
      </c>
      <c r="J435" s="1330" t="s">
        <v>5</v>
      </c>
      <c r="K435" s="1169"/>
      <c r="L435" s="1156"/>
      <c r="M435" s="1169"/>
      <c r="N435" s="1161" t="s">
        <v>2306</v>
      </c>
    </row>
    <row r="436" spans="1:14" s="1170" customFormat="1" ht="16.5" hidden="1" customHeight="1">
      <c r="A436" s="1156"/>
      <c r="B436" s="1169"/>
      <c r="C436" s="1157">
        <v>1</v>
      </c>
      <c r="D436" s="1171" t="s">
        <v>273</v>
      </c>
      <c r="E436" s="1165">
        <v>2</v>
      </c>
      <c r="F436" s="1166">
        <v>6.36</v>
      </c>
      <c r="G436" s="1166">
        <v>0.23</v>
      </c>
      <c r="H436" s="1166">
        <v>0.38</v>
      </c>
      <c r="I436" s="1172">
        <f t="shared" si="53"/>
        <v>1.1100000000000001</v>
      </c>
      <c r="J436" s="1330" t="s">
        <v>5</v>
      </c>
      <c r="K436" s="1169"/>
      <c r="L436" s="1156"/>
      <c r="M436" s="1169"/>
      <c r="N436" s="1161" t="s">
        <v>2306</v>
      </c>
    </row>
    <row r="437" spans="1:14" s="1170" customFormat="1" ht="16.5" hidden="1" customHeight="1">
      <c r="A437" s="1156"/>
      <c r="B437" s="1169" t="s">
        <v>3386</v>
      </c>
      <c r="C437" s="1157">
        <v>2</v>
      </c>
      <c r="D437" s="1171" t="s">
        <v>273</v>
      </c>
      <c r="E437" s="1165">
        <v>2</v>
      </c>
      <c r="F437" s="1166">
        <v>0.23</v>
      </c>
      <c r="G437" s="1166">
        <v>0.23</v>
      </c>
      <c r="H437" s="1166">
        <v>0.38</v>
      </c>
      <c r="I437" s="1172">
        <f>-ROUND(IF(AND(F437:H437),C437*E437*F437*G437*H437,IF(AND(F437,G437),C437*E437*F437*G437,IF(AND(F437,H437),C437*E437*F437*H437,IF(AND(G437,H437),C437*E437*G437*H437,IF(F437,C437*E437*F437,IF(G437,C437*E437*G437,IF(H437,C437*E437*H437,C437*E437))))))),2)</f>
        <v>-0.08</v>
      </c>
      <c r="J437" s="1330" t="s">
        <v>5</v>
      </c>
      <c r="K437" s="1169"/>
      <c r="L437" s="1156"/>
      <c r="M437" s="1169"/>
      <c r="N437" s="1161" t="s">
        <v>2306</v>
      </c>
    </row>
    <row r="438" spans="1:14" s="1170" customFormat="1" ht="16.5" hidden="1" customHeight="1">
      <c r="A438" s="1156"/>
      <c r="B438" s="1169"/>
      <c r="C438" s="1157">
        <v>1</v>
      </c>
      <c r="D438" s="1171" t="s">
        <v>273</v>
      </c>
      <c r="E438" s="1165">
        <v>2</v>
      </c>
      <c r="F438" s="1166">
        <v>0.23</v>
      </c>
      <c r="G438" s="1166">
        <v>0.23</v>
      </c>
      <c r="H438" s="1166">
        <v>0.3</v>
      </c>
      <c r="I438" s="1172">
        <f>-ROUND(IF(AND(F438:H438),C438*E438*F438*G438*H438,IF(AND(F438,G438),C438*E438*F438*G438,IF(AND(F438,H438),C438*E438*F438*H438,IF(AND(G438,H438),C438*E438*G438*H438,IF(F438,C438*E438*F438,IF(G438,C438*E438*G438,IF(H438,C438*E438*H438,C438*E438))))))),2)</f>
        <v>-0.03</v>
      </c>
      <c r="J438" s="1330" t="s">
        <v>5</v>
      </c>
      <c r="K438" s="1169"/>
      <c r="L438" s="1156"/>
      <c r="M438" s="1169"/>
      <c r="N438" s="1161" t="s">
        <v>2306</v>
      </c>
    </row>
    <row r="439" spans="1:14" s="1170" customFormat="1" ht="16.5" hidden="1" customHeight="1">
      <c r="A439" s="1156"/>
      <c r="B439" s="1331"/>
      <c r="C439" s="1332"/>
      <c r="D439" s="1333"/>
      <c r="E439" s="1334"/>
      <c r="F439" s="1335"/>
      <c r="G439" s="1335"/>
      <c r="H439" s="1335"/>
      <c r="I439" s="1336"/>
      <c r="J439" s="1168"/>
      <c r="K439" s="1169"/>
      <c r="L439" s="1159"/>
      <c r="M439" s="1169"/>
      <c r="N439" s="1161" t="s">
        <v>2306</v>
      </c>
    </row>
    <row r="440" spans="1:14" ht="15.75" hidden="1">
      <c r="A440" s="1156"/>
      <c r="B440" s="1169"/>
      <c r="C440" s="1337"/>
      <c r="D440" s="1171"/>
      <c r="E440" s="1165"/>
      <c r="F440" s="1166"/>
      <c r="G440" s="1343"/>
      <c r="H440" s="1156"/>
      <c r="I440" s="1336"/>
      <c r="J440" s="1168" t="s">
        <v>5</v>
      </c>
      <c r="K440" s="1221">
        <f>data!E1098</f>
        <v>9169.52</v>
      </c>
      <c r="L440" s="1159" t="s">
        <v>2306</v>
      </c>
      <c r="M440" s="1224">
        <f>ROUND(I440*K440,0)</f>
        <v>0</v>
      </c>
      <c r="N440" s="1161" t="s">
        <v>2306</v>
      </c>
    </row>
    <row r="441" spans="1:14" ht="17.25" hidden="1" customHeight="1">
      <c r="A441" s="1156">
        <v>9</v>
      </c>
      <c r="B441" s="1826" t="s">
        <v>303</v>
      </c>
      <c r="C441" s="1826"/>
      <c r="D441" s="1826"/>
      <c r="E441" s="1826"/>
      <c r="F441" s="1826"/>
      <c r="G441" s="1826"/>
      <c r="H441" s="1826"/>
      <c r="I441" s="1157"/>
      <c r="J441" s="1158"/>
      <c r="K441" s="1156"/>
      <c r="L441" s="1159"/>
      <c r="M441" s="1160"/>
      <c r="N441" s="1161" t="s">
        <v>2317</v>
      </c>
    </row>
    <row r="442" spans="1:14" s="1170" customFormat="1" ht="16.5" hidden="1" customHeight="1">
      <c r="A442" s="1156"/>
      <c r="B442" s="1169" t="s">
        <v>3092</v>
      </c>
      <c r="C442" s="1157"/>
      <c r="D442" s="1171"/>
      <c r="E442" s="1165"/>
      <c r="F442" s="1166"/>
      <c r="G442" s="1166"/>
      <c r="H442" s="1166"/>
      <c r="I442" s="1167"/>
      <c r="J442" s="1342"/>
      <c r="K442" s="1169"/>
      <c r="L442" s="1156"/>
      <c r="M442" s="1169"/>
      <c r="N442" s="1161" t="s">
        <v>2317</v>
      </c>
    </row>
    <row r="443" spans="1:14" s="1170" customFormat="1" ht="16.5" hidden="1" customHeight="1">
      <c r="A443" s="1156"/>
      <c r="B443" s="1169"/>
      <c r="C443" s="1157">
        <v>1</v>
      </c>
      <c r="D443" s="1171" t="s">
        <v>273</v>
      </c>
      <c r="E443" s="1165">
        <v>1</v>
      </c>
      <c r="F443" s="1166">
        <v>3.2749999999999999</v>
      </c>
      <c r="G443" s="1166">
        <v>0.23</v>
      </c>
      <c r="H443" s="1166">
        <v>0.3</v>
      </c>
      <c r="I443" s="1172">
        <f t="shared" ref="I443:I464" si="54">ROUND(IF(AND(F443:H443),C443*E443*F443*G443*H443,IF(AND(F443,G443),C443*E443*F443*G443,IF(AND(F443,H443),C443*E443*F443*H443,IF(AND(G443,H443),C443*E443*G443*H443,IF(F443,C443*E443*F443,IF(G443,C443*E443*G443,IF(H443,C443*E443*H443,C443*E443))))))),2)</f>
        <v>0.23</v>
      </c>
      <c r="J443" s="1330" t="s">
        <v>5</v>
      </c>
      <c r="K443" s="1169"/>
      <c r="L443" s="1156"/>
      <c r="M443" s="1169"/>
      <c r="N443" s="1161" t="s">
        <v>2317</v>
      </c>
    </row>
    <row r="444" spans="1:14" s="1170" customFormat="1" ht="16.5" hidden="1" customHeight="1">
      <c r="A444" s="1156"/>
      <c r="B444" s="1169"/>
      <c r="C444" s="1157">
        <v>1</v>
      </c>
      <c r="D444" s="1171" t="s">
        <v>273</v>
      </c>
      <c r="E444" s="1165">
        <v>1</v>
      </c>
      <c r="F444" s="1166">
        <v>5.45</v>
      </c>
      <c r="G444" s="1166">
        <v>0.23</v>
      </c>
      <c r="H444" s="1166">
        <v>0.38</v>
      </c>
      <c r="I444" s="1172">
        <f t="shared" si="54"/>
        <v>0.48</v>
      </c>
      <c r="J444" s="1330" t="s">
        <v>5</v>
      </c>
      <c r="K444" s="1169"/>
      <c r="L444" s="1156"/>
      <c r="M444" s="1169"/>
      <c r="N444" s="1161" t="s">
        <v>2317</v>
      </c>
    </row>
    <row r="445" spans="1:14" s="1170" customFormat="1" ht="16.5" hidden="1" customHeight="1">
      <c r="A445" s="1156"/>
      <c r="B445" s="1169"/>
      <c r="C445" s="1157">
        <v>1</v>
      </c>
      <c r="D445" s="1171" t="s">
        <v>273</v>
      </c>
      <c r="E445" s="1165">
        <v>1</v>
      </c>
      <c r="F445" s="1166">
        <v>3.2749999999999999</v>
      </c>
      <c r="G445" s="1166">
        <v>0.23</v>
      </c>
      <c r="H445" s="1166">
        <v>0.3</v>
      </c>
      <c r="I445" s="1172">
        <f t="shared" si="54"/>
        <v>0.23</v>
      </c>
      <c r="J445" s="1330" t="s">
        <v>5</v>
      </c>
      <c r="K445" s="1169"/>
      <c r="L445" s="1156"/>
      <c r="M445" s="1169"/>
      <c r="N445" s="1161" t="s">
        <v>2317</v>
      </c>
    </row>
    <row r="446" spans="1:14" s="1170" customFormat="1" ht="16.5" hidden="1" customHeight="1">
      <c r="A446" s="1156"/>
      <c r="B446" s="1169"/>
      <c r="C446" s="1157">
        <v>1</v>
      </c>
      <c r="D446" s="1171" t="s">
        <v>273</v>
      </c>
      <c r="E446" s="1165">
        <v>1</v>
      </c>
      <c r="F446" s="1166">
        <v>5.45</v>
      </c>
      <c r="G446" s="1166">
        <v>0.23</v>
      </c>
      <c r="H446" s="1166">
        <v>0.38</v>
      </c>
      <c r="I446" s="1172">
        <f t="shared" si="54"/>
        <v>0.48</v>
      </c>
      <c r="J446" s="1330" t="s">
        <v>5</v>
      </c>
      <c r="K446" s="1169"/>
      <c r="L446" s="1156"/>
      <c r="M446" s="1169"/>
      <c r="N446" s="1161" t="s">
        <v>2317</v>
      </c>
    </row>
    <row r="447" spans="1:14" s="1170" customFormat="1" ht="16.5" hidden="1" customHeight="1">
      <c r="A447" s="1156"/>
      <c r="B447" s="1169"/>
      <c r="C447" s="1157">
        <v>1</v>
      </c>
      <c r="D447" s="1171" t="s">
        <v>273</v>
      </c>
      <c r="E447" s="1165">
        <v>1</v>
      </c>
      <c r="F447" s="1166">
        <v>3.2749999999999999</v>
      </c>
      <c r="G447" s="1166">
        <v>0.23</v>
      </c>
      <c r="H447" s="1166">
        <v>0.3</v>
      </c>
      <c r="I447" s="1172">
        <f t="shared" si="54"/>
        <v>0.23</v>
      </c>
      <c r="J447" s="1330" t="s">
        <v>5</v>
      </c>
      <c r="K447" s="1169"/>
      <c r="L447" s="1156"/>
      <c r="M447" s="1169"/>
      <c r="N447" s="1161" t="s">
        <v>2317</v>
      </c>
    </row>
    <row r="448" spans="1:14" s="1170" customFormat="1" ht="16.5" hidden="1" customHeight="1">
      <c r="A448" s="1156"/>
      <c r="B448" s="1169"/>
      <c r="C448" s="1157">
        <v>1</v>
      </c>
      <c r="D448" s="1171" t="s">
        <v>273</v>
      </c>
      <c r="E448" s="1165">
        <v>1</v>
      </c>
      <c r="F448" s="1166">
        <v>5.45</v>
      </c>
      <c r="G448" s="1166">
        <v>0.23</v>
      </c>
      <c r="H448" s="1166">
        <v>0.38</v>
      </c>
      <c r="I448" s="1172">
        <f t="shared" si="54"/>
        <v>0.48</v>
      </c>
      <c r="J448" s="1330" t="s">
        <v>5</v>
      </c>
      <c r="K448" s="1169"/>
      <c r="L448" s="1156"/>
      <c r="M448" s="1169"/>
      <c r="N448" s="1161" t="s">
        <v>2317</v>
      </c>
    </row>
    <row r="449" spans="1:14" s="1170" customFormat="1" ht="16.5" hidden="1" customHeight="1">
      <c r="A449" s="1156"/>
      <c r="B449" s="1169"/>
      <c r="C449" s="1157">
        <v>1</v>
      </c>
      <c r="D449" s="1171" t="s">
        <v>273</v>
      </c>
      <c r="E449" s="1165">
        <v>1</v>
      </c>
      <c r="F449" s="1166">
        <v>4.2750000000000004</v>
      </c>
      <c r="G449" s="1166">
        <v>0.23</v>
      </c>
      <c r="H449" s="1166">
        <v>0.3</v>
      </c>
      <c r="I449" s="1172">
        <f t="shared" si="54"/>
        <v>0.28999999999999998</v>
      </c>
      <c r="J449" s="1330" t="s">
        <v>5</v>
      </c>
      <c r="K449" s="1169"/>
      <c r="L449" s="1156"/>
      <c r="M449" s="1169"/>
      <c r="N449" s="1161" t="s">
        <v>2317</v>
      </c>
    </row>
    <row r="450" spans="1:14" s="1170" customFormat="1" ht="16.5" hidden="1" customHeight="1">
      <c r="A450" s="1156"/>
      <c r="B450" s="1169"/>
      <c r="C450" s="1157">
        <v>1</v>
      </c>
      <c r="D450" s="1171" t="s">
        <v>273</v>
      </c>
      <c r="E450" s="1165">
        <v>1</v>
      </c>
      <c r="F450" s="1166">
        <v>5.45</v>
      </c>
      <c r="G450" s="1166">
        <v>0.23</v>
      </c>
      <c r="H450" s="1166">
        <v>0.38</v>
      </c>
      <c r="I450" s="1172">
        <f t="shared" si="54"/>
        <v>0.48</v>
      </c>
      <c r="J450" s="1330" t="s">
        <v>5</v>
      </c>
      <c r="K450" s="1169"/>
      <c r="L450" s="1156"/>
      <c r="M450" s="1169"/>
      <c r="N450" s="1161" t="s">
        <v>2317</v>
      </c>
    </row>
    <row r="451" spans="1:14" s="1170" customFormat="1" ht="16.5" hidden="1" customHeight="1">
      <c r="A451" s="1156"/>
      <c r="B451" s="1169"/>
      <c r="C451" s="1157">
        <v>1</v>
      </c>
      <c r="D451" s="1171" t="s">
        <v>273</v>
      </c>
      <c r="E451" s="1165">
        <v>1</v>
      </c>
      <c r="F451" s="1166">
        <v>4.2750000000000004</v>
      </c>
      <c r="G451" s="1166">
        <v>0.23</v>
      </c>
      <c r="H451" s="1166">
        <v>0.3</v>
      </c>
      <c r="I451" s="1172">
        <f t="shared" si="54"/>
        <v>0.28999999999999998</v>
      </c>
      <c r="J451" s="1330" t="s">
        <v>5</v>
      </c>
      <c r="K451" s="1169"/>
      <c r="L451" s="1156"/>
      <c r="M451" s="1169"/>
      <c r="N451" s="1161" t="s">
        <v>2317</v>
      </c>
    </row>
    <row r="452" spans="1:14" s="1170" customFormat="1" ht="16.5" hidden="1" customHeight="1">
      <c r="A452" s="1156"/>
      <c r="B452" s="1169"/>
      <c r="C452" s="1157">
        <v>1</v>
      </c>
      <c r="D452" s="1171" t="s">
        <v>273</v>
      </c>
      <c r="E452" s="1165">
        <v>1</v>
      </c>
      <c r="F452" s="1166">
        <v>5.45</v>
      </c>
      <c r="G452" s="1166">
        <v>0.23</v>
      </c>
      <c r="H452" s="1166">
        <v>0.38</v>
      </c>
      <c r="I452" s="1172">
        <f t="shared" si="54"/>
        <v>0.48</v>
      </c>
      <c r="J452" s="1330" t="s">
        <v>5</v>
      </c>
      <c r="K452" s="1169"/>
      <c r="L452" s="1156"/>
      <c r="M452" s="1169"/>
      <c r="N452" s="1161" t="s">
        <v>2317</v>
      </c>
    </row>
    <row r="453" spans="1:14" s="1170" customFormat="1" ht="16.5" hidden="1" customHeight="1">
      <c r="A453" s="1156"/>
      <c r="B453" s="1169"/>
      <c r="C453" s="1157">
        <v>1</v>
      </c>
      <c r="D453" s="1171" t="s">
        <v>273</v>
      </c>
      <c r="E453" s="1165">
        <v>1</v>
      </c>
      <c r="F453" s="1166">
        <v>5.45</v>
      </c>
      <c r="G453" s="1166">
        <v>0.15</v>
      </c>
      <c r="H453" s="1166">
        <v>0.38</v>
      </c>
      <c r="I453" s="1172">
        <f t="shared" si="54"/>
        <v>0.31</v>
      </c>
      <c r="J453" s="1330" t="s">
        <v>5</v>
      </c>
      <c r="K453" s="1169"/>
      <c r="L453" s="1156"/>
      <c r="M453" s="1169"/>
      <c r="N453" s="1161" t="s">
        <v>2317</v>
      </c>
    </row>
    <row r="454" spans="1:14" s="1170" customFormat="1" ht="16.5" hidden="1" customHeight="1">
      <c r="A454" s="1156"/>
      <c r="B454" s="1169"/>
      <c r="C454" s="1157">
        <v>1</v>
      </c>
      <c r="D454" s="1171" t="s">
        <v>273</v>
      </c>
      <c r="E454" s="1165">
        <v>1</v>
      </c>
      <c r="F454" s="1166">
        <v>2.75</v>
      </c>
      <c r="G454" s="1166">
        <v>0.15</v>
      </c>
      <c r="H454" s="1166">
        <v>0.38</v>
      </c>
      <c r="I454" s="1172">
        <f t="shared" si="54"/>
        <v>0.16</v>
      </c>
      <c r="J454" s="1330" t="s">
        <v>5</v>
      </c>
      <c r="K454" s="1169"/>
      <c r="L454" s="1156"/>
      <c r="M454" s="1169"/>
      <c r="N454" s="1161" t="s">
        <v>2317</v>
      </c>
    </row>
    <row r="455" spans="1:14" s="1170" customFormat="1" ht="16.5" hidden="1" customHeight="1">
      <c r="A455" s="1156"/>
      <c r="B455" s="1169"/>
      <c r="C455" s="1157">
        <v>1</v>
      </c>
      <c r="D455" s="1171" t="s">
        <v>273</v>
      </c>
      <c r="E455" s="1165">
        <v>1</v>
      </c>
      <c r="F455" s="1166">
        <v>9.52</v>
      </c>
      <c r="G455" s="1166">
        <v>0.23</v>
      </c>
      <c r="H455" s="1166">
        <v>0.3</v>
      </c>
      <c r="I455" s="1172">
        <f t="shared" si="54"/>
        <v>0.66</v>
      </c>
      <c r="J455" s="1330" t="s">
        <v>5</v>
      </c>
      <c r="K455" s="1169"/>
      <c r="L455" s="1156"/>
      <c r="M455" s="1169"/>
      <c r="N455" s="1161" t="s">
        <v>2317</v>
      </c>
    </row>
    <row r="456" spans="1:14" s="1170" customFormat="1" ht="16.5" hidden="1" customHeight="1">
      <c r="A456" s="1156"/>
      <c r="B456" s="1169"/>
      <c r="C456" s="1157">
        <v>1</v>
      </c>
      <c r="D456" s="1171" t="s">
        <v>273</v>
      </c>
      <c r="E456" s="1165">
        <v>2</v>
      </c>
      <c r="F456" s="1166">
        <v>0.23</v>
      </c>
      <c r="G456" s="1166">
        <v>0.23</v>
      </c>
      <c r="H456" s="1166">
        <v>0.3</v>
      </c>
      <c r="I456" s="1172">
        <f>-ROUND(IF(AND(F456:H456),C456*E456*F456*G456*H456,IF(AND(F456,G456),C456*E456*F456*G456,IF(AND(F456,H456),C456*E456*F456*H456,IF(AND(G456,H456),C456*E456*G456*H456,IF(F456,C456*E456*F456,IF(G456,C456*E456*G456,IF(H456,C456*E456*H456,C456*E456))))))),2)</f>
        <v>-0.03</v>
      </c>
      <c r="J456" s="1330" t="s">
        <v>5</v>
      </c>
      <c r="K456" s="1169"/>
      <c r="L456" s="1156"/>
      <c r="M456" s="1169"/>
      <c r="N456" s="1161" t="s">
        <v>2317</v>
      </c>
    </row>
    <row r="457" spans="1:14" s="1170" customFormat="1" ht="16.5" hidden="1" customHeight="1">
      <c r="A457" s="1156"/>
      <c r="B457" s="1169"/>
      <c r="C457" s="1157">
        <v>1</v>
      </c>
      <c r="D457" s="1171" t="s">
        <v>273</v>
      </c>
      <c r="E457" s="1165">
        <v>1</v>
      </c>
      <c r="F457" s="1166">
        <v>9.16</v>
      </c>
      <c r="G457" s="1166">
        <v>0.23</v>
      </c>
      <c r="H457" s="1166">
        <v>0.3</v>
      </c>
      <c r="I457" s="1172">
        <f t="shared" si="54"/>
        <v>0.63</v>
      </c>
      <c r="J457" s="1330" t="s">
        <v>5</v>
      </c>
      <c r="K457" s="1169"/>
      <c r="L457" s="1156"/>
      <c r="M457" s="1169"/>
      <c r="N457" s="1161" t="s">
        <v>2317</v>
      </c>
    </row>
    <row r="458" spans="1:14" s="1170" customFormat="1" ht="16.5" hidden="1" customHeight="1">
      <c r="A458" s="1156"/>
      <c r="B458" s="1169"/>
      <c r="C458" s="1157">
        <v>1</v>
      </c>
      <c r="D458" s="1171" t="s">
        <v>273</v>
      </c>
      <c r="E458" s="1165">
        <v>1</v>
      </c>
      <c r="F458" s="1166">
        <v>1.65</v>
      </c>
      <c r="G458" s="1166">
        <v>0.23</v>
      </c>
      <c r="H458" s="1166">
        <v>0.38</v>
      </c>
      <c r="I458" s="1172">
        <f t="shared" si="54"/>
        <v>0.14000000000000001</v>
      </c>
      <c r="J458" s="1330" t="s">
        <v>5</v>
      </c>
      <c r="K458" s="1169"/>
      <c r="L458" s="1156"/>
      <c r="M458" s="1169"/>
      <c r="N458" s="1161" t="s">
        <v>2317</v>
      </c>
    </row>
    <row r="459" spans="1:14" s="1170" customFormat="1" ht="16.5" hidden="1" customHeight="1">
      <c r="A459" s="1156"/>
      <c r="B459" s="1169"/>
      <c r="C459" s="1157">
        <v>1</v>
      </c>
      <c r="D459" s="1171" t="s">
        <v>273</v>
      </c>
      <c r="E459" s="1165">
        <v>3</v>
      </c>
      <c r="F459" s="1166">
        <v>0.23</v>
      </c>
      <c r="G459" s="1166">
        <v>0.23</v>
      </c>
      <c r="H459" s="1166">
        <v>0.3</v>
      </c>
      <c r="I459" s="1172">
        <f>-ROUND(IF(AND(F459:H459),C459*E459*F459*G459*H459,IF(AND(F459,G459),C459*E459*F459*G459,IF(AND(F459,H459),C459*E459*F459*H459,IF(AND(G459,H459),C459*E459*G459*H459,IF(F459,C459*E459*F459,IF(G459,C459*E459*G459,IF(H459,C459*E459*H459,C459*E459))))))),2)</f>
        <v>-0.05</v>
      </c>
      <c r="J459" s="1330" t="s">
        <v>5</v>
      </c>
      <c r="K459" s="1169"/>
      <c r="L459" s="1156"/>
      <c r="M459" s="1169"/>
      <c r="N459" s="1161" t="s">
        <v>2317</v>
      </c>
    </row>
    <row r="460" spans="1:14" s="1170" customFormat="1" ht="16.5" hidden="1" customHeight="1">
      <c r="A460" s="1156"/>
      <c r="B460" s="1169"/>
      <c r="C460" s="1157">
        <v>1</v>
      </c>
      <c r="D460" s="1171" t="s">
        <v>273</v>
      </c>
      <c r="E460" s="1165">
        <v>1</v>
      </c>
      <c r="F460" s="1166">
        <v>9.16</v>
      </c>
      <c r="G460" s="1166">
        <v>0.23</v>
      </c>
      <c r="H460" s="1166">
        <v>0.3</v>
      </c>
      <c r="I460" s="1172">
        <f t="shared" si="54"/>
        <v>0.63</v>
      </c>
      <c r="J460" s="1330" t="s">
        <v>5</v>
      </c>
      <c r="K460" s="1169"/>
      <c r="L460" s="1156"/>
      <c r="M460" s="1169"/>
      <c r="N460" s="1161" t="s">
        <v>2317</v>
      </c>
    </row>
    <row r="461" spans="1:14" s="1170" customFormat="1" ht="16.5" hidden="1" customHeight="1">
      <c r="A461" s="1156"/>
      <c r="B461" s="1169"/>
      <c r="C461" s="1157">
        <v>1</v>
      </c>
      <c r="D461" s="1171" t="s">
        <v>273</v>
      </c>
      <c r="E461" s="1165">
        <v>1</v>
      </c>
      <c r="F461" s="1166">
        <v>1.65</v>
      </c>
      <c r="G461" s="1166">
        <v>0.23</v>
      </c>
      <c r="H461" s="1166">
        <v>0.38</v>
      </c>
      <c r="I461" s="1172">
        <f t="shared" si="54"/>
        <v>0.14000000000000001</v>
      </c>
      <c r="J461" s="1330" t="s">
        <v>5</v>
      </c>
      <c r="K461" s="1169"/>
      <c r="L461" s="1156"/>
      <c r="M461" s="1169"/>
      <c r="N461" s="1161" t="s">
        <v>2317</v>
      </c>
    </row>
    <row r="462" spans="1:14" s="1170" customFormat="1" ht="16.5" hidden="1" customHeight="1">
      <c r="A462" s="1156"/>
      <c r="B462" s="1169"/>
      <c r="C462" s="1157">
        <v>1</v>
      </c>
      <c r="D462" s="1171" t="s">
        <v>273</v>
      </c>
      <c r="E462" s="1165">
        <v>3</v>
      </c>
      <c r="F462" s="1166">
        <v>0.23</v>
      </c>
      <c r="G462" s="1166">
        <v>0.23</v>
      </c>
      <c r="H462" s="1166">
        <v>0.3</v>
      </c>
      <c r="I462" s="1172">
        <f>-ROUND(IF(AND(F462:H462),C462*E462*F462*G462*H462,IF(AND(F462,G462),C462*E462*F462*G462,IF(AND(F462,H462),C462*E462*F462*H462,IF(AND(G462,H462),C462*E462*G462*H462,IF(F462,C462*E462*F462,IF(G462,C462*E462*G462,IF(H462,C462*E462*H462,C462*E462))))))),2)</f>
        <v>-0.05</v>
      </c>
      <c r="J462" s="1330" t="s">
        <v>5</v>
      </c>
      <c r="K462" s="1169"/>
      <c r="L462" s="1156"/>
      <c r="M462" s="1169"/>
      <c r="N462" s="1161" t="s">
        <v>2317</v>
      </c>
    </row>
    <row r="463" spans="1:14" s="1170" customFormat="1" ht="16.5" hidden="1" customHeight="1">
      <c r="A463" s="1156"/>
      <c r="B463" s="1169"/>
      <c r="C463" s="1157">
        <v>1</v>
      </c>
      <c r="D463" s="1171" t="s">
        <v>273</v>
      </c>
      <c r="E463" s="1165">
        <v>1</v>
      </c>
      <c r="F463" s="1166">
        <v>12.01</v>
      </c>
      <c r="G463" s="1166">
        <v>0.23</v>
      </c>
      <c r="H463" s="1166">
        <v>0.3</v>
      </c>
      <c r="I463" s="1172">
        <f t="shared" si="54"/>
        <v>0.83</v>
      </c>
      <c r="J463" s="1330" t="s">
        <v>5</v>
      </c>
      <c r="K463" s="1169"/>
      <c r="L463" s="1156"/>
      <c r="M463" s="1169"/>
      <c r="N463" s="1161" t="s">
        <v>2317</v>
      </c>
    </row>
    <row r="464" spans="1:14" s="1170" customFormat="1" ht="16.5" hidden="1" customHeight="1">
      <c r="A464" s="1156"/>
      <c r="B464" s="1169"/>
      <c r="C464" s="1157">
        <v>1</v>
      </c>
      <c r="D464" s="1171" t="s">
        <v>273</v>
      </c>
      <c r="E464" s="1165">
        <v>1</v>
      </c>
      <c r="F464" s="1166">
        <v>1.65</v>
      </c>
      <c r="G464" s="1166">
        <v>0.23</v>
      </c>
      <c r="H464" s="1166">
        <v>0.38</v>
      </c>
      <c r="I464" s="1172">
        <f t="shared" si="54"/>
        <v>0.14000000000000001</v>
      </c>
      <c r="J464" s="1330" t="s">
        <v>5</v>
      </c>
      <c r="K464" s="1169"/>
      <c r="L464" s="1156"/>
      <c r="M464" s="1169"/>
      <c r="N464" s="1161" t="s">
        <v>2317</v>
      </c>
    </row>
    <row r="465" spans="1:14" s="1170" customFormat="1" ht="16.5" hidden="1" customHeight="1">
      <c r="A465" s="1156"/>
      <c r="B465" s="1169"/>
      <c r="C465" s="1157">
        <v>1</v>
      </c>
      <c r="D465" s="1171" t="s">
        <v>273</v>
      </c>
      <c r="E465" s="1165">
        <v>3</v>
      </c>
      <c r="F465" s="1166">
        <v>0.23</v>
      </c>
      <c r="G465" s="1166">
        <v>0.23</v>
      </c>
      <c r="H465" s="1166">
        <v>0.3</v>
      </c>
      <c r="I465" s="1172">
        <f>-ROUND(IF(AND(F465:H465),C465*E465*F465*G465*H465,IF(AND(F465,G465),C465*E465*F465*G465,IF(AND(F465,H465),C465*E465*F465*H465,IF(AND(G465,H465),C465*E465*G465*H465,IF(F465,C465*E465*F465,IF(G465,C465*E465*G465,IF(H465,C465*E465*H465,C465*E465))))))),2)</f>
        <v>-0.05</v>
      </c>
      <c r="J465" s="1330" t="s">
        <v>5</v>
      </c>
      <c r="K465" s="1169"/>
      <c r="L465" s="1156"/>
      <c r="M465" s="1169"/>
      <c r="N465" s="1161" t="s">
        <v>2317</v>
      </c>
    </row>
    <row r="466" spans="1:14" s="1170" customFormat="1" ht="16.5" hidden="1" customHeight="1">
      <c r="A466" s="1156"/>
      <c r="B466" s="1331"/>
      <c r="C466" s="1332"/>
      <c r="D466" s="1333"/>
      <c r="E466" s="1334"/>
      <c r="F466" s="1335"/>
      <c r="G466" s="1335"/>
      <c r="H466" s="1335"/>
      <c r="I466" s="1336"/>
      <c r="J466" s="1168"/>
      <c r="K466" s="1169"/>
      <c r="L466" s="1159"/>
      <c r="M466" s="1169"/>
      <c r="N466" s="1161" t="s">
        <v>2317</v>
      </c>
    </row>
    <row r="467" spans="1:14" ht="15.75" hidden="1">
      <c r="A467" s="1156"/>
      <c r="B467" s="1169"/>
      <c r="C467" s="1337"/>
      <c r="D467" s="1171"/>
      <c r="E467" s="1165"/>
      <c r="F467" s="1166"/>
      <c r="G467" s="1343"/>
      <c r="H467" s="1156"/>
      <c r="I467" s="1336"/>
      <c r="J467" s="1168" t="s">
        <v>5</v>
      </c>
      <c r="K467" s="1221">
        <f>data!E2015</f>
        <v>9635.33</v>
      </c>
      <c r="L467" s="1159" t="s">
        <v>2317</v>
      </c>
      <c r="M467" s="1224">
        <f>ROUND(I467*K467,0)</f>
        <v>0</v>
      </c>
      <c r="N467" s="1161" t="s">
        <v>2317</v>
      </c>
    </row>
    <row r="468" spans="1:14" ht="17.25" hidden="1" customHeight="1">
      <c r="A468" s="1156">
        <v>9</v>
      </c>
      <c r="B468" s="1826" t="s">
        <v>303</v>
      </c>
      <c r="C468" s="1826"/>
      <c r="D468" s="1826"/>
      <c r="E468" s="1826"/>
      <c r="F468" s="1826"/>
      <c r="G468" s="1826"/>
      <c r="H468" s="1826"/>
      <c r="I468" s="1157"/>
      <c r="J468" s="1158"/>
      <c r="K468" s="1156"/>
      <c r="L468" s="1159"/>
      <c r="M468" s="1160"/>
      <c r="N468" s="1161" t="s">
        <v>2318</v>
      </c>
    </row>
    <row r="469" spans="1:14" s="1170" customFormat="1" ht="16.5" hidden="1" customHeight="1">
      <c r="A469" s="1156"/>
      <c r="B469" s="1163" t="s">
        <v>3481</v>
      </c>
      <c r="C469" s="1338"/>
      <c r="D469" s="1164"/>
      <c r="E469" s="1339"/>
      <c r="F469" s="1340"/>
      <c r="G469" s="1340"/>
      <c r="H469" s="1340"/>
      <c r="I469" s="1341"/>
      <c r="J469" s="1168"/>
      <c r="K469" s="1169"/>
      <c r="L469" s="1156"/>
      <c r="M469" s="1169"/>
      <c r="N469" s="1161" t="s">
        <v>2318</v>
      </c>
    </row>
    <row r="470" spans="1:14" s="1170" customFormat="1" ht="16.5" hidden="1" customHeight="1">
      <c r="A470" s="1156"/>
      <c r="B470" s="1169" t="s">
        <v>1239</v>
      </c>
      <c r="C470" s="1157">
        <v>1</v>
      </c>
      <c r="D470" s="1171" t="s">
        <v>273</v>
      </c>
      <c r="E470" s="1165">
        <v>1</v>
      </c>
      <c r="F470" s="1166">
        <v>2.65</v>
      </c>
      <c r="G470" s="1166">
        <v>0.23</v>
      </c>
      <c r="H470" s="1166">
        <v>0.3</v>
      </c>
      <c r="I470" s="1172">
        <f>ROUND(IF(AND(F470:H470),C470*E470*F470*G470*H470,IF(AND(F470,G470),C470*E470*F470*G470,IF(AND(F470,H470),C470*E470*F470*H470,IF(AND(G470,H470),C470*E470*G470*H470,IF(F470,C470*E470*F470,IF(G470,C470*E470*G470,IF(H470,C470*E470*H470,C470*E470))))))),2)</f>
        <v>0.18</v>
      </c>
      <c r="J470" s="1168" t="s">
        <v>5</v>
      </c>
      <c r="K470" s="1169"/>
      <c r="L470" s="1156"/>
      <c r="M470" s="1169"/>
      <c r="N470" s="1161" t="s">
        <v>2318</v>
      </c>
    </row>
    <row r="471" spans="1:14" s="1170" customFormat="1" ht="16.5" hidden="1" customHeight="1">
      <c r="A471" s="1156"/>
      <c r="B471" s="1169" t="s">
        <v>1612</v>
      </c>
      <c r="C471" s="1157">
        <v>1</v>
      </c>
      <c r="D471" s="1171" t="s">
        <v>273</v>
      </c>
      <c r="E471" s="1165">
        <v>2</v>
      </c>
      <c r="F471" s="1166">
        <v>1</v>
      </c>
      <c r="G471" s="1166">
        <v>0.23</v>
      </c>
      <c r="H471" s="1166">
        <v>0.3</v>
      </c>
      <c r="I471" s="1172">
        <f>ROUND(IF(AND(F471:H471),C471*E471*F471*G471*H471,IF(AND(F471,G471),C471*E471*F471*G471,IF(AND(F471,H471),C471*E471*F471*H471,IF(AND(G471,H471),C471*E471*G471*H471,IF(F471,C471*E471*F471,IF(G471,C471*E471*G471,IF(H471,C471*E471*H471,C471*E471))))))),2)</f>
        <v>0.14000000000000001</v>
      </c>
      <c r="J471" s="1168" t="s">
        <v>5</v>
      </c>
      <c r="K471" s="1169"/>
      <c r="L471" s="1156"/>
      <c r="M471" s="1169"/>
      <c r="N471" s="1161" t="s">
        <v>2318</v>
      </c>
    </row>
    <row r="472" spans="1:14" s="1170" customFormat="1" ht="16.5" hidden="1" customHeight="1">
      <c r="A472" s="1156"/>
      <c r="B472" s="1169" t="s">
        <v>1614</v>
      </c>
      <c r="C472" s="1157">
        <v>1</v>
      </c>
      <c r="D472" s="1171" t="s">
        <v>273</v>
      </c>
      <c r="E472" s="1165">
        <v>1</v>
      </c>
      <c r="F472" s="1166">
        <v>15.75</v>
      </c>
      <c r="G472" s="1166">
        <v>0.23</v>
      </c>
      <c r="H472" s="1166">
        <v>0.3</v>
      </c>
      <c r="I472" s="1172">
        <f>ROUND(IF(AND(F472:H472),C472*E472*F472*G472*H472,IF(AND(F472,G472),C472*E472*F472*G472,IF(AND(F472,H472),C472*E472*F472*H472,IF(AND(G472,H472),C472*E472*G472*H472,IF(F472,C472*E472*F472,IF(G472,C472*E472*G472,IF(H472,C472*E472*H472,C472*E472))))))),2)</f>
        <v>1.0900000000000001</v>
      </c>
      <c r="J472" s="1168" t="s">
        <v>5</v>
      </c>
      <c r="K472" s="1169"/>
      <c r="L472" s="1156"/>
      <c r="M472" s="1169"/>
      <c r="N472" s="1161" t="s">
        <v>2318</v>
      </c>
    </row>
    <row r="473" spans="1:14" s="1170" customFormat="1" ht="16.5" hidden="1" customHeight="1">
      <c r="A473" s="1156"/>
      <c r="B473" s="1169" t="s">
        <v>1613</v>
      </c>
      <c r="C473" s="1157">
        <v>1</v>
      </c>
      <c r="D473" s="1171" t="s">
        <v>273</v>
      </c>
      <c r="E473" s="1165">
        <v>6</v>
      </c>
      <c r="F473" s="1166">
        <v>0.23</v>
      </c>
      <c r="G473" s="1166">
        <v>0.23</v>
      </c>
      <c r="H473" s="1166">
        <v>0.3</v>
      </c>
      <c r="I473" s="1172">
        <f>-ROUND(IF(AND(F473:H473),C473*E473*F473*G473*H473,IF(AND(F473,G473),C473*E473*F473*G473,IF(AND(F473,H473),C473*E473*F473*H473,IF(AND(G473,H473),C473*E473*G473*H473,IF(F473,C473*E473*F473,IF(G473,C473*E473*G473,IF(H473,C473*E473*H473,C473*E473))))))),2)</f>
        <v>-0.1</v>
      </c>
      <c r="J473" s="1168" t="s">
        <v>5</v>
      </c>
      <c r="K473" s="1169"/>
      <c r="L473" s="1156"/>
      <c r="M473" s="1169"/>
      <c r="N473" s="1161" t="s">
        <v>2318</v>
      </c>
    </row>
    <row r="474" spans="1:14" s="1170" customFormat="1" ht="16.5" hidden="1" customHeight="1">
      <c r="A474" s="1156"/>
      <c r="B474" s="1331"/>
      <c r="C474" s="1332"/>
      <c r="D474" s="1333"/>
      <c r="E474" s="1334"/>
      <c r="F474" s="1335"/>
      <c r="G474" s="1335"/>
      <c r="H474" s="1335"/>
      <c r="I474" s="1336"/>
      <c r="J474" s="1168"/>
      <c r="K474" s="1169"/>
      <c r="L474" s="1159"/>
      <c r="M474" s="1169"/>
      <c r="N474" s="1161" t="s">
        <v>2318</v>
      </c>
    </row>
    <row r="475" spans="1:14" ht="15.75" hidden="1">
      <c r="A475" s="1156"/>
      <c r="B475" s="1169"/>
      <c r="C475" s="1337"/>
      <c r="D475" s="1171"/>
      <c r="E475" s="1165"/>
      <c r="F475" s="1166"/>
      <c r="G475" s="1343"/>
      <c r="H475" s="1156"/>
      <c r="I475" s="1336"/>
      <c r="J475" s="1168" t="s">
        <v>5</v>
      </c>
      <c r="K475" s="1221">
        <f>data!E2932</f>
        <v>9921.19</v>
      </c>
      <c r="L475" s="1159" t="s">
        <v>2318</v>
      </c>
      <c r="M475" s="1224">
        <f>ROUND(I475*K475,0)</f>
        <v>0</v>
      </c>
      <c r="N475" s="1161" t="s">
        <v>2318</v>
      </c>
    </row>
    <row r="476" spans="1:14" ht="17.25" hidden="1" customHeight="1">
      <c r="A476" s="1156">
        <v>11</v>
      </c>
      <c r="B476" s="1826" t="s">
        <v>304</v>
      </c>
      <c r="C476" s="1826"/>
      <c r="D476" s="1826"/>
      <c r="E476" s="1826"/>
      <c r="F476" s="1826"/>
      <c r="G476" s="1826"/>
      <c r="H476" s="1826"/>
      <c r="I476" s="1157"/>
      <c r="J476" s="1158"/>
      <c r="K476" s="1156"/>
      <c r="L476" s="1159"/>
      <c r="M476" s="1160"/>
      <c r="N476" s="1161" t="s">
        <v>2218</v>
      </c>
    </row>
    <row r="477" spans="1:14" s="1170" customFormat="1" ht="16.5" hidden="1" customHeight="1">
      <c r="A477" s="1156"/>
      <c r="B477" s="1169" t="s">
        <v>3482</v>
      </c>
      <c r="C477" s="1157"/>
      <c r="D477" s="1171" t="s">
        <v>3331</v>
      </c>
      <c r="E477" s="1165"/>
      <c r="F477" s="1166"/>
      <c r="G477" s="1166"/>
      <c r="H477" s="1166"/>
      <c r="I477" s="1167"/>
      <c r="J477" s="1342"/>
      <c r="K477" s="1169"/>
      <c r="L477" s="1156"/>
      <c r="M477" s="1169"/>
      <c r="N477" s="1161" t="s">
        <v>2218</v>
      </c>
    </row>
    <row r="478" spans="1:14" s="1170" customFormat="1" ht="16.5" hidden="1" customHeight="1">
      <c r="A478" s="1156"/>
      <c r="B478" s="1169" t="s">
        <v>267</v>
      </c>
      <c r="C478" s="1157">
        <v>1</v>
      </c>
      <c r="D478" s="1171" t="s">
        <v>273</v>
      </c>
      <c r="E478" s="1165">
        <v>1</v>
      </c>
      <c r="F478" s="1166">
        <v>3.4</v>
      </c>
      <c r="G478" s="1166">
        <v>1.3</v>
      </c>
      <c r="H478" s="1166">
        <v>0</v>
      </c>
      <c r="I478" s="1172">
        <f t="shared" ref="I478:I479" si="55">ROUND(IF(AND(F478:H478),C478*E478*F478*G478*H478,IF(AND(F478,G478),C478*E478*F478*G478,IF(AND(F478,H478),C478*E478*F478*H478,IF(AND(G478,H478),C478*E478*G478*H478,IF(F478,C478*E478*F478,IF(G478,C478*E478*G478,IF(H478,C478*E478*H478,C478*E478))))))),2)</f>
        <v>4.42</v>
      </c>
      <c r="J478" s="1330" t="s">
        <v>102</v>
      </c>
      <c r="K478" s="1169"/>
      <c r="L478" s="1156"/>
      <c r="M478" s="1169"/>
      <c r="N478" s="1161" t="s">
        <v>2218</v>
      </c>
    </row>
    <row r="479" spans="1:14" s="1170" customFormat="1" ht="16.5" hidden="1" customHeight="1">
      <c r="A479" s="1156"/>
      <c r="B479" s="1169" t="s">
        <v>801</v>
      </c>
      <c r="C479" s="1157">
        <v>1</v>
      </c>
      <c r="D479" s="1171" t="s">
        <v>273</v>
      </c>
      <c r="E479" s="1165">
        <v>1</v>
      </c>
      <c r="F479" s="1166">
        <v>3.2</v>
      </c>
      <c r="G479" s="1166">
        <v>1.3</v>
      </c>
      <c r="H479" s="1166">
        <v>0</v>
      </c>
      <c r="I479" s="1172">
        <f t="shared" si="55"/>
        <v>4.16</v>
      </c>
      <c r="J479" s="1330" t="s">
        <v>102</v>
      </c>
      <c r="K479" s="1169"/>
      <c r="L479" s="1156"/>
      <c r="M479" s="1169"/>
      <c r="N479" s="1161" t="s">
        <v>2218</v>
      </c>
    </row>
    <row r="480" spans="1:14" s="1170" customFormat="1" ht="16.5" hidden="1" customHeight="1">
      <c r="A480" s="1156"/>
      <c r="B480" s="1169" t="s">
        <v>3093</v>
      </c>
      <c r="C480" s="1157"/>
      <c r="D480" s="1171" t="s">
        <v>3340</v>
      </c>
      <c r="E480" s="1165"/>
      <c r="F480" s="1166"/>
      <c r="G480" s="1166"/>
      <c r="H480" s="1166"/>
      <c r="I480" s="1167"/>
      <c r="J480" s="1342"/>
      <c r="K480" s="1169"/>
      <c r="L480" s="1156"/>
      <c r="M480" s="1169"/>
      <c r="N480" s="1161" t="s">
        <v>2218</v>
      </c>
    </row>
    <row r="481" spans="1:14" s="1170" customFormat="1" ht="16.5" hidden="1" customHeight="1">
      <c r="A481" s="1156"/>
      <c r="B481" s="1169" t="s">
        <v>3144</v>
      </c>
      <c r="C481" s="1157">
        <v>1</v>
      </c>
      <c r="D481" s="1171" t="s">
        <v>273</v>
      </c>
      <c r="E481" s="1165">
        <v>1</v>
      </c>
      <c r="F481" s="1166">
        <v>3.2</v>
      </c>
      <c r="G481" s="1166">
        <v>1.35</v>
      </c>
      <c r="H481" s="1166">
        <v>0</v>
      </c>
      <c r="I481" s="1172">
        <f t="shared" ref="I481" si="56">ROUND(IF(AND(F481:H481),C481*E481*F481*G481*H481,IF(AND(F481,G481),C481*E481*F481*G481,IF(AND(F481,H481),C481*E481*F481*H481,IF(AND(G481,H481),C481*E481*G481*H481,IF(F481,C481*E481*F481,IF(G481,C481*E481*G481,IF(H481,C481*E481*H481,C481*E481))))))),2)</f>
        <v>4.32</v>
      </c>
      <c r="J481" s="1330" t="s">
        <v>102</v>
      </c>
      <c r="K481" s="1169"/>
      <c r="L481" s="1156"/>
      <c r="M481" s="1169"/>
      <c r="N481" s="1161" t="s">
        <v>2218</v>
      </c>
    </row>
    <row r="482" spans="1:14" s="1170" customFormat="1" ht="16.5" hidden="1" customHeight="1">
      <c r="A482" s="1156"/>
      <c r="B482" s="1331"/>
      <c r="C482" s="1332"/>
      <c r="D482" s="1333"/>
      <c r="E482" s="1334"/>
      <c r="F482" s="1335"/>
      <c r="G482" s="1335"/>
      <c r="H482" s="1335"/>
      <c r="I482" s="1336"/>
      <c r="J482" s="1168"/>
      <c r="K482" s="1169"/>
      <c r="L482" s="1159"/>
      <c r="M482" s="1169"/>
      <c r="N482" s="1161" t="s">
        <v>2218</v>
      </c>
    </row>
    <row r="483" spans="1:14" ht="15.75" hidden="1">
      <c r="A483" s="1156"/>
      <c r="B483" s="1169"/>
      <c r="C483" s="1337"/>
      <c r="D483" s="1171"/>
      <c r="E483" s="1165"/>
      <c r="F483" s="1166"/>
      <c r="G483" s="1343"/>
      <c r="H483" s="1156"/>
      <c r="I483" s="1336"/>
      <c r="J483" s="1168" t="s">
        <v>102</v>
      </c>
      <c r="K483" s="1221">
        <f>data!E203</f>
        <v>1195.95</v>
      </c>
      <c r="L483" s="1159" t="s">
        <v>2218</v>
      </c>
      <c r="M483" s="1224">
        <f>ROUND(I483*K483,0)</f>
        <v>0</v>
      </c>
      <c r="N483" s="1161" t="s">
        <v>2218</v>
      </c>
    </row>
    <row r="484" spans="1:14" ht="17.25" hidden="1" customHeight="1">
      <c r="A484" s="1156">
        <v>10</v>
      </c>
      <c r="B484" s="1826" t="s">
        <v>304</v>
      </c>
      <c r="C484" s="1826"/>
      <c r="D484" s="1826"/>
      <c r="E484" s="1826"/>
      <c r="F484" s="1826"/>
      <c r="G484" s="1826"/>
      <c r="H484" s="1826"/>
      <c r="I484" s="1157"/>
      <c r="J484" s="1158"/>
      <c r="K484" s="1156"/>
      <c r="L484" s="1159"/>
      <c r="M484" s="1160"/>
      <c r="N484" s="1161" t="s">
        <v>2306</v>
      </c>
    </row>
    <row r="485" spans="1:14" s="1170" customFormat="1" ht="16.5" hidden="1" customHeight="1">
      <c r="A485" s="1156"/>
      <c r="B485" s="1169" t="s">
        <v>3482</v>
      </c>
      <c r="C485" s="1157"/>
      <c r="D485" s="1171"/>
      <c r="E485" s="1165"/>
      <c r="F485" s="1166"/>
      <c r="G485" s="1166"/>
      <c r="H485" s="1166"/>
      <c r="I485" s="1167"/>
      <c r="J485" s="1342"/>
      <c r="K485" s="1169"/>
      <c r="L485" s="1156"/>
      <c r="M485" s="1169"/>
      <c r="N485" s="1161" t="s">
        <v>2306</v>
      </c>
    </row>
    <row r="486" spans="1:14" s="1170" customFormat="1" ht="16.5" hidden="1" customHeight="1">
      <c r="A486" s="1156"/>
      <c r="B486" s="1169"/>
      <c r="C486" s="1157">
        <v>1</v>
      </c>
      <c r="D486" s="1171" t="s">
        <v>273</v>
      </c>
      <c r="E486" s="1165">
        <v>1</v>
      </c>
      <c r="F486" s="1166">
        <v>3.4</v>
      </c>
      <c r="G486" s="1166">
        <v>1.3</v>
      </c>
      <c r="H486" s="1166">
        <v>0</v>
      </c>
      <c r="I486" s="1172">
        <f t="shared" ref="I486:I487" si="57">ROUND(IF(AND(F486:H486),C486*E486*F486*G486*H486,IF(AND(F486,G486),C486*E486*F486*G486,IF(AND(F486,H486),C486*E486*F486*H486,IF(AND(G486,H486),C486*E486*G486*H486,IF(F486,C486*E486*F486,IF(G486,C486*E486*G486,IF(H486,C486*E486*H486,C486*E486))))))),2)</f>
        <v>4.42</v>
      </c>
      <c r="J486" s="1330" t="s">
        <v>102</v>
      </c>
      <c r="K486" s="1169"/>
      <c r="L486" s="1156"/>
      <c r="M486" s="1169"/>
      <c r="N486" s="1161" t="s">
        <v>2306</v>
      </c>
    </row>
    <row r="487" spans="1:14" s="1170" customFormat="1" ht="16.5" hidden="1" customHeight="1">
      <c r="A487" s="1156"/>
      <c r="B487" s="1169"/>
      <c r="C487" s="1157">
        <v>1</v>
      </c>
      <c r="D487" s="1171" t="s">
        <v>273</v>
      </c>
      <c r="E487" s="1165">
        <v>1</v>
      </c>
      <c r="F487" s="1166">
        <v>3.2</v>
      </c>
      <c r="G487" s="1166">
        <v>1.3</v>
      </c>
      <c r="H487" s="1166">
        <v>0</v>
      </c>
      <c r="I487" s="1172">
        <f t="shared" si="57"/>
        <v>4.16</v>
      </c>
      <c r="J487" s="1330" t="s">
        <v>102</v>
      </c>
      <c r="K487" s="1169"/>
      <c r="L487" s="1156"/>
      <c r="M487" s="1169"/>
      <c r="N487" s="1161" t="s">
        <v>2306</v>
      </c>
    </row>
    <row r="488" spans="1:14" s="1170" customFormat="1" ht="16.5" hidden="1" customHeight="1">
      <c r="A488" s="1156"/>
      <c r="B488" s="1331"/>
      <c r="C488" s="1332"/>
      <c r="D488" s="1333"/>
      <c r="E488" s="1334"/>
      <c r="F488" s="1335"/>
      <c r="G488" s="1335"/>
      <c r="H488" s="1335"/>
      <c r="I488" s="1336"/>
      <c r="J488" s="1168"/>
      <c r="K488" s="1169"/>
      <c r="L488" s="1159"/>
      <c r="M488" s="1169"/>
      <c r="N488" s="1161" t="s">
        <v>2306</v>
      </c>
    </row>
    <row r="489" spans="1:14" ht="15.75" hidden="1">
      <c r="A489" s="1156"/>
      <c r="B489" s="1169"/>
      <c r="C489" s="1337"/>
      <c r="D489" s="1171"/>
      <c r="E489" s="1165"/>
      <c r="F489" s="1166"/>
      <c r="G489" s="1343"/>
      <c r="H489" s="1156"/>
      <c r="I489" s="1336"/>
      <c r="J489" s="1168" t="s">
        <v>102</v>
      </c>
      <c r="K489" s="1221">
        <f>data!E1119</f>
        <v>1239.23</v>
      </c>
      <c r="L489" s="1159" t="s">
        <v>2306</v>
      </c>
      <c r="M489" s="1224">
        <f>ROUND(I489*K489,0)</f>
        <v>0</v>
      </c>
      <c r="N489" s="1161" t="s">
        <v>2306</v>
      </c>
    </row>
    <row r="490" spans="1:14" ht="17.25" hidden="1" customHeight="1">
      <c r="A490" s="1156">
        <v>10</v>
      </c>
      <c r="B490" s="1826" t="s">
        <v>304</v>
      </c>
      <c r="C490" s="1826"/>
      <c r="D490" s="1826"/>
      <c r="E490" s="1826"/>
      <c r="F490" s="1826"/>
      <c r="G490" s="1826"/>
      <c r="H490" s="1826"/>
      <c r="I490" s="1157"/>
      <c r="J490" s="1158"/>
      <c r="K490" s="1156"/>
      <c r="L490" s="1159"/>
      <c r="M490" s="1160"/>
      <c r="N490" s="1161" t="s">
        <v>2317</v>
      </c>
    </row>
    <row r="491" spans="1:14" s="1170" customFormat="1" ht="16.5" hidden="1" customHeight="1">
      <c r="A491" s="1156"/>
      <c r="B491" s="1169" t="s">
        <v>3093</v>
      </c>
      <c r="C491" s="1157"/>
      <c r="D491" s="1171"/>
      <c r="E491" s="1165"/>
      <c r="F491" s="1166"/>
      <c r="G491" s="1166"/>
      <c r="H491" s="1166"/>
      <c r="I491" s="1167"/>
      <c r="J491" s="1342"/>
      <c r="K491" s="1169"/>
      <c r="L491" s="1156"/>
      <c r="M491" s="1169"/>
      <c r="N491" s="1161" t="s">
        <v>2317</v>
      </c>
    </row>
    <row r="492" spans="1:14" s="1170" customFormat="1" ht="16.5" hidden="1" customHeight="1">
      <c r="A492" s="1156"/>
      <c r="B492" s="1169"/>
      <c r="C492" s="1157">
        <v>1</v>
      </c>
      <c r="D492" s="1171" t="s">
        <v>273</v>
      </c>
      <c r="E492" s="1165">
        <v>1</v>
      </c>
      <c r="F492" s="1166">
        <v>3.2</v>
      </c>
      <c r="G492" s="1166">
        <v>1.35</v>
      </c>
      <c r="H492" s="1166">
        <v>0</v>
      </c>
      <c r="I492" s="1172">
        <f t="shared" ref="I492" si="58">ROUND(IF(AND(F492:H492),C492*E492*F492*G492*H492,IF(AND(F492,G492),C492*E492*F492*G492,IF(AND(F492,H492),C492*E492*F492*H492,IF(AND(G492,H492),C492*E492*G492*H492,IF(F492,C492*E492*F492,IF(G492,C492*E492*G492,IF(H492,C492*E492*H492,C492*E492))))))),2)</f>
        <v>4.32</v>
      </c>
      <c r="J492" s="1330" t="s">
        <v>102</v>
      </c>
      <c r="K492" s="1169"/>
      <c r="L492" s="1156"/>
      <c r="M492" s="1169"/>
      <c r="N492" s="1161" t="s">
        <v>2317</v>
      </c>
    </row>
    <row r="493" spans="1:14" s="1170" customFormat="1" ht="16.5" hidden="1" customHeight="1">
      <c r="A493" s="1156"/>
      <c r="B493" s="1331"/>
      <c r="C493" s="1332"/>
      <c r="D493" s="1333"/>
      <c r="E493" s="1334"/>
      <c r="F493" s="1335"/>
      <c r="G493" s="1335"/>
      <c r="H493" s="1335"/>
      <c r="I493" s="1336"/>
      <c r="J493" s="1168"/>
      <c r="K493" s="1169"/>
      <c r="L493" s="1159"/>
      <c r="M493" s="1169"/>
      <c r="N493" s="1161" t="s">
        <v>2317</v>
      </c>
    </row>
    <row r="494" spans="1:14" ht="15.75" hidden="1">
      <c r="A494" s="1156"/>
      <c r="B494" s="1169"/>
      <c r="C494" s="1337"/>
      <c r="D494" s="1171"/>
      <c r="E494" s="1165"/>
      <c r="F494" s="1166"/>
      <c r="G494" s="1343"/>
      <c r="H494" s="1156"/>
      <c r="I494" s="1336"/>
      <c r="J494" s="1168" t="s">
        <v>102</v>
      </c>
      <c r="K494" s="1221">
        <f>data!E2036</f>
        <v>1302.4000000000001</v>
      </c>
      <c r="L494" s="1159" t="s">
        <v>2317</v>
      </c>
      <c r="M494" s="1224">
        <f>ROUND(I494*K494,0)</f>
        <v>0</v>
      </c>
      <c r="N494" s="1161" t="s">
        <v>2317</v>
      </c>
    </row>
    <row r="495" spans="1:14" ht="17.25" hidden="1" customHeight="1">
      <c r="A495" s="1156">
        <v>10</v>
      </c>
      <c r="B495" s="1826" t="s">
        <v>304</v>
      </c>
      <c r="C495" s="1826"/>
      <c r="D495" s="1826"/>
      <c r="E495" s="1826"/>
      <c r="F495" s="1826"/>
      <c r="G495" s="1826"/>
      <c r="H495" s="1826"/>
      <c r="I495" s="1157"/>
      <c r="J495" s="1158"/>
      <c r="K495" s="1156"/>
      <c r="L495" s="1159"/>
      <c r="M495" s="1160"/>
      <c r="N495" s="1161" t="s">
        <v>2318</v>
      </c>
    </row>
    <row r="496" spans="1:14" s="1170" customFormat="1" ht="16.5" hidden="1" customHeight="1">
      <c r="A496" s="1156"/>
      <c r="B496" s="1163" t="s">
        <v>3481</v>
      </c>
      <c r="C496" s="1338"/>
      <c r="D496" s="1164"/>
      <c r="E496" s="1339"/>
      <c r="F496" s="1340"/>
      <c r="G496" s="1340"/>
      <c r="H496" s="1340"/>
      <c r="I496" s="1341"/>
      <c r="J496" s="1168"/>
      <c r="K496" s="1169"/>
      <c r="L496" s="1156"/>
      <c r="M496" s="1169"/>
      <c r="N496" s="1161" t="s">
        <v>2318</v>
      </c>
    </row>
    <row r="497" spans="1:14" s="1170" customFormat="1" ht="16.5" hidden="1" customHeight="1">
      <c r="A497" s="1156"/>
      <c r="B497" s="1169" t="s">
        <v>1615</v>
      </c>
      <c r="C497" s="1157">
        <v>1</v>
      </c>
      <c r="D497" s="1171" t="s">
        <v>273</v>
      </c>
      <c r="E497" s="1165">
        <v>1</v>
      </c>
      <c r="F497" s="1166">
        <v>3.2</v>
      </c>
      <c r="G497" s="1166">
        <v>1.2</v>
      </c>
      <c r="H497" s="1166">
        <v>0</v>
      </c>
      <c r="I497" s="1172">
        <f>ROUND(IF(AND(F497:H497),C497*E497*F497*G497*H497,IF(AND(F497,G497),C497*E497*F497*G497,IF(AND(F497,H497),C497*E497*F497*H497,IF(AND(G497,H497),C497*E497*G497*H497,IF(F497,C497*E497*F497,IF(G497,C497*E497*G497,IF(H497,C497*E497*H497,C497*E497))))))),2)</f>
        <v>3.84</v>
      </c>
      <c r="J497" s="1168" t="s">
        <v>102</v>
      </c>
      <c r="K497" s="1169"/>
      <c r="L497" s="1156"/>
      <c r="M497" s="1169"/>
      <c r="N497" s="1161" t="s">
        <v>2318</v>
      </c>
    </row>
    <row r="498" spans="1:14" s="1170" customFormat="1" ht="16.5" hidden="1" customHeight="1">
      <c r="A498" s="1156"/>
      <c r="B498" s="1169" t="s">
        <v>1616</v>
      </c>
      <c r="C498" s="1157">
        <v>1</v>
      </c>
      <c r="D498" s="1171" t="s">
        <v>273</v>
      </c>
      <c r="E498" s="1165">
        <v>1</v>
      </c>
      <c r="F498" s="1166">
        <v>3.6</v>
      </c>
      <c r="G498" s="1166">
        <v>1.21</v>
      </c>
      <c r="H498" s="1166">
        <v>0</v>
      </c>
      <c r="I498" s="1172">
        <f>ROUND(IF(AND(F498:H498),C498*E498*F498*G498*H498,IF(AND(F498,G498),C498*E498*F498*G498,IF(AND(F498,H498),C498*E498*F498*H498,IF(AND(G498,H498),C498*E498*G498*H498,IF(F498,C498*E498*F498,IF(G498,C498*E498*G498,IF(H498,C498*E498*H498,C498*E498))))))),2)</f>
        <v>4.3600000000000003</v>
      </c>
      <c r="J498" s="1168" t="s">
        <v>102</v>
      </c>
      <c r="K498" s="1169"/>
      <c r="L498" s="1156"/>
      <c r="M498" s="1169"/>
      <c r="N498" s="1161" t="s">
        <v>2318</v>
      </c>
    </row>
    <row r="499" spans="1:14" s="1170" customFormat="1" ht="16.5" hidden="1" customHeight="1">
      <c r="A499" s="1156"/>
      <c r="B499" s="1331"/>
      <c r="C499" s="1332"/>
      <c r="D499" s="1333"/>
      <c r="E499" s="1334"/>
      <c r="F499" s="1335"/>
      <c r="G499" s="1335"/>
      <c r="H499" s="1335"/>
      <c r="I499" s="1336"/>
      <c r="J499" s="1168"/>
      <c r="K499" s="1169"/>
      <c r="L499" s="1159"/>
      <c r="M499" s="1169"/>
      <c r="N499" s="1161" t="s">
        <v>2318</v>
      </c>
    </row>
    <row r="500" spans="1:14" ht="15.75" hidden="1">
      <c r="A500" s="1156"/>
      <c r="B500" s="1169"/>
      <c r="C500" s="1337"/>
      <c r="D500" s="1171"/>
      <c r="E500" s="1165"/>
      <c r="F500" s="1166"/>
      <c r="G500" s="1343"/>
      <c r="H500" s="1156"/>
      <c r="I500" s="1336"/>
      <c r="J500" s="1168" t="s">
        <v>102</v>
      </c>
      <c r="K500" s="1221">
        <f>data!E2953</f>
        <v>1345.28</v>
      </c>
      <c r="L500" s="1159" t="s">
        <v>2318</v>
      </c>
      <c r="M500" s="1224">
        <f>ROUND(I500*K500,0)</f>
        <v>0</v>
      </c>
      <c r="N500" s="1161" t="s">
        <v>2318</v>
      </c>
    </row>
    <row r="501" spans="1:14" s="1575" customFormat="1" ht="17.25" customHeight="1">
      <c r="A501" s="1570">
        <v>11</v>
      </c>
      <c r="B501" s="1827" t="s">
        <v>305</v>
      </c>
      <c r="C501" s="1827"/>
      <c r="D501" s="1827"/>
      <c r="E501" s="1827"/>
      <c r="F501" s="1827"/>
      <c r="G501" s="1827"/>
      <c r="H501" s="1827"/>
      <c r="I501" s="1571"/>
      <c r="J501" s="1572"/>
      <c r="K501" s="1570"/>
      <c r="L501" s="1573"/>
      <c r="M501" s="1577"/>
      <c r="N501" s="1578" t="s">
        <v>2218</v>
      </c>
    </row>
    <row r="502" spans="1:14" s="1586" customFormat="1" ht="16.5" customHeight="1">
      <c r="A502" s="1570"/>
      <c r="B502" s="1579" t="s">
        <v>3759</v>
      </c>
      <c r="C502" s="1580"/>
      <c r="D502" s="1790" t="s">
        <v>3870</v>
      </c>
      <c r="E502" s="1581"/>
      <c r="F502" s="1582"/>
      <c r="G502" s="1582"/>
      <c r="H502" s="1582"/>
      <c r="I502" s="1583"/>
      <c r="J502" s="1598"/>
      <c r="K502" s="1585"/>
      <c r="L502" s="1570"/>
      <c r="M502" s="1585"/>
      <c r="N502" s="1578" t="s">
        <v>2218</v>
      </c>
    </row>
    <row r="503" spans="1:14" s="1586" customFormat="1" ht="16.5" customHeight="1">
      <c r="A503" s="1570"/>
      <c r="B503" s="1585"/>
      <c r="C503" s="1571">
        <v>1</v>
      </c>
      <c r="D503" s="1587" t="s">
        <v>273</v>
      </c>
      <c r="E503" s="1588">
        <v>1</v>
      </c>
      <c r="F503" s="1589">
        <v>10.45</v>
      </c>
      <c r="G503" s="1589">
        <v>11.96</v>
      </c>
      <c r="H503" s="1589">
        <v>0</v>
      </c>
      <c r="I503" s="1590">
        <f t="shared" ref="I503:I504" si="59">ROUND(IF(AND(F503:H503),C503*E503*F503*G503*H503,IF(AND(F503,G503),C503*E503*F503*G503,IF(AND(F503,H503),C503*E503*F503*H503,IF(AND(G503,H503),C503*E503*G503*H503,IF(F503,C503*E503*F503,IF(G503,C503*E503*G503,IF(H503,C503*E503*H503,C503*E503))))))),2)</f>
        <v>124.98</v>
      </c>
      <c r="J503" s="1598" t="s">
        <v>102</v>
      </c>
      <c r="K503" s="1585"/>
      <c r="L503" s="1570"/>
      <c r="M503" s="1585"/>
      <c r="N503" s="1578" t="s">
        <v>2218</v>
      </c>
    </row>
    <row r="504" spans="1:14" s="1586" customFormat="1" ht="16.5" customHeight="1">
      <c r="A504" s="1570"/>
      <c r="B504" s="1585"/>
      <c r="C504" s="1571">
        <v>1</v>
      </c>
      <c r="D504" s="1587" t="s">
        <v>273</v>
      </c>
      <c r="E504" s="1588">
        <v>1</v>
      </c>
      <c r="F504" s="1589">
        <v>3.5</v>
      </c>
      <c r="G504" s="1589">
        <v>0.9</v>
      </c>
      <c r="H504" s="1589">
        <v>0</v>
      </c>
      <c r="I504" s="1590">
        <f t="shared" si="59"/>
        <v>3.15</v>
      </c>
      <c r="J504" s="1598" t="s">
        <v>102</v>
      </c>
      <c r="K504" s="1585"/>
      <c r="L504" s="1570"/>
      <c r="M504" s="1585"/>
      <c r="N504" s="1578" t="s">
        <v>2218</v>
      </c>
    </row>
    <row r="505" spans="1:14" s="1586" customFormat="1" ht="16.5" customHeight="1">
      <c r="A505" s="1570"/>
      <c r="B505" s="1623"/>
      <c r="C505" s="1624"/>
      <c r="D505" s="1625"/>
      <c r="E505" s="1626"/>
      <c r="F505" s="1627"/>
      <c r="G505" s="1627"/>
      <c r="H505" s="1628"/>
      <c r="I505" s="1629"/>
      <c r="J505" s="1598"/>
      <c r="K505" s="1585"/>
      <c r="L505" s="1573"/>
      <c r="M505" s="1585"/>
      <c r="N505" s="1578" t="s">
        <v>2218</v>
      </c>
    </row>
    <row r="506" spans="1:14" s="1575" customFormat="1" ht="15.75">
      <c r="A506" s="1570"/>
      <c r="B506" s="1585"/>
      <c r="C506" s="1606"/>
      <c r="D506" s="1587"/>
      <c r="E506" s="1588"/>
      <c r="F506" s="1589"/>
      <c r="G506" s="1607"/>
      <c r="H506" s="1570"/>
      <c r="I506" s="1605">
        <f>SUM(I503:I505)</f>
        <v>128.13</v>
      </c>
      <c r="J506" s="1598" t="s">
        <v>102</v>
      </c>
      <c r="K506" s="1608">
        <f>data!E196</f>
        <v>1071.8</v>
      </c>
      <c r="L506" s="1573" t="s">
        <v>2218</v>
      </c>
      <c r="M506" s="1609">
        <f>ROUND(I506*K506,0)</f>
        <v>137330</v>
      </c>
      <c r="N506" s="1578" t="s">
        <v>2218</v>
      </c>
    </row>
    <row r="507" spans="1:14" ht="17.25" hidden="1" customHeight="1">
      <c r="A507" s="1156">
        <v>15</v>
      </c>
      <c r="B507" s="1826" t="s">
        <v>305</v>
      </c>
      <c r="C507" s="1826"/>
      <c r="D507" s="1828"/>
      <c r="E507" s="1826"/>
      <c r="F507" s="1826"/>
      <c r="G507" s="1826"/>
      <c r="H507" s="1826"/>
      <c r="I507" s="1157"/>
      <c r="J507" s="1158"/>
      <c r="K507" s="1156"/>
      <c r="L507" s="1159"/>
      <c r="M507" s="1160"/>
      <c r="N507" s="1161" t="s">
        <v>2306</v>
      </c>
    </row>
    <row r="508" spans="1:14" s="1170" customFormat="1" ht="16.5" hidden="1" customHeight="1">
      <c r="A508" s="1156"/>
      <c r="B508" s="1169" t="s">
        <v>3480</v>
      </c>
      <c r="C508" s="1157"/>
      <c r="D508" s="1328" t="s">
        <v>3528</v>
      </c>
      <c r="E508" s="1165"/>
      <c r="F508" s="1166"/>
      <c r="G508" s="1166"/>
      <c r="H508" s="1166"/>
      <c r="I508" s="1167"/>
      <c r="J508" s="1168"/>
      <c r="K508" s="1169"/>
      <c r="L508" s="1156"/>
      <c r="M508" s="1169"/>
      <c r="N508" s="1161" t="s">
        <v>2306</v>
      </c>
    </row>
    <row r="509" spans="1:14" s="1170" customFormat="1" ht="16.5" hidden="1" customHeight="1">
      <c r="A509" s="1156"/>
      <c r="B509" s="1169"/>
      <c r="C509" s="1157">
        <v>1</v>
      </c>
      <c r="D509" s="1171" t="s">
        <v>273</v>
      </c>
      <c r="E509" s="1165">
        <v>1</v>
      </c>
      <c r="F509" s="1166">
        <v>11.96</v>
      </c>
      <c r="G509" s="1166">
        <v>10.43</v>
      </c>
      <c r="H509" s="1166">
        <v>0</v>
      </c>
      <c r="I509" s="1172">
        <f>ROUND(IF(AND(F509:H509),C509*E509*F509*G509*H509,IF(AND(F509,G509),C509*E509*F509*G509,IF(AND(F509,H509),C509*E509*F509*H509,IF(AND(G509,H509),C509*E509*G509*H509,IF(F509,C509*E509*F509,IF(G509,C509*E509*G509,IF(H509,C509*E509*H509,C509*E509))))))),2)</f>
        <v>124.74</v>
      </c>
      <c r="J509" s="1168" t="s">
        <v>102</v>
      </c>
      <c r="K509" s="1169"/>
      <c r="L509" s="1156"/>
      <c r="M509" s="1169"/>
      <c r="N509" s="1161" t="s">
        <v>2306</v>
      </c>
    </row>
    <row r="510" spans="1:14" s="1170" customFormat="1" ht="16.5" hidden="1" customHeight="1">
      <c r="A510" s="1156"/>
      <c r="B510" s="1169"/>
      <c r="C510" s="1157">
        <v>1</v>
      </c>
      <c r="D510" s="1171" t="s">
        <v>273</v>
      </c>
      <c r="E510" s="1165">
        <v>1</v>
      </c>
      <c r="F510" s="1166">
        <v>3.5</v>
      </c>
      <c r="G510" s="1166">
        <v>0.93</v>
      </c>
      <c r="H510" s="1166">
        <v>0</v>
      </c>
      <c r="I510" s="1172">
        <f>ROUND(IF(AND(F510:H510),C510*E510*F510*G510*H510,IF(AND(F510,G510),C510*E510*F510*G510,IF(AND(F510,H510),C510*E510*F510*H510,IF(AND(G510,H510),C510*E510*G510*H510,IF(F510,C510*E510*F510,IF(G510,C510*E510*G510,IF(H510,C510*E510*H510,C510*E510))))))),2)</f>
        <v>3.26</v>
      </c>
      <c r="J510" s="1168" t="s">
        <v>102</v>
      </c>
      <c r="K510" s="1169"/>
      <c r="L510" s="1156"/>
      <c r="M510" s="1169"/>
      <c r="N510" s="1161" t="s">
        <v>2306</v>
      </c>
    </row>
    <row r="511" spans="1:14" s="1170" customFormat="1" ht="16.5" hidden="1" customHeight="1">
      <c r="A511" s="1156"/>
      <c r="B511" s="1344"/>
      <c r="C511" s="1345"/>
      <c r="D511" s="1346"/>
      <c r="E511" s="1347"/>
      <c r="F511" s="1348"/>
      <c r="G511" s="1348"/>
      <c r="H511" s="1349"/>
      <c r="I511" s="1350"/>
      <c r="J511" s="1168"/>
      <c r="K511" s="1169"/>
      <c r="L511" s="1159"/>
      <c r="M511" s="1169"/>
      <c r="N511" s="1161" t="s">
        <v>2306</v>
      </c>
    </row>
    <row r="512" spans="1:14" ht="15.75" hidden="1">
      <c r="A512" s="1156"/>
      <c r="B512" s="1169"/>
      <c r="C512" s="1337"/>
      <c r="D512" s="1171"/>
      <c r="E512" s="1165"/>
      <c r="F512" s="1166"/>
      <c r="G512" s="1343"/>
      <c r="H512" s="1156"/>
      <c r="I512" s="1336"/>
      <c r="J512" s="1168" t="s">
        <v>102</v>
      </c>
      <c r="K512" s="1221">
        <f>data!E1112</f>
        <v>1109.69</v>
      </c>
      <c r="L512" s="1159" t="s">
        <v>2306</v>
      </c>
      <c r="M512" s="1224">
        <f>ROUND(I512*K512,0)</f>
        <v>0</v>
      </c>
      <c r="N512" s="1161" t="s">
        <v>2306</v>
      </c>
    </row>
    <row r="513" spans="1:14" ht="17.25" hidden="1" customHeight="1">
      <c r="A513" s="1156">
        <v>11</v>
      </c>
      <c r="B513" s="1826" t="s">
        <v>305</v>
      </c>
      <c r="C513" s="1826"/>
      <c r="D513" s="1826"/>
      <c r="E513" s="1826"/>
      <c r="F513" s="1826"/>
      <c r="G513" s="1826"/>
      <c r="H513" s="1826"/>
      <c r="I513" s="1157"/>
      <c r="J513" s="1158"/>
      <c r="K513" s="1156"/>
      <c r="L513" s="1159"/>
      <c r="M513" s="1160"/>
      <c r="N513" s="1161" t="s">
        <v>2317</v>
      </c>
    </row>
    <row r="514" spans="1:14" s="1170" customFormat="1" ht="16.5" hidden="1" customHeight="1">
      <c r="A514" s="1156"/>
      <c r="B514" s="1169" t="s">
        <v>3093</v>
      </c>
      <c r="C514" s="1157"/>
      <c r="D514" s="1171"/>
      <c r="E514" s="1165"/>
      <c r="F514" s="1166"/>
      <c r="G514" s="1166"/>
      <c r="H514" s="1166"/>
      <c r="I514" s="1167"/>
      <c r="J514" s="1168"/>
      <c r="K514" s="1169"/>
      <c r="L514" s="1156"/>
      <c r="M514" s="1169"/>
      <c r="N514" s="1161" t="s">
        <v>2317</v>
      </c>
    </row>
    <row r="515" spans="1:14" s="1170" customFormat="1" ht="16.5" hidden="1" customHeight="1">
      <c r="A515" s="1156"/>
      <c r="B515" s="1169"/>
      <c r="C515" s="1157">
        <v>1</v>
      </c>
      <c r="D515" s="1171" t="s">
        <v>273</v>
      </c>
      <c r="E515" s="1165">
        <v>1</v>
      </c>
      <c r="F515" s="1166">
        <v>10.45</v>
      </c>
      <c r="G515" s="1166">
        <v>9.4499999999999993</v>
      </c>
      <c r="H515" s="1166">
        <v>0</v>
      </c>
      <c r="I515" s="1172">
        <f t="shared" ref="I515:I517" si="60">ROUND(IF(AND(F515:H515),C515*E515*F515*G515*H515,IF(AND(F515,G515),C515*E515*F515*G515,IF(AND(F515,H515),C515*E515*F515*H515,IF(AND(G515,H515),C515*E515*G515*H515,IF(F515,C515*E515*F515,IF(G515,C515*E515*G515,IF(H515,C515*E515*H515,C515*E515))))))),2)</f>
        <v>98.75</v>
      </c>
      <c r="J515" s="1168" t="s">
        <v>102</v>
      </c>
      <c r="K515" s="1169"/>
      <c r="L515" s="1156"/>
      <c r="M515" s="1169"/>
      <c r="N515" s="1161" t="s">
        <v>2317</v>
      </c>
    </row>
    <row r="516" spans="1:14" s="1170" customFormat="1" ht="16.5" hidden="1" customHeight="1">
      <c r="A516" s="1156"/>
      <c r="B516" s="1169"/>
      <c r="C516" s="1157">
        <v>1</v>
      </c>
      <c r="D516" s="1171" t="s">
        <v>273</v>
      </c>
      <c r="E516" s="1165">
        <v>1</v>
      </c>
      <c r="F516" s="1166">
        <v>5.6</v>
      </c>
      <c r="G516" s="1166">
        <v>5.65</v>
      </c>
      <c r="H516" s="1166">
        <v>0</v>
      </c>
      <c r="I516" s="1172">
        <f t="shared" si="60"/>
        <v>31.64</v>
      </c>
      <c r="J516" s="1168" t="s">
        <v>102</v>
      </c>
      <c r="K516" s="1169"/>
      <c r="L516" s="1156"/>
      <c r="M516" s="1169"/>
      <c r="N516" s="1161" t="s">
        <v>2317</v>
      </c>
    </row>
    <row r="517" spans="1:14" s="1170" customFormat="1" ht="16.5" hidden="1" customHeight="1">
      <c r="A517" s="1156"/>
      <c r="B517" s="1169"/>
      <c r="C517" s="1157">
        <v>1</v>
      </c>
      <c r="D517" s="1171" t="s">
        <v>273</v>
      </c>
      <c r="E517" s="1165">
        <v>1</v>
      </c>
      <c r="F517" s="1166">
        <v>4.5</v>
      </c>
      <c r="G517" s="1166">
        <v>0.3</v>
      </c>
      <c r="H517" s="1166">
        <v>0</v>
      </c>
      <c r="I517" s="1172">
        <f t="shared" si="60"/>
        <v>1.35</v>
      </c>
      <c r="J517" s="1168" t="s">
        <v>102</v>
      </c>
      <c r="K517" s="1169"/>
      <c r="L517" s="1156"/>
      <c r="M517" s="1169"/>
      <c r="N517" s="1161" t="s">
        <v>2317</v>
      </c>
    </row>
    <row r="518" spans="1:14" s="1170" customFormat="1" ht="16.5" hidden="1" customHeight="1">
      <c r="A518" s="1156"/>
      <c r="B518" s="1344"/>
      <c r="C518" s="1345"/>
      <c r="D518" s="1346"/>
      <c r="E518" s="1347"/>
      <c r="F518" s="1348"/>
      <c r="G518" s="1348"/>
      <c r="H518" s="1349"/>
      <c r="I518" s="1350"/>
      <c r="J518" s="1168"/>
      <c r="K518" s="1169"/>
      <c r="L518" s="1159"/>
      <c r="M518" s="1169"/>
      <c r="N518" s="1161" t="s">
        <v>2317</v>
      </c>
    </row>
    <row r="519" spans="1:14" ht="15.75" hidden="1">
      <c r="A519" s="1156"/>
      <c r="B519" s="1169"/>
      <c r="C519" s="1337"/>
      <c r="D519" s="1171"/>
      <c r="E519" s="1165"/>
      <c r="F519" s="1166"/>
      <c r="G519" s="1343"/>
      <c r="H519" s="1156"/>
      <c r="I519" s="1336"/>
      <c r="J519" s="1168" t="s">
        <v>102</v>
      </c>
      <c r="K519" s="1221">
        <f>data!E2029</f>
        <v>1166.67</v>
      </c>
      <c r="L519" s="1159" t="s">
        <v>2317</v>
      </c>
      <c r="M519" s="1224">
        <f>ROUND(I519*K519,0)</f>
        <v>0</v>
      </c>
      <c r="N519" s="1161" t="s">
        <v>2317</v>
      </c>
    </row>
    <row r="520" spans="1:14" ht="17.25" hidden="1" customHeight="1">
      <c r="A520" s="1156">
        <v>11</v>
      </c>
      <c r="B520" s="1826" t="s">
        <v>305</v>
      </c>
      <c r="C520" s="1826"/>
      <c r="D520" s="1826"/>
      <c r="E520" s="1826"/>
      <c r="F520" s="1826"/>
      <c r="G520" s="1826"/>
      <c r="H520" s="1826"/>
      <c r="I520" s="1157"/>
      <c r="J520" s="1158"/>
      <c r="K520" s="1156"/>
      <c r="L520" s="1159"/>
      <c r="M520" s="1160"/>
      <c r="N520" s="1161" t="s">
        <v>2318</v>
      </c>
    </row>
    <row r="521" spans="1:14" s="1170" customFormat="1" ht="16.5" hidden="1" customHeight="1">
      <c r="A521" s="1156"/>
      <c r="B521" s="1163" t="s">
        <v>3484</v>
      </c>
      <c r="C521" s="1338"/>
      <c r="D521" s="1164"/>
      <c r="E521" s="1339"/>
      <c r="F521" s="1340"/>
      <c r="G521" s="1340"/>
      <c r="H521" s="1340"/>
      <c r="I521" s="1341"/>
      <c r="J521" s="1168"/>
      <c r="K521" s="1169"/>
      <c r="L521" s="1156"/>
      <c r="M521" s="1169"/>
      <c r="N521" s="1161" t="s">
        <v>2318</v>
      </c>
    </row>
    <row r="522" spans="1:14" s="1170" customFormat="1" ht="16.5" hidden="1" customHeight="1">
      <c r="A522" s="1156"/>
      <c r="B522" s="1169"/>
      <c r="C522" s="1157">
        <v>1</v>
      </c>
      <c r="D522" s="1171" t="s">
        <v>273</v>
      </c>
      <c r="E522" s="1165">
        <v>1</v>
      </c>
      <c r="F522" s="1166">
        <v>16.09</v>
      </c>
      <c r="G522" s="1166">
        <v>10.19</v>
      </c>
      <c r="H522" s="1166">
        <v>0</v>
      </c>
      <c r="I522" s="1172">
        <f>ROUND(IF(AND(F522:H522),C522*E522*F522*G522*H522,IF(AND(F522,G522),C522*E522*F522*G522,IF(AND(F522,H522),C522*E522*F522*H522,IF(AND(G522,H522),C522*E522*G522*H522,IF(F522,C522*E522*F522,IF(G522,C522*E522*G522,IF(H522,C522*E522*H522,C522*E522))))))),2)</f>
        <v>163.96</v>
      </c>
      <c r="J522" s="1168" t="s">
        <v>102</v>
      </c>
      <c r="K522" s="1169"/>
      <c r="L522" s="1156"/>
      <c r="M522" s="1169"/>
      <c r="N522" s="1161" t="s">
        <v>2318</v>
      </c>
    </row>
    <row r="523" spans="1:14" s="1170" customFormat="1" ht="16.5" hidden="1" customHeight="1">
      <c r="A523" s="1156"/>
      <c r="B523" s="1169"/>
      <c r="C523" s="1157">
        <v>1</v>
      </c>
      <c r="D523" s="1171" t="s">
        <v>273</v>
      </c>
      <c r="E523" s="1165">
        <v>1</v>
      </c>
      <c r="F523" s="1166">
        <v>3.86</v>
      </c>
      <c r="G523" s="1166">
        <v>2.63</v>
      </c>
      <c r="H523" s="1166">
        <v>0</v>
      </c>
      <c r="I523" s="1172">
        <f>-ROUND(IF(AND(F523:H523),C523*E523*F523*G523*H523,IF(AND(F523,G523),C523*E523*F523*G523,IF(AND(F523,H523),C523*E523*F523*H523,IF(AND(G523,H523),C523*E523*G523*H523,IF(F523,C523*E523*F523,IF(G523,C523*E523*G523,IF(H523,C523*E523*H523,C523*E523))))))),2)</f>
        <v>-10.15</v>
      </c>
      <c r="J523" s="1168" t="s">
        <v>102</v>
      </c>
      <c r="K523" s="1169"/>
      <c r="L523" s="1156"/>
      <c r="M523" s="1169"/>
      <c r="N523" s="1161" t="s">
        <v>2318</v>
      </c>
    </row>
    <row r="524" spans="1:14" s="1170" customFormat="1" ht="16.5" hidden="1" customHeight="1">
      <c r="A524" s="1156"/>
      <c r="B524" s="1344"/>
      <c r="C524" s="1345"/>
      <c r="D524" s="1346"/>
      <c r="E524" s="1347"/>
      <c r="F524" s="1348"/>
      <c r="G524" s="1348"/>
      <c r="H524" s="1349"/>
      <c r="I524" s="1350"/>
      <c r="J524" s="1168"/>
      <c r="K524" s="1169"/>
      <c r="L524" s="1159"/>
      <c r="M524" s="1169"/>
      <c r="N524" s="1161" t="s">
        <v>2318</v>
      </c>
    </row>
    <row r="525" spans="1:14" ht="15.75" hidden="1">
      <c r="A525" s="1156"/>
      <c r="B525" s="1169"/>
      <c r="C525" s="1337"/>
      <c r="D525" s="1171"/>
      <c r="E525" s="1165"/>
      <c r="F525" s="1166"/>
      <c r="G525" s="1343"/>
      <c r="H525" s="1156"/>
      <c r="I525" s="1336"/>
      <c r="J525" s="1168" t="s">
        <v>102</v>
      </c>
      <c r="K525" s="1221">
        <f>data!E2946</f>
        <v>1202.4000000000001</v>
      </c>
      <c r="L525" s="1159" t="s">
        <v>2318</v>
      </c>
      <c r="M525" s="1224">
        <f>ROUND(I525*K525,0)</f>
        <v>0</v>
      </c>
      <c r="N525" s="1161" t="s">
        <v>2318</v>
      </c>
    </row>
    <row r="526" spans="1:14" ht="17.25" hidden="1" customHeight="1">
      <c r="A526" s="1156">
        <v>11</v>
      </c>
      <c r="B526" s="1826" t="s">
        <v>582</v>
      </c>
      <c r="C526" s="1826"/>
      <c r="D526" s="1826"/>
      <c r="E526" s="1826"/>
      <c r="F526" s="1826"/>
      <c r="G526" s="1826"/>
      <c r="H526" s="1826"/>
      <c r="I526" s="1157"/>
      <c r="J526" s="1158"/>
      <c r="K526" s="1156"/>
      <c r="L526" s="1159"/>
      <c r="M526" s="1160"/>
      <c r="N526" s="1161" t="s">
        <v>2218</v>
      </c>
    </row>
    <row r="527" spans="1:14" s="1170" customFormat="1" ht="16.5" hidden="1" customHeight="1">
      <c r="A527" s="1156"/>
      <c r="B527" s="1163" t="s">
        <v>1617</v>
      </c>
      <c r="C527" s="1338"/>
      <c r="D527" s="1164"/>
      <c r="E527" s="1339"/>
      <c r="F527" s="1340"/>
      <c r="G527" s="1340"/>
      <c r="H527" s="1340"/>
      <c r="I527" s="1341"/>
      <c r="J527" s="1168"/>
      <c r="K527" s="1169"/>
      <c r="L527" s="1156"/>
      <c r="M527" s="1169"/>
      <c r="N527" s="1161" t="s">
        <v>2218</v>
      </c>
    </row>
    <row r="528" spans="1:14" s="1170" customFormat="1" ht="16.5" hidden="1" customHeight="1">
      <c r="A528" s="1156"/>
      <c r="B528" s="1169"/>
      <c r="C528" s="1157">
        <v>1</v>
      </c>
      <c r="D528" s="1171" t="s">
        <v>273</v>
      </c>
      <c r="E528" s="1165">
        <v>2</v>
      </c>
      <c r="F528" s="1166">
        <f>(3.05+3.65)/2</f>
        <v>3.3499999999999996</v>
      </c>
      <c r="G528" s="1166">
        <v>0.95</v>
      </c>
      <c r="H528" s="1166">
        <v>0</v>
      </c>
      <c r="I528" s="1172">
        <f>ROUND(IF(AND(F528:H528),C528*E528*F528*G528*H528,IF(AND(F528,G528),C528*E528*F528*G528,IF(AND(F528,H528),C528*E528*F528*H528,IF(AND(G528,H528),C528*E528*G528*H528,IF(F528,C528*E528*F528,IF(G528,C528*E528*G528,IF(H528,C528*E528*H528,C528*E528))))))),2)</f>
        <v>6.37</v>
      </c>
      <c r="J528" s="1168" t="s">
        <v>102</v>
      </c>
      <c r="K528" s="1169"/>
      <c r="L528" s="1156"/>
      <c r="M528" s="1169"/>
      <c r="N528" s="1161" t="s">
        <v>2218</v>
      </c>
    </row>
    <row r="529" spans="1:14" s="1170" customFormat="1" ht="16.5" hidden="1" customHeight="1">
      <c r="A529" s="1156"/>
      <c r="B529" s="1169"/>
      <c r="C529" s="1157">
        <v>1</v>
      </c>
      <c r="D529" s="1171" t="s">
        <v>273</v>
      </c>
      <c r="E529" s="1165">
        <v>1</v>
      </c>
      <c r="F529" s="1166">
        <f>(16+17.2)/2</f>
        <v>16.600000000000001</v>
      </c>
      <c r="G529" s="1166">
        <v>0.95</v>
      </c>
      <c r="H529" s="1166">
        <v>0</v>
      </c>
      <c r="I529" s="1172">
        <f>ROUND(IF(AND(F529:H529),C529*E529*F529*G529*H529,IF(AND(F529,G529),C529*E529*F529*G529,IF(AND(F529,H529),C529*E529*F529*H529,IF(AND(G529,H529),C529*E529*G529*H529,IF(F529,C529*E529*F529,IF(G529,C529*E529*G529,IF(H529,C529*E529*H529,C529*E529))))))),2)</f>
        <v>15.77</v>
      </c>
      <c r="J529" s="1168" t="s">
        <v>102</v>
      </c>
      <c r="K529" s="1169"/>
      <c r="L529" s="1156"/>
      <c r="M529" s="1169"/>
      <c r="N529" s="1161" t="s">
        <v>2218</v>
      </c>
    </row>
    <row r="530" spans="1:14" s="1170" customFormat="1" ht="16.5" hidden="1" customHeight="1">
      <c r="A530" s="1156"/>
      <c r="B530" s="1344"/>
      <c r="C530" s="1345"/>
      <c r="D530" s="1346"/>
      <c r="E530" s="1347"/>
      <c r="F530" s="1348"/>
      <c r="G530" s="1348"/>
      <c r="H530" s="1349"/>
      <c r="I530" s="1350"/>
      <c r="J530" s="1168"/>
      <c r="K530" s="1169"/>
      <c r="L530" s="1159"/>
      <c r="M530" s="1169"/>
      <c r="N530" s="1161" t="s">
        <v>2218</v>
      </c>
    </row>
    <row r="531" spans="1:14" ht="15.75" hidden="1">
      <c r="A531" s="1156"/>
      <c r="B531" s="1169"/>
      <c r="C531" s="1337"/>
      <c r="D531" s="1171"/>
      <c r="E531" s="1165"/>
      <c r="F531" s="1166"/>
      <c r="G531" s="1343"/>
      <c r="H531" s="1156"/>
      <c r="I531" s="1336"/>
      <c r="J531" s="1168" t="s">
        <v>102</v>
      </c>
      <c r="K531" s="1221">
        <f>data!E189</f>
        <v>947.64</v>
      </c>
      <c r="L531" s="1159" t="s">
        <v>2218</v>
      </c>
      <c r="M531" s="1224">
        <f>ROUND(I531*K531,0)</f>
        <v>0</v>
      </c>
      <c r="N531" s="1161" t="s">
        <v>2218</v>
      </c>
    </row>
    <row r="532" spans="1:14" ht="17.25" hidden="1" customHeight="1">
      <c r="A532" s="1156">
        <v>15</v>
      </c>
      <c r="B532" s="1826" t="s">
        <v>582</v>
      </c>
      <c r="C532" s="1826"/>
      <c r="D532" s="1826"/>
      <c r="E532" s="1826"/>
      <c r="F532" s="1826"/>
      <c r="G532" s="1826"/>
      <c r="H532" s="1826"/>
      <c r="I532" s="1157"/>
      <c r="J532" s="1158"/>
      <c r="K532" s="1156"/>
      <c r="L532" s="1159"/>
      <c r="M532" s="1160"/>
      <c r="N532" s="1161" t="s">
        <v>2306</v>
      </c>
    </row>
    <row r="533" spans="1:14" s="1170" customFormat="1" ht="16.5" hidden="1" customHeight="1">
      <c r="A533" s="1156"/>
      <c r="B533" s="1169" t="s">
        <v>2505</v>
      </c>
      <c r="C533" s="1157"/>
      <c r="D533" s="1171"/>
      <c r="E533" s="1165"/>
      <c r="F533" s="1166"/>
      <c r="G533" s="1166"/>
      <c r="H533" s="1166"/>
      <c r="I533" s="1167"/>
      <c r="J533" s="1168"/>
      <c r="K533" s="1169"/>
      <c r="L533" s="1156"/>
      <c r="M533" s="1169"/>
      <c r="N533" s="1161" t="s">
        <v>2306</v>
      </c>
    </row>
    <row r="534" spans="1:14" s="1170" customFormat="1" ht="16.5" hidden="1" customHeight="1">
      <c r="A534" s="1156"/>
      <c r="B534" s="1169"/>
      <c r="C534" s="1157">
        <v>1</v>
      </c>
      <c r="D534" s="1171" t="s">
        <v>273</v>
      </c>
      <c r="E534" s="1165">
        <v>1</v>
      </c>
      <c r="F534" s="1166">
        <v>24.3</v>
      </c>
      <c r="G534" s="1166">
        <v>0.97</v>
      </c>
      <c r="H534" s="1166">
        <v>0</v>
      </c>
      <c r="I534" s="1172">
        <f>ROUND(IF(AND(F534:H534),C534*E534*F534*G534*H534,IF(AND(F534,G534),C534*E534*F534*G534,IF(AND(F534,H534),C534*E534*F534*H534,IF(AND(G534,H534),C534*E534*G534*H534,IF(F534,C534*E534*F534,IF(G534,C534*E534*G534,IF(H534,C534*E534*H534,C534*E534))))))),2)</f>
        <v>23.57</v>
      </c>
      <c r="J534" s="1168" t="s">
        <v>102</v>
      </c>
      <c r="K534" s="1169"/>
      <c r="L534" s="1156"/>
      <c r="M534" s="1169"/>
      <c r="N534" s="1161" t="s">
        <v>2306</v>
      </c>
    </row>
    <row r="535" spans="1:14" s="1170" customFormat="1" ht="16.5" hidden="1" customHeight="1">
      <c r="A535" s="1156"/>
      <c r="B535" s="1344"/>
      <c r="C535" s="1345"/>
      <c r="D535" s="1346"/>
      <c r="E535" s="1347"/>
      <c r="F535" s="1348"/>
      <c r="G535" s="1348"/>
      <c r="H535" s="1349"/>
      <c r="I535" s="1350"/>
      <c r="J535" s="1168"/>
      <c r="K535" s="1169"/>
      <c r="L535" s="1159"/>
      <c r="M535" s="1169"/>
      <c r="N535" s="1161" t="s">
        <v>2306</v>
      </c>
    </row>
    <row r="536" spans="1:14" ht="15.75" hidden="1">
      <c r="A536" s="1156"/>
      <c r="B536" s="1169"/>
      <c r="C536" s="1337"/>
      <c r="D536" s="1171"/>
      <c r="E536" s="1165"/>
      <c r="F536" s="1166"/>
      <c r="G536" s="1343"/>
      <c r="H536" s="1156"/>
      <c r="I536" s="1336"/>
      <c r="J536" s="1168" t="s">
        <v>102</v>
      </c>
      <c r="K536" s="1221">
        <f>data!E1105</f>
        <v>980.15</v>
      </c>
      <c r="L536" s="1159" t="s">
        <v>2306</v>
      </c>
      <c r="M536" s="1224">
        <f>ROUND(I536*K536,0)</f>
        <v>0</v>
      </c>
      <c r="N536" s="1161" t="s">
        <v>2306</v>
      </c>
    </row>
    <row r="537" spans="1:14" ht="17.25" hidden="1" customHeight="1">
      <c r="A537" s="1156">
        <v>11</v>
      </c>
      <c r="B537" s="1826" t="s">
        <v>582</v>
      </c>
      <c r="C537" s="1826"/>
      <c r="D537" s="1826"/>
      <c r="E537" s="1826"/>
      <c r="F537" s="1826"/>
      <c r="G537" s="1826"/>
      <c r="H537" s="1826"/>
      <c r="I537" s="1157"/>
      <c r="J537" s="1158"/>
      <c r="K537" s="1156"/>
      <c r="L537" s="1159"/>
      <c r="M537" s="1160"/>
      <c r="N537" s="1161" t="s">
        <v>2317</v>
      </c>
    </row>
    <row r="538" spans="1:14" s="1170" customFormat="1" ht="16.5" hidden="1" customHeight="1">
      <c r="A538" s="1156"/>
      <c r="B538" s="1163" t="s">
        <v>1617</v>
      </c>
      <c r="C538" s="1338"/>
      <c r="D538" s="1164"/>
      <c r="E538" s="1339"/>
      <c r="F538" s="1340"/>
      <c r="G538" s="1340"/>
      <c r="H538" s="1340"/>
      <c r="I538" s="1341"/>
      <c r="J538" s="1168"/>
      <c r="K538" s="1169"/>
      <c r="L538" s="1156"/>
      <c r="M538" s="1169"/>
      <c r="N538" s="1161" t="s">
        <v>2317</v>
      </c>
    </row>
    <row r="539" spans="1:14" s="1170" customFormat="1" ht="16.5" hidden="1" customHeight="1">
      <c r="A539" s="1156"/>
      <c r="B539" s="1169"/>
      <c r="C539" s="1157">
        <v>1</v>
      </c>
      <c r="D539" s="1171" t="s">
        <v>273</v>
      </c>
      <c r="E539" s="1165">
        <v>2</v>
      </c>
      <c r="F539" s="1166">
        <f>(3.05+3.65)/2</f>
        <v>3.3499999999999996</v>
      </c>
      <c r="G539" s="1166">
        <v>0.95</v>
      </c>
      <c r="H539" s="1166">
        <v>0</v>
      </c>
      <c r="I539" s="1172">
        <f>ROUND(IF(AND(F539:H539),C539*E539*F539*G539*H539,IF(AND(F539,G539),C539*E539*F539*G539,IF(AND(F539,H539),C539*E539*F539*H539,IF(AND(G539,H539),C539*E539*G539*H539,IF(F539,C539*E539*F539,IF(G539,C539*E539*G539,IF(H539,C539*E539*H539,C539*E539))))))),2)</f>
        <v>6.37</v>
      </c>
      <c r="J539" s="1168" t="s">
        <v>102</v>
      </c>
      <c r="K539" s="1169"/>
      <c r="L539" s="1156"/>
      <c r="M539" s="1169"/>
      <c r="N539" s="1161" t="s">
        <v>2317</v>
      </c>
    </row>
    <row r="540" spans="1:14" s="1170" customFormat="1" ht="16.5" hidden="1" customHeight="1">
      <c r="A540" s="1156"/>
      <c r="B540" s="1169"/>
      <c r="C540" s="1157">
        <v>1</v>
      </c>
      <c r="D540" s="1171" t="s">
        <v>273</v>
      </c>
      <c r="E540" s="1165">
        <v>1</v>
      </c>
      <c r="F540" s="1166">
        <f>(16+17.2)/2</f>
        <v>16.600000000000001</v>
      </c>
      <c r="G540" s="1166">
        <v>0.95</v>
      </c>
      <c r="H540" s="1166">
        <v>0</v>
      </c>
      <c r="I540" s="1172">
        <f>ROUND(IF(AND(F540:H540),C540*E540*F540*G540*H540,IF(AND(F540,G540),C540*E540*F540*G540,IF(AND(F540,H540),C540*E540*F540*H540,IF(AND(G540,H540),C540*E540*G540*H540,IF(F540,C540*E540*F540,IF(G540,C540*E540*G540,IF(H540,C540*E540*H540,C540*E540))))))),2)</f>
        <v>15.77</v>
      </c>
      <c r="J540" s="1168" t="s">
        <v>102</v>
      </c>
      <c r="K540" s="1169"/>
      <c r="L540" s="1156"/>
      <c r="M540" s="1169"/>
      <c r="N540" s="1161" t="s">
        <v>2317</v>
      </c>
    </row>
    <row r="541" spans="1:14" s="1170" customFormat="1" ht="16.5" hidden="1" customHeight="1">
      <c r="A541" s="1156"/>
      <c r="B541" s="1344"/>
      <c r="C541" s="1345"/>
      <c r="D541" s="1346"/>
      <c r="E541" s="1347"/>
      <c r="F541" s="1348"/>
      <c r="G541" s="1348"/>
      <c r="H541" s="1349"/>
      <c r="I541" s="1350"/>
      <c r="J541" s="1168"/>
      <c r="K541" s="1169"/>
      <c r="L541" s="1159"/>
      <c r="M541" s="1169"/>
      <c r="N541" s="1161" t="s">
        <v>2317</v>
      </c>
    </row>
    <row r="542" spans="1:14" ht="15.75" hidden="1">
      <c r="A542" s="1156"/>
      <c r="B542" s="1169"/>
      <c r="C542" s="1337"/>
      <c r="D542" s="1171"/>
      <c r="E542" s="1165"/>
      <c r="F542" s="1166"/>
      <c r="G542" s="1343"/>
      <c r="H542" s="1156"/>
      <c r="I542" s="1336"/>
      <c r="J542" s="1168" t="s">
        <v>102</v>
      </c>
      <c r="K542" s="1221">
        <f>data!E2022</f>
        <v>1030.9299999999998</v>
      </c>
      <c r="L542" s="1159" t="s">
        <v>2317</v>
      </c>
      <c r="M542" s="1224">
        <f>ROUND(I542*K542,0)</f>
        <v>0</v>
      </c>
      <c r="N542" s="1161" t="s">
        <v>2317</v>
      </c>
    </row>
    <row r="543" spans="1:14" ht="17.25" hidden="1" customHeight="1">
      <c r="A543" s="1156">
        <v>21</v>
      </c>
      <c r="B543" s="1826" t="s">
        <v>582</v>
      </c>
      <c r="C543" s="1826"/>
      <c r="D543" s="1826"/>
      <c r="E543" s="1826"/>
      <c r="F543" s="1826"/>
      <c r="G543" s="1826"/>
      <c r="H543" s="1826"/>
      <c r="I543" s="1157"/>
      <c r="J543" s="1158"/>
      <c r="K543" s="1156"/>
      <c r="L543" s="1159"/>
      <c r="M543" s="1160"/>
      <c r="N543" s="1161" t="s">
        <v>2318</v>
      </c>
    </row>
    <row r="544" spans="1:14" s="1170" customFormat="1" ht="16.5" hidden="1" customHeight="1">
      <c r="A544" s="1156"/>
      <c r="B544" s="1163" t="s">
        <v>3395</v>
      </c>
      <c r="C544" s="1338"/>
      <c r="D544" s="1164"/>
      <c r="E544" s="1339"/>
      <c r="F544" s="1340"/>
      <c r="G544" s="1340"/>
      <c r="H544" s="1340"/>
      <c r="I544" s="1341"/>
      <c r="J544" s="1168"/>
      <c r="K544" s="1169"/>
      <c r="L544" s="1156"/>
      <c r="M544" s="1169"/>
      <c r="N544" s="1161" t="s">
        <v>2318</v>
      </c>
    </row>
    <row r="545" spans="1:14" s="1170" customFormat="1" ht="16.5" hidden="1" customHeight="1">
      <c r="A545" s="1156"/>
      <c r="B545" s="1169"/>
      <c r="C545" s="1157">
        <v>1</v>
      </c>
      <c r="D545" s="1171" t="s">
        <v>273</v>
      </c>
      <c r="E545" s="1165">
        <v>1</v>
      </c>
      <c r="F545" s="1166">
        <v>2.2999999999999998</v>
      </c>
      <c r="G545" s="1166">
        <v>2.1</v>
      </c>
      <c r="H545" s="1166">
        <v>0</v>
      </c>
      <c r="I545" s="1172">
        <f>ROUND(IF(AND(F545:H545),C545*E545*F545*G545*H545,IF(AND(F545,G545),C545*E545*F545*G545,IF(AND(F545,H545),C545*E545*F545*H545,IF(AND(G545,H545),C545*E545*G545*H545,IF(F545,C545*E545*F545,IF(G545,C545*E545*G545,IF(H545,C545*E545*H545,C545*E545))))))),2)</f>
        <v>4.83</v>
      </c>
      <c r="J545" s="1168" t="s">
        <v>102</v>
      </c>
      <c r="K545" s="1169"/>
      <c r="L545" s="1156"/>
      <c r="M545" s="1169"/>
      <c r="N545" s="1161" t="s">
        <v>2318</v>
      </c>
    </row>
    <row r="546" spans="1:14" s="1170" customFormat="1" ht="16.5" hidden="1" customHeight="1">
      <c r="A546" s="1156"/>
      <c r="B546" s="1344"/>
      <c r="C546" s="1345"/>
      <c r="D546" s="1346"/>
      <c r="E546" s="1347"/>
      <c r="F546" s="1348"/>
      <c r="G546" s="1348"/>
      <c r="H546" s="1349"/>
      <c r="I546" s="1350"/>
      <c r="J546" s="1168"/>
      <c r="K546" s="1169"/>
      <c r="L546" s="1159"/>
      <c r="M546" s="1169"/>
      <c r="N546" s="1161" t="s">
        <v>2318</v>
      </c>
    </row>
    <row r="547" spans="1:14" ht="15.75" hidden="1">
      <c r="A547" s="1156"/>
      <c r="B547" s="1169"/>
      <c r="C547" s="1337"/>
      <c r="D547" s="1171"/>
      <c r="E547" s="1165"/>
      <c r="F547" s="1166"/>
      <c r="G547" s="1343"/>
      <c r="H547" s="1156"/>
      <c r="I547" s="1336"/>
      <c r="J547" s="1168" t="s">
        <v>102</v>
      </c>
      <c r="K547" s="1221">
        <f>data!E2939</f>
        <v>1059.52</v>
      </c>
      <c r="L547" s="1159" t="s">
        <v>2318</v>
      </c>
      <c r="M547" s="1224">
        <f>ROUND(I547*K547,0)</f>
        <v>0</v>
      </c>
      <c r="N547" s="1161" t="s">
        <v>2318</v>
      </c>
    </row>
    <row r="548" spans="1:14" ht="18.75" hidden="1" customHeight="1">
      <c r="A548" s="1156">
        <v>11</v>
      </c>
      <c r="B548" s="1826" t="s">
        <v>1315</v>
      </c>
      <c r="C548" s="1826"/>
      <c r="D548" s="1826"/>
      <c r="E548" s="1826"/>
      <c r="F548" s="1826"/>
      <c r="G548" s="1826"/>
      <c r="H548" s="1826"/>
      <c r="I548" s="1157"/>
      <c r="J548" s="1158"/>
      <c r="K548" s="1156"/>
      <c r="L548" s="1159"/>
      <c r="M548" s="1160"/>
      <c r="N548" s="1161" t="s">
        <v>2218</v>
      </c>
    </row>
    <row r="549" spans="1:14" s="1170" customFormat="1" ht="16.5" hidden="1" customHeight="1">
      <c r="A549" s="1156"/>
      <c r="B549" s="1169" t="s">
        <v>3477</v>
      </c>
      <c r="C549" s="1157"/>
      <c r="D549" s="1171"/>
      <c r="E549" s="1165"/>
      <c r="F549" s="1166"/>
      <c r="G549" s="1166"/>
      <c r="H549" s="1166"/>
      <c r="I549" s="1167"/>
      <c r="J549" s="1168"/>
      <c r="K549" s="1169"/>
      <c r="L549" s="1159"/>
      <c r="M549" s="1169"/>
      <c r="N549" s="1161" t="s">
        <v>2218</v>
      </c>
    </row>
    <row r="550" spans="1:14" s="1170" customFormat="1" ht="16.5" hidden="1" customHeight="1">
      <c r="A550" s="1156"/>
      <c r="B550" s="1169" t="s">
        <v>1491</v>
      </c>
      <c r="C550" s="1157">
        <v>1</v>
      </c>
      <c r="D550" s="1171" t="s">
        <v>273</v>
      </c>
      <c r="E550" s="1165">
        <v>2</v>
      </c>
      <c r="F550" s="1166">
        <v>3.33</v>
      </c>
      <c r="G550" s="1166">
        <v>1.32</v>
      </c>
      <c r="H550" s="1166">
        <v>0</v>
      </c>
      <c r="I550" s="1172">
        <f>ROUND(IF(AND(F550:H550),C550*E550*F550*G550*H550,IF(AND(F550,G550),C550*E550*F550*G550,IF(AND(F550,H550),C550*E550*F550*H550,IF(AND(G550,H550),C550*E550*G550*H550,IF(F550,C550*E550*F550,IF(G550,C550*E550*G550,IF(H550,C550*E550*H550,C550*E550))))))),2)</f>
        <v>8.7899999999999991</v>
      </c>
      <c r="J550" s="1168" t="s">
        <v>102</v>
      </c>
      <c r="K550" s="1169"/>
      <c r="L550" s="1159"/>
      <c r="M550" s="1169"/>
      <c r="N550" s="1161" t="s">
        <v>2218</v>
      </c>
    </row>
    <row r="551" spans="1:14" s="1170" customFormat="1" ht="16.5" hidden="1" customHeight="1">
      <c r="A551" s="1156"/>
      <c r="B551" s="1169"/>
      <c r="C551" s="1157">
        <v>2</v>
      </c>
      <c r="D551" s="1171" t="s">
        <v>273</v>
      </c>
      <c r="E551" s="1165">
        <v>0.5</v>
      </c>
      <c r="F551" s="1166">
        <v>0.94</v>
      </c>
      <c r="G551" s="1166">
        <v>1.35</v>
      </c>
      <c r="H551" s="1166">
        <v>0</v>
      </c>
      <c r="I551" s="1172">
        <f>ROUND(IF(AND(F551:H551),C551*E551*F551*G551*H551,IF(AND(F551,G551),C551*E551*F551*G551,IF(AND(F551,H551),C551*E551*F551*H551,IF(AND(G551,H551),C551*E551*G551*H551,IF(F551,C551*E551*F551,IF(G551,C551*E551*G551,IF(H551,C551*E551*H551,C551*E551))))))),2)</f>
        <v>1.27</v>
      </c>
      <c r="J551" s="1168" t="s">
        <v>102</v>
      </c>
      <c r="K551" s="1169"/>
      <c r="L551" s="1159"/>
      <c r="M551" s="1169"/>
      <c r="N551" s="1161" t="s">
        <v>2218</v>
      </c>
    </row>
    <row r="552" spans="1:14" s="1170" customFormat="1" ht="16.5" hidden="1" customHeight="1">
      <c r="A552" s="1156"/>
      <c r="B552" s="1331"/>
      <c r="C552" s="1332"/>
      <c r="D552" s="1333"/>
      <c r="E552" s="1334"/>
      <c r="F552" s="1335"/>
      <c r="G552" s="1335"/>
      <c r="H552" s="1335"/>
      <c r="I552" s="1336"/>
      <c r="J552" s="1168"/>
      <c r="K552" s="1169"/>
      <c r="L552" s="1159"/>
      <c r="M552" s="1169"/>
      <c r="N552" s="1161" t="s">
        <v>2218</v>
      </c>
    </row>
    <row r="553" spans="1:14" ht="15.75" hidden="1">
      <c r="A553" s="1156"/>
      <c r="B553" s="1169"/>
      <c r="C553" s="1337"/>
      <c r="D553" s="1171"/>
      <c r="E553" s="1165"/>
      <c r="F553" s="1166"/>
      <c r="G553" s="1343"/>
      <c r="H553" s="1156"/>
      <c r="I553" s="1336"/>
      <c r="J553" s="1168" t="s">
        <v>102</v>
      </c>
      <c r="K553" s="1221">
        <f>data!E245</f>
        <v>471.03</v>
      </c>
      <c r="L553" s="1159" t="s">
        <v>2218</v>
      </c>
      <c r="M553" s="1224">
        <f>ROUND(I553*K553,0)</f>
        <v>0</v>
      </c>
      <c r="N553" s="1161" t="s">
        <v>2218</v>
      </c>
    </row>
    <row r="554" spans="1:14" ht="18.75" hidden="1" customHeight="1">
      <c r="A554" s="1156">
        <v>11</v>
      </c>
      <c r="B554" s="1826" t="s">
        <v>1315</v>
      </c>
      <c r="C554" s="1826"/>
      <c r="D554" s="1826"/>
      <c r="E554" s="1826"/>
      <c r="F554" s="1826"/>
      <c r="G554" s="1826"/>
      <c r="H554" s="1826"/>
      <c r="I554" s="1157"/>
      <c r="J554" s="1158"/>
      <c r="K554" s="1156"/>
      <c r="L554" s="1159"/>
      <c r="M554" s="1160"/>
      <c r="N554" s="1161" t="s">
        <v>2306</v>
      </c>
    </row>
    <row r="555" spans="1:14" s="1170" customFormat="1" ht="16.5" hidden="1" customHeight="1">
      <c r="A555" s="1156"/>
      <c r="B555" s="1169" t="s">
        <v>3477</v>
      </c>
      <c r="C555" s="1157"/>
      <c r="D555" s="1171"/>
      <c r="E555" s="1165"/>
      <c r="F555" s="1166"/>
      <c r="G555" s="1166"/>
      <c r="H555" s="1166"/>
      <c r="I555" s="1167"/>
      <c r="J555" s="1168"/>
      <c r="K555" s="1169"/>
      <c r="L555" s="1159"/>
      <c r="M555" s="1169"/>
      <c r="N555" s="1161" t="s">
        <v>2306</v>
      </c>
    </row>
    <row r="556" spans="1:14" s="1170" customFormat="1" ht="16.5" hidden="1" customHeight="1">
      <c r="A556" s="1156"/>
      <c r="B556" s="1169" t="s">
        <v>1491</v>
      </c>
      <c r="C556" s="1157">
        <v>1</v>
      </c>
      <c r="D556" s="1171" t="s">
        <v>273</v>
      </c>
      <c r="E556" s="1165">
        <v>2</v>
      </c>
      <c r="F556" s="1166">
        <v>3.33</v>
      </c>
      <c r="G556" s="1166">
        <v>1.32</v>
      </c>
      <c r="H556" s="1166">
        <v>0</v>
      </c>
      <c r="I556" s="1172">
        <f>ROUND(IF(AND(F556:H556),C556*E556*F556*G556*H556,IF(AND(F556,G556),C556*E556*F556*G556,IF(AND(F556,H556),C556*E556*F556*H556,IF(AND(G556,H556),C556*E556*G556*H556,IF(F556,C556*E556*F556,IF(G556,C556*E556*G556,IF(H556,C556*E556*H556,C556*E556))))))),2)</f>
        <v>8.7899999999999991</v>
      </c>
      <c r="J556" s="1168" t="s">
        <v>102</v>
      </c>
      <c r="K556" s="1169"/>
      <c r="L556" s="1159"/>
      <c r="M556" s="1169"/>
      <c r="N556" s="1161" t="s">
        <v>2306</v>
      </c>
    </row>
    <row r="557" spans="1:14" s="1170" customFormat="1" ht="16.5" hidden="1" customHeight="1">
      <c r="A557" s="1156"/>
      <c r="B557" s="1169"/>
      <c r="C557" s="1157">
        <v>2</v>
      </c>
      <c r="D557" s="1171" t="s">
        <v>273</v>
      </c>
      <c r="E557" s="1165">
        <v>0.5</v>
      </c>
      <c r="F557" s="1166">
        <v>0.94</v>
      </c>
      <c r="G557" s="1166">
        <v>1.35</v>
      </c>
      <c r="H557" s="1166">
        <v>0</v>
      </c>
      <c r="I557" s="1172">
        <f>ROUND(IF(AND(F557:H557),C557*E557*F557*G557*H557,IF(AND(F557,G557),C557*E557*F557*G557,IF(AND(F557,H557),C557*E557*F557*H557,IF(AND(G557,H557),C557*E557*G557*H557,IF(F557,C557*E557*F557,IF(G557,C557*E557*G557,IF(H557,C557*E557*H557,C557*E557))))))),2)</f>
        <v>1.27</v>
      </c>
      <c r="J557" s="1168" t="s">
        <v>102</v>
      </c>
      <c r="K557" s="1169"/>
      <c r="L557" s="1159"/>
      <c r="M557" s="1169"/>
      <c r="N557" s="1161" t="s">
        <v>2306</v>
      </c>
    </row>
    <row r="558" spans="1:14" s="1170" customFormat="1" ht="16.5" hidden="1" customHeight="1">
      <c r="A558" s="1156"/>
      <c r="B558" s="1331"/>
      <c r="C558" s="1332"/>
      <c r="D558" s="1333"/>
      <c r="E558" s="1334"/>
      <c r="F558" s="1335"/>
      <c r="G558" s="1335"/>
      <c r="H558" s="1335"/>
      <c r="I558" s="1336"/>
      <c r="J558" s="1168"/>
      <c r="K558" s="1169"/>
      <c r="L558" s="1159"/>
      <c r="M558" s="1169"/>
      <c r="N558" s="1161" t="s">
        <v>2306</v>
      </c>
    </row>
    <row r="559" spans="1:14" ht="15.75" hidden="1">
      <c r="A559" s="1156"/>
      <c r="B559" s="1169"/>
      <c r="C559" s="1337"/>
      <c r="D559" s="1171"/>
      <c r="E559" s="1165"/>
      <c r="F559" s="1166"/>
      <c r="G559" s="1343"/>
      <c r="H559" s="1156"/>
      <c r="I559" s="1336"/>
      <c r="J559" s="1168" t="s">
        <v>102</v>
      </c>
      <c r="K559" s="1221">
        <f>data!E1161</f>
        <v>487.1</v>
      </c>
      <c r="L559" s="1159" t="s">
        <v>2306</v>
      </c>
      <c r="M559" s="1224">
        <f>ROUND(I559*K559,0)</f>
        <v>0</v>
      </c>
      <c r="N559" s="1161" t="s">
        <v>2306</v>
      </c>
    </row>
    <row r="560" spans="1:14" ht="18.75" hidden="1" customHeight="1">
      <c r="A560" s="1156">
        <v>11</v>
      </c>
      <c r="B560" s="1826" t="s">
        <v>1315</v>
      </c>
      <c r="C560" s="1826"/>
      <c r="D560" s="1826"/>
      <c r="E560" s="1826"/>
      <c r="F560" s="1826"/>
      <c r="G560" s="1826"/>
      <c r="H560" s="1826"/>
      <c r="I560" s="1157"/>
      <c r="J560" s="1158"/>
      <c r="K560" s="1156"/>
      <c r="L560" s="1159"/>
      <c r="M560" s="1160"/>
      <c r="N560" s="1161" t="s">
        <v>2317</v>
      </c>
    </row>
    <row r="561" spans="1:14" s="1170" customFormat="1" ht="16.5" hidden="1" customHeight="1">
      <c r="A561" s="1156"/>
      <c r="B561" s="1169" t="s">
        <v>3477</v>
      </c>
      <c r="C561" s="1157"/>
      <c r="D561" s="1171"/>
      <c r="E561" s="1165"/>
      <c r="F561" s="1166"/>
      <c r="G561" s="1166"/>
      <c r="H561" s="1166"/>
      <c r="I561" s="1167"/>
      <c r="J561" s="1168"/>
      <c r="K561" s="1169"/>
      <c r="L561" s="1159"/>
      <c r="M561" s="1169"/>
      <c r="N561" s="1161" t="s">
        <v>2317</v>
      </c>
    </row>
    <row r="562" spans="1:14" s="1170" customFormat="1" ht="16.5" hidden="1" customHeight="1">
      <c r="A562" s="1156"/>
      <c r="B562" s="1169" t="s">
        <v>1491</v>
      </c>
      <c r="C562" s="1157">
        <v>1</v>
      </c>
      <c r="D562" s="1171" t="s">
        <v>273</v>
      </c>
      <c r="E562" s="1165">
        <v>2</v>
      </c>
      <c r="F562" s="1166">
        <v>3.33</v>
      </c>
      <c r="G562" s="1166">
        <v>1.32</v>
      </c>
      <c r="H562" s="1166">
        <v>0</v>
      </c>
      <c r="I562" s="1172">
        <f>ROUND(IF(AND(F562:H562),C562*E562*F562*G562*H562,IF(AND(F562,G562),C562*E562*F562*G562,IF(AND(F562,H562),C562*E562*F562*H562,IF(AND(G562,H562),C562*E562*G562*H562,IF(F562,C562*E562*F562,IF(G562,C562*E562*G562,IF(H562,C562*E562*H562,C562*E562))))))),2)</f>
        <v>8.7899999999999991</v>
      </c>
      <c r="J562" s="1168" t="s">
        <v>102</v>
      </c>
      <c r="K562" s="1169"/>
      <c r="L562" s="1159"/>
      <c r="M562" s="1169"/>
      <c r="N562" s="1161" t="s">
        <v>2317</v>
      </c>
    </row>
    <row r="563" spans="1:14" s="1170" customFormat="1" ht="16.5" hidden="1" customHeight="1">
      <c r="A563" s="1156"/>
      <c r="B563" s="1169"/>
      <c r="C563" s="1157">
        <v>2</v>
      </c>
      <c r="D563" s="1171" t="s">
        <v>273</v>
      </c>
      <c r="E563" s="1165">
        <v>0.5</v>
      </c>
      <c r="F563" s="1166">
        <v>0.94</v>
      </c>
      <c r="G563" s="1166">
        <v>1.35</v>
      </c>
      <c r="H563" s="1166">
        <v>0</v>
      </c>
      <c r="I563" s="1172">
        <f>ROUND(IF(AND(F563:H563),C563*E563*F563*G563*H563,IF(AND(F563,G563),C563*E563*F563*G563,IF(AND(F563,H563),C563*E563*F563*H563,IF(AND(G563,H563),C563*E563*G563*H563,IF(F563,C563*E563*F563,IF(G563,C563*E563*G563,IF(H563,C563*E563*H563,C563*E563))))))),2)</f>
        <v>1.27</v>
      </c>
      <c r="J563" s="1168" t="s">
        <v>102</v>
      </c>
      <c r="K563" s="1169"/>
      <c r="L563" s="1159"/>
      <c r="M563" s="1169"/>
      <c r="N563" s="1161" t="s">
        <v>2317</v>
      </c>
    </row>
    <row r="564" spans="1:14" s="1170" customFormat="1" ht="16.5" hidden="1" customHeight="1">
      <c r="A564" s="1156"/>
      <c r="B564" s="1331"/>
      <c r="C564" s="1332"/>
      <c r="D564" s="1333"/>
      <c r="E564" s="1334"/>
      <c r="F564" s="1335"/>
      <c r="G564" s="1335"/>
      <c r="H564" s="1335"/>
      <c r="I564" s="1336"/>
      <c r="J564" s="1168"/>
      <c r="K564" s="1169"/>
      <c r="L564" s="1159"/>
      <c r="M564" s="1169"/>
      <c r="N564" s="1161" t="s">
        <v>2317</v>
      </c>
    </row>
    <row r="565" spans="1:14" ht="15.75" hidden="1">
      <c r="A565" s="1156"/>
      <c r="B565" s="1169"/>
      <c r="C565" s="1337"/>
      <c r="D565" s="1171"/>
      <c r="E565" s="1165"/>
      <c r="F565" s="1166"/>
      <c r="G565" s="1343"/>
      <c r="H565" s="1156"/>
      <c r="I565" s="1336"/>
      <c r="J565" s="1168" t="s">
        <v>102</v>
      </c>
      <c r="K565" s="1221">
        <f>data!E2078</f>
        <v>512.26</v>
      </c>
      <c r="L565" s="1159" t="s">
        <v>2317</v>
      </c>
      <c r="M565" s="1224">
        <f>ROUND(I565*K565,0)</f>
        <v>0</v>
      </c>
      <c r="N565" s="1161" t="s">
        <v>2317</v>
      </c>
    </row>
    <row r="566" spans="1:14" ht="18.75" hidden="1" customHeight="1">
      <c r="A566" s="1156">
        <v>11</v>
      </c>
      <c r="B566" s="1826" t="s">
        <v>1315</v>
      </c>
      <c r="C566" s="1826"/>
      <c r="D566" s="1826"/>
      <c r="E566" s="1826"/>
      <c r="F566" s="1826"/>
      <c r="G566" s="1826"/>
      <c r="H566" s="1826"/>
      <c r="I566" s="1157"/>
      <c r="J566" s="1158"/>
      <c r="K566" s="1156"/>
      <c r="L566" s="1159"/>
      <c r="M566" s="1160"/>
      <c r="N566" s="1161" t="s">
        <v>2318</v>
      </c>
    </row>
    <row r="567" spans="1:14" s="1170" customFormat="1" ht="16.5" hidden="1" customHeight="1">
      <c r="A567" s="1156"/>
      <c r="B567" s="1169" t="s">
        <v>3477</v>
      </c>
      <c r="C567" s="1157"/>
      <c r="D567" s="1171"/>
      <c r="E567" s="1165"/>
      <c r="F567" s="1166"/>
      <c r="G567" s="1166"/>
      <c r="H567" s="1166"/>
      <c r="I567" s="1167"/>
      <c r="J567" s="1168"/>
      <c r="K567" s="1169"/>
      <c r="L567" s="1159"/>
      <c r="M567" s="1169"/>
      <c r="N567" s="1161" t="s">
        <v>2318</v>
      </c>
    </row>
    <row r="568" spans="1:14" s="1170" customFormat="1" ht="16.5" hidden="1" customHeight="1">
      <c r="A568" s="1156"/>
      <c r="B568" s="1169" t="s">
        <v>1491</v>
      </c>
      <c r="C568" s="1157">
        <v>1</v>
      </c>
      <c r="D568" s="1171" t="s">
        <v>273</v>
      </c>
      <c r="E568" s="1165">
        <v>2</v>
      </c>
      <c r="F568" s="1166">
        <v>3.33</v>
      </c>
      <c r="G568" s="1166">
        <v>1.32</v>
      </c>
      <c r="H568" s="1166">
        <v>0</v>
      </c>
      <c r="I568" s="1172">
        <f>ROUND(IF(AND(F568:H568),C568*E568*F568*G568*H568,IF(AND(F568,G568),C568*E568*F568*G568,IF(AND(F568,H568),C568*E568*F568*H568,IF(AND(G568,H568),C568*E568*G568*H568,IF(F568,C568*E568*F568,IF(G568,C568*E568*G568,IF(H568,C568*E568*H568,C568*E568))))))),2)</f>
        <v>8.7899999999999991</v>
      </c>
      <c r="J568" s="1168" t="s">
        <v>102</v>
      </c>
      <c r="K568" s="1169"/>
      <c r="L568" s="1159"/>
      <c r="M568" s="1169"/>
      <c r="N568" s="1161" t="s">
        <v>2318</v>
      </c>
    </row>
    <row r="569" spans="1:14" s="1170" customFormat="1" ht="16.5" hidden="1" customHeight="1">
      <c r="A569" s="1156"/>
      <c r="B569" s="1169"/>
      <c r="C569" s="1157">
        <v>2</v>
      </c>
      <c r="D569" s="1171" t="s">
        <v>273</v>
      </c>
      <c r="E569" s="1165">
        <v>0.5</v>
      </c>
      <c r="F569" s="1166">
        <v>0.94</v>
      </c>
      <c r="G569" s="1166">
        <v>1.35</v>
      </c>
      <c r="H569" s="1166">
        <v>0</v>
      </c>
      <c r="I569" s="1172">
        <f>ROUND(IF(AND(F569:H569),C569*E569*F569*G569*H569,IF(AND(F569,G569),C569*E569*F569*G569,IF(AND(F569,H569),C569*E569*F569*H569,IF(AND(G569,H569),C569*E569*G569*H569,IF(F569,C569*E569*F569,IF(G569,C569*E569*G569,IF(H569,C569*E569*H569,C569*E569))))))),2)</f>
        <v>1.27</v>
      </c>
      <c r="J569" s="1168" t="s">
        <v>102</v>
      </c>
      <c r="K569" s="1169"/>
      <c r="L569" s="1159"/>
      <c r="M569" s="1169"/>
      <c r="N569" s="1161" t="s">
        <v>2318</v>
      </c>
    </row>
    <row r="570" spans="1:14" s="1170" customFormat="1" ht="16.5" hidden="1" customHeight="1">
      <c r="A570" s="1156"/>
      <c r="B570" s="1331"/>
      <c r="C570" s="1332"/>
      <c r="D570" s="1333"/>
      <c r="E570" s="1334"/>
      <c r="F570" s="1335"/>
      <c r="G570" s="1335"/>
      <c r="H570" s="1335"/>
      <c r="I570" s="1336"/>
      <c r="J570" s="1168"/>
      <c r="K570" s="1169"/>
      <c r="L570" s="1159"/>
      <c r="M570" s="1169"/>
      <c r="N570" s="1161" t="s">
        <v>2318</v>
      </c>
    </row>
    <row r="571" spans="1:14" ht="15.75" hidden="1">
      <c r="A571" s="1156"/>
      <c r="B571" s="1169"/>
      <c r="C571" s="1337"/>
      <c r="D571" s="1171"/>
      <c r="E571" s="1165"/>
      <c r="F571" s="1166"/>
      <c r="G571" s="1343"/>
      <c r="H571" s="1156"/>
      <c r="I571" s="1336"/>
      <c r="J571" s="1168" t="s">
        <v>102</v>
      </c>
      <c r="K571" s="1221">
        <f>data!E2995</f>
        <v>526.29999999999995</v>
      </c>
      <c r="L571" s="1159" t="s">
        <v>2318</v>
      </c>
      <c r="M571" s="1224">
        <f>ROUND(I571*K571,0)</f>
        <v>0</v>
      </c>
      <c r="N571" s="1161" t="s">
        <v>2318</v>
      </c>
    </row>
    <row r="572" spans="1:14" ht="18.75" hidden="1" customHeight="1">
      <c r="A572" s="1156">
        <v>16</v>
      </c>
      <c r="B572" s="1826" t="s">
        <v>1317</v>
      </c>
      <c r="C572" s="1826"/>
      <c r="D572" s="1826"/>
      <c r="E572" s="1826"/>
      <c r="F572" s="1826"/>
      <c r="G572" s="1826"/>
      <c r="H572" s="1826"/>
      <c r="I572" s="1157"/>
      <c r="J572" s="1158"/>
      <c r="K572" s="1156"/>
      <c r="L572" s="1159"/>
      <c r="M572" s="1160"/>
      <c r="N572" s="1161" t="s">
        <v>2218</v>
      </c>
    </row>
    <row r="573" spans="1:14" s="1170" customFormat="1" ht="16.5" hidden="1" customHeight="1">
      <c r="A573" s="1156"/>
      <c r="B573" s="1169" t="s">
        <v>3465</v>
      </c>
      <c r="C573" s="1157"/>
      <c r="D573" s="1171"/>
      <c r="E573" s="1165"/>
      <c r="F573" s="1166"/>
      <c r="G573" s="1166"/>
      <c r="H573" s="1166"/>
      <c r="I573" s="1167"/>
      <c r="J573" s="1168"/>
      <c r="K573" s="1169"/>
      <c r="L573" s="1159"/>
      <c r="M573" s="1169"/>
      <c r="N573" s="1161" t="s">
        <v>2218</v>
      </c>
    </row>
    <row r="574" spans="1:14" s="1170" customFormat="1" ht="16.5" hidden="1" customHeight="1">
      <c r="A574" s="1156"/>
      <c r="B574" s="1169" t="s">
        <v>1230</v>
      </c>
      <c r="C574" s="1157">
        <v>1</v>
      </c>
      <c r="D574" s="1171" t="s">
        <v>273</v>
      </c>
      <c r="E574" s="1165">
        <v>5</v>
      </c>
      <c r="F574" s="1166">
        <v>1.52</v>
      </c>
      <c r="G574" s="1166">
        <v>0.23</v>
      </c>
      <c r="H574" s="1166">
        <v>0</v>
      </c>
      <c r="I574" s="1172">
        <f>ROUND(IF(AND(F574:H574),C574*E574*F574*G574*H574,IF(AND(F574,G574),C574*E574*F574*G574,IF(AND(F574,H574),C574*E574*F574*H574,IF(AND(G574,H574),C574*E574*G574*H574,IF(F574,C574*E574*F574,IF(G574,C574*E574*G574,IF(H574,C574*E574*H574,C574*E574))))))),2)</f>
        <v>1.75</v>
      </c>
      <c r="J574" s="1168" t="s">
        <v>102</v>
      </c>
      <c r="K574" s="1169"/>
      <c r="L574" s="1159"/>
      <c r="M574" s="1169"/>
      <c r="N574" s="1161" t="s">
        <v>2218</v>
      </c>
    </row>
    <row r="575" spans="1:14" s="1170" customFormat="1" ht="16.5" hidden="1" customHeight="1">
      <c r="A575" s="1156"/>
      <c r="B575" s="1169"/>
      <c r="C575" s="1157">
        <v>1</v>
      </c>
      <c r="D575" s="1171" t="s">
        <v>273</v>
      </c>
      <c r="E575" s="1165">
        <v>4</v>
      </c>
      <c r="F575" s="1166">
        <v>1.83</v>
      </c>
      <c r="G575" s="1166">
        <v>0.23</v>
      </c>
      <c r="H575" s="1166">
        <v>0</v>
      </c>
      <c r="I575" s="1172">
        <f>ROUND(IF(AND(F575:H575),C575*E575*F575*G575*H575,IF(AND(F575,G575),C575*E575*F575*G575,IF(AND(F575,H575),C575*E575*F575*H575,IF(AND(G575,H575),C575*E575*G575*H575,IF(F575,C575*E575*F575,IF(G575,C575*E575*G575,IF(H575,C575*E575*H575,C575*E575))))))),2)</f>
        <v>1.68</v>
      </c>
      <c r="J575" s="1168" t="s">
        <v>102</v>
      </c>
      <c r="K575" s="1169"/>
      <c r="L575" s="1159"/>
      <c r="M575" s="1169"/>
      <c r="N575" s="1161" t="s">
        <v>2218</v>
      </c>
    </row>
    <row r="576" spans="1:14" s="1170" customFormat="1" ht="16.5" hidden="1" customHeight="1">
      <c r="A576" s="1156"/>
      <c r="B576" s="1169" t="s">
        <v>1243</v>
      </c>
      <c r="C576" s="1157">
        <v>1</v>
      </c>
      <c r="D576" s="1171" t="s">
        <v>273</v>
      </c>
      <c r="E576" s="1165">
        <v>1</v>
      </c>
      <c r="F576" s="1166">
        <v>1.4</v>
      </c>
      <c r="G576" s="1166">
        <v>1.4</v>
      </c>
      <c r="H576" s="1166">
        <v>0</v>
      </c>
      <c r="I576" s="1172">
        <f>ROUND(IF(AND(F576:H576),C576*E576*F576*G576*H576,IF(AND(F576,G576),C576*E576*F576*G576,IF(AND(F576,H576),C576*E576*F576*H576,IF(AND(G576,H576),C576*E576*G576*H576,IF(F576,C576*E576*F576,IF(G576,C576*E576*G576,IF(H576,C576*E576*H576,C576*E576))))))),2)</f>
        <v>1.96</v>
      </c>
      <c r="J576" s="1168" t="s">
        <v>102</v>
      </c>
      <c r="K576" s="1169"/>
      <c r="L576" s="1159"/>
      <c r="M576" s="1169"/>
      <c r="N576" s="1161" t="s">
        <v>2218</v>
      </c>
    </row>
    <row r="577" spans="1:14" s="1170" customFormat="1" ht="16.5" hidden="1" customHeight="1">
      <c r="A577" s="1156"/>
      <c r="B577" s="1331"/>
      <c r="C577" s="1332"/>
      <c r="D577" s="1333"/>
      <c r="E577" s="1334"/>
      <c r="F577" s="1335"/>
      <c r="G577" s="1335"/>
      <c r="H577" s="1335"/>
      <c r="I577" s="1336"/>
      <c r="J577" s="1168"/>
      <c r="K577" s="1169"/>
      <c r="L577" s="1159"/>
      <c r="M577" s="1169"/>
      <c r="N577" s="1161" t="s">
        <v>2218</v>
      </c>
    </row>
    <row r="578" spans="1:14" ht="15.75" hidden="1">
      <c r="A578" s="1156"/>
      <c r="B578" s="1169"/>
      <c r="C578" s="1337"/>
      <c r="D578" s="1171"/>
      <c r="E578" s="1165"/>
      <c r="F578" s="1166"/>
      <c r="G578" s="1343"/>
      <c r="H578" s="1156"/>
      <c r="I578" s="1336"/>
      <c r="J578" s="1168" t="s">
        <v>102</v>
      </c>
      <c r="K578" s="1221">
        <f>data!E252</f>
        <v>348.26</v>
      </c>
      <c r="L578" s="1159" t="s">
        <v>2218</v>
      </c>
      <c r="M578" s="1224">
        <f>ROUND(I578*K578,0)</f>
        <v>0</v>
      </c>
      <c r="N578" s="1161" t="s">
        <v>2218</v>
      </c>
    </row>
    <row r="579" spans="1:14" ht="18.75" hidden="1" customHeight="1">
      <c r="A579" s="1156">
        <v>16</v>
      </c>
      <c r="B579" s="1826" t="s">
        <v>1317</v>
      </c>
      <c r="C579" s="1826"/>
      <c r="D579" s="1826"/>
      <c r="E579" s="1826"/>
      <c r="F579" s="1826"/>
      <c r="G579" s="1826"/>
      <c r="H579" s="1826"/>
      <c r="I579" s="1157"/>
      <c r="J579" s="1158"/>
      <c r="K579" s="1156"/>
      <c r="L579" s="1159"/>
      <c r="M579" s="1160"/>
      <c r="N579" s="1161" t="s">
        <v>2306</v>
      </c>
    </row>
    <row r="580" spans="1:14" s="1170" customFormat="1" ht="16.5" hidden="1" customHeight="1">
      <c r="A580" s="1156"/>
      <c r="B580" s="1169" t="s">
        <v>3465</v>
      </c>
      <c r="C580" s="1157"/>
      <c r="D580" s="1171"/>
      <c r="E580" s="1165"/>
      <c r="F580" s="1166"/>
      <c r="G580" s="1166"/>
      <c r="H580" s="1166"/>
      <c r="I580" s="1167"/>
      <c r="J580" s="1168"/>
      <c r="K580" s="1169"/>
      <c r="L580" s="1159"/>
      <c r="M580" s="1169"/>
      <c r="N580" s="1161" t="s">
        <v>2306</v>
      </c>
    </row>
    <row r="581" spans="1:14" s="1170" customFormat="1" ht="16.5" hidden="1" customHeight="1">
      <c r="A581" s="1156"/>
      <c r="B581" s="1169" t="s">
        <v>1230</v>
      </c>
      <c r="C581" s="1157">
        <v>1</v>
      </c>
      <c r="D581" s="1171" t="s">
        <v>273</v>
      </c>
      <c r="E581" s="1165">
        <v>5</v>
      </c>
      <c r="F581" s="1166">
        <v>1.52</v>
      </c>
      <c r="G581" s="1166">
        <v>0.23</v>
      </c>
      <c r="H581" s="1166">
        <v>0</v>
      </c>
      <c r="I581" s="1172">
        <f>ROUND(IF(AND(F581:H581),C581*E581*F581*G581*H581,IF(AND(F581,G581),C581*E581*F581*G581,IF(AND(F581,H581),C581*E581*F581*H581,IF(AND(G581,H581),C581*E581*G581*H581,IF(F581,C581*E581*F581,IF(G581,C581*E581*G581,IF(H581,C581*E581*H581,C581*E581))))))),2)</f>
        <v>1.75</v>
      </c>
      <c r="J581" s="1168" t="s">
        <v>102</v>
      </c>
      <c r="K581" s="1169"/>
      <c r="L581" s="1159"/>
      <c r="M581" s="1169"/>
      <c r="N581" s="1161" t="s">
        <v>2306</v>
      </c>
    </row>
    <row r="582" spans="1:14" s="1170" customFormat="1" ht="16.5" hidden="1" customHeight="1">
      <c r="A582" s="1156"/>
      <c r="B582" s="1169"/>
      <c r="C582" s="1157">
        <v>1</v>
      </c>
      <c r="D582" s="1171" t="s">
        <v>273</v>
      </c>
      <c r="E582" s="1165">
        <v>4</v>
      </c>
      <c r="F582" s="1166">
        <v>1.83</v>
      </c>
      <c r="G582" s="1166">
        <v>0.23</v>
      </c>
      <c r="H582" s="1166">
        <v>0</v>
      </c>
      <c r="I582" s="1172">
        <f>ROUND(IF(AND(F582:H582),C582*E582*F582*G582*H582,IF(AND(F582,G582),C582*E582*F582*G582,IF(AND(F582,H582),C582*E582*F582*H582,IF(AND(G582,H582),C582*E582*G582*H582,IF(F582,C582*E582*F582,IF(G582,C582*E582*G582,IF(H582,C582*E582*H582,C582*E582))))))),2)</f>
        <v>1.68</v>
      </c>
      <c r="J582" s="1168" t="s">
        <v>102</v>
      </c>
      <c r="K582" s="1169"/>
      <c r="L582" s="1159"/>
      <c r="M582" s="1169"/>
      <c r="N582" s="1161" t="s">
        <v>2306</v>
      </c>
    </row>
    <row r="583" spans="1:14" s="1170" customFormat="1" ht="16.5" hidden="1" customHeight="1">
      <c r="A583" s="1156"/>
      <c r="B583" s="1169" t="s">
        <v>1243</v>
      </c>
      <c r="C583" s="1157">
        <v>1</v>
      </c>
      <c r="D583" s="1171" t="s">
        <v>273</v>
      </c>
      <c r="E583" s="1165">
        <v>1</v>
      </c>
      <c r="F583" s="1166">
        <v>1.4</v>
      </c>
      <c r="G583" s="1166">
        <v>1.4</v>
      </c>
      <c r="H583" s="1166">
        <v>0</v>
      </c>
      <c r="I583" s="1172">
        <f>ROUND(IF(AND(F583:H583),C583*E583*F583*G583*H583,IF(AND(F583,G583),C583*E583*F583*G583,IF(AND(F583,H583),C583*E583*F583*H583,IF(AND(G583,H583),C583*E583*G583*H583,IF(F583,C583*E583*F583,IF(G583,C583*E583*G583,IF(H583,C583*E583*H583,C583*E583))))))),2)</f>
        <v>1.96</v>
      </c>
      <c r="J583" s="1168" t="s">
        <v>102</v>
      </c>
      <c r="K583" s="1169"/>
      <c r="L583" s="1159"/>
      <c r="M583" s="1169"/>
      <c r="N583" s="1161" t="s">
        <v>2306</v>
      </c>
    </row>
    <row r="584" spans="1:14" s="1170" customFormat="1" ht="16.5" hidden="1" customHeight="1">
      <c r="A584" s="1156"/>
      <c r="B584" s="1331"/>
      <c r="C584" s="1332"/>
      <c r="D584" s="1333"/>
      <c r="E584" s="1334"/>
      <c r="F584" s="1335"/>
      <c r="G584" s="1335"/>
      <c r="H584" s="1335"/>
      <c r="I584" s="1336"/>
      <c r="J584" s="1168"/>
      <c r="K584" s="1169"/>
      <c r="L584" s="1159"/>
      <c r="M584" s="1169"/>
      <c r="N584" s="1161" t="s">
        <v>2306</v>
      </c>
    </row>
    <row r="585" spans="1:14" ht="15.75" hidden="1">
      <c r="A585" s="1156"/>
      <c r="B585" s="1169"/>
      <c r="C585" s="1337"/>
      <c r="D585" s="1171"/>
      <c r="E585" s="1165"/>
      <c r="F585" s="1166"/>
      <c r="G585" s="1343"/>
      <c r="H585" s="1156"/>
      <c r="I585" s="1336"/>
      <c r="J585" s="1168" t="s">
        <v>102</v>
      </c>
      <c r="K585" s="1221">
        <f>data!E1168</f>
        <v>359.05</v>
      </c>
      <c r="L585" s="1159" t="s">
        <v>2306</v>
      </c>
      <c r="M585" s="1224">
        <f>ROUND(I585*K585,0)</f>
        <v>0</v>
      </c>
      <c r="N585" s="1161" t="s">
        <v>2306</v>
      </c>
    </row>
    <row r="586" spans="1:14" ht="18.75" hidden="1" customHeight="1">
      <c r="A586" s="1156">
        <v>16</v>
      </c>
      <c r="B586" s="1826" t="s">
        <v>1317</v>
      </c>
      <c r="C586" s="1826"/>
      <c r="D586" s="1826"/>
      <c r="E586" s="1826"/>
      <c r="F586" s="1826"/>
      <c r="G586" s="1826"/>
      <c r="H586" s="1826"/>
      <c r="I586" s="1157"/>
      <c r="J586" s="1158"/>
      <c r="K586" s="1156"/>
      <c r="L586" s="1159"/>
      <c r="M586" s="1160"/>
      <c r="N586" s="1161" t="s">
        <v>2317</v>
      </c>
    </row>
    <row r="587" spans="1:14" s="1170" customFormat="1" ht="16.5" hidden="1" customHeight="1">
      <c r="A587" s="1156"/>
      <c r="B587" s="1169" t="s">
        <v>3465</v>
      </c>
      <c r="C587" s="1157"/>
      <c r="D587" s="1171"/>
      <c r="E587" s="1165"/>
      <c r="F587" s="1166"/>
      <c r="G587" s="1166"/>
      <c r="H587" s="1166"/>
      <c r="I587" s="1167"/>
      <c r="J587" s="1168"/>
      <c r="K587" s="1169"/>
      <c r="L587" s="1159"/>
      <c r="M587" s="1169"/>
      <c r="N587" s="1161" t="s">
        <v>2317</v>
      </c>
    </row>
    <row r="588" spans="1:14" s="1170" customFormat="1" ht="16.5" hidden="1" customHeight="1">
      <c r="A588" s="1156"/>
      <c r="B588" s="1169" t="s">
        <v>1230</v>
      </c>
      <c r="C588" s="1157">
        <v>1</v>
      </c>
      <c r="D588" s="1171" t="s">
        <v>273</v>
      </c>
      <c r="E588" s="1165">
        <v>5</v>
      </c>
      <c r="F588" s="1166">
        <v>1.52</v>
      </c>
      <c r="G588" s="1166">
        <v>0.23</v>
      </c>
      <c r="H588" s="1166">
        <v>0</v>
      </c>
      <c r="I588" s="1172">
        <f>ROUND(IF(AND(F588:H588),C588*E588*F588*G588*H588,IF(AND(F588,G588),C588*E588*F588*G588,IF(AND(F588,H588),C588*E588*F588*H588,IF(AND(G588,H588),C588*E588*G588*H588,IF(F588,C588*E588*F588,IF(G588,C588*E588*G588,IF(H588,C588*E588*H588,C588*E588))))))),2)</f>
        <v>1.75</v>
      </c>
      <c r="J588" s="1168" t="s">
        <v>102</v>
      </c>
      <c r="K588" s="1169"/>
      <c r="L588" s="1159"/>
      <c r="M588" s="1169"/>
      <c r="N588" s="1161" t="s">
        <v>2317</v>
      </c>
    </row>
    <row r="589" spans="1:14" s="1170" customFormat="1" ht="16.5" hidden="1" customHeight="1">
      <c r="A589" s="1156"/>
      <c r="B589" s="1169"/>
      <c r="C589" s="1157">
        <v>1</v>
      </c>
      <c r="D589" s="1171" t="s">
        <v>273</v>
      </c>
      <c r="E589" s="1165">
        <v>4</v>
      </c>
      <c r="F589" s="1166">
        <v>1.83</v>
      </c>
      <c r="G589" s="1166">
        <v>0.23</v>
      </c>
      <c r="H589" s="1166">
        <v>0</v>
      </c>
      <c r="I589" s="1172">
        <f>ROUND(IF(AND(F589:H589),C589*E589*F589*G589*H589,IF(AND(F589,G589),C589*E589*F589*G589,IF(AND(F589,H589),C589*E589*F589*H589,IF(AND(G589,H589),C589*E589*G589*H589,IF(F589,C589*E589*F589,IF(G589,C589*E589*G589,IF(H589,C589*E589*H589,C589*E589))))))),2)</f>
        <v>1.68</v>
      </c>
      <c r="J589" s="1168" t="s">
        <v>102</v>
      </c>
      <c r="K589" s="1169"/>
      <c r="L589" s="1159"/>
      <c r="M589" s="1169"/>
      <c r="N589" s="1161" t="s">
        <v>2317</v>
      </c>
    </row>
    <row r="590" spans="1:14" s="1170" customFormat="1" ht="16.5" hidden="1" customHeight="1">
      <c r="A590" s="1156"/>
      <c r="B590" s="1169" t="s">
        <v>1243</v>
      </c>
      <c r="C590" s="1157">
        <v>1</v>
      </c>
      <c r="D590" s="1171" t="s">
        <v>273</v>
      </c>
      <c r="E590" s="1165">
        <v>1</v>
      </c>
      <c r="F590" s="1166">
        <v>1.4</v>
      </c>
      <c r="G590" s="1166">
        <v>1.4</v>
      </c>
      <c r="H590" s="1166">
        <v>0</v>
      </c>
      <c r="I590" s="1172">
        <f>ROUND(IF(AND(F590:H590),C590*E590*F590*G590*H590,IF(AND(F590,G590),C590*E590*F590*G590,IF(AND(F590,H590),C590*E590*F590*H590,IF(AND(G590,H590),C590*E590*G590*H590,IF(F590,C590*E590*F590,IF(G590,C590*E590*G590,IF(H590,C590*E590*H590,C590*E590))))))),2)</f>
        <v>1.96</v>
      </c>
      <c r="J590" s="1168" t="s">
        <v>102</v>
      </c>
      <c r="K590" s="1169"/>
      <c r="L590" s="1159"/>
      <c r="M590" s="1169"/>
      <c r="N590" s="1161" t="s">
        <v>2317</v>
      </c>
    </row>
    <row r="591" spans="1:14" s="1170" customFormat="1" ht="16.5" hidden="1" customHeight="1">
      <c r="A591" s="1156"/>
      <c r="B591" s="1331"/>
      <c r="C591" s="1332"/>
      <c r="D591" s="1333"/>
      <c r="E591" s="1334"/>
      <c r="F591" s="1335"/>
      <c r="G591" s="1335"/>
      <c r="H591" s="1335"/>
      <c r="I591" s="1336"/>
      <c r="J591" s="1168"/>
      <c r="K591" s="1169"/>
      <c r="L591" s="1159"/>
      <c r="M591" s="1169"/>
      <c r="N591" s="1161" t="s">
        <v>2317</v>
      </c>
    </row>
    <row r="592" spans="1:14" ht="15.75" hidden="1">
      <c r="A592" s="1156"/>
      <c r="B592" s="1169"/>
      <c r="C592" s="1337"/>
      <c r="D592" s="1171"/>
      <c r="E592" s="1165"/>
      <c r="F592" s="1166"/>
      <c r="G592" s="1343"/>
      <c r="H592" s="1156"/>
      <c r="I592" s="1336"/>
      <c r="J592" s="1168" t="s">
        <v>102</v>
      </c>
      <c r="K592" s="1221">
        <f>data!E2085</f>
        <v>378.13</v>
      </c>
      <c r="L592" s="1159" t="s">
        <v>2317</v>
      </c>
      <c r="M592" s="1224">
        <f>ROUND(I592*K592,0)</f>
        <v>0</v>
      </c>
      <c r="N592" s="1161" t="s">
        <v>2317</v>
      </c>
    </row>
    <row r="593" spans="1:14" ht="18.75" hidden="1" customHeight="1">
      <c r="A593" s="1156">
        <v>16</v>
      </c>
      <c r="B593" s="1826" t="s">
        <v>1317</v>
      </c>
      <c r="C593" s="1826"/>
      <c r="D593" s="1826"/>
      <c r="E593" s="1826"/>
      <c r="F593" s="1826"/>
      <c r="G593" s="1826"/>
      <c r="H593" s="1826"/>
      <c r="I593" s="1157"/>
      <c r="J593" s="1158"/>
      <c r="K593" s="1156"/>
      <c r="L593" s="1159"/>
      <c r="M593" s="1160"/>
      <c r="N593" s="1161" t="s">
        <v>2318</v>
      </c>
    </row>
    <row r="594" spans="1:14" s="1170" customFormat="1" ht="16.5" hidden="1" customHeight="1">
      <c r="A594" s="1156"/>
      <c r="B594" s="1169" t="s">
        <v>3465</v>
      </c>
      <c r="C594" s="1157"/>
      <c r="D594" s="1171"/>
      <c r="E594" s="1165"/>
      <c r="F594" s="1166"/>
      <c r="G594" s="1166"/>
      <c r="H594" s="1166"/>
      <c r="I594" s="1167"/>
      <c r="J594" s="1168"/>
      <c r="K594" s="1169"/>
      <c r="L594" s="1159"/>
      <c r="M594" s="1169"/>
      <c r="N594" s="1161" t="s">
        <v>2318</v>
      </c>
    </row>
    <row r="595" spans="1:14" s="1170" customFormat="1" ht="16.5" hidden="1" customHeight="1">
      <c r="A595" s="1156"/>
      <c r="B595" s="1169" t="s">
        <v>1230</v>
      </c>
      <c r="C595" s="1157">
        <v>1</v>
      </c>
      <c r="D595" s="1171" t="s">
        <v>273</v>
      </c>
      <c r="E595" s="1165">
        <v>5</v>
      </c>
      <c r="F595" s="1166">
        <v>1.52</v>
      </c>
      <c r="G595" s="1166">
        <v>0.23</v>
      </c>
      <c r="H595" s="1166">
        <v>0</v>
      </c>
      <c r="I595" s="1172">
        <f>ROUND(IF(AND(F595:H595),C595*E595*F595*G595*H595,IF(AND(F595,G595),C595*E595*F595*G595,IF(AND(F595,H595),C595*E595*F595*H595,IF(AND(G595,H595),C595*E595*G595*H595,IF(F595,C595*E595*F595,IF(G595,C595*E595*G595,IF(H595,C595*E595*H595,C595*E595))))))),2)</f>
        <v>1.75</v>
      </c>
      <c r="J595" s="1168" t="s">
        <v>102</v>
      </c>
      <c r="K595" s="1169"/>
      <c r="L595" s="1159"/>
      <c r="M595" s="1169"/>
      <c r="N595" s="1161" t="s">
        <v>2318</v>
      </c>
    </row>
    <row r="596" spans="1:14" s="1170" customFormat="1" ht="16.5" hidden="1" customHeight="1">
      <c r="A596" s="1156"/>
      <c r="B596" s="1169"/>
      <c r="C596" s="1157">
        <v>1</v>
      </c>
      <c r="D596" s="1171" t="s">
        <v>273</v>
      </c>
      <c r="E596" s="1165">
        <v>4</v>
      </c>
      <c r="F596" s="1166">
        <v>1.83</v>
      </c>
      <c r="G596" s="1166">
        <v>0.23</v>
      </c>
      <c r="H596" s="1166">
        <v>0</v>
      </c>
      <c r="I596" s="1172">
        <f>ROUND(IF(AND(F596:H596),C596*E596*F596*G596*H596,IF(AND(F596,G596),C596*E596*F596*G596,IF(AND(F596,H596),C596*E596*F596*H596,IF(AND(G596,H596),C596*E596*G596*H596,IF(F596,C596*E596*F596,IF(G596,C596*E596*G596,IF(H596,C596*E596*H596,C596*E596))))))),2)</f>
        <v>1.68</v>
      </c>
      <c r="J596" s="1168" t="s">
        <v>102</v>
      </c>
      <c r="K596" s="1169"/>
      <c r="L596" s="1159"/>
      <c r="M596" s="1169"/>
      <c r="N596" s="1161" t="s">
        <v>2318</v>
      </c>
    </row>
    <row r="597" spans="1:14" s="1170" customFormat="1" ht="16.5" hidden="1" customHeight="1">
      <c r="A597" s="1156"/>
      <c r="B597" s="1169" t="s">
        <v>1243</v>
      </c>
      <c r="C597" s="1157">
        <v>1</v>
      </c>
      <c r="D597" s="1171" t="s">
        <v>273</v>
      </c>
      <c r="E597" s="1165">
        <v>1</v>
      </c>
      <c r="F597" s="1166">
        <v>1.4</v>
      </c>
      <c r="G597" s="1166">
        <v>1.4</v>
      </c>
      <c r="H597" s="1166">
        <v>0</v>
      </c>
      <c r="I597" s="1172">
        <f>ROUND(IF(AND(F597:H597),C597*E597*F597*G597*H597,IF(AND(F597,G597),C597*E597*F597*G597,IF(AND(F597,H597),C597*E597*F597*H597,IF(AND(G597,H597),C597*E597*G597*H597,IF(F597,C597*E597*F597,IF(G597,C597*E597*G597,IF(H597,C597*E597*H597,C597*E597))))))),2)</f>
        <v>1.96</v>
      </c>
      <c r="J597" s="1168" t="s">
        <v>102</v>
      </c>
      <c r="K597" s="1169"/>
      <c r="L597" s="1159"/>
      <c r="M597" s="1169"/>
      <c r="N597" s="1161" t="s">
        <v>2318</v>
      </c>
    </row>
    <row r="598" spans="1:14" s="1170" customFormat="1" ht="16.5" hidden="1" customHeight="1">
      <c r="A598" s="1156"/>
      <c r="B598" s="1331"/>
      <c r="C598" s="1332"/>
      <c r="D598" s="1333"/>
      <c r="E598" s="1334"/>
      <c r="F598" s="1335"/>
      <c r="G598" s="1335"/>
      <c r="H598" s="1335"/>
      <c r="I598" s="1336"/>
      <c r="J598" s="1168"/>
      <c r="K598" s="1169"/>
      <c r="L598" s="1159"/>
      <c r="M598" s="1169"/>
      <c r="N598" s="1161" t="s">
        <v>2318</v>
      </c>
    </row>
    <row r="599" spans="1:14" ht="15.75" hidden="1">
      <c r="A599" s="1156"/>
      <c r="B599" s="1169"/>
      <c r="C599" s="1337"/>
      <c r="D599" s="1171"/>
      <c r="E599" s="1165"/>
      <c r="F599" s="1166"/>
      <c r="G599" s="1343"/>
      <c r="H599" s="1156"/>
      <c r="I599" s="1336"/>
      <c r="J599" s="1168" t="s">
        <v>102</v>
      </c>
      <c r="K599" s="1221">
        <f>data!E3002</f>
        <v>385.15</v>
      </c>
      <c r="L599" s="1159" t="s">
        <v>2318</v>
      </c>
      <c r="M599" s="1224">
        <f>ROUND(I599*K599,0)</f>
        <v>0</v>
      </c>
      <c r="N599" s="1161" t="s">
        <v>2318</v>
      </c>
    </row>
    <row r="600" spans="1:14" s="1575" customFormat="1" ht="97.5" customHeight="1">
      <c r="A600" s="1570">
        <v>12</v>
      </c>
      <c r="B600" s="1827" t="s">
        <v>3385</v>
      </c>
      <c r="C600" s="1827"/>
      <c r="D600" s="1827"/>
      <c r="E600" s="1827"/>
      <c r="F600" s="1827"/>
      <c r="G600" s="1827"/>
      <c r="H600" s="1827"/>
      <c r="I600" s="1571"/>
      <c r="J600" s="1572"/>
      <c r="K600" s="1570"/>
      <c r="L600" s="1573"/>
      <c r="M600" s="1577"/>
      <c r="N600" s="1578" t="s">
        <v>2218</v>
      </c>
    </row>
    <row r="601" spans="1:14" s="1586" customFormat="1" ht="16.5" customHeight="1">
      <c r="A601" s="1570"/>
      <c r="B601" s="1579" t="s">
        <v>3793</v>
      </c>
      <c r="C601" s="1580"/>
      <c r="D601" s="1790" t="s">
        <v>3871</v>
      </c>
      <c r="E601" s="1581"/>
      <c r="F601" s="1582"/>
      <c r="G601" s="1582"/>
      <c r="H601" s="1582"/>
      <c r="I601" s="1583"/>
      <c r="J601" s="1598"/>
      <c r="K601" s="1585"/>
      <c r="L601" s="1573"/>
      <c r="M601" s="1585"/>
      <c r="N601" s="1578" t="s">
        <v>2218</v>
      </c>
    </row>
    <row r="602" spans="1:14" s="1586" customFormat="1" ht="16.5" customHeight="1">
      <c r="A602" s="1570"/>
      <c r="B602" s="1585" t="s">
        <v>1246</v>
      </c>
      <c r="C602" s="1571">
        <v>1</v>
      </c>
      <c r="D602" s="1587" t="s">
        <v>273</v>
      </c>
      <c r="E602" s="1588">
        <v>3</v>
      </c>
      <c r="F602" s="1589">
        <v>3.05</v>
      </c>
      <c r="G602" s="1589">
        <v>0.23</v>
      </c>
      <c r="H602" s="1589">
        <v>0.15</v>
      </c>
      <c r="I602" s="1590">
        <f t="shared" ref="I602:I607" si="61">ROUND(IF(AND(F602:H602),C602*E602*F602*G602*H602,IF(AND(F602,G602),C602*E602*F602*G602,IF(AND(F602,H602),C602*E602*F602*H602,IF(AND(G602,H602),C602*E602*G602*H602,IF(F602,C602*E602*F602,IF(G602,C602*E602*G602,IF(H602,C602*E602*H602,C602*E602))))))),2)</f>
        <v>0.32</v>
      </c>
      <c r="J602" s="1598" t="s">
        <v>5</v>
      </c>
      <c r="K602" s="1585"/>
      <c r="L602" s="1573"/>
      <c r="M602" s="1585"/>
      <c r="N602" s="1578" t="s">
        <v>2218</v>
      </c>
    </row>
    <row r="603" spans="1:14" s="1586" customFormat="1" ht="16.5" customHeight="1">
      <c r="A603" s="1570"/>
      <c r="B603" s="1585" t="s">
        <v>1547</v>
      </c>
      <c r="C603" s="1571">
        <v>1</v>
      </c>
      <c r="D603" s="1587" t="s">
        <v>273</v>
      </c>
      <c r="E603" s="1588">
        <v>3</v>
      </c>
      <c r="F603" s="1589">
        <v>3.05</v>
      </c>
      <c r="G603" s="1589">
        <v>0.23</v>
      </c>
      <c r="H603" s="1589">
        <v>0.15</v>
      </c>
      <c r="I603" s="1590">
        <f t="shared" si="61"/>
        <v>0.32</v>
      </c>
      <c r="J603" s="1598" t="s">
        <v>5</v>
      </c>
      <c r="K603" s="1585"/>
      <c r="L603" s="1573"/>
      <c r="M603" s="1585"/>
      <c r="N603" s="1578" t="s">
        <v>2218</v>
      </c>
    </row>
    <row r="604" spans="1:14" s="1586" customFormat="1" ht="16.5" customHeight="1">
      <c r="A604" s="1570"/>
      <c r="B604" s="1585" t="s">
        <v>3159</v>
      </c>
      <c r="C604" s="1571">
        <v>1</v>
      </c>
      <c r="D604" s="1587" t="s">
        <v>273</v>
      </c>
      <c r="E604" s="1588">
        <v>2</v>
      </c>
      <c r="F604" s="1589">
        <v>5.75</v>
      </c>
      <c r="G604" s="1589">
        <v>0.23</v>
      </c>
      <c r="H604" s="1589">
        <v>0.15</v>
      </c>
      <c r="I604" s="1590">
        <f t="shared" si="61"/>
        <v>0.4</v>
      </c>
      <c r="J604" s="1598" t="s">
        <v>5</v>
      </c>
      <c r="K604" s="1585"/>
      <c r="L604" s="1573"/>
      <c r="M604" s="1585"/>
      <c r="N604" s="1578" t="s">
        <v>2218</v>
      </c>
    </row>
    <row r="605" spans="1:14" s="1586" customFormat="1" ht="16.5" customHeight="1">
      <c r="A605" s="1570"/>
      <c r="B605" s="1585"/>
      <c r="C605" s="1571">
        <v>1</v>
      </c>
      <c r="D605" s="1587" t="s">
        <v>273</v>
      </c>
      <c r="E605" s="1588">
        <v>2</v>
      </c>
      <c r="F605" s="1589">
        <v>4.26</v>
      </c>
      <c r="G605" s="1589">
        <v>0.23</v>
      </c>
      <c r="H605" s="1589">
        <v>0.15</v>
      </c>
      <c r="I605" s="1590">
        <f t="shared" si="61"/>
        <v>0.28999999999999998</v>
      </c>
      <c r="J605" s="1598" t="s">
        <v>5</v>
      </c>
      <c r="K605" s="1585"/>
      <c r="L605" s="1573"/>
      <c r="M605" s="1585"/>
      <c r="N605" s="1578" t="s">
        <v>2218</v>
      </c>
    </row>
    <row r="606" spans="1:14" s="1586" customFormat="1" ht="16.5" customHeight="1">
      <c r="A606" s="1570"/>
      <c r="B606" s="1585" t="s">
        <v>3794</v>
      </c>
      <c r="C606" s="1571">
        <v>1</v>
      </c>
      <c r="D606" s="1587" t="s">
        <v>273</v>
      </c>
      <c r="E606" s="1588">
        <v>1</v>
      </c>
      <c r="F606" s="1589">
        <v>3.05</v>
      </c>
      <c r="G606" s="1589">
        <v>0.115</v>
      </c>
      <c r="H606" s="1589">
        <v>0.15</v>
      </c>
      <c r="I606" s="1590">
        <f t="shared" si="61"/>
        <v>0.05</v>
      </c>
      <c r="J606" s="1598" t="s">
        <v>5</v>
      </c>
      <c r="K606" s="1585"/>
      <c r="L606" s="1573"/>
      <c r="M606" s="1585"/>
      <c r="N606" s="1578" t="s">
        <v>2218</v>
      </c>
    </row>
    <row r="607" spans="1:14" s="1586" customFormat="1" ht="16.5" customHeight="1">
      <c r="A607" s="1570"/>
      <c r="B607" s="1585" t="s">
        <v>3670</v>
      </c>
      <c r="C607" s="1571">
        <v>1</v>
      </c>
      <c r="D607" s="1587" t="s">
        <v>273</v>
      </c>
      <c r="E607" s="1588">
        <v>2</v>
      </c>
      <c r="F607" s="1589">
        <v>4.26</v>
      </c>
      <c r="G607" s="1589">
        <v>0.115</v>
      </c>
      <c r="H607" s="1589">
        <v>0.15</v>
      </c>
      <c r="I607" s="1590">
        <f t="shared" si="61"/>
        <v>0.15</v>
      </c>
      <c r="J607" s="1598" t="s">
        <v>5</v>
      </c>
      <c r="K607" s="1585"/>
      <c r="L607" s="1573"/>
      <c r="M607" s="1585"/>
      <c r="N607" s="1578" t="s">
        <v>2218</v>
      </c>
    </row>
    <row r="608" spans="1:14" s="1586" customFormat="1" ht="16.5" customHeight="1">
      <c r="A608" s="1570"/>
      <c r="B608" s="1600"/>
      <c r="C608" s="1601"/>
      <c r="D608" s="1602"/>
      <c r="E608" s="1603"/>
      <c r="F608" s="1589"/>
      <c r="G608" s="1589"/>
      <c r="H608" s="1589"/>
      <c r="I608" s="1605"/>
      <c r="J608" s="1598"/>
      <c r="K608" s="1585"/>
      <c r="L608" s="1573"/>
      <c r="M608" s="1585"/>
      <c r="N608" s="1578" t="s">
        <v>2218</v>
      </c>
    </row>
    <row r="609" spans="1:14" s="1575" customFormat="1" ht="15.75">
      <c r="A609" s="1570"/>
      <c r="B609" s="1585"/>
      <c r="C609" s="1606"/>
      <c r="D609" s="1587"/>
      <c r="E609" s="1588"/>
      <c r="F609" s="1589"/>
      <c r="G609" s="1607"/>
      <c r="H609" s="1570"/>
      <c r="I609" s="1605">
        <f>SUM(I602:I608)</f>
        <v>1.53</v>
      </c>
      <c r="J609" s="1598" t="s">
        <v>5</v>
      </c>
      <c r="K609" s="1608">
        <f>data!E161</f>
        <v>9288.880000000001</v>
      </c>
      <c r="L609" s="1573" t="s">
        <v>2218</v>
      </c>
      <c r="M609" s="1609">
        <f>ROUND(I609*K609,0)</f>
        <v>14212</v>
      </c>
      <c r="N609" s="1578" t="s">
        <v>2218</v>
      </c>
    </row>
    <row r="610" spans="1:14" ht="97.5" hidden="1" customHeight="1">
      <c r="A610" s="1156">
        <v>16</v>
      </c>
      <c r="B610" s="1826" t="s">
        <v>2063</v>
      </c>
      <c r="C610" s="1826"/>
      <c r="D610" s="1826"/>
      <c r="E610" s="1826"/>
      <c r="F610" s="1826"/>
      <c r="G610" s="1826"/>
      <c r="H610" s="1826"/>
      <c r="I610" s="1157"/>
      <c r="J610" s="1158"/>
      <c r="K610" s="1156"/>
      <c r="L610" s="1159"/>
      <c r="M610" s="1160"/>
      <c r="N610" s="1161" t="s">
        <v>2306</v>
      </c>
    </row>
    <row r="611" spans="1:14" s="1170" customFormat="1" ht="16.5" hidden="1" customHeight="1">
      <c r="A611" s="1156"/>
      <c r="B611" s="1169" t="s">
        <v>3676</v>
      </c>
      <c r="C611" s="1338"/>
      <c r="D611" s="1548" t="s">
        <v>3738</v>
      </c>
      <c r="E611" s="1339"/>
      <c r="F611" s="1340"/>
      <c r="G611" s="1340"/>
      <c r="H611" s="1340"/>
      <c r="I611" s="1341"/>
      <c r="J611" s="1168"/>
      <c r="K611" s="1169"/>
      <c r="L611" s="1159"/>
      <c r="M611" s="1169"/>
      <c r="N611" s="1161" t="s">
        <v>2306</v>
      </c>
    </row>
    <row r="612" spans="1:14" s="1170" customFormat="1" ht="16.5" hidden="1" customHeight="1">
      <c r="A612" s="1156"/>
      <c r="B612" s="1169"/>
      <c r="C612" s="1157">
        <v>2</v>
      </c>
      <c r="D612" s="1171" t="s">
        <v>273</v>
      </c>
      <c r="E612" s="1165">
        <v>2</v>
      </c>
      <c r="F612" s="1166">
        <v>2.93</v>
      </c>
      <c r="G612" s="1166">
        <v>0.23</v>
      </c>
      <c r="H612" s="1166">
        <v>0.15</v>
      </c>
      <c r="I612" s="1172">
        <f t="shared" ref="I612:I617" si="62">ROUND(IF(AND(F612:H612),C612*E612*F612*G612*H612,IF(AND(F612,G612),C612*E612*F612*G612,IF(AND(F612,H612),C612*E612*F612*H612,IF(AND(G612,H612),C612*E612*G612*H612,IF(F612,C612*E612*F612,IF(G612,C612*E612*G612,IF(H612,C612*E612*H612,C612*E612))))))),2)</f>
        <v>0.4</v>
      </c>
      <c r="J612" s="1168" t="s">
        <v>5</v>
      </c>
      <c r="K612" s="1169"/>
      <c r="L612" s="1159"/>
      <c r="M612" s="1169"/>
      <c r="N612" s="1161" t="s">
        <v>2306</v>
      </c>
    </row>
    <row r="613" spans="1:14" s="1170" customFormat="1" ht="16.5" hidden="1" customHeight="1">
      <c r="A613" s="1156"/>
      <c r="B613" s="1169" t="s">
        <v>3677</v>
      </c>
      <c r="C613" s="1157">
        <v>1</v>
      </c>
      <c r="D613" s="1171" t="s">
        <v>273</v>
      </c>
      <c r="E613" s="1165">
        <v>2</v>
      </c>
      <c r="F613" s="1166">
        <v>3</v>
      </c>
      <c r="G613" s="1166">
        <v>0.23</v>
      </c>
      <c r="H613" s="1166">
        <v>0.15</v>
      </c>
      <c r="I613" s="1172">
        <f t="shared" si="62"/>
        <v>0.21</v>
      </c>
      <c r="J613" s="1168" t="s">
        <v>5</v>
      </c>
      <c r="K613" s="1169"/>
      <c r="L613" s="1159"/>
      <c r="M613" s="1169"/>
      <c r="N613" s="1161" t="s">
        <v>2306</v>
      </c>
    </row>
    <row r="614" spans="1:14" s="1170" customFormat="1" ht="16.5" hidden="1" customHeight="1">
      <c r="A614" s="1156"/>
      <c r="B614" s="1169"/>
      <c r="C614" s="1157">
        <v>1</v>
      </c>
      <c r="D614" s="1171" t="s">
        <v>273</v>
      </c>
      <c r="E614" s="1165">
        <v>2</v>
      </c>
      <c r="F614" s="1166">
        <v>1.5</v>
      </c>
      <c r="G614" s="1166">
        <v>0.115</v>
      </c>
      <c r="H614" s="1166">
        <v>0.15</v>
      </c>
      <c r="I614" s="1172">
        <f t="shared" si="62"/>
        <v>0.05</v>
      </c>
      <c r="J614" s="1168" t="s">
        <v>5</v>
      </c>
      <c r="K614" s="1169"/>
      <c r="L614" s="1159"/>
      <c r="M614" s="1169"/>
      <c r="N614" s="1161" t="s">
        <v>2306</v>
      </c>
    </row>
    <row r="615" spans="1:14" s="1170" customFormat="1" ht="16.5" hidden="1" customHeight="1">
      <c r="A615" s="1156"/>
      <c r="B615" s="1169" t="s">
        <v>3678</v>
      </c>
      <c r="C615" s="1157">
        <v>1</v>
      </c>
      <c r="D615" s="1171" t="s">
        <v>273</v>
      </c>
      <c r="E615" s="1165">
        <v>1</v>
      </c>
      <c r="F615" s="1166">
        <v>1.4</v>
      </c>
      <c r="G615" s="1166">
        <v>0.115</v>
      </c>
      <c r="H615" s="1166">
        <v>0.15</v>
      </c>
      <c r="I615" s="1172">
        <f t="shared" si="62"/>
        <v>0.02</v>
      </c>
      <c r="J615" s="1168" t="s">
        <v>5</v>
      </c>
      <c r="K615" s="1169"/>
      <c r="L615" s="1159"/>
      <c r="M615" s="1169"/>
      <c r="N615" s="1161" t="s">
        <v>2306</v>
      </c>
    </row>
    <row r="616" spans="1:14" s="1170" customFormat="1" ht="16.5" hidden="1" customHeight="1">
      <c r="A616" s="1156"/>
      <c r="B616" s="1169"/>
      <c r="C616" s="1157">
        <v>1</v>
      </c>
      <c r="D616" s="1171" t="s">
        <v>273</v>
      </c>
      <c r="E616" s="1165">
        <v>2</v>
      </c>
      <c r="F616" s="1166">
        <v>4.1500000000000004</v>
      </c>
      <c r="G616" s="1166">
        <v>0.23</v>
      </c>
      <c r="H616" s="1166">
        <v>0.15</v>
      </c>
      <c r="I616" s="1172">
        <f t="shared" si="62"/>
        <v>0.28999999999999998</v>
      </c>
      <c r="J616" s="1168" t="s">
        <v>5</v>
      </c>
      <c r="K616" s="1169"/>
      <c r="L616" s="1159"/>
      <c r="M616" s="1169"/>
      <c r="N616" s="1161" t="s">
        <v>2306</v>
      </c>
    </row>
    <row r="617" spans="1:14" s="1170" customFormat="1" ht="16.5" hidden="1" customHeight="1">
      <c r="A617" s="1156"/>
      <c r="B617" s="1169"/>
      <c r="C617" s="1157">
        <v>1</v>
      </c>
      <c r="D617" s="1171" t="s">
        <v>273</v>
      </c>
      <c r="E617" s="1165">
        <v>2</v>
      </c>
      <c r="F617" s="1166">
        <v>5.75</v>
      </c>
      <c r="G617" s="1166">
        <v>0.23</v>
      </c>
      <c r="H617" s="1166">
        <v>0.15</v>
      </c>
      <c r="I617" s="1172">
        <f t="shared" si="62"/>
        <v>0.4</v>
      </c>
      <c r="J617" s="1168" t="s">
        <v>5</v>
      </c>
      <c r="K617" s="1169"/>
      <c r="L617" s="1159"/>
      <c r="M617" s="1169"/>
      <c r="N617" s="1161" t="s">
        <v>2306</v>
      </c>
    </row>
    <row r="618" spans="1:14" s="1170" customFormat="1" ht="16.5" hidden="1" customHeight="1">
      <c r="A618" s="1156"/>
      <c r="B618" s="1331"/>
      <c r="C618" s="1332"/>
      <c r="D618" s="1333"/>
      <c r="E618" s="1334"/>
      <c r="F618" s="1166"/>
      <c r="G618" s="1166"/>
      <c r="H618" s="1166"/>
      <c r="I618" s="1336"/>
      <c r="J618" s="1168"/>
      <c r="K618" s="1169"/>
      <c r="L618" s="1159"/>
      <c r="M618" s="1169"/>
      <c r="N618" s="1161" t="s">
        <v>2306</v>
      </c>
    </row>
    <row r="619" spans="1:14" ht="15.75" hidden="1">
      <c r="A619" s="1156"/>
      <c r="B619" s="1169"/>
      <c r="C619" s="1337"/>
      <c r="D619" s="1171"/>
      <c r="E619" s="1165"/>
      <c r="F619" s="1166"/>
      <c r="G619" s="1343"/>
      <c r="H619" s="1156"/>
      <c r="I619" s="1336"/>
      <c r="J619" s="1168" t="s">
        <v>5</v>
      </c>
      <c r="K619" s="1221">
        <f>data!E1077</f>
        <v>9638.93</v>
      </c>
      <c r="L619" s="1159" t="s">
        <v>2306</v>
      </c>
      <c r="M619" s="1224">
        <f>ROUND(I619*K619,0)</f>
        <v>0</v>
      </c>
      <c r="N619" s="1161" t="s">
        <v>2306</v>
      </c>
    </row>
    <row r="620" spans="1:14" ht="97.5" hidden="1" customHeight="1">
      <c r="A620" s="1156">
        <v>15</v>
      </c>
      <c r="B620" s="1826" t="s">
        <v>2063</v>
      </c>
      <c r="C620" s="1826"/>
      <c r="D620" s="1826"/>
      <c r="E620" s="1826"/>
      <c r="F620" s="1826"/>
      <c r="G620" s="1826"/>
      <c r="H620" s="1826"/>
      <c r="I620" s="1157"/>
      <c r="J620" s="1158"/>
      <c r="K620" s="1156"/>
      <c r="L620" s="1159"/>
      <c r="M620" s="1160"/>
      <c r="N620" s="1161" t="s">
        <v>2317</v>
      </c>
    </row>
    <row r="621" spans="1:14" s="1170" customFormat="1" ht="16.5" hidden="1" customHeight="1">
      <c r="A621" s="1156"/>
      <c r="B621" s="1169" t="s">
        <v>3485</v>
      </c>
      <c r="C621" s="1157"/>
      <c r="D621" s="1171"/>
      <c r="E621" s="1165"/>
      <c r="F621" s="1166"/>
      <c r="G621" s="1166"/>
      <c r="H621" s="1166"/>
      <c r="I621" s="1167"/>
      <c r="J621" s="1168"/>
      <c r="K621" s="1169"/>
      <c r="L621" s="1159"/>
      <c r="M621" s="1169"/>
      <c r="N621" s="1161" t="s">
        <v>2317</v>
      </c>
    </row>
    <row r="622" spans="1:14" s="1170" customFormat="1" ht="16.5" hidden="1" customHeight="1">
      <c r="A622" s="1156"/>
      <c r="B622" s="1169" t="s">
        <v>2138</v>
      </c>
      <c r="C622" s="1157">
        <v>1</v>
      </c>
      <c r="D622" s="1171" t="s">
        <v>273</v>
      </c>
      <c r="E622" s="1165">
        <v>2</v>
      </c>
      <c r="F622" s="1166">
        <v>2.86</v>
      </c>
      <c r="G622" s="1166">
        <v>0.23</v>
      </c>
      <c r="H622" s="1166">
        <v>0.15</v>
      </c>
      <c r="I622" s="1172">
        <f>ROUND(IF(AND(F622:H622),C622*E622*F622*G622*H622,IF(AND(F622,G622),C622*E622*F622*G622,IF(AND(F622,H622),C622*E622*F622*H622,IF(AND(G622,H622),C622*E622*G622*H622,IF(F622,C622*E622*F622,IF(G622,C622*E622*G622,IF(H622,C622*E622*H622,C622*E622))))))),2)</f>
        <v>0.2</v>
      </c>
      <c r="J622" s="1168" t="s">
        <v>5</v>
      </c>
      <c r="K622" s="1169"/>
      <c r="L622" s="1159"/>
      <c r="M622" s="1169"/>
      <c r="N622" s="1161" t="s">
        <v>2317</v>
      </c>
    </row>
    <row r="623" spans="1:14" s="1170" customFormat="1" ht="16.5" hidden="1" customHeight="1">
      <c r="A623" s="1156"/>
      <c r="B623" s="1169" t="s">
        <v>2139</v>
      </c>
      <c r="C623" s="1157">
        <v>1</v>
      </c>
      <c r="D623" s="1171" t="s">
        <v>273</v>
      </c>
      <c r="E623" s="1165">
        <v>2</v>
      </c>
      <c r="F623" s="1166">
        <v>4.84</v>
      </c>
      <c r="G623" s="1166">
        <v>0.23</v>
      </c>
      <c r="H623" s="1166">
        <v>0.15</v>
      </c>
      <c r="I623" s="1172">
        <f>ROUND(IF(AND(F623:H623),C623*E623*F623*G623*H623,IF(AND(F623,G623),C623*E623*F623*G623,IF(AND(F623,H623),C623*E623*F623*H623,IF(AND(G623,H623),C623*E623*G623*H623,IF(F623,C623*E623*F623,IF(G623,C623*E623*G623,IF(H623,C623*E623*H623,C623*E623))))))),2)</f>
        <v>0.33</v>
      </c>
      <c r="J623" s="1168" t="s">
        <v>5</v>
      </c>
      <c r="K623" s="1169"/>
      <c r="L623" s="1159"/>
      <c r="M623" s="1169"/>
      <c r="N623" s="1161" t="s">
        <v>2317</v>
      </c>
    </row>
    <row r="624" spans="1:14" s="1170" customFormat="1" ht="16.5" hidden="1" customHeight="1">
      <c r="A624" s="1156"/>
      <c r="B624" s="1169" t="s">
        <v>2140</v>
      </c>
      <c r="C624" s="1157">
        <v>1</v>
      </c>
      <c r="D624" s="1171" t="s">
        <v>273</v>
      </c>
      <c r="E624" s="1165">
        <v>2</v>
      </c>
      <c r="F624" s="1166">
        <v>3.23</v>
      </c>
      <c r="G624" s="1166">
        <v>0.23</v>
      </c>
      <c r="H624" s="1166">
        <v>0.15</v>
      </c>
      <c r="I624" s="1172">
        <f>ROUND(IF(AND(F624:H624),C624*E624*F624*G624*H624,IF(AND(F624,G624),C624*E624*F624*G624,IF(AND(F624,H624),C624*E624*F624*H624,IF(AND(G624,H624),C624*E624*G624*H624,IF(F624,C624*E624*F624,IF(G624,C624*E624*G624,IF(H624,C624*E624*H624,C624*E624))))))),2)</f>
        <v>0.22</v>
      </c>
      <c r="J624" s="1168" t="s">
        <v>5</v>
      </c>
      <c r="K624" s="1169"/>
      <c r="L624" s="1159"/>
      <c r="M624" s="1169"/>
      <c r="N624" s="1161" t="s">
        <v>2317</v>
      </c>
    </row>
    <row r="625" spans="1:14" s="1170" customFormat="1" ht="16.5" hidden="1" customHeight="1">
      <c r="A625" s="1156"/>
      <c r="B625" s="1169" t="s">
        <v>1532</v>
      </c>
      <c r="C625" s="1157">
        <v>1</v>
      </c>
      <c r="D625" s="1171" t="s">
        <v>273</v>
      </c>
      <c r="E625" s="1165">
        <v>1</v>
      </c>
      <c r="F625" s="1166">
        <v>2.5</v>
      </c>
      <c r="G625" s="1166">
        <v>0.115</v>
      </c>
      <c r="H625" s="1166">
        <v>0.15</v>
      </c>
      <c r="I625" s="1172">
        <f>ROUND(IF(AND(F625:H625),C625*E625*F625*G625*H625,IF(AND(F625,G625),C625*E625*F625*G625,IF(AND(F625,H625),C625*E625*F625*H625,IF(AND(G625,H625),C625*E625*G625*H625,IF(F625,C625*E625*F625,IF(G625,C625*E625*G625,IF(H625,C625*E625*H625,C625*E625))))))),2)</f>
        <v>0.04</v>
      </c>
      <c r="J625" s="1168" t="s">
        <v>5</v>
      </c>
      <c r="K625" s="1169"/>
      <c r="L625" s="1159"/>
      <c r="M625" s="1169"/>
      <c r="N625" s="1161" t="s">
        <v>2317</v>
      </c>
    </row>
    <row r="626" spans="1:14" s="1170" customFormat="1" ht="16.5" hidden="1" customHeight="1">
      <c r="A626" s="1156"/>
      <c r="B626" s="1169" t="s">
        <v>1533</v>
      </c>
      <c r="C626" s="1157">
        <v>1</v>
      </c>
      <c r="D626" s="1171" t="s">
        <v>273</v>
      </c>
      <c r="E626" s="1165">
        <v>1</v>
      </c>
      <c r="F626" s="1166">
        <v>2.7</v>
      </c>
      <c r="G626" s="1166">
        <v>0.115</v>
      </c>
      <c r="H626" s="1166">
        <v>0.15</v>
      </c>
      <c r="I626" s="1172">
        <f>ROUND(IF(AND(F626:H626),C626*E626*F626*G626*H626,IF(AND(F626,G626),C626*E626*F626*G626,IF(AND(F626,H626),C626*E626*F626*H626,IF(AND(G626,H626),C626*E626*G626*H626,IF(F626,C626*E626*F626,IF(G626,C626*E626*G626,IF(H626,C626*E626*H626,C626*E626))))))),2)</f>
        <v>0.05</v>
      </c>
      <c r="J626" s="1168" t="s">
        <v>5</v>
      </c>
      <c r="K626" s="1169"/>
      <c r="L626" s="1159"/>
      <c r="M626" s="1169"/>
      <c r="N626" s="1161" t="s">
        <v>2317</v>
      </c>
    </row>
    <row r="627" spans="1:14" s="1170" customFormat="1" ht="16.5" hidden="1" customHeight="1">
      <c r="A627" s="1156"/>
      <c r="B627" s="1331"/>
      <c r="C627" s="1332"/>
      <c r="D627" s="1333"/>
      <c r="E627" s="1334"/>
      <c r="F627" s="1166"/>
      <c r="G627" s="1166"/>
      <c r="H627" s="1166"/>
      <c r="I627" s="1336"/>
      <c r="J627" s="1168"/>
      <c r="K627" s="1169"/>
      <c r="L627" s="1159"/>
      <c r="M627" s="1169"/>
      <c r="N627" s="1161" t="s">
        <v>2317</v>
      </c>
    </row>
    <row r="628" spans="1:14" ht="15.75" hidden="1">
      <c r="A628" s="1156"/>
      <c r="B628" s="1169"/>
      <c r="C628" s="1337"/>
      <c r="D628" s="1171"/>
      <c r="E628" s="1165"/>
      <c r="F628" s="1166"/>
      <c r="G628" s="1343"/>
      <c r="H628" s="1156"/>
      <c r="I628" s="1336"/>
      <c r="J628" s="1168" t="s">
        <v>5</v>
      </c>
      <c r="K628" s="1221">
        <f>data!E1994</f>
        <v>10171.82</v>
      </c>
      <c r="L628" s="1159" t="s">
        <v>2317</v>
      </c>
      <c r="M628" s="1224">
        <f>ROUND(I628*K628,0)</f>
        <v>0</v>
      </c>
      <c r="N628" s="1161" t="s">
        <v>2317</v>
      </c>
    </row>
    <row r="629" spans="1:14" ht="97.5" hidden="1" customHeight="1">
      <c r="A629" s="1156">
        <v>11</v>
      </c>
      <c r="B629" s="1826" t="s">
        <v>2063</v>
      </c>
      <c r="C629" s="1826"/>
      <c r="D629" s="1828"/>
      <c r="E629" s="1826"/>
      <c r="F629" s="1826"/>
      <c r="G629" s="1826"/>
      <c r="H629" s="1826"/>
      <c r="I629" s="1157"/>
      <c r="J629" s="1158"/>
      <c r="K629" s="1156"/>
      <c r="L629" s="1159"/>
      <c r="M629" s="1160"/>
      <c r="N629" s="1161" t="s">
        <v>2318</v>
      </c>
    </row>
    <row r="630" spans="1:14" s="1170" customFormat="1" ht="16.5" hidden="1" customHeight="1">
      <c r="A630" s="1156"/>
      <c r="B630" s="1169" t="s">
        <v>3395</v>
      </c>
      <c r="C630" s="1157"/>
      <c r="D630" s="1419"/>
      <c r="E630" s="1165"/>
      <c r="F630" s="1166"/>
      <c r="G630" s="1166"/>
      <c r="H630" s="1166"/>
      <c r="I630" s="1167"/>
      <c r="J630" s="1168"/>
      <c r="K630" s="1169"/>
      <c r="L630" s="1159"/>
      <c r="M630" s="1169"/>
      <c r="N630" s="1161" t="s">
        <v>2318</v>
      </c>
    </row>
    <row r="631" spans="1:14" s="1170" customFormat="1" ht="16.5" hidden="1" customHeight="1">
      <c r="A631" s="1156"/>
      <c r="B631" s="1169" t="s">
        <v>3428</v>
      </c>
      <c r="C631" s="1157">
        <v>1</v>
      </c>
      <c r="D631" s="1171" t="s">
        <v>273</v>
      </c>
      <c r="E631" s="1165">
        <v>2</v>
      </c>
      <c r="F631" s="1166">
        <v>10.59</v>
      </c>
      <c r="G631" s="1166">
        <v>0.23</v>
      </c>
      <c r="H631" s="1166">
        <v>0.15</v>
      </c>
      <c r="I631" s="1172">
        <f t="shared" ref="I631:I632" si="63">ROUND(IF(AND(F631:H631),C631*E631*F631*G631*H631,IF(AND(F631,G631),C631*E631*F631*G631,IF(AND(F631,H631),C631*E631*F631*H631,IF(AND(G631,H631),C631*E631*G631*H631,IF(F631,C631*E631*F631,IF(G631,C631*E631*G631,IF(H631,C631*E631*H631,C631*E631))))))),2)</f>
        <v>0.73</v>
      </c>
      <c r="J631" s="1168" t="s">
        <v>5</v>
      </c>
      <c r="K631" s="1169"/>
      <c r="L631" s="1159"/>
      <c r="M631" s="1169"/>
      <c r="N631" s="1161" t="s">
        <v>2318</v>
      </c>
    </row>
    <row r="632" spans="1:14" s="1170" customFormat="1" ht="16.5" hidden="1" customHeight="1">
      <c r="A632" s="1156"/>
      <c r="B632" s="1169" t="s">
        <v>3429</v>
      </c>
      <c r="C632" s="1157">
        <v>1</v>
      </c>
      <c r="D632" s="1171" t="s">
        <v>273</v>
      </c>
      <c r="E632" s="1165">
        <v>2</v>
      </c>
      <c r="F632" s="1166">
        <v>9.3699999999999992</v>
      </c>
      <c r="G632" s="1166">
        <v>0.23</v>
      </c>
      <c r="H632" s="1166">
        <v>0.15</v>
      </c>
      <c r="I632" s="1172">
        <f t="shared" si="63"/>
        <v>0.65</v>
      </c>
      <c r="J632" s="1168" t="s">
        <v>5</v>
      </c>
      <c r="K632" s="1169"/>
      <c r="L632" s="1159"/>
      <c r="M632" s="1169"/>
      <c r="N632" s="1161" t="s">
        <v>2318</v>
      </c>
    </row>
    <row r="633" spans="1:14" s="1170" customFormat="1" ht="16.5" hidden="1" customHeight="1">
      <c r="A633" s="1156"/>
      <c r="B633" s="1169" t="s">
        <v>281</v>
      </c>
      <c r="C633" s="1157">
        <v>2</v>
      </c>
      <c r="D633" s="1171" t="s">
        <v>273</v>
      </c>
      <c r="E633" s="1165">
        <v>4</v>
      </c>
      <c r="F633" s="1166">
        <v>0.38</v>
      </c>
      <c r="G633" s="1166">
        <v>0.23</v>
      </c>
      <c r="H633" s="1166">
        <v>0.15</v>
      </c>
      <c r="I633" s="1172">
        <f>-ROUND(IF(AND(F633:H633),C633*E633*F633*G633*H633,IF(AND(F633,G633),C633*E633*F633*G633,IF(AND(F633,H633),C633*E633*F633*H633,IF(AND(G633,H633),C633*E633*G633*H633,IF(F633,C633*E633*F633,IF(G633,C633*E633*G633,IF(H633,C633*E633*H633,C633*E633))))))),2)</f>
        <v>-0.1</v>
      </c>
      <c r="J633" s="1168" t="s">
        <v>5</v>
      </c>
      <c r="K633" s="1169"/>
      <c r="L633" s="1159"/>
      <c r="M633" s="1169"/>
      <c r="N633" s="1161" t="s">
        <v>2318</v>
      </c>
    </row>
    <row r="634" spans="1:14" s="1170" customFormat="1" ht="16.5" hidden="1" customHeight="1">
      <c r="A634" s="1156"/>
      <c r="B634" s="1169"/>
      <c r="C634" s="1157">
        <v>2</v>
      </c>
      <c r="D634" s="1171" t="s">
        <v>273</v>
      </c>
      <c r="E634" s="1165">
        <v>2</v>
      </c>
      <c r="F634" s="1166">
        <v>0.23</v>
      </c>
      <c r="G634" s="1166">
        <v>0.23</v>
      </c>
      <c r="H634" s="1166">
        <v>0.15</v>
      </c>
      <c r="I634" s="1172">
        <f>-ROUND(IF(AND(F634:H634),C634*E634*F634*G634*H634,IF(AND(F634,G634),C634*E634*F634*G634,IF(AND(F634,H634),C634*E634*F634*H634,IF(AND(G634,H634),C634*E634*G634*H634,IF(F634,C634*E634*F634,IF(G634,C634*E634*G634,IF(H634,C634*E634*H634,C634*E634))))))),2)</f>
        <v>-0.03</v>
      </c>
      <c r="J634" s="1168" t="s">
        <v>5</v>
      </c>
      <c r="K634" s="1169"/>
      <c r="L634" s="1159"/>
      <c r="M634" s="1169"/>
      <c r="N634" s="1161" t="s">
        <v>2318</v>
      </c>
    </row>
    <row r="635" spans="1:14" s="1170" customFormat="1" ht="16.5" hidden="1" customHeight="1">
      <c r="A635" s="1156"/>
      <c r="B635" s="1169" t="s">
        <v>3430</v>
      </c>
      <c r="C635" s="1157">
        <v>1</v>
      </c>
      <c r="D635" s="1171" t="s">
        <v>273</v>
      </c>
      <c r="E635" s="1165">
        <v>2</v>
      </c>
      <c r="F635" s="1166">
        <v>3.85</v>
      </c>
      <c r="G635" s="1166">
        <v>0.115</v>
      </c>
      <c r="H635" s="1166">
        <v>0.15</v>
      </c>
      <c r="I635" s="1172">
        <f t="shared" ref="I635:I636" si="64">ROUND(IF(AND(F635:H635),C635*E635*F635*G635*H635,IF(AND(F635,G635),C635*E635*F635*G635,IF(AND(F635,H635),C635*E635*F635*H635,IF(AND(G635,H635),C635*E635*G635*H635,IF(F635,C635*E635*F635,IF(G635,C635*E635*G635,IF(H635,C635*E635*H635,C635*E635))))))),2)</f>
        <v>0.13</v>
      </c>
      <c r="J635" s="1168" t="s">
        <v>5</v>
      </c>
      <c r="K635" s="1169"/>
      <c r="L635" s="1159"/>
      <c r="M635" s="1169"/>
      <c r="N635" s="1161" t="s">
        <v>2318</v>
      </c>
    </row>
    <row r="636" spans="1:14" s="1170" customFormat="1" ht="16.5" hidden="1" customHeight="1">
      <c r="A636" s="1156"/>
      <c r="B636" s="1169" t="s">
        <v>3431</v>
      </c>
      <c r="C636" s="1157">
        <v>1</v>
      </c>
      <c r="D636" s="1171" t="s">
        <v>273</v>
      </c>
      <c r="E636" s="1165">
        <v>1</v>
      </c>
      <c r="F636" s="1166">
        <v>9.33</v>
      </c>
      <c r="G636" s="1166">
        <v>0.115</v>
      </c>
      <c r="H636" s="1166">
        <v>0.15</v>
      </c>
      <c r="I636" s="1172">
        <f t="shared" si="64"/>
        <v>0.16</v>
      </c>
      <c r="J636" s="1168" t="s">
        <v>5</v>
      </c>
      <c r="K636" s="1169"/>
      <c r="L636" s="1159"/>
      <c r="M636" s="1169"/>
      <c r="N636" s="1161" t="s">
        <v>2318</v>
      </c>
    </row>
    <row r="637" spans="1:14" s="1170" customFormat="1" ht="16.5" hidden="1" customHeight="1">
      <c r="A637" s="1156"/>
      <c r="B637" s="1169" t="s">
        <v>281</v>
      </c>
      <c r="C637" s="1157">
        <v>1</v>
      </c>
      <c r="D637" s="1171" t="s">
        <v>273</v>
      </c>
      <c r="E637" s="1165">
        <v>2</v>
      </c>
      <c r="F637" s="1166">
        <v>0.23</v>
      </c>
      <c r="G637" s="1166">
        <v>0.115</v>
      </c>
      <c r="H637" s="1166">
        <v>0.15</v>
      </c>
      <c r="I637" s="1172">
        <f>-ROUND(IF(AND(F637:H637),C637*E637*F637*G637*H637,IF(AND(F637,G637),C637*E637*F637*G637,IF(AND(F637,H637),C637*E637*F637*H637,IF(AND(G637,H637),C637*E637*G637*H637,IF(F637,C637*E637*F637,IF(G637,C637*E637*G637,IF(H637,C637*E637*H637,C637*E637))))))),2)</f>
        <v>-0.01</v>
      </c>
      <c r="J637" s="1168" t="s">
        <v>5</v>
      </c>
      <c r="K637" s="1169"/>
      <c r="L637" s="1159"/>
      <c r="M637" s="1169"/>
      <c r="N637" s="1161" t="s">
        <v>2318</v>
      </c>
    </row>
    <row r="638" spans="1:14" s="1170" customFormat="1" ht="16.5" hidden="1" customHeight="1">
      <c r="A638" s="1156"/>
      <c r="B638" s="1331"/>
      <c r="C638" s="1332"/>
      <c r="D638" s="1333"/>
      <c r="E638" s="1334"/>
      <c r="F638" s="1166"/>
      <c r="G638" s="1166"/>
      <c r="H638" s="1166"/>
      <c r="I638" s="1336"/>
      <c r="J638" s="1168"/>
      <c r="K638" s="1169"/>
      <c r="L638" s="1159"/>
      <c r="M638" s="1169"/>
      <c r="N638" s="1161" t="s">
        <v>2318</v>
      </c>
    </row>
    <row r="639" spans="1:14" ht="15.75" hidden="1">
      <c r="A639" s="1156"/>
      <c r="B639" s="1169"/>
      <c r="C639" s="1337"/>
      <c r="D639" s="1171"/>
      <c r="E639" s="1165"/>
      <c r="F639" s="1166"/>
      <c r="G639" s="1343"/>
      <c r="H639" s="1156"/>
      <c r="I639" s="1336"/>
      <c r="J639" s="1168" t="s">
        <v>5</v>
      </c>
      <c r="K639" s="1221">
        <f>data!E2911</f>
        <v>10584.6</v>
      </c>
      <c r="L639" s="1159" t="s">
        <v>2318</v>
      </c>
      <c r="M639" s="1224">
        <f>ROUND(I639*K639,0)</f>
        <v>0</v>
      </c>
      <c r="N639" s="1161" t="s">
        <v>2318</v>
      </c>
    </row>
    <row r="640" spans="1:14" s="1575" customFormat="1" ht="17.25" customHeight="1">
      <c r="A640" s="1570">
        <v>13</v>
      </c>
      <c r="B640" s="1827" t="s">
        <v>648</v>
      </c>
      <c r="C640" s="1827"/>
      <c r="D640" s="1827"/>
      <c r="E640" s="1827"/>
      <c r="F640" s="1827"/>
      <c r="G640" s="1827"/>
      <c r="H640" s="1827"/>
      <c r="I640" s="1571"/>
      <c r="J640" s="1572"/>
      <c r="K640" s="1570"/>
      <c r="L640" s="1573"/>
      <c r="M640" s="1577"/>
      <c r="N640" s="1578" t="s">
        <v>2218</v>
      </c>
    </row>
    <row r="641" spans="1:14" s="1586" customFormat="1" ht="16.5" customHeight="1">
      <c r="A641" s="1570"/>
      <c r="B641" s="1579" t="s">
        <v>3760</v>
      </c>
      <c r="C641" s="1580"/>
      <c r="D641" s="1790" t="s">
        <v>3871</v>
      </c>
      <c r="E641" s="1581"/>
      <c r="F641" s="1582"/>
      <c r="G641" s="1582"/>
      <c r="H641" s="1582"/>
      <c r="I641" s="1583"/>
      <c r="J641" s="1598"/>
      <c r="K641" s="1585"/>
      <c r="L641" s="1573"/>
      <c r="M641" s="1585"/>
      <c r="N641" s="1578" t="s">
        <v>2218</v>
      </c>
    </row>
    <row r="642" spans="1:14" s="1586" customFormat="1" ht="16.5" customHeight="1">
      <c r="A642" s="1570"/>
      <c r="B642" s="1585"/>
      <c r="C642" s="1571">
        <v>1</v>
      </c>
      <c r="D642" s="1587" t="s">
        <v>273</v>
      </c>
      <c r="E642" s="1588">
        <v>8</v>
      </c>
      <c r="F642" s="1589">
        <v>1.5</v>
      </c>
      <c r="G642" s="1589">
        <v>0</v>
      </c>
      <c r="H642" s="1589">
        <v>0</v>
      </c>
      <c r="I642" s="1590">
        <f t="shared" ref="I642" si="65">ROUND(IF(AND(F642:H642),C642*E642*F642*G642*H642,IF(AND(F642,G642),C642*E642*F642*G642,IF(AND(F642,H642),C642*E642*F642*H642,IF(AND(G642,H642),C642*E642*G642*H642,IF(F642,C642*E642*F642,IF(G642,C642*E642*G642,IF(H642,C642*E642*H642,C642*E642))))))),2)</f>
        <v>12</v>
      </c>
      <c r="J642" s="1598" t="s">
        <v>277</v>
      </c>
      <c r="K642" s="1585"/>
      <c r="L642" s="1573"/>
      <c r="M642" s="1585"/>
      <c r="N642" s="1578" t="s">
        <v>2218</v>
      </c>
    </row>
    <row r="643" spans="1:14" s="1586" customFormat="1" ht="16.5" customHeight="1">
      <c r="A643" s="1570"/>
      <c r="B643" s="1600"/>
      <c r="C643" s="1601"/>
      <c r="D643" s="1602"/>
      <c r="E643" s="1603"/>
      <c r="F643" s="1604"/>
      <c r="G643" s="1604"/>
      <c r="H643" s="1604"/>
      <c r="I643" s="1605"/>
      <c r="J643" s="1598"/>
      <c r="K643" s="1585"/>
      <c r="L643" s="1573"/>
      <c r="M643" s="1585"/>
      <c r="N643" s="1578" t="s">
        <v>2218</v>
      </c>
    </row>
    <row r="644" spans="1:14" s="1575" customFormat="1" ht="15.75">
      <c r="A644" s="1570"/>
      <c r="B644" s="1585"/>
      <c r="C644" s="1606"/>
      <c r="D644" s="1587"/>
      <c r="E644" s="1588"/>
      <c r="F644" s="1589"/>
      <c r="G644" s="1607"/>
      <c r="H644" s="1570"/>
      <c r="I644" s="1605">
        <f>SUM(I642:I643)</f>
        <v>12</v>
      </c>
      <c r="J644" s="1598" t="s">
        <v>277</v>
      </c>
      <c r="K644" s="1608">
        <f>data!E224</f>
        <v>474.83999999999992</v>
      </c>
      <c r="L644" s="1573" t="s">
        <v>2218</v>
      </c>
      <c r="M644" s="1609">
        <f>ROUND(I644*K644,0)</f>
        <v>5698</v>
      </c>
      <c r="N644" s="1578" t="s">
        <v>2218</v>
      </c>
    </row>
    <row r="645" spans="1:14" ht="17.25" hidden="1" customHeight="1">
      <c r="A645" s="1156">
        <v>17</v>
      </c>
      <c r="B645" s="1826" t="s">
        <v>648</v>
      </c>
      <c r="C645" s="1826"/>
      <c r="D645" s="1826"/>
      <c r="E645" s="1826"/>
      <c r="F645" s="1826"/>
      <c r="G645" s="1826"/>
      <c r="H645" s="1826"/>
      <c r="I645" s="1157"/>
      <c r="J645" s="1158"/>
      <c r="K645" s="1156"/>
      <c r="L645" s="1159"/>
      <c r="M645" s="1160"/>
      <c r="N645" s="1161" t="s">
        <v>2306</v>
      </c>
    </row>
    <row r="646" spans="1:14" s="1170" customFormat="1" ht="16.5" hidden="1" customHeight="1">
      <c r="A646" s="1156"/>
      <c r="B646" s="1169" t="s">
        <v>3654</v>
      </c>
      <c r="C646" s="1338"/>
      <c r="D646" s="1548" t="s">
        <v>3738</v>
      </c>
      <c r="E646" s="1339"/>
      <c r="F646" s="1340"/>
      <c r="G646" s="1340"/>
      <c r="H646" s="1340"/>
      <c r="I646" s="1341"/>
      <c r="J646" s="1168"/>
      <c r="K646" s="1169"/>
      <c r="L646" s="1159"/>
      <c r="M646" s="1169"/>
      <c r="N646" s="1161" t="s">
        <v>2306</v>
      </c>
    </row>
    <row r="647" spans="1:14" s="1170" customFormat="1" ht="16.5" hidden="1" customHeight="1">
      <c r="A647" s="1156"/>
      <c r="B647" s="1169"/>
      <c r="C647" s="1157">
        <v>1</v>
      </c>
      <c r="D647" s="1171" t="s">
        <v>273</v>
      </c>
      <c r="E647" s="1165">
        <v>9</v>
      </c>
      <c r="F647" s="1166">
        <v>1.5</v>
      </c>
      <c r="G647" s="1166">
        <v>0</v>
      </c>
      <c r="H647" s="1166">
        <v>0</v>
      </c>
      <c r="I647" s="1172">
        <f t="shared" ref="I647" si="66">ROUND(IF(AND(F647:H647),C647*E647*F647*G647*H647,IF(AND(F647,G647),C647*E647*F647*G647,IF(AND(F647,H647),C647*E647*F647*H647,IF(AND(G647,H647),C647*E647*G647*H647,IF(F647,C647*E647*F647,IF(G647,C647*E647*G647,IF(H647,C647*E647*H647,C647*E647))))))),2)</f>
        <v>13.5</v>
      </c>
      <c r="J647" s="1168" t="s">
        <v>277</v>
      </c>
      <c r="K647" s="1169"/>
      <c r="L647" s="1159"/>
      <c r="M647" s="1169"/>
      <c r="N647" s="1161" t="s">
        <v>2306</v>
      </c>
    </row>
    <row r="648" spans="1:14" s="1170" customFormat="1" ht="16.5" hidden="1" customHeight="1">
      <c r="A648" s="1156"/>
      <c r="B648" s="1331"/>
      <c r="C648" s="1332"/>
      <c r="D648" s="1333"/>
      <c r="E648" s="1334"/>
      <c r="F648" s="1335"/>
      <c r="G648" s="1335"/>
      <c r="H648" s="1335"/>
      <c r="I648" s="1336"/>
      <c r="J648" s="1168"/>
      <c r="K648" s="1169"/>
      <c r="L648" s="1159"/>
      <c r="M648" s="1169"/>
      <c r="N648" s="1161" t="s">
        <v>2306</v>
      </c>
    </row>
    <row r="649" spans="1:14" ht="15.75" hidden="1">
      <c r="A649" s="1156"/>
      <c r="B649" s="1169"/>
      <c r="C649" s="1337"/>
      <c r="D649" s="1171"/>
      <c r="E649" s="1165"/>
      <c r="F649" s="1166"/>
      <c r="G649" s="1343"/>
      <c r="H649" s="1156"/>
      <c r="I649" s="1336"/>
      <c r="J649" s="1168" t="s">
        <v>277</v>
      </c>
      <c r="K649" s="1221">
        <f>data!E1140</f>
        <v>482.90999999999997</v>
      </c>
      <c r="L649" s="1159" t="s">
        <v>2306</v>
      </c>
      <c r="M649" s="1224">
        <f>ROUND(I649*K649,0)</f>
        <v>0</v>
      </c>
      <c r="N649" s="1161" t="s">
        <v>2306</v>
      </c>
    </row>
    <row r="650" spans="1:14" ht="17.25" hidden="1" customHeight="1">
      <c r="A650" s="1156">
        <v>16</v>
      </c>
      <c r="B650" s="1826" t="s">
        <v>648</v>
      </c>
      <c r="C650" s="1826"/>
      <c r="D650" s="1826"/>
      <c r="E650" s="1826"/>
      <c r="F650" s="1826"/>
      <c r="G650" s="1826"/>
      <c r="H650" s="1826"/>
      <c r="I650" s="1157"/>
      <c r="J650" s="1158"/>
      <c r="K650" s="1156"/>
      <c r="L650" s="1159"/>
      <c r="M650" s="1160"/>
      <c r="N650" s="1161" t="s">
        <v>2317</v>
      </c>
    </row>
    <row r="651" spans="1:14" s="1170" customFormat="1" ht="16.5" hidden="1" customHeight="1">
      <c r="A651" s="1156"/>
      <c r="B651" s="1169" t="s">
        <v>3487</v>
      </c>
      <c r="C651" s="1157"/>
      <c r="D651" s="1171"/>
      <c r="E651" s="1165"/>
      <c r="F651" s="1166"/>
      <c r="G651" s="1166"/>
      <c r="H651" s="1166"/>
      <c r="I651" s="1167"/>
      <c r="J651" s="1168"/>
      <c r="K651" s="1169"/>
      <c r="L651" s="1159"/>
      <c r="M651" s="1169"/>
      <c r="N651" s="1161" t="s">
        <v>2317</v>
      </c>
    </row>
    <row r="652" spans="1:14" s="1170" customFormat="1" ht="16.5" hidden="1" customHeight="1">
      <c r="A652" s="1156"/>
      <c r="B652" s="1169"/>
      <c r="C652" s="1157">
        <v>1</v>
      </c>
      <c r="D652" s="1171" t="s">
        <v>273</v>
      </c>
      <c r="E652" s="1165">
        <v>5</v>
      </c>
      <c r="F652" s="1166">
        <v>1.8</v>
      </c>
      <c r="G652" s="1166">
        <v>0</v>
      </c>
      <c r="H652" s="1166">
        <v>0</v>
      </c>
      <c r="I652" s="1172">
        <f>ROUND(IF(AND(F652:H652),C652*E652*F652*G652*H652,IF(AND(F652,G652),C652*E652*F652*G652,IF(AND(F652,H652),C652*E652*F652*H652,IF(AND(G652,H652),C652*E652*G652*H652,IF(F652,C652*E652*F652,IF(G652,C652*E652*G652,IF(H652,C652*E652*H652,C652*E652))))))),2)</f>
        <v>9</v>
      </c>
      <c r="J652" s="1168" t="s">
        <v>277</v>
      </c>
      <c r="K652" s="1169"/>
      <c r="L652" s="1159"/>
      <c r="M652" s="1169"/>
      <c r="N652" s="1161" t="s">
        <v>2317</v>
      </c>
    </row>
    <row r="653" spans="1:14" s="1170" customFormat="1" ht="16.5" hidden="1" customHeight="1">
      <c r="A653" s="1156"/>
      <c r="B653" s="1169"/>
      <c r="C653" s="1157">
        <v>1</v>
      </c>
      <c r="D653" s="1171" t="s">
        <v>273</v>
      </c>
      <c r="E653" s="1165">
        <v>1</v>
      </c>
      <c r="F653" s="1166">
        <v>2.7</v>
      </c>
      <c r="G653" s="1166">
        <v>0</v>
      </c>
      <c r="H653" s="1166">
        <v>0</v>
      </c>
      <c r="I653" s="1172">
        <f>ROUND(IF(AND(F653:H653),C653*E653*F653*G653*H653,IF(AND(F653,G653),C653*E653*F653*G653,IF(AND(F653,H653),C653*E653*F653*H653,IF(AND(G653,H653),C653*E653*G653*H653,IF(F653,C653*E653*F653,IF(G653,C653*E653*G653,IF(H653,C653*E653*H653,C653*E653))))))),2)</f>
        <v>2.7</v>
      </c>
      <c r="J653" s="1168" t="s">
        <v>277</v>
      </c>
      <c r="K653" s="1169"/>
      <c r="L653" s="1159"/>
      <c r="M653" s="1169"/>
      <c r="N653" s="1161" t="s">
        <v>2317</v>
      </c>
    </row>
    <row r="654" spans="1:14" s="1170" customFormat="1" ht="16.5" hidden="1" customHeight="1">
      <c r="A654" s="1156"/>
      <c r="B654" s="1331"/>
      <c r="C654" s="1332"/>
      <c r="D654" s="1333"/>
      <c r="E654" s="1334"/>
      <c r="F654" s="1335"/>
      <c r="G654" s="1335"/>
      <c r="H654" s="1335"/>
      <c r="I654" s="1336"/>
      <c r="J654" s="1168"/>
      <c r="K654" s="1169"/>
      <c r="L654" s="1159"/>
      <c r="M654" s="1169"/>
      <c r="N654" s="1161" t="s">
        <v>2317</v>
      </c>
    </row>
    <row r="655" spans="1:14" ht="15.75" hidden="1">
      <c r="A655" s="1156"/>
      <c r="B655" s="1169"/>
      <c r="C655" s="1337"/>
      <c r="D655" s="1171"/>
      <c r="E655" s="1165"/>
      <c r="F655" s="1166"/>
      <c r="G655" s="1343"/>
      <c r="H655" s="1156"/>
      <c r="I655" s="1336"/>
      <c r="J655" s="1168" t="s">
        <v>277</v>
      </c>
      <c r="K655" s="1221">
        <f>data!E2057</f>
        <v>507.79999999999995</v>
      </c>
      <c r="L655" s="1159" t="s">
        <v>2317</v>
      </c>
      <c r="M655" s="1224">
        <f>ROUND(I655*K655,0)</f>
        <v>0</v>
      </c>
      <c r="N655" s="1161" t="s">
        <v>2317</v>
      </c>
    </row>
    <row r="656" spans="1:14" ht="17.25" hidden="1" customHeight="1">
      <c r="A656" s="1156">
        <v>12</v>
      </c>
      <c r="B656" s="1826" t="s">
        <v>648</v>
      </c>
      <c r="C656" s="1826"/>
      <c r="D656" s="1828"/>
      <c r="E656" s="1826"/>
      <c r="F656" s="1826"/>
      <c r="G656" s="1826"/>
      <c r="H656" s="1826"/>
      <c r="I656" s="1157"/>
      <c r="J656" s="1158"/>
      <c r="K656" s="1156"/>
      <c r="L656" s="1159"/>
      <c r="M656" s="1160"/>
      <c r="N656" s="1161" t="s">
        <v>2318</v>
      </c>
    </row>
    <row r="657" spans="1:14" s="1170" customFormat="1" ht="16.5" hidden="1" customHeight="1">
      <c r="A657" s="1156"/>
      <c r="B657" s="1169" t="s">
        <v>3395</v>
      </c>
      <c r="C657" s="1157"/>
      <c r="D657" s="1419"/>
      <c r="E657" s="1165"/>
      <c r="F657" s="1166"/>
      <c r="G657" s="1166"/>
      <c r="H657" s="1166"/>
      <c r="I657" s="1167"/>
      <c r="J657" s="1168"/>
      <c r="K657" s="1169"/>
      <c r="L657" s="1159"/>
      <c r="M657" s="1169"/>
      <c r="N657" s="1161" t="s">
        <v>2318</v>
      </c>
    </row>
    <row r="658" spans="1:14" s="1170" customFormat="1" ht="16.5" hidden="1" customHeight="1">
      <c r="A658" s="1156"/>
      <c r="B658" s="1169"/>
      <c r="C658" s="1157">
        <v>1</v>
      </c>
      <c r="D658" s="1171" t="s">
        <v>273</v>
      </c>
      <c r="E658" s="1165">
        <v>9</v>
      </c>
      <c r="F658" s="1166">
        <v>1.5</v>
      </c>
      <c r="G658" s="1166">
        <v>0</v>
      </c>
      <c r="H658" s="1166">
        <v>0</v>
      </c>
      <c r="I658" s="1172">
        <f t="shared" ref="I658" si="67">ROUND(IF(AND(F658:H658),C658*E658*F658*G658*H658,IF(AND(F658,G658),C658*E658*F658*G658,IF(AND(F658,H658),C658*E658*F658*H658,IF(AND(G658,H658),C658*E658*G658*H658,IF(F658,C658*E658*F658,IF(G658,C658*E658*G658,IF(H658,C658*E658*H658,C658*E658))))))),2)</f>
        <v>13.5</v>
      </c>
      <c r="J658" s="1168" t="s">
        <v>277</v>
      </c>
      <c r="K658" s="1169"/>
      <c r="L658" s="1159"/>
      <c r="M658" s="1169"/>
      <c r="N658" s="1161" t="s">
        <v>2318</v>
      </c>
    </row>
    <row r="659" spans="1:14" s="1170" customFormat="1" ht="16.5" hidden="1" customHeight="1">
      <c r="A659" s="1156"/>
      <c r="B659" s="1331"/>
      <c r="C659" s="1332"/>
      <c r="D659" s="1333"/>
      <c r="E659" s="1334"/>
      <c r="F659" s="1335"/>
      <c r="G659" s="1335"/>
      <c r="H659" s="1335"/>
      <c r="I659" s="1336"/>
      <c r="J659" s="1168"/>
      <c r="K659" s="1169"/>
      <c r="L659" s="1159"/>
      <c r="M659" s="1169"/>
      <c r="N659" s="1161" t="s">
        <v>2318</v>
      </c>
    </row>
    <row r="660" spans="1:14" ht="15.75" hidden="1">
      <c r="A660" s="1156"/>
      <c r="B660" s="1169"/>
      <c r="C660" s="1337"/>
      <c r="D660" s="1171"/>
      <c r="E660" s="1165"/>
      <c r="F660" s="1166"/>
      <c r="G660" s="1343"/>
      <c r="H660" s="1156"/>
      <c r="I660" s="1336"/>
      <c r="J660" s="1168" t="s">
        <v>277</v>
      </c>
      <c r="K660" s="1221">
        <f>data!E2974</f>
        <v>518.52</v>
      </c>
      <c r="L660" s="1159" t="s">
        <v>2318</v>
      </c>
      <c r="M660" s="1224">
        <f>ROUND(I660*K660,0)</f>
        <v>0</v>
      </c>
      <c r="N660" s="1161" t="s">
        <v>2318</v>
      </c>
    </row>
    <row r="661" spans="1:14" s="1575" customFormat="1" ht="64.5" customHeight="1">
      <c r="A661" s="1570">
        <v>14</v>
      </c>
      <c r="B661" s="1827" t="s">
        <v>151</v>
      </c>
      <c r="C661" s="1827"/>
      <c r="D661" s="1827"/>
      <c r="E661" s="1827"/>
      <c r="F661" s="1827"/>
      <c r="G661" s="1827"/>
      <c r="H661" s="1827"/>
      <c r="I661" s="1571"/>
      <c r="J661" s="1572"/>
      <c r="K661" s="1570"/>
      <c r="L661" s="1573"/>
      <c r="M661" s="1577"/>
      <c r="N661" s="1578" t="s">
        <v>2218</v>
      </c>
    </row>
    <row r="662" spans="1:14" s="1586" customFormat="1" ht="16.5" customHeight="1">
      <c r="A662" s="1570"/>
      <c r="B662" s="1579" t="s">
        <v>3761</v>
      </c>
      <c r="C662" s="1571"/>
      <c r="D662" s="1790" t="s">
        <v>3872</v>
      </c>
      <c r="E662" s="1588"/>
      <c r="F662" s="1589"/>
      <c r="G662" s="1589"/>
      <c r="H662" s="1589"/>
      <c r="I662" s="1630"/>
      <c r="J662" s="1598"/>
      <c r="K662" s="1585"/>
      <c r="L662" s="1573"/>
      <c r="M662" s="1585"/>
      <c r="N662" s="1578" t="s">
        <v>2218</v>
      </c>
    </row>
    <row r="663" spans="1:14" s="1586" customFormat="1" ht="16.5" customHeight="1">
      <c r="A663" s="1570"/>
      <c r="B663" s="1585"/>
      <c r="C663" s="1571">
        <v>1</v>
      </c>
      <c r="D663" s="1587" t="s">
        <v>273</v>
      </c>
      <c r="E663" s="1588">
        <v>1</v>
      </c>
      <c r="F663" s="1589">
        <v>10.3</v>
      </c>
      <c r="G663" s="1589">
        <v>10.59</v>
      </c>
      <c r="H663" s="1589">
        <v>0</v>
      </c>
      <c r="I663" s="1647">
        <f t="shared" ref="I663" si="68">ROUND(IF(AND(F663:H663),C663*E663*F663*G663*H663,IF(AND(F663,G663),C663*E663*F663*G663,IF(AND(F663,H663),C663*E663*F663*H663,IF(AND(G663,H663),C663*E663*G663*H663,IF(F663,C663*E663*F663,IF(G663,C663*E663*G663,IF(H663,C663*E663*H663,C663*E663))))))),2)</f>
        <v>109.08</v>
      </c>
      <c r="J663" s="1598" t="s">
        <v>102</v>
      </c>
      <c r="K663" s="1585"/>
      <c r="L663" s="1573"/>
      <c r="M663" s="1585"/>
      <c r="N663" s="1578" t="s">
        <v>2218</v>
      </c>
    </row>
    <row r="664" spans="1:14" s="1586" customFormat="1" ht="16.5" customHeight="1">
      <c r="A664" s="1570"/>
      <c r="B664" s="1585" t="s">
        <v>281</v>
      </c>
      <c r="C664" s="1571">
        <v>1</v>
      </c>
      <c r="D664" s="1587" t="s">
        <v>273</v>
      </c>
      <c r="E664" s="1588">
        <v>12</v>
      </c>
      <c r="F664" s="1589">
        <v>0.3</v>
      </c>
      <c r="G664" s="1589">
        <v>0.3</v>
      </c>
      <c r="H664" s="1589">
        <v>0</v>
      </c>
      <c r="I664" s="1647">
        <f>-ROUND(IF(AND(F664:H664),C664*E664*F664*G664*H664,IF(AND(F664,G664),C664*E664*F664*G664,IF(AND(F664,H664),C664*E664*F664*H664,IF(AND(G664,H664),C664*E664*G664*H664,IF(F664,C664*E664*F664,IF(G664,C664*E664*G664,IF(H664,C664*E664*H664,C664*E664))))))),2)</f>
        <v>-1.08</v>
      </c>
      <c r="J664" s="1598" t="s">
        <v>102</v>
      </c>
      <c r="K664" s="1585"/>
      <c r="L664" s="1573"/>
      <c r="M664" s="1585"/>
      <c r="N664" s="1578" t="s">
        <v>2218</v>
      </c>
    </row>
    <row r="665" spans="1:14" s="1586" customFormat="1" ht="16.5" customHeight="1">
      <c r="A665" s="1570"/>
      <c r="B665" s="1600"/>
      <c r="C665" s="1601"/>
      <c r="D665" s="1602"/>
      <c r="E665" s="1603"/>
      <c r="F665" s="1604"/>
      <c r="G665" s="1604"/>
      <c r="H665" s="1604"/>
      <c r="I665" s="1605"/>
      <c r="J665" s="1598"/>
      <c r="K665" s="1585"/>
      <c r="L665" s="1573"/>
      <c r="M665" s="1585"/>
      <c r="N665" s="1578" t="s">
        <v>2218</v>
      </c>
    </row>
    <row r="666" spans="1:14" s="1575" customFormat="1" ht="15.75">
      <c r="A666" s="1570"/>
      <c r="B666" s="1585"/>
      <c r="C666" s="1606"/>
      <c r="D666" s="1587"/>
      <c r="E666" s="1588"/>
      <c r="F666" s="1589"/>
      <c r="G666" s="1607"/>
      <c r="H666" s="1570"/>
      <c r="I666" s="1605">
        <f>SUM(I663:I665)</f>
        <v>108</v>
      </c>
      <c r="J666" s="1598" t="s">
        <v>102</v>
      </c>
      <c r="K666" s="1608">
        <f>data!E568</f>
        <v>259.97000000000003</v>
      </c>
      <c r="L666" s="1573" t="s">
        <v>2218</v>
      </c>
      <c r="M666" s="1609">
        <f>ROUND(I666*K666,0)</f>
        <v>28077</v>
      </c>
      <c r="N666" s="1578" t="s">
        <v>2218</v>
      </c>
    </row>
    <row r="667" spans="1:14" ht="64.5" hidden="1" customHeight="1">
      <c r="A667" s="1156">
        <v>21</v>
      </c>
      <c r="B667" s="1826" t="s">
        <v>151</v>
      </c>
      <c r="C667" s="1826"/>
      <c r="D667" s="1826"/>
      <c r="E667" s="1826"/>
      <c r="F667" s="1826"/>
      <c r="G667" s="1826"/>
      <c r="H667" s="1826"/>
      <c r="I667" s="1157"/>
      <c r="J667" s="1158"/>
      <c r="K667" s="1156"/>
      <c r="L667" s="1159"/>
      <c r="M667" s="1160"/>
      <c r="N667" s="1161" t="s">
        <v>2306</v>
      </c>
    </row>
    <row r="668" spans="1:14" s="1170" customFormat="1" ht="16.5" hidden="1" customHeight="1">
      <c r="A668" s="1156"/>
      <c r="B668" s="1169" t="s">
        <v>3607</v>
      </c>
      <c r="C668" s="1157"/>
      <c r="D668" s="1548" t="s">
        <v>3647</v>
      </c>
      <c r="E668" s="1165"/>
      <c r="F668" s="1166"/>
      <c r="G668" s="1166"/>
      <c r="H668" s="1166"/>
      <c r="I668" s="1167"/>
      <c r="J668" s="1168"/>
      <c r="K668" s="1169"/>
      <c r="L668" s="1159"/>
      <c r="M668" s="1169"/>
      <c r="N668" s="1161" t="s">
        <v>2306</v>
      </c>
    </row>
    <row r="669" spans="1:14" s="1170" customFormat="1" ht="16.5" hidden="1" customHeight="1">
      <c r="A669" s="1156"/>
      <c r="B669" s="1169" t="s">
        <v>3608</v>
      </c>
      <c r="C669" s="1157">
        <v>1</v>
      </c>
      <c r="D669" s="1171" t="s">
        <v>273</v>
      </c>
      <c r="E669" s="1165">
        <v>1</v>
      </c>
      <c r="F669" s="1166">
        <v>10.43</v>
      </c>
      <c r="G669" s="1166">
        <v>10.89</v>
      </c>
      <c r="H669" s="1166">
        <v>0</v>
      </c>
      <c r="I669" s="1172">
        <f t="shared" ref="I669" si="69">ROUND(IF(AND(F669:H669),C669*E669*F669*G669*H669,IF(AND(F669,G669),C669*E669*F669*G669,IF(AND(F669,H669),C669*E669*F669*H669,IF(AND(G669,H669),C669*E669*G669*H669,IF(F669,C669*E669*F669,IF(G669,C669*E669*G669,IF(H669,C669*E669*H669,C669*E669))))))),2)</f>
        <v>113.58</v>
      </c>
      <c r="J669" s="1168" t="s">
        <v>102</v>
      </c>
      <c r="K669" s="1169"/>
      <c r="L669" s="1156"/>
      <c r="M669" s="1169"/>
      <c r="N669" s="1161" t="s">
        <v>2306</v>
      </c>
    </row>
    <row r="670" spans="1:14" s="1170" customFormat="1" ht="16.5" hidden="1" customHeight="1">
      <c r="A670" s="1156"/>
      <c r="B670" s="1169" t="s">
        <v>3357</v>
      </c>
      <c r="C670" s="1157">
        <v>1</v>
      </c>
      <c r="D670" s="1171" t="s">
        <v>273</v>
      </c>
      <c r="E670" s="1165">
        <v>14</v>
      </c>
      <c r="F670" s="1166">
        <v>0.45</v>
      </c>
      <c r="G670" s="1166">
        <v>0.3</v>
      </c>
      <c r="H670" s="1166">
        <v>0</v>
      </c>
      <c r="I670" s="1172">
        <f>-ROUND(IF(AND(F670:H670),C670*E670*F670*G670*H670,IF(AND(F670,G670),C670*E670*F670*G670,IF(AND(F670,H670),C670*E670*F670*H670,IF(AND(G670,H670),C670*E670*G670*H670,IF(F670,C670*E670*F670,IF(G670,C670*E670*G670,IF(H670,C670*E670*H670,C670*E670))))))),2)</f>
        <v>-1.89</v>
      </c>
      <c r="J670" s="1168" t="s">
        <v>102</v>
      </c>
      <c r="K670" s="1169"/>
      <c r="L670" s="1156"/>
      <c r="M670" s="1169"/>
      <c r="N670" s="1161" t="s">
        <v>2306</v>
      </c>
    </row>
    <row r="671" spans="1:14" s="1170" customFormat="1" ht="16.5" hidden="1" customHeight="1">
      <c r="A671" s="1156"/>
      <c r="B671" s="1331"/>
      <c r="C671" s="1332"/>
      <c r="D671" s="1333"/>
      <c r="E671" s="1334"/>
      <c r="F671" s="1335"/>
      <c r="G671" s="1335"/>
      <c r="H671" s="1335"/>
      <c r="I671" s="1336"/>
      <c r="J671" s="1168"/>
      <c r="K671" s="1169"/>
      <c r="L671" s="1159"/>
      <c r="M671" s="1169"/>
      <c r="N671" s="1161" t="s">
        <v>2306</v>
      </c>
    </row>
    <row r="672" spans="1:14" ht="15.75" hidden="1">
      <c r="A672" s="1156"/>
      <c r="B672" s="1169"/>
      <c r="C672" s="1337"/>
      <c r="D672" s="1171"/>
      <c r="E672" s="1165"/>
      <c r="F672" s="1166"/>
      <c r="G672" s="1343"/>
      <c r="H672" s="1156"/>
      <c r="I672" s="1336"/>
      <c r="J672" s="1168" t="s">
        <v>102</v>
      </c>
      <c r="K672" s="1221">
        <f>data!E1485</f>
        <v>280.02999999999997</v>
      </c>
      <c r="L672" s="1159" t="s">
        <v>2306</v>
      </c>
      <c r="M672" s="1224">
        <f>ROUND(I672*K672,0)</f>
        <v>0</v>
      </c>
      <c r="N672" s="1161" t="s">
        <v>2306</v>
      </c>
    </row>
    <row r="673" spans="1:14" ht="64.5" hidden="1" customHeight="1">
      <c r="A673" s="1156">
        <v>21</v>
      </c>
      <c r="B673" s="1826" t="s">
        <v>151</v>
      </c>
      <c r="C673" s="1826"/>
      <c r="D673" s="1826"/>
      <c r="E673" s="1826"/>
      <c r="F673" s="1826"/>
      <c r="G673" s="1826"/>
      <c r="H673" s="1826"/>
      <c r="I673" s="1157"/>
      <c r="J673" s="1158"/>
      <c r="K673" s="1156"/>
      <c r="L673" s="1159"/>
      <c r="M673" s="1160"/>
      <c r="N673" s="1161" t="s">
        <v>2317</v>
      </c>
    </row>
    <row r="674" spans="1:14" s="1170" customFormat="1" ht="16.5" hidden="1" customHeight="1">
      <c r="A674" s="1156"/>
      <c r="B674" s="1169" t="s">
        <v>3488</v>
      </c>
      <c r="C674" s="1157"/>
      <c r="D674" s="1171"/>
      <c r="E674" s="1165"/>
      <c r="F674" s="1166"/>
      <c r="G674" s="1166"/>
      <c r="H674" s="1166"/>
      <c r="I674" s="1167"/>
      <c r="J674" s="1168"/>
      <c r="K674" s="1169"/>
      <c r="L674" s="1159"/>
      <c r="M674" s="1169"/>
      <c r="N674" s="1161" t="s">
        <v>2317</v>
      </c>
    </row>
    <row r="675" spans="1:14" s="1170" customFormat="1" ht="16.5" hidden="1" customHeight="1">
      <c r="A675" s="1156"/>
      <c r="B675" s="1169" t="s">
        <v>1538</v>
      </c>
      <c r="C675" s="1157">
        <v>1</v>
      </c>
      <c r="D675" s="1171" t="s">
        <v>273</v>
      </c>
      <c r="E675" s="1165">
        <v>2</v>
      </c>
      <c r="F675" s="1166">
        <v>1.3</v>
      </c>
      <c r="G675" s="1166">
        <v>0</v>
      </c>
      <c r="H675" s="1166">
        <v>2.4</v>
      </c>
      <c r="I675" s="1172">
        <f>ROUND(IF(AND(F675:H675),C675*E675*F675*G675*H675,IF(AND(F675,G675),C675*E675*F675*G675,IF(AND(F675,H675),C675*E675*F675*H675,IF(AND(G675,H675),C675*E675*G675*H675,IF(F675,C675*E675*F675,IF(G675,C675*E675*G675,IF(H675,C675*E675*H675,C675*E675))))))),2)</f>
        <v>6.24</v>
      </c>
      <c r="J675" s="1168" t="s">
        <v>102</v>
      </c>
      <c r="K675" s="1169"/>
      <c r="L675" s="1159"/>
      <c r="M675" s="1169"/>
      <c r="N675" s="1161" t="s">
        <v>2317</v>
      </c>
    </row>
    <row r="676" spans="1:14" s="1170" customFormat="1" ht="16.5" hidden="1" customHeight="1">
      <c r="A676" s="1156"/>
      <c r="B676" s="1169"/>
      <c r="C676" s="1157">
        <v>1</v>
      </c>
      <c r="D676" s="1171" t="s">
        <v>273</v>
      </c>
      <c r="E676" s="1165">
        <v>2</v>
      </c>
      <c r="F676" s="1166">
        <v>2.2999999999999998</v>
      </c>
      <c r="G676" s="1166">
        <v>0</v>
      </c>
      <c r="H676" s="1166">
        <v>2.4</v>
      </c>
      <c r="I676" s="1172">
        <f>ROUND(IF(AND(F676:H676),C676*E676*F676*G676*H676,IF(AND(F676,G676),C676*E676*F676*G676,IF(AND(F676,H676),C676*E676*F676*H676,IF(AND(G676,H676),C676*E676*G676*H676,IF(F676,C676*E676*F676,IF(G676,C676*E676*G676,IF(H676,C676*E676*H676,C676*E676))))))),2)</f>
        <v>11.04</v>
      </c>
      <c r="J676" s="1168" t="s">
        <v>102</v>
      </c>
      <c r="K676" s="1169"/>
      <c r="L676" s="1159"/>
      <c r="M676" s="1169"/>
      <c r="N676" s="1161" t="s">
        <v>2317</v>
      </c>
    </row>
    <row r="677" spans="1:14" s="1170" customFormat="1" ht="16.5" hidden="1" customHeight="1">
      <c r="A677" s="1156"/>
      <c r="B677" s="1331"/>
      <c r="C677" s="1332"/>
      <c r="D677" s="1333"/>
      <c r="E677" s="1334"/>
      <c r="F677" s="1335"/>
      <c r="G677" s="1335"/>
      <c r="H677" s="1335"/>
      <c r="I677" s="1336"/>
      <c r="J677" s="1168"/>
      <c r="K677" s="1169"/>
      <c r="L677" s="1159"/>
      <c r="M677" s="1169"/>
      <c r="N677" s="1161" t="s">
        <v>2317</v>
      </c>
    </row>
    <row r="678" spans="1:14" ht="15.75" hidden="1">
      <c r="A678" s="1156"/>
      <c r="B678" s="1169"/>
      <c r="C678" s="1337"/>
      <c r="D678" s="1171"/>
      <c r="E678" s="1165"/>
      <c r="F678" s="1166"/>
      <c r="G678" s="1343"/>
      <c r="H678" s="1156"/>
      <c r="I678" s="1336"/>
      <c r="J678" s="1168" t="s">
        <v>102</v>
      </c>
      <c r="K678" s="1221">
        <f>data!E2402</f>
        <v>297.22000000000003</v>
      </c>
      <c r="L678" s="1159" t="s">
        <v>2317</v>
      </c>
      <c r="M678" s="1224">
        <f>ROUND(I678*K678,0)</f>
        <v>0</v>
      </c>
      <c r="N678" s="1161" t="s">
        <v>2317</v>
      </c>
    </row>
    <row r="679" spans="1:14" ht="64.5" hidden="1" customHeight="1">
      <c r="A679" s="1156">
        <v>18</v>
      </c>
      <c r="B679" s="1826" t="s">
        <v>151</v>
      </c>
      <c r="C679" s="1826"/>
      <c r="D679" s="1826"/>
      <c r="E679" s="1826"/>
      <c r="F679" s="1826"/>
      <c r="G679" s="1826"/>
      <c r="H679" s="1826"/>
      <c r="I679" s="1157"/>
      <c r="J679" s="1158"/>
      <c r="K679" s="1156"/>
      <c r="L679" s="1159"/>
      <c r="M679" s="1160"/>
      <c r="N679" s="1161" t="s">
        <v>2318</v>
      </c>
    </row>
    <row r="680" spans="1:14" s="1170" customFormat="1" ht="16.5" hidden="1" customHeight="1">
      <c r="A680" s="1156"/>
      <c r="B680" s="1169" t="s">
        <v>3729</v>
      </c>
      <c r="C680" s="1157"/>
      <c r="D680" s="1548" t="s">
        <v>3739</v>
      </c>
      <c r="E680" s="1165"/>
      <c r="F680" s="1166"/>
      <c r="G680" s="1166"/>
      <c r="H680" s="1166"/>
      <c r="I680" s="1167"/>
      <c r="J680" s="1168"/>
      <c r="K680" s="1169"/>
      <c r="L680" s="1159"/>
      <c r="M680" s="1169"/>
      <c r="N680" s="1161" t="s">
        <v>2318</v>
      </c>
    </row>
    <row r="681" spans="1:14" s="1170" customFormat="1" ht="16.5" hidden="1" customHeight="1">
      <c r="A681" s="1156"/>
      <c r="B681" s="1169"/>
      <c r="C681" s="1157">
        <v>1</v>
      </c>
      <c r="D681" s="1171" t="s">
        <v>273</v>
      </c>
      <c r="E681" s="1165">
        <v>1</v>
      </c>
      <c r="F681" s="1166">
        <v>10.199999999999999</v>
      </c>
      <c r="G681" s="1166">
        <v>11.73</v>
      </c>
      <c r="H681" s="1166">
        <v>0</v>
      </c>
      <c r="I681" s="1773">
        <f t="shared" ref="I681" si="70">ROUND(IF(AND(F681:H681),C681*E681*F681*G681*H681,IF(AND(F681,G681),C681*E681*F681*G681,IF(AND(F681,H681),C681*E681*F681*H681,IF(AND(G681,H681),C681*E681*G681*H681,IF(F681,C681*E681*F681,IF(G681,C681*E681*G681,IF(H681,C681*E681*H681,C681*E681))))))),2)</f>
        <v>119.65</v>
      </c>
      <c r="J681" s="1168" t="s">
        <v>102</v>
      </c>
      <c r="K681" s="1169"/>
      <c r="L681" s="1159"/>
      <c r="M681" s="1169"/>
      <c r="N681" s="1161" t="s">
        <v>2318</v>
      </c>
    </row>
    <row r="682" spans="1:14" s="1170" customFormat="1" ht="16.5" hidden="1" customHeight="1">
      <c r="A682" s="1156"/>
      <c r="B682" s="1169"/>
      <c r="C682" s="1157">
        <v>1</v>
      </c>
      <c r="D682" s="1171" t="s">
        <v>273</v>
      </c>
      <c r="E682" s="1165">
        <v>10</v>
      </c>
      <c r="F682" s="1166">
        <v>0.3</v>
      </c>
      <c r="G682" s="1166">
        <v>0.5</v>
      </c>
      <c r="H682" s="1166">
        <v>0</v>
      </c>
      <c r="I682" s="1773">
        <f>-ROUND(IF(AND(F682:H682),C682*E682*F682*G682*H682,IF(AND(F682,G682),C682*E682*F682*G682,IF(AND(F682,H682),C682*E682*F682*H682,IF(AND(G682,H682),C682*E682*G682*H682,IF(F682,C682*E682*F682,IF(G682,C682*E682*G682,IF(H682,C682*E682*H682,C682*E682))))))),2)</f>
        <v>-1.5</v>
      </c>
      <c r="J682" s="1168" t="s">
        <v>102</v>
      </c>
      <c r="K682" s="1169"/>
      <c r="L682" s="1159"/>
      <c r="M682" s="1169"/>
      <c r="N682" s="1161" t="s">
        <v>2318</v>
      </c>
    </row>
    <row r="683" spans="1:14" s="1170" customFormat="1" ht="16.5" hidden="1" customHeight="1">
      <c r="A683" s="1156"/>
      <c r="B683" s="1331"/>
      <c r="C683" s="1332"/>
      <c r="D683" s="1333"/>
      <c r="E683" s="1334"/>
      <c r="F683" s="1335"/>
      <c r="G683" s="1335"/>
      <c r="H683" s="1335"/>
      <c r="I683" s="1336"/>
      <c r="J683" s="1168"/>
      <c r="K683" s="1169"/>
      <c r="L683" s="1159"/>
      <c r="M683" s="1169"/>
      <c r="N683" s="1161" t="s">
        <v>2318</v>
      </c>
    </row>
    <row r="684" spans="1:14" ht="15.75" hidden="1">
      <c r="A684" s="1156"/>
      <c r="B684" s="1169"/>
      <c r="C684" s="1337"/>
      <c r="D684" s="1171"/>
      <c r="E684" s="1165"/>
      <c r="F684" s="1166"/>
      <c r="G684" s="1343"/>
      <c r="H684" s="1156"/>
      <c r="I684" s="1336"/>
      <c r="J684" s="1168" t="s">
        <v>102</v>
      </c>
      <c r="K684" s="1221">
        <f>data!E3319</f>
        <v>315.69</v>
      </c>
      <c r="L684" s="1159" t="s">
        <v>2318</v>
      </c>
      <c r="M684" s="1224">
        <f>ROUND(I684*K684,0)</f>
        <v>0</v>
      </c>
      <c r="N684" s="1161" t="s">
        <v>2318</v>
      </c>
    </row>
    <row r="685" spans="1:14" ht="64.5" hidden="1" customHeight="1">
      <c r="A685" s="1156">
        <v>15</v>
      </c>
      <c r="B685" s="1826" t="s">
        <v>1314</v>
      </c>
      <c r="C685" s="1826"/>
      <c r="D685" s="1826"/>
      <c r="E685" s="1826"/>
      <c r="F685" s="1826"/>
      <c r="G685" s="1826"/>
      <c r="H685" s="1826"/>
      <c r="I685" s="1157"/>
      <c r="J685" s="1158"/>
      <c r="K685" s="1156"/>
      <c r="L685" s="1159"/>
      <c r="M685" s="1160"/>
      <c r="N685" s="1161" t="s">
        <v>2218</v>
      </c>
    </row>
    <row r="686" spans="1:14" s="1170" customFormat="1" ht="16.5" hidden="1" customHeight="1">
      <c r="A686" s="1156"/>
      <c r="B686" s="1169" t="s">
        <v>3483</v>
      </c>
      <c r="C686" s="1338"/>
      <c r="D686" s="1164" t="s">
        <v>3412</v>
      </c>
      <c r="E686" s="1339"/>
      <c r="F686" s="1340"/>
      <c r="G686" s="1340"/>
      <c r="H686" s="1340"/>
      <c r="I686" s="1341"/>
      <c r="J686" s="1168"/>
      <c r="K686" s="1169"/>
      <c r="L686" s="1159"/>
      <c r="M686" s="1169"/>
      <c r="N686" s="1161" t="s">
        <v>2218</v>
      </c>
    </row>
    <row r="687" spans="1:14" s="1170" customFormat="1" ht="16.5" hidden="1" customHeight="1">
      <c r="A687" s="1156"/>
      <c r="B687" s="1169"/>
      <c r="C687" s="1157">
        <v>1</v>
      </c>
      <c r="D687" s="1171" t="s">
        <v>273</v>
      </c>
      <c r="E687" s="1165">
        <v>1</v>
      </c>
      <c r="F687" s="1166">
        <v>11.96</v>
      </c>
      <c r="G687" s="1166">
        <v>10.43</v>
      </c>
      <c r="H687" s="1166">
        <v>0</v>
      </c>
      <c r="I687" s="1172">
        <f>ROUND(IF(AND(F687:H687),C687*E687*F687*G687*H687,IF(AND(F687,G687),C687*E687*F687*G687,IF(AND(F687,H687),C687*E687*F687*H687,IF(AND(G687,H687),C687*E687*G687*H687,IF(F687,C687*E687*F687,IF(G687,C687*E687*G687,IF(H687,C687*E687*H687,C687*E687))))))),2)</f>
        <v>124.74</v>
      </c>
      <c r="J687" s="1168" t="s">
        <v>102</v>
      </c>
      <c r="K687" s="1169"/>
      <c r="L687" s="1159"/>
      <c r="M687" s="1169"/>
      <c r="N687" s="1161" t="s">
        <v>2218</v>
      </c>
    </row>
    <row r="688" spans="1:14" s="1170" customFormat="1" ht="16.5" hidden="1" customHeight="1">
      <c r="A688" s="1156"/>
      <c r="B688" s="1169"/>
      <c r="C688" s="1157">
        <v>1</v>
      </c>
      <c r="D688" s="1171" t="s">
        <v>273</v>
      </c>
      <c r="E688" s="1165">
        <v>1</v>
      </c>
      <c r="F688" s="1166">
        <v>3.51</v>
      </c>
      <c r="G688" s="1166">
        <v>0.93</v>
      </c>
      <c r="H688" s="1166">
        <v>0</v>
      </c>
      <c r="I688" s="1172">
        <f>ROUND(IF(AND(F688:H688),C688*E688*F688*G688*H688,IF(AND(F688,G688),C688*E688*F688*G688,IF(AND(F688,H688),C688*E688*F688*H688,IF(AND(G688,H688),C688*E688*G688*H688,IF(F688,C688*E688*F688,IF(G688,C688*E688*G688,IF(H688,C688*E688*H688,C688*E688))))))),2)</f>
        <v>3.26</v>
      </c>
      <c r="J688" s="1168" t="s">
        <v>102</v>
      </c>
      <c r="K688" s="1169"/>
      <c r="L688" s="1159"/>
      <c r="M688" s="1169"/>
      <c r="N688" s="1161" t="s">
        <v>2218</v>
      </c>
    </row>
    <row r="689" spans="1:14" s="1170" customFormat="1" ht="16.5" hidden="1" customHeight="1">
      <c r="A689" s="1156"/>
      <c r="B689" s="1331"/>
      <c r="C689" s="1332"/>
      <c r="D689" s="1333"/>
      <c r="E689" s="1334"/>
      <c r="F689" s="1335"/>
      <c r="G689" s="1335"/>
      <c r="H689" s="1335"/>
      <c r="I689" s="1336"/>
      <c r="J689" s="1168"/>
      <c r="K689" s="1169"/>
      <c r="L689" s="1159"/>
      <c r="M689" s="1169"/>
      <c r="N689" s="1161" t="s">
        <v>2218</v>
      </c>
    </row>
    <row r="690" spans="1:14" ht="15.75" hidden="1">
      <c r="A690" s="1156"/>
      <c r="B690" s="1169"/>
      <c r="C690" s="1337"/>
      <c r="D690" s="1171"/>
      <c r="E690" s="1165"/>
      <c r="F690" s="1166"/>
      <c r="G690" s="1343"/>
      <c r="H690" s="1156"/>
      <c r="I690" s="1336"/>
      <c r="J690" s="1168" t="s">
        <v>102</v>
      </c>
      <c r="K690" s="1221">
        <f>data!E583</f>
        <v>330.39</v>
      </c>
      <c r="L690" s="1159" t="s">
        <v>2218</v>
      </c>
      <c r="M690" s="1224">
        <f>ROUND(I690*K690,0)</f>
        <v>0</v>
      </c>
      <c r="N690" s="1161" t="s">
        <v>2218</v>
      </c>
    </row>
    <row r="691" spans="1:14" ht="64.5" hidden="1" customHeight="1">
      <c r="A691" s="1156">
        <v>18</v>
      </c>
      <c r="B691" s="1826" t="s">
        <v>1314</v>
      </c>
      <c r="C691" s="1826"/>
      <c r="D691" s="1828"/>
      <c r="E691" s="1826"/>
      <c r="F691" s="1826"/>
      <c r="G691" s="1826"/>
      <c r="H691" s="1826"/>
      <c r="I691" s="1157"/>
      <c r="J691" s="1158"/>
      <c r="K691" s="1156"/>
      <c r="L691" s="1159"/>
      <c r="M691" s="1160"/>
      <c r="N691" s="1161" t="s">
        <v>2306</v>
      </c>
    </row>
    <row r="692" spans="1:14" s="1170" customFormat="1" ht="16.5" hidden="1" customHeight="1">
      <c r="A692" s="1156"/>
      <c r="B692" s="1169" t="s">
        <v>3516</v>
      </c>
      <c r="C692" s="1157"/>
      <c r="D692" s="1328" t="s">
        <v>3528</v>
      </c>
      <c r="E692" s="1165"/>
      <c r="F692" s="1166"/>
      <c r="G692" s="1166"/>
      <c r="H692" s="1166"/>
      <c r="I692" s="1167"/>
      <c r="J692" s="1168"/>
      <c r="K692" s="1169"/>
      <c r="L692" s="1159"/>
      <c r="M692" s="1169"/>
      <c r="N692" s="1161" t="s">
        <v>2306</v>
      </c>
    </row>
    <row r="693" spans="1:14" s="1170" customFormat="1" ht="16.5" hidden="1" customHeight="1">
      <c r="A693" s="1156"/>
      <c r="B693" s="1169"/>
      <c r="C693" s="1157">
        <v>1</v>
      </c>
      <c r="D693" s="1171" t="s">
        <v>273</v>
      </c>
      <c r="E693" s="1165">
        <v>1</v>
      </c>
      <c r="F693" s="1166">
        <v>11.96</v>
      </c>
      <c r="G693" s="1166">
        <v>10.43</v>
      </c>
      <c r="H693" s="1166">
        <v>0</v>
      </c>
      <c r="I693" s="1172">
        <f>ROUND(IF(AND(F693:H693),C693*E693*F693*G693*H693,IF(AND(F693,G693),C693*E693*F693*G693,IF(AND(F693,H693),C693*E693*F693*H693,IF(AND(G693,H693),C693*E693*G693*H693,IF(F693,C693*E693*F693,IF(G693,C693*E693*G693,IF(H693,C693*E693*H693,C693*E693))))))),2)</f>
        <v>124.74</v>
      </c>
      <c r="J693" s="1168" t="s">
        <v>102</v>
      </c>
      <c r="K693" s="1169"/>
      <c r="L693" s="1156"/>
      <c r="M693" s="1169"/>
      <c r="N693" s="1161" t="s">
        <v>2306</v>
      </c>
    </row>
    <row r="694" spans="1:14" s="1170" customFormat="1" ht="16.5" hidden="1" customHeight="1">
      <c r="A694" s="1156"/>
      <c r="B694" s="1169"/>
      <c r="C694" s="1157">
        <v>1</v>
      </c>
      <c r="D694" s="1171" t="s">
        <v>273</v>
      </c>
      <c r="E694" s="1165">
        <v>1</v>
      </c>
      <c r="F694" s="1166">
        <v>3.5</v>
      </c>
      <c r="G694" s="1166">
        <v>0.93</v>
      </c>
      <c r="H694" s="1166">
        <v>0</v>
      </c>
      <c r="I694" s="1172">
        <f>ROUND(IF(AND(F694:H694),C694*E694*F694*G694*H694,IF(AND(F694,G694),C694*E694*F694*G694,IF(AND(F694,H694),C694*E694*F694*H694,IF(AND(G694,H694),C694*E694*G694*H694,IF(F694,C694*E694*F694,IF(G694,C694*E694*G694,IF(H694,C694*E694*H694,C694*E694))))))),2)</f>
        <v>3.26</v>
      </c>
      <c r="J694" s="1168" t="s">
        <v>102</v>
      </c>
      <c r="K694" s="1169"/>
      <c r="L694" s="1156"/>
      <c r="M694" s="1169"/>
      <c r="N694" s="1161" t="s">
        <v>2306</v>
      </c>
    </row>
    <row r="695" spans="1:14" s="1170" customFormat="1" ht="16.5" hidden="1" customHeight="1">
      <c r="A695" s="1156"/>
      <c r="B695" s="1331"/>
      <c r="C695" s="1332"/>
      <c r="D695" s="1333"/>
      <c r="E695" s="1334"/>
      <c r="F695" s="1335"/>
      <c r="G695" s="1335"/>
      <c r="H695" s="1335"/>
      <c r="I695" s="1336"/>
      <c r="J695" s="1168"/>
      <c r="K695" s="1169"/>
      <c r="L695" s="1159"/>
      <c r="M695" s="1169"/>
      <c r="N695" s="1161" t="s">
        <v>2306</v>
      </c>
    </row>
    <row r="696" spans="1:14" ht="15.75" hidden="1">
      <c r="A696" s="1156"/>
      <c r="B696" s="1169"/>
      <c r="C696" s="1337"/>
      <c r="D696" s="1171"/>
      <c r="E696" s="1165"/>
      <c r="F696" s="1166"/>
      <c r="G696" s="1343"/>
      <c r="H696" s="1156"/>
      <c r="I696" s="1336"/>
      <c r="J696" s="1168" t="s">
        <v>102</v>
      </c>
      <c r="K696" s="1221">
        <f>data!E1500</f>
        <v>357.62</v>
      </c>
      <c r="L696" s="1159" t="s">
        <v>2306</v>
      </c>
      <c r="M696" s="1224">
        <f>ROUND(I696*K696,0)</f>
        <v>0</v>
      </c>
      <c r="N696" s="1161" t="s">
        <v>2306</v>
      </c>
    </row>
    <row r="697" spans="1:14" ht="64.5" hidden="1" customHeight="1">
      <c r="A697" s="1156">
        <v>14</v>
      </c>
      <c r="B697" s="1826" t="s">
        <v>1314</v>
      </c>
      <c r="C697" s="1826"/>
      <c r="D697" s="1826"/>
      <c r="E697" s="1826"/>
      <c r="F697" s="1826"/>
      <c r="G697" s="1826"/>
      <c r="H697" s="1826"/>
      <c r="I697" s="1157"/>
      <c r="J697" s="1158"/>
      <c r="K697" s="1156"/>
      <c r="L697" s="1159"/>
      <c r="M697" s="1160"/>
      <c r="N697" s="1161" t="s">
        <v>2317</v>
      </c>
    </row>
    <row r="698" spans="1:14" s="1170" customFormat="1" ht="16.5" hidden="1" customHeight="1">
      <c r="A698" s="1156"/>
      <c r="B698" s="1169" t="s">
        <v>3489</v>
      </c>
      <c r="C698" s="1157"/>
      <c r="D698" s="1171"/>
      <c r="E698" s="1165"/>
      <c r="F698" s="1166"/>
      <c r="G698" s="1166"/>
      <c r="H698" s="1166"/>
      <c r="I698" s="1167"/>
      <c r="J698" s="1168"/>
      <c r="K698" s="1169"/>
      <c r="L698" s="1159"/>
      <c r="M698" s="1169"/>
      <c r="N698" s="1161" t="s">
        <v>2317</v>
      </c>
    </row>
    <row r="699" spans="1:14" s="1170" customFormat="1" ht="16.5" hidden="1" customHeight="1">
      <c r="A699" s="1156"/>
      <c r="B699" s="1169"/>
      <c r="C699" s="1157">
        <v>1</v>
      </c>
      <c r="D699" s="1171" t="s">
        <v>273</v>
      </c>
      <c r="E699" s="1165">
        <v>1</v>
      </c>
      <c r="F699" s="1166">
        <v>10.45</v>
      </c>
      <c r="G699" s="1166">
        <v>12</v>
      </c>
      <c r="H699" s="1166">
        <v>0</v>
      </c>
      <c r="I699" s="1172">
        <f>ROUND(IF(AND(F699:H699),C699*E699*F699*G699*H699,IF(AND(F699,G699),C699*E699*F699*G699,IF(AND(F699,H699),C699*E699*F699*H699,IF(AND(G699,H699),C699*E699*G699*H699,IF(F699,C699*E699*F699,IF(G699,C699*E699*G699,IF(H699,C699*E699*H699,C699*E699))))))),2)</f>
        <v>125.4</v>
      </c>
      <c r="J699" s="1168" t="s">
        <v>102</v>
      </c>
      <c r="K699" s="1169"/>
      <c r="L699" s="1159"/>
      <c r="M699" s="1169"/>
      <c r="N699" s="1161" t="s">
        <v>2317</v>
      </c>
    </row>
    <row r="700" spans="1:14" s="1170" customFormat="1" ht="16.5" hidden="1" customHeight="1">
      <c r="A700" s="1156"/>
      <c r="B700" s="1169"/>
      <c r="C700" s="1157">
        <v>1</v>
      </c>
      <c r="D700" s="1171" t="s">
        <v>273</v>
      </c>
      <c r="E700" s="1165">
        <v>1</v>
      </c>
      <c r="F700" s="1166">
        <v>3.52</v>
      </c>
      <c r="G700" s="1166">
        <v>0.9</v>
      </c>
      <c r="H700" s="1166">
        <v>0</v>
      </c>
      <c r="I700" s="1172">
        <f>ROUND(IF(AND(F700:H700),C700*E700*F700*G700*H700,IF(AND(F700,G700),C700*E700*F700*G700,IF(AND(F700,H700),C700*E700*F700*H700,IF(AND(G700,H700),C700*E700*G700*H700,IF(F700,C700*E700*F700,IF(G700,C700*E700*G700,IF(H700,C700*E700*H700,C700*E700))))))),2)</f>
        <v>3.17</v>
      </c>
      <c r="J700" s="1168" t="s">
        <v>102</v>
      </c>
      <c r="K700" s="1169"/>
      <c r="L700" s="1159"/>
      <c r="M700" s="1169"/>
      <c r="N700" s="1161" t="s">
        <v>2317</v>
      </c>
    </row>
    <row r="701" spans="1:14" s="1170" customFormat="1" ht="16.5" hidden="1" customHeight="1">
      <c r="A701" s="1156"/>
      <c r="B701" s="1331"/>
      <c r="C701" s="1332"/>
      <c r="D701" s="1333"/>
      <c r="E701" s="1334"/>
      <c r="F701" s="1335"/>
      <c r="G701" s="1335"/>
      <c r="H701" s="1335"/>
      <c r="I701" s="1336"/>
      <c r="J701" s="1168"/>
      <c r="K701" s="1169"/>
      <c r="L701" s="1159"/>
      <c r="M701" s="1169"/>
      <c r="N701" s="1161" t="s">
        <v>2317</v>
      </c>
    </row>
    <row r="702" spans="1:14" ht="15.75" hidden="1">
      <c r="A702" s="1156"/>
      <c r="B702" s="1169"/>
      <c r="C702" s="1337"/>
      <c r="D702" s="1171"/>
      <c r="E702" s="1165"/>
      <c r="F702" s="1166"/>
      <c r="G702" s="1343"/>
      <c r="H702" s="1156"/>
      <c r="I702" s="1336"/>
      <c r="J702" s="1168" t="s">
        <v>102</v>
      </c>
      <c r="K702" s="1221">
        <f>data!E2417</f>
        <v>380.75</v>
      </c>
      <c r="L702" s="1159" t="s">
        <v>2317</v>
      </c>
      <c r="M702" s="1224">
        <f>ROUND(I702*K702,0)</f>
        <v>0</v>
      </c>
      <c r="N702" s="1161" t="s">
        <v>2317</v>
      </c>
    </row>
    <row r="703" spans="1:14" ht="64.5" hidden="1" customHeight="1">
      <c r="A703" s="1156">
        <v>14</v>
      </c>
      <c r="B703" s="1826" t="s">
        <v>1314</v>
      </c>
      <c r="C703" s="1826"/>
      <c r="D703" s="1826"/>
      <c r="E703" s="1826"/>
      <c r="F703" s="1826"/>
      <c r="G703" s="1826"/>
      <c r="H703" s="1826"/>
      <c r="I703" s="1157"/>
      <c r="J703" s="1158"/>
      <c r="K703" s="1156"/>
      <c r="L703" s="1159"/>
      <c r="M703" s="1160"/>
      <c r="N703" s="1161" t="s">
        <v>2318</v>
      </c>
    </row>
    <row r="704" spans="1:14" s="1170" customFormat="1" ht="16.5" hidden="1" customHeight="1">
      <c r="A704" s="1156"/>
      <c r="B704" s="1169" t="s">
        <v>3489</v>
      </c>
      <c r="C704" s="1157"/>
      <c r="D704" s="1171"/>
      <c r="E704" s="1165"/>
      <c r="F704" s="1166"/>
      <c r="G704" s="1166"/>
      <c r="H704" s="1166"/>
      <c r="I704" s="1167"/>
      <c r="J704" s="1168"/>
      <c r="K704" s="1169"/>
      <c r="L704" s="1159"/>
      <c r="M704" s="1169"/>
      <c r="N704" s="1161" t="s">
        <v>2318</v>
      </c>
    </row>
    <row r="705" spans="1:14" s="1170" customFormat="1" ht="16.5" hidden="1" customHeight="1">
      <c r="A705" s="1156"/>
      <c r="B705" s="1169"/>
      <c r="C705" s="1157">
        <v>1</v>
      </c>
      <c r="D705" s="1171" t="s">
        <v>273</v>
      </c>
      <c r="E705" s="1165">
        <v>1</v>
      </c>
      <c r="F705" s="1166">
        <v>10.45</v>
      </c>
      <c r="G705" s="1166">
        <v>12</v>
      </c>
      <c r="H705" s="1166">
        <v>0</v>
      </c>
      <c r="I705" s="1172">
        <f>ROUND(IF(AND(F705:H705),C705*E705*F705*G705*H705,IF(AND(F705,G705),C705*E705*F705*G705,IF(AND(F705,H705),C705*E705*F705*H705,IF(AND(G705,H705),C705*E705*G705*H705,IF(F705,C705*E705*F705,IF(G705,C705*E705*G705,IF(H705,C705*E705*H705,C705*E705))))))),2)</f>
        <v>125.4</v>
      </c>
      <c r="J705" s="1168" t="s">
        <v>102</v>
      </c>
      <c r="K705" s="1169"/>
      <c r="L705" s="1159"/>
      <c r="M705" s="1169"/>
      <c r="N705" s="1161" t="s">
        <v>2318</v>
      </c>
    </row>
    <row r="706" spans="1:14" s="1170" customFormat="1" ht="16.5" hidden="1" customHeight="1">
      <c r="A706" s="1156"/>
      <c r="B706" s="1169"/>
      <c r="C706" s="1157">
        <v>1</v>
      </c>
      <c r="D706" s="1171" t="s">
        <v>273</v>
      </c>
      <c r="E706" s="1165">
        <v>1</v>
      </c>
      <c r="F706" s="1166">
        <v>3.52</v>
      </c>
      <c r="G706" s="1166">
        <v>0.9</v>
      </c>
      <c r="H706" s="1166">
        <v>0</v>
      </c>
      <c r="I706" s="1172">
        <f>ROUND(IF(AND(F706:H706),C706*E706*F706*G706*H706,IF(AND(F706,G706),C706*E706*F706*G706,IF(AND(F706,H706),C706*E706*F706*H706,IF(AND(G706,H706),C706*E706*G706*H706,IF(F706,C706*E706*F706,IF(G706,C706*E706*G706,IF(H706,C706*E706*H706,C706*E706))))))),2)</f>
        <v>3.17</v>
      </c>
      <c r="J706" s="1168" t="s">
        <v>102</v>
      </c>
      <c r="K706" s="1169"/>
      <c r="L706" s="1159"/>
      <c r="M706" s="1169"/>
      <c r="N706" s="1161" t="s">
        <v>2318</v>
      </c>
    </row>
    <row r="707" spans="1:14" s="1170" customFormat="1" ht="16.5" hidden="1" customHeight="1">
      <c r="A707" s="1156"/>
      <c r="B707" s="1331"/>
      <c r="C707" s="1332"/>
      <c r="D707" s="1333"/>
      <c r="E707" s="1334"/>
      <c r="F707" s="1335"/>
      <c r="G707" s="1335"/>
      <c r="H707" s="1335"/>
      <c r="I707" s="1336"/>
      <c r="J707" s="1168"/>
      <c r="K707" s="1169"/>
      <c r="L707" s="1159"/>
      <c r="M707" s="1169"/>
      <c r="N707" s="1161" t="s">
        <v>2318</v>
      </c>
    </row>
    <row r="708" spans="1:14" ht="15.75" hidden="1">
      <c r="A708" s="1156"/>
      <c r="B708" s="1169"/>
      <c r="C708" s="1337"/>
      <c r="D708" s="1171"/>
      <c r="E708" s="1165"/>
      <c r="F708" s="1166"/>
      <c r="G708" s="1343"/>
      <c r="H708" s="1156"/>
      <c r="I708" s="1336"/>
      <c r="J708" s="1168" t="s">
        <v>102</v>
      </c>
      <c r="K708" s="1221">
        <f>data!E3334</f>
        <v>405.78</v>
      </c>
      <c r="L708" s="1159" t="s">
        <v>2318</v>
      </c>
      <c r="M708" s="1224">
        <f>ROUND(I708*K708,0)</f>
        <v>0</v>
      </c>
      <c r="N708" s="1161" t="s">
        <v>2318</v>
      </c>
    </row>
    <row r="709" spans="1:14" ht="44.25" hidden="1" customHeight="1">
      <c r="A709" s="1156">
        <v>14</v>
      </c>
      <c r="B709" s="1826" t="s">
        <v>1186</v>
      </c>
      <c r="C709" s="1826"/>
      <c r="D709" s="1826"/>
      <c r="E709" s="1826"/>
      <c r="F709" s="1826"/>
      <c r="G709" s="1826"/>
      <c r="H709" s="1826"/>
      <c r="I709" s="1157"/>
      <c r="J709" s="1158"/>
      <c r="K709" s="1156"/>
      <c r="L709" s="1159"/>
      <c r="M709" s="1160"/>
      <c r="N709" s="1161" t="s">
        <v>2218</v>
      </c>
    </row>
    <row r="710" spans="1:14" s="1170" customFormat="1" ht="16.5" hidden="1" customHeight="1">
      <c r="A710" s="1156"/>
      <c r="B710" s="1163" t="s">
        <v>3490</v>
      </c>
      <c r="C710" s="1338"/>
      <c r="D710" s="1164"/>
      <c r="E710" s="1339"/>
      <c r="F710" s="1340"/>
      <c r="G710" s="1340"/>
      <c r="H710" s="1340"/>
      <c r="I710" s="1341"/>
      <c r="J710" s="1330"/>
      <c r="K710" s="1169"/>
      <c r="L710" s="1156"/>
      <c r="M710" s="1169"/>
      <c r="N710" s="1161" t="s">
        <v>2218</v>
      </c>
    </row>
    <row r="711" spans="1:14" s="1170" customFormat="1" ht="16.5" hidden="1" customHeight="1">
      <c r="A711" s="1156"/>
      <c r="B711" s="1169" t="s">
        <v>268</v>
      </c>
      <c r="C711" s="1157">
        <v>1</v>
      </c>
      <c r="D711" s="1171" t="s">
        <v>273</v>
      </c>
      <c r="E711" s="1165">
        <v>1</v>
      </c>
      <c r="F711" s="1166">
        <v>48.51</v>
      </c>
      <c r="G711" s="1166">
        <v>0.45</v>
      </c>
      <c r="H711" s="1166">
        <v>0.7</v>
      </c>
      <c r="I711" s="1172">
        <f>ROUND(IF(AND(F711:H711),C711*E711*F711*G711*H711,IF(AND(F711,G711),C711*E711*F711*G711,IF(AND(F711,H711),C711*E711*F711*H711,IF(AND(G711,H711),C711*E711*G711*H711,IF(F711,C711*E711*F711,IF(G711,C711*E711*G711,IF(H711,C711*E711*H711,C711*E711))))))),2)</f>
        <v>15.28</v>
      </c>
      <c r="J711" s="1330" t="s">
        <v>5</v>
      </c>
      <c r="K711" s="1169"/>
      <c r="L711" s="1156"/>
      <c r="M711" s="1169"/>
      <c r="N711" s="1161" t="s">
        <v>2218</v>
      </c>
    </row>
    <row r="712" spans="1:14" s="1170" customFormat="1" ht="16.5" hidden="1" customHeight="1">
      <c r="A712" s="1156"/>
      <c r="B712" s="1169" t="s">
        <v>1604</v>
      </c>
      <c r="C712" s="1157">
        <v>1</v>
      </c>
      <c r="D712" s="1171" t="s">
        <v>273</v>
      </c>
      <c r="E712" s="1165">
        <v>1</v>
      </c>
      <c r="F712" s="1166">
        <v>14.37</v>
      </c>
      <c r="G712" s="1166">
        <v>0.45</v>
      </c>
      <c r="H712" s="1166">
        <v>0.7</v>
      </c>
      <c r="I712" s="1172">
        <f>ROUND(IF(AND(F712:H712),C712*E712*F712*G712*H712,IF(AND(F712,G712),C712*E712*F712*G712,IF(AND(F712,H712),C712*E712*F712*H712,IF(AND(G712,H712),C712*E712*G712*H712,IF(F712,C712*E712*F712,IF(G712,C712*E712*G712,IF(H712,C712*E712*H712,C712*E712))))))),2)</f>
        <v>4.53</v>
      </c>
      <c r="J712" s="1330" t="s">
        <v>5</v>
      </c>
      <c r="K712" s="1169"/>
      <c r="L712" s="1156"/>
      <c r="M712" s="1169"/>
      <c r="N712" s="1161" t="s">
        <v>2218</v>
      </c>
    </row>
    <row r="713" spans="1:14" s="1170" customFormat="1" ht="16.5" hidden="1" customHeight="1">
      <c r="A713" s="1156"/>
      <c r="B713" s="1169" t="s">
        <v>1605</v>
      </c>
      <c r="C713" s="1157">
        <v>1</v>
      </c>
      <c r="D713" s="1171" t="s">
        <v>273</v>
      </c>
      <c r="E713" s="1165">
        <v>2</v>
      </c>
      <c r="F713" s="1166">
        <v>8.3800000000000008</v>
      </c>
      <c r="G713" s="1166">
        <v>0.45</v>
      </c>
      <c r="H713" s="1166">
        <v>0.7</v>
      </c>
      <c r="I713" s="1172">
        <f>ROUND(IF(AND(F713:H713),C713*E713*F713*G713*H713,IF(AND(F713,G713),C713*E713*F713*G713,IF(AND(F713,H713),C713*E713*F713*H713,IF(AND(G713,H713),C713*E713*G713*H713,IF(F713,C713*E713*F713,IF(G713,C713*E713*G713,IF(H713,C713*E713*H713,C713*E713))))))),2)</f>
        <v>5.28</v>
      </c>
      <c r="J713" s="1330" t="s">
        <v>5</v>
      </c>
      <c r="K713" s="1169"/>
      <c r="L713" s="1156"/>
      <c r="M713" s="1169"/>
      <c r="N713" s="1161" t="s">
        <v>2218</v>
      </c>
    </row>
    <row r="714" spans="1:14" s="1170" customFormat="1" ht="16.5" hidden="1" customHeight="1">
      <c r="A714" s="1156"/>
      <c r="B714" s="1331"/>
      <c r="C714" s="1332"/>
      <c r="D714" s="1333"/>
      <c r="E714" s="1334"/>
      <c r="F714" s="1335"/>
      <c r="G714" s="1335"/>
      <c r="H714" s="1335"/>
      <c r="I714" s="1336"/>
      <c r="J714" s="1168"/>
      <c r="K714" s="1169"/>
      <c r="L714" s="1159"/>
      <c r="M714" s="1169"/>
      <c r="N714" s="1161" t="s">
        <v>2218</v>
      </c>
    </row>
    <row r="715" spans="1:14" ht="15.75" hidden="1">
      <c r="A715" s="1156"/>
      <c r="B715" s="1169"/>
      <c r="C715" s="1337"/>
      <c r="D715" s="1171"/>
      <c r="E715" s="1165"/>
      <c r="F715" s="1166"/>
      <c r="G715" s="1343"/>
      <c r="H715" s="1156"/>
      <c r="I715" s="1336"/>
      <c r="J715" s="1168" t="s">
        <v>5</v>
      </c>
      <c r="K715" s="1221">
        <f>data!G359</f>
        <v>3154.94</v>
      </c>
      <c r="L715" s="1159" t="s">
        <v>2218</v>
      </c>
      <c r="M715" s="1224">
        <f>ROUND(I715*K715,0)</f>
        <v>0</v>
      </c>
      <c r="N715" s="1161" t="s">
        <v>2218</v>
      </c>
    </row>
    <row r="716" spans="1:14" ht="44.25" hidden="1" customHeight="1">
      <c r="A716" s="1156">
        <v>14</v>
      </c>
      <c r="B716" s="1826" t="s">
        <v>1186</v>
      </c>
      <c r="C716" s="1826"/>
      <c r="D716" s="1826"/>
      <c r="E716" s="1826"/>
      <c r="F716" s="1826"/>
      <c r="G716" s="1826"/>
      <c r="H716" s="1826"/>
      <c r="I716" s="1157"/>
      <c r="J716" s="1158"/>
      <c r="K716" s="1156"/>
      <c r="L716" s="1159"/>
      <c r="M716" s="1160"/>
      <c r="N716" s="1161" t="s">
        <v>2306</v>
      </c>
    </row>
    <row r="717" spans="1:14" s="1170" customFormat="1" ht="16.5" hidden="1" customHeight="1">
      <c r="A717" s="1156"/>
      <c r="B717" s="1163" t="s">
        <v>3490</v>
      </c>
      <c r="C717" s="1338"/>
      <c r="D717" s="1164"/>
      <c r="E717" s="1339"/>
      <c r="F717" s="1340"/>
      <c r="G717" s="1340"/>
      <c r="H717" s="1340"/>
      <c r="I717" s="1341"/>
      <c r="J717" s="1330"/>
      <c r="K717" s="1169"/>
      <c r="L717" s="1156"/>
      <c r="M717" s="1169"/>
      <c r="N717" s="1161" t="s">
        <v>2306</v>
      </c>
    </row>
    <row r="718" spans="1:14" s="1170" customFormat="1" ht="16.5" hidden="1" customHeight="1">
      <c r="A718" s="1156"/>
      <c r="B718" s="1169" t="s">
        <v>268</v>
      </c>
      <c r="C718" s="1157">
        <v>1</v>
      </c>
      <c r="D718" s="1171" t="s">
        <v>273</v>
      </c>
      <c r="E718" s="1165">
        <v>1</v>
      </c>
      <c r="F718" s="1166">
        <v>48.51</v>
      </c>
      <c r="G718" s="1166">
        <v>0.45</v>
      </c>
      <c r="H718" s="1166">
        <v>0.7</v>
      </c>
      <c r="I718" s="1172">
        <f>ROUND(IF(AND(F718:H718),C718*E718*F718*G718*H718,IF(AND(F718,G718),C718*E718*F718*G718,IF(AND(F718,H718),C718*E718*F718*H718,IF(AND(G718,H718),C718*E718*G718*H718,IF(F718,C718*E718*F718,IF(G718,C718*E718*G718,IF(H718,C718*E718*H718,C718*E718))))))),2)</f>
        <v>15.28</v>
      </c>
      <c r="J718" s="1330" t="s">
        <v>5</v>
      </c>
      <c r="K718" s="1169"/>
      <c r="L718" s="1156"/>
      <c r="M718" s="1169"/>
      <c r="N718" s="1161" t="s">
        <v>2306</v>
      </c>
    </row>
    <row r="719" spans="1:14" s="1170" customFormat="1" ht="16.5" hidden="1" customHeight="1">
      <c r="A719" s="1156"/>
      <c r="B719" s="1169" t="s">
        <v>1604</v>
      </c>
      <c r="C719" s="1157">
        <v>1</v>
      </c>
      <c r="D719" s="1171" t="s">
        <v>273</v>
      </c>
      <c r="E719" s="1165">
        <v>1</v>
      </c>
      <c r="F719" s="1166">
        <v>14.37</v>
      </c>
      <c r="G719" s="1166">
        <v>0.45</v>
      </c>
      <c r="H719" s="1166">
        <v>0.7</v>
      </c>
      <c r="I719" s="1172">
        <f>ROUND(IF(AND(F719:H719),C719*E719*F719*G719*H719,IF(AND(F719,G719),C719*E719*F719*G719,IF(AND(F719,H719),C719*E719*F719*H719,IF(AND(G719,H719),C719*E719*G719*H719,IF(F719,C719*E719*F719,IF(G719,C719*E719*G719,IF(H719,C719*E719*H719,C719*E719))))))),2)</f>
        <v>4.53</v>
      </c>
      <c r="J719" s="1330" t="s">
        <v>5</v>
      </c>
      <c r="K719" s="1169"/>
      <c r="L719" s="1156"/>
      <c r="M719" s="1169"/>
      <c r="N719" s="1161" t="s">
        <v>2306</v>
      </c>
    </row>
    <row r="720" spans="1:14" s="1170" customFormat="1" ht="16.5" hidden="1" customHeight="1">
      <c r="A720" s="1156"/>
      <c r="B720" s="1169" t="s">
        <v>1605</v>
      </c>
      <c r="C720" s="1157">
        <v>1</v>
      </c>
      <c r="D720" s="1171" t="s">
        <v>273</v>
      </c>
      <c r="E720" s="1165">
        <v>2</v>
      </c>
      <c r="F720" s="1166">
        <v>8.3800000000000008</v>
      </c>
      <c r="G720" s="1166">
        <v>0.45</v>
      </c>
      <c r="H720" s="1166">
        <v>0.7</v>
      </c>
      <c r="I720" s="1172">
        <f>ROUND(IF(AND(F720:H720),C720*E720*F720*G720*H720,IF(AND(F720,G720),C720*E720*F720*G720,IF(AND(F720,H720),C720*E720*F720*H720,IF(AND(G720,H720),C720*E720*G720*H720,IF(F720,C720*E720*F720,IF(G720,C720*E720*G720,IF(H720,C720*E720*H720,C720*E720))))))),2)</f>
        <v>5.28</v>
      </c>
      <c r="J720" s="1330" t="s">
        <v>5</v>
      </c>
      <c r="K720" s="1169"/>
      <c r="L720" s="1156"/>
      <c r="M720" s="1169"/>
      <c r="N720" s="1161" t="s">
        <v>2306</v>
      </c>
    </row>
    <row r="721" spans="1:14" s="1170" customFormat="1" ht="16.5" hidden="1" customHeight="1">
      <c r="A721" s="1156"/>
      <c r="B721" s="1331"/>
      <c r="C721" s="1332"/>
      <c r="D721" s="1333"/>
      <c r="E721" s="1334"/>
      <c r="F721" s="1335"/>
      <c r="G721" s="1335"/>
      <c r="H721" s="1335"/>
      <c r="I721" s="1336"/>
      <c r="J721" s="1168"/>
      <c r="K721" s="1169"/>
      <c r="L721" s="1159"/>
      <c r="M721" s="1169"/>
      <c r="N721" s="1161" t="s">
        <v>2306</v>
      </c>
    </row>
    <row r="722" spans="1:14" ht="15.75" hidden="1">
      <c r="A722" s="1156"/>
      <c r="B722" s="1169"/>
      <c r="C722" s="1337"/>
      <c r="D722" s="1171"/>
      <c r="E722" s="1165"/>
      <c r="F722" s="1166"/>
      <c r="G722" s="1343"/>
      <c r="H722" s="1156"/>
      <c r="I722" s="1336"/>
      <c r="J722" s="1168" t="s">
        <v>5</v>
      </c>
      <c r="K722" s="1221">
        <f>data!G1276</f>
        <v>3350.54</v>
      </c>
      <c r="L722" s="1159" t="s">
        <v>2306</v>
      </c>
      <c r="M722" s="1224">
        <f>ROUND(I722*K722,0)</f>
        <v>0</v>
      </c>
      <c r="N722" s="1161" t="s">
        <v>2306</v>
      </c>
    </row>
    <row r="723" spans="1:14" ht="44.25" hidden="1" customHeight="1">
      <c r="A723" s="1156">
        <v>14</v>
      </c>
      <c r="B723" s="1826" t="s">
        <v>1186</v>
      </c>
      <c r="C723" s="1826"/>
      <c r="D723" s="1826"/>
      <c r="E723" s="1826"/>
      <c r="F723" s="1826"/>
      <c r="G723" s="1826"/>
      <c r="H723" s="1826"/>
      <c r="I723" s="1157"/>
      <c r="J723" s="1158"/>
      <c r="K723" s="1156"/>
      <c r="L723" s="1159"/>
      <c r="M723" s="1160"/>
      <c r="N723" s="1161" t="s">
        <v>2317</v>
      </c>
    </row>
    <row r="724" spans="1:14" s="1170" customFormat="1" ht="16.5" hidden="1" customHeight="1">
      <c r="A724" s="1156"/>
      <c r="B724" s="1163" t="s">
        <v>3490</v>
      </c>
      <c r="C724" s="1338"/>
      <c r="D724" s="1164"/>
      <c r="E724" s="1339"/>
      <c r="F724" s="1340"/>
      <c r="G724" s="1340"/>
      <c r="H724" s="1340"/>
      <c r="I724" s="1341"/>
      <c r="J724" s="1330"/>
      <c r="K724" s="1169"/>
      <c r="L724" s="1156"/>
      <c r="M724" s="1169"/>
      <c r="N724" s="1161" t="s">
        <v>2317</v>
      </c>
    </row>
    <row r="725" spans="1:14" s="1170" customFormat="1" ht="16.5" hidden="1" customHeight="1">
      <c r="A725" s="1156"/>
      <c r="B725" s="1169" t="s">
        <v>268</v>
      </c>
      <c r="C725" s="1157">
        <v>1</v>
      </c>
      <c r="D725" s="1171" t="s">
        <v>273</v>
      </c>
      <c r="E725" s="1165">
        <v>1</v>
      </c>
      <c r="F725" s="1166">
        <v>48.51</v>
      </c>
      <c r="G725" s="1166">
        <v>0.45</v>
      </c>
      <c r="H725" s="1166">
        <v>0.7</v>
      </c>
      <c r="I725" s="1172">
        <f>ROUND(IF(AND(F725:H725),C725*E725*F725*G725*H725,IF(AND(F725,G725),C725*E725*F725*G725,IF(AND(F725,H725),C725*E725*F725*H725,IF(AND(G725,H725),C725*E725*G725*H725,IF(F725,C725*E725*F725,IF(G725,C725*E725*G725,IF(H725,C725*E725*H725,C725*E725))))))),2)</f>
        <v>15.28</v>
      </c>
      <c r="J725" s="1330" t="s">
        <v>5</v>
      </c>
      <c r="K725" s="1169"/>
      <c r="L725" s="1156"/>
      <c r="M725" s="1169"/>
      <c r="N725" s="1161" t="s">
        <v>2317</v>
      </c>
    </row>
    <row r="726" spans="1:14" s="1170" customFormat="1" ht="16.5" hidden="1" customHeight="1">
      <c r="A726" s="1156"/>
      <c r="B726" s="1169" t="s">
        <v>1604</v>
      </c>
      <c r="C726" s="1157">
        <v>1</v>
      </c>
      <c r="D726" s="1171" t="s">
        <v>273</v>
      </c>
      <c r="E726" s="1165">
        <v>1</v>
      </c>
      <c r="F726" s="1166">
        <v>14.37</v>
      </c>
      <c r="G726" s="1166">
        <v>0.45</v>
      </c>
      <c r="H726" s="1166">
        <v>0.7</v>
      </c>
      <c r="I726" s="1172">
        <f>ROUND(IF(AND(F726:H726),C726*E726*F726*G726*H726,IF(AND(F726,G726),C726*E726*F726*G726,IF(AND(F726,H726),C726*E726*F726*H726,IF(AND(G726,H726),C726*E726*G726*H726,IF(F726,C726*E726*F726,IF(G726,C726*E726*G726,IF(H726,C726*E726*H726,C726*E726))))))),2)</f>
        <v>4.53</v>
      </c>
      <c r="J726" s="1330" t="s">
        <v>5</v>
      </c>
      <c r="K726" s="1169"/>
      <c r="L726" s="1156"/>
      <c r="M726" s="1169"/>
      <c r="N726" s="1161" t="s">
        <v>2317</v>
      </c>
    </row>
    <row r="727" spans="1:14" s="1170" customFormat="1" ht="16.5" hidden="1" customHeight="1">
      <c r="A727" s="1156"/>
      <c r="B727" s="1169" t="s">
        <v>1605</v>
      </c>
      <c r="C727" s="1157">
        <v>1</v>
      </c>
      <c r="D727" s="1171" t="s">
        <v>273</v>
      </c>
      <c r="E727" s="1165">
        <v>2</v>
      </c>
      <c r="F727" s="1166">
        <v>8.3800000000000008</v>
      </c>
      <c r="G727" s="1166">
        <v>0.45</v>
      </c>
      <c r="H727" s="1166">
        <v>0.7</v>
      </c>
      <c r="I727" s="1172">
        <f>ROUND(IF(AND(F727:H727),C727*E727*F727*G727*H727,IF(AND(F727,G727),C727*E727*F727*G727,IF(AND(F727,H727),C727*E727*F727*H727,IF(AND(G727,H727),C727*E727*G727*H727,IF(F727,C727*E727*F727,IF(G727,C727*E727*G727,IF(H727,C727*E727*H727,C727*E727))))))),2)</f>
        <v>5.28</v>
      </c>
      <c r="J727" s="1330" t="s">
        <v>5</v>
      </c>
      <c r="K727" s="1169"/>
      <c r="L727" s="1156"/>
      <c r="M727" s="1169"/>
      <c r="N727" s="1161" t="s">
        <v>2317</v>
      </c>
    </row>
    <row r="728" spans="1:14" s="1170" customFormat="1" ht="16.5" hidden="1" customHeight="1">
      <c r="A728" s="1156"/>
      <c r="B728" s="1331"/>
      <c r="C728" s="1332"/>
      <c r="D728" s="1333"/>
      <c r="E728" s="1334"/>
      <c r="F728" s="1335"/>
      <c r="G728" s="1335"/>
      <c r="H728" s="1335"/>
      <c r="I728" s="1336"/>
      <c r="J728" s="1168"/>
      <c r="K728" s="1169"/>
      <c r="L728" s="1159"/>
      <c r="M728" s="1169"/>
      <c r="N728" s="1161" t="s">
        <v>2317</v>
      </c>
    </row>
    <row r="729" spans="1:14" ht="15.75" hidden="1">
      <c r="A729" s="1156"/>
      <c r="B729" s="1169"/>
      <c r="C729" s="1337"/>
      <c r="D729" s="1171"/>
      <c r="E729" s="1165"/>
      <c r="F729" s="1166"/>
      <c r="G729" s="1343"/>
      <c r="H729" s="1156"/>
      <c r="I729" s="1336"/>
      <c r="J729" s="1168" t="s">
        <v>5</v>
      </c>
      <c r="K729" s="1221">
        <f>data!G2193</f>
        <v>3615.1600000000003</v>
      </c>
      <c r="L729" s="1159" t="s">
        <v>2317</v>
      </c>
      <c r="M729" s="1224">
        <f>ROUND(I729*K729,0)</f>
        <v>0</v>
      </c>
      <c r="N729" s="1161" t="s">
        <v>2317</v>
      </c>
    </row>
    <row r="730" spans="1:14" ht="44.25" hidden="1" customHeight="1">
      <c r="A730" s="1156">
        <v>25</v>
      </c>
      <c r="B730" s="1826" t="s">
        <v>1186</v>
      </c>
      <c r="C730" s="1826"/>
      <c r="D730" s="1826"/>
      <c r="E730" s="1826"/>
      <c r="F730" s="1826"/>
      <c r="G730" s="1826"/>
      <c r="H730" s="1826"/>
      <c r="I730" s="1157"/>
      <c r="J730" s="1158"/>
      <c r="K730" s="1156"/>
      <c r="L730" s="1159"/>
      <c r="M730" s="1160"/>
      <c r="N730" s="1161" t="s">
        <v>2318</v>
      </c>
    </row>
    <row r="731" spans="1:14" s="1170" customFormat="1" ht="16.5" hidden="1" customHeight="1">
      <c r="A731" s="1156"/>
      <c r="B731" s="1169" t="s">
        <v>3397</v>
      </c>
      <c r="C731" s="1157"/>
      <c r="D731" s="1171"/>
      <c r="E731" s="1165"/>
      <c r="F731" s="1166"/>
      <c r="G731" s="1166"/>
      <c r="H731" s="1166"/>
      <c r="I731" s="1167"/>
      <c r="J731" s="1168"/>
      <c r="K731" s="1169"/>
      <c r="L731" s="1159"/>
      <c r="M731" s="1169"/>
      <c r="N731" s="1161" t="s">
        <v>2318</v>
      </c>
    </row>
    <row r="732" spans="1:14" s="1170" customFormat="1" ht="18" hidden="1" customHeight="1">
      <c r="A732" s="1156"/>
      <c r="B732" s="1169" t="s">
        <v>3626</v>
      </c>
      <c r="C732" s="1157">
        <v>1</v>
      </c>
      <c r="D732" s="1171" t="s">
        <v>273</v>
      </c>
      <c r="E732" s="1165">
        <v>2</v>
      </c>
      <c r="F732" s="1166">
        <v>2</v>
      </c>
      <c r="G732" s="1166">
        <v>0.45</v>
      </c>
      <c r="H732" s="1166">
        <v>0.6</v>
      </c>
      <c r="I732" s="1172">
        <f t="shared" ref="I732:I733" si="71">ROUND(IF(AND(F732:H732),C732*E732*F732*G732*H732,IF(AND(F732,G732),C732*E732*F732*G732,IF(AND(F732,H732),C732*E732*F732*H732,IF(AND(G732,H732),C732*E732*G732*H732,IF(F732,C732*E732*F732,IF(G732,C732*E732*G732,IF(H732,C732*E732*H732,C732*E732))))))),2)</f>
        <v>1.08</v>
      </c>
      <c r="J732" s="1330" t="s">
        <v>5</v>
      </c>
      <c r="K732" s="1169"/>
      <c r="L732" s="1159"/>
      <c r="M732" s="1169"/>
      <c r="N732" s="1161" t="s">
        <v>2318</v>
      </c>
    </row>
    <row r="733" spans="1:14" s="1170" customFormat="1" ht="18" hidden="1" customHeight="1">
      <c r="A733" s="1156"/>
      <c r="B733" s="1169"/>
      <c r="C733" s="1157">
        <v>1</v>
      </c>
      <c r="D733" s="1171" t="s">
        <v>273</v>
      </c>
      <c r="E733" s="1165">
        <v>2</v>
      </c>
      <c r="F733" s="1166">
        <v>1.8</v>
      </c>
      <c r="G733" s="1166">
        <v>0.45</v>
      </c>
      <c r="H733" s="1166">
        <v>0.6</v>
      </c>
      <c r="I733" s="1172">
        <f t="shared" si="71"/>
        <v>0.97</v>
      </c>
      <c r="J733" s="1330" t="s">
        <v>5</v>
      </c>
      <c r="K733" s="1169"/>
      <c r="L733" s="1159"/>
      <c r="M733" s="1169"/>
      <c r="N733" s="1161" t="s">
        <v>2318</v>
      </c>
    </row>
    <row r="734" spans="1:14" s="1170" customFormat="1" ht="16.5" hidden="1" customHeight="1">
      <c r="A734" s="1156"/>
      <c r="B734" s="1331"/>
      <c r="C734" s="1332"/>
      <c r="D734" s="1333"/>
      <c r="E734" s="1334"/>
      <c r="F734" s="1335"/>
      <c r="G734" s="1335"/>
      <c r="H734" s="1335"/>
      <c r="I734" s="1336"/>
      <c r="J734" s="1168"/>
      <c r="K734" s="1169"/>
      <c r="L734" s="1159"/>
      <c r="M734" s="1169"/>
      <c r="N734" s="1161" t="s">
        <v>2318</v>
      </c>
    </row>
    <row r="735" spans="1:14" ht="15.75" hidden="1">
      <c r="A735" s="1156"/>
      <c r="B735" s="1169"/>
      <c r="C735" s="1337"/>
      <c r="D735" s="1171"/>
      <c r="E735" s="1165"/>
      <c r="F735" s="1166"/>
      <c r="G735" s="1343"/>
      <c r="H735" s="1156"/>
      <c r="I735" s="1336"/>
      <c r="J735" s="1168" t="s">
        <v>5</v>
      </c>
      <c r="K735" s="1221">
        <f>data!G3110</f>
        <v>3828.3500000000004</v>
      </c>
      <c r="L735" s="1159" t="s">
        <v>2318</v>
      </c>
      <c r="M735" s="1224">
        <f>ROUND(I735*K735,0)</f>
        <v>0</v>
      </c>
      <c r="N735" s="1161" t="s">
        <v>2318</v>
      </c>
    </row>
    <row r="736" spans="1:14" s="1575" customFormat="1" ht="69.75" customHeight="1">
      <c r="A736" s="1570">
        <v>15</v>
      </c>
      <c r="B736" s="1827" t="s">
        <v>306</v>
      </c>
      <c r="C736" s="1827"/>
      <c r="D736" s="1827"/>
      <c r="E736" s="1827"/>
      <c r="F736" s="1827"/>
      <c r="G736" s="1827"/>
      <c r="H736" s="1827"/>
      <c r="I736" s="1571"/>
      <c r="J736" s="1572"/>
      <c r="K736" s="1570"/>
      <c r="L736" s="1573"/>
      <c r="M736" s="1577"/>
      <c r="N736" s="1578" t="s">
        <v>2218</v>
      </c>
    </row>
    <row r="737" spans="1:14" s="1586" customFormat="1" ht="18" customHeight="1">
      <c r="A737" s="1570"/>
      <c r="B737" s="1579" t="s">
        <v>3779</v>
      </c>
      <c r="C737" s="1580"/>
      <c r="D737" s="1790" t="s">
        <v>3861</v>
      </c>
      <c r="E737" s="1581"/>
      <c r="F737" s="1582"/>
      <c r="G737" s="1582"/>
      <c r="H737" s="1582"/>
      <c r="I737" s="1583"/>
      <c r="J737" s="1598"/>
      <c r="K737" s="1585"/>
      <c r="L737" s="1573"/>
      <c r="M737" s="1585"/>
      <c r="N737" s="1578" t="s">
        <v>2218</v>
      </c>
    </row>
    <row r="738" spans="1:14" s="1586" customFormat="1" ht="18" customHeight="1">
      <c r="A738" s="1570"/>
      <c r="B738" s="1585" t="s">
        <v>2136</v>
      </c>
      <c r="C738" s="1571">
        <v>1</v>
      </c>
      <c r="D738" s="1587" t="s">
        <v>273</v>
      </c>
      <c r="E738" s="1588">
        <v>1</v>
      </c>
      <c r="F738" s="1589">
        <v>10.71</v>
      </c>
      <c r="G738" s="1589">
        <v>0.35</v>
      </c>
      <c r="H738" s="1589">
        <v>1.35</v>
      </c>
      <c r="I738" s="1590">
        <f t="shared" ref="I738:I741" si="72">ROUND(IF(AND(F738:H738),C738*E738*F738*G738*H738,IF(AND(F738,G738),C738*E738*F738*G738,IF(AND(F738,H738),C738*E738*F738*H738,IF(AND(G738,H738),C738*E738*G738*H738,IF(F738,C738*E738*F738,IF(G738,C738*E738*G738,IF(H738,C738*E738*H738,C738*E738))))))),2)</f>
        <v>5.0599999999999996</v>
      </c>
      <c r="J738" s="1598" t="s">
        <v>5</v>
      </c>
      <c r="K738" s="1585"/>
      <c r="L738" s="1573"/>
      <c r="M738" s="1585"/>
      <c r="N738" s="1578" t="s">
        <v>2218</v>
      </c>
    </row>
    <row r="739" spans="1:14" s="1586" customFormat="1" ht="18" customHeight="1">
      <c r="A739" s="1570"/>
      <c r="B739" s="1585"/>
      <c r="C739" s="1571">
        <v>1</v>
      </c>
      <c r="D739" s="1587" t="s">
        <v>273</v>
      </c>
      <c r="E739" s="1588">
        <v>1</v>
      </c>
      <c r="F739" s="1589">
        <v>10.71</v>
      </c>
      <c r="G739" s="1589">
        <v>0.35</v>
      </c>
      <c r="H739" s="1589">
        <v>1.2</v>
      </c>
      <c r="I739" s="1590">
        <f t="shared" si="72"/>
        <v>4.5</v>
      </c>
      <c r="J739" s="1598" t="s">
        <v>5</v>
      </c>
      <c r="K739" s="1585"/>
      <c r="L739" s="1573"/>
      <c r="M739" s="1585"/>
      <c r="N739" s="1578" t="s">
        <v>2218</v>
      </c>
    </row>
    <row r="740" spans="1:14" s="1586" customFormat="1" ht="18" customHeight="1">
      <c r="A740" s="1570"/>
      <c r="B740" s="1585" t="s">
        <v>3670</v>
      </c>
      <c r="C740" s="1571">
        <v>1</v>
      </c>
      <c r="D740" s="1587" t="s">
        <v>273</v>
      </c>
      <c r="E740" s="1588">
        <v>1</v>
      </c>
      <c r="F740" s="1589">
        <v>9.25</v>
      </c>
      <c r="G740" s="1589">
        <v>0.35</v>
      </c>
      <c r="H740" s="1589">
        <v>1.35</v>
      </c>
      <c r="I740" s="1590">
        <f t="shared" si="72"/>
        <v>4.37</v>
      </c>
      <c r="J740" s="1598" t="s">
        <v>5</v>
      </c>
      <c r="K740" s="1585"/>
      <c r="L740" s="1573"/>
      <c r="M740" s="1585"/>
      <c r="N740" s="1578" t="s">
        <v>2218</v>
      </c>
    </row>
    <row r="741" spans="1:14" s="1586" customFormat="1" ht="18" customHeight="1">
      <c r="A741" s="1570"/>
      <c r="B741" s="1585"/>
      <c r="C741" s="1571">
        <v>1</v>
      </c>
      <c r="D741" s="1587" t="s">
        <v>273</v>
      </c>
      <c r="E741" s="1588">
        <v>1</v>
      </c>
      <c r="F741" s="1589">
        <v>9.25</v>
      </c>
      <c r="G741" s="1589">
        <v>0.35</v>
      </c>
      <c r="H741" s="1589">
        <v>1.2</v>
      </c>
      <c r="I741" s="1590">
        <f t="shared" si="72"/>
        <v>3.89</v>
      </c>
      <c r="J741" s="1598" t="s">
        <v>5</v>
      </c>
      <c r="K741" s="1585"/>
      <c r="L741" s="1573"/>
      <c r="M741" s="1585"/>
      <c r="N741" s="1578" t="s">
        <v>2218</v>
      </c>
    </row>
    <row r="742" spans="1:14" s="1586" customFormat="1" ht="18" customHeight="1">
      <c r="A742" s="1570"/>
      <c r="B742" s="1585" t="s">
        <v>281</v>
      </c>
      <c r="C742" s="1571">
        <v>1</v>
      </c>
      <c r="D742" s="1587" t="s">
        <v>273</v>
      </c>
      <c r="E742" s="1588">
        <v>4</v>
      </c>
      <c r="F742" s="1589">
        <v>0.23</v>
      </c>
      <c r="G742" s="1589">
        <v>0.35</v>
      </c>
      <c r="H742" s="1589">
        <v>1.35</v>
      </c>
      <c r="I742" s="1590">
        <f>-ROUND(IF(AND(F742:H742),C742*E742*F742*G742*H742,IF(AND(F742,G742),C742*E742*F742*G742,IF(AND(F742,H742),C742*E742*F742*H742,IF(AND(G742,H742),C742*E742*G742*H742,IF(F742,C742*E742*F742,IF(G742,C742*E742*G742,IF(H742,C742*E742*H742,C742*E742))))))),2)</f>
        <v>-0.43</v>
      </c>
      <c r="J742" s="1598" t="s">
        <v>5</v>
      </c>
      <c r="K742" s="1585"/>
      <c r="L742" s="1573"/>
      <c r="M742" s="1585"/>
      <c r="N742" s="1578" t="s">
        <v>2218</v>
      </c>
    </row>
    <row r="743" spans="1:14" s="1586" customFormat="1" ht="18" customHeight="1">
      <c r="A743" s="1570"/>
      <c r="B743" s="1585"/>
      <c r="C743" s="1571">
        <v>1</v>
      </c>
      <c r="D743" s="1587" t="s">
        <v>273</v>
      </c>
      <c r="E743" s="1588">
        <v>4</v>
      </c>
      <c r="F743" s="1589">
        <v>0.23</v>
      </c>
      <c r="G743" s="1589">
        <v>0.35</v>
      </c>
      <c r="H743" s="1589">
        <v>1.2</v>
      </c>
      <c r="I743" s="1590">
        <f>-ROUND(IF(AND(F743:H743),C743*E743*F743*G743*H743,IF(AND(F743,G743),C743*E743*F743*G743,IF(AND(F743,H743),C743*E743*F743*H743,IF(AND(G743,H743),C743*E743*G743*H743,IF(F743,C743*E743*F743,IF(G743,C743*E743*G743,IF(H743,C743*E743*H743,C743*E743))))))),2)</f>
        <v>-0.39</v>
      </c>
      <c r="J743" s="1598" t="s">
        <v>5</v>
      </c>
      <c r="K743" s="1585"/>
      <c r="L743" s="1573"/>
      <c r="M743" s="1585"/>
      <c r="N743" s="1578" t="s">
        <v>2218</v>
      </c>
    </row>
    <row r="744" spans="1:14" s="1586" customFormat="1" ht="18" customHeight="1">
      <c r="A744" s="1570"/>
      <c r="B744" s="1585"/>
      <c r="C744" s="1571">
        <v>1</v>
      </c>
      <c r="D744" s="1587" t="s">
        <v>273</v>
      </c>
      <c r="E744" s="1588">
        <v>2</v>
      </c>
      <c r="F744" s="1589">
        <v>0.23</v>
      </c>
      <c r="G744" s="1589">
        <v>0.35</v>
      </c>
      <c r="H744" s="1589">
        <v>1.35</v>
      </c>
      <c r="I744" s="1590">
        <f>-ROUND(IF(AND(F744:H744),C744*E744*F744*G744*H744,IF(AND(F744,G744),C744*E744*F744*G744,IF(AND(F744,H744),C744*E744*F744*H744,IF(AND(G744,H744),C744*E744*G744*H744,IF(F744,C744*E744*F744,IF(G744,C744*E744*G744,IF(H744,C744*E744*H744,C744*E744))))))),2)</f>
        <v>-0.22</v>
      </c>
      <c r="J744" s="1598" t="s">
        <v>5</v>
      </c>
      <c r="K744" s="1585"/>
      <c r="L744" s="1573"/>
      <c r="M744" s="1585"/>
      <c r="N744" s="1578" t="s">
        <v>2218</v>
      </c>
    </row>
    <row r="745" spans="1:14" s="1586" customFormat="1" ht="18" customHeight="1">
      <c r="A745" s="1570"/>
      <c r="B745" s="1585"/>
      <c r="C745" s="1571">
        <v>1</v>
      </c>
      <c r="D745" s="1587" t="s">
        <v>273</v>
      </c>
      <c r="E745" s="1588">
        <v>2</v>
      </c>
      <c r="F745" s="1589">
        <v>0.23</v>
      </c>
      <c r="G745" s="1589">
        <v>0.35</v>
      </c>
      <c r="H745" s="1589">
        <v>1.2</v>
      </c>
      <c r="I745" s="1590">
        <f>-ROUND(IF(AND(F745:H745),C745*E745*F745*G745*H745,IF(AND(F745,G745),C745*E745*F745*G745,IF(AND(F745,H745),C745*E745*F745*H745,IF(AND(G745,H745),C745*E745*G745*H745,IF(F745,C745*E745*F745,IF(G745,C745*E745*G745,IF(H745,C745*E745*H745,C745*E745))))))),2)</f>
        <v>-0.19</v>
      </c>
      <c r="J745" s="1598" t="s">
        <v>5</v>
      </c>
      <c r="K745" s="1585"/>
      <c r="L745" s="1573"/>
      <c r="M745" s="1585"/>
      <c r="N745" s="1578" t="s">
        <v>2218</v>
      </c>
    </row>
    <row r="746" spans="1:14" s="1586" customFormat="1" ht="18" customHeight="1">
      <c r="A746" s="1570"/>
      <c r="B746" s="1579" t="s">
        <v>3804</v>
      </c>
      <c r="C746" s="1580"/>
      <c r="D746" s="1790" t="s">
        <v>3867</v>
      </c>
      <c r="E746" s="1581"/>
      <c r="F746" s="1582"/>
      <c r="G746" s="1582"/>
      <c r="H746" s="1582"/>
      <c r="I746" s="1583"/>
      <c r="J746" s="1584"/>
      <c r="K746" s="1585"/>
      <c r="L746" s="1573"/>
      <c r="M746" s="1585"/>
      <c r="N746" s="1578" t="s">
        <v>2218</v>
      </c>
    </row>
    <row r="747" spans="1:14" s="1586" customFormat="1" ht="18" customHeight="1">
      <c r="A747" s="1570"/>
      <c r="B747" s="1585" t="s">
        <v>3805</v>
      </c>
      <c r="C747" s="1571">
        <v>1</v>
      </c>
      <c r="D747" s="1587" t="s">
        <v>273</v>
      </c>
      <c r="E747" s="1588">
        <v>1</v>
      </c>
      <c r="F747" s="1589">
        <v>3.5</v>
      </c>
      <c r="G747" s="1589">
        <v>0.23</v>
      </c>
      <c r="H747" s="1589">
        <v>0.9</v>
      </c>
      <c r="I747" s="1590">
        <f t="shared" ref="I747:I750" si="73">ROUND(IF(AND(F747:H747),C747*E747*F747*G747*H747,IF(AND(F747,G747),C747*E747*F747*G747,IF(AND(F747,H747),C747*E747*F747*H747,IF(AND(G747,H747),C747*E747*G747*H747,IF(F747,C747*E747*F747,IF(G747,C747*E747*G747,IF(H747,C747*E747*H747,C747*E747))))))),2)</f>
        <v>0.72</v>
      </c>
      <c r="J747" s="1591" t="s">
        <v>5</v>
      </c>
      <c r="K747" s="1585"/>
      <c r="L747" s="1573"/>
      <c r="M747" s="1585"/>
      <c r="N747" s="1578" t="s">
        <v>2218</v>
      </c>
    </row>
    <row r="748" spans="1:14" s="1586" customFormat="1" ht="18" customHeight="1">
      <c r="A748" s="1570"/>
      <c r="B748" s="1585" t="s">
        <v>3159</v>
      </c>
      <c r="C748" s="1571">
        <v>1</v>
      </c>
      <c r="D748" s="1587" t="s">
        <v>273</v>
      </c>
      <c r="E748" s="1588">
        <v>2</v>
      </c>
      <c r="F748" s="1589">
        <v>3.1</v>
      </c>
      <c r="G748" s="1589">
        <v>0.23</v>
      </c>
      <c r="H748" s="1589">
        <v>0.9</v>
      </c>
      <c r="I748" s="1590">
        <f t="shared" si="73"/>
        <v>1.28</v>
      </c>
      <c r="J748" s="1591" t="s">
        <v>5</v>
      </c>
      <c r="K748" s="1585"/>
      <c r="L748" s="1573"/>
      <c r="M748" s="1585"/>
      <c r="N748" s="1578" t="s">
        <v>2218</v>
      </c>
    </row>
    <row r="749" spans="1:14" s="1586" customFormat="1" ht="18" customHeight="1">
      <c r="A749" s="1570"/>
      <c r="B749" s="1585"/>
      <c r="C749" s="1571">
        <v>1</v>
      </c>
      <c r="D749" s="1587" t="s">
        <v>273</v>
      </c>
      <c r="E749" s="1588">
        <v>2</v>
      </c>
      <c r="F749" s="1589">
        <v>0.84</v>
      </c>
      <c r="G749" s="1589">
        <v>0.23</v>
      </c>
      <c r="H749" s="1589">
        <v>0.9</v>
      </c>
      <c r="I749" s="1590">
        <f t="shared" si="73"/>
        <v>0.35</v>
      </c>
      <c r="J749" s="1591" t="s">
        <v>5</v>
      </c>
      <c r="K749" s="1585"/>
      <c r="L749" s="1573"/>
      <c r="M749" s="1585"/>
      <c r="N749" s="1578" t="s">
        <v>2218</v>
      </c>
    </row>
    <row r="750" spans="1:14" s="1586" customFormat="1" ht="18" customHeight="1">
      <c r="A750" s="1570"/>
      <c r="B750" s="1585"/>
      <c r="C750" s="1571">
        <v>1</v>
      </c>
      <c r="D750" s="1587" t="s">
        <v>273</v>
      </c>
      <c r="E750" s="1588">
        <v>2</v>
      </c>
      <c r="F750" s="1589">
        <v>0.7</v>
      </c>
      <c r="G750" s="1589">
        <v>0.23</v>
      </c>
      <c r="H750" s="1589">
        <v>0.9</v>
      </c>
      <c r="I750" s="1590">
        <f t="shared" si="73"/>
        <v>0.28999999999999998</v>
      </c>
      <c r="J750" s="1591" t="s">
        <v>5</v>
      </c>
      <c r="K750" s="1585"/>
      <c r="L750" s="1573"/>
      <c r="M750" s="1585"/>
      <c r="N750" s="1578" t="s">
        <v>2218</v>
      </c>
    </row>
    <row r="751" spans="1:14" s="1586" customFormat="1" ht="18" customHeight="1">
      <c r="A751" s="1570"/>
      <c r="B751" s="1585" t="s">
        <v>281</v>
      </c>
      <c r="C751" s="1571">
        <v>4</v>
      </c>
      <c r="D751" s="1587" t="s">
        <v>273</v>
      </c>
      <c r="E751" s="1588">
        <v>0.78500000000000003</v>
      </c>
      <c r="F751" s="1589">
        <v>0.23</v>
      </c>
      <c r="G751" s="1589">
        <v>0.23</v>
      </c>
      <c r="H751" s="1589">
        <v>0.9</v>
      </c>
      <c r="I751" s="1590">
        <f>-ROUND(IF(AND(F751:H751),C751*E751*F751*G751*H751,IF(AND(F751,G751),C751*E751*F751*G751,IF(AND(F751,H751),C751*E751*F751*H751,IF(AND(G751,H751),C751*E751*G751*H751,IF(F751,C751*E751*F751,IF(G751,C751*E751*G751,IF(H751,C751*E751*H751,C751*E751))))))),2)</f>
        <v>-0.15</v>
      </c>
      <c r="J751" s="1591" t="s">
        <v>5</v>
      </c>
      <c r="K751" s="1585"/>
      <c r="L751" s="1573"/>
      <c r="M751" s="1585"/>
      <c r="N751" s="1578" t="s">
        <v>2218</v>
      </c>
    </row>
    <row r="752" spans="1:14" s="1586" customFormat="1" ht="16.5" customHeight="1">
      <c r="A752" s="1570"/>
      <c r="B752" s="1600"/>
      <c r="C752" s="1601"/>
      <c r="D752" s="1602"/>
      <c r="E752" s="1603"/>
      <c r="F752" s="1604"/>
      <c r="G752" s="1604"/>
      <c r="H752" s="1604"/>
      <c r="I752" s="1605"/>
      <c r="J752" s="1598"/>
      <c r="K752" s="1585"/>
      <c r="L752" s="1573"/>
      <c r="M752" s="1585"/>
      <c r="N752" s="1578" t="s">
        <v>2218</v>
      </c>
    </row>
    <row r="753" spans="1:14" s="1575" customFormat="1" ht="15.75">
      <c r="A753" s="1570"/>
      <c r="B753" s="1585"/>
      <c r="C753" s="1606"/>
      <c r="D753" s="1587"/>
      <c r="E753" s="1588"/>
      <c r="F753" s="1589"/>
      <c r="G753" s="1607"/>
      <c r="H753" s="1570"/>
      <c r="I753" s="1605">
        <f>SUM(I738:I752)</f>
        <v>19.080000000000002</v>
      </c>
      <c r="J753" s="1598" t="s">
        <v>5</v>
      </c>
      <c r="K753" s="1608">
        <f>data!E393</f>
        <v>5588.9500000000007</v>
      </c>
      <c r="L753" s="1573" t="s">
        <v>2218</v>
      </c>
      <c r="M753" s="1609">
        <f>ROUND(I753*K753,0)</f>
        <v>106637</v>
      </c>
      <c r="N753" s="1578" t="s">
        <v>2218</v>
      </c>
    </row>
    <row r="754" spans="1:14" ht="69.75" hidden="1" customHeight="1">
      <c r="A754" s="1156">
        <v>23</v>
      </c>
      <c r="B754" s="1826" t="s">
        <v>306</v>
      </c>
      <c r="C754" s="1826"/>
      <c r="D754" s="1826"/>
      <c r="E754" s="1826"/>
      <c r="F754" s="1826"/>
      <c r="G754" s="1826"/>
      <c r="H754" s="1826"/>
      <c r="I754" s="1157"/>
      <c r="J754" s="1158"/>
      <c r="K754" s="1156"/>
      <c r="L754" s="1159"/>
      <c r="M754" s="1160"/>
      <c r="N754" s="1161" t="s">
        <v>2306</v>
      </c>
    </row>
    <row r="755" spans="1:14" s="1170" customFormat="1" ht="18" hidden="1" customHeight="1">
      <c r="A755" s="1156"/>
      <c r="B755" s="1169" t="s">
        <v>3581</v>
      </c>
      <c r="C755" s="1157"/>
      <c r="D755" s="1548" t="s">
        <v>3642</v>
      </c>
      <c r="E755" s="1165"/>
      <c r="F755" s="1166"/>
      <c r="G755" s="1166"/>
      <c r="H755" s="1166"/>
      <c r="I755" s="1167"/>
      <c r="J755" s="1329"/>
      <c r="K755" s="1169"/>
      <c r="L755" s="1159"/>
      <c r="M755" s="1169"/>
      <c r="N755" s="1161" t="s">
        <v>2306</v>
      </c>
    </row>
    <row r="756" spans="1:14" s="1170" customFormat="1" ht="18" hidden="1" customHeight="1">
      <c r="A756" s="1156"/>
      <c r="B756" s="1169" t="s">
        <v>3582</v>
      </c>
      <c r="C756" s="1157">
        <v>1</v>
      </c>
      <c r="D756" s="1171" t="s">
        <v>273</v>
      </c>
      <c r="E756" s="1165">
        <v>1</v>
      </c>
      <c r="F756" s="1166">
        <v>3.51</v>
      </c>
      <c r="G756" s="1166">
        <v>0.23</v>
      </c>
      <c r="H756" s="1166">
        <v>1.2</v>
      </c>
      <c r="I756" s="1172">
        <f t="shared" ref="I756:I762" si="74">ROUND(IF(AND(F756:H756),C756*E756*F756*G756*H756,IF(AND(F756,G756),C756*E756*F756*G756,IF(AND(F756,H756),C756*E756*F756*H756,IF(AND(G756,H756),C756*E756*G756*H756,IF(F756,C756*E756*F756,IF(G756,C756*E756*G756,IF(H756,C756*E756*H756,C756*E756))))))),2)</f>
        <v>0.97</v>
      </c>
      <c r="J756" s="1330" t="s">
        <v>5</v>
      </c>
      <c r="K756" s="1169"/>
      <c r="L756" s="1159"/>
      <c r="M756" s="1169"/>
      <c r="N756" s="1161" t="s">
        <v>2306</v>
      </c>
    </row>
    <row r="757" spans="1:14" s="1170" customFormat="1" ht="18" hidden="1" customHeight="1">
      <c r="A757" s="1156"/>
      <c r="B757" s="1169" t="s">
        <v>3159</v>
      </c>
      <c r="C757" s="1157">
        <v>1</v>
      </c>
      <c r="D757" s="1171" t="s">
        <v>273</v>
      </c>
      <c r="E757" s="1165">
        <v>1</v>
      </c>
      <c r="F757" s="1166">
        <v>3.23</v>
      </c>
      <c r="G757" s="1166">
        <v>0.23</v>
      </c>
      <c r="H757" s="1166">
        <v>1.2</v>
      </c>
      <c r="I757" s="1172">
        <f t="shared" si="74"/>
        <v>0.89</v>
      </c>
      <c r="J757" s="1330" t="s">
        <v>5</v>
      </c>
      <c r="K757" s="1169"/>
      <c r="L757" s="1159"/>
      <c r="M757" s="1169"/>
      <c r="N757" s="1161" t="s">
        <v>2306</v>
      </c>
    </row>
    <row r="758" spans="1:14" s="1170" customFormat="1" ht="16.5" hidden="1" customHeight="1">
      <c r="A758" s="1156"/>
      <c r="B758" s="1169"/>
      <c r="C758" s="1157">
        <v>1</v>
      </c>
      <c r="D758" s="1171" t="s">
        <v>273</v>
      </c>
      <c r="E758" s="1165">
        <v>1</v>
      </c>
      <c r="F758" s="1166">
        <v>0.84</v>
      </c>
      <c r="G758" s="1166">
        <v>0.23</v>
      </c>
      <c r="H758" s="1166">
        <v>1.2</v>
      </c>
      <c r="I758" s="1172">
        <f t="shared" si="74"/>
        <v>0.23</v>
      </c>
      <c r="J758" s="1330" t="s">
        <v>5</v>
      </c>
      <c r="K758" s="1169"/>
      <c r="L758" s="1156"/>
      <c r="M758" s="1169"/>
      <c r="N758" s="1161" t="s">
        <v>2306</v>
      </c>
    </row>
    <row r="759" spans="1:14" s="1170" customFormat="1" ht="18" hidden="1" customHeight="1">
      <c r="A759" s="1156"/>
      <c r="B759" s="1169"/>
      <c r="C759" s="1157">
        <v>1</v>
      </c>
      <c r="D759" s="1171" t="s">
        <v>273</v>
      </c>
      <c r="E759" s="1165">
        <v>1</v>
      </c>
      <c r="F759" s="1166">
        <v>3.23</v>
      </c>
      <c r="G759" s="1166">
        <v>0.23</v>
      </c>
      <c r="H759" s="1166">
        <v>1.2</v>
      </c>
      <c r="I759" s="1172">
        <f t="shared" si="74"/>
        <v>0.89</v>
      </c>
      <c r="J759" s="1330" t="s">
        <v>5</v>
      </c>
      <c r="K759" s="1169"/>
      <c r="L759" s="1159"/>
      <c r="M759" s="1169"/>
      <c r="N759" s="1161" t="s">
        <v>2306</v>
      </c>
    </row>
    <row r="760" spans="1:14" s="1170" customFormat="1" ht="18" hidden="1" customHeight="1">
      <c r="A760" s="1156"/>
      <c r="B760" s="1169"/>
      <c r="C760" s="1157">
        <v>1</v>
      </c>
      <c r="D760" s="1171" t="s">
        <v>273</v>
      </c>
      <c r="E760" s="1165">
        <v>1</v>
      </c>
      <c r="F760" s="1166">
        <v>0.84</v>
      </c>
      <c r="G760" s="1166">
        <v>0.23</v>
      </c>
      <c r="H760" s="1166">
        <v>1.2</v>
      </c>
      <c r="I760" s="1172">
        <f t="shared" si="74"/>
        <v>0.23</v>
      </c>
      <c r="J760" s="1330" t="s">
        <v>5</v>
      </c>
      <c r="K760" s="1169"/>
      <c r="L760" s="1159"/>
      <c r="M760" s="1169"/>
      <c r="N760" s="1161" t="s">
        <v>2306</v>
      </c>
    </row>
    <row r="761" spans="1:14" s="1170" customFormat="1" ht="18" hidden="1" customHeight="1">
      <c r="A761" s="1156"/>
      <c r="B761" s="1169" t="s">
        <v>3580</v>
      </c>
      <c r="C761" s="1157">
        <v>1</v>
      </c>
      <c r="D761" s="1171" t="s">
        <v>273</v>
      </c>
      <c r="E761" s="1165">
        <v>1</v>
      </c>
      <c r="F761" s="1166">
        <v>0.7</v>
      </c>
      <c r="G761" s="1166">
        <v>0.23</v>
      </c>
      <c r="H761" s="1166">
        <v>1.25</v>
      </c>
      <c r="I761" s="1172">
        <f t="shared" si="74"/>
        <v>0.2</v>
      </c>
      <c r="J761" s="1330" t="s">
        <v>5</v>
      </c>
      <c r="K761" s="1169"/>
      <c r="L761" s="1159"/>
      <c r="M761" s="1169"/>
      <c r="N761" s="1161" t="s">
        <v>2306</v>
      </c>
    </row>
    <row r="762" spans="1:14" s="1170" customFormat="1" ht="18" hidden="1" customHeight="1">
      <c r="A762" s="1156"/>
      <c r="B762" s="1169"/>
      <c r="C762" s="1157">
        <v>1</v>
      </c>
      <c r="D762" s="1171" t="s">
        <v>273</v>
      </c>
      <c r="E762" s="1165">
        <v>1</v>
      </c>
      <c r="F762" s="1166">
        <v>0.7</v>
      </c>
      <c r="G762" s="1166">
        <v>0.23</v>
      </c>
      <c r="H762" s="1166">
        <v>1.25</v>
      </c>
      <c r="I762" s="1172">
        <f t="shared" si="74"/>
        <v>0.2</v>
      </c>
      <c r="J762" s="1330" t="s">
        <v>5</v>
      </c>
      <c r="K762" s="1169"/>
      <c r="L762" s="1159"/>
      <c r="M762" s="1169"/>
      <c r="N762" s="1161" t="s">
        <v>2306</v>
      </c>
    </row>
    <row r="763" spans="1:14" s="1170" customFormat="1" ht="18" hidden="1" customHeight="1">
      <c r="A763" s="1156"/>
      <c r="B763" s="1169" t="s">
        <v>3588</v>
      </c>
      <c r="C763" s="1157"/>
      <c r="D763" s="1548" t="s">
        <v>3643</v>
      </c>
      <c r="E763" s="1165"/>
      <c r="F763" s="1166"/>
      <c r="G763" s="1166"/>
      <c r="H763" s="1166"/>
      <c r="I763" s="1167"/>
      <c r="J763" s="1329"/>
      <c r="K763" s="1169"/>
      <c r="L763" s="1159"/>
      <c r="M763" s="1169"/>
      <c r="N763" s="1161" t="s">
        <v>2306</v>
      </c>
    </row>
    <row r="764" spans="1:14" s="1170" customFormat="1" ht="18" hidden="1" customHeight="1">
      <c r="A764" s="1156"/>
      <c r="B764" s="1169" t="s">
        <v>811</v>
      </c>
      <c r="C764" s="1157">
        <v>1</v>
      </c>
      <c r="D764" s="1171" t="s">
        <v>273</v>
      </c>
      <c r="E764" s="1165">
        <v>1</v>
      </c>
      <c r="F764" s="1166">
        <v>3.45</v>
      </c>
      <c r="G764" s="1166">
        <v>1.5</v>
      </c>
      <c r="H764" s="1166">
        <v>0.15</v>
      </c>
      <c r="I764" s="1172">
        <f t="shared" ref="I764:I770" si="75">ROUND(IF(AND(F764:H764),C764*E764*F764*G764*H764,IF(AND(F764,G764),C764*E764*F764*G764,IF(AND(F764,H764),C764*E764*F764*H764,IF(AND(G764,H764),C764*E764*G764*H764,IF(F764,C764*E764*F764,IF(G764,C764*E764*G764,IF(H764,C764*E764*H764,C764*E764))))))),2)</f>
        <v>0.78</v>
      </c>
      <c r="J764" s="1330" t="s">
        <v>5</v>
      </c>
      <c r="K764" s="1169"/>
      <c r="L764" s="1159"/>
      <c r="M764" s="1169"/>
      <c r="N764" s="1161" t="s">
        <v>2306</v>
      </c>
    </row>
    <row r="765" spans="1:14" s="1170" customFormat="1" ht="18" hidden="1" customHeight="1">
      <c r="A765" s="1156"/>
      <c r="B765" s="1169" t="s">
        <v>812</v>
      </c>
      <c r="C765" s="1157">
        <v>1</v>
      </c>
      <c r="D765" s="1171" t="s">
        <v>273</v>
      </c>
      <c r="E765" s="1165">
        <v>1</v>
      </c>
      <c r="F765" s="1166">
        <v>3.45</v>
      </c>
      <c r="G765" s="1166">
        <v>1.2</v>
      </c>
      <c r="H765" s="1166">
        <v>0.15</v>
      </c>
      <c r="I765" s="1172">
        <f t="shared" si="75"/>
        <v>0.62</v>
      </c>
      <c r="J765" s="1330" t="s">
        <v>5</v>
      </c>
      <c r="K765" s="1169"/>
      <c r="L765" s="1159"/>
      <c r="M765" s="1169"/>
      <c r="N765" s="1161" t="s">
        <v>2306</v>
      </c>
    </row>
    <row r="766" spans="1:14" s="1170" customFormat="1" ht="18" hidden="1" customHeight="1">
      <c r="A766" s="1156"/>
      <c r="B766" s="1169" t="s">
        <v>3165</v>
      </c>
      <c r="C766" s="1157">
        <v>1</v>
      </c>
      <c r="D766" s="1171" t="s">
        <v>273</v>
      </c>
      <c r="E766" s="1165">
        <v>1</v>
      </c>
      <c r="F766" s="1166">
        <v>3.45</v>
      </c>
      <c r="G766" s="1166">
        <v>0.9</v>
      </c>
      <c r="H766" s="1166">
        <v>0.15</v>
      </c>
      <c r="I766" s="1172">
        <f t="shared" si="75"/>
        <v>0.47</v>
      </c>
      <c r="J766" s="1330" t="s">
        <v>5</v>
      </c>
      <c r="K766" s="1169"/>
      <c r="L766" s="1159"/>
      <c r="M766" s="1169"/>
      <c r="N766" s="1161" t="s">
        <v>2306</v>
      </c>
    </row>
    <row r="767" spans="1:14" s="1170" customFormat="1" ht="18" hidden="1" customHeight="1">
      <c r="A767" s="1156"/>
      <c r="B767" s="1169" t="s">
        <v>3589</v>
      </c>
      <c r="C767" s="1157">
        <v>1</v>
      </c>
      <c r="D767" s="1171" t="s">
        <v>273</v>
      </c>
      <c r="E767" s="1165">
        <v>1</v>
      </c>
      <c r="F767" s="1166">
        <v>3.45</v>
      </c>
      <c r="G767" s="1166">
        <v>0.6</v>
      </c>
      <c r="H767" s="1166">
        <v>0.15</v>
      </c>
      <c r="I767" s="1172">
        <f t="shared" si="75"/>
        <v>0.31</v>
      </c>
      <c r="J767" s="1330" t="s">
        <v>5</v>
      </c>
      <c r="K767" s="1169"/>
      <c r="L767" s="1159"/>
      <c r="M767" s="1169"/>
      <c r="N767" s="1161" t="s">
        <v>2306</v>
      </c>
    </row>
    <row r="768" spans="1:14" s="1170" customFormat="1" ht="18" hidden="1" customHeight="1">
      <c r="A768" s="1156"/>
      <c r="B768" s="1169" t="s">
        <v>3590</v>
      </c>
      <c r="C768" s="1157">
        <v>1</v>
      </c>
      <c r="D768" s="1171" t="s">
        <v>273</v>
      </c>
      <c r="E768" s="1165">
        <v>1</v>
      </c>
      <c r="F768" s="1166">
        <v>3.45</v>
      </c>
      <c r="G768" s="1166">
        <v>0.3</v>
      </c>
      <c r="H768" s="1166">
        <v>0.15</v>
      </c>
      <c r="I768" s="1172">
        <f t="shared" si="75"/>
        <v>0.16</v>
      </c>
      <c r="J768" s="1330" t="s">
        <v>5</v>
      </c>
      <c r="K768" s="1169"/>
      <c r="L768" s="1159"/>
      <c r="M768" s="1169"/>
      <c r="N768" s="1161" t="s">
        <v>2306</v>
      </c>
    </row>
    <row r="769" spans="1:14" s="1170" customFormat="1" ht="18" hidden="1" customHeight="1">
      <c r="A769" s="1156"/>
      <c r="B769" s="1169" t="s">
        <v>3591</v>
      </c>
      <c r="C769" s="1157">
        <v>2</v>
      </c>
      <c r="D769" s="1171" t="s">
        <v>273</v>
      </c>
      <c r="E769" s="1165">
        <v>2</v>
      </c>
      <c r="F769" s="1166">
        <v>0.55000000000000004</v>
      </c>
      <c r="G769" s="1166">
        <v>0.115</v>
      </c>
      <c r="H769" s="1166">
        <v>0.8</v>
      </c>
      <c r="I769" s="1172">
        <f t="shared" si="75"/>
        <v>0.2</v>
      </c>
      <c r="J769" s="1330" t="s">
        <v>5</v>
      </c>
      <c r="K769" s="1169"/>
      <c r="L769" s="1159"/>
      <c r="M769" s="1169"/>
      <c r="N769" s="1161" t="s">
        <v>2306</v>
      </c>
    </row>
    <row r="770" spans="1:14" s="1170" customFormat="1" ht="18" hidden="1" customHeight="1">
      <c r="A770" s="1156"/>
      <c r="B770" s="1169" t="s">
        <v>3592</v>
      </c>
      <c r="C770" s="1157">
        <v>1</v>
      </c>
      <c r="D770" s="1171" t="s">
        <v>273</v>
      </c>
      <c r="E770" s="1165">
        <v>1</v>
      </c>
      <c r="F770" s="1166">
        <v>0.3</v>
      </c>
      <c r="G770" s="1166">
        <v>0.115</v>
      </c>
      <c r="H770" s="1166">
        <v>2.2000000000000002</v>
      </c>
      <c r="I770" s="1172">
        <f t="shared" si="75"/>
        <v>0.08</v>
      </c>
      <c r="J770" s="1330" t="s">
        <v>5</v>
      </c>
      <c r="K770" s="1169"/>
      <c r="L770" s="1159"/>
      <c r="M770" s="1169"/>
      <c r="N770" s="1161" t="s">
        <v>2306</v>
      </c>
    </row>
    <row r="771" spans="1:14" s="1170" customFormat="1" ht="16.5" hidden="1" customHeight="1">
      <c r="A771" s="1156"/>
      <c r="B771" s="1169"/>
      <c r="C771" s="1157"/>
      <c r="D771" s="1171"/>
      <c r="E771" s="1165"/>
      <c r="F771" s="1166"/>
      <c r="G771" s="1166"/>
      <c r="H771" s="1166"/>
      <c r="I771" s="1172"/>
      <c r="J771" s="1330"/>
      <c r="K771" s="1169"/>
      <c r="L771" s="1159"/>
      <c r="M771" s="1169"/>
      <c r="N771" s="1161" t="s">
        <v>2306</v>
      </c>
    </row>
    <row r="772" spans="1:14" ht="15.75" hidden="1">
      <c r="A772" s="1156"/>
      <c r="B772" s="1169"/>
      <c r="C772" s="1337"/>
      <c r="D772" s="1171"/>
      <c r="E772" s="1165"/>
      <c r="F772" s="1166"/>
      <c r="G772" s="1343"/>
      <c r="H772" s="1156"/>
      <c r="I772" s="1336"/>
      <c r="J772" s="1168" t="s">
        <v>5</v>
      </c>
      <c r="K772" s="1221">
        <f>data!E1310</f>
        <v>5751.7699999999995</v>
      </c>
      <c r="L772" s="1159" t="s">
        <v>2306</v>
      </c>
      <c r="M772" s="1224">
        <f>ROUND(I772*K772,0)</f>
        <v>0</v>
      </c>
      <c r="N772" s="1161" t="s">
        <v>2306</v>
      </c>
    </row>
    <row r="773" spans="1:14" ht="69.75" hidden="1" customHeight="1">
      <c r="A773" s="1156">
        <v>20</v>
      </c>
      <c r="B773" s="1826" t="s">
        <v>306</v>
      </c>
      <c r="C773" s="1826"/>
      <c r="D773" s="1826"/>
      <c r="E773" s="1826"/>
      <c r="F773" s="1826"/>
      <c r="G773" s="1826"/>
      <c r="H773" s="1826"/>
      <c r="I773" s="1157"/>
      <c r="J773" s="1158"/>
      <c r="K773" s="1156"/>
      <c r="L773" s="1159"/>
      <c r="M773" s="1160"/>
      <c r="N773" s="1161" t="s">
        <v>2317</v>
      </c>
    </row>
    <row r="774" spans="1:14" s="1170" customFormat="1" ht="16.5" hidden="1" customHeight="1">
      <c r="A774" s="1156"/>
      <c r="B774" s="1163" t="s">
        <v>3689</v>
      </c>
      <c r="C774" s="1157"/>
      <c r="D774" s="1548" t="s">
        <v>3740</v>
      </c>
      <c r="E774" s="1165"/>
      <c r="F774" s="1166"/>
      <c r="G774" s="1166"/>
      <c r="H774" s="1166"/>
      <c r="I774" s="1167"/>
      <c r="J774" s="1168"/>
      <c r="K774" s="1169"/>
      <c r="L774" s="1159"/>
      <c r="M774" s="1169"/>
      <c r="N774" s="1161" t="s">
        <v>2317</v>
      </c>
    </row>
    <row r="775" spans="1:14" s="1170" customFormat="1" ht="16.5" hidden="1" customHeight="1">
      <c r="A775" s="1156"/>
      <c r="B775" s="1169" t="s">
        <v>3690</v>
      </c>
      <c r="C775" s="1157">
        <v>1</v>
      </c>
      <c r="D775" s="1171" t="s">
        <v>273</v>
      </c>
      <c r="E775" s="1165">
        <v>1</v>
      </c>
      <c r="F775" s="1166">
        <v>3.5</v>
      </c>
      <c r="G775" s="1166">
        <v>0.23</v>
      </c>
      <c r="H775" s="1166">
        <v>1.35</v>
      </c>
      <c r="I775" s="1172">
        <f t="shared" ref="I775:I778" si="76">ROUND(IF(AND(F775:H775),C775*E775*F775*G775*H775,IF(AND(F775,G775),C775*E775*F775*G775,IF(AND(F775,H775),C775*E775*F775*H775,IF(AND(G775,H775),C775*E775*G775*H775,IF(F775,C775*E775*F775,IF(G775,C775*E775*G775,IF(H775,C775*E775*H775,C775*E775))))))),2)</f>
        <v>1.0900000000000001</v>
      </c>
      <c r="J775" s="1168" t="s">
        <v>5</v>
      </c>
      <c r="K775" s="1169"/>
      <c r="L775" s="1159"/>
      <c r="M775" s="1169"/>
      <c r="N775" s="1161" t="s">
        <v>2317</v>
      </c>
    </row>
    <row r="776" spans="1:14" s="1170" customFormat="1" ht="16.5" hidden="1" customHeight="1">
      <c r="A776" s="1156"/>
      <c r="B776" s="1169"/>
      <c r="C776" s="1157">
        <v>1</v>
      </c>
      <c r="D776" s="1171" t="s">
        <v>273</v>
      </c>
      <c r="E776" s="1165">
        <v>2</v>
      </c>
      <c r="F776" s="1166">
        <v>3.28</v>
      </c>
      <c r="G776" s="1166">
        <v>0.23</v>
      </c>
      <c r="H776" s="1166">
        <v>1.35</v>
      </c>
      <c r="I776" s="1172">
        <f t="shared" si="76"/>
        <v>2.04</v>
      </c>
      <c r="J776" s="1168" t="s">
        <v>5</v>
      </c>
      <c r="K776" s="1169"/>
      <c r="L776" s="1159"/>
      <c r="M776" s="1169"/>
      <c r="N776" s="1161" t="s">
        <v>2317</v>
      </c>
    </row>
    <row r="777" spans="1:14" s="1170" customFormat="1" ht="16.5" hidden="1" customHeight="1">
      <c r="A777" s="1156"/>
      <c r="B777" s="1169" t="s">
        <v>3670</v>
      </c>
      <c r="C777" s="1157">
        <v>1</v>
      </c>
      <c r="D777" s="1171" t="s">
        <v>273</v>
      </c>
      <c r="E777" s="1165">
        <v>2</v>
      </c>
      <c r="F777" s="1166">
        <v>0.84</v>
      </c>
      <c r="G777" s="1166">
        <v>0.23</v>
      </c>
      <c r="H777" s="1166">
        <v>1.35</v>
      </c>
      <c r="I777" s="1172">
        <f t="shared" si="76"/>
        <v>0.52</v>
      </c>
      <c r="J777" s="1168" t="s">
        <v>5</v>
      </c>
      <c r="K777" s="1169"/>
      <c r="L777" s="1159"/>
      <c r="M777" s="1169"/>
      <c r="N777" s="1161" t="s">
        <v>2317</v>
      </c>
    </row>
    <row r="778" spans="1:14" s="1170" customFormat="1" ht="16.5" hidden="1" customHeight="1">
      <c r="A778" s="1156"/>
      <c r="B778" s="1169"/>
      <c r="C778" s="1157">
        <v>1</v>
      </c>
      <c r="D778" s="1171" t="s">
        <v>273</v>
      </c>
      <c r="E778" s="1165">
        <v>2</v>
      </c>
      <c r="F778" s="1166">
        <v>0.7</v>
      </c>
      <c r="G778" s="1166">
        <v>0.23</v>
      </c>
      <c r="H778" s="1166">
        <v>1.35</v>
      </c>
      <c r="I778" s="1172">
        <f t="shared" si="76"/>
        <v>0.43</v>
      </c>
      <c r="J778" s="1168" t="s">
        <v>5</v>
      </c>
      <c r="K778" s="1169"/>
      <c r="L778" s="1159"/>
      <c r="M778" s="1169"/>
      <c r="N778" s="1161" t="s">
        <v>2317</v>
      </c>
    </row>
    <row r="779" spans="1:14" s="1170" customFormat="1" ht="16.5" hidden="1" customHeight="1">
      <c r="A779" s="1156"/>
      <c r="B779" s="1331"/>
      <c r="C779" s="1332"/>
      <c r="D779" s="1333"/>
      <c r="E779" s="1334"/>
      <c r="F779" s="1335"/>
      <c r="G779" s="1335"/>
      <c r="H779" s="1335"/>
      <c r="I779" s="1336"/>
      <c r="J779" s="1168"/>
      <c r="K779" s="1169"/>
      <c r="L779" s="1159"/>
      <c r="M779" s="1169"/>
      <c r="N779" s="1161" t="s">
        <v>2317</v>
      </c>
    </row>
    <row r="780" spans="1:14" ht="15.75" hidden="1">
      <c r="A780" s="1156"/>
      <c r="B780" s="1169"/>
      <c r="C780" s="1337"/>
      <c r="D780" s="1171"/>
      <c r="E780" s="1165"/>
      <c r="F780" s="1166"/>
      <c r="G780" s="1343"/>
      <c r="H780" s="1156"/>
      <c r="I780" s="1336"/>
      <c r="J780" s="1168" t="s">
        <v>5</v>
      </c>
      <c r="K780" s="1221">
        <f>data!E2227</f>
        <v>6154.1100000000006</v>
      </c>
      <c r="L780" s="1159" t="s">
        <v>2317</v>
      </c>
      <c r="M780" s="1224">
        <f>ROUND(I780*K780,0)</f>
        <v>0</v>
      </c>
      <c r="N780" s="1161" t="s">
        <v>2317</v>
      </c>
    </row>
    <row r="781" spans="1:14" ht="69.75" hidden="1" customHeight="1">
      <c r="A781" s="1156">
        <v>20</v>
      </c>
      <c r="B781" s="1826" t="s">
        <v>306</v>
      </c>
      <c r="C781" s="1826"/>
      <c r="D781" s="1826"/>
      <c r="E781" s="1826"/>
      <c r="F781" s="1826"/>
      <c r="G781" s="1826"/>
      <c r="H781" s="1826"/>
      <c r="I781" s="1157"/>
      <c r="J781" s="1158"/>
      <c r="K781" s="1156"/>
      <c r="L781" s="1159"/>
      <c r="M781" s="1160"/>
      <c r="N781" s="1161" t="s">
        <v>2318</v>
      </c>
    </row>
    <row r="782" spans="1:14" s="1170" customFormat="1" ht="16.5" hidden="1" customHeight="1">
      <c r="A782" s="1156"/>
      <c r="B782" s="1169" t="s">
        <v>3510</v>
      </c>
      <c r="C782" s="1157"/>
      <c r="D782" s="1171"/>
      <c r="E782" s="1165"/>
      <c r="F782" s="1166"/>
      <c r="G782" s="1166"/>
      <c r="H782" s="1166"/>
      <c r="I782" s="1167"/>
      <c r="J782" s="1168"/>
      <c r="K782" s="1169"/>
      <c r="L782" s="1159"/>
      <c r="M782" s="1169"/>
      <c r="N782" s="1161" t="s">
        <v>2318</v>
      </c>
    </row>
    <row r="783" spans="1:14" s="1170" customFormat="1" ht="16.5" hidden="1" customHeight="1">
      <c r="A783" s="1156"/>
      <c r="B783" s="1169"/>
      <c r="C783" s="1157">
        <v>1</v>
      </c>
      <c r="D783" s="1171" t="s">
        <v>273</v>
      </c>
      <c r="E783" s="1165">
        <v>1</v>
      </c>
      <c r="F783" s="1166">
        <v>5.5</v>
      </c>
      <c r="G783" s="1166">
        <v>0.35</v>
      </c>
      <c r="H783" s="1166">
        <v>0.6</v>
      </c>
      <c r="I783" s="1172">
        <f t="shared" ref="I783:I796" si="77">ROUND(IF(AND(F783:H783),C783*E783*F783*G783*H783,IF(AND(F783,G783),C783*E783*F783*G783,IF(AND(F783,H783),C783*E783*F783*H783,IF(AND(G783,H783),C783*E783*G783*H783,IF(F783,C783*E783*F783,IF(G783,C783*E783*G783,IF(H783,C783*E783*H783,C783*E783))))))),2)</f>
        <v>1.1599999999999999</v>
      </c>
      <c r="J783" s="1168" t="s">
        <v>5</v>
      </c>
      <c r="K783" s="1169"/>
      <c r="L783" s="1159"/>
      <c r="M783" s="1169"/>
      <c r="N783" s="1161" t="s">
        <v>2318</v>
      </c>
    </row>
    <row r="784" spans="1:14" s="1170" customFormat="1" ht="16.5" hidden="1" customHeight="1">
      <c r="A784" s="1156"/>
      <c r="B784" s="1169"/>
      <c r="C784" s="1157">
        <v>1</v>
      </c>
      <c r="D784" s="1171" t="s">
        <v>273</v>
      </c>
      <c r="E784" s="1165">
        <v>2</v>
      </c>
      <c r="F784" s="1166">
        <v>2.2999999999999998</v>
      </c>
      <c r="G784" s="1166">
        <v>0.35</v>
      </c>
      <c r="H784" s="1166">
        <v>0.6</v>
      </c>
      <c r="I784" s="1172">
        <f t="shared" si="77"/>
        <v>0.97</v>
      </c>
      <c r="J784" s="1168" t="s">
        <v>5</v>
      </c>
      <c r="K784" s="1169"/>
      <c r="L784" s="1159"/>
      <c r="M784" s="1169"/>
      <c r="N784" s="1161" t="s">
        <v>2318</v>
      </c>
    </row>
    <row r="785" spans="1:14" s="1170" customFormat="1" ht="16.5" hidden="1" customHeight="1">
      <c r="A785" s="1156"/>
      <c r="B785" s="1169"/>
      <c r="C785" s="1157">
        <v>1</v>
      </c>
      <c r="D785" s="1171" t="s">
        <v>273</v>
      </c>
      <c r="E785" s="1165">
        <v>1</v>
      </c>
      <c r="F785" s="1166">
        <v>3.3</v>
      </c>
      <c r="G785" s="1166">
        <v>0.35</v>
      </c>
      <c r="H785" s="1166">
        <v>0.6</v>
      </c>
      <c r="I785" s="1172">
        <f t="shared" si="77"/>
        <v>0.69</v>
      </c>
      <c r="J785" s="1168" t="s">
        <v>5</v>
      </c>
      <c r="K785" s="1169"/>
      <c r="L785" s="1159"/>
      <c r="M785" s="1169"/>
      <c r="N785" s="1161" t="s">
        <v>2318</v>
      </c>
    </row>
    <row r="786" spans="1:14" s="1170" customFormat="1" ht="16.5" hidden="1" customHeight="1">
      <c r="A786" s="1156"/>
      <c r="B786" s="1169"/>
      <c r="C786" s="1157">
        <v>1</v>
      </c>
      <c r="D786" s="1171" t="s">
        <v>273</v>
      </c>
      <c r="E786" s="1165">
        <v>1</v>
      </c>
      <c r="F786" s="1166">
        <v>2.2999999999999998</v>
      </c>
      <c r="G786" s="1166">
        <v>0.35</v>
      </c>
      <c r="H786" s="1166">
        <v>0.3</v>
      </c>
      <c r="I786" s="1172">
        <f t="shared" si="77"/>
        <v>0.24</v>
      </c>
      <c r="J786" s="1168" t="s">
        <v>5</v>
      </c>
      <c r="K786" s="1169"/>
      <c r="L786" s="1159"/>
      <c r="M786" s="1169"/>
      <c r="N786" s="1161" t="s">
        <v>2318</v>
      </c>
    </row>
    <row r="787" spans="1:14" s="1170" customFormat="1" ht="16.5" hidden="1" customHeight="1">
      <c r="A787" s="1156"/>
      <c r="B787" s="1169"/>
      <c r="C787" s="1157">
        <v>1</v>
      </c>
      <c r="D787" s="1171" t="s">
        <v>273</v>
      </c>
      <c r="E787" s="1165">
        <v>1</v>
      </c>
      <c r="F787" s="1166">
        <v>5.6</v>
      </c>
      <c r="G787" s="1166">
        <v>1.2</v>
      </c>
      <c r="H787" s="1166">
        <v>0.15</v>
      </c>
      <c r="I787" s="1172">
        <f t="shared" si="77"/>
        <v>1.01</v>
      </c>
      <c r="J787" s="1168" t="s">
        <v>5</v>
      </c>
      <c r="K787" s="1169"/>
      <c r="L787" s="1159"/>
      <c r="M787" s="1169"/>
      <c r="N787" s="1161" t="s">
        <v>2318</v>
      </c>
    </row>
    <row r="788" spans="1:14" s="1170" customFormat="1" ht="16.5" hidden="1" customHeight="1">
      <c r="A788" s="1156"/>
      <c r="B788" s="1169"/>
      <c r="C788" s="1157">
        <v>1</v>
      </c>
      <c r="D788" s="1171" t="s">
        <v>273</v>
      </c>
      <c r="E788" s="1165">
        <v>1</v>
      </c>
      <c r="F788" s="1166">
        <v>5.6</v>
      </c>
      <c r="G788" s="1166">
        <v>0.9</v>
      </c>
      <c r="H788" s="1166">
        <v>0.15</v>
      </c>
      <c r="I788" s="1172">
        <f t="shared" si="77"/>
        <v>0.76</v>
      </c>
      <c r="J788" s="1168" t="s">
        <v>5</v>
      </c>
      <c r="K788" s="1169"/>
      <c r="L788" s="1159"/>
      <c r="M788" s="1169"/>
      <c r="N788" s="1161" t="s">
        <v>2318</v>
      </c>
    </row>
    <row r="789" spans="1:14" s="1170" customFormat="1" ht="16.5" hidden="1" customHeight="1">
      <c r="A789" s="1156"/>
      <c r="B789" s="1169"/>
      <c r="C789" s="1157">
        <v>1</v>
      </c>
      <c r="D789" s="1171" t="s">
        <v>273</v>
      </c>
      <c r="E789" s="1165">
        <v>1</v>
      </c>
      <c r="F789" s="1166">
        <v>5.6</v>
      </c>
      <c r="G789" s="1166">
        <v>0.6</v>
      </c>
      <c r="H789" s="1166">
        <v>0.15</v>
      </c>
      <c r="I789" s="1172">
        <f t="shared" si="77"/>
        <v>0.5</v>
      </c>
      <c r="J789" s="1168" t="s">
        <v>5</v>
      </c>
      <c r="K789" s="1169"/>
      <c r="L789" s="1159"/>
      <c r="M789" s="1169"/>
      <c r="N789" s="1161" t="s">
        <v>2318</v>
      </c>
    </row>
    <row r="790" spans="1:14" s="1170" customFormat="1" ht="16.5" hidden="1" customHeight="1">
      <c r="A790" s="1156"/>
      <c r="B790" s="1169"/>
      <c r="C790" s="1157">
        <v>1</v>
      </c>
      <c r="D790" s="1171" t="s">
        <v>273</v>
      </c>
      <c r="E790" s="1165">
        <v>1</v>
      </c>
      <c r="F790" s="1166">
        <v>5.6</v>
      </c>
      <c r="G790" s="1166">
        <v>0.3</v>
      </c>
      <c r="H790" s="1166">
        <v>0.15</v>
      </c>
      <c r="I790" s="1172">
        <f t="shared" si="77"/>
        <v>0.25</v>
      </c>
      <c r="J790" s="1168" t="s">
        <v>5</v>
      </c>
      <c r="K790" s="1169"/>
      <c r="L790" s="1159"/>
      <c r="M790" s="1169"/>
      <c r="N790" s="1161" t="s">
        <v>2318</v>
      </c>
    </row>
    <row r="791" spans="1:14" s="1170" customFormat="1" ht="16.5" hidden="1" customHeight="1">
      <c r="A791" s="1156"/>
      <c r="B791" s="1169"/>
      <c r="C791" s="1157">
        <v>1</v>
      </c>
      <c r="D791" s="1171" t="s">
        <v>273</v>
      </c>
      <c r="E791" s="1165">
        <v>1</v>
      </c>
      <c r="F791" s="1166">
        <v>3.6</v>
      </c>
      <c r="G791" s="1166">
        <v>1.8</v>
      </c>
      <c r="H791" s="1166">
        <v>0.15</v>
      </c>
      <c r="I791" s="1172">
        <f t="shared" si="77"/>
        <v>0.97</v>
      </c>
      <c r="J791" s="1168" t="s">
        <v>5</v>
      </c>
      <c r="K791" s="1169"/>
      <c r="L791" s="1159"/>
      <c r="M791" s="1169"/>
      <c r="N791" s="1161" t="s">
        <v>2318</v>
      </c>
    </row>
    <row r="792" spans="1:14" s="1170" customFormat="1" ht="16.5" hidden="1" customHeight="1">
      <c r="A792" s="1156"/>
      <c r="B792" s="1169"/>
      <c r="C792" s="1157">
        <v>1</v>
      </c>
      <c r="D792" s="1171" t="s">
        <v>273</v>
      </c>
      <c r="E792" s="1165">
        <v>1</v>
      </c>
      <c r="F792" s="1166">
        <v>3.6</v>
      </c>
      <c r="G792" s="1166">
        <v>1.5</v>
      </c>
      <c r="H792" s="1166">
        <v>0.15</v>
      </c>
      <c r="I792" s="1172">
        <f t="shared" si="77"/>
        <v>0.81</v>
      </c>
      <c r="J792" s="1168" t="s">
        <v>5</v>
      </c>
      <c r="K792" s="1169"/>
      <c r="L792" s="1159"/>
      <c r="M792" s="1169"/>
      <c r="N792" s="1161" t="s">
        <v>2318</v>
      </c>
    </row>
    <row r="793" spans="1:14" s="1170" customFormat="1" ht="16.5" hidden="1" customHeight="1">
      <c r="A793" s="1156"/>
      <c r="B793" s="1169"/>
      <c r="C793" s="1157">
        <v>1</v>
      </c>
      <c r="D793" s="1171" t="s">
        <v>273</v>
      </c>
      <c r="E793" s="1165">
        <v>1</v>
      </c>
      <c r="F793" s="1166">
        <v>3.6</v>
      </c>
      <c r="G793" s="1166">
        <v>1.2</v>
      </c>
      <c r="H793" s="1166">
        <v>0.15</v>
      </c>
      <c r="I793" s="1172">
        <f t="shared" si="77"/>
        <v>0.65</v>
      </c>
      <c r="J793" s="1168" t="s">
        <v>5</v>
      </c>
      <c r="K793" s="1169"/>
      <c r="L793" s="1159"/>
      <c r="M793" s="1169"/>
      <c r="N793" s="1161" t="s">
        <v>2318</v>
      </c>
    </row>
    <row r="794" spans="1:14" s="1170" customFormat="1" ht="16.5" hidden="1" customHeight="1">
      <c r="A794" s="1156"/>
      <c r="B794" s="1169"/>
      <c r="C794" s="1157">
        <v>1</v>
      </c>
      <c r="D794" s="1171" t="s">
        <v>273</v>
      </c>
      <c r="E794" s="1165">
        <v>1</v>
      </c>
      <c r="F794" s="1166">
        <v>3.6</v>
      </c>
      <c r="G794" s="1166">
        <v>0.9</v>
      </c>
      <c r="H794" s="1166">
        <v>0.15</v>
      </c>
      <c r="I794" s="1172">
        <f t="shared" si="77"/>
        <v>0.49</v>
      </c>
      <c r="J794" s="1168" t="s">
        <v>5</v>
      </c>
      <c r="K794" s="1169"/>
      <c r="L794" s="1159"/>
      <c r="M794" s="1169"/>
      <c r="N794" s="1161" t="s">
        <v>2318</v>
      </c>
    </row>
    <row r="795" spans="1:14" s="1170" customFormat="1" ht="16.5" hidden="1" customHeight="1">
      <c r="A795" s="1156"/>
      <c r="B795" s="1169"/>
      <c r="C795" s="1157">
        <v>1</v>
      </c>
      <c r="D795" s="1171" t="s">
        <v>273</v>
      </c>
      <c r="E795" s="1165">
        <v>1</v>
      </c>
      <c r="F795" s="1166">
        <v>3.6</v>
      </c>
      <c r="G795" s="1166">
        <v>0.6</v>
      </c>
      <c r="H795" s="1166">
        <v>0.15</v>
      </c>
      <c r="I795" s="1172">
        <f t="shared" si="77"/>
        <v>0.32</v>
      </c>
      <c r="J795" s="1168" t="s">
        <v>5</v>
      </c>
      <c r="K795" s="1169"/>
      <c r="L795" s="1159"/>
      <c r="M795" s="1169"/>
      <c r="N795" s="1161" t="s">
        <v>2318</v>
      </c>
    </row>
    <row r="796" spans="1:14" s="1170" customFormat="1" ht="16.5" hidden="1" customHeight="1">
      <c r="A796" s="1156"/>
      <c r="B796" s="1169"/>
      <c r="C796" s="1157">
        <v>1</v>
      </c>
      <c r="D796" s="1171" t="s">
        <v>273</v>
      </c>
      <c r="E796" s="1165">
        <v>1</v>
      </c>
      <c r="F796" s="1166">
        <v>3.6</v>
      </c>
      <c r="G796" s="1166">
        <v>0.3</v>
      </c>
      <c r="H796" s="1166">
        <v>0.15</v>
      </c>
      <c r="I796" s="1172">
        <f t="shared" si="77"/>
        <v>0.16</v>
      </c>
      <c r="J796" s="1168" t="s">
        <v>5</v>
      </c>
      <c r="K796" s="1169"/>
      <c r="L796" s="1159"/>
      <c r="M796" s="1169"/>
      <c r="N796" s="1161" t="s">
        <v>2318</v>
      </c>
    </row>
    <row r="797" spans="1:14" s="1170" customFormat="1" ht="16.5" hidden="1" customHeight="1">
      <c r="A797" s="1156"/>
      <c r="B797" s="1331"/>
      <c r="C797" s="1332"/>
      <c r="D797" s="1333"/>
      <c r="E797" s="1334"/>
      <c r="F797" s="1335"/>
      <c r="G797" s="1335"/>
      <c r="H797" s="1335"/>
      <c r="I797" s="1336"/>
      <c r="J797" s="1168"/>
      <c r="K797" s="1169"/>
      <c r="L797" s="1159"/>
      <c r="M797" s="1169"/>
      <c r="N797" s="1161" t="s">
        <v>2318</v>
      </c>
    </row>
    <row r="798" spans="1:14" ht="15.75" hidden="1">
      <c r="A798" s="1156"/>
      <c r="B798" s="1169"/>
      <c r="C798" s="1337"/>
      <c r="D798" s="1171"/>
      <c r="E798" s="1165"/>
      <c r="F798" s="1166"/>
      <c r="G798" s="1343"/>
      <c r="H798" s="1156"/>
      <c r="I798" s="1336"/>
      <c r="J798" s="1168" t="s">
        <v>5</v>
      </c>
      <c r="K798" s="1221">
        <f>data!E3144</f>
        <v>6869.83</v>
      </c>
      <c r="L798" s="1159" t="s">
        <v>2318</v>
      </c>
      <c r="M798" s="1224">
        <f>ROUND(I798*K798,0)</f>
        <v>0</v>
      </c>
      <c r="N798" s="1161" t="s">
        <v>2318</v>
      </c>
    </row>
    <row r="799" spans="1:14" s="1575" customFormat="1" ht="69.75" customHeight="1">
      <c r="A799" s="1570">
        <v>16</v>
      </c>
      <c r="B799" s="1827" t="s">
        <v>649</v>
      </c>
      <c r="C799" s="1827"/>
      <c r="D799" s="1827"/>
      <c r="E799" s="1827"/>
      <c r="F799" s="1827"/>
      <c r="G799" s="1827"/>
      <c r="H799" s="1827"/>
      <c r="I799" s="1571"/>
      <c r="J799" s="1572"/>
      <c r="K799" s="1570"/>
      <c r="L799" s="1573"/>
      <c r="M799" s="1577"/>
      <c r="N799" s="1578" t="s">
        <v>2218</v>
      </c>
    </row>
    <row r="800" spans="1:14" s="1586" customFormat="1" ht="16.5" customHeight="1">
      <c r="A800" s="1570"/>
      <c r="B800" s="1579" t="s">
        <v>3788</v>
      </c>
      <c r="C800" s="1580"/>
      <c r="D800" s="1790" t="s">
        <v>3873</v>
      </c>
      <c r="E800" s="1581"/>
      <c r="F800" s="1582"/>
      <c r="G800" s="1582"/>
      <c r="H800" s="1582"/>
      <c r="I800" s="1583"/>
      <c r="J800" s="1584"/>
      <c r="K800" s="1585"/>
      <c r="L800" s="1573"/>
      <c r="M800" s="1585"/>
      <c r="N800" s="1578" t="s">
        <v>2218</v>
      </c>
    </row>
    <row r="801" spans="1:14" s="1586" customFormat="1" ht="16.5" customHeight="1">
      <c r="A801" s="1570"/>
      <c r="B801" s="1585" t="s">
        <v>2136</v>
      </c>
      <c r="C801" s="1571">
        <v>1</v>
      </c>
      <c r="D801" s="1587" t="s">
        <v>273</v>
      </c>
      <c r="E801" s="1588">
        <v>2</v>
      </c>
      <c r="F801" s="1589">
        <v>11.59</v>
      </c>
      <c r="G801" s="1589">
        <v>0.23</v>
      </c>
      <c r="H801" s="1589">
        <v>2.1</v>
      </c>
      <c r="I801" s="1590">
        <f t="shared" ref="I801:I802" si="78">ROUND(IF(AND(F801:H801),C801*E801*F801*G801*H801,IF(AND(F801,G801),C801*E801*F801*G801,IF(AND(F801,H801),C801*E801*F801*H801,IF(AND(G801,H801),C801*E801*G801*H801,IF(F801,C801*E801*F801,IF(G801,C801*E801*G801,IF(H801,C801*E801*H801,C801*E801))))))),2)</f>
        <v>11.2</v>
      </c>
      <c r="J801" s="1591" t="s">
        <v>5</v>
      </c>
      <c r="K801" s="1585"/>
      <c r="L801" s="1573"/>
      <c r="M801" s="1585"/>
      <c r="N801" s="1578" t="s">
        <v>2218</v>
      </c>
    </row>
    <row r="802" spans="1:14" s="1586" customFormat="1" ht="16.5" customHeight="1">
      <c r="A802" s="1570"/>
      <c r="B802" s="1585" t="s">
        <v>3670</v>
      </c>
      <c r="C802" s="1571">
        <v>1</v>
      </c>
      <c r="D802" s="1587" t="s">
        <v>273</v>
      </c>
      <c r="E802" s="1588">
        <v>2</v>
      </c>
      <c r="F802" s="1589">
        <v>9.3699999999999992</v>
      </c>
      <c r="G802" s="1589">
        <v>0.23</v>
      </c>
      <c r="H802" s="1589">
        <v>2.1</v>
      </c>
      <c r="I802" s="1590">
        <f t="shared" si="78"/>
        <v>9.0500000000000007</v>
      </c>
      <c r="J802" s="1591" t="s">
        <v>5</v>
      </c>
      <c r="K802" s="1585"/>
      <c r="L802" s="1573"/>
      <c r="M802" s="1585"/>
      <c r="N802" s="1578" t="s">
        <v>2218</v>
      </c>
    </row>
    <row r="803" spans="1:14" s="1586" customFormat="1" ht="16.5" customHeight="1">
      <c r="A803" s="1570"/>
      <c r="B803" s="1585" t="s">
        <v>579</v>
      </c>
      <c r="C803" s="1571">
        <v>1</v>
      </c>
      <c r="D803" s="1587" t="s">
        <v>273</v>
      </c>
      <c r="E803" s="1588">
        <v>1</v>
      </c>
      <c r="F803" s="1589">
        <v>1.2</v>
      </c>
      <c r="G803" s="1589">
        <v>0.23</v>
      </c>
      <c r="H803" s="1589">
        <v>2.1</v>
      </c>
      <c r="I803" s="1590">
        <f>-ROUND(IF(AND(F803:H803),C803*E803*F803*G803*H803,IF(AND(F803,G803),C803*E803*F803*G803,IF(AND(F803,H803),C803*E803*F803*H803,IF(AND(G803,H803),C803*E803*G803*H803,IF(F803,C803*E803*F803,IF(G803,C803*E803*G803,IF(H803,C803*E803*H803,C803*E803))))))),2)</f>
        <v>-0.57999999999999996</v>
      </c>
      <c r="J803" s="1591" t="s">
        <v>5</v>
      </c>
      <c r="K803" s="1585"/>
      <c r="L803" s="1573"/>
      <c r="M803" s="1585"/>
      <c r="N803" s="1578" t="s">
        <v>2218</v>
      </c>
    </row>
    <row r="804" spans="1:14" s="1586" customFormat="1" ht="16.5" customHeight="1">
      <c r="A804" s="1570"/>
      <c r="B804" s="1585" t="s">
        <v>2360</v>
      </c>
      <c r="C804" s="1571">
        <v>1</v>
      </c>
      <c r="D804" s="1587" t="s">
        <v>273</v>
      </c>
      <c r="E804" s="1588">
        <v>11</v>
      </c>
      <c r="F804" s="1589">
        <v>1.2</v>
      </c>
      <c r="G804" s="1589">
        <v>0.23</v>
      </c>
      <c r="H804" s="1589">
        <v>1.2</v>
      </c>
      <c r="I804" s="1590">
        <f>-ROUND(IF(AND(F804:H804),C804*E804*F804*G804*H804,IF(AND(F804,G804),C804*E804*F804*G804,IF(AND(F804,H804),C804*E804*F804*H804,IF(AND(G804,H804),C804*E804*G804*H804,IF(F804,C804*E804*F804,IF(G804,C804*E804*G804,IF(H804,C804*E804*H804,C804*E804))))))),2)</f>
        <v>-3.64</v>
      </c>
      <c r="J804" s="1591" t="s">
        <v>5</v>
      </c>
      <c r="K804" s="1585"/>
      <c r="L804" s="1573"/>
      <c r="M804" s="1585"/>
      <c r="N804" s="1578" t="s">
        <v>2218</v>
      </c>
    </row>
    <row r="805" spans="1:14" s="1586" customFormat="1" ht="16.5" customHeight="1">
      <c r="A805" s="1570"/>
      <c r="B805" s="1585" t="s">
        <v>281</v>
      </c>
      <c r="C805" s="1571">
        <v>1</v>
      </c>
      <c r="D805" s="1587" t="s">
        <v>273</v>
      </c>
      <c r="E805" s="1588">
        <v>12</v>
      </c>
      <c r="F805" s="1589">
        <v>0.23</v>
      </c>
      <c r="G805" s="1589">
        <v>0.23</v>
      </c>
      <c r="H805" s="1589">
        <v>2.1</v>
      </c>
      <c r="I805" s="1590">
        <f>-ROUND(IF(AND(F805:H805),C805*E805*F805*G805*H805,IF(AND(F805,G805),C805*E805*F805*G805,IF(AND(F805,H805),C805*E805*F805*H805,IF(AND(G805,H805),C805*E805*G805*H805,IF(F805,C805*E805*F805,IF(G805,C805*E805*G805,IF(H805,C805*E805*H805,C805*E805))))))),2)</f>
        <v>-1.33</v>
      </c>
      <c r="J805" s="1591" t="s">
        <v>5</v>
      </c>
      <c r="K805" s="1585"/>
      <c r="L805" s="1573"/>
      <c r="M805" s="1585"/>
      <c r="N805" s="1578" t="s">
        <v>2218</v>
      </c>
    </row>
    <row r="806" spans="1:14" s="1586" customFormat="1" ht="16.5" customHeight="1">
      <c r="A806" s="1570"/>
      <c r="B806" s="1579" t="s">
        <v>3795</v>
      </c>
      <c r="C806" s="1580"/>
      <c r="D806" s="1790" t="s">
        <v>3871</v>
      </c>
      <c r="E806" s="1581"/>
      <c r="F806" s="1582"/>
      <c r="G806" s="1582"/>
      <c r="H806" s="1582"/>
      <c r="I806" s="1583"/>
      <c r="J806" s="1584"/>
      <c r="K806" s="1585"/>
      <c r="L806" s="1573"/>
      <c r="M806" s="1585"/>
      <c r="N806" s="1578" t="s">
        <v>2218</v>
      </c>
    </row>
    <row r="807" spans="1:14" s="1586" customFormat="1" ht="16.5" customHeight="1">
      <c r="A807" s="1570"/>
      <c r="B807" s="1585" t="s">
        <v>2136</v>
      </c>
      <c r="C807" s="1571">
        <v>1</v>
      </c>
      <c r="D807" s="1587" t="s">
        <v>273</v>
      </c>
      <c r="E807" s="1588">
        <v>2</v>
      </c>
      <c r="F807" s="1589">
        <v>10.59</v>
      </c>
      <c r="G807" s="1589">
        <v>0.23</v>
      </c>
      <c r="H807" s="1589">
        <v>0.6</v>
      </c>
      <c r="I807" s="1590">
        <f t="shared" ref="I807:I808" si="79">ROUND(IF(AND(F807:H807),C807*E807*F807*G807*H807,IF(AND(F807,G807),C807*E807*F807*G807,IF(AND(F807,H807),C807*E807*F807*H807,IF(AND(G807,H807),C807*E807*G807*H807,IF(F807,C807*E807*F807,IF(G807,C807*E807*G807,IF(H807,C807*E807*H807,C807*E807))))))),2)</f>
        <v>2.92</v>
      </c>
      <c r="J807" s="1591" t="s">
        <v>5</v>
      </c>
      <c r="K807" s="1585"/>
      <c r="L807" s="1573"/>
      <c r="M807" s="1585"/>
      <c r="N807" s="1578" t="s">
        <v>2218</v>
      </c>
    </row>
    <row r="808" spans="1:14" s="1586" customFormat="1" ht="16.5" customHeight="1">
      <c r="A808" s="1570"/>
      <c r="B808" s="1585" t="s">
        <v>3670</v>
      </c>
      <c r="C808" s="1571">
        <v>1</v>
      </c>
      <c r="D808" s="1587" t="s">
        <v>273</v>
      </c>
      <c r="E808" s="1588">
        <v>2</v>
      </c>
      <c r="F808" s="1589">
        <v>9.3699999999999992</v>
      </c>
      <c r="G808" s="1589">
        <v>0.23</v>
      </c>
      <c r="H808" s="1589">
        <v>0.6</v>
      </c>
      <c r="I808" s="1590">
        <f t="shared" si="79"/>
        <v>2.59</v>
      </c>
      <c r="J808" s="1591" t="s">
        <v>5</v>
      </c>
      <c r="K808" s="1585"/>
      <c r="L808" s="1573"/>
      <c r="M808" s="1585"/>
      <c r="N808" s="1578" t="s">
        <v>2218</v>
      </c>
    </row>
    <row r="809" spans="1:14" s="1586" customFormat="1" ht="16.5" customHeight="1">
      <c r="A809" s="1570"/>
      <c r="B809" s="1585" t="s">
        <v>581</v>
      </c>
      <c r="C809" s="1571">
        <v>1</v>
      </c>
      <c r="D809" s="1587" t="s">
        <v>273</v>
      </c>
      <c r="E809" s="1588">
        <v>12</v>
      </c>
      <c r="F809" s="1589">
        <v>0.6</v>
      </c>
      <c r="G809" s="1589">
        <v>0.23</v>
      </c>
      <c r="H809" s="1589">
        <v>0.3</v>
      </c>
      <c r="I809" s="1590">
        <f>-ROUND(IF(AND(F809:H809),C809*E809*F809*G809*H809,IF(AND(F809,G809),C809*E809*F809*G809,IF(AND(F809,H809),C809*E809*F809*H809,IF(AND(G809,H809),C809*E809*G809*H809,IF(F809,C809*E809*F809,IF(G809,C809*E809*G809,IF(H809,C809*E809*H809,C809*E809))))))),2)</f>
        <v>-0.5</v>
      </c>
      <c r="J809" s="1591" t="s">
        <v>5</v>
      </c>
      <c r="K809" s="1585"/>
      <c r="L809" s="1573"/>
      <c r="M809" s="1585"/>
      <c r="N809" s="1578" t="s">
        <v>2218</v>
      </c>
    </row>
    <row r="810" spans="1:14" s="1586" customFormat="1" ht="16.5" customHeight="1">
      <c r="A810" s="1570"/>
      <c r="B810" s="1585" t="s">
        <v>281</v>
      </c>
      <c r="C810" s="1571">
        <v>1</v>
      </c>
      <c r="D810" s="1587" t="s">
        <v>273</v>
      </c>
      <c r="E810" s="1588">
        <v>12</v>
      </c>
      <c r="F810" s="1589">
        <v>0.23</v>
      </c>
      <c r="G810" s="1589">
        <v>0.23</v>
      </c>
      <c r="H810" s="1589">
        <v>0.6</v>
      </c>
      <c r="I810" s="1590">
        <f>-ROUND(IF(AND(F810:H810),C810*E810*F810*G810*H810,IF(AND(F810,G810),C810*E810*F810*G810,IF(AND(F810,H810),C810*E810*F810*H810,IF(AND(G810,H810),C810*E810*G810*H810,IF(F810,C810*E810*F810,IF(G810,C810*E810*G810,IF(H810,C810*E810*H810,C810*E810))))))),2)</f>
        <v>-0.38</v>
      </c>
      <c r="J810" s="1591" t="s">
        <v>5</v>
      </c>
      <c r="K810" s="1585"/>
      <c r="L810" s="1573"/>
      <c r="M810" s="1585"/>
      <c r="N810" s="1578" t="s">
        <v>2218</v>
      </c>
    </row>
    <row r="811" spans="1:14" s="1586" customFormat="1" ht="16.5" customHeight="1">
      <c r="A811" s="1570"/>
      <c r="B811" s="1579" t="s">
        <v>3810</v>
      </c>
      <c r="C811" s="1580"/>
      <c r="D811" s="1790" t="s">
        <v>3874</v>
      </c>
      <c r="E811" s="1581"/>
      <c r="F811" s="1582"/>
      <c r="G811" s="1582"/>
      <c r="H811" s="1582"/>
      <c r="I811" s="1583"/>
      <c r="J811" s="1598"/>
      <c r="K811" s="1585"/>
      <c r="L811" s="1573"/>
      <c r="M811" s="1585"/>
      <c r="N811" s="1578" t="s">
        <v>2218</v>
      </c>
    </row>
    <row r="812" spans="1:14" s="1586" customFormat="1" ht="16.5" customHeight="1">
      <c r="A812" s="1570"/>
      <c r="B812" s="1585" t="s">
        <v>811</v>
      </c>
      <c r="C812" s="1571">
        <v>1</v>
      </c>
      <c r="D812" s="1587" t="s">
        <v>273</v>
      </c>
      <c r="E812" s="1588">
        <v>1</v>
      </c>
      <c r="F812" s="1589">
        <v>3.5</v>
      </c>
      <c r="G812" s="1589">
        <v>0.9</v>
      </c>
      <c r="H812" s="1589">
        <v>0.15</v>
      </c>
      <c r="I812" s="1590">
        <f t="shared" ref="I812:I818" si="80">ROUND(IF(AND(F812:H812),C812*E812*F812*G812*H812,IF(AND(F812,G812),C812*E812*F812*G812,IF(AND(F812,H812),C812*E812*F812*H812,IF(AND(G812,H812),C812*E812*G812*H812,IF(F812,C812*E812*F812,IF(G812,C812*E812*G812,IF(H812,C812*E812*H812,C812*E812))))))),2)</f>
        <v>0.47</v>
      </c>
      <c r="J812" s="1598" t="s">
        <v>5</v>
      </c>
      <c r="K812" s="1585"/>
      <c r="L812" s="1573"/>
      <c r="M812" s="1585"/>
      <c r="N812" s="1578" t="s">
        <v>2218</v>
      </c>
    </row>
    <row r="813" spans="1:14" s="1586" customFormat="1" ht="16.5" customHeight="1">
      <c r="A813" s="1570"/>
      <c r="B813" s="1585" t="s">
        <v>812</v>
      </c>
      <c r="C813" s="1571">
        <v>1</v>
      </c>
      <c r="D813" s="1587" t="s">
        <v>273</v>
      </c>
      <c r="E813" s="1588">
        <v>1</v>
      </c>
      <c r="F813" s="1589">
        <v>3.5</v>
      </c>
      <c r="G813" s="1589">
        <v>0.6</v>
      </c>
      <c r="H813" s="1589">
        <v>0.15</v>
      </c>
      <c r="I813" s="1590">
        <f t="shared" si="80"/>
        <v>0.32</v>
      </c>
      <c r="J813" s="1598" t="s">
        <v>5</v>
      </c>
      <c r="K813" s="1585"/>
      <c r="L813" s="1573"/>
      <c r="M813" s="1585"/>
      <c r="N813" s="1578" t="s">
        <v>2218</v>
      </c>
    </row>
    <row r="814" spans="1:14" s="1586" customFormat="1" ht="16.5" customHeight="1">
      <c r="A814" s="1570"/>
      <c r="B814" s="1585" t="s">
        <v>3165</v>
      </c>
      <c r="C814" s="1571">
        <v>1</v>
      </c>
      <c r="D814" s="1587" t="s">
        <v>273</v>
      </c>
      <c r="E814" s="1588">
        <v>1</v>
      </c>
      <c r="F814" s="1589">
        <v>3.5</v>
      </c>
      <c r="G814" s="1589">
        <v>0.3</v>
      </c>
      <c r="H814" s="1589">
        <v>0.15</v>
      </c>
      <c r="I814" s="1590">
        <f t="shared" si="80"/>
        <v>0.16</v>
      </c>
      <c r="J814" s="1598" t="s">
        <v>5</v>
      </c>
      <c r="K814" s="1585"/>
      <c r="L814" s="1573"/>
      <c r="M814" s="1585"/>
      <c r="N814" s="1578" t="s">
        <v>2218</v>
      </c>
    </row>
    <row r="815" spans="1:14" s="1586" customFormat="1" ht="16.5" customHeight="1">
      <c r="A815" s="1570"/>
      <c r="B815" s="1585" t="s">
        <v>3811</v>
      </c>
      <c r="C815" s="1571">
        <v>1</v>
      </c>
      <c r="D815" s="1587" t="s">
        <v>273</v>
      </c>
      <c r="E815" s="1588">
        <v>2</v>
      </c>
      <c r="F815" s="1589">
        <v>3.05</v>
      </c>
      <c r="G815" s="1589">
        <v>0.115</v>
      </c>
      <c r="H815" s="1589">
        <f>(0.5+1.05+0.5)/3</f>
        <v>0.68333333333333324</v>
      </c>
      <c r="I815" s="1590">
        <f t="shared" si="80"/>
        <v>0.48</v>
      </c>
      <c r="J815" s="1598" t="s">
        <v>5</v>
      </c>
      <c r="K815" s="1585"/>
      <c r="L815" s="1573"/>
      <c r="M815" s="1585"/>
      <c r="N815" s="1578" t="s">
        <v>2218</v>
      </c>
    </row>
    <row r="816" spans="1:14" s="1586" customFormat="1" ht="16.5" customHeight="1">
      <c r="A816" s="1570"/>
      <c r="B816" s="1585" t="s">
        <v>2207</v>
      </c>
      <c r="C816" s="1571">
        <v>1</v>
      </c>
      <c r="D816" s="1587" t="s">
        <v>273</v>
      </c>
      <c r="E816" s="1588">
        <v>1</v>
      </c>
      <c r="F816" s="1589">
        <v>3.5</v>
      </c>
      <c r="G816" s="1589">
        <v>0.115</v>
      </c>
      <c r="H816" s="1589">
        <v>0.8</v>
      </c>
      <c r="I816" s="1590">
        <f t="shared" si="80"/>
        <v>0.32</v>
      </c>
      <c r="J816" s="1598" t="s">
        <v>5</v>
      </c>
      <c r="K816" s="1585"/>
      <c r="L816" s="1573"/>
      <c r="M816" s="1585"/>
      <c r="N816" s="1578" t="s">
        <v>2218</v>
      </c>
    </row>
    <row r="817" spans="1:14" s="1586" customFormat="1" ht="16.5" customHeight="1">
      <c r="A817" s="1570"/>
      <c r="B817" s="1585"/>
      <c r="C817" s="1571">
        <v>1</v>
      </c>
      <c r="D817" s="1587" t="s">
        <v>273</v>
      </c>
      <c r="E817" s="1588">
        <v>1</v>
      </c>
      <c r="F817" s="1589">
        <v>3.4</v>
      </c>
      <c r="G817" s="1589">
        <v>0.115</v>
      </c>
      <c r="H817" s="1589">
        <v>0.8</v>
      </c>
      <c r="I817" s="1590">
        <f t="shared" si="80"/>
        <v>0.31</v>
      </c>
      <c r="J817" s="1598" t="s">
        <v>5</v>
      </c>
      <c r="K817" s="1585"/>
      <c r="L817" s="1573"/>
      <c r="M817" s="1585"/>
      <c r="N817" s="1578" t="s">
        <v>2218</v>
      </c>
    </row>
    <row r="818" spans="1:14" s="1586" customFormat="1" ht="16.5" customHeight="1">
      <c r="A818" s="1570"/>
      <c r="B818" s="1585" t="s">
        <v>3698</v>
      </c>
      <c r="C818" s="1571">
        <v>2</v>
      </c>
      <c r="D818" s="1587" t="s">
        <v>273</v>
      </c>
      <c r="E818" s="1588">
        <v>12</v>
      </c>
      <c r="F818" s="1589">
        <v>0.3</v>
      </c>
      <c r="G818" s="1589">
        <v>0.115</v>
      </c>
      <c r="H818" s="1589">
        <v>0.5</v>
      </c>
      <c r="I818" s="1590">
        <f t="shared" si="80"/>
        <v>0.41</v>
      </c>
      <c r="J818" s="1598" t="s">
        <v>5</v>
      </c>
      <c r="K818" s="1585"/>
      <c r="L818" s="1573"/>
      <c r="M818" s="1585"/>
      <c r="N818" s="1578" t="s">
        <v>2218</v>
      </c>
    </row>
    <row r="819" spans="1:14" s="1586" customFormat="1" ht="16.5" customHeight="1">
      <c r="A819" s="1570"/>
      <c r="B819" s="1600"/>
      <c r="C819" s="1601"/>
      <c r="D819" s="1602"/>
      <c r="E819" s="1603"/>
      <c r="F819" s="1604"/>
      <c r="G819" s="1604"/>
      <c r="H819" s="1604"/>
      <c r="I819" s="1605"/>
      <c r="J819" s="1598"/>
      <c r="K819" s="1585"/>
      <c r="L819" s="1573"/>
      <c r="M819" s="1585"/>
      <c r="N819" s="1578" t="s">
        <v>2218</v>
      </c>
    </row>
    <row r="820" spans="1:14" s="1575" customFormat="1" ht="15.75">
      <c r="A820" s="1570"/>
      <c r="B820" s="1585"/>
      <c r="C820" s="1606"/>
      <c r="D820" s="1587"/>
      <c r="E820" s="1588"/>
      <c r="F820" s="1589"/>
      <c r="G820" s="1607"/>
      <c r="H820" s="1570"/>
      <c r="I820" s="1605">
        <f>SUM(I801:I819)</f>
        <v>21.8</v>
      </c>
      <c r="J820" s="1598" t="s">
        <v>5</v>
      </c>
      <c r="K820" s="1608">
        <f>data!E376</f>
        <v>5645.35</v>
      </c>
      <c r="L820" s="1573" t="s">
        <v>2218</v>
      </c>
      <c r="M820" s="1609">
        <f>ROUND(I820*K820,0)</f>
        <v>123069</v>
      </c>
      <c r="N820" s="1578" t="s">
        <v>2218</v>
      </c>
    </row>
    <row r="821" spans="1:14" ht="69.75" hidden="1" customHeight="1">
      <c r="A821" s="1156">
        <v>21</v>
      </c>
      <c r="B821" s="1826" t="s">
        <v>649</v>
      </c>
      <c r="C821" s="1826"/>
      <c r="D821" s="1828"/>
      <c r="E821" s="1826"/>
      <c r="F821" s="1826"/>
      <c r="G821" s="1826"/>
      <c r="H821" s="1826"/>
      <c r="I821" s="1157"/>
      <c r="J821" s="1158"/>
      <c r="K821" s="1156"/>
      <c r="L821" s="1159"/>
      <c r="M821" s="1160"/>
      <c r="N821" s="1161" t="s">
        <v>2306</v>
      </c>
    </row>
    <row r="822" spans="1:14" s="1170" customFormat="1" ht="16.5" hidden="1" customHeight="1">
      <c r="A822" s="1156"/>
      <c r="B822" s="1163" t="s">
        <v>3669</v>
      </c>
      <c r="C822" s="1338"/>
      <c r="D822" s="1548" t="s">
        <v>3734</v>
      </c>
      <c r="E822" s="1339"/>
      <c r="F822" s="1340"/>
      <c r="G822" s="1340"/>
      <c r="H822" s="1340"/>
      <c r="I822" s="1341"/>
      <c r="J822" s="1168"/>
      <c r="K822" s="1169"/>
      <c r="L822" s="1159"/>
      <c r="M822" s="1169"/>
      <c r="N822" s="1161" t="s">
        <v>2306</v>
      </c>
    </row>
    <row r="823" spans="1:14" s="1170" customFormat="1" ht="16.5" hidden="1" customHeight="1">
      <c r="A823" s="1156"/>
      <c r="B823" s="1169" t="s">
        <v>2136</v>
      </c>
      <c r="C823" s="1157">
        <v>1</v>
      </c>
      <c r="D823" s="1171" t="s">
        <v>273</v>
      </c>
      <c r="E823" s="1165">
        <v>2</v>
      </c>
      <c r="F823" s="1166">
        <v>10.59</v>
      </c>
      <c r="G823" s="1166">
        <v>0.23</v>
      </c>
      <c r="H823" s="1166">
        <v>2.1</v>
      </c>
      <c r="I823" s="1172">
        <f t="shared" ref="I823:I824" si="81">ROUND(IF(AND(F823:H823),C823*E823*F823*G823*H823,IF(AND(F823,G823),C823*E823*F823*G823,IF(AND(F823,H823),C823*E823*F823*H823,IF(AND(G823,H823),C823*E823*G823*H823,IF(F823,C823*E823*F823,IF(G823,C823*E823*G823,IF(H823,C823*E823*H823,C823*E823))))))),2)</f>
        <v>10.23</v>
      </c>
      <c r="J823" s="1168" t="s">
        <v>5</v>
      </c>
      <c r="K823" s="1169"/>
      <c r="L823" s="1159"/>
      <c r="M823" s="1169"/>
      <c r="N823" s="1161" t="s">
        <v>2306</v>
      </c>
    </row>
    <row r="824" spans="1:14" s="1170" customFormat="1" ht="16.5" hidden="1" customHeight="1">
      <c r="A824" s="1156"/>
      <c r="B824" s="1169" t="s">
        <v>3670</v>
      </c>
      <c r="C824" s="1157">
        <v>1</v>
      </c>
      <c r="D824" s="1171" t="s">
        <v>273</v>
      </c>
      <c r="E824" s="1165">
        <v>2</v>
      </c>
      <c r="F824" s="1166">
        <v>9.3699999999999992</v>
      </c>
      <c r="G824" s="1166">
        <v>0.23</v>
      </c>
      <c r="H824" s="1166">
        <v>2.1</v>
      </c>
      <c r="I824" s="1172">
        <f t="shared" si="81"/>
        <v>9.0500000000000007</v>
      </c>
      <c r="J824" s="1168" t="s">
        <v>5</v>
      </c>
      <c r="K824" s="1169"/>
      <c r="L824" s="1159"/>
      <c r="M824" s="1169"/>
      <c r="N824" s="1161" t="s">
        <v>2306</v>
      </c>
    </row>
    <row r="825" spans="1:14" s="1170" customFormat="1" ht="16.5" hidden="1" customHeight="1">
      <c r="A825" s="1156"/>
      <c r="B825" s="1169" t="s">
        <v>579</v>
      </c>
      <c r="C825" s="1157">
        <v>1</v>
      </c>
      <c r="D825" s="1171" t="s">
        <v>273</v>
      </c>
      <c r="E825" s="1165">
        <v>1</v>
      </c>
      <c r="F825" s="1166">
        <v>1.2</v>
      </c>
      <c r="G825" s="1166">
        <v>0.23</v>
      </c>
      <c r="H825" s="1166">
        <v>2.1</v>
      </c>
      <c r="I825" s="1172">
        <f>-ROUND(IF(AND(F825:H825),C825*E825*F825*G825*H825,IF(AND(F825,G825),C825*E825*F825*G825,IF(AND(F825,H825),C825*E825*F825*H825,IF(AND(G825,H825),C825*E825*G825*H825,IF(F825,C825*E825*F825,IF(G825,C825*E825*G825,IF(H825,C825*E825*H825,C825*E825))))))),2)</f>
        <v>-0.57999999999999996</v>
      </c>
      <c r="J825" s="1168" t="s">
        <v>5</v>
      </c>
      <c r="K825" s="1169"/>
      <c r="L825" s="1159"/>
      <c r="M825" s="1169"/>
      <c r="N825" s="1161" t="s">
        <v>2306</v>
      </c>
    </row>
    <row r="826" spans="1:14" s="1170" customFormat="1" ht="16.5" hidden="1" customHeight="1">
      <c r="A826" s="1156"/>
      <c r="B826" s="1169" t="s">
        <v>2360</v>
      </c>
      <c r="C826" s="1157">
        <v>1</v>
      </c>
      <c r="D826" s="1171" t="s">
        <v>273</v>
      </c>
      <c r="E826" s="1165">
        <v>11</v>
      </c>
      <c r="F826" s="1166">
        <v>1.2</v>
      </c>
      <c r="G826" s="1166">
        <v>0.23</v>
      </c>
      <c r="H826" s="1166">
        <v>1.2</v>
      </c>
      <c r="I826" s="1172">
        <f>-ROUND(IF(AND(F826:H826),C826*E826*F826*G826*H826,IF(AND(F826,G826),C826*E826*F826*G826,IF(AND(F826,H826),C826*E826*F826*H826,IF(AND(G826,H826),C826*E826*G826*H826,IF(F826,C826*E826*F826,IF(G826,C826*E826*G826,IF(H826,C826*E826*H826,C826*E826))))))),2)</f>
        <v>-3.64</v>
      </c>
      <c r="J826" s="1168" t="s">
        <v>5</v>
      </c>
      <c r="K826" s="1169"/>
      <c r="L826" s="1159"/>
      <c r="M826" s="1169"/>
      <c r="N826" s="1161" t="s">
        <v>2306</v>
      </c>
    </row>
    <row r="827" spans="1:14" s="1170" customFormat="1" ht="16.5" hidden="1" customHeight="1">
      <c r="A827" s="1156"/>
      <c r="B827" s="1169" t="s">
        <v>3679</v>
      </c>
      <c r="C827" s="1338"/>
      <c r="D827" s="1548" t="s">
        <v>3738</v>
      </c>
      <c r="E827" s="1339"/>
      <c r="F827" s="1340"/>
      <c r="G827" s="1340"/>
      <c r="H827" s="1340"/>
      <c r="I827" s="1341"/>
      <c r="J827" s="1168"/>
      <c r="K827" s="1169"/>
      <c r="L827" s="1159"/>
      <c r="M827" s="1169"/>
      <c r="N827" s="1161" t="s">
        <v>2306</v>
      </c>
    </row>
    <row r="828" spans="1:14" s="1170" customFormat="1" ht="16.5" hidden="1" customHeight="1">
      <c r="A828" s="1156"/>
      <c r="B828" s="1169" t="s">
        <v>2136</v>
      </c>
      <c r="C828" s="1157">
        <v>1</v>
      </c>
      <c r="D828" s="1171" t="s">
        <v>273</v>
      </c>
      <c r="E828" s="1165">
        <v>2</v>
      </c>
      <c r="F828" s="1166">
        <v>10.59</v>
      </c>
      <c r="G828" s="1166">
        <v>0.23</v>
      </c>
      <c r="H828" s="1166">
        <v>0.6</v>
      </c>
      <c r="I828" s="1172">
        <f t="shared" ref="I828:I829" si="82">ROUND(IF(AND(F828:H828),C828*E828*F828*G828*H828,IF(AND(F828,G828),C828*E828*F828*G828,IF(AND(F828,H828),C828*E828*F828*H828,IF(AND(G828,H828),C828*E828*G828*H828,IF(F828,C828*E828*F828,IF(G828,C828*E828*G828,IF(H828,C828*E828*H828,C828*E828))))))),2)</f>
        <v>2.92</v>
      </c>
      <c r="J828" s="1168" t="s">
        <v>5</v>
      </c>
      <c r="K828" s="1169"/>
      <c r="L828" s="1159"/>
      <c r="M828" s="1169"/>
      <c r="N828" s="1161" t="s">
        <v>2306</v>
      </c>
    </row>
    <row r="829" spans="1:14" s="1170" customFormat="1" ht="16.5" hidden="1" customHeight="1">
      <c r="A829" s="1156"/>
      <c r="B829" s="1169" t="s">
        <v>3164</v>
      </c>
      <c r="C829" s="1157">
        <v>1</v>
      </c>
      <c r="D829" s="1171" t="s">
        <v>273</v>
      </c>
      <c r="E829" s="1165">
        <v>2</v>
      </c>
      <c r="F829" s="1166">
        <v>9.3699999999999992</v>
      </c>
      <c r="G829" s="1166">
        <v>0.23</v>
      </c>
      <c r="H829" s="1166">
        <v>0.6</v>
      </c>
      <c r="I829" s="1172">
        <f t="shared" si="82"/>
        <v>2.59</v>
      </c>
      <c r="J829" s="1168" t="s">
        <v>5</v>
      </c>
      <c r="K829" s="1169"/>
      <c r="L829" s="1159"/>
      <c r="M829" s="1169"/>
      <c r="N829" s="1161" t="s">
        <v>2306</v>
      </c>
    </row>
    <row r="830" spans="1:14" s="1170" customFormat="1" ht="16.5" hidden="1" customHeight="1">
      <c r="A830" s="1156"/>
      <c r="B830" s="1169" t="s">
        <v>581</v>
      </c>
      <c r="C830" s="1157">
        <v>1</v>
      </c>
      <c r="D830" s="1171" t="s">
        <v>273</v>
      </c>
      <c r="E830" s="1165">
        <v>11</v>
      </c>
      <c r="F830" s="1166">
        <v>0.45</v>
      </c>
      <c r="G830" s="1166">
        <v>0.23</v>
      </c>
      <c r="H830" s="1166">
        <v>0.15</v>
      </c>
      <c r="I830" s="1172">
        <f>-ROUND(IF(AND(F830:H830),C830*E830*F830*G830*H830,IF(AND(F830,G830),C830*E830*F830*G830,IF(AND(F830,H830),C830*E830*F830*H830,IF(AND(G830,H830),C830*E830*G830*H830,IF(F830,C830*E830*F830,IF(G830,C830*E830*G830,IF(H830,C830*E830*H830,C830*E830))))))),2)</f>
        <v>-0.17</v>
      </c>
      <c r="J830" s="1168" t="s">
        <v>5</v>
      </c>
      <c r="K830" s="1169"/>
      <c r="L830" s="1159"/>
      <c r="M830" s="1169"/>
      <c r="N830" s="1161" t="s">
        <v>2306</v>
      </c>
    </row>
    <row r="831" spans="1:14" s="1170" customFormat="1" ht="16.5" hidden="1" customHeight="1">
      <c r="A831" s="1156"/>
      <c r="B831" s="1169" t="s">
        <v>281</v>
      </c>
      <c r="C831" s="1157">
        <v>1</v>
      </c>
      <c r="D831" s="1171" t="s">
        <v>273</v>
      </c>
      <c r="E831" s="1165">
        <v>12</v>
      </c>
      <c r="F831" s="1166">
        <v>0.3</v>
      </c>
      <c r="G831" s="1166">
        <v>0.23</v>
      </c>
      <c r="H831" s="1166">
        <v>0.6</v>
      </c>
      <c r="I831" s="1172">
        <f>-ROUND(IF(AND(F831:H831),C831*E831*F831*G831*H831,IF(AND(F831,G831),C831*E831*F831*G831,IF(AND(F831,H831),C831*E831*F831*H831,IF(AND(G831,H831),C831*E831*G831*H831,IF(F831,C831*E831*F831,IF(G831,C831*E831*G831,IF(H831,C831*E831*H831,C831*E831))))))),2)</f>
        <v>-0.5</v>
      </c>
      <c r="J831" s="1168" t="s">
        <v>5</v>
      </c>
      <c r="K831" s="1169"/>
      <c r="L831" s="1159"/>
      <c r="M831" s="1169"/>
      <c r="N831" s="1161" t="s">
        <v>2306</v>
      </c>
    </row>
    <row r="832" spans="1:14" s="1170" customFormat="1" ht="16.5" hidden="1" customHeight="1">
      <c r="A832" s="1156"/>
      <c r="B832" s="1331"/>
      <c r="C832" s="1332"/>
      <c r="D832" s="1333"/>
      <c r="E832" s="1334"/>
      <c r="F832" s="1335"/>
      <c r="G832" s="1335"/>
      <c r="H832" s="1335"/>
      <c r="I832" s="1336"/>
      <c r="J832" s="1168"/>
      <c r="K832" s="1169"/>
      <c r="L832" s="1159"/>
      <c r="M832" s="1169"/>
      <c r="N832" s="1161" t="s">
        <v>2306</v>
      </c>
    </row>
    <row r="833" spans="1:14" ht="15.75" hidden="1">
      <c r="A833" s="1156"/>
      <c r="B833" s="1169"/>
      <c r="C833" s="1337"/>
      <c r="D833" s="1171"/>
      <c r="E833" s="1165"/>
      <c r="F833" s="1166"/>
      <c r="G833" s="1343"/>
      <c r="H833" s="1156"/>
      <c r="I833" s="1336"/>
      <c r="J833" s="1168" t="s">
        <v>5</v>
      </c>
      <c r="K833" s="1221">
        <f>data!E1293</f>
        <v>5808.1699999999992</v>
      </c>
      <c r="L833" s="1159" t="s">
        <v>2306</v>
      </c>
      <c r="M833" s="1224">
        <f>ROUND(I833*K833,0)</f>
        <v>0</v>
      </c>
      <c r="N833" s="1161" t="s">
        <v>2306</v>
      </c>
    </row>
    <row r="834" spans="1:14" ht="69.75" hidden="1" customHeight="1">
      <c r="A834" s="1156">
        <v>22</v>
      </c>
      <c r="B834" s="1826" t="s">
        <v>649</v>
      </c>
      <c r="C834" s="1826"/>
      <c r="D834" s="1826"/>
      <c r="E834" s="1826"/>
      <c r="F834" s="1826"/>
      <c r="G834" s="1826"/>
      <c r="H834" s="1826"/>
      <c r="I834" s="1157"/>
      <c r="J834" s="1158"/>
      <c r="K834" s="1156"/>
      <c r="L834" s="1159"/>
      <c r="M834" s="1160"/>
      <c r="N834" s="1161" t="s">
        <v>2317</v>
      </c>
    </row>
    <row r="835" spans="1:14" s="1170" customFormat="1" ht="16.5" hidden="1" customHeight="1">
      <c r="A835" s="1156"/>
      <c r="B835" s="1163" t="s">
        <v>3696</v>
      </c>
      <c r="C835" s="1157"/>
      <c r="D835" s="1548" t="s">
        <v>3741</v>
      </c>
      <c r="E835" s="1165"/>
      <c r="F835" s="1166"/>
      <c r="G835" s="1166"/>
      <c r="H835" s="1166"/>
      <c r="I835" s="1167"/>
      <c r="J835" s="1168"/>
      <c r="K835" s="1169"/>
      <c r="L835" s="1159"/>
      <c r="M835" s="1169"/>
      <c r="N835" s="1161" t="s">
        <v>2317</v>
      </c>
    </row>
    <row r="836" spans="1:14" s="1170" customFormat="1" ht="16.5" hidden="1" customHeight="1">
      <c r="A836" s="1156"/>
      <c r="B836" s="1169" t="s">
        <v>811</v>
      </c>
      <c r="C836" s="1157">
        <v>1</v>
      </c>
      <c r="D836" s="1171" t="s">
        <v>273</v>
      </c>
      <c r="E836" s="1165">
        <v>1</v>
      </c>
      <c r="F836" s="1166">
        <v>3.6</v>
      </c>
      <c r="G836" s="1166">
        <v>1.5</v>
      </c>
      <c r="H836" s="1166">
        <v>0.15</v>
      </c>
      <c r="I836" s="1172">
        <f t="shared" ref="I836:I850" si="83">ROUND(IF(AND(F836:H836),C836*E836*F836*G836*H836,IF(AND(F836,G836),C836*E836*F836*G836,IF(AND(F836,H836),C836*E836*F836*H836,IF(AND(G836,H836),C836*E836*G836*H836,IF(F836,C836*E836*F836,IF(G836,C836*E836*G836,IF(H836,C836*E836*H836,C836*E836))))))),2)</f>
        <v>0.81</v>
      </c>
      <c r="J836" s="1168" t="s">
        <v>5</v>
      </c>
      <c r="K836" s="1169"/>
      <c r="L836" s="1159"/>
      <c r="M836" s="1169"/>
      <c r="N836" s="1161" t="s">
        <v>2317</v>
      </c>
    </row>
    <row r="837" spans="1:14" s="1170" customFormat="1" ht="16.5" hidden="1" customHeight="1">
      <c r="A837" s="1156"/>
      <c r="B837" s="1169" t="s">
        <v>812</v>
      </c>
      <c r="C837" s="1157">
        <v>1</v>
      </c>
      <c r="D837" s="1171" t="s">
        <v>273</v>
      </c>
      <c r="E837" s="1165">
        <v>1</v>
      </c>
      <c r="F837" s="1166">
        <v>3.6</v>
      </c>
      <c r="G837" s="1166">
        <v>1.2</v>
      </c>
      <c r="H837" s="1166">
        <v>0.15</v>
      </c>
      <c r="I837" s="1172">
        <f t="shared" si="83"/>
        <v>0.65</v>
      </c>
      <c r="J837" s="1168" t="s">
        <v>5</v>
      </c>
      <c r="K837" s="1169"/>
      <c r="L837" s="1159"/>
      <c r="M837" s="1169"/>
      <c r="N837" s="1161" t="s">
        <v>2317</v>
      </c>
    </row>
    <row r="838" spans="1:14" s="1170" customFormat="1" ht="16.5" hidden="1" customHeight="1">
      <c r="A838" s="1156"/>
      <c r="B838" s="1169" t="s">
        <v>3165</v>
      </c>
      <c r="C838" s="1157">
        <v>1</v>
      </c>
      <c r="D838" s="1171" t="s">
        <v>273</v>
      </c>
      <c r="E838" s="1165">
        <v>1</v>
      </c>
      <c r="F838" s="1166">
        <v>3.6</v>
      </c>
      <c r="G838" s="1166">
        <v>0.9</v>
      </c>
      <c r="H838" s="1166">
        <v>0.15</v>
      </c>
      <c r="I838" s="1172">
        <f t="shared" si="83"/>
        <v>0.49</v>
      </c>
      <c r="J838" s="1168" t="s">
        <v>5</v>
      </c>
      <c r="K838" s="1169"/>
      <c r="L838" s="1159"/>
      <c r="M838" s="1169"/>
      <c r="N838" s="1161" t="s">
        <v>2317</v>
      </c>
    </row>
    <row r="839" spans="1:14" s="1170" customFormat="1" ht="16.5" hidden="1" customHeight="1">
      <c r="A839" s="1156"/>
      <c r="B839" s="1169" t="s">
        <v>3589</v>
      </c>
      <c r="C839" s="1157">
        <v>1</v>
      </c>
      <c r="D839" s="1171" t="s">
        <v>273</v>
      </c>
      <c r="E839" s="1165">
        <v>1</v>
      </c>
      <c r="F839" s="1166">
        <v>3.6</v>
      </c>
      <c r="G839" s="1166">
        <v>0.6</v>
      </c>
      <c r="H839" s="1166">
        <v>0.15</v>
      </c>
      <c r="I839" s="1172">
        <f t="shared" si="83"/>
        <v>0.32</v>
      </c>
      <c r="J839" s="1168" t="s">
        <v>5</v>
      </c>
      <c r="K839" s="1169"/>
      <c r="L839" s="1159"/>
      <c r="M839" s="1169"/>
      <c r="N839" s="1161" t="s">
        <v>2317</v>
      </c>
    </row>
    <row r="840" spans="1:14" s="1170" customFormat="1" ht="16.5" hidden="1" customHeight="1">
      <c r="A840" s="1156"/>
      <c r="B840" s="1169" t="s">
        <v>3590</v>
      </c>
      <c r="C840" s="1157">
        <v>1</v>
      </c>
      <c r="D840" s="1171" t="s">
        <v>273</v>
      </c>
      <c r="E840" s="1165">
        <v>1</v>
      </c>
      <c r="F840" s="1166">
        <v>3.6</v>
      </c>
      <c r="G840" s="1166">
        <v>0.3</v>
      </c>
      <c r="H840" s="1166">
        <v>0.15</v>
      </c>
      <c r="I840" s="1172">
        <f t="shared" si="83"/>
        <v>0.16</v>
      </c>
      <c r="J840" s="1168" t="s">
        <v>5</v>
      </c>
      <c r="K840" s="1169"/>
      <c r="L840" s="1159"/>
      <c r="M840" s="1169"/>
      <c r="N840" s="1161" t="s">
        <v>2317</v>
      </c>
    </row>
    <row r="841" spans="1:14" s="1170" customFormat="1" ht="16.5" hidden="1" customHeight="1">
      <c r="A841" s="1156"/>
      <c r="B841" s="1169" t="s">
        <v>2207</v>
      </c>
      <c r="C841" s="1157">
        <v>1</v>
      </c>
      <c r="D841" s="1171" t="s">
        <v>273</v>
      </c>
      <c r="E841" s="1165">
        <v>1</v>
      </c>
      <c r="F841" s="1166">
        <v>10.65</v>
      </c>
      <c r="G841" s="1166">
        <v>0.115</v>
      </c>
      <c r="H841" s="1166">
        <v>0.7</v>
      </c>
      <c r="I841" s="1172">
        <f t="shared" si="83"/>
        <v>0.86</v>
      </c>
      <c r="J841" s="1168" t="s">
        <v>5</v>
      </c>
      <c r="K841" s="1169"/>
      <c r="L841" s="1159"/>
      <c r="M841" s="1169"/>
      <c r="N841" s="1161" t="s">
        <v>2317</v>
      </c>
    </row>
    <row r="842" spans="1:14" s="1170" customFormat="1" ht="16.5" hidden="1" customHeight="1">
      <c r="A842" s="1156"/>
      <c r="B842" s="1169"/>
      <c r="C842" s="1157">
        <v>1</v>
      </c>
      <c r="D842" s="1171" t="s">
        <v>273</v>
      </c>
      <c r="E842" s="1165">
        <v>1</v>
      </c>
      <c r="F842" s="1166">
        <v>9.6999999999999993</v>
      </c>
      <c r="G842" s="1166">
        <v>0.115</v>
      </c>
      <c r="H842" s="1166">
        <v>0.7</v>
      </c>
      <c r="I842" s="1172">
        <f t="shared" si="83"/>
        <v>0.78</v>
      </c>
      <c r="J842" s="1168" t="s">
        <v>5</v>
      </c>
      <c r="K842" s="1169"/>
      <c r="L842" s="1159"/>
      <c r="M842" s="1169"/>
      <c r="N842" s="1161" t="s">
        <v>2317</v>
      </c>
    </row>
    <row r="843" spans="1:14" s="1170" customFormat="1" ht="16.5" hidden="1" customHeight="1">
      <c r="A843" s="1156"/>
      <c r="B843" s="1169"/>
      <c r="C843" s="1157">
        <v>1</v>
      </c>
      <c r="D843" s="1171" t="s">
        <v>273</v>
      </c>
      <c r="E843" s="1165">
        <v>1</v>
      </c>
      <c r="F843" s="1166">
        <v>10.65</v>
      </c>
      <c r="G843" s="1166">
        <v>0.115</v>
      </c>
      <c r="H843" s="1166">
        <v>0.7</v>
      </c>
      <c r="I843" s="1172">
        <f t="shared" si="83"/>
        <v>0.86</v>
      </c>
      <c r="J843" s="1168" t="s">
        <v>5</v>
      </c>
      <c r="K843" s="1169"/>
      <c r="L843" s="1159"/>
      <c r="M843" s="1169"/>
      <c r="N843" s="1161" t="s">
        <v>2317</v>
      </c>
    </row>
    <row r="844" spans="1:14" s="1170" customFormat="1" ht="16.5" hidden="1" customHeight="1">
      <c r="A844" s="1156"/>
      <c r="B844" s="1169" t="s">
        <v>3697</v>
      </c>
      <c r="C844" s="1157">
        <v>1</v>
      </c>
      <c r="D844" s="1171" t="s">
        <v>273</v>
      </c>
      <c r="E844" s="1165">
        <v>1</v>
      </c>
      <c r="F844" s="1166">
        <v>3.15</v>
      </c>
      <c r="G844" s="1166">
        <v>0.23</v>
      </c>
      <c r="H844" s="1166">
        <v>1</v>
      </c>
      <c r="I844" s="1172">
        <f t="shared" si="83"/>
        <v>0.72</v>
      </c>
      <c r="J844" s="1168" t="s">
        <v>5</v>
      </c>
      <c r="K844" s="1169"/>
      <c r="L844" s="1159"/>
      <c r="M844" s="1169"/>
      <c r="N844" s="1161" t="s">
        <v>2317</v>
      </c>
    </row>
    <row r="845" spans="1:14" s="1170" customFormat="1" ht="16.5" hidden="1" customHeight="1">
      <c r="A845" s="1156"/>
      <c r="B845" s="1169"/>
      <c r="C845" s="1157">
        <v>1</v>
      </c>
      <c r="D845" s="1171" t="s">
        <v>273</v>
      </c>
      <c r="E845" s="1165">
        <v>1</v>
      </c>
      <c r="F845" s="1166">
        <v>3.5</v>
      </c>
      <c r="G845" s="1166">
        <v>0.115</v>
      </c>
      <c r="H845" s="1166">
        <v>0.7</v>
      </c>
      <c r="I845" s="1172">
        <f t="shared" si="83"/>
        <v>0.28000000000000003</v>
      </c>
      <c r="J845" s="1168" t="s">
        <v>5</v>
      </c>
      <c r="K845" s="1169"/>
      <c r="L845" s="1159"/>
      <c r="M845" s="1169"/>
      <c r="N845" s="1161" t="s">
        <v>2317</v>
      </c>
    </row>
    <row r="846" spans="1:14" s="1170" customFormat="1" ht="16.5" hidden="1" customHeight="1">
      <c r="A846" s="1156"/>
      <c r="B846" s="1169"/>
      <c r="C846" s="1157">
        <v>1</v>
      </c>
      <c r="D846" s="1171" t="s">
        <v>273</v>
      </c>
      <c r="E846" s="1165">
        <v>1</v>
      </c>
      <c r="F846" s="1166">
        <v>3.2</v>
      </c>
      <c r="G846" s="1166">
        <v>0.23</v>
      </c>
      <c r="H846" s="1166">
        <v>1</v>
      </c>
      <c r="I846" s="1172">
        <f t="shared" si="83"/>
        <v>0.74</v>
      </c>
      <c r="J846" s="1168" t="s">
        <v>5</v>
      </c>
      <c r="K846" s="1169"/>
      <c r="L846" s="1159"/>
      <c r="M846" s="1169"/>
      <c r="N846" s="1161" t="s">
        <v>2317</v>
      </c>
    </row>
    <row r="847" spans="1:14" s="1170" customFormat="1" ht="16.5" hidden="1" customHeight="1">
      <c r="A847" s="1156"/>
      <c r="B847" s="1169" t="s">
        <v>3698</v>
      </c>
      <c r="C847" s="1157">
        <v>1</v>
      </c>
      <c r="D847" s="1171" t="s">
        <v>273</v>
      </c>
      <c r="E847" s="1165">
        <v>6</v>
      </c>
      <c r="F847" s="1166">
        <v>0.3</v>
      </c>
      <c r="G847" s="1166">
        <v>0.115</v>
      </c>
      <c r="H847" s="1166">
        <v>0.7</v>
      </c>
      <c r="I847" s="1172">
        <f t="shared" si="83"/>
        <v>0.14000000000000001</v>
      </c>
      <c r="J847" s="1168" t="s">
        <v>5</v>
      </c>
      <c r="K847" s="1169"/>
      <c r="L847" s="1159"/>
      <c r="M847" s="1169"/>
      <c r="N847" s="1161" t="s">
        <v>2317</v>
      </c>
    </row>
    <row r="848" spans="1:14" s="1170" customFormat="1" ht="16.5" hidden="1" customHeight="1">
      <c r="A848" s="1156"/>
      <c r="B848" s="1169"/>
      <c r="C848" s="1157">
        <v>1</v>
      </c>
      <c r="D848" s="1171" t="s">
        <v>273</v>
      </c>
      <c r="E848" s="1165">
        <v>6</v>
      </c>
      <c r="F848" s="1166">
        <v>0.27</v>
      </c>
      <c r="G848" s="1166">
        <v>0.115</v>
      </c>
      <c r="H848" s="1166">
        <v>0.7</v>
      </c>
      <c r="I848" s="1172">
        <f t="shared" si="83"/>
        <v>0.13</v>
      </c>
      <c r="J848" s="1168" t="s">
        <v>5</v>
      </c>
      <c r="K848" s="1169"/>
      <c r="L848" s="1159"/>
      <c r="M848" s="1169"/>
      <c r="N848" s="1161" t="s">
        <v>2317</v>
      </c>
    </row>
    <row r="849" spans="1:14" s="1170" customFormat="1" ht="16.5" hidden="1" customHeight="1">
      <c r="A849" s="1156"/>
      <c r="B849" s="1169"/>
      <c r="C849" s="1157">
        <v>1</v>
      </c>
      <c r="D849" s="1171" t="s">
        <v>273</v>
      </c>
      <c r="E849" s="1165">
        <v>4</v>
      </c>
      <c r="F849" s="1166">
        <v>0.25</v>
      </c>
      <c r="G849" s="1166">
        <v>0.115</v>
      </c>
      <c r="H849" s="1166">
        <v>0.7</v>
      </c>
      <c r="I849" s="1172">
        <f t="shared" si="83"/>
        <v>0.08</v>
      </c>
      <c r="J849" s="1168" t="s">
        <v>5</v>
      </c>
      <c r="K849" s="1169"/>
      <c r="L849" s="1159"/>
      <c r="M849" s="1169"/>
      <c r="N849" s="1161" t="s">
        <v>2317</v>
      </c>
    </row>
    <row r="850" spans="1:14" s="1170" customFormat="1" ht="16.5" hidden="1" customHeight="1">
      <c r="A850" s="1156"/>
      <c r="B850" s="1169"/>
      <c r="C850" s="1157">
        <v>1</v>
      </c>
      <c r="D850" s="1171" t="s">
        <v>273</v>
      </c>
      <c r="E850" s="1165">
        <v>4</v>
      </c>
      <c r="F850" s="1166">
        <v>0.27</v>
      </c>
      <c r="G850" s="1166">
        <v>0.115</v>
      </c>
      <c r="H850" s="1166">
        <v>0.7</v>
      </c>
      <c r="I850" s="1172">
        <f t="shared" si="83"/>
        <v>0.09</v>
      </c>
      <c r="J850" s="1168" t="s">
        <v>5</v>
      </c>
      <c r="K850" s="1169"/>
      <c r="L850" s="1159"/>
      <c r="M850" s="1169"/>
      <c r="N850" s="1161" t="s">
        <v>2317</v>
      </c>
    </row>
    <row r="851" spans="1:14" s="1170" customFormat="1" ht="16.5" hidden="1" customHeight="1">
      <c r="A851" s="1156"/>
      <c r="B851" s="1169"/>
      <c r="C851" s="1157"/>
      <c r="D851" s="1171"/>
      <c r="E851" s="1165"/>
      <c r="F851" s="1166"/>
      <c r="G851" s="1166"/>
      <c r="H851" s="1166"/>
      <c r="I851" s="1172"/>
      <c r="J851" s="1168"/>
      <c r="K851" s="1169"/>
      <c r="L851" s="1159"/>
      <c r="M851" s="1169"/>
      <c r="N851" s="1161" t="s">
        <v>2317</v>
      </c>
    </row>
    <row r="852" spans="1:14" ht="15.75" hidden="1">
      <c r="A852" s="1156"/>
      <c r="B852" s="1169"/>
      <c r="C852" s="1337"/>
      <c r="D852" s="1171"/>
      <c r="E852" s="1165"/>
      <c r="F852" s="1166"/>
      <c r="G852" s="1343"/>
      <c r="H852" s="1156"/>
      <c r="I852" s="1336"/>
      <c r="J852" s="1168" t="s">
        <v>5</v>
      </c>
      <c r="K852" s="1221">
        <f>data!E2210</f>
        <v>6210.51</v>
      </c>
      <c r="L852" s="1159" t="s">
        <v>2317</v>
      </c>
      <c r="M852" s="1224">
        <f>ROUND(I852*K852,0)</f>
        <v>0</v>
      </c>
      <c r="N852" s="1161" t="s">
        <v>2317</v>
      </c>
    </row>
    <row r="853" spans="1:14" ht="69.75" hidden="1" customHeight="1">
      <c r="A853" s="1156">
        <v>15</v>
      </c>
      <c r="B853" s="1826" t="s">
        <v>649</v>
      </c>
      <c r="C853" s="1826"/>
      <c r="D853" s="1828"/>
      <c r="E853" s="1826"/>
      <c r="F853" s="1826"/>
      <c r="G853" s="1826"/>
      <c r="H853" s="1826"/>
      <c r="I853" s="1157"/>
      <c r="J853" s="1158"/>
      <c r="K853" s="1156"/>
      <c r="L853" s="1159"/>
      <c r="M853" s="1160"/>
      <c r="N853" s="1161" t="s">
        <v>2318</v>
      </c>
    </row>
    <row r="854" spans="1:14" s="1170" customFormat="1" ht="16.5" hidden="1" customHeight="1">
      <c r="A854" s="1156"/>
      <c r="B854" s="1169" t="s">
        <v>3397</v>
      </c>
      <c r="C854" s="1157"/>
      <c r="D854" s="1171"/>
      <c r="E854" s="1165"/>
      <c r="F854" s="1166"/>
      <c r="G854" s="1166"/>
      <c r="H854" s="1166"/>
      <c r="I854" s="1167"/>
      <c r="J854" s="1168"/>
      <c r="K854" s="1169"/>
      <c r="L854" s="1159"/>
      <c r="M854" s="1169"/>
      <c r="N854" s="1161" t="s">
        <v>2318</v>
      </c>
    </row>
    <row r="855" spans="1:14" s="1170" customFormat="1" ht="18" hidden="1" customHeight="1">
      <c r="A855" s="1156"/>
      <c r="B855" s="1169" t="s">
        <v>3627</v>
      </c>
      <c r="C855" s="1157">
        <v>1</v>
      </c>
      <c r="D855" s="1171" t="s">
        <v>273</v>
      </c>
      <c r="E855" s="1165">
        <v>2</v>
      </c>
      <c r="F855" s="1166">
        <v>1.8</v>
      </c>
      <c r="G855" s="1166">
        <v>0.23</v>
      </c>
      <c r="H855" s="1166">
        <v>2.4</v>
      </c>
      <c r="I855" s="1172">
        <f t="shared" ref="I855:I856" si="84">ROUND(IF(AND(F855:H855),C855*E855*F855*G855*H855,IF(AND(F855,G855),C855*E855*F855*G855,IF(AND(F855,H855),C855*E855*F855*H855,IF(AND(G855,H855),C855*E855*G855*H855,IF(F855,C855*E855*F855,IF(G855,C855*E855*G855,IF(H855,C855*E855*H855,C855*E855))))))),2)</f>
        <v>1.99</v>
      </c>
      <c r="J855" s="1330" t="s">
        <v>5</v>
      </c>
      <c r="K855" s="1169"/>
      <c r="L855" s="1159"/>
      <c r="M855" s="1169"/>
      <c r="N855" s="1161" t="s">
        <v>2318</v>
      </c>
    </row>
    <row r="856" spans="1:14" s="1170" customFormat="1" ht="18" hidden="1" customHeight="1">
      <c r="A856" s="1156"/>
      <c r="B856" s="1169"/>
      <c r="C856" s="1157">
        <v>1</v>
      </c>
      <c r="D856" s="1171" t="s">
        <v>273</v>
      </c>
      <c r="E856" s="1165">
        <v>2</v>
      </c>
      <c r="F856" s="1166">
        <v>1.8</v>
      </c>
      <c r="G856" s="1166">
        <v>0.45</v>
      </c>
      <c r="H856" s="1166">
        <v>2.4</v>
      </c>
      <c r="I856" s="1172">
        <f t="shared" si="84"/>
        <v>3.89</v>
      </c>
      <c r="J856" s="1330" t="s">
        <v>5</v>
      </c>
      <c r="K856" s="1169"/>
      <c r="L856" s="1159"/>
      <c r="M856" s="1169"/>
      <c r="N856" s="1161" t="s">
        <v>2318</v>
      </c>
    </row>
    <row r="857" spans="1:14" s="1170" customFormat="1" ht="18" hidden="1" customHeight="1">
      <c r="A857" s="1156"/>
      <c r="B857" s="1169" t="s">
        <v>579</v>
      </c>
      <c r="C857" s="1157">
        <v>1</v>
      </c>
      <c r="D857" s="1171" t="s">
        <v>273</v>
      </c>
      <c r="E857" s="1165">
        <v>1</v>
      </c>
      <c r="F857" s="1166">
        <v>0.75</v>
      </c>
      <c r="G857" s="1166">
        <v>0.23</v>
      </c>
      <c r="H857" s="1166">
        <v>2</v>
      </c>
      <c r="I857" s="1172">
        <f>-ROUND(IF(AND(F857:H857),C857*E857*F857*G857*H857,IF(AND(F857,G857),C857*E857*F857*G857,IF(AND(F857,H857),C857*E857*F857*H857,IF(AND(G857,H857),C857*E857*G857*H857,IF(F857,C857*E857*F857,IF(G857,C857*E857*G857,IF(H857,C857*E857*H857,C857*E857))))))),2)</f>
        <v>-0.35</v>
      </c>
      <c r="J857" s="1168" t="s">
        <v>5</v>
      </c>
      <c r="K857" s="1169"/>
      <c r="L857" s="1159"/>
      <c r="M857" s="1169"/>
      <c r="N857" s="1161" t="s">
        <v>2318</v>
      </c>
    </row>
    <row r="858" spans="1:14" s="1170" customFormat="1" ht="18" hidden="1" customHeight="1">
      <c r="A858" s="1156"/>
      <c r="B858" s="1169" t="s">
        <v>581</v>
      </c>
      <c r="C858" s="1157">
        <v>1</v>
      </c>
      <c r="D858" s="1171" t="s">
        <v>273</v>
      </c>
      <c r="E858" s="1165">
        <v>1</v>
      </c>
      <c r="F858" s="1166">
        <v>0.6</v>
      </c>
      <c r="G858" s="1166">
        <v>0.23</v>
      </c>
      <c r="H858" s="1166">
        <v>0.3</v>
      </c>
      <c r="I858" s="1172">
        <f>-ROUND(IF(AND(F858:H858),C858*E858*F858*G858*H858,IF(AND(F858,G858),C858*E858*F858*G858,IF(AND(F858,H858),C858*E858*F858*H858,IF(AND(G858,H858),C858*E858*G858*H858,IF(F858,C858*E858*F858,IF(G858,C858*E858*G858,IF(H858,C858*E858*H858,C858*E858))))))),2)</f>
        <v>-0.04</v>
      </c>
      <c r="J858" s="1168" t="s">
        <v>5</v>
      </c>
      <c r="K858" s="1169"/>
      <c r="L858" s="1159"/>
      <c r="M858" s="1169"/>
      <c r="N858" s="1161" t="s">
        <v>2318</v>
      </c>
    </row>
    <row r="859" spans="1:14" s="1170" customFormat="1" ht="16.5" hidden="1" customHeight="1">
      <c r="A859" s="1156"/>
      <c r="B859" s="1331"/>
      <c r="C859" s="1332"/>
      <c r="D859" s="1333"/>
      <c r="E859" s="1334"/>
      <c r="F859" s="1335"/>
      <c r="G859" s="1335"/>
      <c r="H859" s="1335"/>
      <c r="I859" s="1336"/>
      <c r="J859" s="1168"/>
      <c r="K859" s="1169"/>
      <c r="L859" s="1159"/>
      <c r="M859" s="1169"/>
      <c r="N859" s="1161" t="s">
        <v>2318</v>
      </c>
    </row>
    <row r="860" spans="1:14" ht="15.75" hidden="1">
      <c r="A860" s="1156"/>
      <c r="B860" s="1169"/>
      <c r="C860" s="1337"/>
      <c r="D860" s="1171"/>
      <c r="E860" s="1165"/>
      <c r="F860" s="1166"/>
      <c r="G860" s="1343"/>
      <c r="H860" s="1156"/>
      <c r="I860" s="1336"/>
      <c r="J860" s="1168" t="s">
        <v>5</v>
      </c>
      <c r="K860" s="1221">
        <f>data!E3127</f>
        <v>6926.2300000000005</v>
      </c>
      <c r="L860" s="1159" t="s">
        <v>2318</v>
      </c>
      <c r="M860" s="1224">
        <f>ROUND(I860*K860,0)</f>
        <v>0</v>
      </c>
      <c r="N860" s="1161" t="s">
        <v>2318</v>
      </c>
    </row>
    <row r="861" spans="1:14" s="1575" customFormat="1" ht="132.75" customHeight="1">
      <c r="A861" s="1570">
        <v>17</v>
      </c>
      <c r="B861" s="1827" t="s">
        <v>3635</v>
      </c>
      <c r="C861" s="1827"/>
      <c r="D861" s="1827"/>
      <c r="E861" s="1827"/>
      <c r="F861" s="1827"/>
      <c r="G861" s="1827"/>
      <c r="H861" s="1827"/>
      <c r="I861" s="1571"/>
      <c r="J861" s="1572"/>
      <c r="K861" s="1570"/>
      <c r="L861" s="1573"/>
      <c r="M861" s="1577"/>
      <c r="N861" s="1578" t="s">
        <v>2218</v>
      </c>
    </row>
    <row r="862" spans="1:14" s="1586" customFormat="1" ht="16.5" customHeight="1">
      <c r="A862" s="1570"/>
      <c r="B862" s="1579" t="s">
        <v>3789</v>
      </c>
      <c r="C862" s="1580"/>
      <c r="D862" s="1790" t="s">
        <v>3873</v>
      </c>
      <c r="E862" s="1581"/>
      <c r="F862" s="1582"/>
      <c r="G862" s="1582"/>
      <c r="H862" s="1582"/>
      <c r="I862" s="1583"/>
      <c r="J862" s="1598"/>
      <c r="K862" s="1585"/>
      <c r="L862" s="1573"/>
      <c r="M862" s="1585"/>
      <c r="N862" s="1578" t="s">
        <v>2218</v>
      </c>
    </row>
    <row r="863" spans="1:14" s="1586" customFormat="1" ht="15.75">
      <c r="A863" s="1570"/>
      <c r="B863" s="1681" t="s">
        <v>3790</v>
      </c>
      <c r="C863" s="1571">
        <v>1</v>
      </c>
      <c r="D863" s="1587" t="s">
        <v>273</v>
      </c>
      <c r="E863" s="1588">
        <v>1</v>
      </c>
      <c r="F863" s="1589">
        <v>9.3699999999999992</v>
      </c>
      <c r="G863" s="1589">
        <v>0</v>
      </c>
      <c r="H863" s="1589">
        <v>2.1</v>
      </c>
      <c r="I863" s="1590">
        <f t="shared" ref="I863:I864" si="85">ROUND(IF(AND(F863:H863),C863*E863*F863*G863*H863,IF(AND(F863,G863),C863*E863*F863*G863,IF(AND(F863,H863),C863*E863*F863*H863,IF(AND(G863,H863),C863*E863*G863*H863,IF(F863,C863*E863*F863,IF(G863,C863*E863*G863,IF(H863,C863*E863*H863,C863*E863))))))),2)</f>
        <v>19.68</v>
      </c>
      <c r="J863" s="1598" t="s">
        <v>102</v>
      </c>
      <c r="K863" s="1585"/>
      <c r="L863" s="1573"/>
      <c r="M863" s="1585"/>
      <c r="N863" s="1578" t="s">
        <v>2218</v>
      </c>
    </row>
    <row r="864" spans="1:14" s="1586" customFormat="1" ht="25.5">
      <c r="A864" s="1570"/>
      <c r="B864" s="1681" t="s">
        <v>3791</v>
      </c>
      <c r="C864" s="1571">
        <v>1</v>
      </c>
      <c r="D864" s="1587" t="s">
        <v>273</v>
      </c>
      <c r="E864" s="1588">
        <v>2</v>
      </c>
      <c r="F864" s="1589">
        <v>4.26</v>
      </c>
      <c r="G864" s="1589">
        <v>0</v>
      </c>
      <c r="H864" s="1589">
        <v>2.1</v>
      </c>
      <c r="I864" s="1590">
        <f t="shared" si="85"/>
        <v>17.89</v>
      </c>
      <c r="J864" s="1598" t="s">
        <v>102</v>
      </c>
      <c r="K864" s="1585"/>
      <c r="L864" s="1573"/>
      <c r="M864" s="1585"/>
      <c r="N864" s="1578" t="s">
        <v>2218</v>
      </c>
    </row>
    <row r="865" spans="1:14" s="1586" customFormat="1" ht="15.75">
      <c r="A865" s="1570"/>
      <c r="B865" s="1681" t="s">
        <v>579</v>
      </c>
      <c r="C865" s="1571">
        <v>1</v>
      </c>
      <c r="D865" s="1587" t="s">
        <v>273</v>
      </c>
      <c r="E865" s="1588">
        <v>2</v>
      </c>
      <c r="F865" s="1589">
        <v>0.23</v>
      </c>
      <c r="G865" s="1589">
        <v>0</v>
      </c>
      <c r="H865" s="1589">
        <v>2.1</v>
      </c>
      <c r="I865" s="1590">
        <f>-ROUND(IF(AND(F865:H865),C865*E865*F865*G865*H865,IF(AND(F865,G865),C865*E865*F865*G865,IF(AND(F865,H865),C865*E865*F865*H865,IF(AND(G865,H865),C865*E865*G865*H865,IF(F865,C865*E865*F865,IF(G865,C865*E865*G865,IF(H865,C865*E865*H865,C865*E865))))))),2)</f>
        <v>-0.97</v>
      </c>
      <c r="J865" s="1598" t="s">
        <v>102</v>
      </c>
      <c r="K865" s="1585"/>
      <c r="L865" s="1573"/>
      <c r="M865" s="1585"/>
      <c r="N865" s="1578" t="s">
        <v>2218</v>
      </c>
    </row>
    <row r="866" spans="1:14" s="1586" customFormat="1" ht="15.75">
      <c r="A866" s="1570"/>
      <c r="B866" s="1585" t="s">
        <v>579</v>
      </c>
      <c r="C866" s="1571">
        <v>1</v>
      </c>
      <c r="D866" s="1587" t="s">
        <v>273</v>
      </c>
      <c r="E866" s="1588">
        <v>2</v>
      </c>
      <c r="F866" s="1589">
        <v>1.05</v>
      </c>
      <c r="G866" s="1589">
        <v>0</v>
      </c>
      <c r="H866" s="1589">
        <v>2.1</v>
      </c>
      <c r="I866" s="1590">
        <f t="shared" ref="I866:I867" si="86">-ROUND(IF(AND(F866:H866),C866*E866*F866*G866*H866,IF(AND(F866,G866),C866*E866*F866*G866,IF(AND(F866,H866),C866*E866*F866*H866,IF(AND(G866,H866),C866*E866*G866*H866,IF(F866,C866*E866*F866,IF(G866,C866*E866*G866,IF(H866,C866*E866*H866,C866*E866))))))),2)</f>
        <v>-4.41</v>
      </c>
      <c r="J866" s="1598" t="s">
        <v>102</v>
      </c>
      <c r="K866" s="1585"/>
      <c r="L866" s="1573"/>
      <c r="M866" s="1585"/>
      <c r="N866" s="1578" t="s">
        <v>2218</v>
      </c>
    </row>
    <row r="867" spans="1:14" s="1586" customFormat="1" ht="15.75">
      <c r="A867" s="1570"/>
      <c r="B867" s="1585" t="s">
        <v>579</v>
      </c>
      <c r="C867" s="1571">
        <v>1</v>
      </c>
      <c r="D867" s="1587" t="s">
        <v>273</v>
      </c>
      <c r="E867" s="1588">
        <v>1</v>
      </c>
      <c r="F867" s="1589">
        <v>1.2</v>
      </c>
      <c r="G867" s="1589">
        <v>0</v>
      </c>
      <c r="H867" s="1589">
        <v>2.1</v>
      </c>
      <c r="I867" s="1590">
        <f t="shared" si="86"/>
        <v>-2.52</v>
      </c>
      <c r="J867" s="1598" t="s">
        <v>102</v>
      </c>
      <c r="K867" s="1585"/>
      <c r="L867" s="1573"/>
      <c r="M867" s="1585"/>
      <c r="N867" s="1578" t="s">
        <v>2218</v>
      </c>
    </row>
    <row r="868" spans="1:14" s="1586" customFormat="1" ht="15.75">
      <c r="A868" s="1570"/>
      <c r="B868" s="1579" t="s">
        <v>3796</v>
      </c>
      <c r="C868" s="1580"/>
      <c r="D868" s="1790" t="s">
        <v>3871</v>
      </c>
      <c r="E868" s="1581"/>
      <c r="F868" s="1582"/>
      <c r="G868" s="1582"/>
      <c r="H868" s="1582"/>
      <c r="I868" s="1583"/>
      <c r="J868" s="1598"/>
      <c r="K868" s="1585"/>
      <c r="L868" s="1573"/>
      <c r="M868" s="1585"/>
      <c r="N868" s="1578" t="s">
        <v>2218</v>
      </c>
    </row>
    <row r="869" spans="1:14" s="1586" customFormat="1" ht="15.75">
      <c r="A869" s="1570"/>
      <c r="B869" s="1681" t="s">
        <v>3790</v>
      </c>
      <c r="C869" s="1571">
        <v>1</v>
      </c>
      <c r="D869" s="1587" t="s">
        <v>273</v>
      </c>
      <c r="E869" s="1588">
        <v>1</v>
      </c>
      <c r="F869" s="1589">
        <v>9.3699999999999992</v>
      </c>
      <c r="G869" s="1589">
        <v>0</v>
      </c>
      <c r="H869" s="1589">
        <v>0.6</v>
      </c>
      <c r="I869" s="1590">
        <f t="shared" ref="I869:I870" si="87">ROUND(IF(AND(F869:H869),C869*E869*F869*G869*H869,IF(AND(F869,G869),C869*E869*F869*G869,IF(AND(F869,H869),C869*E869*F869*H869,IF(AND(G869,H869),C869*E869*G869*H869,IF(F869,C869*E869*F869,IF(G869,C869*E869*G869,IF(H869,C869*E869*H869,C869*E869))))))),2)</f>
        <v>5.62</v>
      </c>
      <c r="J869" s="1598" t="s">
        <v>102</v>
      </c>
      <c r="K869" s="1585"/>
      <c r="L869" s="1573"/>
      <c r="M869" s="1585"/>
      <c r="N869" s="1578" t="s">
        <v>2218</v>
      </c>
    </row>
    <row r="870" spans="1:14" s="1586" customFormat="1" ht="25.5">
      <c r="A870" s="1570"/>
      <c r="B870" s="1681" t="s">
        <v>3791</v>
      </c>
      <c r="C870" s="1571">
        <v>1</v>
      </c>
      <c r="D870" s="1587" t="s">
        <v>273</v>
      </c>
      <c r="E870" s="1588">
        <v>2</v>
      </c>
      <c r="F870" s="1589">
        <v>4.26</v>
      </c>
      <c r="G870" s="1589">
        <v>0</v>
      </c>
      <c r="H870" s="1589">
        <v>0.6</v>
      </c>
      <c r="I870" s="1590">
        <f t="shared" si="87"/>
        <v>5.1100000000000003</v>
      </c>
      <c r="J870" s="1598" t="s">
        <v>102</v>
      </c>
      <c r="K870" s="1585"/>
      <c r="L870" s="1573"/>
      <c r="M870" s="1585"/>
      <c r="N870" s="1578" t="s">
        <v>2218</v>
      </c>
    </row>
    <row r="871" spans="1:14" s="1586" customFormat="1" ht="16.5" customHeight="1">
      <c r="A871" s="1570"/>
      <c r="B871" s="1585"/>
      <c r="C871" s="1571"/>
      <c r="D871" s="1587"/>
      <c r="E871" s="1588"/>
      <c r="F871" s="1589"/>
      <c r="G871" s="1589"/>
      <c r="H871" s="1589"/>
      <c r="I871" s="1590"/>
      <c r="J871" s="1598"/>
      <c r="K871" s="1585"/>
      <c r="L871" s="1573"/>
      <c r="M871" s="1585"/>
      <c r="N871" s="1578" t="s">
        <v>2218</v>
      </c>
    </row>
    <row r="872" spans="1:14" s="1575" customFormat="1" ht="15.75">
      <c r="A872" s="1570"/>
      <c r="B872" s="1585"/>
      <c r="C872" s="1606"/>
      <c r="D872" s="1587"/>
      <c r="E872" s="1588"/>
      <c r="F872" s="1589"/>
      <c r="G872" s="1607"/>
      <c r="H872" s="1570"/>
      <c r="I872" s="1605">
        <f>SUM(I863:I871)</f>
        <v>40.4</v>
      </c>
      <c r="J872" s="1598" t="s">
        <v>102</v>
      </c>
      <c r="K872" s="1608">
        <f>data!E411</f>
        <v>710.66</v>
      </c>
      <c r="L872" s="1573" t="s">
        <v>2218</v>
      </c>
      <c r="M872" s="1609">
        <f>ROUND(I872*K872/1,0)</f>
        <v>28711</v>
      </c>
      <c r="N872" s="1578" t="s">
        <v>2218</v>
      </c>
    </row>
    <row r="873" spans="1:14" ht="132.75" hidden="1" customHeight="1">
      <c r="A873" s="1156">
        <v>23</v>
      </c>
      <c r="B873" s="1826" t="s">
        <v>3635</v>
      </c>
      <c r="C873" s="1826"/>
      <c r="D873" s="1826"/>
      <c r="E873" s="1826"/>
      <c r="F873" s="1826"/>
      <c r="G873" s="1826"/>
      <c r="H873" s="1826"/>
      <c r="I873" s="1157"/>
      <c r="J873" s="1158"/>
      <c r="K873" s="1156"/>
      <c r="L873" s="1159"/>
      <c r="M873" s="1160"/>
      <c r="N873" s="1161" t="s">
        <v>2306</v>
      </c>
    </row>
    <row r="874" spans="1:14" s="1170" customFormat="1" ht="16.5" hidden="1" customHeight="1">
      <c r="A874" s="1156"/>
      <c r="B874" s="1163" t="s">
        <v>3671</v>
      </c>
      <c r="C874" s="1338"/>
      <c r="D874" s="1548" t="s">
        <v>3734</v>
      </c>
      <c r="E874" s="1339"/>
      <c r="F874" s="1340"/>
      <c r="G874" s="1340"/>
      <c r="H874" s="1340"/>
      <c r="I874" s="1341"/>
      <c r="J874" s="1168"/>
      <c r="K874" s="1169"/>
      <c r="L874" s="1159"/>
      <c r="M874" s="1169"/>
      <c r="N874" s="1161" t="s">
        <v>2306</v>
      </c>
    </row>
    <row r="875" spans="1:14" s="1170" customFormat="1" ht="16.5" hidden="1" customHeight="1">
      <c r="A875" s="1156"/>
      <c r="B875" s="1169" t="s">
        <v>3672</v>
      </c>
      <c r="C875" s="1157">
        <v>1</v>
      </c>
      <c r="D875" s="1171" t="s">
        <v>273</v>
      </c>
      <c r="E875" s="1165">
        <v>1</v>
      </c>
      <c r="F875" s="1166">
        <v>9.3699999999999992</v>
      </c>
      <c r="G875" s="1166">
        <v>0</v>
      </c>
      <c r="H875" s="1166">
        <v>2.1</v>
      </c>
      <c r="I875" s="1172">
        <f t="shared" ref="I875:I876" si="88">ROUND(IF(AND(F875:H875),C875*E875*F875*G875*H875,IF(AND(F875,G875),C875*E875*F875*G875,IF(AND(F875,H875),C875*E875*F875*H875,IF(AND(G875,H875),C875*E875*G875*H875,IF(F875,C875*E875*F875,IF(G875,C875*E875*G875,IF(H875,C875*E875*H875,C875*E875))))))),2)</f>
        <v>19.68</v>
      </c>
      <c r="J875" s="1168" t="s">
        <v>102</v>
      </c>
      <c r="K875" s="1169"/>
      <c r="L875" s="1159"/>
      <c r="M875" s="1169"/>
      <c r="N875" s="1161" t="s">
        <v>2306</v>
      </c>
    </row>
    <row r="876" spans="1:14" s="1170" customFormat="1" ht="16.5" hidden="1" customHeight="1">
      <c r="A876" s="1156"/>
      <c r="B876" s="1169" t="s">
        <v>3673</v>
      </c>
      <c r="C876" s="1157">
        <v>1</v>
      </c>
      <c r="D876" s="1171" t="s">
        <v>273</v>
      </c>
      <c r="E876" s="1165">
        <v>2</v>
      </c>
      <c r="F876" s="1166">
        <v>4.26</v>
      </c>
      <c r="G876" s="1166">
        <v>0</v>
      </c>
      <c r="H876" s="1166">
        <v>2.1</v>
      </c>
      <c r="I876" s="1172">
        <f t="shared" si="88"/>
        <v>17.89</v>
      </c>
      <c r="J876" s="1168" t="s">
        <v>102</v>
      </c>
      <c r="K876" s="1169"/>
      <c r="L876" s="1159"/>
      <c r="M876" s="1169"/>
      <c r="N876" s="1161" t="s">
        <v>2306</v>
      </c>
    </row>
    <row r="877" spans="1:14" s="1170" customFormat="1" ht="16.5" hidden="1" customHeight="1">
      <c r="A877" s="1156"/>
      <c r="B877" s="1169" t="s">
        <v>579</v>
      </c>
      <c r="C877" s="1157">
        <v>1</v>
      </c>
      <c r="D877" s="1171" t="s">
        <v>273</v>
      </c>
      <c r="E877" s="1165">
        <v>1</v>
      </c>
      <c r="F877" s="1166">
        <v>1.2</v>
      </c>
      <c r="G877" s="1166">
        <v>0</v>
      </c>
      <c r="H877" s="1166">
        <v>2.1</v>
      </c>
      <c r="I877" s="1172">
        <f>-ROUND(IF(AND(F877:H877),C877*E877*F877*G877*H877,IF(AND(F877,G877),C877*E877*F877*G877,IF(AND(F877,H877),C877*E877*F877*H877,IF(AND(G877,H877),C877*E877*G877*H877,IF(F877,C877*E877*F877,IF(G877,C877*E877*G877,IF(H877,C877*E877*H877,C877*E877))))))),2)</f>
        <v>-2.52</v>
      </c>
      <c r="J877" s="1168" t="s">
        <v>102</v>
      </c>
      <c r="K877" s="1169"/>
      <c r="L877" s="1159"/>
      <c r="M877" s="1169"/>
      <c r="N877" s="1161" t="s">
        <v>2306</v>
      </c>
    </row>
    <row r="878" spans="1:14" s="1170" customFormat="1" ht="16.5" hidden="1" customHeight="1">
      <c r="A878" s="1156"/>
      <c r="B878" s="1169" t="s">
        <v>579</v>
      </c>
      <c r="C878" s="1157">
        <v>1</v>
      </c>
      <c r="D878" s="1171" t="s">
        <v>273</v>
      </c>
      <c r="E878" s="1165">
        <v>2</v>
      </c>
      <c r="F878" s="1166">
        <v>1.05</v>
      </c>
      <c r="G878" s="1166">
        <v>0</v>
      </c>
      <c r="H878" s="1166">
        <v>2.1</v>
      </c>
      <c r="I878" s="1172">
        <f>-ROUND(IF(AND(F878:H878),C878*E878*F878*G878*H878,IF(AND(F878,G878),C878*E878*F878*G878,IF(AND(F878,H878),C878*E878*F878*H878,IF(AND(G878,H878),C878*E878*G878*H878,IF(F878,C878*E878*F878,IF(G878,C878*E878*G878,IF(H878,C878*E878*H878,C878*E878))))))),2)</f>
        <v>-4.41</v>
      </c>
      <c r="J878" s="1168" t="s">
        <v>102</v>
      </c>
      <c r="K878" s="1169"/>
      <c r="L878" s="1159"/>
      <c r="M878" s="1169"/>
      <c r="N878" s="1161" t="s">
        <v>2306</v>
      </c>
    </row>
    <row r="879" spans="1:14" s="1170" customFormat="1" ht="16.5" hidden="1" customHeight="1">
      <c r="A879" s="1156"/>
      <c r="B879" s="1169" t="s">
        <v>3680</v>
      </c>
      <c r="C879" s="1338"/>
      <c r="D879" s="1548" t="s">
        <v>3738</v>
      </c>
      <c r="E879" s="1339"/>
      <c r="F879" s="1340"/>
      <c r="G879" s="1340"/>
      <c r="H879" s="1340"/>
      <c r="I879" s="1341"/>
      <c r="J879" s="1168"/>
      <c r="K879" s="1169"/>
      <c r="L879" s="1159"/>
      <c r="M879" s="1169"/>
      <c r="N879" s="1161" t="s">
        <v>2306</v>
      </c>
    </row>
    <row r="880" spans="1:14" s="1170" customFormat="1" ht="16.5" hidden="1" customHeight="1">
      <c r="A880" s="1156"/>
      <c r="B880" s="1169"/>
      <c r="C880" s="1157">
        <v>1</v>
      </c>
      <c r="D880" s="1171" t="s">
        <v>273</v>
      </c>
      <c r="E880" s="1165">
        <v>1</v>
      </c>
      <c r="F880" s="1166">
        <v>9.3699999999999992</v>
      </c>
      <c r="G880" s="1166">
        <v>0</v>
      </c>
      <c r="H880" s="1166">
        <v>0.75</v>
      </c>
      <c r="I880" s="1172">
        <f t="shared" ref="I880" si="89">ROUND(IF(AND(F880:H880),C880*E880*F880*G880*H880,IF(AND(F880,G880),C880*E880*F880*G880,IF(AND(F880,H880),C880*E880*F880*H880,IF(AND(G880,H880),C880*E880*G880*H880,IF(F880,C880*E880*F880,IF(G880,C880*E880*G880,IF(H880,C880*E880*H880,C880*E880))))))),2)</f>
        <v>7.03</v>
      </c>
      <c r="J880" s="1168" t="s">
        <v>102</v>
      </c>
      <c r="K880" s="1169"/>
      <c r="L880" s="1159"/>
      <c r="M880" s="1169"/>
      <c r="N880" s="1161" t="s">
        <v>2306</v>
      </c>
    </row>
    <row r="881" spans="1:14" s="1170" customFormat="1" ht="16.5" hidden="1" customHeight="1">
      <c r="A881" s="1156"/>
      <c r="B881" s="1169" t="s">
        <v>3681</v>
      </c>
      <c r="C881" s="1157">
        <v>1</v>
      </c>
      <c r="D881" s="1171" t="s">
        <v>273</v>
      </c>
      <c r="E881" s="1165">
        <v>1</v>
      </c>
      <c r="F881" s="1166">
        <v>3.05</v>
      </c>
      <c r="G881" s="1166">
        <v>0</v>
      </c>
      <c r="H881" s="1166">
        <v>0.15</v>
      </c>
      <c r="I881" s="1172">
        <f>-ROUND(IF(AND(F881:H881),C881*E881*F881*G881*H881,IF(AND(F881,G881),C881*E881*F881*G881,IF(AND(F881,H881),C881*E881*F881*H881,IF(AND(G881,H881),C881*E881*G881*H881,IF(F881,C881*E881*F881,IF(G881,C881*E881*G881,IF(H881,C881*E881*H881,C881*E881))))))),2)</f>
        <v>-0.46</v>
      </c>
      <c r="J881" s="1168" t="s">
        <v>102</v>
      </c>
      <c r="K881" s="1169"/>
      <c r="L881" s="1159"/>
      <c r="M881" s="1169"/>
      <c r="N881" s="1161" t="s">
        <v>2306</v>
      </c>
    </row>
    <row r="882" spans="1:14" s="1170" customFormat="1" ht="16.5" hidden="1" customHeight="1">
      <c r="A882" s="1156"/>
      <c r="B882" s="1169"/>
      <c r="C882" s="1157">
        <v>1</v>
      </c>
      <c r="D882" s="1171" t="s">
        <v>273</v>
      </c>
      <c r="E882" s="1165">
        <v>2</v>
      </c>
      <c r="F882" s="1166">
        <v>4.26</v>
      </c>
      <c r="G882" s="1166">
        <v>0</v>
      </c>
      <c r="H882" s="1166">
        <v>0.6</v>
      </c>
      <c r="I882" s="1172">
        <f t="shared" ref="I882" si="90">ROUND(IF(AND(F882:H882),C882*E882*F882*G882*H882,IF(AND(F882,G882),C882*E882*F882*G882,IF(AND(F882,H882),C882*E882*F882*H882,IF(AND(G882,H882),C882*E882*G882*H882,IF(F882,C882*E882*F882,IF(G882,C882*E882*G882,IF(H882,C882*E882*H882,C882*E882))))))),2)</f>
        <v>5.1100000000000003</v>
      </c>
      <c r="J882" s="1168" t="s">
        <v>102</v>
      </c>
      <c r="K882" s="1169"/>
      <c r="L882" s="1159"/>
      <c r="M882" s="1169"/>
      <c r="N882" s="1161" t="s">
        <v>2306</v>
      </c>
    </row>
    <row r="883" spans="1:14" s="1170" customFormat="1" ht="16.5" hidden="1" customHeight="1">
      <c r="A883" s="1156"/>
      <c r="B883" s="1169" t="s">
        <v>3681</v>
      </c>
      <c r="C883" s="1157">
        <v>1</v>
      </c>
      <c r="D883" s="1171" t="s">
        <v>273</v>
      </c>
      <c r="E883" s="1165">
        <v>2</v>
      </c>
      <c r="F883" s="1166">
        <v>0.23</v>
      </c>
      <c r="G883" s="1166">
        <v>0</v>
      </c>
      <c r="H883" s="1166">
        <v>0.75</v>
      </c>
      <c r="I883" s="1172">
        <f>-ROUND(IF(AND(F883:H883),C883*E883*F883*G883*H883,IF(AND(F883,G883),C883*E883*F883*G883,IF(AND(F883,H883),C883*E883*F883*H883,IF(AND(G883,H883),C883*E883*G883*H883,IF(F883,C883*E883*F883,IF(G883,C883*E883*G883,IF(H883,C883*E883*H883,C883*E883))))))),2)</f>
        <v>-0.35</v>
      </c>
      <c r="J883" s="1168" t="s">
        <v>102</v>
      </c>
      <c r="K883" s="1169"/>
      <c r="L883" s="1159"/>
      <c r="M883" s="1169"/>
      <c r="N883" s="1161" t="s">
        <v>2306</v>
      </c>
    </row>
    <row r="884" spans="1:14" s="1170" customFormat="1" ht="15.75" hidden="1">
      <c r="A884" s="1156"/>
      <c r="B884" s="1169"/>
      <c r="C884" s="1157"/>
      <c r="D884" s="1171"/>
      <c r="E884" s="1165"/>
      <c r="F884" s="1166"/>
      <c r="G884" s="1166"/>
      <c r="H884" s="1166"/>
      <c r="I884" s="1172"/>
      <c r="J884" s="1168"/>
      <c r="K884" s="1169"/>
      <c r="L884" s="1159"/>
      <c r="M884" s="1169"/>
      <c r="N884" s="1161" t="s">
        <v>2306</v>
      </c>
    </row>
    <row r="885" spans="1:14" ht="15.75" hidden="1">
      <c r="A885" s="1156"/>
      <c r="B885" s="1169"/>
      <c r="C885" s="1337"/>
      <c r="D885" s="1171"/>
      <c r="E885" s="1165"/>
      <c r="F885" s="1166"/>
      <c r="G885" s="1343"/>
      <c r="H885" s="1156"/>
      <c r="I885" s="1336"/>
      <c r="J885" s="1168" t="s">
        <v>102</v>
      </c>
      <c r="K885" s="1221">
        <f>data!E1328</f>
        <v>732.88</v>
      </c>
      <c r="L885" s="1159" t="s">
        <v>2306</v>
      </c>
      <c r="M885" s="1224">
        <f>ROUND(I885*K885/1,0)</f>
        <v>0</v>
      </c>
      <c r="N885" s="1161" t="s">
        <v>2306</v>
      </c>
    </row>
    <row r="886" spans="1:14" ht="132.75" hidden="1" customHeight="1">
      <c r="A886" s="1156">
        <v>19</v>
      </c>
      <c r="B886" s="1826" t="s">
        <v>3635</v>
      </c>
      <c r="C886" s="1826"/>
      <c r="D886" s="1826"/>
      <c r="E886" s="1826"/>
      <c r="F886" s="1826"/>
      <c r="G886" s="1826"/>
      <c r="H886" s="1826"/>
      <c r="I886" s="1157"/>
      <c r="J886" s="1158"/>
      <c r="K886" s="1156"/>
      <c r="L886" s="1159"/>
      <c r="M886" s="1160"/>
      <c r="N886" s="1161" t="s">
        <v>2317</v>
      </c>
    </row>
    <row r="887" spans="1:14" s="1170" customFormat="1" ht="16.5" hidden="1" customHeight="1">
      <c r="A887" s="1156"/>
      <c r="B887" s="1169" t="s">
        <v>3492</v>
      </c>
      <c r="C887" s="1157"/>
      <c r="D887" s="1171"/>
      <c r="E887" s="1165"/>
      <c r="F887" s="1166"/>
      <c r="G887" s="1166"/>
      <c r="H887" s="1166"/>
      <c r="I887" s="1167"/>
      <c r="J887" s="1168"/>
      <c r="K887" s="1169"/>
      <c r="L887" s="1159"/>
      <c r="M887" s="1169"/>
      <c r="N887" s="1161" t="s">
        <v>2317</v>
      </c>
    </row>
    <row r="888" spans="1:14" s="1170" customFormat="1" ht="16.5" hidden="1" customHeight="1">
      <c r="A888" s="1156"/>
      <c r="B888" s="1169" t="s">
        <v>2136</v>
      </c>
      <c r="C888" s="1157">
        <v>1</v>
      </c>
      <c r="D888" s="1171" t="s">
        <v>273</v>
      </c>
      <c r="E888" s="1165">
        <v>1</v>
      </c>
      <c r="F888" s="1166">
        <v>4.72</v>
      </c>
      <c r="G888" s="1166">
        <v>0</v>
      </c>
      <c r="H888" s="1166">
        <v>0.6</v>
      </c>
      <c r="I888" s="1172">
        <f>ROUND(IF(AND(F888:H888),C888*E888*F888*G888*H888,IF(AND(F888,G888),C888*E888*F888*G888,IF(AND(F888,H888),C888*E888*F888*H888,IF(AND(G888,H888),C888*E888*G888*H888,IF(F888,C888*E888*F888,IF(G888,C888*E888*G888,IF(H888,C888*E888*H888,C888*E888))))))),2)</f>
        <v>2.83</v>
      </c>
      <c r="J888" s="1168" t="s">
        <v>102</v>
      </c>
      <c r="K888" s="1169"/>
      <c r="L888" s="1159"/>
      <c r="M888" s="1169"/>
      <c r="N888" s="1161" t="s">
        <v>2317</v>
      </c>
    </row>
    <row r="889" spans="1:14" s="1170" customFormat="1" ht="16.5" hidden="1" customHeight="1">
      <c r="A889" s="1156"/>
      <c r="B889" s="1169" t="s">
        <v>1533</v>
      </c>
      <c r="C889" s="1157">
        <v>1</v>
      </c>
      <c r="D889" s="1171" t="s">
        <v>273</v>
      </c>
      <c r="E889" s="1165">
        <v>1</v>
      </c>
      <c r="F889" s="1166">
        <v>2.85</v>
      </c>
      <c r="G889" s="1166">
        <v>0</v>
      </c>
      <c r="H889" s="1166">
        <v>0.62</v>
      </c>
      <c r="I889" s="1172">
        <f>ROUND(IF(AND(F889:H889),C889*E889*F889*G889*H889,IF(AND(F889,G889),C889*E889*F889*G889,IF(AND(F889,H889),C889*E889*F889*H889,IF(AND(G889,H889),C889*E889*G889*H889,IF(F889,C889*E889*F889,IF(G889,C889*E889*G889,IF(H889,C889*E889*H889,C889*E889))))))),2)</f>
        <v>1.77</v>
      </c>
      <c r="J889" s="1168" t="s">
        <v>102</v>
      </c>
      <c r="K889" s="1169"/>
      <c r="L889" s="1159"/>
      <c r="M889" s="1169"/>
      <c r="N889" s="1161" t="s">
        <v>2317</v>
      </c>
    </row>
    <row r="890" spans="1:14" s="1170" customFormat="1" ht="16.5" hidden="1" customHeight="1">
      <c r="A890" s="1156"/>
      <c r="B890" s="1169" t="s">
        <v>581</v>
      </c>
      <c r="C890" s="1157">
        <v>1</v>
      </c>
      <c r="D890" s="1171" t="s">
        <v>273</v>
      </c>
      <c r="E890" s="1165">
        <v>2</v>
      </c>
      <c r="F890" s="1166">
        <v>0.6</v>
      </c>
      <c r="G890" s="1166">
        <v>0</v>
      </c>
      <c r="H890" s="1166">
        <v>0.3</v>
      </c>
      <c r="I890" s="1172">
        <f>-ROUND(IF(AND(F890:H890),C890*E890*F890*G890*H890,IF(AND(F890,G890),C890*E890*F890*G890,IF(AND(F890,H890),C890*E890*F890*H890,IF(AND(G890,H890),C890*E890*G890*H890,IF(F890,C890*E890*F890,IF(G890,C890*E890*G890,IF(H890,C890*E890*H890,C890*E890))))))),2)</f>
        <v>-0.36</v>
      </c>
      <c r="J890" s="1168" t="s">
        <v>102</v>
      </c>
      <c r="K890" s="1169"/>
      <c r="L890" s="1159"/>
      <c r="M890" s="1169"/>
      <c r="N890" s="1161" t="s">
        <v>2317</v>
      </c>
    </row>
    <row r="891" spans="1:14" s="1170" customFormat="1" ht="16.5" hidden="1" customHeight="1">
      <c r="A891" s="1156"/>
      <c r="B891" s="1169"/>
      <c r="C891" s="1157"/>
      <c r="D891" s="1171"/>
      <c r="E891" s="1165"/>
      <c r="F891" s="1166"/>
      <c r="G891" s="1166"/>
      <c r="H891" s="1166"/>
      <c r="I891" s="1172"/>
      <c r="J891" s="1168"/>
      <c r="K891" s="1169"/>
      <c r="L891" s="1159"/>
      <c r="M891" s="1169"/>
      <c r="N891" s="1161" t="s">
        <v>2317</v>
      </c>
    </row>
    <row r="892" spans="1:14" ht="15.75" hidden="1">
      <c r="A892" s="1156"/>
      <c r="B892" s="1169"/>
      <c r="C892" s="1337"/>
      <c r="D892" s="1171"/>
      <c r="E892" s="1165"/>
      <c r="F892" s="1166"/>
      <c r="G892" s="1343"/>
      <c r="H892" s="1156"/>
      <c r="I892" s="1336"/>
      <c r="J892" s="1168" t="s">
        <v>102</v>
      </c>
      <c r="K892" s="1221">
        <f>data!E2245</f>
        <v>782.58</v>
      </c>
      <c r="L892" s="1159" t="s">
        <v>2317</v>
      </c>
      <c r="M892" s="1224">
        <f>ROUND(I892*K892/1,0)</f>
        <v>0</v>
      </c>
      <c r="N892" s="1161" t="s">
        <v>2317</v>
      </c>
    </row>
    <row r="893" spans="1:14" ht="132.75" hidden="1" customHeight="1">
      <c r="A893" s="1156">
        <v>16</v>
      </c>
      <c r="B893" s="1826" t="s">
        <v>3635</v>
      </c>
      <c r="C893" s="1826"/>
      <c r="D893" s="1828"/>
      <c r="E893" s="1826"/>
      <c r="F893" s="1826"/>
      <c r="G893" s="1826"/>
      <c r="H893" s="1826"/>
      <c r="I893" s="1157"/>
      <c r="J893" s="1158"/>
      <c r="K893" s="1156"/>
      <c r="L893" s="1159"/>
      <c r="M893" s="1160"/>
      <c r="N893" s="1161" t="s">
        <v>2318</v>
      </c>
    </row>
    <row r="894" spans="1:14" s="1170" customFormat="1" ht="16.5" hidden="1" customHeight="1">
      <c r="A894" s="1156"/>
      <c r="B894" s="1169" t="s">
        <v>3395</v>
      </c>
      <c r="C894" s="1157"/>
      <c r="D894" s="1419"/>
      <c r="E894" s="1165"/>
      <c r="F894" s="1166"/>
      <c r="G894" s="1166"/>
      <c r="H894" s="1166"/>
      <c r="I894" s="1167"/>
      <c r="J894" s="1168"/>
      <c r="K894" s="1169"/>
      <c r="L894" s="1159"/>
      <c r="M894" s="1169"/>
      <c r="N894" s="1161" t="s">
        <v>2318</v>
      </c>
    </row>
    <row r="895" spans="1:14" s="1170" customFormat="1" ht="16.5" hidden="1" customHeight="1">
      <c r="A895" s="1156"/>
      <c r="B895" s="1169" t="s">
        <v>1217</v>
      </c>
      <c r="C895" s="1157">
        <v>1</v>
      </c>
      <c r="D895" s="1171" t="s">
        <v>273</v>
      </c>
      <c r="E895" s="1165">
        <v>1</v>
      </c>
      <c r="F895" s="1166">
        <v>9.33</v>
      </c>
      <c r="G895" s="1166">
        <v>0</v>
      </c>
      <c r="H895" s="1166">
        <v>2.1</v>
      </c>
      <c r="I895" s="1172">
        <f t="shared" ref="I895" si="91">ROUND(IF(AND(F895:H895),C895*E895*F895*G895*H895,IF(AND(F895,G895),C895*E895*F895*G895,IF(AND(F895,H895),C895*E895*F895*H895,IF(AND(G895,H895),C895*E895*G895*H895,IF(F895,C895*E895*F895,IF(G895,C895*E895*G895,IF(H895,C895*E895*H895,C895*E895))))))),2)</f>
        <v>19.59</v>
      </c>
      <c r="J895" s="1168" t="s">
        <v>102</v>
      </c>
      <c r="K895" s="1169"/>
      <c r="L895" s="1159"/>
      <c r="M895" s="1169"/>
      <c r="N895" s="1161" t="s">
        <v>2318</v>
      </c>
    </row>
    <row r="896" spans="1:14" s="1170" customFormat="1" ht="16.5" hidden="1" customHeight="1">
      <c r="A896" s="1156"/>
      <c r="B896" s="1169" t="s">
        <v>579</v>
      </c>
      <c r="C896" s="1157">
        <v>1</v>
      </c>
      <c r="D896" s="1171" t="s">
        <v>273</v>
      </c>
      <c r="E896" s="1165">
        <v>1</v>
      </c>
      <c r="F896" s="1166">
        <v>1.2</v>
      </c>
      <c r="G896" s="1166">
        <v>0</v>
      </c>
      <c r="H896" s="1166">
        <v>2.1</v>
      </c>
      <c r="I896" s="1172">
        <f>-ROUND(IF(AND(F896:H896),C896*E896*F896*G896*H896,IF(AND(F896,G896),C896*E896*F896*G896,IF(AND(F896,H896),C896*E896*F896*H896,IF(AND(G896,H896),C896*E896*G896*H896,IF(F896,C896*E896*F896,IF(G896,C896*E896*G896,IF(H896,C896*E896*H896,C896*E896))))))),2)</f>
        <v>-2.52</v>
      </c>
      <c r="J896" s="1168" t="s">
        <v>102</v>
      </c>
      <c r="K896" s="1169"/>
      <c r="L896" s="1159"/>
      <c r="M896" s="1169"/>
      <c r="N896" s="1161" t="s">
        <v>2318</v>
      </c>
    </row>
    <row r="897" spans="1:14" s="1170" customFormat="1" ht="16.5" hidden="1" customHeight="1">
      <c r="A897" s="1156"/>
      <c r="B897" s="1169" t="s">
        <v>281</v>
      </c>
      <c r="C897" s="1157">
        <v>1</v>
      </c>
      <c r="D897" s="1171" t="s">
        <v>273</v>
      </c>
      <c r="E897" s="1165">
        <v>2</v>
      </c>
      <c r="F897" s="1166">
        <v>0.23</v>
      </c>
      <c r="G897" s="1166">
        <v>0</v>
      </c>
      <c r="H897" s="1166">
        <v>2.1</v>
      </c>
      <c r="I897" s="1172">
        <f t="shared" ref="I897" si="92">-ROUND(IF(AND(F897:H897),C897*E897*F897*G897*H897,IF(AND(F897,G897),C897*E897*F897*G897,IF(AND(F897,H897),C897*E897*F897*H897,IF(AND(G897,H897),C897*E897*G897*H897,IF(F897,C897*E897*F897,IF(G897,C897*E897*G897,IF(H897,C897*E897*H897,C897*E897))))))),2)</f>
        <v>-0.97</v>
      </c>
      <c r="J897" s="1168" t="s">
        <v>102</v>
      </c>
      <c r="K897" s="1169"/>
      <c r="L897" s="1159"/>
      <c r="M897" s="1169"/>
      <c r="N897" s="1161" t="s">
        <v>2318</v>
      </c>
    </row>
    <row r="898" spans="1:14" s="1170" customFormat="1" ht="16.5" hidden="1" customHeight="1">
      <c r="A898" s="1156"/>
      <c r="B898" s="1169" t="s">
        <v>3352</v>
      </c>
      <c r="C898" s="1157">
        <v>1</v>
      </c>
      <c r="D898" s="1171" t="s">
        <v>273</v>
      </c>
      <c r="E898" s="1165">
        <v>2</v>
      </c>
      <c r="F898" s="1166">
        <v>3.83</v>
      </c>
      <c r="G898" s="1166">
        <v>0</v>
      </c>
      <c r="H898" s="1166">
        <v>2.1</v>
      </c>
      <c r="I898" s="1172">
        <f t="shared" ref="I898" si="93">ROUND(IF(AND(F898:H898),C898*E898*F898*G898*H898,IF(AND(F898,G898),C898*E898*F898*G898,IF(AND(F898,H898),C898*E898*F898*H898,IF(AND(G898,H898),C898*E898*G898*H898,IF(F898,C898*E898*F898,IF(G898,C898*E898*G898,IF(H898,C898*E898*H898,C898*E898))))))),2)</f>
        <v>16.09</v>
      </c>
      <c r="J898" s="1168" t="s">
        <v>102</v>
      </c>
      <c r="K898" s="1169"/>
      <c r="L898" s="1159"/>
      <c r="M898" s="1169"/>
      <c r="N898" s="1161" t="s">
        <v>2318</v>
      </c>
    </row>
    <row r="899" spans="1:14" s="1170" customFormat="1" ht="16.5" hidden="1" customHeight="1">
      <c r="A899" s="1156"/>
      <c r="B899" s="1169" t="s">
        <v>579</v>
      </c>
      <c r="C899" s="1157">
        <v>1</v>
      </c>
      <c r="D899" s="1171" t="s">
        <v>273</v>
      </c>
      <c r="E899" s="1165">
        <v>2</v>
      </c>
      <c r="F899" s="1166">
        <v>1.05</v>
      </c>
      <c r="G899" s="1166">
        <v>0</v>
      </c>
      <c r="H899" s="1166">
        <v>2.1</v>
      </c>
      <c r="I899" s="1172">
        <f t="shared" ref="I899" si="94">-ROUND(IF(AND(F899:H899),C899*E899*F899*G899*H899,IF(AND(F899,G899),C899*E899*F899*G899,IF(AND(F899,H899),C899*E899*F899*H899,IF(AND(G899,H899),C899*E899*G899*H899,IF(F899,C899*E899*F899,IF(G899,C899*E899*G899,IF(H899,C899*E899*H899,C899*E899))))))),2)</f>
        <v>-4.41</v>
      </c>
      <c r="J899" s="1168" t="s">
        <v>102</v>
      </c>
      <c r="K899" s="1169"/>
      <c r="L899" s="1159"/>
      <c r="M899" s="1169"/>
      <c r="N899" s="1161" t="s">
        <v>2318</v>
      </c>
    </row>
    <row r="900" spans="1:14" s="1170" customFormat="1" ht="16.5" hidden="1" customHeight="1">
      <c r="A900" s="1156"/>
      <c r="B900" s="1169" t="s">
        <v>3395</v>
      </c>
      <c r="C900" s="1157"/>
      <c r="D900" s="1419"/>
      <c r="E900" s="1165"/>
      <c r="F900" s="1166"/>
      <c r="G900" s="1166"/>
      <c r="H900" s="1166"/>
      <c r="I900" s="1167"/>
      <c r="J900" s="1168"/>
      <c r="K900" s="1169"/>
      <c r="L900" s="1159"/>
      <c r="M900" s="1169"/>
      <c r="N900" s="1161" t="s">
        <v>2318</v>
      </c>
    </row>
    <row r="901" spans="1:14" s="1170" customFormat="1" ht="16.5" hidden="1" customHeight="1">
      <c r="A901" s="1156"/>
      <c r="B901" s="1169" t="s">
        <v>1217</v>
      </c>
      <c r="C901" s="1157">
        <v>1</v>
      </c>
      <c r="D901" s="1171" t="s">
        <v>273</v>
      </c>
      <c r="E901" s="1165">
        <v>1</v>
      </c>
      <c r="F901" s="1166">
        <v>9.33</v>
      </c>
      <c r="G901" s="1166">
        <v>0</v>
      </c>
      <c r="H901" s="1166">
        <v>0.52500000000000002</v>
      </c>
      <c r="I901" s="1172">
        <f t="shared" ref="I901" si="95">ROUND(IF(AND(F901:H901),C901*E901*F901*G901*H901,IF(AND(F901,G901),C901*E901*F901*G901,IF(AND(F901,H901),C901*E901*F901*H901,IF(AND(G901,H901),C901*E901*G901*H901,IF(F901,C901*E901*F901,IF(G901,C901*E901*G901,IF(H901,C901*E901*H901,C901*E901))))))),2)</f>
        <v>4.9000000000000004</v>
      </c>
      <c r="J901" s="1168" t="s">
        <v>102</v>
      </c>
      <c r="K901" s="1169"/>
      <c r="L901" s="1159"/>
      <c r="M901" s="1169"/>
      <c r="N901" s="1161" t="s">
        <v>2318</v>
      </c>
    </row>
    <row r="902" spans="1:14" s="1170" customFormat="1" ht="16.5" hidden="1" customHeight="1">
      <c r="A902" s="1156"/>
      <c r="B902" s="1169" t="s">
        <v>281</v>
      </c>
      <c r="C902" s="1157">
        <v>1</v>
      </c>
      <c r="D902" s="1171" t="s">
        <v>273</v>
      </c>
      <c r="E902" s="1165">
        <v>2</v>
      </c>
      <c r="F902" s="1166">
        <v>0.23</v>
      </c>
      <c r="G902" s="1166">
        <v>0</v>
      </c>
      <c r="H902" s="1166">
        <v>0.52500000000000002</v>
      </c>
      <c r="I902" s="1172">
        <f t="shared" ref="I902" si="96">-ROUND(IF(AND(F902:H902),C902*E902*F902*G902*H902,IF(AND(F902,G902),C902*E902*F902*G902,IF(AND(F902,H902),C902*E902*F902*H902,IF(AND(G902,H902),C902*E902*G902*H902,IF(F902,C902*E902*F902,IF(G902,C902*E902*G902,IF(H902,C902*E902*H902,C902*E902))))))),2)</f>
        <v>-0.24</v>
      </c>
      <c r="J902" s="1168" t="s">
        <v>102</v>
      </c>
      <c r="K902" s="1169"/>
      <c r="L902" s="1159"/>
      <c r="M902" s="1169"/>
      <c r="N902" s="1161" t="s">
        <v>2318</v>
      </c>
    </row>
    <row r="903" spans="1:14" s="1170" customFormat="1" ht="16.5" hidden="1" customHeight="1">
      <c r="A903" s="1156"/>
      <c r="B903" s="1169" t="s">
        <v>3352</v>
      </c>
      <c r="C903" s="1157">
        <v>1</v>
      </c>
      <c r="D903" s="1171" t="s">
        <v>273</v>
      </c>
      <c r="E903" s="1165">
        <v>2</v>
      </c>
      <c r="F903" s="1166">
        <v>3.83</v>
      </c>
      <c r="G903" s="1166">
        <v>0</v>
      </c>
      <c r="H903" s="1166">
        <v>0.52500000000000002</v>
      </c>
      <c r="I903" s="1172">
        <f t="shared" ref="I903:I906" si="97">ROUND(IF(AND(F903:H903),C903*E903*F903*G903*H903,IF(AND(F903,G903),C903*E903*F903*G903,IF(AND(F903,H903),C903*E903*F903*H903,IF(AND(G903,H903),C903*E903*G903*H903,IF(F903,C903*E903*F903,IF(G903,C903*E903*G903,IF(H903,C903*E903*H903,C903*E903))))))),2)</f>
        <v>4.0199999999999996</v>
      </c>
      <c r="J903" s="1168" t="s">
        <v>102</v>
      </c>
      <c r="K903" s="1169"/>
      <c r="L903" s="1159"/>
      <c r="M903" s="1169"/>
      <c r="N903" s="1161" t="s">
        <v>2318</v>
      </c>
    </row>
    <row r="904" spans="1:14" s="1170" customFormat="1" ht="16.5" hidden="1" customHeight="1">
      <c r="A904" s="1156"/>
      <c r="B904" s="1169" t="s">
        <v>2207</v>
      </c>
      <c r="C904" s="1157">
        <v>1</v>
      </c>
      <c r="D904" s="1171" t="s">
        <v>273</v>
      </c>
      <c r="E904" s="1165">
        <v>1</v>
      </c>
      <c r="F904" s="1166">
        <v>44.1</v>
      </c>
      <c r="G904" s="1166">
        <v>0</v>
      </c>
      <c r="H904" s="1166">
        <v>0.9</v>
      </c>
      <c r="I904" s="1172">
        <f t="shared" si="97"/>
        <v>39.69</v>
      </c>
      <c r="J904" s="1168" t="s">
        <v>102</v>
      </c>
      <c r="K904" s="1169"/>
      <c r="L904" s="1159"/>
      <c r="M904" s="1169"/>
      <c r="N904" s="1161" t="s">
        <v>2318</v>
      </c>
    </row>
    <row r="905" spans="1:14" s="1170" customFormat="1" ht="16.5" hidden="1" customHeight="1">
      <c r="A905" s="1156"/>
      <c r="B905" s="1169" t="s">
        <v>3432</v>
      </c>
      <c r="C905" s="1157">
        <v>1</v>
      </c>
      <c r="D905" s="1171" t="s">
        <v>273</v>
      </c>
      <c r="E905" s="1165">
        <v>2</v>
      </c>
      <c r="F905" s="1166">
        <v>0.9</v>
      </c>
      <c r="G905" s="1166">
        <v>0</v>
      </c>
      <c r="H905" s="1166">
        <v>0.9</v>
      </c>
      <c r="I905" s="1172">
        <f t="shared" si="97"/>
        <v>1.62</v>
      </c>
      <c r="J905" s="1168" t="s">
        <v>102</v>
      </c>
      <c r="K905" s="1169"/>
      <c r="L905" s="1159"/>
      <c r="M905" s="1169"/>
      <c r="N905" s="1161" t="s">
        <v>2318</v>
      </c>
    </row>
    <row r="906" spans="1:14" s="1170" customFormat="1" ht="16.5" hidden="1" customHeight="1">
      <c r="A906" s="1156"/>
      <c r="B906" s="1169"/>
      <c r="C906" s="1157">
        <v>1</v>
      </c>
      <c r="D906" s="1171" t="s">
        <v>273</v>
      </c>
      <c r="E906" s="1165">
        <v>1</v>
      </c>
      <c r="F906" s="1166">
        <v>1.5</v>
      </c>
      <c r="G906" s="1166">
        <v>0</v>
      </c>
      <c r="H906" s="1166">
        <v>0.9</v>
      </c>
      <c r="I906" s="1172">
        <f t="shared" si="97"/>
        <v>1.35</v>
      </c>
      <c r="J906" s="1168" t="s">
        <v>102</v>
      </c>
      <c r="K906" s="1169"/>
      <c r="L906" s="1159"/>
      <c r="M906" s="1169"/>
      <c r="N906" s="1161" t="s">
        <v>2318</v>
      </c>
    </row>
    <row r="907" spans="1:14" s="1170" customFormat="1" ht="16.5" hidden="1" customHeight="1">
      <c r="A907" s="1156"/>
      <c r="B907" s="1169"/>
      <c r="C907" s="1157"/>
      <c r="D907" s="1171"/>
      <c r="E907" s="1165"/>
      <c r="F907" s="1166"/>
      <c r="G907" s="1166"/>
      <c r="H907" s="1166"/>
      <c r="I907" s="1172"/>
      <c r="J907" s="1168"/>
      <c r="K907" s="1169"/>
      <c r="L907" s="1159"/>
      <c r="M907" s="1169"/>
      <c r="N907" s="1161" t="s">
        <v>2318</v>
      </c>
    </row>
    <row r="908" spans="1:14" ht="15.75" hidden="1">
      <c r="A908" s="1156"/>
      <c r="B908" s="1169"/>
      <c r="C908" s="1337"/>
      <c r="D908" s="1171"/>
      <c r="E908" s="1165"/>
      <c r="F908" s="1166"/>
      <c r="G908" s="1343"/>
      <c r="H908" s="1156"/>
      <c r="I908" s="1336"/>
      <c r="J908" s="1168" t="s">
        <v>102</v>
      </c>
      <c r="K908" s="1221">
        <f>data!E3162</f>
        <v>865.32</v>
      </c>
      <c r="L908" s="1159" t="s">
        <v>2318</v>
      </c>
      <c r="M908" s="1224">
        <f>ROUND(I908*K908/1,0)</f>
        <v>0</v>
      </c>
      <c r="N908" s="1161" t="s">
        <v>2318</v>
      </c>
    </row>
    <row r="909" spans="1:14" ht="79.5" hidden="1" customHeight="1">
      <c r="A909" s="1156">
        <v>18</v>
      </c>
      <c r="B909" s="1826" t="s">
        <v>1201</v>
      </c>
      <c r="C909" s="1826"/>
      <c r="D909" s="1826"/>
      <c r="E909" s="1826"/>
      <c r="F909" s="1826"/>
      <c r="G909" s="1826"/>
      <c r="H909" s="1826"/>
      <c r="I909" s="1157"/>
      <c r="J909" s="1158"/>
      <c r="K909" s="1156"/>
      <c r="L909" s="1159"/>
      <c r="M909" s="1160"/>
      <c r="N909" s="1161" t="s">
        <v>2218</v>
      </c>
    </row>
    <row r="910" spans="1:14" s="1170" customFormat="1" ht="16.5" hidden="1" customHeight="1">
      <c r="A910" s="1156"/>
      <c r="B910" s="1169" t="s">
        <v>3493</v>
      </c>
      <c r="C910" s="1157"/>
      <c r="D910" s="1171"/>
      <c r="E910" s="1165"/>
      <c r="F910" s="1166"/>
      <c r="G910" s="1166"/>
      <c r="H910" s="1166"/>
      <c r="I910" s="1167"/>
      <c r="J910" s="1168"/>
      <c r="K910" s="1169"/>
      <c r="L910" s="1159"/>
      <c r="M910" s="1169"/>
      <c r="N910" s="1161" t="s">
        <v>2218</v>
      </c>
    </row>
    <row r="911" spans="1:14" s="1170" customFormat="1" ht="16.5" hidden="1" customHeight="1">
      <c r="A911" s="1156"/>
      <c r="B911" s="1169"/>
      <c r="C911" s="1157">
        <v>1</v>
      </c>
      <c r="D911" s="1171" t="s">
        <v>273</v>
      </c>
      <c r="E911" s="1165">
        <v>1</v>
      </c>
      <c r="F911" s="1166">
        <v>1.02</v>
      </c>
      <c r="G911" s="1166">
        <v>0.115</v>
      </c>
      <c r="H911" s="1166">
        <v>0.83</v>
      </c>
      <c r="I911" s="1172">
        <f>ROUND(IF(AND(F911:H911),C911*E911*F911*G911*H911,IF(AND(F911,G911),C911*E911*F911*G911,IF(AND(F911,H911),C911*E911*F911*H911,IF(AND(G911,H911),C911*E911*G911*H911,IF(F911,C911*E911*F911,IF(G911,C911*E911*G911,IF(H911,C911*E911*H911,C911*E911))))))),2)</f>
        <v>0.1</v>
      </c>
      <c r="J911" s="1168" t="s">
        <v>5</v>
      </c>
      <c r="K911" s="1169"/>
      <c r="L911" s="1159"/>
      <c r="M911" s="1169"/>
      <c r="N911" s="1161" t="s">
        <v>2218</v>
      </c>
    </row>
    <row r="912" spans="1:14" s="1170" customFormat="1" ht="16.5" hidden="1" customHeight="1">
      <c r="A912" s="1156"/>
      <c r="B912" s="1169"/>
      <c r="C912" s="1157">
        <v>1</v>
      </c>
      <c r="D912" s="1171" t="s">
        <v>273</v>
      </c>
      <c r="E912" s="1165">
        <v>1</v>
      </c>
      <c r="F912" s="1166">
        <v>3.09</v>
      </c>
      <c r="G912" s="1166">
        <v>0.115</v>
      </c>
      <c r="H912" s="1166">
        <v>0.56000000000000005</v>
      </c>
      <c r="I912" s="1172">
        <f>ROUND(IF(AND(F912:H912),C912*E912*F912*G912*H912,IF(AND(F912,G912),C912*E912*F912*G912,IF(AND(F912,H912),C912*E912*F912*H912,IF(AND(G912,H912),C912*E912*G912*H912,IF(F912,C912*E912*F912,IF(G912,C912*E912*G912,IF(H912,C912*E912*H912,C912*E912))))))),2)</f>
        <v>0.2</v>
      </c>
      <c r="J912" s="1168" t="s">
        <v>5</v>
      </c>
      <c r="K912" s="1169"/>
      <c r="L912" s="1159"/>
      <c r="M912" s="1169"/>
      <c r="N912" s="1161" t="s">
        <v>2218</v>
      </c>
    </row>
    <row r="913" spans="1:14" s="1170" customFormat="1" ht="16.5" hidden="1" customHeight="1">
      <c r="A913" s="1156"/>
      <c r="B913" s="1169"/>
      <c r="C913" s="1157">
        <v>1</v>
      </c>
      <c r="D913" s="1171" t="s">
        <v>273</v>
      </c>
      <c r="E913" s="1165">
        <v>1</v>
      </c>
      <c r="F913" s="1166">
        <v>0.79</v>
      </c>
      <c r="G913" s="1166">
        <v>0.115</v>
      </c>
      <c r="H913" s="1166">
        <v>0.64</v>
      </c>
      <c r="I913" s="1172">
        <f>ROUND(IF(AND(F913:H913),C913*E913*F913*G913*H913,IF(AND(F913,G913),C913*E913*F913*G913,IF(AND(F913,H913),C913*E913*F913*H913,IF(AND(G913,H913),C913*E913*G913*H913,IF(F913,C913*E913*F913,IF(G913,C913*E913*G913,IF(H913,C913*E913*H913,C913*E913))))))),2)</f>
        <v>0.06</v>
      </c>
      <c r="J913" s="1168" t="s">
        <v>5</v>
      </c>
      <c r="K913" s="1169"/>
      <c r="L913" s="1159"/>
      <c r="M913" s="1169"/>
      <c r="N913" s="1161" t="s">
        <v>2218</v>
      </c>
    </row>
    <row r="914" spans="1:14" s="1170" customFormat="1" ht="16.5" hidden="1" customHeight="1">
      <c r="A914" s="1156"/>
      <c r="B914" s="1169"/>
      <c r="C914" s="1157">
        <v>1</v>
      </c>
      <c r="D914" s="1171" t="s">
        <v>273</v>
      </c>
      <c r="E914" s="1165">
        <v>1</v>
      </c>
      <c r="F914" s="1166">
        <v>3.09</v>
      </c>
      <c r="G914" s="1166">
        <v>0.115</v>
      </c>
      <c r="H914" s="1166">
        <v>0.54</v>
      </c>
      <c r="I914" s="1172">
        <f>ROUND(IF(AND(F914:H914),C914*E914*F914*G914*H914,IF(AND(F914,G914),C914*E914*F914*G914,IF(AND(F914,H914),C914*E914*F914*H914,IF(AND(G914,H914),C914*E914*G914*H914,IF(F914,C914*E914*F914,IF(G914,C914*E914*G914,IF(H914,C914*E914*H914,C914*E914))))))),2)</f>
        <v>0.19</v>
      </c>
      <c r="J914" s="1168" t="s">
        <v>5</v>
      </c>
      <c r="K914" s="1169"/>
      <c r="L914" s="1159"/>
      <c r="M914" s="1169"/>
      <c r="N914" s="1161" t="s">
        <v>2218</v>
      </c>
    </row>
    <row r="915" spans="1:14" s="1170" customFormat="1" ht="16.5" hidden="1" customHeight="1">
      <c r="A915" s="1156"/>
      <c r="B915" s="1331"/>
      <c r="C915" s="1332"/>
      <c r="D915" s="1333"/>
      <c r="E915" s="1334"/>
      <c r="F915" s="1335"/>
      <c r="G915" s="1335"/>
      <c r="H915" s="1335"/>
      <c r="I915" s="1336"/>
      <c r="J915" s="1168"/>
      <c r="K915" s="1169"/>
      <c r="L915" s="1159"/>
      <c r="M915" s="1169"/>
      <c r="N915" s="1161" t="s">
        <v>2218</v>
      </c>
    </row>
    <row r="916" spans="1:14" ht="15.75" hidden="1">
      <c r="A916" s="1156"/>
      <c r="B916" s="1169"/>
      <c r="C916" s="1337"/>
      <c r="D916" s="1171"/>
      <c r="E916" s="1165"/>
      <c r="F916" s="1166"/>
      <c r="G916" s="1343"/>
      <c r="H916" s="1156"/>
      <c r="I916" s="1336"/>
      <c r="J916" s="1168" t="s">
        <v>5</v>
      </c>
      <c r="K916" s="1221">
        <f>data!E428</f>
        <v>5224.74</v>
      </c>
      <c r="L916" s="1159" t="s">
        <v>2218</v>
      </c>
      <c r="M916" s="1224">
        <f>ROUND(I916*K916,0)</f>
        <v>0</v>
      </c>
      <c r="N916" s="1161" t="s">
        <v>2218</v>
      </c>
    </row>
    <row r="917" spans="1:14" ht="79.5" hidden="1" customHeight="1">
      <c r="A917" s="1156">
        <v>18</v>
      </c>
      <c r="B917" s="1826" t="s">
        <v>1201</v>
      </c>
      <c r="C917" s="1826"/>
      <c r="D917" s="1826"/>
      <c r="E917" s="1826"/>
      <c r="F917" s="1826"/>
      <c r="G917" s="1826"/>
      <c r="H917" s="1826"/>
      <c r="I917" s="1157"/>
      <c r="J917" s="1158"/>
      <c r="K917" s="1156"/>
      <c r="L917" s="1159"/>
      <c r="M917" s="1160"/>
      <c r="N917" s="1161" t="s">
        <v>2306</v>
      </c>
    </row>
    <row r="918" spans="1:14" s="1170" customFormat="1" ht="16.5" hidden="1" customHeight="1">
      <c r="A918" s="1156"/>
      <c r="B918" s="1169" t="s">
        <v>3493</v>
      </c>
      <c r="C918" s="1157"/>
      <c r="D918" s="1171"/>
      <c r="E918" s="1165"/>
      <c r="F918" s="1166"/>
      <c r="G918" s="1166"/>
      <c r="H918" s="1166"/>
      <c r="I918" s="1167"/>
      <c r="J918" s="1168"/>
      <c r="K918" s="1169"/>
      <c r="L918" s="1159"/>
      <c r="M918" s="1169"/>
      <c r="N918" s="1161" t="s">
        <v>2306</v>
      </c>
    </row>
    <row r="919" spans="1:14" s="1170" customFormat="1" ht="16.5" hidden="1" customHeight="1">
      <c r="A919" s="1156"/>
      <c r="B919" s="1169"/>
      <c r="C919" s="1157">
        <v>1</v>
      </c>
      <c r="D919" s="1171" t="s">
        <v>273</v>
      </c>
      <c r="E919" s="1165">
        <v>1</v>
      </c>
      <c r="F919" s="1166">
        <v>1.02</v>
      </c>
      <c r="G919" s="1166">
        <v>0.115</v>
      </c>
      <c r="H919" s="1166">
        <v>0.83</v>
      </c>
      <c r="I919" s="1172">
        <f>ROUND(IF(AND(F919:H919),C919*E919*F919*G919*H919,IF(AND(F919,G919),C919*E919*F919*G919,IF(AND(F919,H919),C919*E919*F919*H919,IF(AND(G919,H919),C919*E919*G919*H919,IF(F919,C919*E919*F919,IF(G919,C919*E919*G919,IF(H919,C919*E919*H919,C919*E919))))))),2)</f>
        <v>0.1</v>
      </c>
      <c r="J919" s="1168" t="s">
        <v>5</v>
      </c>
      <c r="K919" s="1169"/>
      <c r="L919" s="1159"/>
      <c r="M919" s="1169"/>
      <c r="N919" s="1161" t="s">
        <v>2306</v>
      </c>
    </row>
    <row r="920" spans="1:14" s="1170" customFormat="1" ht="16.5" hidden="1" customHeight="1">
      <c r="A920" s="1156"/>
      <c r="B920" s="1169"/>
      <c r="C920" s="1157">
        <v>1</v>
      </c>
      <c r="D920" s="1171" t="s">
        <v>273</v>
      </c>
      <c r="E920" s="1165">
        <v>1</v>
      </c>
      <c r="F920" s="1166">
        <v>3.09</v>
      </c>
      <c r="G920" s="1166">
        <v>0.115</v>
      </c>
      <c r="H920" s="1166">
        <v>0.56000000000000005</v>
      </c>
      <c r="I920" s="1172">
        <f>ROUND(IF(AND(F920:H920),C920*E920*F920*G920*H920,IF(AND(F920,G920),C920*E920*F920*G920,IF(AND(F920,H920),C920*E920*F920*H920,IF(AND(G920,H920),C920*E920*G920*H920,IF(F920,C920*E920*F920,IF(G920,C920*E920*G920,IF(H920,C920*E920*H920,C920*E920))))))),2)</f>
        <v>0.2</v>
      </c>
      <c r="J920" s="1168" t="s">
        <v>5</v>
      </c>
      <c r="K920" s="1169"/>
      <c r="L920" s="1159"/>
      <c r="M920" s="1169"/>
      <c r="N920" s="1161" t="s">
        <v>2306</v>
      </c>
    </row>
    <row r="921" spans="1:14" s="1170" customFormat="1" ht="16.5" hidden="1" customHeight="1">
      <c r="A921" s="1156"/>
      <c r="B921" s="1169"/>
      <c r="C921" s="1157">
        <v>1</v>
      </c>
      <c r="D921" s="1171" t="s">
        <v>273</v>
      </c>
      <c r="E921" s="1165">
        <v>1</v>
      </c>
      <c r="F921" s="1166">
        <v>0.79</v>
      </c>
      <c r="G921" s="1166">
        <v>0.115</v>
      </c>
      <c r="H921" s="1166">
        <v>0.64</v>
      </c>
      <c r="I921" s="1172">
        <f>ROUND(IF(AND(F921:H921),C921*E921*F921*G921*H921,IF(AND(F921,G921),C921*E921*F921*G921,IF(AND(F921,H921),C921*E921*F921*H921,IF(AND(G921,H921),C921*E921*G921*H921,IF(F921,C921*E921*F921,IF(G921,C921*E921*G921,IF(H921,C921*E921*H921,C921*E921))))))),2)</f>
        <v>0.06</v>
      </c>
      <c r="J921" s="1168" t="s">
        <v>5</v>
      </c>
      <c r="K921" s="1169"/>
      <c r="L921" s="1159"/>
      <c r="M921" s="1169"/>
      <c r="N921" s="1161" t="s">
        <v>2306</v>
      </c>
    </row>
    <row r="922" spans="1:14" s="1170" customFormat="1" ht="16.5" hidden="1" customHeight="1">
      <c r="A922" s="1156"/>
      <c r="B922" s="1169"/>
      <c r="C922" s="1157">
        <v>1</v>
      </c>
      <c r="D922" s="1171" t="s">
        <v>273</v>
      </c>
      <c r="E922" s="1165">
        <v>1</v>
      </c>
      <c r="F922" s="1166">
        <v>3.09</v>
      </c>
      <c r="G922" s="1166">
        <v>0.115</v>
      </c>
      <c r="H922" s="1166">
        <v>0.54</v>
      </c>
      <c r="I922" s="1172">
        <f>ROUND(IF(AND(F922:H922),C922*E922*F922*G922*H922,IF(AND(F922,G922),C922*E922*F922*G922,IF(AND(F922,H922),C922*E922*F922*H922,IF(AND(G922,H922),C922*E922*G922*H922,IF(F922,C922*E922*F922,IF(G922,C922*E922*G922,IF(H922,C922*E922*H922,C922*E922))))))),2)</f>
        <v>0.19</v>
      </c>
      <c r="J922" s="1168" t="s">
        <v>5</v>
      </c>
      <c r="K922" s="1169"/>
      <c r="L922" s="1159"/>
      <c r="M922" s="1169"/>
      <c r="N922" s="1161" t="s">
        <v>2306</v>
      </c>
    </row>
    <row r="923" spans="1:14" s="1170" customFormat="1" ht="16.5" hidden="1" customHeight="1">
      <c r="A923" s="1156"/>
      <c r="B923" s="1331"/>
      <c r="C923" s="1332"/>
      <c r="D923" s="1333"/>
      <c r="E923" s="1334"/>
      <c r="F923" s="1335"/>
      <c r="G923" s="1335"/>
      <c r="H923" s="1335"/>
      <c r="I923" s="1336"/>
      <c r="J923" s="1168"/>
      <c r="K923" s="1169"/>
      <c r="L923" s="1159"/>
      <c r="M923" s="1169"/>
      <c r="N923" s="1161" t="s">
        <v>2306</v>
      </c>
    </row>
    <row r="924" spans="1:14" ht="15.75" hidden="1">
      <c r="A924" s="1156"/>
      <c r="B924" s="1169"/>
      <c r="C924" s="1337"/>
      <c r="D924" s="1171"/>
      <c r="E924" s="1165"/>
      <c r="F924" s="1166"/>
      <c r="G924" s="1343"/>
      <c r="H924" s="1156"/>
      <c r="I924" s="1336"/>
      <c r="J924" s="1168" t="s">
        <v>5</v>
      </c>
      <c r="K924" s="1221">
        <f>data!E1345</f>
        <v>5403.9299999999994</v>
      </c>
      <c r="L924" s="1159" t="s">
        <v>2306</v>
      </c>
      <c r="M924" s="1224">
        <f>ROUND(I924*K924,0)</f>
        <v>0</v>
      </c>
      <c r="N924" s="1161" t="s">
        <v>2306</v>
      </c>
    </row>
    <row r="925" spans="1:14" ht="79.5" hidden="1" customHeight="1">
      <c r="A925" s="1156">
        <v>18</v>
      </c>
      <c r="B925" s="1826" t="s">
        <v>1201</v>
      </c>
      <c r="C925" s="1826"/>
      <c r="D925" s="1826"/>
      <c r="E925" s="1826"/>
      <c r="F925" s="1826"/>
      <c r="G925" s="1826"/>
      <c r="H925" s="1826"/>
      <c r="I925" s="1157"/>
      <c r="J925" s="1158"/>
      <c r="K925" s="1156"/>
      <c r="L925" s="1159"/>
      <c r="M925" s="1160"/>
      <c r="N925" s="1161" t="s">
        <v>2317</v>
      </c>
    </row>
    <row r="926" spans="1:14" s="1170" customFormat="1" ht="16.5" hidden="1" customHeight="1">
      <c r="A926" s="1156"/>
      <c r="B926" s="1169" t="s">
        <v>3493</v>
      </c>
      <c r="C926" s="1157"/>
      <c r="D926" s="1171"/>
      <c r="E926" s="1165"/>
      <c r="F926" s="1166"/>
      <c r="G926" s="1166"/>
      <c r="H926" s="1166"/>
      <c r="I926" s="1167"/>
      <c r="J926" s="1168"/>
      <c r="K926" s="1169"/>
      <c r="L926" s="1159"/>
      <c r="M926" s="1169"/>
      <c r="N926" s="1161" t="s">
        <v>2317</v>
      </c>
    </row>
    <row r="927" spans="1:14" s="1170" customFormat="1" ht="16.5" hidden="1" customHeight="1">
      <c r="A927" s="1156"/>
      <c r="B927" s="1169"/>
      <c r="C927" s="1157">
        <v>1</v>
      </c>
      <c r="D927" s="1171" t="s">
        <v>273</v>
      </c>
      <c r="E927" s="1165">
        <v>1</v>
      </c>
      <c r="F927" s="1166">
        <v>1.02</v>
      </c>
      <c r="G927" s="1166">
        <v>0.115</v>
      </c>
      <c r="H927" s="1166">
        <v>0.83</v>
      </c>
      <c r="I927" s="1172">
        <f>ROUND(IF(AND(F927:H927),C927*E927*F927*G927*H927,IF(AND(F927,G927),C927*E927*F927*G927,IF(AND(F927,H927),C927*E927*F927*H927,IF(AND(G927,H927),C927*E927*G927*H927,IF(F927,C927*E927*F927,IF(G927,C927*E927*G927,IF(H927,C927*E927*H927,C927*E927))))))),2)</f>
        <v>0.1</v>
      </c>
      <c r="J927" s="1168" t="s">
        <v>5</v>
      </c>
      <c r="K927" s="1169"/>
      <c r="L927" s="1159"/>
      <c r="M927" s="1169"/>
      <c r="N927" s="1161" t="s">
        <v>2317</v>
      </c>
    </row>
    <row r="928" spans="1:14" s="1170" customFormat="1" ht="16.5" hidden="1" customHeight="1">
      <c r="A928" s="1156"/>
      <c r="B928" s="1169"/>
      <c r="C928" s="1157">
        <v>1</v>
      </c>
      <c r="D928" s="1171" t="s">
        <v>273</v>
      </c>
      <c r="E928" s="1165">
        <v>1</v>
      </c>
      <c r="F928" s="1166">
        <v>3.09</v>
      </c>
      <c r="G928" s="1166">
        <v>0.115</v>
      </c>
      <c r="H928" s="1166">
        <v>0.56000000000000005</v>
      </c>
      <c r="I928" s="1172">
        <f>ROUND(IF(AND(F928:H928),C928*E928*F928*G928*H928,IF(AND(F928,G928),C928*E928*F928*G928,IF(AND(F928,H928),C928*E928*F928*H928,IF(AND(G928,H928),C928*E928*G928*H928,IF(F928,C928*E928*F928,IF(G928,C928*E928*G928,IF(H928,C928*E928*H928,C928*E928))))))),2)</f>
        <v>0.2</v>
      </c>
      <c r="J928" s="1168" t="s">
        <v>5</v>
      </c>
      <c r="K928" s="1169"/>
      <c r="L928" s="1159"/>
      <c r="M928" s="1169"/>
      <c r="N928" s="1161" t="s">
        <v>2317</v>
      </c>
    </row>
    <row r="929" spans="1:14" s="1170" customFormat="1" ht="16.5" hidden="1" customHeight="1">
      <c r="A929" s="1156"/>
      <c r="B929" s="1169"/>
      <c r="C929" s="1157">
        <v>1</v>
      </c>
      <c r="D929" s="1171" t="s">
        <v>273</v>
      </c>
      <c r="E929" s="1165">
        <v>1</v>
      </c>
      <c r="F929" s="1166">
        <v>0.79</v>
      </c>
      <c r="G929" s="1166">
        <v>0.115</v>
      </c>
      <c r="H929" s="1166">
        <v>0.64</v>
      </c>
      <c r="I929" s="1172">
        <f>ROUND(IF(AND(F929:H929),C929*E929*F929*G929*H929,IF(AND(F929,G929),C929*E929*F929*G929,IF(AND(F929,H929),C929*E929*F929*H929,IF(AND(G929,H929),C929*E929*G929*H929,IF(F929,C929*E929*F929,IF(G929,C929*E929*G929,IF(H929,C929*E929*H929,C929*E929))))))),2)</f>
        <v>0.06</v>
      </c>
      <c r="J929" s="1168" t="s">
        <v>5</v>
      </c>
      <c r="K929" s="1169"/>
      <c r="L929" s="1159"/>
      <c r="M929" s="1169"/>
      <c r="N929" s="1161" t="s">
        <v>2317</v>
      </c>
    </row>
    <row r="930" spans="1:14" s="1170" customFormat="1" ht="16.5" hidden="1" customHeight="1">
      <c r="A930" s="1156"/>
      <c r="B930" s="1169"/>
      <c r="C930" s="1157">
        <v>1</v>
      </c>
      <c r="D930" s="1171" t="s">
        <v>273</v>
      </c>
      <c r="E930" s="1165">
        <v>1</v>
      </c>
      <c r="F930" s="1166">
        <v>3.09</v>
      </c>
      <c r="G930" s="1166">
        <v>0.115</v>
      </c>
      <c r="H930" s="1166">
        <v>0.54</v>
      </c>
      <c r="I930" s="1172">
        <f>ROUND(IF(AND(F930:H930),C930*E930*F930*G930*H930,IF(AND(F930,G930),C930*E930*F930*G930,IF(AND(F930,H930),C930*E930*F930*H930,IF(AND(G930,H930),C930*E930*G930*H930,IF(F930,C930*E930*F930,IF(G930,C930*E930*G930,IF(H930,C930*E930*H930,C930*E930))))))),2)</f>
        <v>0.19</v>
      </c>
      <c r="J930" s="1168" t="s">
        <v>5</v>
      </c>
      <c r="K930" s="1169"/>
      <c r="L930" s="1159"/>
      <c r="M930" s="1169"/>
      <c r="N930" s="1161" t="s">
        <v>2317</v>
      </c>
    </row>
    <row r="931" spans="1:14" s="1170" customFormat="1" ht="16.5" hidden="1" customHeight="1">
      <c r="A931" s="1156"/>
      <c r="B931" s="1331"/>
      <c r="C931" s="1332"/>
      <c r="D931" s="1333"/>
      <c r="E931" s="1334"/>
      <c r="F931" s="1335"/>
      <c r="G931" s="1335"/>
      <c r="H931" s="1335"/>
      <c r="I931" s="1336"/>
      <c r="J931" s="1168"/>
      <c r="K931" s="1169"/>
      <c r="L931" s="1159"/>
      <c r="M931" s="1169"/>
      <c r="N931" s="1161" t="s">
        <v>2317</v>
      </c>
    </row>
    <row r="932" spans="1:14" ht="15.75" hidden="1">
      <c r="A932" s="1156"/>
      <c r="B932" s="1169"/>
      <c r="C932" s="1337"/>
      <c r="D932" s="1171"/>
      <c r="E932" s="1165"/>
      <c r="F932" s="1166"/>
      <c r="G932" s="1343"/>
      <c r="H932" s="1156"/>
      <c r="I932" s="1336"/>
      <c r="J932" s="1168" t="s">
        <v>5</v>
      </c>
      <c r="K932" s="1221">
        <f>data!E2262</f>
        <v>5899.35</v>
      </c>
      <c r="L932" s="1159" t="s">
        <v>2317</v>
      </c>
      <c r="M932" s="1224">
        <f>ROUND(I932*K932,0)</f>
        <v>0</v>
      </c>
      <c r="N932" s="1161" t="s">
        <v>2317</v>
      </c>
    </row>
    <row r="933" spans="1:14" ht="79.5" hidden="1" customHeight="1">
      <c r="A933" s="1156">
        <v>32</v>
      </c>
      <c r="B933" s="1826" t="s">
        <v>1201</v>
      </c>
      <c r="C933" s="1826"/>
      <c r="D933" s="1826"/>
      <c r="E933" s="1826"/>
      <c r="F933" s="1826"/>
      <c r="G933" s="1826"/>
      <c r="H933" s="1826"/>
      <c r="I933" s="1157"/>
      <c r="J933" s="1158"/>
      <c r="K933" s="1156"/>
      <c r="L933" s="1159"/>
      <c r="M933" s="1160"/>
      <c r="N933" s="1161" t="s">
        <v>2318</v>
      </c>
    </row>
    <row r="934" spans="1:14" s="1170" customFormat="1" ht="16.5" hidden="1" customHeight="1">
      <c r="A934" s="1156"/>
      <c r="B934" s="1169" t="s">
        <v>3397</v>
      </c>
      <c r="C934" s="1157"/>
      <c r="D934" s="1171"/>
      <c r="E934" s="1165"/>
      <c r="F934" s="1166"/>
      <c r="G934" s="1166"/>
      <c r="H934" s="1166"/>
      <c r="I934" s="1167"/>
      <c r="J934" s="1168"/>
      <c r="K934" s="1169"/>
      <c r="L934" s="1159"/>
      <c r="M934" s="1169"/>
      <c r="N934" s="1161" t="s">
        <v>2318</v>
      </c>
    </row>
    <row r="935" spans="1:14" s="1170" customFormat="1" ht="18" hidden="1" customHeight="1">
      <c r="A935" s="1156"/>
      <c r="B935" s="1169" t="s">
        <v>3627</v>
      </c>
      <c r="C935" s="1157">
        <v>1</v>
      </c>
      <c r="D935" s="1171" t="s">
        <v>273</v>
      </c>
      <c r="E935" s="1165">
        <v>2</v>
      </c>
      <c r="F935" s="1166">
        <v>1.8</v>
      </c>
      <c r="G935" s="1166">
        <v>0.23</v>
      </c>
      <c r="H935" s="1166">
        <v>2.4</v>
      </c>
      <c r="I935" s="1172">
        <f t="shared" ref="I935:I936" si="98">ROUND(IF(AND(F935:H935),C935*E935*F935*G935*H935,IF(AND(F935,G935),C935*E935*F935*G935,IF(AND(F935,H935),C935*E935*F935*H935,IF(AND(G935,H935),C935*E935*G935*H935,IF(F935,C935*E935*F935,IF(G935,C935*E935*G935,IF(H935,C935*E935*H935,C935*E935))))))),2)</f>
        <v>1.99</v>
      </c>
      <c r="J935" s="1330" t="s">
        <v>5</v>
      </c>
      <c r="K935" s="1169"/>
      <c r="L935" s="1159"/>
      <c r="M935" s="1169"/>
      <c r="N935" s="1161" t="s">
        <v>2318</v>
      </c>
    </row>
    <row r="936" spans="1:14" s="1170" customFormat="1" ht="18" hidden="1" customHeight="1">
      <c r="A936" s="1156"/>
      <c r="B936" s="1169"/>
      <c r="C936" s="1157">
        <v>1</v>
      </c>
      <c r="D936" s="1171" t="s">
        <v>273</v>
      </c>
      <c r="E936" s="1165">
        <v>2</v>
      </c>
      <c r="F936" s="1166">
        <v>1.8</v>
      </c>
      <c r="G936" s="1166">
        <v>0.45</v>
      </c>
      <c r="H936" s="1166">
        <v>2.4</v>
      </c>
      <c r="I936" s="1172">
        <f t="shared" si="98"/>
        <v>3.89</v>
      </c>
      <c r="J936" s="1330" t="s">
        <v>5</v>
      </c>
      <c r="K936" s="1169"/>
      <c r="L936" s="1159"/>
      <c r="M936" s="1169"/>
      <c r="N936" s="1161" t="s">
        <v>2318</v>
      </c>
    </row>
    <row r="937" spans="1:14" s="1170" customFormat="1" ht="18" hidden="1" customHeight="1">
      <c r="A937" s="1156"/>
      <c r="B937" s="1169" t="s">
        <v>579</v>
      </c>
      <c r="C937" s="1157">
        <v>1</v>
      </c>
      <c r="D937" s="1171" t="s">
        <v>273</v>
      </c>
      <c r="E937" s="1165">
        <v>1</v>
      </c>
      <c r="F937" s="1166">
        <v>0.75</v>
      </c>
      <c r="G937" s="1166">
        <v>0.23</v>
      </c>
      <c r="H937" s="1166">
        <v>2</v>
      </c>
      <c r="I937" s="1172">
        <f>-ROUND(IF(AND(F937:H937),C937*E937*F937*G937*H937,IF(AND(F937,G937),C937*E937*F937*G937,IF(AND(F937,H937),C937*E937*F937*H937,IF(AND(G937,H937),C937*E937*G937*H937,IF(F937,C937*E937*F937,IF(G937,C937*E937*G937,IF(H937,C937*E937*H937,C937*E937))))))),2)</f>
        <v>-0.35</v>
      </c>
      <c r="J937" s="1168" t="s">
        <v>5</v>
      </c>
      <c r="K937" s="1169"/>
      <c r="L937" s="1159"/>
      <c r="M937" s="1169"/>
      <c r="N937" s="1161" t="s">
        <v>2318</v>
      </c>
    </row>
    <row r="938" spans="1:14" s="1170" customFormat="1" ht="18" hidden="1" customHeight="1">
      <c r="A938" s="1156"/>
      <c r="B938" s="1169" t="s">
        <v>581</v>
      </c>
      <c r="C938" s="1157">
        <v>1</v>
      </c>
      <c r="D938" s="1171" t="s">
        <v>273</v>
      </c>
      <c r="E938" s="1165">
        <v>1</v>
      </c>
      <c r="F938" s="1166">
        <v>0.6</v>
      </c>
      <c r="G938" s="1166">
        <v>0.23</v>
      </c>
      <c r="H938" s="1166">
        <v>0.3</v>
      </c>
      <c r="I938" s="1172">
        <f>-ROUND(IF(AND(F938:H938),C938*E938*F938*G938*H938,IF(AND(F938,G938),C938*E938*F938*G938,IF(AND(F938,H938),C938*E938*F938*H938,IF(AND(G938,H938),C938*E938*G938*H938,IF(F938,C938*E938*F938,IF(G938,C938*E938*G938,IF(H938,C938*E938*H938,C938*E938))))))),2)</f>
        <v>-0.04</v>
      </c>
      <c r="J938" s="1168" t="s">
        <v>5</v>
      </c>
      <c r="K938" s="1169"/>
      <c r="L938" s="1159"/>
      <c r="M938" s="1169"/>
      <c r="N938" s="1161" t="s">
        <v>2318</v>
      </c>
    </row>
    <row r="939" spans="1:14" s="1170" customFormat="1" ht="16.5" hidden="1" customHeight="1">
      <c r="A939" s="1156"/>
      <c r="B939" s="1331"/>
      <c r="C939" s="1332"/>
      <c r="D939" s="1333"/>
      <c r="E939" s="1334"/>
      <c r="F939" s="1335"/>
      <c r="G939" s="1335"/>
      <c r="H939" s="1335"/>
      <c r="I939" s="1336"/>
      <c r="J939" s="1168"/>
      <c r="K939" s="1169"/>
      <c r="L939" s="1159"/>
      <c r="M939" s="1169"/>
      <c r="N939" s="1161" t="s">
        <v>2318</v>
      </c>
    </row>
    <row r="940" spans="1:14" ht="15.75" hidden="1">
      <c r="A940" s="1156"/>
      <c r="B940" s="1169"/>
      <c r="C940" s="1337"/>
      <c r="D940" s="1171"/>
      <c r="E940" s="1165"/>
      <c r="F940" s="1166"/>
      <c r="G940" s="1343"/>
      <c r="H940" s="1156"/>
      <c r="I940" s="1336"/>
      <c r="J940" s="1168" t="s">
        <v>5</v>
      </c>
      <c r="K940" s="1221">
        <f>data!E3179</f>
        <v>6281.3700000000008</v>
      </c>
      <c r="L940" s="1159" t="s">
        <v>2318</v>
      </c>
      <c r="M940" s="1224">
        <f>ROUND(I940*K940,0)</f>
        <v>0</v>
      </c>
      <c r="N940" s="1161" t="s">
        <v>2318</v>
      </c>
    </row>
    <row r="941" spans="1:14" s="1575" customFormat="1" ht="103.5" customHeight="1">
      <c r="A941" s="1570">
        <v>18</v>
      </c>
      <c r="B941" s="1827" t="s">
        <v>1171</v>
      </c>
      <c r="C941" s="1827"/>
      <c r="D941" s="1827"/>
      <c r="E941" s="1827"/>
      <c r="F941" s="1827"/>
      <c r="G941" s="1827"/>
      <c r="H941" s="1827"/>
      <c r="I941" s="1571"/>
      <c r="J941" s="1572"/>
      <c r="K941" s="1570"/>
      <c r="L941" s="1573"/>
      <c r="M941" s="1577"/>
      <c r="N941" s="1578" t="s">
        <v>2218</v>
      </c>
    </row>
    <row r="942" spans="1:14" s="1586" customFormat="1" ht="16.5" customHeight="1">
      <c r="A942" s="1570"/>
      <c r="B942" s="1579" t="s">
        <v>3819</v>
      </c>
      <c r="C942" s="1580"/>
      <c r="D942" s="1790" t="s">
        <v>3875</v>
      </c>
      <c r="E942" s="1581"/>
      <c r="F942" s="1582"/>
      <c r="G942" s="1582"/>
      <c r="H942" s="1582"/>
      <c r="I942" s="1583"/>
      <c r="J942" s="1584"/>
      <c r="K942" s="1585"/>
      <c r="L942" s="1570"/>
      <c r="M942" s="1585"/>
      <c r="N942" s="1578" t="s">
        <v>2218</v>
      </c>
    </row>
    <row r="943" spans="1:14" s="1586" customFormat="1" ht="16.5" customHeight="1">
      <c r="A943" s="1570"/>
      <c r="B943" s="1585"/>
      <c r="C943" s="1571">
        <v>1</v>
      </c>
      <c r="D943" s="1587" t="s">
        <v>273</v>
      </c>
      <c r="E943" s="1588">
        <v>1</v>
      </c>
      <c r="F943" s="1589">
        <v>3.5</v>
      </c>
      <c r="G943" s="1589">
        <v>0</v>
      </c>
      <c r="H943" s="1589">
        <v>1.35</v>
      </c>
      <c r="I943" s="1590">
        <f t="shared" ref="I943:I945" si="99">ROUND(IF(AND(F943:H943),C943*E943*F943*G943*H943,IF(AND(F943,G943),C943*E943*F943*G943,IF(AND(F943,H943),C943*E943*F943*H943,IF(AND(G943,H943),C943*E943*G943*H943,IF(F943,C943*E943*F943,IF(G943,C943*E943*G943,IF(H943,C943*E943*H943,C943*E943))))))),2)</f>
        <v>4.7300000000000004</v>
      </c>
      <c r="J943" s="1598" t="s">
        <v>102</v>
      </c>
      <c r="K943" s="1585"/>
      <c r="L943" s="1570"/>
      <c r="M943" s="1585"/>
      <c r="N943" s="1578" t="s">
        <v>2218</v>
      </c>
    </row>
    <row r="944" spans="1:14" s="1586" customFormat="1" ht="16.5" customHeight="1">
      <c r="A944" s="1570"/>
      <c r="B944" s="1585"/>
      <c r="C944" s="1571">
        <v>1</v>
      </c>
      <c r="D944" s="1587" t="s">
        <v>273</v>
      </c>
      <c r="E944" s="1588">
        <v>1</v>
      </c>
      <c r="F944" s="1589">
        <v>3.4</v>
      </c>
      <c r="G944" s="1589">
        <v>0</v>
      </c>
      <c r="H944" s="1589">
        <v>1.35</v>
      </c>
      <c r="I944" s="1590">
        <f t="shared" si="99"/>
        <v>4.59</v>
      </c>
      <c r="J944" s="1598" t="s">
        <v>102</v>
      </c>
      <c r="K944" s="1585"/>
      <c r="L944" s="1570"/>
      <c r="M944" s="1585"/>
      <c r="N944" s="1578" t="s">
        <v>2218</v>
      </c>
    </row>
    <row r="945" spans="1:14" s="1586" customFormat="1" ht="16.5" customHeight="1">
      <c r="A945" s="1570"/>
      <c r="B945" s="1585"/>
      <c r="C945" s="1571">
        <v>1</v>
      </c>
      <c r="D945" s="1587" t="s">
        <v>273</v>
      </c>
      <c r="E945" s="1588">
        <v>2</v>
      </c>
      <c r="F945" s="1589">
        <v>2.7</v>
      </c>
      <c r="G945" s="1589">
        <v>0</v>
      </c>
      <c r="H945" s="1589">
        <v>1.85</v>
      </c>
      <c r="I945" s="1590">
        <f t="shared" si="99"/>
        <v>9.99</v>
      </c>
      <c r="J945" s="1598" t="s">
        <v>102</v>
      </c>
      <c r="K945" s="1585"/>
      <c r="L945" s="1573"/>
      <c r="M945" s="1585"/>
      <c r="N945" s="1578" t="s">
        <v>2218</v>
      </c>
    </row>
    <row r="946" spans="1:14" s="1586" customFormat="1" ht="16.5" customHeight="1">
      <c r="A946" s="1570"/>
      <c r="B946" s="1585"/>
      <c r="C946" s="1571"/>
      <c r="D946" s="1587"/>
      <c r="E946" s="1588"/>
      <c r="F946" s="1589"/>
      <c r="G946" s="1589"/>
      <c r="H946" s="1589"/>
      <c r="I946" s="1590"/>
      <c r="J946" s="1598"/>
      <c r="K946" s="1585"/>
      <c r="L946" s="1573"/>
      <c r="M946" s="1585"/>
      <c r="N946" s="1578" t="s">
        <v>2218</v>
      </c>
    </row>
    <row r="947" spans="1:14" s="1575" customFormat="1" ht="15.75">
      <c r="A947" s="1570"/>
      <c r="B947" s="1585"/>
      <c r="C947" s="1606"/>
      <c r="D947" s="1587"/>
      <c r="E947" s="1588"/>
      <c r="F947" s="1589"/>
      <c r="G947" s="1607"/>
      <c r="H947" s="1570"/>
      <c r="I947" s="1605">
        <f>SUM(I943:I946)</f>
        <v>19.310000000000002</v>
      </c>
      <c r="J947" s="1598" t="s">
        <v>102</v>
      </c>
      <c r="K947" s="1608">
        <f>data!E553</f>
        <v>1815.79</v>
      </c>
      <c r="L947" s="1573" t="s">
        <v>2218</v>
      </c>
      <c r="M947" s="1609">
        <f>ROUND(I947*K947/1,0)</f>
        <v>35063</v>
      </c>
      <c r="N947" s="1578" t="s">
        <v>2218</v>
      </c>
    </row>
    <row r="948" spans="1:14" ht="103.5" hidden="1" customHeight="1">
      <c r="A948" s="1156">
        <v>23</v>
      </c>
      <c r="B948" s="1826" t="s">
        <v>1171</v>
      </c>
      <c r="C948" s="1826"/>
      <c r="D948" s="1826"/>
      <c r="E948" s="1826"/>
      <c r="F948" s="1826"/>
      <c r="G948" s="1826"/>
      <c r="H948" s="1826"/>
      <c r="I948" s="1157"/>
      <c r="J948" s="1158"/>
      <c r="K948" s="1156"/>
      <c r="L948" s="1159"/>
      <c r="M948" s="1160"/>
      <c r="N948" s="1161" t="s">
        <v>2306</v>
      </c>
    </row>
    <row r="949" spans="1:14" s="1170" customFormat="1" ht="16.5" hidden="1" customHeight="1">
      <c r="A949" s="1156"/>
      <c r="B949" s="1169" t="s">
        <v>3467</v>
      </c>
      <c r="C949" s="1354"/>
      <c r="D949" s="1328" t="s">
        <v>3529</v>
      </c>
      <c r="E949" s="1355"/>
      <c r="F949" s="1356"/>
      <c r="G949" s="1356"/>
      <c r="H949" s="1356"/>
      <c r="I949" s="1350"/>
      <c r="J949" s="1357"/>
      <c r="K949" s="1169"/>
      <c r="L949" s="1156"/>
      <c r="M949" s="1169"/>
      <c r="N949" s="1161" t="s">
        <v>2306</v>
      </c>
    </row>
    <row r="950" spans="1:14" s="1170" customFormat="1" ht="16.5" hidden="1" customHeight="1">
      <c r="A950" s="1156"/>
      <c r="B950" s="1358"/>
      <c r="C950" s="1354">
        <v>1</v>
      </c>
      <c r="D950" s="1346" t="s">
        <v>273</v>
      </c>
      <c r="E950" s="1355">
        <v>2</v>
      </c>
      <c r="F950" s="1356">
        <v>1.7</v>
      </c>
      <c r="G950" s="1356">
        <v>1.5</v>
      </c>
      <c r="H950" s="1356">
        <v>0</v>
      </c>
      <c r="I950" s="1350">
        <f>ROUND(IF(AND(F950:H950),C950*E950*F950*G950*H950,IF(AND(F950,G950),C950*E950*F950*G950,IF(AND(F950,H950),C950*E950*F950*H950,IF(AND(G950,H950),C950*E950*G950*H950,IF(F950,C950*E950*F950,IF(G950,C950*E950*G950,IF(H950,C950*E950*H950,C950*E950))))))),2)</f>
        <v>5.0999999999999996</v>
      </c>
      <c r="J950" s="1357" t="s">
        <v>102</v>
      </c>
      <c r="K950" s="1169"/>
      <c r="L950" s="1156"/>
      <c r="M950" s="1169"/>
      <c r="N950" s="1161" t="s">
        <v>2306</v>
      </c>
    </row>
    <row r="951" spans="1:14" s="1170" customFormat="1" ht="16.5" hidden="1" customHeight="1">
      <c r="A951" s="1156"/>
      <c r="B951" s="1169"/>
      <c r="C951" s="1157"/>
      <c r="D951" s="1171"/>
      <c r="E951" s="1165"/>
      <c r="F951" s="1166"/>
      <c r="G951" s="1166"/>
      <c r="H951" s="1166"/>
      <c r="I951" s="1172"/>
      <c r="J951" s="1168"/>
      <c r="K951" s="1169"/>
      <c r="L951" s="1159"/>
      <c r="M951" s="1169"/>
      <c r="N951" s="1161" t="s">
        <v>2306</v>
      </c>
    </row>
    <row r="952" spans="1:14" ht="15.75" hidden="1">
      <c r="A952" s="1156"/>
      <c r="B952" s="1169"/>
      <c r="C952" s="1337"/>
      <c r="D952" s="1171"/>
      <c r="E952" s="1165"/>
      <c r="F952" s="1166"/>
      <c r="G952" s="1343"/>
      <c r="H952" s="1156"/>
      <c r="I952" s="1336"/>
      <c r="J952" s="1168" t="s">
        <v>102</v>
      </c>
      <c r="K952" s="1221">
        <f>data!E1470</f>
        <v>1966.77</v>
      </c>
      <c r="L952" s="1159" t="s">
        <v>2306</v>
      </c>
      <c r="M952" s="1224">
        <f>ROUND(I952*K952/1,0)</f>
        <v>0</v>
      </c>
      <c r="N952" s="1161" t="s">
        <v>2306</v>
      </c>
    </row>
    <row r="953" spans="1:14" ht="103.5" hidden="1" customHeight="1">
      <c r="A953" s="1156">
        <v>24</v>
      </c>
      <c r="B953" s="1826" t="s">
        <v>1171</v>
      </c>
      <c r="C953" s="1826"/>
      <c r="D953" s="1826"/>
      <c r="E953" s="1826"/>
      <c r="F953" s="1826"/>
      <c r="G953" s="1826"/>
      <c r="H953" s="1826"/>
      <c r="I953" s="1157"/>
      <c r="J953" s="1158"/>
      <c r="K953" s="1156"/>
      <c r="L953" s="1159"/>
      <c r="M953" s="1160"/>
      <c r="N953" s="1161" t="s">
        <v>2317</v>
      </c>
    </row>
    <row r="954" spans="1:14" s="1170" customFormat="1" ht="16.5" hidden="1" customHeight="1">
      <c r="A954" s="1156"/>
      <c r="B954" s="1163" t="s">
        <v>3699</v>
      </c>
      <c r="C954" s="1354"/>
      <c r="D954" s="1548" t="s">
        <v>3741</v>
      </c>
      <c r="E954" s="1355"/>
      <c r="F954" s="1356"/>
      <c r="G954" s="1356"/>
      <c r="H954" s="1356"/>
      <c r="I954" s="1774"/>
      <c r="J954" s="1357"/>
      <c r="K954" s="1169"/>
      <c r="L954" s="1156"/>
      <c r="M954" s="1169"/>
      <c r="N954" s="1161" t="s">
        <v>2317</v>
      </c>
    </row>
    <row r="955" spans="1:14" s="1170" customFormat="1" ht="16.5" hidden="1" customHeight="1">
      <c r="A955" s="1156"/>
      <c r="B955" s="1358" t="s">
        <v>3358</v>
      </c>
      <c r="C955" s="1354">
        <v>1</v>
      </c>
      <c r="D955" s="1346" t="s">
        <v>273</v>
      </c>
      <c r="E955" s="1355">
        <v>1</v>
      </c>
      <c r="F955" s="1356">
        <v>3.7</v>
      </c>
      <c r="G955" s="1356">
        <v>1.95</v>
      </c>
      <c r="H955" s="1356">
        <v>0</v>
      </c>
      <c r="I955" s="1774">
        <f>ROUND(IF(AND(F955:H955),C955*E955*F955*G955*H955,IF(AND(F955,G955),C955*E955*F955*G955,IF(AND(F955,H955),C955*E955*F955*H955,IF(AND(G955,H955),C955*E955*G955*H955,IF(F955,C955*E955*F955,IF(G955,C955*E955*G955,IF(H955,C955*E955*H955,C955*E955))))))),2)</f>
        <v>7.22</v>
      </c>
      <c r="J955" s="1357" t="s">
        <v>102</v>
      </c>
      <c r="K955" s="1169"/>
      <c r="L955" s="1156"/>
      <c r="M955" s="1169"/>
      <c r="N955" s="1161" t="s">
        <v>2317</v>
      </c>
    </row>
    <row r="956" spans="1:14" s="1170" customFormat="1" ht="16.5" hidden="1" customHeight="1">
      <c r="A956" s="1156"/>
      <c r="B956" s="1358" t="s">
        <v>3163</v>
      </c>
      <c r="C956" s="1354">
        <v>1</v>
      </c>
      <c r="D956" s="1346" t="s">
        <v>273</v>
      </c>
      <c r="E956" s="1355">
        <v>2</v>
      </c>
      <c r="F956" s="1356">
        <v>3.65</v>
      </c>
      <c r="G956" s="1356">
        <v>1.4</v>
      </c>
      <c r="H956" s="1356">
        <v>0</v>
      </c>
      <c r="I956" s="1774">
        <f>ROUND(IF(AND(F956:H956),C956*E956*F956*G956*H956,IF(AND(F956,G956),C956*E956*F956*G956,IF(AND(F956,H956),C956*E956*F956*H956,IF(AND(G956,H956),C956*E956*G956*H956,IF(F956,C956*E956*F956,IF(G956,C956*E956*G956,IF(H956,C956*E956*H956,C956*E956))))))),2)</f>
        <v>10.220000000000001</v>
      </c>
      <c r="J956" s="1357" t="s">
        <v>102</v>
      </c>
      <c r="K956" s="1169"/>
      <c r="L956" s="1156"/>
      <c r="M956" s="1169"/>
      <c r="N956" s="1161" t="s">
        <v>2317</v>
      </c>
    </row>
    <row r="957" spans="1:14" s="1170" customFormat="1" ht="16.5" hidden="1" customHeight="1">
      <c r="A957" s="1156"/>
      <c r="B957" s="1169"/>
      <c r="C957" s="1157"/>
      <c r="D957" s="1171"/>
      <c r="E957" s="1165"/>
      <c r="F957" s="1166"/>
      <c r="G957" s="1166"/>
      <c r="H957" s="1166"/>
      <c r="I957" s="1172"/>
      <c r="J957" s="1168"/>
      <c r="K957" s="1169"/>
      <c r="L957" s="1159"/>
      <c r="M957" s="1169"/>
      <c r="N957" s="1161" t="s">
        <v>2317</v>
      </c>
    </row>
    <row r="958" spans="1:14" ht="15.75" hidden="1">
      <c r="A958" s="1156"/>
      <c r="B958" s="1169"/>
      <c r="C958" s="1337"/>
      <c r="D958" s="1171"/>
      <c r="E958" s="1165"/>
      <c r="F958" s="1166"/>
      <c r="G958" s="1343"/>
      <c r="H958" s="1156"/>
      <c r="I958" s="1336"/>
      <c r="J958" s="1168" t="s">
        <v>102</v>
      </c>
      <c r="K958" s="1221">
        <f>data!E2387</f>
        <v>2093.16</v>
      </c>
      <c r="L958" s="1159" t="s">
        <v>2317</v>
      </c>
      <c r="M958" s="1224">
        <f>ROUND(I958*K958/1,0)</f>
        <v>0</v>
      </c>
      <c r="N958" s="1161" t="s">
        <v>2317</v>
      </c>
    </row>
    <row r="959" spans="1:14" ht="103.5" hidden="1" customHeight="1">
      <c r="A959" s="1156">
        <v>20</v>
      </c>
      <c r="B959" s="1826" t="s">
        <v>1171</v>
      </c>
      <c r="C959" s="1826"/>
      <c r="D959" s="1828"/>
      <c r="E959" s="1826"/>
      <c r="F959" s="1826"/>
      <c r="G959" s="1826"/>
      <c r="H959" s="1826"/>
      <c r="I959" s="1157"/>
      <c r="J959" s="1158"/>
      <c r="K959" s="1156"/>
      <c r="L959" s="1159"/>
      <c r="M959" s="1160"/>
      <c r="N959" s="1161" t="s">
        <v>2318</v>
      </c>
    </row>
    <row r="960" spans="1:14" s="1170" customFormat="1" ht="16.5" hidden="1" customHeight="1">
      <c r="A960" s="1156"/>
      <c r="B960" s="1169" t="s">
        <v>3395</v>
      </c>
      <c r="C960" s="1354"/>
      <c r="D960" s="1346"/>
      <c r="E960" s="1355"/>
      <c r="F960" s="1356"/>
      <c r="G960" s="1356"/>
      <c r="H960" s="1356"/>
      <c r="I960" s="1350"/>
      <c r="J960" s="1357"/>
      <c r="K960" s="1169"/>
      <c r="L960" s="1156"/>
      <c r="M960" s="1169"/>
      <c r="N960" s="1161" t="s">
        <v>2318</v>
      </c>
    </row>
    <row r="961" spans="1:14" s="1170" customFormat="1" ht="16.5" hidden="1" customHeight="1">
      <c r="A961" s="1156"/>
      <c r="B961" s="1169"/>
      <c r="C961" s="1157">
        <v>1</v>
      </c>
      <c r="D961" s="1171" t="s">
        <v>273</v>
      </c>
      <c r="E961" s="1165">
        <v>2</v>
      </c>
      <c r="F961" s="1166">
        <v>3.4</v>
      </c>
      <c r="G961" s="1166">
        <v>0.9</v>
      </c>
      <c r="H961" s="1166">
        <v>0</v>
      </c>
      <c r="I961" s="1172">
        <f t="shared" ref="I961:I962" si="100">ROUND(IF(AND(F961:H961),C961*E961*F961*G961*H961,IF(AND(F961,G961),C961*E961*F961*G961,IF(AND(F961,H961),C961*E961*F961*H961,IF(AND(G961,H961),C961*E961*G961*H961,IF(F961,C961*E961*F961,IF(G961,C961*E961*G961,IF(H961,C961*E961*H961,C961*E961))))))),2)</f>
        <v>6.12</v>
      </c>
      <c r="J961" s="1168" t="s">
        <v>102</v>
      </c>
      <c r="K961" s="1169"/>
      <c r="L961" s="1156"/>
      <c r="M961" s="1169"/>
      <c r="N961" s="1161" t="s">
        <v>2318</v>
      </c>
    </row>
    <row r="962" spans="1:14" s="1170" customFormat="1" ht="16.5" hidden="1" customHeight="1">
      <c r="A962" s="1156"/>
      <c r="B962" s="1169"/>
      <c r="C962" s="1157">
        <v>1</v>
      </c>
      <c r="D962" s="1171" t="s">
        <v>273</v>
      </c>
      <c r="E962" s="1165">
        <v>1</v>
      </c>
      <c r="F962" s="1166">
        <v>4</v>
      </c>
      <c r="G962" s="1166">
        <v>1.2</v>
      </c>
      <c r="H962" s="1166">
        <v>0</v>
      </c>
      <c r="I962" s="1172">
        <f t="shared" si="100"/>
        <v>4.8</v>
      </c>
      <c r="J962" s="1168" t="s">
        <v>102</v>
      </c>
      <c r="K962" s="1169"/>
      <c r="L962" s="1156"/>
      <c r="M962" s="1169"/>
      <c r="N962" s="1161" t="s">
        <v>2318</v>
      </c>
    </row>
    <row r="963" spans="1:14" s="1170" customFormat="1" ht="16.5" hidden="1" customHeight="1">
      <c r="A963" s="1156"/>
      <c r="B963" s="1169"/>
      <c r="C963" s="1157"/>
      <c r="D963" s="1171"/>
      <c r="E963" s="1165"/>
      <c r="F963" s="1166"/>
      <c r="G963" s="1166"/>
      <c r="H963" s="1166"/>
      <c r="I963" s="1172"/>
      <c r="J963" s="1168"/>
      <c r="K963" s="1169"/>
      <c r="L963" s="1159"/>
      <c r="M963" s="1169"/>
      <c r="N963" s="1161" t="s">
        <v>2318</v>
      </c>
    </row>
    <row r="964" spans="1:14" ht="15.75" hidden="1">
      <c r="A964" s="1156"/>
      <c r="B964" s="1169"/>
      <c r="C964" s="1337"/>
      <c r="D964" s="1171"/>
      <c r="E964" s="1165"/>
      <c r="F964" s="1166"/>
      <c r="G964" s="1343"/>
      <c r="H964" s="1156"/>
      <c r="I964" s="1336"/>
      <c r="J964" s="1168" t="s">
        <v>102</v>
      </c>
      <c r="K964" s="1221">
        <f>data!E3304</f>
        <v>2232.9699999999998</v>
      </c>
      <c r="L964" s="1159" t="s">
        <v>2318</v>
      </c>
      <c r="M964" s="1224">
        <f>ROUND(I964*K964/1,0)</f>
        <v>0</v>
      </c>
      <c r="N964" s="1161" t="s">
        <v>2318</v>
      </c>
    </row>
    <row r="965" spans="1:14" s="1575" customFormat="1" ht="54.75" customHeight="1">
      <c r="A965" s="1570">
        <v>19</v>
      </c>
      <c r="B965" s="1827" t="s">
        <v>125</v>
      </c>
      <c r="C965" s="1827"/>
      <c r="D965" s="1827"/>
      <c r="E965" s="1827"/>
      <c r="F965" s="1827"/>
      <c r="G965" s="1827"/>
      <c r="H965" s="1827"/>
      <c r="I965" s="1571"/>
      <c r="J965" s="1572"/>
      <c r="K965" s="1570"/>
      <c r="L965" s="1573"/>
      <c r="M965" s="1577"/>
      <c r="N965" s="1578" t="s">
        <v>2218</v>
      </c>
    </row>
    <row r="966" spans="1:14" s="1586" customFormat="1" ht="16.5" customHeight="1">
      <c r="A966" s="1570"/>
      <c r="B966" s="1579" t="s">
        <v>3797</v>
      </c>
      <c r="C966" s="1580"/>
      <c r="D966" s="1790" t="s">
        <v>3461</v>
      </c>
      <c r="E966" s="1581"/>
      <c r="F966" s="1582"/>
      <c r="G966" s="1582"/>
      <c r="H966" s="1582"/>
      <c r="I966" s="1583"/>
      <c r="J966" s="1598"/>
      <c r="K966" s="1585"/>
      <c r="L966" s="1573"/>
      <c r="M966" s="1585"/>
      <c r="N966" s="1578" t="s">
        <v>2218</v>
      </c>
    </row>
    <row r="967" spans="1:14" s="1586" customFormat="1" ht="16.5" customHeight="1">
      <c r="A967" s="1570"/>
      <c r="B967" s="1585" t="s">
        <v>3359</v>
      </c>
      <c r="C967" s="1571">
        <v>1</v>
      </c>
      <c r="D967" s="1587" t="s">
        <v>273</v>
      </c>
      <c r="E967" s="1588">
        <v>1</v>
      </c>
      <c r="F967" s="1589">
        <v>9.3699999999999992</v>
      </c>
      <c r="G967" s="1589">
        <v>5.75</v>
      </c>
      <c r="H967" s="1589">
        <v>0</v>
      </c>
      <c r="I967" s="1590">
        <f t="shared" ref="I967:I978" si="101">ROUND(IF(AND(F967:H967),C967*E967*F967*G967*H967,IF(AND(F967,G967),C967*E967*F967*G967,IF(AND(F967,H967),C967*E967*F967*H967,IF(AND(G967,H967),C967*E967*G967*H967,IF(F967,C967*E967*F967,IF(G967,C967*E967*G967,IF(H967,C967*E967*H967,C967*E967))))))),2)</f>
        <v>53.88</v>
      </c>
      <c r="J967" s="1598" t="s">
        <v>102</v>
      </c>
      <c r="K967" s="1585"/>
      <c r="L967" s="1573"/>
      <c r="M967" s="1585"/>
      <c r="N967" s="1578" t="s">
        <v>2218</v>
      </c>
    </row>
    <row r="968" spans="1:14" s="1586" customFormat="1" ht="16.5" customHeight="1">
      <c r="A968" s="1570"/>
      <c r="B968" s="1585" t="s">
        <v>3798</v>
      </c>
      <c r="C968" s="1571">
        <v>2</v>
      </c>
      <c r="D968" s="1587" t="s">
        <v>273</v>
      </c>
      <c r="E968" s="1588">
        <v>2</v>
      </c>
      <c r="F968" s="1589">
        <v>5.75</v>
      </c>
      <c r="G968" s="1589">
        <v>0</v>
      </c>
      <c r="H968" s="1589">
        <v>0.38</v>
      </c>
      <c r="I968" s="1590">
        <f t="shared" si="101"/>
        <v>8.74</v>
      </c>
      <c r="J968" s="1598" t="s">
        <v>102</v>
      </c>
      <c r="K968" s="1585"/>
      <c r="L968" s="1573"/>
      <c r="M968" s="1585"/>
      <c r="N968" s="1578" t="s">
        <v>2218</v>
      </c>
    </row>
    <row r="969" spans="1:14" s="1586" customFormat="1" ht="16.5" customHeight="1">
      <c r="A969" s="1570"/>
      <c r="B969" s="1585" t="s">
        <v>3422</v>
      </c>
      <c r="C969" s="1571">
        <v>1</v>
      </c>
      <c r="D969" s="1587" t="s">
        <v>273</v>
      </c>
      <c r="E969" s="1588">
        <v>1</v>
      </c>
      <c r="F969" s="1589">
        <v>3.05</v>
      </c>
      <c r="G969" s="1589">
        <v>4.26</v>
      </c>
      <c r="H969" s="1589">
        <v>0</v>
      </c>
      <c r="I969" s="1590">
        <f t="shared" si="101"/>
        <v>12.99</v>
      </c>
      <c r="J969" s="1598" t="s">
        <v>102</v>
      </c>
      <c r="K969" s="1585"/>
      <c r="L969" s="1573"/>
      <c r="M969" s="1585"/>
      <c r="N969" s="1578" t="s">
        <v>2218</v>
      </c>
    </row>
    <row r="970" spans="1:14" s="1586" customFormat="1" ht="16.5" customHeight="1">
      <c r="A970" s="1570"/>
      <c r="B970" s="1585" t="s">
        <v>3195</v>
      </c>
      <c r="C970" s="1571">
        <v>1</v>
      </c>
      <c r="D970" s="1587" t="s">
        <v>273</v>
      </c>
      <c r="E970" s="1588">
        <v>1</v>
      </c>
      <c r="F970" s="1589">
        <v>3.05</v>
      </c>
      <c r="G970" s="1589">
        <v>4.26</v>
      </c>
      <c r="H970" s="1589">
        <v>0</v>
      </c>
      <c r="I970" s="1590">
        <f t="shared" si="101"/>
        <v>12.99</v>
      </c>
      <c r="J970" s="1598" t="s">
        <v>102</v>
      </c>
      <c r="K970" s="1585"/>
      <c r="L970" s="1573"/>
      <c r="M970" s="1585"/>
      <c r="N970" s="1578" t="s">
        <v>2218</v>
      </c>
    </row>
    <row r="971" spans="1:14" s="1586" customFormat="1" ht="16.5" customHeight="1">
      <c r="A971" s="1570"/>
      <c r="B971" s="1585" t="s">
        <v>3353</v>
      </c>
      <c r="C971" s="1571">
        <v>1</v>
      </c>
      <c r="D971" s="1587" t="s">
        <v>273</v>
      </c>
      <c r="E971" s="1588">
        <v>1</v>
      </c>
      <c r="F971" s="1589">
        <v>3.05</v>
      </c>
      <c r="G971" s="1589">
        <v>4.26</v>
      </c>
      <c r="H971" s="1589">
        <v>0</v>
      </c>
      <c r="I971" s="1590">
        <f t="shared" si="101"/>
        <v>12.99</v>
      </c>
      <c r="J971" s="1598" t="s">
        <v>102</v>
      </c>
      <c r="K971" s="1585"/>
      <c r="L971" s="1573"/>
      <c r="M971" s="1585"/>
      <c r="N971" s="1578" t="s">
        <v>2218</v>
      </c>
    </row>
    <row r="972" spans="1:14" s="1586" customFormat="1" ht="16.5" customHeight="1">
      <c r="A972" s="1570"/>
      <c r="B972" s="1585" t="s">
        <v>578</v>
      </c>
      <c r="C972" s="1571">
        <v>1</v>
      </c>
      <c r="D972" s="1587" t="s">
        <v>273</v>
      </c>
      <c r="E972" s="1588">
        <v>2</v>
      </c>
      <c r="F972" s="1589">
        <v>3.28</v>
      </c>
      <c r="G972" s="1589">
        <v>1.07</v>
      </c>
      <c r="H972" s="1589">
        <v>0</v>
      </c>
      <c r="I972" s="1590">
        <f t="shared" si="101"/>
        <v>7.02</v>
      </c>
      <c r="J972" s="1598" t="s">
        <v>102</v>
      </c>
      <c r="K972" s="1585"/>
      <c r="L972" s="1573"/>
      <c r="M972" s="1585"/>
      <c r="N972" s="1578" t="s">
        <v>2218</v>
      </c>
    </row>
    <row r="973" spans="1:14" s="1586" customFormat="1" ht="16.5" customHeight="1">
      <c r="A973" s="1570"/>
      <c r="B973" s="1585"/>
      <c r="C973" s="1571">
        <v>1</v>
      </c>
      <c r="D973" s="1587" t="s">
        <v>273</v>
      </c>
      <c r="E973" s="1588">
        <v>1</v>
      </c>
      <c r="F973" s="1589">
        <v>3.46</v>
      </c>
      <c r="G973" s="1589">
        <v>2</v>
      </c>
      <c r="H973" s="1589">
        <v>0</v>
      </c>
      <c r="I973" s="1590">
        <f t="shared" si="101"/>
        <v>6.92</v>
      </c>
      <c r="J973" s="1598" t="s">
        <v>102</v>
      </c>
      <c r="K973" s="1585"/>
      <c r="L973" s="1573"/>
      <c r="M973" s="1585"/>
      <c r="N973" s="1578" t="s">
        <v>2218</v>
      </c>
    </row>
    <row r="974" spans="1:14" s="1586" customFormat="1" ht="16.5" customHeight="1">
      <c r="A974" s="1570"/>
      <c r="B974" s="1585" t="s">
        <v>1244</v>
      </c>
      <c r="C974" s="1571">
        <v>2</v>
      </c>
      <c r="D974" s="1587" t="s">
        <v>273</v>
      </c>
      <c r="E974" s="1588">
        <v>2</v>
      </c>
      <c r="F974" s="1589">
        <v>0.84</v>
      </c>
      <c r="G974" s="1589">
        <v>0</v>
      </c>
      <c r="H974" s="1589">
        <v>0.3</v>
      </c>
      <c r="I974" s="1590">
        <f t="shared" si="101"/>
        <v>1.01</v>
      </c>
      <c r="J974" s="1598" t="s">
        <v>102</v>
      </c>
      <c r="K974" s="1585"/>
      <c r="L974" s="1573"/>
      <c r="M974" s="1585"/>
      <c r="N974" s="1578" t="s">
        <v>2218</v>
      </c>
    </row>
    <row r="975" spans="1:14" s="1586" customFormat="1" ht="16.5" customHeight="1">
      <c r="A975" s="1570"/>
      <c r="B975" s="1585"/>
      <c r="C975" s="1571">
        <v>2</v>
      </c>
      <c r="D975" s="1587" t="s">
        <v>273</v>
      </c>
      <c r="E975" s="1588">
        <v>2</v>
      </c>
      <c r="F975" s="1589">
        <v>1.77</v>
      </c>
      <c r="G975" s="1589">
        <v>0</v>
      </c>
      <c r="H975" s="1589">
        <v>0.3</v>
      </c>
      <c r="I975" s="1590">
        <f t="shared" si="101"/>
        <v>2.12</v>
      </c>
      <c r="J975" s="1598" t="s">
        <v>102</v>
      </c>
      <c r="K975" s="1585"/>
      <c r="L975" s="1573"/>
      <c r="M975" s="1585"/>
      <c r="N975" s="1578" t="s">
        <v>2218</v>
      </c>
    </row>
    <row r="976" spans="1:14" s="1586" customFormat="1" ht="16.5" customHeight="1">
      <c r="A976" s="1570"/>
      <c r="B976" s="1585" t="s">
        <v>3684</v>
      </c>
      <c r="C976" s="1571">
        <v>1</v>
      </c>
      <c r="D976" s="1587" t="s">
        <v>273</v>
      </c>
      <c r="E976" s="1588">
        <v>1</v>
      </c>
      <c r="F976" s="1589">
        <v>10.43</v>
      </c>
      <c r="G976" s="1589">
        <v>0.3</v>
      </c>
      <c r="H976" s="1589">
        <v>0</v>
      </c>
      <c r="I976" s="1590">
        <f t="shared" si="101"/>
        <v>3.13</v>
      </c>
      <c r="J976" s="1598" t="s">
        <v>102</v>
      </c>
      <c r="K976" s="1585"/>
      <c r="L976" s="1573"/>
      <c r="M976" s="1585"/>
      <c r="N976" s="1578" t="s">
        <v>2218</v>
      </c>
    </row>
    <row r="977" spans="1:14" s="1586" customFormat="1" ht="16.5" customHeight="1">
      <c r="A977" s="1570"/>
      <c r="B977" s="1585" t="s">
        <v>3362</v>
      </c>
      <c r="C977" s="1571">
        <v>1</v>
      </c>
      <c r="D977" s="1587" t="s">
        <v>273</v>
      </c>
      <c r="E977" s="1588">
        <v>2</v>
      </c>
      <c r="F977" s="1589">
        <v>10.59</v>
      </c>
      <c r="G977" s="1589">
        <v>0.3</v>
      </c>
      <c r="H977" s="1589">
        <v>0</v>
      </c>
      <c r="I977" s="1590">
        <f t="shared" si="101"/>
        <v>6.35</v>
      </c>
      <c r="J977" s="1598" t="s">
        <v>102</v>
      </c>
      <c r="K977" s="1585"/>
      <c r="L977" s="1573"/>
      <c r="M977" s="1585"/>
      <c r="N977" s="1578" t="s">
        <v>2218</v>
      </c>
    </row>
    <row r="978" spans="1:14" s="1586" customFormat="1" ht="16.5" customHeight="1">
      <c r="A978" s="1570"/>
      <c r="B978" s="1585" t="s">
        <v>3205</v>
      </c>
      <c r="C978" s="1571">
        <v>1</v>
      </c>
      <c r="D978" s="1587" t="s">
        <v>273</v>
      </c>
      <c r="E978" s="1588">
        <v>8</v>
      </c>
      <c r="F978" s="1589">
        <v>1.5</v>
      </c>
      <c r="G978" s="1589">
        <v>0.6</v>
      </c>
      <c r="H978" s="1589">
        <v>0</v>
      </c>
      <c r="I978" s="1590">
        <f t="shared" si="101"/>
        <v>7.2</v>
      </c>
      <c r="J978" s="1598" t="s">
        <v>102</v>
      </c>
      <c r="K978" s="1585"/>
      <c r="L978" s="1573"/>
      <c r="M978" s="1585"/>
      <c r="N978" s="1578" t="s">
        <v>2218</v>
      </c>
    </row>
    <row r="979" spans="1:14" s="1586" customFormat="1" ht="16.5" customHeight="1">
      <c r="A979" s="1570"/>
      <c r="B979" s="1600"/>
      <c r="C979" s="1601"/>
      <c r="D979" s="1602"/>
      <c r="E979" s="1603"/>
      <c r="F979" s="1604"/>
      <c r="G979" s="1604"/>
      <c r="H979" s="1604"/>
      <c r="I979" s="1605"/>
      <c r="J979" s="1598"/>
      <c r="K979" s="1585"/>
      <c r="L979" s="1573"/>
      <c r="M979" s="1585"/>
      <c r="N979" s="1578" t="s">
        <v>2218</v>
      </c>
    </row>
    <row r="980" spans="1:14" s="1575" customFormat="1" ht="15.75">
      <c r="A980" s="1570"/>
      <c r="B980" s="1585"/>
      <c r="C980" s="1606"/>
      <c r="D980" s="1587"/>
      <c r="E980" s="1588"/>
      <c r="F980" s="1589"/>
      <c r="G980" s="1607"/>
      <c r="H980" s="1570"/>
      <c r="I980" s="1605">
        <f>SUM(I967:I979)</f>
        <v>135.33999999999997</v>
      </c>
      <c r="J980" s="1598" t="s">
        <v>102</v>
      </c>
      <c r="K980" s="1608">
        <f>data!E444</f>
        <v>264.94</v>
      </c>
      <c r="L980" s="1573" t="s">
        <v>2218</v>
      </c>
      <c r="M980" s="1609">
        <f>ROUND(I980*K980,0)</f>
        <v>35857</v>
      </c>
      <c r="N980" s="1578" t="s">
        <v>2218</v>
      </c>
    </row>
    <row r="981" spans="1:14" ht="54.75" hidden="1" customHeight="1">
      <c r="A981" s="1156">
        <v>29</v>
      </c>
      <c r="B981" s="1826" t="s">
        <v>125</v>
      </c>
      <c r="C981" s="1826"/>
      <c r="D981" s="1826"/>
      <c r="E981" s="1826"/>
      <c r="F981" s="1826"/>
      <c r="G981" s="1826"/>
      <c r="H981" s="1826"/>
      <c r="I981" s="1157"/>
      <c r="J981" s="1158"/>
      <c r="K981" s="1156"/>
      <c r="L981" s="1159"/>
      <c r="M981" s="1160"/>
      <c r="N981" s="1161" t="s">
        <v>2306</v>
      </c>
    </row>
    <row r="982" spans="1:14" s="1170" customFormat="1" ht="16.5" hidden="1" customHeight="1">
      <c r="A982" s="1156"/>
      <c r="B982" s="1169" t="s">
        <v>3593</v>
      </c>
      <c r="C982" s="1157"/>
      <c r="D982" s="1548" t="s">
        <v>3648</v>
      </c>
      <c r="E982" s="1165"/>
      <c r="F982" s="1166"/>
      <c r="G982" s="1166"/>
      <c r="H982" s="1166"/>
      <c r="I982" s="1167"/>
      <c r="J982" s="1168"/>
      <c r="K982" s="1169"/>
      <c r="L982" s="1159"/>
      <c r="M982" s="1169"/>
      <c r="N982" s="1161" t="s">
        <v>2306</v>
      </c>
    </row>
    <row r="983" spans="1:14" s="1170" customFormat="1" ht="16.5" hidden="1" customHeight="1">
      <c r="A983" s="1156"/>
      <c r="B983" s="1169" t="s">
        <v>3359</v>
      </c>
      <c r="C983" s="1157">
        <v>1</v>
      </c>
      <c r="D983" s="1171" t="s">
        <v>273</v>
      </c>
      <c r="E983" s="1165">
        <v>1</v>
      </c>
      <c r="F983" s="1166">
        <v>9.3699999999999992</v>
      </c>
      <c r="G983" s="1166">
        <v>5.75</v>
      </c>
      <c r="H983" s="1166">
        <v>0</v>
      </c>
      <c r="I983" s="1172">
        <f t="shared" ref="I983:I994" si="102">ROUND(IF(AND(F983:H983),C983*E983*F983*G983*H983,IF(AND(F983,G983),C983*E983*F983*G983,IF(AND(F983,H983),C983*E983*F983*H983,IF(AND(G983,H983),C983*E983*G983*H983,IF(F983,C983*E983*F983,IF(G983,C983*E983*G983,IF(H983,C983*E983*H983,C983*E983))))))),2)</f>
        <v>53.88</v>
      </c>
      <c r="J983" s="1168" t="s">
        <v>102</v>
      </c>
      <c r="K983" s="1169"/>
      <c r="L983" s="1159"/>
      <c r="M983" s="1169"/>
      <c r="N983" s="1161" t="s">
        <v>2306</v>
      </c>
    </row>
    <row r="984" spans="1:14" s="1170" customFormat="1" ht="16.5" hidden="1" customHeight="1">
      <c r="A984" s="1156"/>
      <c r="B984" s="1169" t="s">
        <v>1244</v>
      </c>
      <c r="C984" s="1157">
        <v>2</v>
      </c>
      <c r="D984" s="1171" t="s">
        <v>273</v>
      </c>
      <c r="E984" s="1165">
        <v>2</v>
      </c>
      <c r="F984" s="1166">
        <v>5.75</v>
      </c>
      <c r="G984" s="1166">
        <v>0</v>
      </c>
      <c r="H984" s="1166">
        <v>0.38</v>
      </c>
      <c r="I984" s="1172">
        <f t="shared" si="102"/>
        <v>8.74</v>
      </c>
      <c r="J984" s="1168" t="s">
        <v>102</v>
      </c>
      <c r="K984" s="1169"/>
      <c r="L984" s="1159"/>
      <c r="M984" s="1169"/>
      <c r="N984" s="1161" t="s">
        <v>2306</v>
      </c>
    </row>
    <row r="985" spans="1:14" s="1170" customFormat="1" ht="16.5" hidden="1" customHeight="1">
      <c r="A985" s="1156"/>
      <c r="B985" s="1169" t="s">
        <v>3352</v>
      </c>
      <c r="C985" s="1157">
        <v>1</v>
      </c>
      <c r="D985" s="1171" t="s">
        <v>273</v>
      </c>
      <c r="E985" s="1165">
        <v>1</v>
      </c>
      <c r="F985" s="1166">
        <v>3.05</v>
      </c>
      <c r="G985" s="1166">
        <v>4.26</v>
      </c>
      <c r="H985" s="1166">
        <v>0</v>
      </c>
      <c r="I985" s="1172">
        <f t="shared" si="102"/>
        <v>12.99</v>
      </c>
      <c r="J985" s="1168" t="s">
        <v>102</v>
      </c>
      <c r="K985" s="1169"/>
      <c r="L985" s="1159"/>
      <c r="M985" s="1169"/>
      <c r="N985" s="1161" t="s">
        <v>2306</v>
      </c>
    </row>
    <row r="986" spans="1:14" s="1170" customFormat="1" ht="16.5" hidden="1" customHeight="1">
      <c r="A986" s="1156"/>
      <c r="B986" s="1169" t="s">
        <v>586</v>
      </c>
      <c r="C986" s="1157">
        <v>1</v>
      </c>
      <c r="D986" s="1171" t="s">
        <v>273</v>
      </c>
      <c r="E986" s="1165">
        <v>1</v>
      </c>
      <c r="F986" s="1166">
        <v>3.05</v>
      </c>
      <c r="G986" s="1166">
        <v>4.26</v>
      </c>
      <c r="H986" s="1166">
        <v>0</v>
      </c>
      <c r="I986" s="1172">
        <f t="shared" si="102"/>
        <v>12.99</v>
      </c>
      <c r="J986" s="1168" t="s">
        <v>102</v>
      </c>
      <c r="K986" s="1169"/>
      <c r="L986" s="1159"/>
      <c r="M986" s="1169"/>
      <c r="N986" s="1161" t="s">
        <v>2306</v>
      </c>
    </row>
    <row r="987" spans="1:14" s="1170" customFormat="1" ht="16.5" hidden="1" customHeight="1">
      <c r="A987" s="1156"/>
      <c r="B987" s="1169" t="s">
        <v>3353</v>
      </c>
      <c r="C987" s="1157">
        <v>1</v>
      </c>
      <c r="D987" s="1171" t="s">
        <v>273</v>
      </c>
      <c r="E987" s="1165">
        <v>1</v>
      </c>
      <c r="F987" s="1166">
        <v>3.05</v>
      </c>
      <c r="G987" s="1166">
        <v>4.26</v>
      </c>
      <c r="H987" s="1166">
        <v>0</v>
      </c>
      <c r="I987" s="1172">
        <f t="shared" si="102"/>
        <v>12.99</v>
      </c>
      <c r="J987" s="1168" t="s">
        <v>102</v>
      </c>
      <c r="K987" s="1169"/>
      <c r="L987" s="1159"/>
      <c r="M987" s="1169"/>
      <c r="N987" s="1161" t="s">
        <v>2306</v>
      </c>
    </row>
    <row r="988" spans="1:14" s="1170" customFormat="1" ht="16.5" hidden="1" customHeight="1">
      <c r="A988" s="1156"/>
      <c r="B988" s="1169" t="s">
        <v>3360</v>
      </c>
      <c r="C988" s="1157">
        <v>1</v>
      </c>
      <c r="D988" s="1171" t="s">
        <v>273</v>
      </c>
      <c r="E988" s="1165">
        <v>2</v>
      </c>
      <c r="F988" s="1166">
        <v>3.28</v>
      </c>
      <c r="G988" s="1166">
        <v>1.07</v>
      </c>
      <c r="H988" s="1166">
        <v>0</v>
      </c>
      <c r="I988" s="1172">
        <f t="shared" si="102"/>
        <v>7.02</v>
      </c>
      <c r="J988" s="1168" t="s">
        <v>102</v>
      </c>
      <c r="K988" s="1169"/>
      <c r="L988" s="1159"/>
      <c r="M988" s="1169"/>
      <c r="N988" s="1161" t="s">
        <v>2306</v>
      </c>
    </row>
    <row r="989" spans="1:14" s="1170" customFormat="1" ht="16.5" hidden="1" customHeight="1">
      <c r="A989" s="1156"/>
      <c r="B989" s="1169"/>
      <c r="C989" s="1157">
        <v>1</v>
      </c>
      <c r="D989" s="1171" t="s">
        <v>273</v>
      </c>
      <c r="E989" s="1165">
        <v>1</v>
      </c>
      <c r="F989" s="1166">
        <v>3.46</v>
      </c>
      <c r="G989" s="1166">
        <v>2</v>
      </c>
      <c r="H989" s="1166">
        <v>0</v>
      </c>
      <c r="I989" s="1172">
        <f t="shared" si="102"/>
        <v>6.92</v>
      </c>
      <c r="J989" s="1168" t="s">
        <v>102</v>
      </c>
      <c r="K989" s="1169"/>
      <c r="L989" s="1159"/>
      <c r="M989" s="1169"/>
      <c r="N989" s="1161" t="s">
        <v>2306</v>
      </c>
    </row>
    <row r="990" spans="1:14" s="1170" customFormat="1" ht="16.5" hidden="1" customHeight="1">
      <c r="A990" s="1156"/>
      <c r="B990" s="1169" t="s">
        <v>1244</v>
      </c>
      <c r="C990" s="1157">
        <v>2</v>
      </c>
      <c r="D990" s="1171" t="s">
        <v>273</v>
      </c>
      <c r="E990" s="1165">
        <v>2</v>
      </c>
      <c r="F990" s="1166">
        <v>0.84</v>
      </c>
      <c r="G990" s="1166">
        <v>0</v>
      </c>
      <c r="H990" s="1166">
        <v>0.3</v>
      </c>
      <c r="I990" s="1172">
        <f t="shared" si="102"/>
        <v>1.01</v>
      </c>
      <c r="J990" s="1168" t="s">
        <v>102</v>
      </c>
      <c r="K990" s="1169"/>
      <c r="L990" s="1159"/>
      <c r="M990" s="1169"/>
      <c r="N990" s="1161" t="s">
        <v>2306</v>
      </c>
    </row>
    <row r="991" spans="1:14" s="1170" customFormat="1" ht="16.5" hidden="1" customHeight="1">
      <c r="A991" s="1156"/>
      <c r="B991" s="1169"/>
      <c r="C991" s="1157">
        <v>2</v>
      </c>
      <c r="D991" s="1171" t="s">
        <v>273</v>
      </c>
      <c r="E991" s="1165">
        <v>2</v>
      </c>
      <c r="F991" s="1166">
        <v>1.77</v>
      </c>
      <c r="G991" s="1166">
        <v>0</v>
      </c>
      <c r="H991" s="1166">
        <v>0.3</v>
      </c>
      <c r="I991" s="1172">
        <f t="shared" si="102"/>
        <v>2.12</v>
      </c>
      <c r="J991" s="1168" t="s">
        <v>102</v>
      </c>
      <c r="K991" s="1169"/>
      <c r="L991" s="1159"/>
      <c r="M991" s="1169"/>
      <c r="N991" s="1161" t="s">
        <v>2306</v>
      </c>
    </row>
    <row r="992" spans="1:14" s="1170" customFormat="1" ht="16.5" hidden="1" customHeight="1">
      <c r="A992" s="1156"/>
      <c r="B992" s="1169" t="s">
        <v>3361</v>
      </c>
      <c r="C992" s="1157">
        <v>1</v>
      </c>
      <c r="D992" s="1171" t="s">
        <v>273</v>
      </c>
      <c r="E992" s="1165">
        <v>1</v>
      </c>
      <c r="F992" s="1166">
        <v>10.43</v>
      </c>
      <c r="G992" s="1166">
        <v>0.3</v>
      </c>
      <c r="H992" s="1166">
        <v>0</v>
      </c>
      <c r="I992" s="1172">
        <f t="shared" si="102"/>
        <v>3.13</v>
      </c>
      <c r="J992" s="1168" t="s">
        <v>102</v>
      </c>
      <c r="K992" s="1169"/>
      <c r="L992" s="1159"/>
      <c r="M992" s="1169"/>
      <c r="N992" s="1161" t="s">
        <v>2306</v>
      </c>
    </row>
    <row r="993" spans="1:14" s="1170" customFormat="1" ht="16.5" hidden="1" customHeight="1">
      <c r="A993" s="1156"/>
      <c r="B993" s="1169" t="s">
        <v>3362</v>
      </c>
      <c r="C993" s="1157">
        <v>1</v>
      </c>
      <c r="D993" s="1171" t="s">
        <v>273</v>
      </c>
      <c r="E993" s="1165">
        <v>2</v>
      </c>
      <c r="F993" s="1166">
        <v>10.6</v>
      </c>
      <c r="G993" s="1166">
        <v>0.3</v>
      </c>
      <c r="H993" s="1166">
        <v>0</v>
      </c>
      <c r="I993" s="1172">
        <f t="shared" si="102"/>
        <v>6.36</v>
      </c>
      <c r="J993" s="1168" t="s">
        <v>102</v>
      </c>
      <c r="K993" s="1169"/>
      <c r="L993" s="1159"/>
      <c r="M993" s="1169"/>
      <c r="N993" s="1161" t="s">
        <v>2306</v>
      </c>
    </row>
    <row r="994" spans="1:14" s="1170" customFormat="1" ht="16.5" hidden="1" customHeight="1">
      <c r="A994" s="1156"/>
      <c r="B994" s="1169" t="s">
        <v>3205</v>
      </c>
      <c r="C994" s="1157">
        <v>1</v>
      </c>
      <c r="D994" s="1171" t="s">
        <v>273</v>
      </c>
      <c r="E994" s="1165">
        <v>8</v>
      </c>
      <c r="F994" s="1166">
        <v>1.5</v>
      </c>
      <c r="G994" s="1166">
        <v>0.6</v>
      </c>
      <c r="H994" s="1166">
        <v>0</v>
      </c>
      <c r="I994" s="1172">
        <f t="shared" si="102"/>
        <v>7.2</v>
      </c>
      <c r="J994" s="1168" t="s">
        <v>102</v>
      </c>
      <c r="K994" s="1169"/>
      <c r="L994" s="1159"/>
      <c r="M994" s="1169"/>
      <c r="N994" s="1161" t="s">
        <v>2306</v>
      </c>
    </row>
    <row r="995" spans="1:14" s="1170" customFormat="1" ht="16.5" hidden="1" customHeight="1">
      <c r="A995" s="1156"/>
      <c r="B995" s="1331"/>
      <c r="C995" s="1332"/>
      <c r="D995" s="1333"/>
      <c r="E995" s="1334"/>
      <c r="F995" s="1335"/>
      <c r="G995" s="1335"/>
      <c r="H995" s="1335"/>
      <c r="I995" s="1336"/>
      <c r="J995" s="1168"/>
      <c r="K995" s="1169"/>
      <c r="L995" s="1159"/>
      <c r="M995" s="1169"/>
      <c r="N995" s="1161" t="s">
        <v>2306</v>
      </c>
    </row>
    <row r="996" spans="1:14" ht="15.75" hidden="1">
      <c r="A996" s="1156"/>
      <c r="B996" s="1169"/>
      <c r="C996" s="1337"/>
      <c r="D996" s="1171"/>
      <c r="E996" s="1165"/>
      <c r="F996" s="1166"/>
      <c r="G996" s="1343"/>
      <c r="H996" s="1156"/>
      <c r="I996" s="1336"/>
      <c r="J996" s="1168" t="s">
        <v>102</v>
      </c>
      <c r="K996" s="1221">
        <f>data!E1361</f>
        <v>284</v>
      </c>
      <c r="L996" s="1159" t="s">
        <v>2306</v>
      </c>
      <c r="M996" s="1224">
        <f>ROUND(I996*K996,0)</f>
        <v>0</v>
      </c>
      <c r="N996" s="1161" t="s">
        <v>2306</v>
      </c>
    </row>
    <row r="997" spans="1:14" ht="54.75" hidden="1" customHeight="1">
      <c r="A997" s="1156">
        <v>25</v>
      </c>
      <c r="B997" s="1826" t="s">
        <v>125</v>
      </c>
      <c r="C997" s="1826"/>
      <c r="D997" s="1826"/>
      <c r="E997" s="1826"/>
      <c r="F997" s="1826"/>
      <c r="G997" s="1826"/>
      <c r="H997" s="1826"/>
      <c r="I997" s="1157"/>
      <c r="J997" s="1158"/>
      <c r="K997" s="1156"/>
      <c r="L997" s="1159"/>
      <c r="M997" s="1160"/>
      <c r="N997" s="1161" t="s">
        <v>2317</v>
      </c>
    </row>
    <row r="998" spans="1:14" s="1170" customFormat="1" ht="16.5" hidden="1" customHeight="1">
      <c r="A998" s="1156"/>
      <c r="B998" s="1169" t="s">
        <v>3682</v>
      </c>
      <c r="C998" s="1157"/>
      <c r="D998" s="1548" t="s">
        <v>3735</v>
      </c>
      <c r="E998" s="1165"/>
      <c r="F998" s="1166"/>
      <c r="G998" s="1166"/>
      <c r="H998" s="1166"/>
      <c r="I998" s="1167"/>
      <c r="J998" s="1168"/>
      <c r="K998" s="1169"/>
      <c r="L998" s="1159"/>
      <c r="M998" s="1169"/>
      <c r="N998" s="1161" t="s">
        <v>2317</v>
      </c>
    </row>
    <row r="999" spans="1:14" s="1170" customFormat="1" ht="16.5" hidden="1" customHeight="1">
      <c r="A999" s="1156"/>
      <c r="B999" s="1169" t="s">
        <v>3359</v>
      </c>
      <c r="C999" s="1157">
        <v>1</v>
      </c>
      <c r="D999" s="1171" t="s">
        <v>273</v>
      </c>
      <c r="E999" s="1165">
        <v>1</v>
      </c>
      <c r="F999" s="1166">
        <v>9.3699999999999992</v>
      </c>
      <c r="G999" s="1166">
        <v>5.75</v>
      </c>
      <c r="H999" s="1166">
        <v>0</v>
      </c>
      <c r="I999" s="1172">
        <f t="shared" ref="I999:I1007" si="103">ROUND(IF(AND(F999:H999),C999*E999*F999*G999*H999,IF(AND(F999,G999),C999*E999*F999*G999,IF(AND(F999,H999),C999*E999*F999*H999,IF(AND(G999,H999),C999*E999*G999*H999,IF(F999,C999*E999*F999,IF(G999,C999*E999*G999,IF(H999,C999*E999*H999,C999*E999))))))),2)</f>
        <v>53.88</v>
      </c>
      <c r="J999" s="1168" t="s">
        <v>102</v>
      </c>
      <c r="K999" s="1169"/>
      <c r="L999" s="1159"/>
      <c r="M999" s="1169"/>
      <c r="N999" s="1161" t="s">
        <v>2317</v>
      </c>
    </row>
    <row r="1000" spans="1:14" s="1170" customFormat="1" ht="16.5" hidden="1" customHeight="1">
      <c r="A1000" s="1156"/>
      <c r="B1000" s="1169" t="s">
        <v>3352</v>
      </c>
      <c r="C1000" s="1157">
        <v>1</v>
      </c>
      <c r="D1000" s="1171" t="s">
        <v>273</v>
      </c>
      <c r="E1000" s="1165">
        <v>1</v>
      </c>
      <c r="F1000" s="1166">
        <v>3.04</v>
      </c>
      <c r="G1000" s="1166">
        <v>4.26</v>
      </c>
      <c r="H1000" s="1166">
        <v>0</v>
      </c>
      <c r="I1000" s="1172">
        <f t="shared" si="103"/>
        <v>12.95</v>
      </c>
      <c r="J1000" s="1168" t="s">
        <v>102</v>
      </c>
      <c r="K1000" s="1169"/>
      <c r="L1000" s="1159"/>
      <c r="M1000" s="1169"/>
      <c r="N1000" s="1161" t="s">
        <v>2317</v>
      </c>
    </row>
    <row r="1001" spans="1:14" s="1170" customFormat="1" ht="16.5" hidden="1" customHeight="1">
      <c r="A1001" s="1156"/>
      <c r="B1001" s="1169" t="s">
        <v>3353</v>
      </c>
      <c r="C1001" s="1157">
        <v>1</v>
      </c>
      <c r="D1001" s="1171" t="s">
        <v>273</v>
      </c>
      <c r="E1001" s="1165">
        <v>1</v>
      </c>
      <c r="F1001" s="1166">
        <v>3.04</v>
      </c>
      <c r="G1001" s="1166">
        <v>4.26</v>
      </c>
      <c r="H1001" s="1166">
        <v>0</v>
      </c>
      <c r="I1001" s="1172">
        <f t="shared" si="103"/>
        <v>12.95</v>
      </c>
      <c r="J1001" s="1168" t="s">
        <v>102</v>
      </c>
      <c r="K1001" s="1169"/>
      <c r="L1001" s="1159"/>
      <c r="M1001" s="1169"/>
      <c r="N1001" s="1161" t="s">
        <v>2317</v>
      </c>
    </row>
    <row r="1002" spans="1:14" s="1170" customFormat="1" ht="16.5" hidden="1" customHeight="1">
      <c r="A1002" s="1156"/>
      <c r="B1002" s="1169" t="s">
        <v>586</v>
      </c>
      <c r="C1002" s="1157">
        <v>1</v>
      </c>
      <c r="D1002" s="1171" t="s">
        <v>273</v>
      </c>
      <c r="E1002" s="1165">
        <v>1</v>
      </c>
      <c r="F1002" s="1166">
        <v>3.05</v>
      </c>
      <c r="G1002" s="1166">
        <v>4.26</v>
      </c>
      <c r="H1002" s="1166">
        <v>0</v>
      </c>
      <c r="I1002" s="1172">
        <f t="shared" si="103"/>
        <v>12.99</v>
      </c>
      <c r="J1002" s="1168" t="s">
        <v>102</v>
      </c>
      <c r="K1002" s="1169"/>
      <c r="L1002" s="1159"/>
      <c r="M1002" s="1169"/>
      <c r="N1002" s="1161" t="s">
        <v>2317</v>
      </c>
    </row>
    <row r="1003" spans="1:14" s="1170" customFormat="1" ht="16.5" hidden="1" customHeight="1">
      <c r="A1003" s="1156"/>
      <c r="B1003" s="1169" t="s">
        <v>3683</v>
      </c>
      <c r="C1003" s="1157">
        <v>2</v>
      </c>
      <c r="D1003" s="1171" t="s">
        <v>273</v>
      </c>
      <c r="E1003" s="1165">
        <v>2</v>
      </c>
      <c r="F1003" s="1166">
        <v>5.75</v>
      </c>
      <c r="G1003" s="1166">
        <v>0.38</v>
      </c>
      <c r="H1003" s="1166">
        <v>0</v>
      </c>
      <c r="I1003" s="1172">
        <f t="shared" si="103"/>
        <v>8.74</v>
      </c>
      <c r="J1003" s="1168" t="s">
        <v>102</v>
      </c>
      <c r="K1003" s="1169"/>
      <c r="L1003" s="1159"/>
      <c r="M1003" s="1169"/>
      <c r="N1003" s="1161" t="s">
        <v>2317</v>
      </c>
    </row>
    <row r="1004" spans="1:14" s="1170" customFormat="1" ht="16.5" hidden="1" customHeight="1">
      <c r="A1004" s="1156"/>
      <c r="B1004" s="1169" t="s">
        <v>3360</v>
      </c>
      <c r="C1004" s="1157">
        <v>1</v>
      </c>
      <c r="D1004" s="1171" t="s">
        <v>273</v>
      </c>
      <c r="E1004" s="1165">
        <v>1</v>
      </c>
      <c r="F1004" s="1166">
        <v>9.83</v>
      </c>
      <c r="G1004" s="1166">
        <v>1.08</v>
      </c>
      <c r="H1004" s="1166">
        <v>0</v>
      </c>
      <c r="I1004" s="1172">
        <f t="shared" si="103"/>
        <v>10.62</v>
      </c>
      <c r="J1004" s="1168" t="s">
        <v>102</v>
      </c>
      <c r="K1004" s="1169"/>
      <c r="L1004" s="1159"/>
      <c r="M1004" s="1169"/>
      <c r="N1004" s="1161" t="s">
        <v>2317</v>
      </c>
    </row>
    <row r="1005" spans="1:14" s="1170" customFormat="1" ht="16.5" hidden="1" customHeight="1">
      <c r="A1005" s="1156"/>
      <c r="B1005" s="1169"/>
      <c r="C1005" s="1157">
        <v>1</v>
      </c>
      <c r="D1005" s="1171" t="s">
        <v>273</v>
      </c>
      <c r="E1005" s="1165">
        <v>1</v>
      </c>
      <c r="F1005" s="1166">
        <v>3.51</v>
      </c>
      <c r="G1005" s="1166">
        <v>0.93</v>
      </c>
      <c r="H1005" s="1166">
        <v>0</v>
      </c>
      <c r="I1005" s="1172">
        <f t="shared" si="103"/>
        <v>3.26</v>
      </c>
      <c r="J1005" s="1168" t="s">
        <v>102</v>
      </c>
      <c r="K1005" s="1169"/>
      <c r="L1005" s="1159"/>
      <c r="M1005" s="1169"/>
      <c r="N1005" s="1161" t="s">
        <v>2317</v>
      </c>
    </row>
    <row r="1006" spans="1:14" s="1170" customFormat="1" ht="16.5" hidden="1" customHeight="1">
      <c r="A1006" s="1156"/>
      <c r="B1006" s="1169" t="s">
        <v>3684</v>
      </c>
      <c r="C1006" s="1157">
        <v>1</v>
      </c>
      <c r="D1006" s="1171" t="s">
        <v>273</v>
      </c>
      <c r="E1006" s="1165">
        <v>2</v>
      </c>
      <c r="F1006" s="1166">
        <v>11.66</v>
      </c>
      <c r="G1006" s="1166">
        <v>0.3</v>
      </c>
      <c r="H1006" s="1166">
        <v>0</v>
      </c>
      <c r="I1006" s="1172">
        <f t="shared" si="103"/>
        <v>7</v>
      </c>
      <c r="J1006" s="1168" t="s">
        <v>102</v>
      </c>
      <c r="K1006" s="1169"/>
      <c r="L1006" s="1159"/>
      <c r="M1006" s="1169"/>
      <c r="N1006" s="1161" t="s">
        <v>2317</v>
      </c>
    </row>
    <row r="1007" spans="1:14" s="1170" customFormat="1" ht="16.5" hidden="1" customHeight="1">
      <c r="A1007" s="1156"/>
      <c r="B1007" s="1169"/>
      <c r="C1007" s="1157">
        <v>1</v>
      </c>
      <c r="D1007" s="1171" t="s">
        <v>273</v>
      </c>
      <c r="E1007" s="1165">
        <v>1</v>
      </c>
      <c r="F1007" s="1166">
        <v>10.43</v>
      </c>
      <c r="G1007" s="1166">
        <v>0.3</v>
      </c>
      <c r="H1007" s="1166">
        <v>0</v>
      </c>
      <c r="I1007" s="1172">
        <f t="shared" si="103"/>
        <v>3.13</v>
      </c>
      <c r="J1007" s="1168" t="s">
        <v>102</v>
      </c>
      <c r="K1007" s="1169"/>
      <c r="L1007" s="1159"/>
      <c r="M1007" s="1169"/>
      <c r="N1007" s="1161" t="s">
        <v>2317</v>
      </c>
    </row>
    <row r="1008" spans="1:14" s="1170" customFormat="1" ht="16.5" hidden="1" customHeight="1">
      <c r="A1008" s="1156"/>
      <c r="B1008" s="1331"/>
      <c r="C1008" s="1332"/>
      <c r="D1008" s="1333"/>
      <c r="E1008" s="1334"/>
      <c r="F1008" s="1335"/>
      <c r="G1008" s="1335"/>
      <c r="H1008" s="1335"/>
      <c r="I1008" s="1336"/>
      <c r="J1008" s="1168"/>
      <c r="K1008" s="1169"/>
      <c r="L1008" s="1159"/>
      <c r="M1008" s="1169"/>
      <c r="N1008" s="1161" t="s">
        <v>2317</v>
      </c>
    </row>
    <row r="1009" spans="1:14" ht="15.75" hidden="1">
      <c r="A1009" s="1156"/>
      <c r="B1009" s="1169"/>
      <c r="C1009" s="1337"/>
      <c r="D1009" s="1171"/>
      <c r="E1009" s="1165"/>
      <c r="F1009" s="1166"/>
      <c r="G1009" s="1343"/>
      <c r="H1009" s="1156"/>
      <c r="I1009" s="1336"/>
      <c r="J1009" s="1168" t="s">
        <v>102</v>
      </c>
      <c r="K1009" s="1221">
        <f>data!E2278</f>
        <v>300.93</v>
      </c>
      <c r="L1009" s="1159" t="s">
        <v>2317</v>
      </c>
      <c r="M1009" s="1224">
        <f>ROUND(I1009*K1009,0)</f>
        <v>0</v>
      </c>
      <c r="N1009" s="1161" t="s">
        <v>2317</v>
      </c>
    </row>
    <row r="1010" spans="1:14" ht="54.75" hidden="1" customHeight="1">
      <c r="A1010" s="1156">
        <v>17</v>
      </c>
      <c r="B1010" s="1826" t="s">
        <v>125</v>
      </c>
      <c r="C1010" s="1826"/>
      <c r="D1010" s="1828"/>
      <c r="E1010" s="1826"/>
      <c r="F1010" s="1826"/>
      <c r="G1010" s="1826"/>
      <c r="H1010" s="1826"/>
      <c r="I1010" s="1157"/>
      <c r="J1010" s="1158"/>
      <c r="K1010" s="1156"/>
      <c r="L1010" s="1159"/>
      <c r="M1010" s="1160"/>
      <c r="N1010" s="1161" t="s">
        <v>2318</v>
      </c>
    </row>
    <row r="1011" spans="1:14" s="1170" customFormat="1" ht="16.5" hidden="1" customHeight="1">
      <c r="A1011" s="1156"/>
      <c r="B1011" s="1169" t="s">
        <v>3395</v>
      </c>
      <c r="C1011" s="1351"/>
      <c r="D1011" s="1419"/>
      <c r="E1011" s="1352"/>
      <c r="F1011" s="1166"/>
      <c r="G1011" s="1166"/>
      <c r="H1011" s="1166"/>
      <c r="I1011" s="1167"/>
      <c r="J1011" s="1168"/>
      <c r="K1011" s="1169"/>
      <c r="L1011" s="1159"/>
      <c r="M1011" s="1169"/>
      <c r="N1011" s="1161" t="s">
        <v>2318</v>
      </c>
    </row>
    <row r="1012" spans="1:14" s="1170" customFormat="1" ht="16.5" hidden="1" customHeight="1">
      <c r="A1012" s="1156"/>
      <c r="B1012" s="1169" t="s">
        <v>3393</v>
      </c>
      <c r="C1012" s="1157">
        <v>1</v>
      </c>
      <c r="D1012" s="1171" t="s">
        <v>273</v>
      </c>
      <c r="E1012" s="1165">
        <v>1</v>
      </c>
      <c r="F1012" s="1166">
        <v>9.3000000000000007</v>
      </c>
      <c r="G1012" s="1166">
        <v>5.7</v>
      </c>
      <c r="H1012" s="1166">
        <v>0</v>
      </c>
      <c r="I1012" s="1172">
        <f t="shared" ref="I1012:I1024" si="104">ROUND(IF(AND(F1012:H1012),C1012*E1012*F1012*G1012*H1012,IF(AND(F1012,G1012),C1012*E1012*F1012*G1012,IF(AND(F1012,H1012),C1012*E1012*F1012*H1012,IF(AND(G1012,H1012),C1012*E1012*G1012*H1012,IF(F1012,C1012*E1012*F1012,IF(G1012,C1012*E1012*G1012,IF(H1012,C1012*E1012*H1012,C1012*E1012))))))),2)</f>
        <v>53.01</v>
      </c>
      <c r="J1012" s="1168" t="s">
        <v>102</v>
      </c>
      <c r="K1012" s="1169"/>
      <c r="L1012" s="1159"/>
      <c r="M1012" s="1169"/>
      <c r="N1012" s="1161" t="s">
        <v>2318</v>
      </c>
    </row>
    <row r="1013" spans="1:14" s="1170" customFormat="1" ht="16.5" hidden="1" customHeight="1">
      <c r="A1013" s="1156"/>
      <c r="B1013" s="1169" t="s">
        <v>3352</v>
      </c>
      <c r="C1013" s="1157">
        <v>1</v>
      </c>
      <c r="D1013" s="1171" t="s">
        <v>273</v>
      </c>
      <c r="E1013" s="1165">
        <v>1</v>
      </c>
      <c r="F1013" s="1166">
        <v>4.25</v>
      </c>
      <c r="G1013" s="1166">
        <v>3</v>
      </c>
      <c r="H1013" s="1166">
        <v>0</v>
      </c>
      <c r="I1013" s="1172">
        <f t="shared" si="104"/>
        <v>12.75</v>
      </c>
      <c r="J1013" s="1168" t="s">
        <v>102</v>
      </c>
      <c r="K1013" s="1169"/>
      <c r="L1013" s="1159"/>
      <c r="M1013" s="1169"/>
      <c r="N1013" s="1161" t="s">
        <v>2318</v>
      </c>
    </row>
    <row r="1014" spans="1:14" s="1170" customFormat="1" ht="16.5" hidden="1" customHeight="1">
      <c r="A1014" s="1156"/>
      <c r="B1014" s="1169" t="s">
        <v>3353</v>
      </c>
      <c r="C1014" s="1157">
        <v>1</v>
      </c>
      <c r="D1014" s="1171" t="s">
        <v>273</v>
      </c>
      <c r="E1014" s="1165">
        <v>1</v>
      </c>
      <c r="F1014" s="1166">
        <v>4.25</v>
      </c>
      <c r="G1014" s="1166">
        <v>3</v>
      </c>
      <c r="H1014" s="1166">
        <v>0</v>
      </c>
      <c r="I1014" s="1172">
        <f t="shared" si="104"/>
        <v>12.75</v>
      </c>
      <c r="J1014" s="1168" t="s">
        <v>102</v>
      </c>
      <c r="K1014" s="1169"/>
      <c r="L1014" s="1159"/>
      <c r="M1014" s="1169"/>
      <c r="N1014" s="1161" t="s">
        <v>2318</v>
      </c>
    </row>
    <row r="1015" spans="1:14" s="1170" customFormat="1" ht="16.5" hidden="1" customHeight="1">
      <c r="A1015" s="1156"/>
      <c r="B1015" s="1169" t="s">
        <v>586</v>
      </c>
      <c r="C1015" s="1157">
        <v>1</v>
      </c>
      <c r="D1015" s="1171" t="s">
        <v>273</v>
      </c>
      <c r="E1015" s="1165">
        <v>1</v>
      </c>
      <c r="F1015" s="1166">
        <v>4.25</v>
      </c>
      <c r="G1015" s="1166">
        <v>3</v>
      </c>
      <c r="H1015" s="1166">
        <v>0</v>
      </c>
      <c r="I1015" s="1172">
        <f t="shared" si="104"/>
        <v>12.75</v>
      </c>
      <c r="J1015" s="1168" t="s">
        <v>102</v>
      </c>
      <c r="K1015" s="1169"/>
      <c r="L1015" s="1159"/>
      <c r="M1015" s="1169"/>
      <c r="N1015" s="1161" t="s">
        <v>2318</v>
      </c>
    </row>
    <row r="1016" spans="1:14" s="1170" customFormat="1" ht="16.5" hidden="1" customHeight="1">
      <c r="A1016" s="1156"/>
      <c r="B1016" s="1169" t="s">
        <v>578</v>
      </c>
      <c r="C1016" s="1157">
        <v>1</v>
      </c>
      <c r="D1016" s="1171" t="s">
        <v>273</v>
      </c>
      <c r="E1016" s="1165">
        <v>2</v>
      </c>
      <c r="F1016" s="1166">
        <v>3.16</v>
      </c>
      <c r="G1016" s="1166">
        <v>1.07</v>
      </c>
      <c r="H1016" s="1166">
        <v>0</v>
      </c>
      <c r="I1016" s="1172">
        <f t="shared" si="104"/>
        <v>6.76</v>
      </c>
      <c r="J1016" s="1168" t="s">
        <v>102</v>
      </c>
      <c r="K1016" s="1169"/>
      <c r="L1016" s="1159"/>
      <c r="M1016" s="1169"/>
      <c r="N1016" s="1161" t="s">
        <v>2318</v>
      </c>
    </row>
    <row r="1017" spans="1:14" s="1170" customFormat="1" ht="16.5" hidden="1" customHeight="1">
      <c r="A1017" s="1156"/>
      <c r="B1017" s="1169"/>
      <c r="C1017" s="1157">
        <v>1</v>
      </c>
      <c r="D1017" s="1171" t="s">
        <v>273</v>
      </c>
      <c r="E1017" s="1165">
        <v>1</v>
      </c>
      <c r="F1017" s="1166">
        <v>3.51</v>
      </c>
      <c r="G1017" s="1166">
        <v>2</v>
      </c>
      <c r="H1017" s="1166">
        <v>0</v>
      </c>
      <c r="I1017" s="1172">
        <f t="shared" si="104"/>
        <v>7.02</v>
      </c>
      <c r="J1017" s="1168" t="s">
        <v>102</v>
      </c>
      <c r="K1017" s="1169"/>
      <c r="L1017" s="1159"/>
      <c r="M1017" s="1169"/>
      <c r="N1017" s="1161" t="s">
        <v>2318</v>
      </c>
    </row>
    <row r="1018" spans="1:14" s="1170" customFormat="1" ht="16.5" hidden="1" customHeight="1">
      <c r="A1018" s="1156"/>
      <c r="B1018" s="1169" t="s">
        <v>3361</v>
      </c>
      <c r="C1018" s="1157">
        <v>1</v>
      </c>
      <c r="D1018" s="1171" t="s">
        <v>273</v>
      </c>
      <c r="E1018" s="1165">
        <v>1</v>
      </c>
      <c r="F1018" s="1166">
        <v>10.43</v>
      </c>
      <c r="G1018" s="1166">
        <v>0.3</v>
      </c>
      <c r="H1018" s="1166">
        <v>0</v>
      </c>
      <c r="I1018" s="1172">
        <f t="shared" si="104"/>
        <v>3.13</v>
      </c>
      <c r="J1018" s="1168" t="s">
        <v>102</v>
      </c>
      <c r="K1018" s="1169"/>
      <c r="L1018" s="1159"/>
      <c r="M1018" s="1169"/>
      <c r="N1018" s="1161" t="s">
        <v>2318</v>
      </c>
    </row>
    <row r="1019" spans="1:14" s="1170" customFormat="1" ht="16.5" hidden="1" customHeight="1">
      <c r="A1019" s="1156"/>
      <c r="B1019" s="1169" t="s">
        <v>3394</v>
      </c>
      <c r="C1019" s="1157">
        <v>1</v>
      </c>
      <c r="D1019" s="1171" t="s">
        <v>273</v>
      </c>
      <c r="E1019" s="1165">
        <v>2</v>
      </c>
      <c r="F1019" s="1166">
        <v>11.66</v>
      </c>
      <c r="G1019" s="1166">
        <v>0.3</v>
      </c>
      <c r="H1019" s="1166">
        <v>0</v>
      </c>
      <c r="I1019" s="1172">
        <f t="shared" si="104"/>
        <v>7</v>
      </c>
      <c r="J1019" s="1168" t="s">
        <v>102</v>
      </c>
      <c r="K1019" s="1169"/>
      <c r="L1019" s="1159"/>
      <c r="M1019" s="1169"/>
      <c r="N1019" s="1161" t="s">
        <v>2318</v>
      </c>
    </row>
    <row r="1020" spans="1:14" s="1170" customFormat="1" ht="16.5" hidden="1" customHeight="1">
      <c r="A1020" s="1156"/>
      <c r="B1020" s="1169" t="s">
        <v>3433</v>
      </c>
      <c r="C1020" s="1157">
        <v>1</v>
      </c>
      <c r="D1020" s="1171" t="s">
        <v>273</v>
      </c>
      <c r="E1020" s="1165">
        <v>2</v>
      </c>
      <c r="F1020" s="1166">
        <v>3.51</v>
      </c>
      <c r="G1020" s="1166">
        <v>0</v>
      </c>
      <c r="H1020" s="1166">
        <v>0.3</v>
      </c>
      <c r="I1020" s="1172">
        <f t="shared" si="104"/>
        <v>2.11</v>
      </c>
      <c r="J1020" s="1168" t="s">
        <v>102</v>
      </c>
      <c r="K1020" s="1169"/>
      <c r="L1020" s="1159"/>
      <c r="M1020" s="1169"/>
      <c r="N1020" s="1161" t="s">
        <v>2318</v>
      </c>
    </row>
    <row r="1021" spans="1:14" s="1170" customFormat="1" ht="16.5" hidden="1" customHeight="1">
      <c r="A1021" s="1156"/>
      <c r="B1021" s="1169" t="s">
        <v>3388</v>
      </c>
      <c r="C1021" s="1157">
        <v>1</v>
      </c>
      <c r="D1021" s="1171" t="s">
        <v>273</v>
      </c>
      <c r="E1021" s="1165">
        <v>2</v>
      </c>
      <c r="F1021" s="1166">
        <v>2.93</v>
      </c>
      <c r="G1021" s="1166">
        <v>0</v>
      </c>
      <c r="H1021" s="1166">
        <v>0.3</v>
      </c>
      <c r="I1021" s="1172">
        <f t="shared" si="104"/>
        <v>1.76</v>
      </c>
      <c r="J1021" s="1168" t="s">
        <v>102</v>
      </c>
      <c r="K1021" s="1169"/>
      <c r="L1021" s="1159"/>
      <c r="M1021" s="1169"/>
      <c r="N1021" s="1161" t="s">
        <v>2318</v>
      </c>
    </row>
    <row r="1022" spans="1:14" s="1170" customFormat="1" ht="16.5" hidden="1" customHeight="1">
      <c r="A1022" s="1156"/>
      <c r="B1022" s="1169" t="s">
        <v>3419</v>
      </c>
      <c r="C1022" s="1157">
        <v>2</v>
      </c>
      <c r="D1022" s="1171" t="s">
        <v>273</v>
      </c>
      <c r="E1022" s="1165">
        <v>2</v>
      </c>
      <c r="F1022" s="1166">
        <v>5.75</v>
      </c>
      <c r="G1022" s="1166">
        <v>0</v>
      </c>
      <c r="H1022" s="1166">
        <v>0.38</v>
      </c>
      <c r="I1022" s="1172">
        <f t="shared" si="104"/>
        <v>8.74</v>
      </c>
      <c r="J1022" s="1168" t="s">
        <v>102</v>
      </c>
      <c r="K1022" s="1169"/>
      <c r="L1022" s="1159"/>
      <c r="M1022" s="1169"/>
      <c r="N1022" s="1161" t="s">
        <v>2318</v>
      </c>
    </row>
    <row r="1023" spans="1:14" s="1170" customFormat="1" ht="16.5" hidden="1" customHeight="1">
      <c r="A1023" s="1156"/>
      <c r="B1023" s="1169" t="s">
        <v>3420</v>
      </c>
      <c r="C1023" s="1157">
        <v>2</v>
      </c>
      <c r="D1023" s="1171" t="s">
        <v>273</v>
      </c>
      <c r="E1023" s="1165">
        <v>2</v>
      </c>
      <c r="F1023" s="1166">
        <v>1.77</v>
      </c>
      <c r="G1023" s="1166">
        <v>0</v>
      </c>
      <c r="H1023" s="1166">
        <v>0.3</v>
      </c>
      <c r="I1023" s="1172">
        <f t="shared" si="104"/>
        <v>2.12</v>
      </c>
      <c r="J1023" s="1168" t="s">
        <v>102</v>
      </c>
      <c r="K1023" s="1169"/>
      <c r="L1023" s="1159"/>
      <c r="M1023" s="1169"/>
      <c r="N1023" s="1161" t="s">
        <v>2318</v>
      </c>
    </row>
    <row r="1024" spans="1:14" s="1170" customFormat="1" ht="16.5" hidden="1" customHeight="1">
      <c r="A1024" s="1156"/>
      <c r="B1024" s="1169" t="s">
        <v>3421</v>
      </c>
      <c r="C1024" s="1157">
        <v>2</v>
      </c>
      <c r="D1024" s="1171" t="s">
        <v>273</v>
      </c>
      <c r="E1024" s="1165">
        <v>2</v>
      </c>
      <c r="F1024" s="1166">
        <v>0.84</v>
      </c>
      <c r="G1024" s="1166">
        <v>0</v>
      </c>
      <c r="H1024" s="1166">
        <v>0.3</v>
      </c>
      <c r="I1024" s="1172">
        <f t="shared" si="104"/>
        <v>1.01</v>
      </c>
      <c r="J1024" s="1168" t="s">
        <v>102</v>
      </c>
      <c r="K1024" s="1169"/>
      <c r="L1024" s="1159"/>
      <c r="M1024" s="1169"/>
      <c r="N1024" s="1161" t="s">
        <v>2318</v>
      </c>
    </row>
    <row r="1025" spans="1:14" s="1170" customFormat="1" ht="16.5" hidden="1" customHeight="1">
      <c r="A1025" s="1156"/>
      <c r="B1025" s="1331"/>
      <c r="C1025" s="1332"/>
      <c r="D1025" s="1333"/>
      <c r="E1025" s="1334"/>
      <c r="F1025" s="1335"/>
      <c r="G1025" s="1335"/>
      <c r="H1025" s="1335"/>
      <c r="I1025" s="1336"/>
      <c r="J1025" s="1168"/>
      <c r="K1025" s="1169"/>
      <c r="L1025" s="1159"/>
      <c r="M1025" s="1169"/>
      <c r="N1025" s="1161" t="s">
        <v>2318</v>
      </c>
    </row>
    <row r="1026" spans="1:14" ht="15.75" hidden="1">
      <c r="A1026" s="1156"/>
      <c r="B1026" s="1169"/>
      <c r="C1026" s="1337"/>
      <c r="D1026" s="1171"/>
      <c r="E1026" s="1165"/>
      <c r="F1026" s="1166"/>
      <c r="G1026" s="1343"/>
      <c r="H1026" s="1156"/>
      <c r="I1026" s="1336"/>
      <c r="J1026" s="1168" t="s">
        <v>102</v>
      </c>
      <c r="K1026" s="1221">
        <f>data!E3195</f>
        <v>318.2</v>
      </c>
      <c r="L1026" s="1159" t="s">
        <v>2318</v>
      </c>
      <c r="M1026" s="1224">
        <f>ROUND(I1026*K1026,0)</f>
        <v>0</v>
      </c>
      <c r="N1026" s="1161" t="s">
        <v>2318</v>
      </c>
    </row>
    <row r="1027" spans="1:14" ht="42" hidden="1" customHeight="1">
      <c r="A1027" s="1156">
        <v>21</v>
      </c>
      <c r="B1027" s="1826" t="s">
        <v>126</v>
      </c>
      <c r="C1027" s="1826"/>
      <c r="D1027" s="1826"/>
      <c r="E1027" s="1826"/>
      <c r="F1027" s="1826"/>
      <c r="G1027" s="1826"/>
      <c r="H1027" s="1826"/>
      <c r="I1027" s="1157"/>
      <c r="J1027" s="1158"/>
      <c r="K1027" s="1156"/>
      <c r="L1027" s="1159"/>
      <c r="M1027" s="1160"/>
      <c r="N1027" s="1161" t="s">
        <v>2218</v>
      </c>
    </row>
    <row r="1028" spans="1:14" s="1170" customFormat="1" ht="16.5" hidden="1" customHeight="1">
      <c r="A1028" s="1156"/>
      <c r="B1028" s="1169" t="s">
        <v>3491</v>
      </c>
      <c r="C1028" s="1351"/>
      <c r="D1028" s="1418"/>
      <c r="E1028" s="1352"/>
      <c r="F1028" s="1234"/>
      <c r="G1028" s="1234"/>
      <c r="H1028" s="1235"/>
      <c r="I1028" s="1353"/>
      <c r="J1028" s="1168"/>
      <c r="K1028" s="1169"/>
      <c r="L1028" s="1156"/>
      <c r="M1028" s="1169"/>
      <c r="N1028" s="1161" t="s">
        <v>2218</v>
      </c>
    </row>
    <row r="1029" spans="1:14" s="1170" customFormat="1" ht="16.5" hidden="1" customHeight="1">
      <c r="A1029" s="1156"/>
      <c r="B1029" s="1169" t="s">
        <v>818</v>
      </c>
      <c r="C1029" s="1332">
        <v>1</v>
      </c>
      <c r="D1029" s="1333" t="s">
        <v>273</v>
      </c>
      <c r="E1029" s="1334">
        <v>1</v>
      </c>
      <c r="F1029" s="1335">
        <v>27</v>
      </c>
      <c r="G1029" s="1335">
        <v>0</v>
      </c>
      <c r="H1029" s="1335">
        <v>3.3</v>
      </c>
      <c r="I1029" s="1336">
        <f>ROUND(IF(AND(F1029:H1029),C1029*E1029*F1029*G1029*H1029,IF(AND(F1029,G1029),C1029*E1029*F1029*G1029,IF(AND(F1029,H1029),C1029*E1029*F1029*H1029,IF(AND(G1029,H1029),C1029*E1029*G1029*H1029,IF(F1029,C1029*E1029*F1029,IF(G1029,C1029*E1029*G1029,IF(H1029,C1029*E1029*H1029,C1029*E1029))))))),2)</f>
        <v>89.1</v>
      </c>
      <c r="J1029" s="1168" t="s">
        <v>102</v>
      </c>
      <c r="K1029" s="1169"/>
      <c r="L1029" s="1156"/>
      <c r="M1029" s="1169"/>
      <c r="N1029" s="1161" t="s">
        <v>2218</v>
      </c>
    </row>
    <row r="1030" spans="1:14" s="1170" customFormat="1" ht="16.5" hidden="1" customHeight="1">
      <c r="A1030" s="1156"/>
      <c r="B1030" s="1169" t="s">
        <v>1541</v>
      </c>
      <c r="C1030" s="1332">
        <v>1</v>
      </c>
      <c r="D1030" s="1333" t="s">
        <v>273</v>
      </c>
      <c r="E1030" s="1334">
        <v>1</v>
      </c>
      <c r="F1030" s="1335">
        <v>11.96</v>
      </c>
      <c r="G1030" s="1335">
        <v>0</v>
      </c>
      <c r="H1030" s="1335">
        <v>3.3</v>
      </c>
      <c r="I1030" s="1336">
        <f>ROUND(IF(AND(F1030:H1030),C1030*E1030*F1030*G1030*H1030,IF(AND(F1030,G1030),C1030*E1030*F1030*G1030,IF(AND(F1030,H1030),C1030*E1030*F1030*H1030,IF(AND(G1030,H1030),C1030*E1030*G1030*H1030,IF(F1030,C1030*E1030*F1030,IF(G1030,C1030*E1030*G1030,IF(H1030,C1030*E1030*H1030,C1030*E1030))))))),2)</f>
        <v>39.47</v>
      </c>
      <c r="J1030" s="1168" t="s">
        <v>102</v>
      </c>
      <c r="K1030" s="1169"/>
      <c r="L1030" s="1156"/>
      <c r="M1030" s="1169"/>
      <c r="N1030" s="1161" t="s">
        <v>2218</v>
      </c>
    </row>
    <row r="1031" spans="1:14" s="1170" customFormat="1" ht="16.5" hidden="1" customHeight="1">
      <c r="A1031" s="1156"/>
      <c r="B1031" s="1169" t="s">
        <v>2187</v>
      </c>
      <c r="C1031" s="1332">
        <v>1</v>
      </c>
      <c r="D1031" s="1333" t="s">
        <v>273</v>
      </c>
      <c r="E1031" s="1334">
        <v>1</v>
      </c>
      <c r="F1031" s="1335">
        <v>2.7</v>
      </c>
      <c r="G1031" s="1335">
        <v>0</v>
      </c>
      <c r="H1031" s="1335">
        <v>0.15</v>
      </c>
      <c r="I1031" s="1336">
        <f>-ROUND(IF(AND(F1031:H1031),C1031*E1031*F1031*G1031*H1031,IF(AND(F1031,G1031),C1031*E1031*F1031*G1031,IF(AND(F1031,H1031),C1031*E1031*F1031*H1031,IF(AND(G1031,H1031),C1031*E1031*G1031*H1031,IF(F1031,C1031*E1031*F1031,IF(G1031,C1031*E1031*G1031,IF(H1031,C1031*E1031*H1031,C1031*E1031))))))),2)</f>
        <v>-0.41</v>
      </c>
      <c r="J1031" s="1168" t="s">
        <v>102</v>
      </c>
      <c r="K1031" s="1169"/>
      <c r="L1031" s="1156"/>
      <c r="M1031" s="1169"/>
      <c r="N1031" s="1161" t="s">
        <v>2218</v>
      </c>
    </row>
    <row r="1032" spans="1:14" s="1170" customFormat="1" ht="16.5" hidden="1" customHeight="1">
      <c r="A1032" s="1156"/>
      <c r="B1032" s="1169"/>
      <c r="C1032" s="1332"/>
      <c r="D1032" s="1333"/>
      <c r="E1032" s="1334"/>
      <c r="F1032" s="1335"/>
      <c r="G1032" s="1335"/>
      <c r="H1032" s="1335"/>
      <c r="I1032" s="1336"/>
      <c r="J1032" s="1168"/>
      <c r="K1032" s="1169"/>
      <c r="L1032" s="1159"/>
      <c r="M1032" s="1169"/>
      <c r="N1032" s="1161" t="s">
        <v>2218</v>
      </c>
    </row>
    <row r="1033" spans="1:14" ht="15.75" hidden="1">
      <c r="A1033" s="1156"/>
      <c r="B1033" s="1169"/>
      <c r="C1033" s="1337"/>
      <c r="D1033" s="1171"/>
      <c r="E1033" s="1165"/>
      <c r="F1033" s="1166"/>
      <c r="G1033" s="1343"/>
      <c r="H1033" s="1156"/>
      <c r="I1033" s="1336"/>
      <c r="J1033" s="1168" t="s">
        <v>102</v>
      </c>
      <c r="K1033" s="1221">
        <f>data!E460</f>
        <v>242.02</v>
      </c>
      <c r="L1033" s="1159" t="s">
        <v>2218</v>
      </c>
      <c r="M1033" s="1224">
        <f>ROUND(I1033*K1033,0)</f>
        <v>0</v>
      </c>
      <c r="N1033" s="1161" t="s">
        <v>2218</v>
      </c>
    </row>
    <row r="1034" spans="1:14" ht="42" hidden="1" customHeight="1">
      <c r="A1034" s="1156">
        <v>21</v>
      </c>
      <c r="B1034" s="1826" t="s">
        <v>126</v>
      </c>
      <c r="C1034" s="1826"/>
      <c r="D1034" s="1826"/>
      <c r="E1034" s="1826"/>
      <c r="F1034" s="1826"/>
      <c r="G1034" s="1826"/>
      <c r="H1034" s="1826"/>
      <c r="I1034" s="1157"/>
      <c r="J1034" s="1158"/>
      <c r="K1034" s="1156"/>
      <c r="L1034" s="1159"/>
      <c r="M1034" s="1160"/>
      <c r="N1034" s="1161" t="s">
        <v>2306</v>
      </c>
    </row>
    <row r="1035" spans="1:14" s="1170" customFormat="1" ht="16.5" hidden="1" customHeight="1">
      <c r="A1035" s="1156"/>
      <c r="B1035" s="1169" t="s">
        <v>3491</v>
      </c>
      <c r="C1035" s="1351"/>
      <c r="D1035" s="1418"/>
      <c r="E1035" s="1352"/>
      <c r="F1035" s="1234"/>
      <c r="G1035" s="1234"/>
      <c r="H1035" s="1235"/>
      <c r="I1035" s="1353"/>
      <c r="J1035" s="1168"/>
      <c r="K1035" s="1169"/>
      <c r="L1035" s="1156"/>
      <c r="M1035" s="1169"/>
      <c r="N1035" s="1161" t="s">
        <v>2306</v>
      </c>
    </row>
    <row r="1036" spans="1:14" s="1170" customFormat="1" ht="16.5" hidden="1" customHeight="1">
      <c r="A1036" s="1156"/>
      <c r="B1036" s="1169" t="s">
        <v>818</v>
      </c>
      <c r="C1036" s="1332">
        <v>1</v>
      </c>
      <c r="D1036" s="1333" t="s">
        <v>273</v>
      </c>
      <c r="E1036" s="1334">
        <v>1</v>
      </c>
      <c r="F1036" s="1335">
        <v>27</v>
      </c>
      <c r="G1036" s="1335">
        <v>0</v>
      </c>
      <c r="H1036" s="1335">
        <v>3.3</v>
      </c>
      <c r="I1036" s="1336">
        <f>ROUND(IF(AND(F1036:H1036),C1036*E1036*F1036*G1036*H1036,IF(AND(F1036,G1036),C1036*E1036*F1036*G1036,IF(AND(F1036,H1036),C1036*E1036*F1036*H1036,IF(AND(G1036,H1036),C1036*E1036*G1036*H1036,IF(F1036,C1036*E1036*F1036,IF(G1036,C1036*E1036*G1036,IF(H1036,C1036*E1036*H1036,C1036*E1036))))))),2)</f>
        <v>89.1</v>
      </c>
      <c r="J1036" s="1168" t="s">
        <v>102</v>
      </c>
      <c r="K1036" s="1169"/>
      <c r="L1036" s="1156"/>
      <c r="M1036" s="1169"/>
      <c r="N1036" s="1161" t="s">
        <v>2306</v>
      </c>
    </row>
    <row r="1037" spans="1:14" s="1170" customFormat="1" ht="16.5" hidden="1" customHeight="1">
      <c r="A1037" s="1156"/>
      <c r="B1037" s="1169" t="s">
        <v>1541</v>
      </c>
      <c r="C1037" s="1332">
        <v>1</v>
      </c>
      <c r="D1037" s="1333" t="s">
        <v>273</v>
      </c>
      <c r="E1037" s="1334">
        <v>1</v>
      </c>
      <c r="F1037" s="1335">
        <v>11.96</v>
      </c>
      <c r="G1037" s="1335">
        <v>0</v>
      </c>
      <c r="H1037" s="1335">
        <v>3.3</v>
      </c>
      <c r="I1037" s="1336">
        <f>ROUND(IF(AND(F1037:H1037),C1037*E1037*F1037*G1037*H1037,IF(AND(F1037,G1037),C1037*E1037*F1037*G1037,IF(AND(F1037,H1037),C1037*E1037*F1037*H1037,IF(AND(G1037,H1037),C1037*E1037*G1037*H1037,IF(F1037,C1037*E1037*F1037,IF(G1037,C1037*E1037*G1037,IF(H1037,C1037*E1037*H1037,C1037*E1037))))))),2)</f>
        <v>39.47</v>
      </c>
      <c r="J1037" s="1168" t="s">
        <v>102</v>
      </c>
      <c r="K1037" s="1169"/>
      <c r="L1037" s="1156"/>
      <c r="M1037" s="1169"/>
      <c r="N1037" s="1161" t="s">
        <v>2306</v>
      </c>
    </row>
    <row r="1038" spans="1:14" s="1170" customFormat="1" ht="16.5" hidden="1" customHeight="1">
      <c r="A1038" s="1156"/>
      <c r="B1038" s="1169" t="s">
        <v>2187</v>
      </c>
      <c r="C1038" s="1332">
        <v>1</v>
      </c>
      <c r="D1038" s="1333" t="s">
        <v>273</v>
      </c>
      <c r="E1038" s="1334">
        <v>1</v>
      </c>
      <c r="F1038" s="1335">
        <v>2.7</v>
      </c>
      <c r="G1038" s="1335">
        <v>0</v>
      </c>
      <c r="H1038" s="1335">
        <v>0.15</v>
      </c>
      <c r="I1038" s="1336">
        <f>-ROUND(IF(AND(F1038:H1038),C1038*E1038*F1038*G1038*H1038,IF(AND(F1038,G1038),C1038*E1038*F1038*G1038,IF(AND(F1038,H1038),C1038*E1038*F1038*H1038,IF(AND(G1038,H1038),C1038*E1038*G1038*H1038,IF(F1038,C1038*E1038*F1038,IF(G1038,C1038*E1038*G1038,IF(H1038,C1038*E1038*H1038,C1038*E1038))))))),2)</f>
        <v>-0.41</v>
      </c>
      <c r="J1038" s="1168" t="s">
        <v>102</v>
      </c>
      <c r="K1038" s="1169"/>
      <c r="L1038" s="1156"/>
      <c r="M1038" s="1169"/>
      <c r="N1038" s="1161" t="s">
        <v>2306</v>
      </c>
    </row>
    <row r="1039" spans="1:14" s="1170" customFormat="1" ht="16.5" hidden="1" customHeight="1">
      <c r="A1039" s="1156"/>
      <c r="B1039" s="1169"/>
      <c r="C1039" s="1332"/>
      <c r="D1039" s="1333"/>
      <c r="E1039" s="1334"/>
      <c r="F1039" s="1335"/>
      <c r="G1039" s="1335"/>
      <c r="H1039" s="1335"/>
      <c r="I1039" s="1336"/>
      <c r="J1039" s="1168"/>
      <c r="K1039" s="1169"/>
      <c r="L1039" s="1159"/>
      <c r="M1039" s="1169"/>
      <c r="N1039" s="1161" t="s">
        <v>2306</v>
      </c>
    </row>
    <row r="1040" spans="1:14" ht="15.75" hidden="1">
      <c r="A1040" s="1156"/>
      <c r="B1040" s="1169"/>
      <c r="C1040" s="1337"/>
      <c r="D1040" s="1171"/>
      <c r="E1040" s="1165"/>
      <c r="F1040" s="1166"/>
      <c r="G1040" s="1343"/>
      <c r="H1040" s="1156"/>
      <c r="I1040" s="1336"/>
      <c r="J1040" s="1168" t="s">
        <v>102</v>
      </c>
      <c r="K1040" s="1221">
        <f>data!E1377</f>
        <v>261.07</v>
      </c>
      <c r="L1040" s="1159" t="s">
        <v>2306</v>
      </c>
      <c r="M1040" s="1224">
        <f>ROUND(I1040*K1040,0)</f>
        <v>0</v>
      </c>
      <c r="N1040" s="1161" t="s">
        <v>2306</v>
      </c>
    </row>
    <row r="1041" spans="1:14" ht="42" hidden="1" customHeight="1">
      <c r="A1041" s="1156">
        <v>21</v>
      </c>
      <c r="B1041" s="1826" t="s">
        <v>126</v>
      </c>
      <c r="C1041" s="1826"/>
      <c r="D1041" s="1826"/>
      <c r="E1041" s="1826"/>
      <c r="F1041" s="1826"/>
      <c r="G1041" s="1826"/>
      <c r="H1041" s="1826"/>
      <c r="I1041" s="1157"/>
      <c r="J1041" s="1158"/>
      <c r="K1041" s="1156"/>
      <c r="L1041" s="1159"/>
      <c r="M1041" s="1160"/>
      <c r="N1041" s="1161" t="s">
        <v>2317</v>
      </c>
    </row>
    <row r="1042" spans="1:14" s="1170" customFormat="1" ht="16.5" hidden="1" customHeight="1">
      <c r="A1042" s="1156"/>
      <c r="B1042" s="1169" t="s">
        <v>3491</v>
      </c>
      <c r="C1042" s="1351"/>
      <c r="D1042" s="1418"/>
      <c r="E1042" s="1352"/>
      <c r="F1042" s="1234"/>
      <c r="G1042" s="1234"/>
      <c r="H1042" s="1235"/>
      <c r="I1042" s="1353"/>
      <c r="J1042" s="1168"/>
      <c r="K1042" s="1169"/>
      <c r="L1042" s="1156"/>
      <c r="M1042" s="1169"/>
      <c r="N1042" s="1161" t="s">
        <v>2317</v>
      </c>
    </row>
    <row r="1043" spans="1:14" s="1170" customFormat="1" ht="16.5" hidden="1" customHeight="1">
      <c r="A1043" s="1156"/>
      <c r="B1043" s="1169" t="s">
        <v>818</v>
      </c>
      <c r="C1043" s="1332">
        <v>1</v>
      </c>
      <c r="D1043" s="1333" t="s">
        <v>273</v>
      </c>
      <c r="E1043" s="1334">
        <v>1</v>
      </c>
      <c r="F1043" s="1335">
        <v>27</v>
      </c>
      <c r="G1043" s="1335">
        <v>0</v>
      </c>
      <c r="H1043" s="1335">
        <v>3.3</v>
      </c>
      <c r="I1043" s="1336">
        <f>ROUND(IF(AND(F1043:H1043),C1043*E1043*F1043*G1043*H1043,IF(AND(F1043,G1043),C1043*E1043*F1043*G1043,IF(AND(F1043,H1043),C1043*E1043*F1043*H1043,IF(AND(G1043,H1043),C1043*E1043*G1043*H1043,IF(F1043,C1043*E1043*F1043,IF(G1043,C1043*E1043*G1043,IF(H1043,C1043*E1043*H1043,C1043*E1043))))))),2)</f>
        <v>89.1</v>
      </c>
      <c r="J1043" s="1168" t="s">
        <v>102</v>
      </c>
      <c r="K1043" s="1169"/>
      <c r="L1043" s="1156"/>
      <c r="M1043" s="1169"/>
      <c r="N1043" s="1161" t="s">
        <v>2317</v>
      </c>
    </row>
    <row r="1044" spans="1:14" s="1170" customFormat="1" ht="16.5" hidden="1" customHeight="1">
      <c r="A1044" s="1156"/>
      <c r="B1044" s="1169" t="s">
        <v>1541</v>
      </c>
      <c r="C1044" s="1332">
        <v>1</v>
      </c>
      <c r="D1044" s="1333" t="s">
        <v>273</v>
      </c>
      <c r="E1044" s="1334">
        <v>1</v>
      </c>
      <c r="F1044" s="1335">
        <v>11.96</v>
      </c>
      <c r="G1044" s="1335">
        <v>0</v>
      </c>
      <c r="H1044" s="1335">
        <v>3.3</v>
      </c>
      <c r="I1044" s="1336">
        <f>ROUND(IF(AND(F1044:H1044),C1044*E1044*F1044*G1044*H1044,IF(AND(F1044,G1044),C1044*E1044*F1044*G1044,IF(AND(F1044,H1044),C1044*E1044*F1044*H1044,IF(AND(G1044,H1044),C1044*E1044*G1044*H1044,IF(F1044,C1044*E1044*F1044,IF(G1044,C1044*E1044*G1044,IF(H1044,C1044*E1044*H1044,C1044*E1044))))))),2)</f>
        <v>39.47</v>
      </c>
      <c r="J1044" s="1168" t="s">
        <v>102</v>
      </c>
      <c r="K1044" s="1169"/>
      <c r="L1044" s="1156"/>
      <c r="M1044" s="1169"/>
      <c r="N1044" s="1161" t="s">
        <v>2317</v>
      </c>
    </row>
    <row r="1045" spans="1:14" s="1170" customFormat="1" ht="16.5" hidden="1" customHeight="1">
      <c r="A1045" s="1156"/>
      <c r="B1045" s="1169" t="s">
        <v>2187</v>
      </c>
      <c r="C1045" s="1332">
        <v>1</v>
      </c>
      <c r="D1045" s="1333" t="s">
        <v>273</v>
      </c>
      <c r="E1045" s="1334">
        <v>1</v>
      </c>
      <c r="F1045" s="1335">
        <v>2.7</v>
      </c>
      <c r="G1045" s="1335">
        <v>0</v>
      </c>
      <c r="H1045" s="1335">
        <v>0.15</v>
      </c>
      <c r="I1045" s="1336">
        <f>-ROUND(IF(AND(F1045:H1045),C1045*E1045*F1045*G1045*H1045,IF(AND(F1045,G1045),C1045*E1045*F1045*G1045,IF(AND(F1045,H1045),C1045*E1045*F1045*H1045,IF(AND(G1045,H1045),C1045*E1045*G1045*H1045,IF(F1045,C1045*E1045*F1045,IF(G1045,C1045*E1045*G1045,IF(H1045,C1045*E1045*H1045,C1045*E1045))))))),2)</f>
        <v>-0.41</v>
      </c>
      <c r="J1045" s="1168" t="s">
        <v>102</v>
      </c>
      <c r="K1045" s="1169"/>
      <c r="L1045" s="1156"/>
      <c r="M1045" s="1169"/>
      <c r="N1045" s="1161" t="s">
        <v>2317</v>
      </c>
    </row>
    <row r="1046" spans="1:14" s="1170" customFormat="1" ht="16.5" hidden="1" customHeight="1">
      <c r="A1046" s="1156"/>
      <c r="B1046" s="1169"/>
      <c r="C1046" s="1332"/>
      <c r="D1046" s="1333"/>
      <c r="E1046" s="1334"/>
      <c r="F1046" s="1335"/>
      <c r="G1046" s="1335"/>
      <c r="H1046" s="1335"/>
      <c r="I1046" s="1336"/>
      <c r="J1046" s="1168"/>
      <c r="K1046" s="1169"/>
      <c r="L1046" s="1159"/>
      <c r="M1046" s="1169"/>
      <c r="N1046" s="1161" t="s">
        <v>2317</v>
      </c>
    </row>
    <row r="1047" spans="1:14" ht="15.75" hidden="1">
      <c r="A1047" s="1156"/>
      <c r="B1047" s="1169"/>
      <c r="C1047" s="1337"/>
      <c r="D1047" s="1171"/>
      <c r="E1047" s="1165"/>
      <c r="F1047" s="1166"/>
      <c r="G1047" s="1343"/>
      <c r="H1047" s="1156"/>
      <c r="I1047" s="1336"/>
      <c r="J1047" s="1168" t="s">
        <v>102</v>
      </c>
      <c r="K1047" s="1221">
        <f>data!E2294</f>
        <v>277.43</v>
      </c>
      <c r="L1047" s="1159" t="s">
        <v>2317</v>
      </c>
      <c r="M1047" s="1224">
        <f>ROUND(I1047*K1047,0)</f>
        <v>0</v>
      </c>
      <c r="N1047" s="1161" t="s">
        <v>2317</v>
      </c>
    </row>
    <row r="1048" spans="1:14" ht="42" hidden="1" customHeight="1">
      <c r="A1048" s="1156">
        <v>21</v>
      </c>
      <c r="B1048" s="1826" t="s">
        <v>126</v>
      </c>
      <c r="C1048" s="1826"/>
      <c r="D1048" s="1826"/>
      <c r="E1048" s="1826"/>
      <c r="F1048" s="1826"/>
      <c r="G1048" s="1826"/>
      <c r="H1048" s="1826"/>
      <c r="I1048" s="1157"/>
      <c r="J1048" s="1158"/>
      <c r="K1048" s="1156"/>
      <c r="L1048" s="1159"/>
      <c r="M1048" s="1160"/>
      <c r="N1048" s="1161" t="s">
        <v>2318</v>
      </c>
    </row>
    <row r="1049" spans="1:14" s="1170" customFormat="1" ht="16.5" hidden="1" customHeight="1">
      <c r="A1049" s="1156"/>
      <c r="B1049" s="1169" t="s">
        <v>3491</v>
      </c>
      <c r="C1049" s="1351"/>
      <c r="D1049" s="1418"/>
      <c r="E1049" s="1352"/>
      <c r="F1049" s="1234"/>
      <c r="G1049" s="1234"/>
      <c r="H1049" s="1235"/>
      <c r="I1049" s="1353"/>
      <c r="J1049" s="1168"/>
      <c r="K1049" s="1169"/>
      <c r="L1049" s="1156"/>
      <c r="M1049" s="1169"/>
      <c r="N1049" s="1161" t="s">
        <v>2318</v>
      </c>
    </row>
    <row r="1050" spans="1:14" s="1170" customFormat="1" ht="16.5" hidden="1" customHeight="1">
      <c r="A1050" s="1156"/>
      <c r="B1050" s="1169" t="s">
        <v>818</v>
      </c>
      <c r="C1050" s="1332">
        <v>1</v>
      </c>
      <c r="D1050" s="1333" t="s">
        <v>273</v>
      </c>
      <c r="E1050" s="1334">
        <v>1</v>
      </c>
      <c r="F1050" s="1335">
        <v>27</v>
      </c>
      <c r="G1050" s="1335">
        <v>0</v>
      </c>
      <c r="H1050" s="1335">
        <v>3.3</v>
      </c>
      <c r="I1050" s="1336">
        <f>ROUND(IF(AND(F1050:H1050),C1050*E1050*F1050*G1050*H1050,IF(AND(F1050,G1050),C1050*E1050*F1050*G1050,IF(AND(F1050,H1050),C1050*E1050*F1050*H1050,IF(AND(G1050,H1050),C1050*E1050*G1050*H1050,IF(F1050,C1050*E1050*F1050,IF(G1050,C1050*E1050*G1050,IF(H1050,C1050*E1050*H1050,C1050*E1050))))))),2)</f>
        <v>89.1</v>
      </c>
      <c r="J1050" s="1168" t="s">
        <v>102</v>
      </c>
      <c r="K1050" s="1169"/>
      <c r="L1050" s="1156"/>
      <c r="M1050" s="1169"/>
      <c r="N1050" s="1161" t="s">
        <v>2318</v>
      </c>
    </row>
    <row r="1051" spans="1:14" s="1170" customFormat="1" ht="16.5" hidden="1" customHeight="1">
      <c r="A1051" s="1156"/>
      <c r="B1051" s="1169" t="s">
        <v>1541</v>
      </c>
      <c r="C1051" s="1332">
        <v>1</v>
      </c>
      <c r="D1051" s="1333" t="s">
        <v>273</v>
      </c>
      <c r="E1051" s="1334">
        <v>1</v>
      </c>
      <c r="F1051" s="1335">
        <v>11.96</v>
      </c>
      <c r="G1051" s="1335">
        <v>0</v>
      </c>
      <c r="H1051" s="1335">
        <v>3.3</v>
      </c>
      <c r="I1051" s="1336">
        <f>ROUND(IF(AND(F1051:H1051),C1051*E1051*F1051*G1051*H1051,IF(AND(F1051,G1051),C1051*E1051*F1051*G1051,IF(AND(F1051,H1051),C1051*E1051*F1051*H1051,IF(AND(G1051,H1051),C1051*E1051*G1051*H1051,IF(F1051,C1051*E1051*F1051,IF(G1051,C1051*E1051*G1051,IF(H1051,C1051*E1051*H1051,C1051*E1051))))))),2)</f>
        <v>39.47</v>
      </c>
      <c r="J1051" s="1168" t="s">
        <v>102</v>
      </c>
      <c r="K1051" s="1169"/>
      <c r="L1051" s="1156"/>
      <c r="M1051" s="1169"/>
      <c r="N1051" s="1161" t="s">
        <v>2318</v>
      </c>
    </row>
    <row r="1052" spans="1:14" s="1170" customFormat="1" ht="16.5" hidden="1" customHeight="1">
      <c r="A1052" s="1156"/>
      <c r="B1052" s="1169" t="s">
        <v>2187</v>
      </c>
      <c r="C1052" s="1332">
        <v>1</v>
      </c>
      <c r="D1052" s="1333" t="s">
        <v>273</v>
      </c>
      <c r="E1052" s="1334">
        <v>1</v>
      </c>
      <c r="F1052" s="1335">
        <v>2.7</v>
      </c>
      <c r="G1052" s="1335">
        <v>0</v>
      </c>
      <c r="H1052" s="1335">
        <v>0.15</v>
      </c>
      <c r="I1052" s="1336">
        <f>-ROUND(IF(AND(F1052:H1052),C1052*E1052*F1052*G1052*H1052,IF(AND(F1052,G1052),C1052*E1052*F1052*G1052,IF(AND(F1052,H1052),C1052*E1052*F1052*H1052,IF(AND(G1052,H1052),C1052*E1052*G1052*H1052,IF(F1052,C1052*E1052*F1052,IF(G1052,C1052*E1052*G1052,IF(H1052,C1052*E1052*H1052,C1052*E1052))))))),2)</f>
        <v>-0.41</v>
      </c>
      <c r="J1052" s="1168" t="s">
        <v>102</v>
      </c>
      <c r="K1052" s="1169"/>
      <c r="L1052" s="1156"/>
      <c r="M1052" s="1169"/>
      <c r="N1052" s="1161" t="s">
        <v>2318</v>
      </c>
    </row>
    <row r="1053" spans="1:14" s="1170" customFormat="1" ht="16.5" hidden="1" customHeight="1">
      <c r="A1053" s="1156"/>
      <c r="B1053" s="1169"/>
      <c r="C1053" s="1332"/>
      <c r="D1053" s="1333"/>
      <c r="E1053" s="1334"/>
      <c r="F1053" s="1335"/>
      <c r="G1053" s="1335"/>
      <c r="H1053" s="1335"/>
      <c r="I1053" s="1336"/>
      <c r="J1053" s="1168"/>
      <c r="K1053" s="1169"/>
      <c r="L1053" s="1159"/>
      <c r="M1053" s="1169"/>
      <c r="N1053" s="1161" t="s">
        <v>2318</v>
      </c>
    </row>
    <row r="1054" spans="1:14" ht="15.75" hidden="1">
      <c r="A1054" s="1156"/>
      <c r="B1054" s="1169"/>
      <c r="C1054" s="1337"/>
      <c r="D1054" s="1171"/>
      <c r="E1054" s="1165"/>
      <c r="F1054" s="1166"/>
      <c r="G1054" s="1343"/>
      <c r="H1054" s="1156"/>
      <c r="I1054" s="1336"/>
      <c r="J1054" s="1168" t="s">
        <v>102</v>
      </c>
      <c r="K1054" s="1221">
        <f>data!E3211</f>
        <v>294.70999999999998</v>
      </c>
      <c r="L1054" s="1159" t="s">
        <v>2318</v>
      </c>
      <c r="M1054" s="1224">
        <f>ROUND(I1054*K1054,0)</f>
        <v>0</v>
      </c>
      <c r="N1054" s="1161" t="s">
        <v>2318</v>
      </c>
    </row>
    <row r="1055" spans="1:14" ht="52.5" hidden="1" customHeight="1">
      <c r="A1055" s="1156">
        <v>19</v>
      </c>
      <c r="B1055" s="1826" t="s">
        <v>593</v>
      </c>
      <c r="C1055" s="1826"/>
      <c r="D1055" s="1826"/>
      <c r="E1055" s="1826"/>
      <c r="F1055" s="1826"/>
      <c r="G1055" s="1826"/>
      <c r="H1055" s="1826"/>
      <c r="I1055" s="1157"/>
      <c r="J1055" s="1158"/>
      <c r="K1055" s="1156"/>
      <c r="L1055" s="1159"/>
      <c r="M1055" s="1160"/>
      <c r="N1055" s="1161" t="s">
        <v>2218</v>
      </c>
    </row>
    <row r="1056" spans="1:14" s="1170" customFormat="1" ht="16.5" hidden="1" customHeight="1">
      <c r="A1056" s="1156"/>
      <c r="B1056" s="1169" t="s">
        <v>3498</v>
      </c>
      <c r="C1056" s="1157"/>
      <c r="D1056" s="1171" t="s">
        <v>3334</v>
      </c>
      <c r="E1056" s="1165"/>
      <c r="F1056" s="1166"/>
      <c r="G1056" s="1166"/>
      <c r="H1056" s="1166"/>
      <c r="I1056" s="1167"/>
      <c r="J1056" s="1168"/>
      <c r="K1056" s="1169"/>
      <c r="L1056" s="1159"/>
      <c r="M1056" s="1169"/>
      <c r="N1056" s="1161" t="s">
        <v>2218</v>
      </c>
    </row>
    <row r="1057" spans="1:14" s="1170" customFormat="1" ht="15.75" hidden="1">
      <c r="A1057" s="1156"/>
      <c r="B1057" s="1169" t="s">
        <v>3166</v>
      </c>
      <c r="C1057" s="1157">
        <v>1</v>
      </c>
      <c r="D1057" s="1171" t="s">
        <v>273</v>
      </c>
      <c r="E1057" s="1165">
        <v>1</v>
      </c>
      <c r="F1057" s="1166">
        <v>8.65</v>
      </c>
      <c r="G1057" s="1166">
        <v>3.2</v>
      </c>
      <c r="H1057" s="1166">
        <v>0</v>
      </c>
      <c r="I1057" s="1172">
        <f t="shared" ref="I1057" si="105">ROUND(IF(AND(F1057:H1057),C1057*E1057*F1057*G1057*H1057,IF(AND(F1057,G1057),C1057*E1057*F1057*G1057,IF(AND(F1057,H1057),C1057*E1057*F1057*H1057,IF(AND(G1057,H1057),C1057*E1057*G1057*H1057,IF(F1057,C1057*E1057*F1057,IF(G1057,C1057*E1057*G1057,IF(H1057,C1057*E1057*H1057,C1057*E1057))))))),2)</f>
        <v>27.68</v>
      </c>
      <c r="J1057" s="1168" t="s">
        <v>102</v>
      </c>
      <c r="K1057" s="1169"/>
      <c r="L1057" s="1159"/>
      <c r="M1057" s="1169"/>
      <c r="N1057" s="1161" t="s">
        <v>2218</v>
      </c>
    </row>
    <row r="1058" spans="1:14" s="1170" customFormat="1" ht="16.5" hidden="1" customHeight="1">
      <c r="A1058" s="1156"/>
      <c r="B1058" s="1331"/>
      <c r="C1058" s="1332"/>
      <c r="D1058" s="1333"/>
      <c r="E1058" s="1334"/>
      <c r="F1058" s="1335"/>
      <c r="G1058" s="1335"/>
      <c r="H1058" s="1335"/>
      <c r="I1058" s="1336"/>
      <c r="J1058" s="1168"/>
      <c r="K1058" s="1169"/>
      <c r="L1058" s="1159"/>
      <c r="M1058" s="1169"/>
      <c r="N1058" s="1161" t="s">
        <v>2218</v>
      </c>
    </row>
    <row r="1059" spans="1:14" ht="15.75" hidden="1">
      <c r="A1059" s="1156"/>
      <c r="B1059" s="1169"/>
      <c r="C1059" s="1337"/>
      <c r="D1059" s="1171"/>
      <c r="E1059" s="1165"/>
      <c r="F1059" s="1166"/>
      <c r="G1059" s="1343"/>
      <c r="H1059" s="1156"/>
      <c r="I1059" s="1336"/>
      <c r="J1059" s="1168" t="s">
        <v>102</v>
      </c>
      <c r="K1059" s="1221">
        <f>data!E476</f>
        <v>259.87</v>
      </c>
      <c r="L1059" s="1159" t="s">
        <v>2218</v>
      </c>
      <c r="M1059" s="1224">
        <f>ROUND(I1059*K1059,0)</f>
        <v>0</v>
      </c>
      <c r="N1059" s="1161" t="s">
        <v>2218</v>
      </c>
    </row>
    <row r="1060" spans="1:14" ht="52.5" hidden="1" customHeight="1">
      <c r="A1060" s="1156">
        <v>22</v>
      </c>
      <c r="B1060" s="1826" t="s">
        <v>593</v>
      </c>
      <c r="C1060" s="1826"/>
      <c r="D1060" s="1826"/>
      <c r="E1060" s="1826"/>
      <c r="F1060" s="1826"/>
      <c r="G1060" s="1826"/>
      <c r="H1060" s="1826"/>
      <c r="I1060" s="1157"/>
      <c r="J1060" s="1158"/>
      <c r="K1060" s="1156"/>
      <c r="L1060" s="1159"/>
      <c r="M1060" s="1160"/>
      <c r="N1060" s="1161" t="s">
        <v>2306</v>
      </c>
    </row>
    <row r="1061" spans="1:14" s="1170" customFormat="1" ht="16.5" hidden="1" customHeight="1">
      <c r="A1061" s="1156"/>
      <c r="B1061" s="1169" t="s">
        <v>3494</v>
      </c>
      <c r="C1061" s="1351"/>
      <c r="D1061" s="1418"/>
      <c r="E1061" s="1352"/>
      <c r="F1061" s="1234"/>
      <c r="G1061" s="1234"/>
      <c r="H1061" s="1235"/>
      <c r="I1061" s="1353"/>
      <c r="J1061" s="1168"/>
      <c r="K1061" s="1169"/>
      <c r="L1061" s="1159"/>
      <c r="M1061" s="1169"/>
      <c r="N1061" s="1161" t="s">
        <v>2306</v>
      </c>
    </row>
    <row r="1062" spans="1:14" s="1170" customFormat="1" ht="15.75" hidden="1">
      <c r="A1062" s="1156"/>
      <c r="B1062" s="1169" t="s">
        <v>1540</v>
      </c>
      <c r="C1062" s="1157">
        <v>1</v>
      </c>
      <c r="D1062" s="1171" t="s">
        <v>273</v>
      </c>
      <c r="E1062" s="1165">
        <v>1</v>
      </c>
      <c r="F1062" s="1166">
        <v>12.49</v>
      </c>
      <c r="G1062" s="1166">
        <v>0</v>
      </c>
      <c r="H1062" s="1166">
        <v>3.93</v>
      </c>
      <c r="I1062" s="1172">
        <f>ROUND(IF(AND(F1062:H1062),C1062*E1062*F1062*G1062*H1062,IF(AND(F1062,G1062),C1062*E1062*F1062*G1062,IF(AND(F1062,H1062),C1062*E1062*F1062*H1062,IF(AND(G1062,H1062),C1062*E1062*G1062*H1062,IF(F1062,C1062*E1062*F1062,IF(G1062,C1062*E1062*G1062,IF(H1062,C1062*E1062*H1062,C1062*E1062))))))),2)</f>
        <v>49.09</v>
      </c>
      <c r="J1062" s="1168" t="s">
        <v>102</v>
      </c>
      <c r="K1062" s="1169"/>
      <c r="L1062" s="1159"/>
      <c r="M1062" s="1169"/>
      <c r="N1062" s="1161" t="s">
        <v>2306</v>
      </c>
    </row>
    <row r="1063" spans="1:14" s="1170" customFormat="1" ht="15.75" hidden="1">
      <c r="A1063" s="1156"/>
      <c r="B1063" s="1169" t="s">
        <v>581</v>
      </c>
      <c r="C1063" s="1157">
        <v>1</v>
      </c>
      <c r="D1063" s="1171" t="s">
        <v>273</v>
      </c>
      <c r="E1063" s="1165">
        <v>8</v>
      </c>
      <c r="F1063" s="1166">
        <v>0.6</v>
      </c>
      <c r="G1063" s="1166">
        <v>0</v>
      </c>
      <c r="H1063" s="1166">
        <v>0.45</v>
      </c>
      <c r="I1063" s="1172">
        <f>-ROUND(IF(AND(F1063:H1063),C1063*E1063*F1063*G1063*H1063,IF(AND(F1063,G1063),C1063*E1063*F1063*G1063,IF(AND(F1063,H1063),C1063*E1063*F1063*H1063,IF(AND(G1063,H1063),C1063*E1063*G1063*H1063,IF(F1063,C1063*E1063*F1063,IF(G1063,C1063*E1063*G1063,IF(H1063,C1063*E1063*H1063,C1063*E1063))))))),2)</f>
        <v>-2.16</v>
      </c>
      <c r="J1063" s="1168" t="s">
        <v>102</v>
      </c>
      <c r="K1063" s="1169"/>
      <c r="L1063" s="1159"/>
      <c r="M1063" s="1169"/>
      <c r="N1063" s="1161" t="s">
        <v>2306</v>
      </c>
    </row>
    <row r="1064" spans="1:14" s="1170" customFormat="1" ht="15.75" hidden="1">
      <c r="A1064" s="1156"/>
      <c r="B1064" s="1169" t="s">
        <v>2189</v>
      </c>
      <c r="C1064" s="1157">
        <v>1</v>
      </c>
      <c r="D1064" s="1171" t="s">
        <v>273</v>
      </c>
      <c r="E1064" s="1165">
        <v>1</v>
      </c>
      <c r="F1064" s="1166">
        <v>1.2</v>
      </c>
      <c r="G1064" s="1166">
        <v>0</v>
      </c>
      <c r="H1064" s="1166">
        <v>1.2</v>
      </c>
      <c r="I1064" s="1172">
        <f>-ROUND(IF(AND(F1064:H1064),C1064*E1064*F1064*G1064*H1064,IF(AND(F1064,G1064),C1064*E1064*F1064*G1064,IF(AND(F1064,H1064),C1064*E1064*F1064*H1064,IF(AND(G1064,H1064),C1064*E1064*G1064*H1064,IF(F1064,C1064*E1064*F1064,IF(G1064,C1064*E1064*G1064,IF(H1064,C1064*E1064*H1064,C1064*E1064))))))),2)</f>
        <v>-1.44</v>
      </c>
      <c r="J1064" s="1168" t="s">
        <v>102</v>
      </c>
      <c r="K1064" s="1169"/>
      <c r="L1064" s="1159"/>
      <c r="M1064" s="1169"/>
      <c r="N1064" s="1161" t="s">
        <v>2306</v>
      </c>
    </row>
    <row r="1065" spans="1:14" s="1170" customFormat="1" ht="16.5" hidden="1" customHeight="1">
      <c r="A1065" s="1156"/>
      <c r="B1065" s="1331"/>
      <c r="C1065" s="1332"/>
      <c r="D1065" s="1333"/>
      <c r="E1065" s="1334"/>
      <c r="F1065" s="1335"/>
      <c r="G1065" s="1335"/>
      <c r="H1065" s="1335"/>
      <c r="I1065" s="1336"/>
      <c r="J1065" s="1168"/>
      <c r="K1065" s="1169"/>
      <c r="L1065" s="1159"/>
      <c r="M1065" s="1169"/>
      <c r="N1065" s="1161" t="s">
        <v>2306</v>
      </c>
    </row>
    <row r="1066" spans="1:14" ht="15.75" hidden="1">
      <c r="A1066" s="1156"/>
      <c r="B1066" s="1169"/>
      <c r="C1066" s="1337"/>
      <c r="D1066" s="1171"/>
      <c r="E1066" s="1165"/>
      <c r="F1066" s="1166"/>
      <c r="G1066" s="1343"/>
      <c r="H1066" s="1156"/>
      <c r="I1066" s="1336"/>
      <c r="J1066" s="1168" t="s">
        <v>102</v>
      </c>
      <c r="K1066" s="1221">
        <f>data!E1393</f>
        <v>279.49</v>
      </c>
      <c r="L1066" s="1159" t="s">
        <v>2306</v>
      </c>
      <c r="M1066" s="1224">
        <f>ROUND(I1066*K1066,0)</f>
        <v>0</v>
      </c>
      <c r="N1066" s="1161" t="s">
        <v>2306</v>
      </c>
    </row>
    <row r="1067" spans="1:14" ht="52.5" hidden="1" customHeight="1">
      <c r="A1067" s="1156">
        <v>22</v>
      </c>
      <c r="B1067" s="1826" t="s">
        <v>593</v>
      </c>
      <c r="C1067" s="1826"/>
      <c r="D1067" s="1826"/>
      <c r="E1067" s="1826"/>
      <c r="F1067" s="1826"/>
      <c r="G1067" s="1826"/>
      <c r="H1067" s="1826"/>
      <c r="I1067" s="1157"/>
      <c r="J1067" s="1158"/>
      <c r="K1067" s="1156"/>
      <c r="L1067" s="1159"/>
      <c r="M1067" s="1160"/>
      <c r="N1067" s="1161" t="s">
        <v>2317</v>
      </c>
    </row>
    <row r="1068" spans="1:14" s="1170" customFormat="1" ht="16.5" hidden="1" customHeight="1">
      <c r="A1068" s="1156"/>
      <c r="B1068" s="1169" t="s">
        <v>3494</v>
      </c>
      <c r="C1068" s="1351"/>
      <c r="D1068" s="1418"/>
      <c r="E1068" s="1352"/>
      <c r="F1068" s="1234"/>
      <c r="G1068" s="1234"/>
      <c r="H1068" s="1235"/>
      <c r="I1068" s="1353"/>
      <c r="J1068" s="1168"/>
      <c r="K1068" s="1169"/>
      <c r="L1068" s="1159"/>
      <c r="M1068" s="1169"/>
      <c r="N1068" s="1161" t="s">
        <v>2317</v>
      </c>
    </row>
    <row r="1069" spans="1:14" s="1170" customFormat="1" ht="15.75" hidden="1">
      <c r="A1069" s="1156"/>
      <c r="B1069" s="1169" t="s">
        <v>1540</v>
      </c>
      <c r="C1069" s="1157">
        <v>1</v>
      </c>
      <c r="D1069" s="1171" t="s">
        <v>273</v>
      </c>
      <c r="E1069" s="1165">
        <v>1</v>
      </c>
      <c r="F1069" s="1166">
        <v>12.49</v>
      </c>
      <c r="G1069" s="1166">
        <v>0</v>
      </c>
      <c r="H1069" s="1166">
        <v>3.93</v>
      </c>
      <c r="I1069" s="1172">
        <f>ROUND(IF(AND(F1069:H1069),C1069*E1069*F1069*G1069*H1069,IF(AND(F1069,G1069),C1069*E1069*F1069*G1069,IF(AND(F1069,H1069),C1069*E1069*F1069*H1069,IF(AND(G1069,H1069),C1069*E1069*G1069*H1069,IF(F1069,C1069*E1069*F1069,IF(G1069,C1069*E1069*G1069,IF(H1069,C1069*E1069*H1069,C1069*E1069))))))),2)</f>
        <v>49.09</v>
      </c>
      <c r="J1069" s="1168" t="s">
        <v>102</v>
      </c>
      <c r="K1069" s="1169"/>
      <c r="L1069" s="1159"/>
      <c r="M1069" s="1169"/>
      <c r="N1069" s="1161" t="s">
        <v>2317</v>
      </c>
    </row>
    <row r="1070" spans="1:14" s="1170" customFormat="1" ht="15.75" hidden="1">
      <c r="A1070" s="1156"/>
      <c r="B1070" s="1169" t="s">
        <v>581</v>
      </c>
      <c r="C1070" s="1157">
        <v>1</v>
      </c>
      <c r="D1070" s="1171" t="s">
        <v>273</v>
      </c>
      <c r="E1070" s="1165">
        <v>8</v>
      </c>
      <c r="F1070" s="1166">
        <v>0.6</v>
      </c>
      <c r="G1070" s="1166">
        <v>0</v>
      </c>
      <c r="H1070" s="1166">
        <v>0.45</v>
      </c>
      <c r="I1070" s="1172">
        <f>-ROUND(IF(AND(F1070:H1070),C1070*E1070*F1070*G1070*H1070,IF(AND(F1070,G1070),C1070*E1070*F1070*G1070,IF(AND(F1070,H1070),C1070*E1070*F1070*H1070,IF(AND(G1070,H1070),C1070*E1070*G1070*H1070,IF(F1070,C1070*E1070*F1070,IF(G1070,C1070*E1070*G1070,IF(H1070,C1070*E1070*H1070,C1070*E1070))))))),2)</f>
        <v>-2.16</v>
      </c>
      <c r="J1070" s="1168" t="s">
        <v>102</v>
      </c>
      <c r="K1070" s="1169"/>
      <c r="L1070" s="1159"/>
      <c r="M1070" s="1169"/>
      <c r="N1070" s="1161" t="s">
        <v>2317</v>
      </c>
    </row>
    <row r="1071" spans="1:14" s="1170" customFormat="1" ht="15.75" hidden="1">
      <c r="A1071" s="1156"/>
      <c r="B1071" s="1169" t="s">
        <v>2189</v>
      </c>
      <c r="C1071" s="1157">
        <v>1</v>
      </c>
      <c r="D1071" s="1171" t="s">
        <v>273</v>
      </c>
      <c r="E1071" s="1165">
        <v>1</v>
      </c>
      <c r="F1071" s="1166">
        <v>1.2</v>
      </c>
      <c r="G1071" s="1166">
        <v>0</v>
      </c>
      <c r="H1071" s="1166">
        <v>1.2</v>
      </c>
      <c r="I1071" s="1172">
        <f>-ROUND(IF(AND(F1071:H1071),C1071*E1071*F1071*G1071*H1071,IF(AND(F1071,G1071),C1071*E1071*F1071*G1071,IF(AND(F1071,H1071),C1071*E1071*F1071*H1071,IF(AND(G1071,H1071),C1071*E1071*G1071*H1071,IF(F1071,C1071*E1071*F1071,IF(G1071,C1071*E1071*G1071,IF(H1071,C1071*E1071*H1071,C1071*E1071))))))),2)</f>
        <v>-1.44</v>
      </c>
      <c r="J1071" s="1168" t="s">
        <v>102</v>
      </c>
      <c r="K1071" s="1169"/>
      <c r="L1071" s="1159"/>
      <c r="M1071" s="1169"/>
      <c r="N1071" s="1161" t="s">
        <v>2317</v>
      </c>
    </row>
    <row r="1072" spans="1:14" s="1170" customFormat="1" ht="16.5" hidden="1" customHeight="1">
      <c r="A1072" s="1156"/>
      <c r="B1072" s="1331"/>
      <c r="C1072" s="1332"/>
      <c r="D1072" s="1333"/>
      <c r="E1072" s="1334"/>
      <c r="F1072" s="1335"/>
      <c r="G1072" s="1335"/>
      <c r="H1072" s="1335"/>
      <c r="I1072" s="1336"/>
      <c r="J1072" s="1168"/>
      <c r="K1072" s="1169"/>
      <c r="L1072" s="1159"/>
      <c r="M1072" s="1169"/>
      <c r="N1072" s="1161" t="s">
        <v>2317</v>
      </c>
    </row>
    <row r="1073" spans="1:14" ht="15.75" hidden="1">
      <c r="A1073" s="1156"/>
      <c r="B1073" s="1169"/>
      <c r="C1073" s="1337"/>
      <c r="D1073" s="1171"/>
      <c r="E1073" s="1165"/>
      <c r="F1073" s="1166"/>
      <c r="G1073" s="1343"/>
      <c r="H1073" s="1156"/>
      <c r="I1073" s="1336"/>
      <c r="J1073" s="1168" t="s">
        <v>102</v>
      </c>
      <c r="K1073" s="1221">
        <f>data!E2310</f>
        <v>297.13</v>
      </c>
      <c r="L1073" s="1159" t="s">
        <v>2317</v>
      </c>
      <c r="M1073" s="1224">
        <f>ROUND(I1073*K1073,0)</f>
        <v>0</v>
      </c>
      <c r="N1073" s="1161" t="s">
        <v>2317</v>
      </c>
    </row>
    <row r="1074" spans="1:14" ht="52.5" hidden="1" customHeight="1">
      <c r="A1074" s="1156">
        <v>22</v>
      </c>
      <c r="B1074" s="1826" t="s">
        <v>593</v>
      </c>
      <c r="C1074" s="1826"/>
      <c r="D1074" s="1826"/>
      <c r="E1074" s="1826"/>
      <c r="F1074" s="1826"/>
      <c r="G1074" s="1826"/>
      <c r="H1074" s="1826"/>
      <c r="I1074" s="1157"/>
      <c r="J1074" s="1158"/>
      <c r="K1074" s="1156"/>
      <c r="L1074" s="1159"/>
      <c r="M1074" s="1160"/>
      <c r="N1074" s="1161" t="s">
        <v>2318</v>
      </c>
    </row>
    <row r="1075" spans="1:14" s="1170" customFormat="1" ht="16.5" hidden="1" customHeight="1">
      <c r="A1075" s="1156"/>
      <c r="B1075" s="1169" t="s">
        <v>3498</v>
      </c>
      <c r="C1075" s="1157"/>
      <c r="D1075" s="1171"/>
      <c r="E1075" s="1165"/>
      <c r="F1075" s="1166"/>
      <c r="G1075" s="1166"/>
      <c r="H1075" s="1166"/>
      <c r="I1075" s="1167"/>
      <c r="J1075" s="1168"/>
      <c r="K1075" s="1169"/>
      <c r="L1075" s="1159"/>
      <c r="M1075" s="1169"/>
      <c r="N1075" s="1161" t="s">
        <v>2318</v>
      </c>
    </row>
    <row r="1076" spans="1:14" s="1170" customFormat="1" ht="15.75" hidden="1">
      <c r="A1076" s="1156"/>
      <c r="B1076" s="1169"/>
      <c r="C1076" s="1157">
        <v>1</v>
      </c>
      <c r="D1076" s="1171" t="s">
        <v>273</v>
      </c>
      <c r="E1076" s="1165">
        <v>1</v>
      </c>
      <c r="F1076" s="1166">
        <v>8.65</v>
      </c>
      <c r="G1076" s="1166">
        <v>3.2</v>
      </c>
      <c r="H1076" s="1166">
        <v>0</v>
      </c>
      <c r="I1076" s="1172">
        <f t="shared" ref="I1076" si="106">ROUND(IF(AND(F1076:H1076),C1076*E1076*F1076*G1076*H1076,IF(AND(F1076,G1076),C1076*E1076*F1076*G1076,IF(AND(F1076,H1076),C1076*E1076*F1076*H1076,IF(AND(G1076,H1076),C1076*E1076*G1076*H1076,IF(F1076,C1076*E1076*F1076,IF(G1076,C1076*E1076*G1076,IF(H1076,C1076*E1076*H1076,C1076*E1076))))))),2)</f>
        <v>27.68</v>
      </c>
      <c r="J1076" s="1168" t="s">
        <v>102</v>
      </c>
      <c r="K1076" s="1169"/>
      <c r="L1076" s="1159"/>
      <c r="M1076" s="1169"/>
      <c r="N1076" s="1161" t="s">
        <v>2318</v>
      </c>
    </row>
    <row r="1077" spans="1:14" s="1170" customFormat="1" ht="16.5" hidden="1" customHeight="1">
      <c r="A1077" s="1156"/>
      <c r="B1077" s="1331"/>
      <c r="C1077" s="1332"/>
      <c r="D1077" s="1333"/>
      <c r="E1077" s="1334"/>
      <c r="F1077" s="1335"/>
      <c r="G1077" s="1335"/>
      <c r="H1077" s="1335"/>
      <c r="I1077" s="1336"/>
      <c r="J1077" s="1168"/>
      <c r="K1077" s="1169"/>
      <c r="L1077" s="1159"/>
      <c r="M1077" s="1169"/>
      <c r="N1077" s="1161" t="s">
        <v>2318</v>
      </c>
    </row>
    <row r="1078" spans="1:14" ht="15.75" hidden="1">
      <c r="A1078" s="1156"/>
      <c r="B1078" s="1169"/>
      <c r="C1078" s="1337"/>
      <c r="D1078" s="1171"/>
      <c r="E1078" s="1165"/>
      <c r="F1078" s="1166"/>
      <c r="G1078" s="1343"/>
      <c r="H1078" s="1156"/>
      <c r="I1078" s="1336"/>
      <c r="J1078" s="1168" t="s">
        <v>102</v>
      </c>
      <c r="K1078" s="1221">
        <f>data!E3227</f>
        <v>314.89999999999998</v>
      </c>
      <c r="L1078" s="1159" t="s">
        <v>2318</v>
      </c>
      <c r="M1078" s="1224">
        <f>ROUND(I1078*K1078,0)</f>
        <v>0</v>
      </c>
      <c r="N1078" s="1161" t="s">
        <v>2318</v>
      </c>
    </row>
    <row r="1079" spans="1:14" s="1575" customFormat="1" ht="71.25" customHeight="1">
      <c r="A1079" s="1570">
        <v>20</v>
      </c>
      <c r="B1079" s="1827" t="s">
        <v>808</v>
      </c>
      <c r="C1079" s="1827"/>
      <c r="D1079" s="1827"/>
      <c r="E1079" s="1827"/>
      <c r="F1079" s="1827"/>
      <c r="G1079" s="1827"/>
      <c r="H1079" s="1827"/>
      <c r="I1079" s="1571"/>
      <c r="J1079" s="1572"/>
      <c r="K1079" s="1570"/>
      <c r="L1079" s="1573"/>
      <c r="M1079" s="1577"/>
      <c r="N1079" s="1578" t="s">
        <v>2218</v>
      </c>
    </row>
    <row r="1080" spans="1:14" s="1586" customFormat="1" ht="16.5" customHeight="1">
      <c r="A1080" s="1570"/>
      <c r="B1080" s="1579" t="s">
        <v>3799</v>
      </c>
      <c r="C1080" s="1580"/>
      <c r="D1080" s="1790" t="s">
        <v>3461</v>
      </c>
      <c r="E1080" s="1581"/>
      <c r="F1080" s="1582"/>
      <c r="G1080" s="1582"/>
      <c r="H1080" s="1582"/>
      <c r="I1080" s="1583"/>
      <c r="J1080" s="1598"/>
      <c r="K1080" s="1585"/>
      <c r="L1080" s="1573"/>
      <c r="M1080" s="1585"/>
      <c r="N1080" s="1578" t="s">
        <v>2218</v>
      </c>
    </row>
    <row r="1081" spans="1:14" s="1586" customFormat="1" ht="16.5" customHeight="1">
      <c r="A1081" s="1570"/>
      <c r="B1081" s="1585" t="s">
        <v>3359</v>
      </c>
      <c r="C1081" s="1571">
        <v>1</v>
      </c>
      <c r="D1081" s="1587" t="s">
        <v>273</v>
      </c>
      <c r="E1081" s="1588">
        <v>2</v>
      </c>
      <c r="F1081" s="1589">
        <v>9.3699999999999992</v>
      </c>
      <c r="G1081" s="1589">
        <v>0</v>
      </c>
      <c r="H1081" s="1589">
        <v>3.15</v>
      </c>
      <c r="I1081" s="1590">
        <f t="shared" ref="I1081:I1088" si="107">ROUND(IF(AND(F1081:H1081),C1081*E1081*F1081*G1081*H1081,IF(AND(F1081,G1081),C1081*E1081*F1081*G1081,IF(AND(F1081,H1081),C1081*E1081*F1081*H1081,IF(AND(G1081,H1081),C1081*E1081*G1081*H1081,IF(F1081,C1081*E1081*F1081,IF(G1081,C1081*E1081*G1081,IF(H1081,C1081*E1081*H1081,C1081*E1081))))))),2)</f>
        <v>59.03</v>
      </c>
      <c r="J1081" s="1598" t="s">
        <v>102</v>
      </c>
      <c r="K1081" s="1585"/>
      <c r="L1081" s="1573"/>
      <c r="M1081" s="1585"/>
      <c r="N1081" s="1578" t="s">
        <v>2218</v>
      </c>
    </row>
    <row r="1082" spans="1:14" s="1586" customFormat="1" ht="16.5" customHeight="1">
      <c r="A1082" s="1570"/>
      <c r="B1082" s="1585"/>
      <c r="C1082" s="1571">
        <v>1</v>
      </c>
      <c r="D1082" s="1587" t="s">
        <v>273</v>
      </c>
      <c r="E1082" s="1588">
        <v>2</v>
      </c>
      <c r="F1082" s="1589">
        <v>5.75</v>
      </c>
      <c r="G1082" s="1589">
        <v>0</v>
      </c>
      <c r="H1082" s="1589">
        <v>3.15</v>
      </c>
      <c r="I1082" s="1590">
        <f t="shared" si="107"/>
        <v>36.229999999999997</v>
      </c>
      <c r="J1082" s="1598" t="s">
        <v>102</v>
      </c>
      <c r="K1082" s="1585"/>
      <c r="L1082" s="1573"/>
      <c r="M1082" s="1585"/>
      <c r="N1082" s="1578" t="s">
        <v>2218</v>
      </c>
    </row>
    <row r="1083" spans="1:14" s="1586" customFormat="1" ht="16.5" customHeight="1">
      <c r="A1083" s="1570"/>
      <c r="B1083" s="1585" t="s">
        <v>3352</v>
      </c>
      <c r="C1083" s="1571">
        <v>1</v>
      </c>
      <c r="D1083" s="1587" t="s">
        <v>273</v>
      </c>
      <c r="E1083" s="1588">
        <v>2</v>
      </c>
      <c r="F1083" s="1589">
        <v>3.05</v>
      </c>
      <c r="G1083" s="1589">
        <v>0</v>
      </c>
      <c r="H1083" s="1589">
        <v>3.15</v>
      </c>
      <c r="I1083" s="1590">
        <f t="shared" si="107"/>
        <v>19.22</v>
      </c>
      <c r="J1083" s="1598" t="s">
        <v>102</v>
      </c>
      <c r="K1083" s="1585"/>
      <c r="L1083" s="1573"/>
      <c r="M1083" s="1585"/>
      <c r="N1083" s="1578" t="s">
        <v>2218</v>
      </c>
    </row>
    <row r="1084" spans="1:14" s="1586" customFormat="1" ht="16.5" customHeight="1">
      <c r="A1084" s="1570"/>
      <c r="B1084" s="1585"/>
      <c r="C1084" s="1571">
        <v>1</v>
      </c>
      <c r="D1084" s="1587" t="s">
        <v>273</v>
      </c>
      <c r="E1084" s="1588">
        <v>2</v>
      </c>
      <c r="F1084" s="1589">
        <v>4.26</v>
      </c>
      <c r="G1084" s="1589">
        <v>0</v>
      </c>
      <c r="H1084" s="1589">
        <v>3.15</v>
      </c>
      <c r="I1084" s="1590">
        <f t="shared" si="107"/>
        <v>26.84</v>
      </c>
      <c r="J1084" s="1598" t="s">
        <v>102</v>
      </c>
      <c r="K1084" s="1585"/>
      <c r="L1084" s="1573"/>
      <c r="M1084" s="1585"/>
      <c r="N1084" s="1578" t="s">
        <v>2218</v>
      </c>
    </row>
    <row r="1085" spans="1:14" s="1586" customFormat="1" ht="16.5" customHeight="1">
      <c r="A1085" s="1570"/>
      <c r="B1085" s="1585" t="s">
        <v>586</v>
      </c>
      <c r="C1085" s="1571">
        <v>1</v>
      </c>
      <c r="D1085" s="1587" t="s">
        <v>273</v>
      </c>
      <c r="E1085" s="1588">
        <v>2</v>
      </c>
      <c r="F1085" s="1589">
        <v>3.05</v>
      </c>
      <c r="G1085" s="1589">
        <v>0</v>
      </c>
      <c r="H1085" s="1589">
        <v>3.15</v>
      </c>
      <c r="I1085" s="1590">
        <f t="shared" si="107"/>
        <v>19.22</v>
      </c>
      <c r="J1085" s="1598" t="s">
        <v>102</v>
      </c>
      <c r="K1085" s="1585"/>
      <c r="L1085" s="1573"/>
      <c r="M1085" s="1585"/>
      <c r="N1085" s="1578" t="s">
        <v>2218</v>
      </c>
    </row>
    <row r="1086" spans="1:14" s="1586" customFormat="1" ht="16.5" customHeight="1">
      <c r="A1086" s="1570"/>
      <c r="B1086" s="1585"/>
      <c r="C1086" s="1571">
        <v>1</v>
      </c>
      <c r="D1086" s="1587" t="s">
        <v>273</v>
      </c>
      <c r="E1086" s="1588">
        <v>2</v>
      </c>
      <c r="F1086" s="1589">
        <v>4.26</v>
      </c>
      <c r="G1086" s="1589">
        <v>0</v>
      </c>
      <c r="H1086" s="1589">
        <v>3.15</v>
      </c>
      <c r="I1086" s="1590">
        <f t="shared" si="107"/>
        <v>26.84</v>
      </c>
      <c r="J1086" s="1598" t="s">
        <v>102</v>
      </c>
      <c r="K1086" s="1585"/>
      <c r="L1086" s="1573"/>
      <c r="M1086" s="1585"/>
      <c r="N1086" s="1578" t="s">
        <v>2218</v>
      </c>
    </row>
    <row r="1087" spans="1:14" s="1586" customFormat="1" ht="16.5" customHeight="1">
      <c r="A1087" s="1570"/>
      <c r="B1087" s="1585" t="s">
        <v>3353</v>
      </c>
      <c r="C1087" s="1571">
        <v>1</v>
      </c>
      <c r="D1087" s="1587" t="s">
        <v>273</v>
      </c>
      <c r="E1087" s="1588">
        <v>2</v>
      </c>
      <c r="F1087" s="1589">
        <v>3.05</v>
      </c>
      <c r="G1087" s="1589">
        <v>0</v>
      </c>
      <c r="H1087" s="1589">
        <v>3.15</v>
      </c>
      <c r="I1087" s="1590">
        <f t="shared" si="107"/>
        <v>19.22</v>
      </c>
      <c r="J1087" s="1598" t="s">
        <v>102</v>
      </c>
      <c r="K1087" s="1585"/>
      <c r="L1087" s="1573"/>
      <c r="M1087" s="1585"/>
      <c r="N1087" s="1578" t="s">
        <v>2218</v>
      </c>
    </row>
    <row r="1088" spans="1:14" s="1586" customFormat="1" ht="16.5" customHeight="1">
      <c r="A1088" s="1570"/>
      <c r="B1088" s="1585"/>
      <c r="C1088" s="1571">
        <v>1</v>
      </c>
      <c r="D1088" s="1587" t="s">
        <v>273</v>
      </c>
      <c r="E1088" s="1588">
        <v>2</v>
      </c>
      <c r="F1088" s="1589">
        <v>4.26</v>
      </c>
      <c r="G1088" s="1589">
        <v>0</v>
      </c>
      <c r="H1088" s="1589">
        <v>3.15</v>
      </c>
      <c r="I1088" s="1590">
        <f t="shared" si="107"/>
        <v>26.84</v>
      </c>
      <c r="J1088" s="1598" t="s">
        <v>102</v>
      </c>
      <c r="K1088" s="1585"/>
      <c r="L1088" s="1573"/>
      <c r="M1088" s="1585"/>
      <c r="N1088" s="1578" t="s">
        <v>2218</v>
      </c>
    </row>
    <row r="1089" spans="1:14" s="1586" customFormat="1" ht="16.5" customHeight="1">
      <c r="A1089" s="1570"/>
      <c r="B1089" s="1585" t="s">
        <v>579</v>
      </c>
      <c r="C1089" s="1571">
        <v>1</v>
      </c>
      <c r="D1089" s="1587" t="s">
        <v>273</v>
      </c>
      <c r="E1089" s="1588">
        <v>2</v>
      </c>
      <c r="F1089" s="1589">
        <v>1.2</v>
      </c>
      <c r="G1089" s="1589">
        <v>0</v>
      </c>
      <c r="H1089" s="1589">
        <v>2.1</v>
      </c>
      <c r="I1089" s="1590">
        <f>-ROUND(IF(AND(F1089:H1089),C1089*E1089*F1089*G1089*H1089,IF(AND(F1089,G1089),C1089*E1089*F1089*G1089,IF(AND(F1089,H1089),C1089*E1089*F1089*H1089,IF(AND(G1089,H1089),C1089*E1089*G1089*H1089,IF(F1089,C1089*E1089*F1089,IF(G1089,C1089*E1089*G1089,IF(H1089,C1089*E1089*H1089,C1089*E1089))))))),2)</f>
        <v>-5.04</v>
      </c>
      <c r="J1089" s="1598" t="s">
        <v>102</v>
      </c>
      <c r="K1089" s="1585"/>
      <c r="L1089" s="1573"/>
      <c r="M1089" s="1585"/>
      <c r="N1089" s="1578" t="s">
        <v>2218</v>
      </c>
    </row>
    <row r="1090" spans="1:14" s="1586" customFormat="1" ht="16.5" customHeight="1">
      <c r="A1090" s="1570"/>
      <c r="B1090" s="1585" t="s">
        <v>579</v>
      </c>
      <c r="C1090" s="1571">
        <v>1</v>
      </c>
      <c r="D1090" s="1587" t="s">
        <v>273</v>
      </c>
      <c r="E1090" s="1588">
        <v>1</v>
      </c>
      <c r="F1090" s="1589">
        <v>1.2</v>
      </c>
      <c r="G1090" s="1589">
        <v>0</v>
      </c>
      <c r="H1090" s="1589">
        <v>2.1</v>
      </c>
      <c r="I1090" s="1590">
        <f>-ROUND(IF(AND(F1090:H1090),C1090*E1090*F1090*G1090*H1090,IF(AND(F1090,G1090),C1090*E1090*F1090*G1090,IF(AND(F1090,H1090),C1090*E1090*F1090*H1090,IF(AND(G1090,H1090),C1090*E1090*G1090*H1090,IF(F1090,C1090*E1090*F1090,IF(G1090,C1090*E1090*G1090,IF(H1090,C1090*E1090*H1090,C1090*E1090))))))),2)</f>
        <v>-2.52</v>
      </c>
      <c r="J1090" s="1598" t="s">
        <v>102</v>
      </c>
      <c r="K1090" s="1585"/>
      <c r="L1090" s="1573"/>
      <c r="M1090" s="1585"/>
      <c r="N1090" s="1578" t="s">
        <v>2218</v>
      </c>
    </row>
    <row r="1091" spans="1:14" s="1586" customFormat="1" ht="16.5" customHeight="1">
      <c r="A1091" s="1570"/>
      <c r="B1091" s="1585" t="s">
        <v>579</v>
      </c>
      <c r="C1091" s="1571">
        <v>2</v>
      </c>
      <c r="D1091" s="1587" t="s">
        <v>273</v>
      </c>
      <c r="E1091" s="1588">
        <v>2</v>
      </c>
      <c r="F1091" s="1589">
        <v>1.05</v>
      </c>
      <c r="G1091" s="1589">
        <v>0</v>
      </c>
      <c r="H1091" s="1589">
        <v>2.1</v>
      </c>
      <c r="I1091" s="1590">
        <f>-ROUND(IF(AND(F1091:H1091),C1091*E1091*F1091*G1091*H1091,IF(AND(F1091,G1091),C1091*E1091*F1091*G1091,IF(AND(F1091,H1091),C1091*E1091*F1091*H1091,IF(AND(G1091,H1091),C1091*E1091*G1091*H1091,IF(F1091,C1091*E1091*F1091,IF(G1091,C1091*E1091*G1091,IF(H1091,C1091*E1091*H1091,C1091*E1091))))))),2)</f>
        <v>-8.82</v>
      </c>
      <c r="J1091" s="1598" t="s">
        <v>102</v>
      </c>
      <c r="K1091" s="1585"/>
      <c r="L1091" s="1573"/>
      <c r="M1091" s="1585"/>
      <c r="N1091" s="1578" t="s">
        <v>2218</v>
      </c>
    </row>
    <row r="1092" spans="1:14" s="1586" customFormat="1" ht="16.5" customHeight="1">
      <c r="A1092" s="1570"/>
      <c r="B1092" s="1585" t="s">
        <v>2360</v>
      </c>
      <c r="C1092" s="1571">
        <v>1</v>
      </c>
      <c r="D1092" s="1587" t="s">
        <v>273</v>
      </c>
      <c r="E1092" s="1588">
        <v>11</v>
      </c>
      <c r="F1092" s="1589">
        <v>1.2</v>
      </c>
      <c r="G1092" s="1589">
        <v>0</v>
      </c>
      <c r="H1092" s="1589">
        <v>1.2</v>
      </c>
      <c r="I1092" s="1590">
        <f t="shared" ref="I1092:I1093" si="108">-ROUND(IF(AND(F1092:H1092),C1092*E1092*F1092*G1092*H1092,IF(AND(F1092,G1092),C1092*E1092*F1092*G1092,IF(AND(F1092,H1092),C1092*E1092*F1092*H1092,IF(AND(G1092,H1092),C1092*E1092*G1092*H1092,IF(F1092,C1092*E1092*F1092,IF(G1092,C1092*E1092*G1092,IF(H1092,C1092*E1092*H1092,C1092*E1092))))))),2)</f>
        <v>-15.84</v>
      </c>
      <c r="J1092" s="1598" t="s">
        <v>102</v>
      </c>
      <c r="K1092" s="1585"/>
      <c r="L1092" s="1573"/>
      <c r="M1092" s="1585"/>
      <c r="N1092" s="1578" t="s">
        <v>2218</v>
      </c>
    </row>
    <row r="1093" spans="1:14" s="1586" customFormat="1" ht="16.5" customHeight="1">
      <c r="A1093" s="1570"/>
      <c r="B1093" s="1585" t="s">
        <v>581</v>
      </c>
      <c r="C1093" s="1571">
        <v>1</v>
      </c>
      <c r="D1093" s="1587" t="s">
        <v>273</v>
      </c>
      <c r="E1093" s="1588">
        <v>12</v>
      </c>
      <c r="F1093" s="1589">
        <v>0.6</v>
      </c>
      <c r="G1093" s="1589">
        <v>0</v>
      </c>
      <c r="H1093" s="1589">
        <v>0.3</v>
      </c>
      <c r="I1093" s="1590">
        <f t="shared" si="108"/>
        <v>-2.16</v>
      </c>
      <c r="J1093" s="1598" t="s">
        <v>102</v>
      </c>
      <c r="K1093" s="1585"/>
      <c r="L1093" s="1573"/>
      <c r="M1093" s="1585"/>
      <c r="N1093" s="1578" t="s">
        <v>2218</v>
      </c>
    </row>
    <row r="1094" spans="1:14" s="1586" customFormat="1" ht="16.5" customHeight="1">
      <c r="A1094" s="1570"/>
      <c r="B1094" s="1579" t="s">
        <v>3812</v>
      </c>
      <c r="C1094" s="1580"/>
      <c r="D1094" s="1790" t="s">
        <v>3876</v>
      </c>
      <c r="E1094" s="1581"/>
      <c r="F1094" s="1582"/>
      <c r="G1094" s="1582"/>
      <c r="H1094" s="1582"/>
      <c r="I1094" s="1583"/>
      <c r="J1094" s="1584"/>
      <c r="K1094" s="1585"/>
      <c r="L1094" s="1573"/>
      <c r="M1094" s="1585"/>
      <c r="N1094" s="1578" t="s">
        <v>2218</v>
      </c>
    </row>
    <row r="1095" spans="1:14" s="1586" customFormat="1" ht="16.5" customHeight="1">
      <c r="A1095" s="1570"/>
      <c r="B1095" s="1585" t="s">
        <v>3813</v>
      </c>
      <c r="C1095" s="1571">
        <v>1</v>
      </c>
      <c r="D1095" s="1587" t="s">
        <v>273</v>
      </c>
      <c r="E1095" s="1588">
        <v>2</v>
      </c>
      <c r="F1095" s="1589">
        <v>3.05</v>
      </c>
      <c r="G1095" s="1589">
        <v>0</v>
      </c>
      <c r="H1095" s="1589">
        <f>(0.5+1.5+0.5)/3</f>
        <v>0.83333333333333337</v>
      </c>
      <c r="I1095" s="1590">
        <f t="shared" ref="I1095:I1098" si="109">ROUND(IF(AND(F1095:H1095),C1095*E1095*F1095*G1095*H1095,IF(AND(F1095,G1095),C1095*E1095*F1095*G1095,IF(AND(F1095,H1095),C1095*E1095*F1095*H1095,IF(AND(G1095,H1095),C1095*E1095*G1095*H1095,IF(F1095,C1095*E1095*F1095,IF(G1095,C1095*E1095*G1095,IF(H1095,C1095*E1095*H1095,C1095*E1095))))))),2)</f>
        <v>5.08</v>
      </c>
      <c r="J1095" s="1598" t="s">
        <v>102</v>
      </c>
      <c r="K1095" s="1585"/>
      <c r="L1095" s="1573"/>
      <c r="M1095" s="1585"/>
      <c r="N1095" s="1578" t="s">
        <v>2218</v>
      </c>
    </row>
    <row r="1096" spans="1:14" s="1586" customFormat="1" ht="16.5" customHeight="1">
      <c r="A1096" s="1570"/>
      <c r="B1096" s="1585" t="s">
        <v>1492</v>
      </c>
      <c r="C1096" s="1571">
        <v>1</v>
      </c>
      <c r="D1096" s="1587" t="s">
        <v>273</v>
      </c>
      <c r="E1096" s="1588">
        <v>1</v>
      </c>
      <c r="F1096" s="1589">
        <v>3.5</v>
      </c>
      <c r="G1096" s="1589">
        <v>0</v>
      </c>
      <c r="H1096" s="1589">
        <v>0.8</v>
      </c>
      <c r="I1096" s="1590">
        <f t="shared" si="109"/>
        <v>2.8</v>
      </c>
      <c r="J1096" s="1598" t="s">
        <v>102</v>
      </c>
      <c r="K1096" s="1585"/>
      <c r="L1096" s="1573"/>
      <c r="M1096" s="1585"/>
      <c r="N1096" s="1578" t="s">
        <v>2218</v>
      </c>
    </row>
    <row r="1097" spans="1:14" s="1586" customFormat="1" ht="16.5" customHeight="1">
      <c r="A1097" s="1570"/>
      <c r="B1097" s="1585"/>
      <c r="C1097" s="1571">
        <v>1</v>
      </c>
      <c r="D1097" s="1587" t="s">
        <v>273</v>
      </c>
      <c r="E1097" s="1588">
        <v>1</v>
      </c>
      <c r="F1097" s="1589">
        <v>3.4</v>
      </c>
      <c r="G1097" s="1589">
        <v>0</v>
      </c>
      <c r="H1097" s="1589">
        <v>0.8</v>
      </c>
      <c r="I1097" s="1590">
        <f t="shared" si="109"/>
        <v>2.72</v>
      </c>
      <c r="J1097" s="1598" t="s">
        <v>102</v>
      </c>
      <c r="K1097" s="1585"/>
      <c r="L1097" s="1573"/>
      <c r="M1097" s="1585"/>
      <c r="N1097" s="1578" t="s">
        <v>2218</v>
      </c>
    </row>
    <row r="1098" spans="1:14" s="1586" customFormat="1" ht="16.5" customHeight="1">
      <c r="A1098" s="1570"/>
      <c r="B1098" s="1585" t="s">
        <v>1493</v>
      </c>
      <c r="C1098" s="1571">
        <v>1</v>
      </c>
      <c r="D1098" s="1587" t="s">
        <v>273</v>
      </c>
      <c r="E1098" s="1588">
        <v>12</v>
      </c>
      <c r="F1098" s="1589">
        <v>1.2</v>
      </c>
      <c r="G1098" s="1589">
        <v>0</v>
      </c>
      <c r="H1098" s="1589">
        <v>0.5</v>
      </c>
      <c r="I1098" s="1590">
        <f t="shared" si="109"/>
        <v>7.2</v>
      </c>
      <c r="J1098" s="1598" t="s">
        <v>102</v>
      </c>
      <c r="K1098" s="1585"/>
      <c r="L1098" s="1573"/>
      <c r="M1098" s="1585"/>
      <c r="N1098" s="1578" t="s">
        <v>2218</v>
      </c>
    </row>
    <row r="1099" spans="1:14" s="1586" customFormat="1" ht="16.5" customHeight="1">
      <c r="A1099" s="1570"/>
      <c r="B1099" s="1600"/>
      <c r="C1099" s="1601"/>
      <c r="D1099" s="1602"/>
      <c r="E1099" s="1603"/>
      <c r="F1099" s="1604"/>
      <c r="G1099" s="1604"/>
      <c r="H1099" s="1604"/>
      <c r="I1099" s="1605"/>
      <c r="J1099" s="1598"/>
      <c r="K1099" s="1585"/>
      <c r="L1099" s="1573"/>
      <c r="M1099" s="1585"/>
      <c r="N1099" s="1578" t="s">
        <v>2218</v>
      </c>
    </row>
    <row r="1100" spans="1:14" s="1575" customFormat="1" ht="15.75">
      <c r="A1100" s="1570"/>
      <c r="B1100" s="1585"/>
      <c r="C1100" s="1606"/>
      <c r="D1100" s="1587"/>
      <c r="E1100" s="1588"/>
      <c r="F1100" s="1589"/>
      <c r="G1100" s="1607"/>
      <c r="H1100" s="1570"/>
      <c r="I1100" s="1605">
        <f>SUM(I1081:I1099)</f>
        <v>216.86</v>
      </c>
      <c r="J1100" s="1598" t="s">
        <v>102</v>
      </c>
      <c r="K1100" s="1608">
        <f>data!E512</f>
        <v>317.8</v>
      </c>
      <c r="L1100" s="1573" t="s">
        <v>2218</v>
      </c>
      <c r="M1100" s="1609">
        <f>ROUND(I1100*K1100,0)</f>
        <v>68918</v>
      </c>
      <c r="N1100" s="1578" t="s">
        <v>2218</v>
      </c>
    </row>
    <row r="1101" spans="1:14" ht="71.25" hidden="1" customHeight="1">
      <c r="A1101" s="1156">
        <v>30</v>
      </c>
      <c r="B1101" s="1826" t="s">
        <v>808</v>
      </c>
      <c r="C1101" s="1826"/>
      <c r="D1101" s="1828"/>
      <c r="E1101" s="1826"/>
      <c r="F1101" s="1826"/>
      <c r="G1101" s="1826"/>
      <c r="H1101" s="1826"/>
      <c r="I1101" s="1157"/>
      <c r="J1101" s="1158"/>
      <c r="K1101" s="1156"/>
      <c r="L1101" s="1159"/>
      <c r="M1101" s="1160"/>
      <c r="N1101" s="1161" t="s">
        <v>2306</v>
      </c>
    </row>
    <row r="1102" spans="1:14" s="1170" customFormat="1" ht="16.5" hidden="1" customHeight="1">
      <c r="A1102" s="1156"/>
      <c r="B1102" s="1169" t="s">
        <v>3594</v>
      </c>
      <c r="C1102" s="1157"/>
      <c r="D1102" s="1548" t="s">
        <v>3648</v>
      </c>
      <c r="E1102" s="1165"/>
      <c r="F1102" s="1166"/>
      <c r="G1102" s="1166"/>
      <c r="H1102" s="1166"/>
      <c r="I1102" s="1167"/>
      <c r="J1102" s="1168"/>
      <c r="K1102" s="1169"/>
      <c r="L1102" s="1159"/>
      <c r="M1102" s="1169"/>
      <c r="N1102" s="1161" t="s">
        <v>2306</v>
      </c>
    </row>
    <row r="1103" spans="1:14" s="1170" customFormat="1" ht="16.5" hidden="1" customHeight="1">
      <c r="A1103" s="1156"/>
      <c r="B1103" s="1169" t="s">
        <v>3359</v>
      </c>
      <c r="C1103" s="1157">
        <v>1</v>
      </c>
      <c r="D1103" s="1171" t="s">
        <v>273</v>
      </c>
      <c r="E1103" s="1165">
        <v>2</v>
      </c>
      <c r="F1103" s="1166">
        <v>9.3699999999999992</v>
      </c>
      <c r="G1103" s="1166">
        <v>0</v>
      </c>
      <c r="H1103" s="1166">
        <v>3.15</v>
      </c>
      <c r="I1103" s="1172">
        <f t="shared" ref="I1103:I1111" si="110">ROUND(IF(AND(F1103:H1103),C1103*E1103*F1103*G1103*H1103,IF(AND(F1103,G1103),C1103*E1103*F1103*G1103,IF(AND(F1103,H1103),C1103*E1103*F1103*H1103,IF(AND(G1103,H1103),C1103*E1103*G1103*H1103,IF(F1103,C1103*E1103*F1103,IF(G1103,C1103*E1103*G1103,IF(H1103,C1103*E1103*H1103,C1103*E1103))))))),2)</f>
        <v>59.03</v>
      </c>
      <c r="J1103" s="1168" t="s">
        <v>102</v>
      </c>
      <c r="K1103" s="1169"/>
      <c r="L1103" s="1159"/>
      <c r="M1103" s="1169"/>
      <c r="N1103" s="1161" t="s">
        <v>2306</v>
      </c>
    </row>
    <row r="1104" spans="1:14" s="1170" customFormat="1" ht="16.5" hidden="1" customHeight="1">
      <c r="A1104" s="1156"/>
      <c r="B1104" s="1169"/>
      <c r="C1104" s="1157">
        <v>1</v>
      </c>
      <c r="D1104" s="1171" t="s">
        <v>273</v>
      </c>
      <c r="E1104" s="1165">
        <v>2</v>
      </c>
      <c r="F1104" s="1166">
        <v>5.75</v>
      </c>
      <c r="G1104" s="1166">
        <v>0</v>
      </c>
      <c r="H1104" s="1166">
        <v>3.15</v>
      </c>
      <c r="I1104" s="1172">
        <f t="shared" si="110"/>
        <v>36.229999999999997</v>
      </c>
      <c r="J1104" s="1168" t="s">
        <v>102</v>
      </c>
      <c r="K1104" s="1169"/>
      <c r="L1104" s="1159"/>
      <c r="M1104" s="1169"/>
      <c r="N1104" s="1161" t="s">
        <v>2306</v>
      </c>
    </row>
    <row r="1105" spans="1:14" s="1170" customFormat="1" ht="16.5" hidden="1" customHeight="1">
      <c r="A1105" s="1156"/>
      <c r="B1105" s="1169" t="s">
        <v>3352</v>
      </c>
      <c r="C1105" s="1157">
        <v>1</v>
      </c>
      <c r="D1105" s="1171" t="s">
        <v>273</v>
      </c>
      <c r="E1105" s="1165">
        <v>2</v>
      </c>
      <c r="F1105" s="1166">
        <v>3.05</v>
      </c>
      <c r="G1105" s="1166">
        <v>0</v>
      </c>
      <c r="H1105" s="1166">
        <v>3.15</v>
      </c>
      <c r="I1105" s="1172">
        <f t="shared" si="110"/>
        <v>19.22</v>
      </c>
      <c r="J1105" s="1168" t="s">
        <v>102</v>
      </c>
      <c r="K1105" s="1169"/>
      <c r="L1105" s="1159"/>
      <c r="M1105" s="1169"/>
      <c r="N1105" s="1161" t="s">
        <v>2306</v>
      </c>
    </row>
    <row r="1106" spans="1:14" s="1170" customFormat="1" ht="16.5" hidden="1" customHeight="1">
      <c r="A1106" s="1156"/>
      <c r="B1106" s="1169"/>
      <c r="C1106" s="1157">
        <v>1</v>
      </c>
      <c r="D1106" s="1171" t="s">
        <v>273</v>
      </c>
      <c r="E1106" s="1165">
        <v>2</v>
      </c>
      <c r="F1106" s="1166">
        <v>4.26</v>
      </c>
      <c r="G1106" s="1166">
        <v>0</v>
      </c>
      <c r="H1106" s="1166">
        <v>3.15</v>
      </c>
      <c r="I1106" s="1172">
        <f t="shared" si="110"/>
        <v>26.84</v>
      </c>
      <c r="J1106" s="1168" t="s">
        <v>102</v>
      </c>
      <c r="K1106" s="1169"/>
      <c r="L1106" s="1159"/>
      <c r="M1106" s="1169"/>
      <c r="N1106" s="1161" t="s">
        <v>2306</v>
      </c>
    </row>
    <row r="1107" spans="1:14" s="1170" customFormat="1" ht="16.5" hidden="1" customHeight="1">
      <c r="A1107" s="1156"/>
      <c r="B1107" s="1169" t="s">
        <v>586</v>
      </c>
      <c r="C1107" s="1157">
        <v>1</v>
      </c>
      <c r="D1107" s="1171" t="s">
        <v>273</v>
      </c>
      <c r="E1107" s="1165">
        <v>2</v>
      </c>
      <c r="F1107" s="1166">
        <v>3.05</v>
      </c>
      <c r="G1107" s="1166">
        <v>0</v>
      </c>
      <c r="H1107" s="1166">
        <v>3.15</v>
      </c>
      <c r="I1107" s="1172">
        <f t="shared" si="110"/>
        <v>19.22</v>
      </c>
      <c r="J1107" s="1168" t="s">
        <v>102</v>
      </c>
      <c r="K1107" s="1169"/>
      <c r="L1107" s="1159"/>
      <c r="M1107" s="1169"/>
      <c r="N1107" s="1161" t="s">
        <v>2306</v>
      </c>
    </row>
    <row r="1108" spans="1:14" s="1170" customFormat="1" ht="16.5" hidden="1" customHeight="1">
      <c r="A1108" s="1156"/>
      <c r="B1108" s="1169"/>
      <c r="C1108" s="1157">
        <v>1</v>
      </c>
      <c r="D1108" s="1171" t="s">
        <v>273</v>
      </c>
      <c r="E1108" s="1165">
        <v>2</v>
      </c>
      <c r="F1108" s="1166">
        <v>4.26</v>
      </c>
      <c r="G1108" s="1166">
        <v>0</v>
      </c>
      <c r="H1108" s="1166">
        <v>3.15</v>
      </c>
      <c r="I1108" s="1172">
        <f t="shared" si="110"/>
        <v>26.84</v>
      </c>
      <c r="J1108" s="1168" t="s">
        <v>102</v>
      </c>
      <c r="K1108" s="1169"/>
      <c r="L1108" s="1159"/>
      <c r="M1108" s="1169"/>
      <c r="N1108" s="1161" t="s">
        <v>2306</v>
      </c>
    </row>
    <row r="1109" spans="1:14" s="1170" customFormat="1" ht="16.5" hidden="1" customHeight="1">
      <c r="A1109" s="1156"/>
      <c r="B1109" s="1169" t="s">
        <v>3353</v>
      </c>
      <c r="C1109" s="1157">
        <v>1</v>
      </c>
      <c r="D1109" s="1171" t="s">
        <v>273</v>
      </c>
      <c r="E1109" s="1165">
        <v>2</v>
      </c>
      <c r="F1109" s="1166">
        <v>3.05</v>
      </c>
      <c r="G1109" s="1166">
        <v>0</v>
      </c>
      <c r="H1109" s="1166">
        <v>3.15</v>
      </c>
      <c r="I1109" s="1172">
        <f t="shared" si="110"/>
        <v>19.22</v>
      </c>
      <c r="J1109" s="1168" t="s">
        <v>102</v>
      </c>
      <c r="K1109" s="1169"/>
      <c r="L1109" s="1159"/>
      <c r="M1109" s="1169"/>
      <c r="N1109" s="1161" t="s">
        <v>2306</v>
      </c>
    </row>
    <row r="1110" spans="1:14" s="1170" customFormat="1" ht="16.5" hidden="1" customHeight="1">
      <c r="A1110" s="1156"/>
      <c r="B1110" s="1169"/>
      <c r="C1110" s="1157">
        <v>1</v>
      </c>
      <c r="D1110" s="1171" t="s">
        <v>273</v>
      </c>
      <c r="E1110" s="1165">
        <v>2</v>
      </c>
      <c r="F1110" s="1166">
        <v>4.26</v>
      </c>
      <c r="G1110" s="1166">
        <v>0</v>
      </c>
      <c r="H1110" s="1166">
        <v>3.15</v>
      </c>
      <c r="I1110" s="1172">
        <f t="shared" si="110"/>
        <v>26.84</v>
      </c>
      <c r="J1110" s="1168" t="s">
        <v>102</v>
      </c>
      <c r="K1110" s="1169"/>
      <c r="L1110" s="1159"/>
      <c r="M1110" s="1169"/>
      <c r="N1110" s="1161" t="s">
        <v>2306</v>
      </c>
    </row>
    <row r="1111" spans="1:14" s="1170" customFormat="1" ht="16.5" hidden="1" customHeight="1">
      <c r="A1111" s="1156"/>
      <c r="B1111" s="1169" t="s">
        <v>3595</v>
      </c>
      <c r="C1111" s="1157">
        <v>1</v>
      </c>
      <c r="D1111" s="1171" t="s">
        <v>273</v>
      </c>
      <c r="E1111" s="1165">
        <v>1</v>
      </c>
      <c r="F1111" s="1166">
        <v>42.3</v>
      </c>
      <c r="G1111" s="1166">
        <v>1.7</v>
      </c>
      <c r="H1111" s="1166">
        <v>0</v>
      </c>
      <c r="I1111" s="1172">
        <f t="shared" si="110"/>
        <v>71.91</v>
      </c>
      <c r="J1111" s="1168" t="s">
        <v>102</v>
      </c>
      <c r="K1111" s="1169"/>
      <c r="L1111" s="1159"/>
      <c r="M1111" s="1169"/>
      <c r="N1111" s="1161" t="s">
        <v>2306</v>
      </c>
    </row>
    <row r="1112" spans="1:14" s="1170" customFormat="1" ht="16.5" hidden="1" customHeight="1">
      <c r="A1112" s="1156"/>
      <c r="B1112" s="1169" t="s">
        <v>579</v>
      </c>
      <c r="C1112" s="1157">
        <v>1</v>
      </c>
      <c r="D1112" s="1171" t="s">
        <v>273</v>
      </c>
      <c r="E1112" s="1165">
        <v>1</v>
      </c>
      <c r="F1112" s="1166">
        <v>1.2</v>
      </c>
      <c r="G1112" s="1166">
        <v>0</v>
      </c>
      <c r="H1112" s="1166">
        <v>2.1</v>
      </c>
      <c r="I1112" s="1172">
        <f>-ROUND(IF(AND(F1112:H1112),C1112*E1112*F1112*G1112*H1112,IF(AND(F1112,G1112),C1112*E1112*F1112*G1112,IF(AND(F1112,H1112),C1112*E1112*F1112*H1112,IF(AND(G1112,H1112),C1112*E1112*G1112*H1112,IF(F1112,C1112*E1112*F1112,IF(G1112,C1112*E1112*G1112,IF(H1112,C1112*E1112*H1112,C1112*E1112))))))),2)</f>
        <v>-2.52</v>
      </c>
      <c r="J1112" s="1168" t="s">
        <v>102</v>
      </c>
      <c r="K1112" s="1169"/>
      <c r="L1112" s="1159"/>
      <c r="M1112" s="1169"/>
      <c r="N1112" s="1161" t="s">
        <v>2306</v>
      </c>
    </row>
    <row r="1113" spans="1:14" s="1170" customFormat="1" ht="16.5" hidden="1" customHeight="1">
      <c r="A1113" s="1156"/>
      <c r="B1113" s="1169" t="s">
        <v>579</v>
      </c>
      <c r="C1113" s="1157">
        <v>1</v>
      </c>
      <c r="D1113" s="1171" t="s">
        <v>273</v>
      </c>
      <c r="E1113" s="1165">
        <v>2</v>
      </c>
      <c r="F1113" s="1166">
        <v>1.2</v>
      </c>
      <c r="G1113" s="1166">
        <v>0</v>
      </c>
      <c r="H1113" s="1166">
        <v>2.1</v>
      </c>
      <c r="I1113" s="1172">
        <f>-ROUND(IF(AND(F1113:H1113),C1113*E1113*F1113*G1113*H1113,IF(AND(F1113,G1113),C1113*E1113*F1113*G1113,IF(AND(F1113,H1113),C1113*E1113*F1113*H1113,IF(AND(G1113,H1113),C1113*E1113*G1113*H1113,IF(F1113,C1113*E1113*F1113,IF(G1113,C1113*E1113*G1113,IF(H1113,C1113*E1113*H1113,C1113*E1113))))))),2)</f>
        <v>-5.04</v>
      </c>
      <c r="J1113" s="1168" t="s">
        <v>102</v>
      </c>
      <c r="K1113" s="1169"/>
      <c r="L1113" s="1159"/>
      <c r="M1113" s="1169"/>
      <c r="N1113" s="1161" t="s">
        <v>2306</v>
      </c>
    </row>
    <row r="1114" spans="1:14" s="1170" customFormat="1" ht="16.5" hidden="1" customHeight="1">
      <c r="A1114" s="1156"/>
      <c r="B1114" s="1169" t="s">
        <v>579</v>
      </c>
      <c r="C1114" s="1157">
        <v>2</v>
      </c>
      <c r="D1114" s="1171" t="s">
        <v>273</v>
      </c>
      <c r="E1114" s="1165">
        <v>2</v>
      </c>
      <c r="F1114" s="1166">
        <v>1.05</v>
      </c>
      <c r="G1114" s="1166">
        <v>0</v>
      </c>
      <c r="H1114" s="1166">
        <v>2.1</v>
      </c>
      <c r="I1114" s="1172">
        <f>-ROUND(IF(AND(F1114:H1114),C1114*E1114*F1114*G1114*H1114,IF(AND(F1114,G1114),C1114*E1114*F1114*G1114,IF(AND(F1114,H1114),C1114*E1114*F1114*H1114,IF(AND(G1114,H1114),C1114*E1114*G1114*H1114,IF(F1114,C1114*E1114*F1114,IF(G1114,C1114*E1114*G1114,IF(H1114,C1114*E1114*H1114,C1114*E1114))))))),2)</f>
        <v>-8.82</v>
      </c>
      <c r="J1114" s="1168" t="s">
        <v>102</v>
      </c>
      <c r="K1114" s="1169"/>
      <c r="L1114" s="1159"/>
      <c r="M1114" s="1169"/>
      <c r="N1114" s="1161" t="s">
        <v>2306</v>
      </c>
    </row>
    <row r="1115" spans="1:14" s="1170" customFormat="1" ht="16.5" hidden="1" customHeight="1">
      <c r="A1115" s="1156"/>
      <c r="B1115" s="1169" t="s">
        <v>2360</v>
      </c>
      <c r="C1115" s="1157">
        <v>1</v>
      </c>
      <c r="D1115" s="1171" t="s">
        <v>273</v>
      </c>
      <c r="E1115" s="1165">
        <v>11</v>
      </c>
      <c r="F1115" s="1166">
        <v>1.2</v>
      </c>
      <c r="G1115" s="1166">
        <v>0</v>
      </c>
      <c r="H1115" s="1166">
        <v>1.2</v>
      </c>
      <c r="I1115" s="1172">
        <f>-ROUND(IF(AND(F1115:H1115),C1115*E1115*F1115*G1115*H1115,IF(AND(F1115,G1115),C1115*E1115*F1115*G1115,IF(AND(F1115,H1115),C1115*E1115*F1115*H1115,IF(AND(G1115,H1115),C1115*E1115*G1115*H1115,IF(F1115,C1115*E1115*F1115,IF(G1115,C1115*E1115*G1115,IF(H1115,C1115*E1115*H1115,C1115*E1115))))))),2)</f>
        <v>-15.84</v>
      </c>
      <c r="J1115" s="1168" t="s">
        <v>102</v>
      </c>
      <c r="K1115" s="1169"/>
      <c r="L1115" s="1159"/>
      <c r="M1115" s="1169"/>
      <c r="N1115" s="1161" t="s">
        <v>2306</v>
      </c>
    </row>
    <row r="1116" spans="1:14" s="1170" customFormat="1" ht="16.5" hidden="1" customHeight="1">
      <c r="A1116" s="1156"/>
      <c r="B1116" s="1169" t="s">
        <v>581</v>
      </c>
      <c r="C1116" s="1157">
        <v>1</v>
      </c>
      <c r="D1116" s="1171" t="s">
        <v>273</v>
      </c>
      <c r="E1116" s="1165">
        <v>12</v>
      </c>
      <c r="F1116" s="1166">
        <v>0.6</v>
      </c>
      <c r="G1116" s="1166">
        <v>0</v>
      </c>
      <c r="H1116" s="1166">
        <v>0.3</v>
      </c>
      <c r="I1116" s="1172">
        <f>-ROUND(IF(AND(F1116:H1116),C1116*E1116*F1116*G1116*H1116,IF(AND(F1116,G1116),C1116*E1116*F1116*G1116,IF(AND(F1116,H1116),C1116*E1116*F1116*H1116,IF(AND(G1116,H1116),C1116*E1116*G1116*H1116,IF(F1116,C1116*E1116*F1116,IF(G1116,C1116*E1116*G1116,IF(H1116,C1116*E1116*H1116,C1116*E1116))))))),2)</f>
        <v>-2.16</v>
      </c>
      <c r="J1116" s="1168" t="s">
        <v>102</v>
      </c>
      <c r="K1116" s="1169"/>
      <c r="L1116" s="1159"/>
      <c r="M1116" s="1169"/>
      <c r="N1116" s="1161" t="s">
        <v>2306</v>
      </c>
    </row>
    <row r="1117" spans="1:14" s="1170" customFormat="1" ht="16.5" hidden="1" customHeight="1">
      <c r="A1117" s="1156"/>
      <c r="B1117" s="1331"/>
      <c r="C1117" s="1157"/>
      <c r="D1117" s="1171"/>
      <c r="E1117" s="1165"/>
      <c r="F1117" s="1166"/>
      <c r="G1117" s="1166"/>
      <c r="H1117" s="1166"/>
      <c r="I1117" s="1172"/>
      <c r="J1117" s="1168"/>
      <c r="K1117" s="1169"/>
      <c r="L1117" s="1159"/>
      <c r="M1117" s="1169"/>
      <c r="N1117" s="1161" t="s">
        <v>2306</v>
      </c>
    </row>
    <row r="1118" spans="1:14" ht="15.75" hidden="1">
      <c r="A1118" s="1156"/>
      <c r="B1118" s="1169"/>
      <c r="C1118" s="1337"/>
      <c r="D1118" s="1171"/>
      <c r="E1118" s="1165"/>
      <c r="F1118" s="1166"/>
      <c r="G1118" s="1343"/>
      <c r="H1118" s="1156"/>
      <c r="I1118" s="1336"/>
      <c r="J1118" s="1168" t="s">
        <v>102</v>
      </c>
      <c r="K1118" s="1221">
        <f>data!E1429</f>
        <v>343.65</v>
      </c>
      <c r="L1118" s="1159" t="s">
        <v>2306</v>
      </c>
      <c r="M1118" s="1224">
        <f>ROUND(I1118*K1118,0)</f>
        <v>0</v>
      </c>
      <c r="N1118" s="1161" t="s">
        <v>2306</v>
      </c>
    </row>
    <row r="1119" spans="1:14" ht="71.25" hidden="1" customHeight="1">
      <c r="A1119" s="1156">
        <v>26</v>
      </c>
      <c r="B1119" s="1826" t="s">
        <v>808</v>
      </c>
      <c r="C1119" s="1826"/>
      <c r="D1119" s="1826"/>
      <c r="E1119" s="1826"/>
      <c r="F1119" s="1826"/>
      <c r="G1119" s="1826"/>
      <c r="H1119" s="1826"/>
      <c r="I1119" s="1157"/>
      <c r="J1119" s="1158"/>
      <c r="K1119" s="1156"/>
      <c r="L1119" s="1159"/>
      <c r="M1119" s="1160"/>
      <c r="N1119" s="1161" t="s">
        <v>2317</v>
      </c>
    </row>
    <row r="1120" spans="1:14" s="1170" customFormat="1" ht="16.5" hidden="1" customHeight="1">
      <c r="A1120" s="1156"/>
      <c r="B1120" s="1169" t="s">
        <v>3685</v>
      </c>
      <c r="C1120" s="1157"/>
      <c r="D1120" s="1548" t="s">
        <v>3735</v>
      </c>
      <c r="E1120" s="1165"/>
      <c r="F1120" s="1166"/>
      <c r="G1120" s="1166"/>
      <c r="H1120" s="1166"/>
      <c r="I1120" s="1167"/>
      <c r="J1120" s="1168"/>
      <c r="K1120" s="1169"/>
      <c r="L1120" s="1159"/>
      <c r="M1120" s="1169"/>
      <c r="N1120" s="1161" t="s">
        <v>2317</v>
      </c>
    </row>
    <row r="1121" spans="1:14" s="1170" customFormat="1" ht="16.5" hidden="1" customHeight="1">
      <c r="A1121" s="1156"/>
      <c r="B1121" s="1169" t="s">
        <v>3359</v>
      </c>
      <c r="C1121" s="1157">
        <v>1</v>
      </c>
      <c r="D1121" s="1171" t="s">
        <v>273</v>
      </c>
      <c r="E1121" s="1165">
        <v>1</v>
      </c>
      <c r="F1121" s="1166">
        <v>30.24</v>
      </c>
      <c r="G1121" s="1166">
        <v>0</v>
      </c>
      <c r="H1121" s="1166">
        <v>3.15</v>
      </c>
      <c r="I1121" s="1172">
        <f t="shared" ref="I1121:I1124" si="111">ROUND(IF(AND(F1121:H1121),C1121*E1121*F1121*G1121*H1121,IF(AND(F1121,G1121),C1121*E1121*F1121*G1121,IF(AND(F1121,H1121),C1121*E1121*F1121*H1121,IF(AND(G1121,H1121),C1121*E1121*G1121*H1121,IF(F1121,C1121*E1121*F1121,IF(G1121,C1121*E1121*G1121,IF(H1121,C1121*E1121*H1121,C1121*E1121))))))),2)</f>
        <v>95.26</v>
      </c>
      <c r="J1121" s="1168" t="s">
        <v>102</v>
      </c>
      <c r="K1121" s="1169"/>
      <c r="L1121" s="1159"/>
      <c r="M1121" s="1169"/>
      <c r="N1121" s="1161" t="s">
        <v>2317</v>
      </c>
    </row>
    <row r="1122" spans="1:14" s="1170" customFormat="1" ht="16.5" hidden="1" customHeight="1">
      <c r="A1122" s="1156"/>
      <c r="B1122" s="1169" t="s">
        <v>3352</v>
      </c>
      <c r="C1122" s="1157">
        <v>1</v>
      </c>
      <c r="D1122" s="1171" t="s">
        <v>273</v>
      </c>
      <c r="E1122" s="1165">
        <v>1</v>
      </c>
      <c r="F1122" s="1166">
        <v>14.6</v>
      </c>
      <c r="G1122" s="1166">
        <v>0</v>
      </c>
      <c r="H1122" s="1166">
        <v>3.15</v>
      </c>
      <c r="I1122" s="1172">
        <f t="shared" si="111"/>
        <v>45.99</v>
      </c>
      <c r="J1122" s="1168" t="s">
        <v>102</v>
      </c>
      <c r="K1122" s="1169"/>
      <c r="L1122" s="1159"/>
      <c r="M1122" s="1169"/>
      <c r="N1122" s="1161" t="s">
        <v>2317</v>
      </c>
    </row>
    <row r="1123" spans="1:14" s="1170" customFormat="1" ht="16.5" hidden="1" customHeight="1">
      <c r="A1123" s="1156"/>
      <c r="B1123" s="1169" t="s">
        <v>3353</v>
      </c>
      <c r="C1123" s="1157">
        <v>1</v>
      </c>
      <c r="D1123" s="1171" t="s">
        <v>273</v>
      </c>
      <c r="E1123" s="1165">
        <v>1</v>
      </c>
      <c r="F1123" s="1166">
        <v>14.6</v>
      </c>
      <c r="G1123" s="1166">
        <v>0</v>
      </c>
      <c r="H1123" s="1166">
        <v>3.15</v>
      </c>
      <c r="I1123" s="1172">
        <f t="shared" si="111"/>
        <v>45.99</v>
      </c>
      <c r="J1123" s="1168" t="s">
        <v>102</v>
      </c>
      <c r="K1123" s="1169"/>
      <c r="L1123" s="1159"/>
      <c r="M1123" s="1169"/>
      <c r="N1123" s="1161" t="s">
        <v>2317</v>
      </c>
    </row>
    <row r="1124" spans="1:14" s="1170" customFormat="1" ht="16.5" hidden="1" customHeight="1">
      <c r="A1124" s="1156"/>
      <c r="B1124" s="1169" t="s">
        <v>586</v>
      </c>
      <c r="C1124" s="1157">
        <v>1</v>
      </c>
      <c r="D1124" s="1171" t="s">
        <v>273</v>
      </c>
      <c r="E1124" s="1165">
        <v>1</v>
      </c>
      <c r="F1124" s="1166">
        <v>14.62</v>
      </c>
      <c r="G1124" s="1166">
        <v>0</v>
      </c>
      <c r="H1124" s="1166">
        <v>3.15</v>
      </c>
      <c r="I1124" s="1172">
        <f t="shared" si="111"/>
        <v>46.05</v>
      </c>
      <c r="J1124" s="1168" t="s">
        <v>102</v>
      </c>
      <c r="K1124" s="1169"/>
      <c r="L1124" s="1159"/>
      <c r="M1124" s="1169"/>
      <c r="N1124" s="1161" t="s">
        <v>2317</v>
      </c>
    </row>
    <row r="1125" spans="1:14" s="1170" customFormat="1" ht="16.5" hidden="1" customHeight="1">
      <c r="A1125" s="1156"/>
      <c r="B1125" s="1169" t="s">
        <v>579</v>
      </c>
      <c r="C1125" s="1157">
        <v>1</v>
      </c>
      <c r="D1125" s="1171" t="s">
        <v>273</v>
      </c>
      <c r="E1125" s="1165">
        <v>1</v>
      </c>
      <c r="F1125" s="1166">
        <v>1.2</v>
      </c>
      <c r="G1125" s="1166">
        <v>0</v>
      </c>
      <c r="H1125" s="1166">
        <v>2.1</v>
      </c>
      <c r="I1125" s="1172">
        <f>-ROUND(IF(AND(F1125:H1125),C1125*E1125*F1125*G1125*H1125,IF(AND(F1125,G1125),C1125*E1125*F1125*G1125,IF(AND(F1125,H1125),C1125*E1125*F1125*H1125,IF(AND(G1125,H1125),C1125*E1125*G1125*H1125,IF(F1125,C1125*E1125*F1125,IF(G1125,C1125*E1125*G1125,IF(H1125,C1125*E1125*H1125,C1125*E1125))))))),2)</f>
        <v>-2.52</v>
      </c>
      <c r="J1125" s="1168" t="s">
        <v>102</v>
      </c>
      <c r="K1125" s="1169"/>
      <c r="L1125" s="1159"/>
      <c r="M1125" s="1169"/>
      <c r="N1125" s="1161" t="s">
        <v>2317</v>
      </c>
    </row>
    <row r="1126" spans="1:14" s="1170" customFormat="1" ht="16.5" hidden="1" customHeight="1">
      <c r="A1126" s="1156"/>
      <c r="B1126" s="1169" t="s">
        <v>579</v>
      </c>
      <c r="C1126" s="1157">
        <v>1</v>
      </c>
      <c r="D1126" s="1171" t="s">
        <v>273</v>
      </c>
      <c r="E1126" s="1165">
        <v>2</v>
      </c>
      <c r="F1126" s="1166">
        <v>1.2</v>
      </c>
      <c r="G1126" s="1166">
        <v>0</v>
      </c>
      <c r="H1126" s="1166">
        <v>2.1</v>
      </c>
      <c r="I1126" s="1172">
        <f>-ROUND(IF(AND(F1126:H1126),C1126*E1126*F1126*G1126*H1126,IF(AND(F1126,G1126),C1126*E1126*F1126*G1126,IF(AND(F1126,H1126),C1126*E1126*F1126*H1126,IF(AND(G1126,H1126),C1126*E1126*G1126*H1126,IF(F1126,C1126*E1126*F1126,IF(G1126,C1126*E1126*G1126,IF(H1126,C1126*E1126*H1126,C1126*E1126))))))),2)</f>
        <v>-5.04</v>
      </c>
      <c r="J1126" s="1168" t="s">
        <v>102</v>
      </c>
      <c r="K1126" s="1169"/>
      <c r="L1126" s="1159"/>
      <c r="M1126" s="1169"/>
      <c r="N1126" s="1161" t="s">
        <v>2317</v>
      </c>
    </row>
    <row r="1127" spans="1:14" s="1170" customFormat="1" ht="16.5" hidden="1" customHeight="1">
      <c r="A1127" s="1156"/>
      <c r="B1127" s="1169" t="s">
        <v>579</v>
      </c>
      <c r="C1127" s="1157">
        <v>2</v>
      </c>
      <c r="D1127" s="1171" t="s">
        <v>273</v>
      </c>
      <c r="E1127" s="1165">
        <v>2</v>
      </c>
      <c r="F1127" s="1166">
        <v>1.05</v>
      </c>
      <c r="G1127" s="1166">
        <v>0</v>
      </c>
      <c r="H1127" s="1166">
        <v>2.1</v>
      </c>
      <c r="I1127" s="1172">
        <f>-ROUND(IF(AND(F1127:H1127),C1127*E1127*F1127*G1127*H1127,IF(AND(F1127,G1127),C1127*E1127*F1127*G1127,IF(AND(F1127,H1127),C1127*E1127*F1127*H1127,IF(AND(G1127,H1127),C1127*E1127*G1127*H1127,IF(F1127,C1127*E1127*F1127,IF(G1127,C1127*E1127*G1127,IF(H1127,C1127*E1127*H1127,C1127*E1127))))))),2)</f>
        <v>-8.82</v>
      </c>
      <c r="J1127" s="1168" t="s">
        <v>102</v>
      </c>
      <c r="K1127" s="1169"/>
      <c r="L1127" s="1159"/>
      <c r="M1127" s="1169"/>
      <c r="N1127" s="1161" t="s">
        <v>2317</v>
      </c>
    </row>
    <row r="1128" spans="1:14" s="1170" customFormat="1" ht="16.5" hidden="1" customHeight="1">
      <c r="A1128" s="1156"/>
      <c r="B1128" s="1169" t="s">
        <v>2360</v>
      </c>
      <c r="C1128" s="1157">
        <v>1</v>
      </c>
      <c r="D1128" s="1171" t="s">
        <v>273</v>
      </c>
      <c r="E1128" s="1165">
        <v>11</v>
      </c>
      <c r="F1128" s="1166">
        <v>1.2</v>
      </c>
      <c r="G1128" s="1166">
        <v>0</v>
      </c>
      <c r="H1128" s="1166">
        <v>1.2</v>
      </c>
      <c r="I1128" s="1172">
        <f>-ROUND(IF(AND(F1128:H1128),C1128*E1128*F1128*G1128*H1128,IF(AND(F1128,G1128),C1128*E1128*F1128*G1128,IF(AND(F1128,H1128),C1128*E1128*F1128*H1128,IF(AND(G1128,H1128),C1128*E1128*G1128*H1128,IF(F1128,C1128*E1128*F1128,IF(G1128,C1128*E1128*G1128,IF(H1128,C1128*E1128*H1128,C1128*E1128))))))),2)</f>
        <v>-15.84</v>
      </c>
      <c r="J1128" s="1168" t="s">
        <v>102</v>
      </c>
      <c r="K1128" s="1169"/>
      <c r="L1128" s="1159"/>
      <c r="M1128" s="1169"/>
      <c r="N1128" s="1161" t="s">
        <v>2317</v>
      </c>
    </row>
    <row r="1129" spans="1:14" s="1170" customFormat="1" ht="16.5" hidden="1" customHeight="1">
      <c r="A1129" s="1156"/>
      <c r="B1129" s="1169" t="s">
        <v>581</v>
      </c>
      <c r="C1129" s="1157">
        <v>1</v>
      </c>
      <c r="D1129" s="1171" t="s">
        <v>273</v>
      </c>
      <c r="E1129" s="1165">
        <v>11</v>
      </c>
      <c r="F1129" s="1166">
        <v>0.6</v>
      </c>
      <c r="G1129" s="1166">
        <v>0</v>
      </c>
      <c r="H1129" s="1166">
        <v>0.3</v>
      </c>
      <c r="I1129" s="1172">
        <f>-ROUND(IF(AND(F1129:H1129),C1129*E1129*F1129*G1129*H1129,IF(AND(F1129,G1129),C1129*E1129*F1129*G1129,IF(AND(F1129,H1129),C1129*E1129*F1129*H1129,IF(AND(G1129,H1129),C1129*E1129*G1129*H1129,IF(F1129,C1129*E1129*F1129,IF(G1129,C1129*E1129*G1129,IF(H1129,C1129*E1129*H1129,C1129*E1129))))))),2)</f>
        <v>-1.98</v>
      </c>
      <c r="J1129" s="1168" t="s">
        <v>102</v>
      </c>
      <c r="K1129" s="1169"/>
      <c r="L1129" s="1159"/>
      <c r="M1129" s="1169"/>
      <c r="N1129" s="1161" t="s">
        <v>2317</v>
      </c>
    </row>
    <row r="1130" spans="1:14" s="1170" customFormat="1" ht="16.5" hidden="1" customHeight="1">
      <c r="A1130" s="1156"/>
      <c r="B1130" s="1163" t="s">
        <v>3700</v>
      </c>
      <c r="C1130" s="1157"/>
      <c r="D1130" s="1548" t="s">
        <v>3742</v>
      </c>
      <c r="E1130" s="1165"/>
      <c r="F1130" s="1166"/>
      <c r="G1130" s="1166"/>
      <c r="H1130" s="1166"/>
      <c r="I1130" s="1167"/>
      <c r="J1130" s="1168"/>
      <c r="K1130" s="1169"/>
      <c r="L1130" s="1159"/>
      <c r="M1130" s="1169"/>
      <c r="N1130" s="1161" t="s">
        <v>2317</v>
      </c>
    </row>
    <row r="1131" spans="1:14" s="1170" customFormat="1" ht="16.5" hidden="1" customHeight="1">
      <c r="A1131" s="1156"/>
      <c r="B1131" s="1169" t="s">
        <v>811</v>
      </c>
      <c r="C1131" s="1157">
        <v>1</v>
      </c>
      <c r="D1131" s="1171" t="s">
        <v>273</v>
      </c>
      <c r="E1131" s="1165">
        <v>2</v>
      </c>
      <c r="F1131" s="1166">
        <v>1.5</v>
      </c>
      <c r="G1131" s="1166">
        <v>0</v>
      </c>
      <c r="H1131" s="1166">
        <v>0.15</v>
      </c>
      <c r="I1131" s="1172">
        <f t="shared" ref="I1131:I1143" si="112">ROUND(IF(AND(F1131:H1131),C1131*E1131*F1131*G1131*H1131,IF(AND(F1131,G1131),C1131*E1131*F1131*G1131,IF(AND(F1131,H1131),C1131*E1131*F1131*H1131,IF(AND(G1131,H1131),C1131*E1131*G1131*H1131,IF(F1131,C1131*E1131*F1131,IF(G1131,C1131*E1131*G1131,IF(H1131,C1131*E1131*H1131,C1131*E1131))))))),2)</f>
        <v>0.45</v>
      </c>
      <c r="J1131" s="1168" t="s">
        <v>102</v>
      </c>
      <c r="K1131" s="1169"/>
      <c r="L1131" s="1159"/>
      <c r="M1131" s="1169"/>
      <c r="N1131" s="1161" t="s">
        <v>2317</v>
      </c>
    </row>
    <row r="1132" spans="1:14" s="1170" customFormat="1" ht="16.5" hidden="1" customHeight="1">
      <c r="A1132" s="1156"/>
      <c r="B1132" s="1169" t="s">
        <v>812</v>
      </c>
      <c r="C1132" s="1157">
        <v>1</v>
      </c>
      <c r="D1132" s="1171" t="s">
        <v>273</v>
      </c>
      <c r="E1132" s="1165">
        <v>2</v>
      </c>
      <c r="F1132" s="1166">
        <v>1.2</v>
      </c>
      <c r="G1132" s="1166">
        <v>0</v>
      </c>
      <c r="H1132" s="1166">
        <v>0.15</v>
      </c>
      <c r="I1132" s="1172">
        <f t="shared" si="112"/>
        <v>0.36</v>
      </c>
      <c r="J1132" s="1168" t="s">
        <v>102</v>
      </c>
      <c r="K1132" s="1169"/>
      <c r="L1132" s="1159"/>
      <c r="M1132" s="1169"/>
      <c r="N1132" s="1161" t="s">
        <v>2317</v>
      </c>
    </row>
    <row r="1133" spans="1:14" s="1170" customFormat="1" ht="16.5" hidden="1" customHeight="1">
      <c r="A1133" s="1156"/>
      <c r="B1133" s="1169" t="s">
        <v>3165</v>
      </c>
      <c r="C1133" s="1157">
        <v>1</v>
      </c>
      <c r="D1133" s="1171" t="s">
        <v>273</v>
      </c>
      <c r="E1133" s="1165">
        <v>2</v>
      </c>
      <c r="F1133" s="1166">
        <v>0.9</v>
      </c>
      <c r="G1133" s="1166">
        <v>0</v>
      </c>
      <c r="H1133" s="1166">
        <v>0.15</v>
      </c>
      <c r="I1133" s="1172">
        <f t="shared" si="112"/>
        <v>0.27</v>
      </c>
      <c r="J1133" s="1168" t="s">
        <v>102</v>
      </c>
      <c r="K1133" s="1169"/>
      <c r="L1133" s="1159"/>
      <c r="M1133" s="1169"/>
      <c r="N1133" s="1161" t="s">
        <v>2317</v>
      </c>
    </row>
    <row r="1134" spans="1:14" s="1170" customFormat="1" ht="16.5" hidden="1" customHeight="1">
      <c r="A1134" s="1156"/>
      <c r="B1134" s="1169" t="s">
        <v>3701</v>
      </c>
      <c r="C1134" s="1157">
        <v>1</v>
      </c>
      <c r="D1134" s="1171" t="s">
        <v>273</v>
      </c>
      <c r="E1134" s="1165">
        <v>2</v>
      </c>
      <c r="F1134" s="1166">
        <v>0.6</v>
      </c>
      <c r="G1134" s="1166">
        <v>0</v>
      </c>
      <c r="H1134" s="1166">
        <v>0.15</v>
      </c>
      <c r="I1134" s="1172">
        <f t="shared" si="112"/>
        <v>0.18</v>
      </c>
      <c r="J1134" s="1168" t="s">
        <v>102</v>
      </c>
      <c r="K1134" s="1169"/>
      <c r="L1134" s="1159"/>
      <c r="M1134" s="1169"/>
      <c r="N1134" s="1161" t="s">
        <v>2317</v>
      </c>
    </row>
    <row r="1135" spans="1:14" s="1170" customFormat="1" ht="16.5" hidden="1" customHeight="1">
      <c r="A1135" s="1156"/>
      <c r="B1135" s="1169" t="s">
        <v>3590</v>
      </c>
      <c r="C1135" s="1157">
        <v>1</v>
      </c>
      <c r="D1135" s="1171" t="s">
        <v>273</v>
      </c>
      <c r="E1135" s="1165">
        <v>2</v>
      </c>
      <c r="F1135" s="1166">
        <v>0.3</v>
      </c>
      <c r="G1135" s="1166">
        <v>0</v>
      </c>
      <c r="H1135" s="1166">
        <v>0.15</v>
      </c>
      <c r="I1135" s="1172">
        <f t="shared" si="112"/>
        <v>0.09</v>
      </c>
      <c r="J1135" s="1168" t="s">
        <v>102</v>
      </c>
      <c r="K1135" s="1169"/>
      <c r="L1135" s="1159"/>
      <c r="M1135" s="1169"/>
      <c r="N1135" s="1161" t="s">
        <v>2317</v>
      </c>
    </row>
    <row r="1136" spans="1:14" s="1170" customFormat="1" ht="16.5" hidden="1" customHeight="1">
      <c r="A1136" s="1156"/>
      <c r="B1136" s="1169" t="s">
        <v>1492</v>
      </c>
      <c r="C1136" s="1157">
        <v>1</v>
      </c>
      <c r="D1136" s="1171" t="s">
        <v>273</v>
      </c>
      <c r="E1136" s="1165">
        <v>1</v>
      </c>
      <c r="F1136" s="1166">
        <v>10.65</v>
      </c>
      <c r="G1136" s="1166">
        <v>0</v>
      </c>
      <c r="H1136" s="1166">
        <v>1.5</v>
      </c>
      <c r="I1136" s="1172">
        <f t="shared" si="112"/>
        <v>15.98</v>
      </c>
      <c r="J1136" s="1168" t="s">
        <v>102</v>
      </c>
      <c r="K1136" s="1169"/>
      <c r="L1136" s="1159"/>
      <c r="M1136" s="1169"/>
      <c r="N1136" s="1161" t="s">
        <v>2317</v>
      </c>
    </row>
    <row r="1137" spans="1:14" s="1170" customFormat="1" ht="16.5" hidden="1" customHeight="1">
      <c r="A1137" s="1156"/>
      <c r="B1137" s="1169"/>
      <c r="C1137" s="1157">
        <v>1</v>
      </c>
      <c r="D1137" s="1171" t="s">
        <v>273</v>
      </c>
      <c r="E1137" s="1165">
        <v>1</v>
      </c>
      <c r="F1137" s="1166">
        <v>9.6999999999999993</v>
      </c>
      <c r="G1137" s="1166">
        <v>0</v>
      </c>
      <c r="H1137" s="1166">
        <v>1.5</v>
      </c>
      <c r="I1137" s="1172">
        <f t="shared" si="112"/>
        <v>14.55</v>
      </c>
      <c r="J1137" s="1168" t="s">
        <v>102</v>
      </c>
      <c r="K1137" s="1169"/>
      <c r="L1137" s="1159"/>
      <c r="M1137" s="1169"/>
      <c r="N1137" s="1161" t="s">
        <v>2317</v>
      </c>
    </row>
    <row r="1138" spans="1:14" s="1170" customFormat="1" ht="16.5" hidden="1" customHeight="1">
      <c r="A1138" s="1156"/>
      <c r="B1138" s="1169"/>
      <c r="C1138" s="1157">
        <v>1</v>
      </c>
      <c r="D1138" s="1171" t="s">
        <v>273</v>
      </c>
      <c r="E1138" s="1165">
        <v>1</v>
      </c>
      <c r="F1138" s="1166">
        <v>10.65</v>
      </c>
      <c r="G1138" s="1166">
        <v>0</v>
      </c>
      <c r="H1138" s="1166">
        <v>1.5</v>
      </c>
      <c r="I1138" s="1172">
        <f t="shared" si="112"/>
        <v>15.98</v>
      </c>
      <c r="J1138" s="1168" t="s">
        <v>102</v>
      </c>
      <c r="K1138" s="1169"/>
      <c r="L1138" s="1159"/>
      <c r="M1138" s="1169"/>
      <c r="N1138" s="1161" t="s">
        <v>2317</v>
      </c>
    </row>
    <row r="1139" spans="1:14" s="1170" customFormat="1" ht="16.5" hidden="1" customHeight="1">
      <c r="A1139" s="1156"/>
      <c r="B1139" s="1169" t="s">
        <v>3398</v>
      </c>
      <c r="C1139" s="1157">
        <v>1</v>
      </c>
      <c r="D1139" s="1171" t="s">
        <v>273</v>
      </c>
      <c r="E1139" s="1165">
        <v>1</v>
      </c>
      <c r="F1139" s="1166">
        <v>3.15</v>
      </c>
      <c r="G1139" s="1166">
        <v>0</v>
      </c>
      <c r="H1139" s="1166">
        <v>2.1</v>
      </c>
      <c r="I1139" s="1172">
        <f t="shared" si="112"/>
        <v>6.62</v>
      </c>
      <c r="J1139" s="1168" t="s">
        <v>102</v>
      </c>
      <c r="K1139" s="1169"/>
      <c r="L1139" s="1159"/>
      <c r="M1139" s="1169"/>
      <c r="N1139" s="1161" t="s">
        <v>2317</v>
      </c>
    </row>
    <row r="1140" spans="1:14" s="1170" customFormat="1" ht="16.5" hidden="1" customHeight="1">
      <c r="A1140" s="1156"/>
      <c r="B1140" s="1169"/>
      <c r="C1140" s="1157">
        <v>1</v>
      </c>
      <c r="D1140" s="1171" t="s">
        <v>273</v>
      </c>
      <c r="E1140" s="1165">
        <v>1</v>
      </c>
      <c r="F1140" s="1166">
        <v>3.5</v>
      </c>
      <c r="G1140" s="1166">
        <v>0</v>
      </c>
      <c r="H1140" s="1166">
        <v>1.5</v>
      </c>
      <c r="I1140" s="1172">
        <f t="shared" si="112"/>
        <v>5.25</v>
      </c>
      <c r="J1140" s="1168" t="s">
        <v>102</v>
      </c>
      <c r="K1140" s="1169"/>
      <c r="L1140" s="1159"/>
      <c r="M1140" s="1169"/>
      <c r="N1140" s="1161" t="s">
        <v>2317</v>
      </c>
    </row>
    <row r="1141" spans="1:14" s="1170" customFormat="1" ht="16.5" hidden="1" customHeight="1">
      <c r="A1141" s="1156"/>
      <c r="B1141" s="1169"/>
      <c r="C1141" s="1157">
        <v>1</v>
      </c>
      <c r="D1141" s="1171" t="s">
        <v>273</v>
      </c>
      <c r="E1141" s="1165">
        <v>1</v>
      </c>
      <c r="F1141" s="1166">
        <v>3.2</v>
      </c>
      <c r="G1141" s="1166">
        <v>0</v>
      </c>
      <c r="H1141" s="1166">
        <v>2.1</v>
      </c>
      <c r="I1141" s="1172">
        <f t="shared" si="112"/>
        <v>6.72</v>
      </c>
      <c r="J1141" s="1168" t="s">
        <v>102</v>
      </c>
      <c r="K1141" s="1169"/>
      <c r="L1141" s="1159"/>
      <c r="M1141" s="1169"/>
      <c r="N1141" s="1161" t="s">
        <v>2317</v>
      </c>
    </row>
    <row r="1142" spans="1:14" s="1170" customFormat="1" ht="16.5" hidden="1" customHeight="1">
      <c r="A1142" s="1156"/>
      <c r="B1142" s="1169" t="s">
        <v>3702</v>
      </c>
      <c r="C1142" s="1157">
        <v>1</v>
      </c>
      <c r="D1142" s="1171" t="s">
        <v>273</v>
      </c>
      <c r="E1142" s="1165">
        <v>6</v>
      </c>
      <c r="F1142" s="1166">
        <v>1.6</v>
      </c>
      <c r="G1142" s="1166">
        <v>0</v>
      </c>
      <c r="H1142" s="1166">
        <v>0.7</v>
      </c>
      <c r="I1142" s="1172">
        <f t="shared" si="112"/>
        <v>6.72</v>
      </c>
      <c r="J1142" s="1168" t="s">
        <v>102</v>
      </c>
      <c r="K1142" s="1169"/>
      <c r="L1142" s="1159"/>
      <c r="M1142" s="1169"/>
      <c r="N1142" s="1161" t="s">
        <v>2317</v>
      </c>
    </row>
    <row r="1143" spans="1:14" s="1170" customFormat="1" ht="16.5" hidden="1" customHeight="1">
      <c r="A1143" s="1156"/>
      <c r="B1143" s="1169"/>
      <c r="C1143" s="1157">
        <v>1</v>
      </c>
      <c r="D1143" s="1171" t="s">
        <v>273</v>
      </c>
      <c r="E1143" s="1165">
        <v>4</v>
      </c>
      <c r="F1143" s="1166">
        <v>1.5</v>
      </c>
      <c r="G1143" s="1166">
        <v>0</v>
      </c>
      <c r="H1143" s="1166">
        <v>0.7</v>
      </c>
      <c r="I1143" s="1172">
        <f t="shared" si="112"/>
        <v>4.2</v>
      </c>
      <c r="J1143" s="1168" t="s">
        <v>102</v>
      </c>
      <c r="K1143" s="1169"/>
      <c r="L1143" s="1159"/>
      <c r="M1143" s="1169"/>
      <c r="N1143" s="1161" t="s">
        <v>2317</v>
      </c>
    </row>
    <row r="1144" spans="1:14" s="1170" customFormat="1" ht="16.5" hidden="1" customHeight="1">
      <c r="A1144" s="1156"/>
      <c r="B1144" s="1331"/>
      <c r="C1144" s="1332"/>
      <c r="D1144" s="1333"/>
      <c r="E1144" s="1334"/>
      <c r="F1144" s="1335"/>
      <c r="G1144" s="1335"/>
      <c r="H1144" s="1335"/>
      <c r="I1144" s="1336"/>
      <c r="J1144" s="1168"/>
      <c r="K1144" s="1169"/>
      <c r="L1144" s="1159"/>
      <c r="M1144" s="1169"/>
      <c r="N1144" s="1161" t="s">
        <v>2317</v>
      </c>
    </row>
    <row r="1145" spans="1:14" ht="15.75" hidden="1">
      <c r="A1145" s="1156"/>
      <c r="B1145" s="1169"/>
      <c r="C1145" s="1337"/>
      <c r="D1145" s="1171"/>
      <c r="E1145" s="1165"/>
      <c r="F1145" s="1166"/>
      <c r="G1145" s="1343"/>
      <c r="H1145" s="1156"/>
      <c r="I1145" s="1336"/>
      <c r="J1145" s="1168" t="s">
        <v>102</v>
      </c>
      <c r="K1145" s="1221">
        <f>data!E2346</f>
        <v>364.75</v>
      </c>
      <c r="L1145" s="1159" t="s">
        <v>2317</v>
      </c>
      <c r="M1145" s="1224">
        <f>ROUND(I1145*K1145,0)</f>
        <v>0</v>
      </c>
      <c r="N1145" s="1161" t="s">
        <v>2317</v>
      </c>
    </row>
    <row r="1146" spans="1:14" ht="71.25" hidden="1" customHeight="1">
      <c r="A1146" s="1156">
        <v>36</v>
      </c>
      <c r="B1146" s="1831" t="s">
        <v>808</v>
      </c>
      <c r="C1146" s="1832"/>
      <c r="D1146" s="1833"/>
      <c r="E1146" s="1832"/>
      <c r="F1146" s="1832"/>
      <c r="G1146" s="1832"/>
      <c r="H1146" s="1834"/>
      <c r="I1146" s="1157"/>
      <c r="J1146" s="1158"/>
      <c r="K1146" s="1156"/>
      <c r="L1146" s="1159"/>
      <c r="M1146" s="1160"/>
      <c r="N1146" s="1161" t="s">
        <v>2318</v>
      </c>
    </row>
    <row r="1147" spans="1:14" s="1170" customFormat="1" ht="16.5" hidden="1" customHeight="1">
      <c r="A1147" s="1156"/>
      <c r="B1147" s="1169" t="s">
        <v>3396</v>
      </c>
      <c r="C1147" s="1351"/>
      <c r="D1147" s="1419"/>
      <c r="E1147" s="1352"/>
      <c r="F1147" s="1166"/>
      <c r="G1147" s="1166"/>
      <c r="H1147" s="1166"/>
      <c r="I1147" s="1167"/>
      <c r="J1147" s="1168"/>
      <c r="K1147" s="1169"/>
      <c r="L1147" s="1159"/>
      <c r="M1147" s="1169"/>
      <c r="N1147" s="1161" t="s">
        <v>2318</v>
      </c>
    </row>
    <row r="1148" spans="1:14" s="1170" customFormat="1" ht="16.5" hidden="1" customHeight="1">
      <c r="A1148" s="1156"/>
      <c r="B1148" s="1169" t="s">
        <v>3628</v>
      </c>
      <c r="C1148" s="1157">
        <v>1</v>
      </c>
      <c r="D1148" s="1171" t="s">
        <v>273</v>
      </c>
      <c r="E1148" s="1165">
        <v>2</v>
      </c>
      <c r="F1148" s="1166">
        <v>1.8</v>
      </c>
      <c r="G1148" s="1166">
        <v>0</v>
      </c>
      <c r="H1148" s="1166">
        <v>2.4</v>
      </c>
      <c r="I1148" s="1172">
        <f t="shared" ref="I1148:I1149" si="113">ROUND(IF(AND(F1148:H1148),C1148*E1148*F1148*G1148*H1148,IF(AND(F1148,G1148),C1148*E1148*F1148*G1148,IF(AND(F1148,H1148),C1148*E1148*F1148*H1148,IF(AND(G1148,H1148),C1148*E1148*G1148*H1148,IF(F1148,C1148*E1148*F1148,IF(G1148,C1148*E1148*G1148,IF(H1148,C1148*E1148*H1148,C1148*E1148))))))),2)</f>
        <v>8.64</v>
      </c>
      <c r="J1148" s="1168" t="s">
        <v>102</v>
      </c>
      <c r="K1148" s="1169"/>
      <c r="L1148" s="1159"/>
      <c r="M1148" s="1169"/>
      <c r="N1148" s="1161" t="s">
        <v>2318</v>
      </c>
    </row>
    <row r="1149" spans="1:14" s="1170" customFormat="1" ht="16.5" hidden="1" customHeight="1">
      <c r="A1149" s="1156"/>
      <c r="B1149" s="1169"/>
      <c r="C1149" s="1157">
        <v>1</v>
      </c>
      <c r="D1149" s="1171" t="s">
        <v>273</v>
      </c>
      <c r="E1149" s="1165">
        <v>2</v>
      </c>
      <c r="F1149" s="1166">
        <v>1.8</v>
      </c>
      <c r="G1149" s="1166">
        <v>0</v>
      </c>
      <c r="H1149" s="1166">
        <v>2.4</v>
      </c>
      <c r="I1149" s="1172">
        <f t="shared" si="113"/>
        <v>8.64</v>
      </c>
      <c r="J1149" s="1168" t="s">
        <v>102</v>
      </c>
      <c r="K1149" s="1169"/>
      <c r="L1149" s="1159"/>
      <c r="M1149" s="1169"/>
      <c r="N1149" s="1161" t="s">
        <v>2318</v>
      </c>
    </row>
    <row r="1150" spans="1:14" s="1170" customFormat="1" ht="16.5" hidden="1" customHeight="1">
      <c r="A1150" s="1156"/>
      <c r="B1150" s="1169" t="s">
        <v>579</v>
      </c>
      <c r="C1150" s="1157">
        <v>1</v>
      </c>
      <c r="D1150" s="1171" t="s">
        <v>273</v>
      </c>
      <c r="E1150" s="1165">
        <v>1</v>
      </c>
      <c r="F1150" s="1166">
        <v>0.75</v>
      </c>
      <c r="G1150" s="1166">
        <v>0</v>
      </c>
      <c r="H1150" s="1166">
        <v>2</v>
      </c>
      <c r="I1150" s="1172">
        <f>-ROUND(IF(AND(F1150:H1150),C1150*E1150*F1150*G1150*H1150,IF(AND(F1150,G1150),C1150*E1150*F1150*G1150,IF(AND(F1150,H1150),C1150*E1150*F1150*H1150,IF(AND(G1150,H1150),C1150*E1150*G1150*H1150,IF(F1150,C1150*E1150*F1150,IF(G1150,C1150*E1150*G1150,IF(H1150,C1150*E1150*H1150,C1150*E1150))))))),2)</f>
        <v>-1.5</v>
      </c>
      <c r="J1150" s="1168" t="s">
        <v>102</v>
      </c>
      <c r="K1150" s="1169"/>
      <c r="L1150" s="1159"/>
      <c r="M1150" s="1169"/>
      <c r="N1150" s="1161" t="s">
        <v>2318</v>
      </c>
    </row>
    <row r="1151" spans="1:14" s="1170" customFormat="1" ht="16.5" hidden="1" customHeight="1">
      <c r="A1151" s="1156"/>
      <c r="B1151" s="1169" t="s">
        <v>3629</v>
      </c>
      <c r="C1151" s="1157">
        <v>1</v>
      </c>
      <c r="D1151" s="1171" t="s">
        <v>273</v>
      </c>
      <c r="E1151" s="1165">
        <v>2</v>
      </c>
      <c r="F1151" s="1166">
        <v>1.8</v>
      </c>
      <c r="G1151" s="1166">
        <v>0</v>
      </c>
      <c r="H1151" s="1166">
        <v>2.6</v>
      </c>
      <c r="I1151" s="1172">
        <f t="shared" ref="I1151:I1152" si="114">ROUND(IF(AND(F1151:H1151),C1151*E1151*F1151*G1151*H1151,IF(AND(F1151,G1151),C1151*E1151*F1151*G1151,IF(AND(F1151,H1151),C1151*E1151*F1151*H1151,IF(AND(G1151,H1151),C1151*E1151*G1151*H1151,IF(F1151,C1151*E1151*F1151,IF(G1151,C1151*E1151*G1151,IF(H1151,C1151*E1151*H1151,C1151*E1151))))))),2)</f>
        <v>9.36</v>
      </c>
      <c r="J1151" s="1168" t="s">
        <v>102</v>
      </c>
      <c r="K1151" s="1169"/>
      <c r="L1151" s="1159"/>
      <c r="M1151" s="1169"/>
      <c r="N1151" s="1161" t="s">
        <v>2318</v>
      </c>
    </row>
    <row r="1152" spans="1:14" s="1170" customFormat="1" ht="16.5" hidden="1" customHeight="1">
      <c r="A1152" s="1156"/>
      <c r="B1152" s="1169"/>
      <c r="C1152" s="1157">
        <v>1</v>
      </c>
      <c r="D1152" s="1171" t="s">
        <v>273</v>
      </c>
      <c r="E1152" s="1165">
        <v>2</v>
      </c>
      <c r="F1152" s="1166">
        <v>1.8</v>
      </c>
      <c r="G1152" s="1166">
        <v>0</v>
      </c>
      <c r="H1152" s="1166">
        <v>2.6</v>
      </c>
      <c r="I1152" s="1172">
        <f t="shared" si="114"/>
        <v>9.36</v>
      </c>
      <c r="J1152" s="1168" t="s">
        <v>102</v>
      </c>
      <c r="K1152" s="1169"/>
      <c r="L1152" s="1159"/>
      <c r="M1152" s="1169"/>
      <c r="N1152" s="1161" t="s">
        <v>2318</v>
      </c>
    </row>
    <row r="1153" spans="1:14" s="1170" customFormat="1" ht="16.5" hidden="1" customHeight="1">
      <c r="A1153" s="1156"/>
      <c r="B1153" s="1169" t="s">
        <v>579</v>
      </c>
      <c r="C1153" s="1157">
        <v>1</v>
      </c>
      <c r="D1153" s="1171" t="s">
        <v>273</v>
      </c>
      <c r="E1153" s="1165">
        <v>1</v>
      </c>
      <c r="F1153" s="1166">
        <v>0.75</v>
      </c>
      <c r="G1153" s="1166">
        <v>0</v>
      </c>
      <c r="H1153" s="1166">
        <v>2</v>
      </c>
      <c r="I1153" s="1172">
        <f>-ROUND(IF(AND(F1153:H1153),C1153*E1153*F1153*G1153*H1153,IF(AND(F1153,G1153),C1153*E1153*F1153*G1153,IF(AND(F1153,H1153),C1153*E1153*F1153*H1153,IF(AND(G1153,H1153),C1153*E1153*G1153*H1153,IF(F1153,C1153*E1153*F1153,IF(G1153,C1153*E1153*G1153,IF(H1153,C1153*E1153*H1153,C1153*E1153))))))),2)</f>
        <v>-1.5</v>
      </c>
      <c r="J1153" s="1168" t="s">
        <v>102</v>
      </c>
      <c r="K1153" s="1169"/>
      <c r="L1153" s="1159"/>
      <c r="M1153" s="1169"/>
      <c r="N1153" s="1161" t="s">
        <v>2318</v>
      </c>
    </row>
    <row r="1154" spans="1:14" s="1170" customFormat="1" ht="16.5" hidden="1" customHeight="1">
      <c r="A1154" s="1156"/>
      <c r="B1154" s="1331"/>
      <c r="C1154" s="1332"/>
      <c r="D1154" s="1333"/>
      <c r="E1154" s="1334"/>
      <c r="F1154" s="1335"/>
      <c r="G1154" s="1335"/>
      <c r="H1154" s="1335"/>
      <c r="I1154" s="1336"/>
      <c r="J1154" s="1168"/>
      <c r="K1154" s="1169"/>
      <c r="L1154" s="1159"/>
      <c r="M1154" s="1169"/>
      <c r="N1154" s="1161" t="s">
        <v>2318</v>
      </c>
    </row>
    <row r="1155" spans="1:14" ht="15.75" hidden="1">
      <c r="A1155" s="1156"/>
      <c r="B1155" s="1169"/>
      <c r="C1155" s="1337"/>
      <c r="D1155" s="1171"/>
      <c r="E1155" s="1165"/>
      <c r="F1155" s="1166"/>
      <c r="G1155" s="1343"/>
      <c r="H1155" s="1156"/>
      <c r="I1155" s="1336"/>
      <c r="J1155" s="1168" t="s">
        <v>102</v>
      </c>
      <c r="K1155" s="1221">
        <f>data!E3263</f>
        <v>388.21</v>
      </c>
      <c r="L1155" s="1159" t="s">
        <v>2318</v>
      </c>
      <c r="M1155" s="1224">
        <f>ROUND(I1155*K1155,0)</f>
        <v>0</v>
      </c>
      <c r="N1155" s="1161" t="s">
        <v>2318</v>
      </c>
    </row>
    <row r="1156" spans="1:14" s="1575" customFormat="1" ht="71.25" customHeight="1">
      <c r="A1156" s="1570">
        <v>21</v>
      </c>
      <c r="B1156" s="1835" t="s">
        <v>316</v>
      </c>
      <c r="C1156" s="1836"/>
      <c r="D1156" s="1836"/>
      <c r="E1156" s="1836"/>
      <c r="F1156" s="1836"/>
      <c r="G1156" s="1836"/>
      <c r="H1156" s="1837"/>
      <c r="I1156" s="1571"/>
      <c r="J1156" s="1572"/>
      <c r="K1156" s="1570"/>
      <c r="L1156" s="1573"/>
      <c r="M1156" s="1577"/>
      <c r="N1156" s="1578" t="s">
        <v>2218</v>
      </c>
    </row>
    <row r="1157" spans="1:14" s="1586" customFormat="1" ht="15.75">
      <c r="A1157" s="1570"/>
      <c r="B1157" s="1579" t="s">
        <v>3800</v>
      </c>
      <c r="C1157" s="1580"/>
      <c r="D1157" s="1790" t="s">
        <v>3461</v>
      </c>
      <c r="E1157" s="1581"/>
      <c r="F1157" s="1582"/>
      <c r="G1157" s="1582"/>
      <c r="H1157" s="1582"/>
      <c r="I1157" s="1583"/>
      <c r="J1157" s="1598"/>
      <c r="K1157" s="1585"/>
      <c r="L1157" s="1573"/>
      <c r="M1157" s="1585"/>
      <c r="N1157" s="1578" t="s">
        <v>2218</v>
      </c>
    </row>
    <row r="1158" spans="1:14" s="1586" customFormat="1" ht="15.75">
      <c r="A1158" s="1570"/>
      <c r="B1158" s="1585" t="s">
        <v>2136</v>
      </c>
      <c r="C1158" s="1571">
        <v>1</v>
      </c>
      <c r="D1158" s="1587" t="s">
        <v>273</v>
      </c>
      <c r="E1158" s="1588">
        <v>2</v>
      </c>
      <c r="F1158" s="1589">
        <v>10.59</v>
      </c>
      <c r="G1158" s="1589">
        <v>0</v>
      </c>
      <c r="H1158" s="1589">
        <v>3.15</v>
      </c>
      <c r="I1158" s="1590">
        <f t="shared" ref="I1158:I1159" si="115">ROUND(IF(AND(F1158:H1158),C1158*E1158*F1158*G1158*H1158,IF(AND(F1158,G1158),C1158*E1158*F1158*G1158,IF(AND(F1158,H1158),C1158*E1158*F1158*H1158,IF(AND(G1158,H1158),C1158*E1158*G1158*H1158,IF(F1158,C1158*E1158*F1158,IF(G1158,C1158*E1158*G1158,IF(H1158,C1158*E1158*H1158,C1158*E1158))))))),2)</f>
        <v>66.72</v>
      </c>
      <c r="J1158" s="1598" t="s">
        <v>102</v>
      </c>
      <c r="K1158" s="1585"/>
      <c r="L1158" s="1573"/>
      <c r="M1158" s="1585"/>
      <c r="N1158" s="1578" t="s">
        <v>2218</v>
      </c>
    </row>
    <row r="1159" spans="1:14" s="1586" customFormat="1" ht="15.75">
      <c r="A1159" s="1570"/>
      <c r="B1159" s="1585" t="s">
        <v>3670</v>
      </c>
      <c r="C1159" s="1571">
        <v>1</v>
      </c>
      <c r="D1159" s="1587" t="s">
        <v>273</v>
      </c>
      <c r="E1159" s="1588">
        <v>2</v>
      </c>
      <c r="F1159" s="1589">
        <v>9.83</v>
      </c>
      <c r="G1159" s="1589">
        <v>0</v>
      </c>
      <c r="H1159" s="1589">
        <v>3.15</v>
      </c>
      <c r="I1159" s="1590">
        <f t="shared" si="115"/>
        <v>61.93</v>
      </c>
      <c r="J1159" s="1598" t="s">
        <v>102</v>
      </c>
      <c r="K1159" s="1585"/>
      <c r="L1159" s="1573"/>
      <c r="M1159" s="1585"/>
      <c r="N1159" s="1578" t="s">
        <v>2218</v>
      </c>
    </row>
    <row r="1160" spans="1:14" s="1586" customFormat="1" ht="15.75">
      <c r="A1160" s="1570"/>
      <c r="B1160" s="1579" t="s">
        <v>3814</v>
      </c>
      <c r="C1160" s="1580"/>
      <c r="D1160" s="1790" t="s">
        <v>3876</v>
      </c>
      <c r="E1160" s="1581"/>
      <c r="F1160" s="1582"/>
      <c r="G1160" s="1582"/>
      <c r="H1160" s="1582"/>
      <c r="I1160" s="1583"/>
      <c r="J1160" s="1584"/>
      <c r="K1160" s="1585"/>
      <c r="L1160" s="1573"/>
      <c r="M1160" s="1585"/>
      <c r="N1160" s="1578" t="s">
        <v>2218</v>
      </c>
    </row>
    <row r="1161" spans="1:14" s="1586" customFormat="1" ht="15.75">
      <c r="A1161" s="1570"/>
      <c r="B1161" s="1585" t="s">
        <v>3815</v>
      </c>
      <c r="C1161" s="1571">
        <v>1</v>
      </c>
      <c r="D1161" s="1587" t="s">
        <v>273</v>
      </c>
      <c r="E1161" s="1588">
        <v>2</v>
      </c>
      <c r="F1161" s="1589">
        <v>3.1</v>
      </c>
      <c r="G1161" s="1589">
        <v>0</v>
      </c>
      <c r="H1161" s="1589">
        <v>0.6</v>
      </c>
      <c r="I1161" s="1590">
        <f t="shared" ref="I1161:I1165" si="116">ROUND(IF(AND(F1161:H1161),C1161*E1161*F1161*G1161*H1161,IF(AND(F1161,G1161),C1161*E1161*F1161*G1161,IF(AND(F1161,H1161),C1161*E1161*F1161*H1161,IF(AND(G1161,H1161),C1161*E1161*G1161*H1161,IF(F1161,C1161*E1161*F1161,IF(G1161,C1161*E1161*G1161,IF(H1161,C1161*E1161*H1161,C1161*E1161))))))),2)</f>
        <v>3.72</v>
      </c>
      <c r="J1161" s="1598" t="s">
        <v>102</v>
      </c>
      <c r="K1161" s="1585"/>
      <c r="L1161" s="1573"/>
      <c r="M1161" s="1585"/>
      <c r="N1161" s="1578" t="s">
        <v>2218</v>
      </c>
    </row>
    <row r="1162" spans="1:14" s="1586" customFormat="1" ht="15.75">
      <c r="A1162" s="1570"/>
      <c r="B1162" s="1585"/>
      <c r="C1162" s="1571">
        <v>1</v>
      </c>
      <c r="D1162" s="1587" t="s">
        <v>273</v>
      </c>
      <c r="E1162" s="1588">
        <v>2</v>
      </c>
      <c r="F1162" s="1589">
        <v>1.07</v>
      </c>
      <c r="G1162" s="1589">
        <v>0</v>
      </c>
      <c r="H1162" s="1589">
        <v>0.6</v>
      </c>
      <c r="I1162" s="1590">
        <f t="shared" si="116"/>
        <v>1.28</v>
      </c>
      <c r="J1162" s="1598" t="s">
        <v>102</v>
      </c>
      <c r="K1162" s="1585"/>
      <c r="L1162" s="1573"/>
      <c r="M1162" s="1585"/>
      <c r="N1162" s="1578" t="s">
        <v>2218</v>
      </c>
    </row>
    <row r="1163" spans="1:14" s="1586" customFormat="1" ht="15.75">
      <c r="A1163" s="1570"/>
      <c r="B1163" s="1585" t="s">
        <v>811</v>
      </c>
      <c r="C1163" s="1571">
        <v>1</v>
      </c>
      <c r="D1163" s="1587" t="s">
        <v>273</v>
      </c>
      <c r="E1163" s="1588">
        <v>2</v>
      </c>
      <c r="F1163" s="1589">
        <v>0.9</v>
      </c>
      <c r="G1163" s="1589">
        <v>0</v>
      </c>
      <c r="H1163" s="1589">
        <v>0.15</v>
      </c>
      <c r="I1163" s="1590">
        <f t="shared" si="116"/>
        <v>0.27</v>
      </c>
      <c r="J1163" s="1598" t="s">
        <v>102</v>
      </c>
      <c r="K1163" s="1585"/>
      <c r="L1163" s="1573"/>
      <c r="M1163" s="1585"/>
      <c r="N1163" s="1578" t="s">
        <v>2218</v>
      </c>
    </row>
    <row r="1164" spans="1:14" s="1586" customFormat="1" ht="15.75">
      <c r="A1164" s="1570"/>
      <c r="B1164" s="1585" t="s">
        <v>812</v>
      </c>
      <c r="C1164" s="1571">
        <v>1</v>
      </c>
      <c r="D1164" s="1587" t="s">
        <v>273</v>
      </c>
      <c r="E1164" s="1588">
        <v>2</v>
      </c>
      <c r="F1164" s="1589">
        <v>0.6</v>
      </c>
      <c r="G1164" s="1589">
        <v>0</v>
      </c>
      <c r="H1164" s="1589">
        <v>0.15</v>
      </c>
      <c r="I1164" s="1590">
        <f t="shared" si="116"/>
        <v>0.18</v>
      </c>
      <c r="J1164" s="1598" t="s">
        <v>102</v>
      </c>
      <c r="K1164" s="1585"/>
      <c r="L1164" s="1573"/>
      <c r="M1164" s="1585"/>
      <c r="N1164" s="1578" t="s">
        <v>2218</v>
      </c>
    </row>
    <row r="1165" spans="1:14" s="1586" customFormat="1" ht="15.75">
      <c r="A1165" s="1570"/>
      <c r="B1165" s="1585" t="s">
        <v>3165</v>
      </c>
      <c r="C1165" s="1571">
        <v>1</v>
      </c>
      <c r="D1165" s="1587" t="s">
        <v>273</v>
      </c>
      <c r="E1165" s="1588">
        <v>2</v>
      </c>
      <c r="F1165" s="1589">
        <v>0.3</v>
      </c>
      <c r="G1165" s="1589">
        <v>0</v>
      </c>
      <c r="H1165" s="1589">
        <v>0.15</v>
      </c>
      <c r="I1165" s="1590">
        <f t="shared" si="116"/>
        <v>0.09</v>
      </c>
      <c r="J1165" s="1598" t="s">
        <v>102</v>
      </c>
      <c r="K1165" s="1585"/>
      <c r="L1165" s="1573"/>
      <c r="M1165" s="1585"/>
      <c r="N1165" s="1578" t="s">
        <v>2218</v>
      </c>
    </row>
    <row r="1166" spans="1:14" s="1586" customFormat="1" ht="15.75">
      <c r="A1166" s="1570"/>
      <c r="B1166" s="1600"/>
      <c r="C1166" s="1601"/>
      <c r="D1166" s="1602"/>
      <c r="E1166" s="1603"/>
      <c r="F1166" s="1604"/>
      <c r="G1166" s="1604"/>
      <c r="H1166" s="1604"/>
      <c r="I1166" s="1605"/>
      <c r="J1166" s="1598"/>
      <c r="K1166" s="1585"/>
      <c r="L1166" s="1573"/>
      <c r="M1166" s="1585"/>
      <c r="N1166" s="1578" t="s">
        <v>2218</v>
      </c>
    </row>
    <row r="1167" spans="1:14" s="1575" customFormat="1" ht="15.75">
      <c r="A1167" s="1570"/>
      <c r="B1167" s="1585"/>
      <c r="C1167" s="1606"/>
      <c r="D1167" s="1587"/>
      <c r="E1167" s="1588"/>
      <c r="F1167" s="1589"/>
      <c r="G1167" s="1607"/>
      <c r="H1167" s="1570"/>
      <c r="I1167" s="1605">
        <f>SUM(I1158:I1166)</f>
        <v>134.19000000000003</v>
      </c>
      <c r="J1167" s="1598" t="s">
        <v>102</v>
      </c>
      <c r="K1167" s="1608">
        <f>data!E532</f>
        <v>331.15</v>
      </c>
      <c r="L1167" s="1573" t="s">
        <v>2218</v>
      </c>
      <c r="M1167" s="1609">
        <f>ROUND(I1167*K1167,0)</f>
        <v>44437</v>
      </c>
      <c r="N1167" s="1578" t="s">
        <v>2218</v>
      </c>
    </row>
    <row r="1168" spans="1:14" ht="71.25" hidden="1" customHeight="1">
      <c r="A1168" s="1156">
        <v>31</v>
      </c>
      <c r="B1168" s="1826" t="s">
        <v>316</v>
      </c>
      <c r="C1168" s="1826"/>
      <c r="D1168" s="1826"/>
      <c r="E1168" s="1826"/>
      <c r="F1168" s="1826"/>
      <c r="G1168" s="1826"/>
      <c r="H1168" s="1826"/>
      <c r="I1168" s="1157"/>
      <c r="J1168" s="1158"/>
      <c r="K1168" s="1156"/>
      <c r="L1168" s="1159"/>
      <c r="M1168" s="1160"/>
      <c r="N1168" s="1161" t="s">
        <v>2306</v>
      </c>
    </row>
    <row r="1169" spans="1:14" s="1170" customFormat="1" ht="15.75" hidden="1">
      <c r="A1169" s="1156"/>
      <c r="B1169" s="1169" t="s">
        <v>3596</v>
      </c>
      <c r="C1169" s="1157"/>
      <c r="D1169" s="1548" t="s">
        <v>3648</v>
      </c>
      <c r="E1169" s="1165"/>
      <c r="F1169" s="1166"/>
      <c r="G1169" s="1166"/>
      <c r="H1169" s="1166"/>
      <c r="I1169" s="1167"/>
      <c r="J1169" s="1168"/>
      <c r="K1169" s="1169"/>
      <c r="L1169" s="1159"/>
      <c r="M1169" s="1169"/>
      <c r="N1169" s="1161" t="s">
        <v>2306</v>
      </c>
    </row>
    <row r="1170" spans="1:14" s="1170" customFormat="1" ht="15.75" hidden="1">
      <c r="A1170" s="1156"/>
      <c r="B1170" s="1169" t="s">
        <v>2136</v>
      </c>
      <c r="C1170" s="1157">
        <v>1</v>
      </c>
      <c r="D1170" s="1171" t="s">
        <v>273</v>
      </c>
      <c r="E1170" s="1165">
        <v>2</v>
      </c>
      <c r="F1170" s="1166">
        <v>10.6</v>
      </c>
      <c r="G1170" s="1166">
        <v>0</v>
      </c>
      <c r="H1170" s="1166">
        <v>3.65</v>
      </c>
      <c r="I1170" s="1172">
        <f t="shared" ref="I1170:I1175" si="117">ROUND(IF(AND(F1170:H1170),C1170*E1170*F1170*G1170*H1170,IF(AND(F1170,G1170),C1170*E1170*F1170*G1170,IF(AND(F1170,H1170),C1170*E1170*F1170*H1170,IF(AND(G1170,H1170),C1170*E1170*G1170*H1170,IF(F1170,C1170*E1170*F1170,IF(G1170,C1170*E1170*G1170,IF(H1170,C1170*E1170*H1170,C1170*E1170))))))),2)</f>
        <v>77.38</v>
      </c>
      <c r="J1170" s="1168" t="s">
        <v>102</v>
      </c>
      <c r="K1170" s="1169"/>
      <c r="L1170" s="1159"/>
      <c r="M1170" s="1169"/>
      <c r="N1170" s="1161" t="s">
        <v>2306</v>
      </c>
    </row>
    <row r="1171" spans="1:14" s="1170" customFormat="1" ht="15.75" hidden="1">
      <c r="A1171" s="1156"/>
      <c r="B1171" s="1169" t="s">
        <v>3183</v>
      </c>
      <c r="C1171" s="1157">
        <v>1</v>
      </c>
      <c r="D1171" s="1171" t="s">
        <v>273</v>
      </c>
      <c r="E1171" s="1165">
        <v>1</v>
      </c>
      <c r="F1171" s="1166">
        <v>9.83</v>
      </c>
      <c r="G1171" s="1166">
        <v>0</v>
      </c>
      <c r="H1171" s="1166">
        <v>3.65</v>
      </c>
      <c r="I1171" s="1172">
        <f t="shared" si="117"/>
        <v>35.880000000000003</v>
      </c>
      <c r="J1171" s="1168" t="s">
        <v>102</v>
      </c>
      <c r="K1171" s="1169"/>
      <c r="L1171" s="1159"/>
      <c r="M1171" s="1169"/>
      <c r="N1171" s="1161" t="s">
        <v>2306</v>
      </c>
    </row>
    <row r="1172" spans="1:14" s="1170" customFormat="1" ht="15.75" hidden="1">
      <c r="A1172" s="1156"/>
      <c r="B1172" s="1169" t="s">
        <v>3157</v>
      </c>
      <c r="C1172" s="1157">
        <v>1</v>
      </c>
      <c r="D1172" s="1171" t="s">
        <v>273</v>
      </c>
      <c r="E1172" s="1165">
        <v>1</v>
      </c>
      <c r="F1172" s="1166">
        <v>9.83</v>
      </c>
      <c r="G1172" s="1166">
        <v>0</v>
      </c>
      <c r="H1172" s="1166">
        <v>3.15</v>
      </c>
      <c r="I1172" s="1172">
        <f t="shared" si="117"/>
        <v>30.96</v>
      </c>
      <c r="J1172" s="1168" t="s">
        <v>102</v>
      </c>
      <c r="K1172" s="1169"/>
      <c r="L1172" s="1159"/>
      <c r="M1172" s="1169"/>
      <c r="N1172" s="1161" t="s">
        <v>2306</v>
      </c>
    </row>
    <row r="1173" spans="1:14" s="1170" customFormat="1" ht="15.75" hidden="1">
      <c r="A1173" s="1156"/>
      <c r="B1173" s="1169" t="s">
        <v>3597</v>
      </c>
      <c r="C1173" s="1157">
        <v>1</v>
      </c>
      <c r="D1173" s="1171" t="s">
        <v>273</v>
      </c>
      <c r="E1173" s="1165">
        <v>2</v>
      </c>
      <c r="F1173" s="1166">
        <v>11.67</v>
      </c>
      <c r="G1173" s="1166">
        <v>0</v>
      </c>
      <c r="H1173" s="1166">
        <v>0.65</v>
      </c>
      <c r="I1173" s="1172">
        <f t="shared" si="117"/>
        <v>15.17</v>
      </c>
      <c r="J1173" s="1168" t="s">
        <v>102</v>
      </c>
      <c r="K1173" s="1169"/>
      <c r="L1173" s="1159"/>
      <c r="M1173" s="1169"/>
      <c r="N1173" s="1161" t="s">
        <v>2306</v>
      </c>
    </row>
    <row r="1174" spans="1:14" s="1170" customFormat="1" ht="15.75" hidden="1">
      <c r="A1174" s="1156"/>
      <c r="B1174" s="1169" t="s">
        <v>3598</v>
      </c>
      <c r="C1174" s="1157">
        <v>1</v>
      </c>
      <c r="D1174" s="1171" t="s">
        <v>273</v>
      </c>
      <c r="E1174" s="1165">
        <v>1</v>
      </c>
      <c r="F1174" s="1166">
        <v>9.83</v>
      </c>
      <c r="G1174" s="1166">
        <v>0</v>
      </c>
      <c r="H1174" s="1166">
        <v>0.65</v>
      </c>
      <c r="I1174" s="1172">
        <f t="shared" si="117"/>
        <v>6.39</v>
      </c>
      <c r="J1174" s="1168" t="s">
        <v>102</v>
      </c>
      <c r="K1174" s="1169"/>
      <c r="L1174" s="1159"/>
      <c r="M1174" s="1169"/>
      <c r="N1174" s="1161" t="s">
        <v>2306</v>
      </c>
    </row>
    <row r="1175" spans="1:14" s="1170" customFormat="1" ht="15.75" hidden="1">
      <c r="A1175" s="1156"/>
      <c r="B1175" s="1169" t="s">
        <v>3599</v>
      </c>
      <c r="C1175" s="1157">
        <v>1</v>
      </c>
      <c r="D1175" s="1171" t="s">
        <v>273</v>
      </c>
      <c r="E1175" s="1165">
        <v>1</v>
      </c>
      <c r="F1175" s="1166">
        <v>8.14</v>
      </c>
      <c r="G1175" s="1166">
        <v>0</v>
      </c>
      <c r="H1175" s="1166">
        <v>0.8</v>
      </c>
      <c r="I1175" s="1172">
        <f t="shared" si="117"/>
        <v>6.51</v>
      </c>
      <c r="J1175" s="1168" t="s">
        <v>102</v>
      </c>
      <c r="K1175" s="1169"/>
      <c r="L1175" s="1159"/>
      <c r="M1175" s="1169"/>
      <c r="N1175" s="1161" t="s">
        <v>2306</v>
      </c>
    </row>
    <row r="1176" spans="1:14" s="1170" customFormat="1" ht="15.75" hidden="1">
      <c r="A1176" s="1156"/>
      <c r="B1176" s="1331"/>
      <c r="C1176" s="1157"/>
      <c r="D1176" s="1171"/>
      <c r="E1176" s="1165"/>
      <c r="F1176" s="1166"/>
      <c r="G1176" s="1166"/>
      <c r="H1176" s="1166"/>
      <c r="I1176" s="1172"/>
      <c r="J1176" s="1168"/>
      <c r="K1176" s="1169"/>
      <c r="L1176" s="1159"/>
      <c r="M1176" s="1169"/>
      <c r="N1176" s="1161" t="s">
        <v>2306</v>
      </c>
    </row>
    <row r="1177" spans="1:14" ht="15.75" hidden="1">
      <c r="A1177" s="1156"/>
      <c r="B1177" s="1169"/>
      <c r="C1177" s="1337"/>
      <c r="D1177" s="1171"/>
      <c r="E1177" s="1165"/>
      <c r="F1177" s="1166"/>
      <c r="G1177" s="1343"/>
      <c r="H1177" s="1156"/>
      <c r="I1177" s="1336"/>
      <c r="J1177" s="1168" t="s">
        <v>102</v>
      </c>
      <c r="K1177" s="1221">
        <f>data!E1449</f>
        <v>357.58</v>
      </c>
      <c r="L1177" s="1159" t="s">
        <v>2306</v>
      </c>
      <c r="M1177" s="1224">
        <f>ROUND(I1177*K1177,0)</f>
        <v>0</v>
      </c>
      <c r="N1177" s="1161" t="s">
        <v>2306</v>
      </c>
    </row>
    <row r="1178" spans="1:14" ht="71.25" hidden="1" customHeight="1">
      <c r="A1178" s="1156">
        <v>27</v>
      </c>
      <c r="B1178" s="1826" t="s">
        <v>316</v>
      </c>
      <c r="C1178" s="1826"/>
      <c r="D1178" s="1826"/>
      <c r="E1178" s="1826"/>
      <c r="F1178" s="1826"/>
      <c r="G1178" s="1826"/>
      <c r="H1178" s="1826"/>
      <c r="I1178" s="1157"/>
      <c r="J1178" s="1158"/>
      <c r="K1178" s="1156"/>
      <c r="L1178" s="1159"/>
      <c r="M1178" s="1160"/>
      <c r="N1178" s="1161" t="s">
        <v>2317</v>
      </c>
    </row>
    <row r="1179" spans="1:14" s="1170" customFormat="1" ht="15.75" hidden="1">
      <c r="A1179" s="1156"/>
      <c r="B1179" s="1169" t="s">
        <v>3655</v>
      </c>
      <c r="C1179" s="1157"/>
      <c r="D1179" s="1548" t="s">
        <v>3735</v>
      </c>
      <c r="E1179" s="1165"/>
      <c r="F1179" s="1166"/>
      <c r="G1179" s="1166"/>
      <c r="H1179" s="1166"/>
      <c r="I1179" s="1167"/>
      <c r="J1179" s="1168"/>
      <c r="K1179" s="1169"/>
      <c r="L1179" s="1159"/>
      <c r="M1179" s="1169"/>
      <c r="N1179" s="1161" t="s">
        <v>2317</v>
      </c>
    </row>
    <row r="1180" spans="1:14" s="1170" customFormat="1" ht="15.75" hidden="1">
      <c r="A1180" s="1156"/>
      <c r="B1180" s="1169" t="s">
        <v>3686</v>
      </c>
      <c r="C1180" s="1157">
        <v>1</v>
      </c>
      <c r="D1180" s="1171" t="s">
        <v>273</v>
      </c>
      <c r="E1180" s="1165">
        <v>1</v>
      </c>
      <c r="F1180" s="1166">
        <v>40.840000000000003</v>
      </c>
      <c r="G1180" s="1166">
        <v>0</v>
      </c>
      <c r="H1180" s="1166">
        <v>3.15</v>
      </c>
      <c r="I1180" s="1172">
        <f t="shared" ref="I1180:I1181" si="118">ROUND(IF(AND(F1180:H1180),C1180*E1180*F1180*G1180*H1180,IF(AND(F1180,G1180),C1180*E1180*F1180*G1180,IF(AND(F1180,H1180),C1180*E1180*F1180*H1180,IF(AND(G1180,H1180),C1180*E1180*G1180*H1180,IF(F1180,C1180*E1180*F1180,IF(G1180,C1180*E1180*G1180,IF(H1180,C1180*E1180*H1180,C1180*E1180))))))),2)</f>
        <v>128.65</v>
      </c>
      <c r="J1180" s="1168" t="s">
        <v>102</v>
      </c>
      <c r="K1180" s="1169"/>
      <c r="L1180" s="1159"/>
      <c r="M1180" s="1169"/>
      <c r="N1180" s="1161" t="s">
        <v>2317</v>
      </c>
    </row>
    <row r="1181" spans="1:14" s="1170" customFormat="1" ht="15.75" hidden="1">
      <c r="A1181" s="1156"/>
      <c r="B1181" s="1169" t="s">
        <v>3687</v>
      </c>
      <c r="C1181" s="1157">
        <v>1</v>
      </c>
      <c r="D1181" s="1171" t="s">
        <v>273</v>
      </c>
      <c r="E1181" s="1165">
        <v>1</v>
      </c>
      <c r="F1181" s="1166">
        <v>31.01</v>
      </c>
      <c r="G1181" s="1166">
        <v>0</v>
      </c>
      <c r="H1181" s="1166">
        <v>1.2</v>
      </c>
      <c r="I1181" s="1172">
        <f t="shared" si="118"/>
        <v>37.21</v>
      </c>
      <c r="J1181" s="1168" t="s">
        <v>102</v>
      </c>
      <c r="K1181" s="1169"/>
      <c r="L1181" s="1159"/>
      <c r="M1181" s="1169"/>
      <c r="N1181" s="1161" t="s">
        <v>2317</v>
      </c>
    </row>
    <row r="1182" spans="1:14" s="1170" customFormat="1" ht="15.75" hidden="1">
      <c r="A1182" s="1156"/>
      <c r="B1182" s="1163" t="s">
        <v>3656</v>
      </c>
      <c r="C1182" s="1157"/>
      <c r="D1182" s="1548" t="s">
        <v>3742</v>
      </c>
      <c r="E1182" s="1165"/>
      <c r="F1182" s="1166"/>
      <c r="G1182" s="1166"/>
      <c r="H1182" s="1166"/>
      <c r="I1182" s="1167"/>
      <c r="J1182" s="1168"/>
      <c r="K1182" s="1169"/>
      <c r="L1182" s="1159"/>
      <c r="M1182" s="1169"/>
      <c r="N1182" s="1161" t="s">
        <v>2317</v>
      </c>
    </row>
    <row r="1183" spans="1:14" s="1170" customFormat="1" ht="15.75" hidden="1">
      <c r="A1183" s="1156"/>
      <c r="B1183" s="1169" t="s">
        <v>3668</v>
      </c>
      <c r="C1183" s="1157">
        <v>1</v>
      </c>
      <c r="D1183" s="1171" t="s">
        <v>273</v>
      </c>
      <c r="E1183" s="1165">
        <v>2</v>
      </c>
      <c r="F1183" s="1166">
        <v>3.15</v>
      </c>
      <c r="G1183" s="1166">
        <v>0</v>
      </c>
      <c r="H1183" s="1166">
        <v>1</v>
      </c>
      <c r="I1183" s="1172">
        <f t="shared" ref="I1183:I1184" si="119">ROUND(IF(AND(F1183:H1183),C1183*E1183*F1183*G1183*H1183,IF(AND(F1183,G1183),C1183*E1183*F1183*G1183,IF(AND(F1183,H1183),C1183*E1183*F1183*H1183,IF(AND(G1183,H1183),C1183*E1183*G1183*H1183,IF(F1183,C1183*E1183*F1183,IF(G1183,C1183*E1183*G1183,IF(H1183,C1183*E1183*H1183,C1183*E1183))))))),2)</f>
        <v>6.3</v>
      </c>
      <c r="J1183" s="1168" t="s">
        <v>102</v>
      </c>
      <c r="K1183" s="1169"/>
      <c r="L1183" s="1159"/>
      <c r="M1183" s="1169"/>
      <c r="N1183" s="1161" t="s">
        <v>2317</v>
      </c>
    </row>
    <row r="1184" spans="1:14" s="1170" customFormat="1" ht="15.75" hidden="1">
      <c r="A1184" s="1156"/>
      <c r="B1184" s="1169" t="s">
        <v>3159</v>
      </c>
      <c r="C1184" s="1157">
        <v>1</v>
      </c>
      <c r="D1184" s="1171" t="s">
        <v>273</v>
      </c>
      <c r="E1184" s="1165">
        <v>2</v>
      </c>
      <c r="F1184" s="1166">
        <v>1.2</v>
      </c>
      <c r="G1184" s="1166">
        <v>0</v>
      </c>
      <c r="H1184" s="1166">
        <v>1</v>
      </c>
      <c r="I1184" s="1172">
        <f t="shared" si="119"/>
        <v>2.4</v>
      </c>
      <c r="J1184" s="1168" t="s">
        <v>102</v>
      </c>
      <c r="K1184" s="1169"/>
      <c r="L1184" s="1159"/>
      <c r="M1184" s="1169"/>
      <c r="N1184" s="1161" t="s">
        <v>2317</v>
      </c>
    </row>
    <row r="1185" spans="1:14" s="1170" customFormat="1" ht="15.75" hidden="1">
      <c r="A1185" s="1156"/>
      <c r="B1185" s="1331"/>
      <c r="C1185" s="1332"/>
      <c r="D1185" s="1333"/>
      <c r="E1185" s="1334"/>
      <c r="F1185" s="1335"/>
      <c r="G1185" s="1335"/>
      <c r="H1185" s="1335"/>
      <c r="I1185" s="1336"/>
      <c r="J1185" s="1168"/>
      <c r="K1185" s="1169"/>
      <c r="L1185" s="1159"/>
      <c r="M1185" s="1169"/>
      <c r="N1185" s="1161" t="s">
        <v>2317</v>
      </c>
    </row>
    <row r="1186" spans="1:14" ht="15.75" hidden="1">
      <c r="A1186" s="1156"/>
      <c r="B1186" s="1169"/>
      <c r="C1186" s="1337"/>
      <c r="D1186" s="1171"/>
      <c r="E1186" s="1165"/>
      <c r="F1186" s="1166"/>
      <c r="G1186" s="1343"/>
      <c r="H1186" s="1156"/>
      <c r="I1186" s="1336"/>
      <c r="J1186" s="1168" t="s">
        <v>102</v>
      </c>
      <c r="K1186" s="1221">
        <f>data!E2366</f>
        <v>380.06</v>
      </c>
      <c r="L1186" s="1159" t="s">
        <v>2317</v>
      </c>
      <c r="M1186" s="1224">
        <f>ROUND(I1186*K1186,0)</f>
        <v>0</v>
      </c>
      <c r="N1186" s="1161" t="s">
        <v>2317</v>
      </c>
    </row>
    <row r="1187" spans="1:14" ht="71.25" hidden="1" customHeight="1">
      <c r="A1187" s="1156">
        <v>20</v>
      </c>
      <c r="B1187" s="1826" t="s">
        <v>316</v>
      </c>
      <c r="C1187" s="1826"/>
      <c r="D1187" s="1828"/>
      <c r="E1187" s="1826"/>
      <c r="F1187" s="1826"/>
      <c r="G1187" s="1826"/>
      <c r="H1187" s="1826"/>
      <c r="I1187" s="1157"/>
      <c r="J1187" s="1158"/>
      <c r="K1187" s="1156"/>
      <c r="L1187" s="1159"/>
      <c r="M1187" s="1160"/>
      <c r="N1187" s="1161" t="s">
        <v>2318</v>
      </c>
    </row>
    <row r="1188" spans="1:14" s="1170" customFormat="1" ht="15.75" hidden="1">
      <c r="A1188" s="1156"/>
      <c r="B1188" s="1169" t="s">
        <v>3396</v>
      </c>
      <c r="C1188" s="1351"/>
      <c r="D1188" s="1419"/>
      <c r="E1188" s="1352"/>
      <c r="F1188" s="1166"/>
      <c r="G1188" s="1166"/>
      <c r="H1188" s="1166"/>
      <c r="I1188" s="1167"/>
      <c r="J1188" s="1168"/>
      <c r="K1188" s="1169"/>
      <c r="L1188" s="1159"/>
      <c r="M1188" s="1169"/>
      <c r="N1188" s="1161" t="s">
        <v>2318</v>
      </c>
    </row>
    <row r="1189" spans="1:14" s="1170" customFormat="1" ht="15.75" hidden="1">
      <c r="A1189" s="1156"/>
      <c r="B1189" s="1169" t="s">
        <v>3413</v>
      </c>
      <c r="C1189" s="1157">
        <v>1</v>
      </c>
      <c r="D1189" s="1171" t="s">
        <v>273</v>
      </c>
      <c r="E1189" s="1165">
        <v>1</v>
      </c>
      <c r="F1189" s="1166">
        <v>30.5</v>
      </c>
      <c r="G1189" s="1166">
        <v>0</v>
      </c>
      <c r="H1189" s="1166">
        <v>3.45</v>
      </c>
      <c r="I1189" s="1172">
        <f t="shared" ref="I1189:I1190" si="120">ROUND(IF(AND(F1189:H1189),C1189*E1189*F1189*G1189*H1189,IF(AND(F1189,G1189),C1189*E1189*F1189*G1189,IF(AND(F1189,H1189),C1189*E1189*F1189*H1189,IF(AND(G1189,H1189),C1189*E1189*G1189*H1189,IF(F1189,C1189*E1189*F1189,IF(G1189,C1189*E1189*G1189,IF(H1189,C1189*E1189*H1189,C1189*E1189))))))),2)</f>
        <v>105.23</v>
      </c>
      <c r="J1189" s="1168" t="s">
        <v>102</v>
      </c>
      <c r="K1189" s="1169"/>
      <c r="L1189" s="1159"/>
      <c r="M1189" s="1169"/>
      <c r="N1189" s="1161" t="s">
        <v>2318</v>
      </c>
    </row>
    <row r="1190" spans="1:14" s="1170" customFormat="1" ht="15.75" hidden="1">
      <c r="A1190" s="1156"/>
      <c r="B1190" s="1169" t="s">
        <v>1246</v>
      </c>
      <c r="C1190" s="1157">
        <v>1</v>
      </c>
      <c r="D1190" s="1171" t="s">
        <v>273</v>
      </c>
      <c r="E1190" s="1165">
        <v>1</v>
      </c>
      <c r="F1190" s="1166">
        <v>9.3699999999999992</v>
      </c>
      <c r="G1190" s="1166">
        <v>0</v>
      </c>
      <c r="H1190" s="1166">
        <v>3.0750000000000002</v>
      </c>
      <c r="I1190" s="1172">
        <f t="shared" si="120"/>
        <v>28.81</v>
      </c>
      <c r="J1190" s="1168" t="s">
        <v>102</v>
      </c>
      <c r="K1190" s="1169"/>
      <c r="L1190" s="1159"/>
      <c r="M1190" s="1169"/>
      <c r="N1190" s="1161" t="s">
        <v>2318</v>
      </c>
    </row>
    <row r="1191" spans="1:14" s="1170" customFormat="1" ht="15.75" hidden="1">
      <c r="A1191" s="1156"/>
      <c r="B1191" s="1169" t="s">
        <v>3414</v>
      </c>
      <c r="C1191" s="1157">
        <v>1</v>
      </c>
      <c r="D1191" s="1171" t="s">
        <v>273</v>
      </c>
      <c r="E1191" s="1165">
        <v>1</v>
      </c>
      <c r="F1191" s="1166">
        <v>1.2</v>
      </c>
      <c r="G1191" s="1166">
        <v>0</v>
      </c>
      <c r="H1191" s="1166">
        <v>2.1</v>
      </c>
      <c r="I1191" s="1172">
        <f>-ROUND(IF(AND(F1191:H1191),C1191*E1191*F1191*G1191*H1191,IF(AND(F1191,G1191),C1191*E1191*F1191*G1191,IF(AND(F1191,H1191),C1191*E1191*F1191*H1191,IF(AND(G1191,H1191),C1191*E1191*G1191*H1191,IF(F1191,C1191*E1191*F1191,IF(G1191,C1191*E1191*G1191,IF(H1191,C1191*E1191*H1191,C1191*E1191))))))),2)</f>
        <v>-2.52</v>
      </c>
      <c r="J1191" s="1168" t="s">
        <v>102</v>
      </c>
      <c r="K1191" s="1169"/>
      <c r="L1191" s="1159"/>
      <c r="M1191" s="1169"/>
      <c r="N1191" s="1161" t="s">
        <v>2318</v>
      </c>
    </row>
    <row r="1192" spans="1:14" s="1170" customFormat="1" ht="15.75" hidden="1">
      <c r="A1192" s="1156"/>
      <c r="B1192" s="1169" t="s">
        <v>2360</v>
      </c>
      <c r="C1192" s="1157">
        <v>1</v>
      </c>
      <c r="D1192" s="1171" t="s">
        <v>273</v>
      </c>
      <c r="E1192" s="1165">
        <v>11</v>
      </c>
      <c r="F1192" s="1166">
        <v>1.2</v>
      </c>
      <c r="G1192" s="1166">
        <v>0</v>
      </c>
      <c r="H1192" s="1166">
        <v>1.2</v>
      </c>
      <c r="I1192" s="1172">
        <f>-ROUND(IF(AND(F1192:H1192),C1192*E1192*F1192*G1192*H1192,IF(AND(F1192,G1192),C1192*E1192*F1192*G1192,IF(AND(F1192,H1192),C1192*E1192*F1192*H1192,IF(AND(G1192,H1192),C1192*E1192*G1192*H1192,IF(F1192,C1192*E1192*F1192,IF(G1192,C1192*E1192*G1192,IF(H1192,C1192*E1192*H1192,C1192*E1192))))))),2)</f>
        <v>-15.84</v>
      </c>
      <c r="J1192" s="1168" t="s">
        <v>102</v>
      </c>
      <c r="K1192" s="1169"/>
      <c r="L1192" s="1159"/>
      <c r="M1192" s="1169"/>
      <c r="N1192" s="1161" t="s">
        <v>2318</v>
      </c>
    </row>
    <row r="1193" spans="1:14" s="1170" customFormat="1" ht="15.75" hidden="1">
      <c r="A1193" s="1156"/>
      <c r="B1193" s="1169" t="s">
        <v>581</v>
      </c>
      <c r="C1193" s="1157">
        <v>1</v>
      </c>
      <c r="D1193" s="1171" t="s">
        <v>273</v>
      </c>
      <c r="E1193" s="1165">
        <v>11</v>
      </c>
      <c r="F1193" s="1166">
        <v>0.45</v>
      </c>
      <c r="G1193" s="1166">
        <v>0</v>
      </c>
      <c r="H1193" s="1166">
        <v>0.3</v>
      </c>
      <c r="I1193" s="1172">
        <f>-ROUND(IF(AND(F1193:H1193),C1193*E1193*F1193*G1193*H1193,IF(AND(F1193,G1193),C1193*E1193*F1193*G1193,IF(AND(F1193,H1193),C1193*E1193*F1193*H1193,IF(AND(G1193,H1193),C1193*E1193*G1193*H1193,IF(F1193,C1193*E1193*F1193,IF(G1193,C1193*E1193*G1193,IF(H1193,C1193*E1193*H1193,C1193*E1193))))))),2)</f>
        <v>-1.49</v>
      </c>
      <c r="J1193" s="1168" t="s">
        <v>102</v>
      </c>
      <c r="K1193" s="1169"/>
      <c r="L1193" s="1159"/>
      <c r="M1193" s="1169"/>
      <c r="N1193" s="1161" t="s">
        <v>2318</v>
      </c>
    </row>
    <row r="1194" spans="1:14" s="1170" customFormat="1" ht="15.75" hidden="1">
      <c r="A1194" s="1156"/>
      <c r="B1194" s="1169" t="s">
        <v>3415</v>
      </c>
      <c r="C1194" s="1157">
        <v>1</v>
      </c>
      <c r="D1194" s="1171" t="s">
        <v>273</v>
      </c>
      <c r="E1194" s="1165">
        <v>1</v>
      </c>
      <c r="F1194" s="1166">
        <v>34.299999999999997</v>
      </c>
      <c r="G1194" s="1166">
        <v>0.125</v>
      </c>
      <c r="H1194" s="1166">
        <v>0</v>
      </c>
      <c r="I1194" s="1172">
        <f t="shared" ref="I1194:I1199" si="121">ROUND(IF(AND(F1194:H1194),C1194*E1194*F1194*G1194*H1194,IF(AND(F1194,G1194),C1194*E1194*F1194*G1194,IF(AND(F1194,H1194),C1194*E1194*F1194*H1194,IF(AND(G1194,H1194),C1194*E1194*G1194*H1194,IF(F1194,C1194*E1194*F1194,IF(G1194,C1194*E1194*G1194,IF(H1194,C1194*E1194*H1194,C1194*E1194))))))),2)</f>
        <v>4.29</v>
      </c>
      <c r="J1194" s="1168" t="s">
        <v>102</v>
      </c>
      <c r="K1194" s="1169"/>
      <c r="L1194" s="1159"/>
      <c r="M1194" s="1169"/>
      <c r="N1194" s="1161" t="s">
        <v>2318</v>
      </c>
    </row>
    <row r="1195" spans="1:14" s="1170" customFormat="1" ht="15.75" hidden="1">
      <c r="A1195" s="1156"/>
      <c r="B1195" s="1169" t="s">
        <v>3416</v>
      </c>
      <c r="C1195" s="1157">
        <v>1</v>
      </c>
      <c r="D1195" s="1171" t="s">
        <v>273</v>
      </c>
      <c r="E1195" s="1165">
        <v>2</v>
      </c>
      <c r="F1195" s="1166">
        <v>44.1</v>
      </c>
      <c r="G1195" s="1166">
        <v>0</v>
      </c>
      <c r="H1195" s="1166">
        <v>0.9</v>
      </c>
      <c r="I1195" s="1172">
        <f t="shared" si="121"/>
        <v>79.38</v>
      </c>
      <c r="J1195" s="1168" t="s">
        <v>102</v>
      </c>
      <c r="K1195" s="1169"/>
      <c r="L1195" s="1159"/>
      <c r="M1195" s="1169"/>
      <c r="N1195" s="1161" t="s">
        <v>2318</v>
      </c>
    </row>
    <row r="1196" spans="1:14" s="1170" customFormat="1" ht="15.75" hidden="1">
      <c r="A1196" s="1156"/>
      <c r="B1196" s="1169" t="s">
        <v>3417</v>
      </c>
      <c r="C1196" s="1157">
        <v>1</v>
      </c>
      <c r="D1196" s="1171" t="s">
        <v>273</v>
      </c>
      <c r="E1196" s="1165">
        <v>1</v>
      </c>
      <c r="F1196" s="1166">
        <v>44.1</v>
      </c>
      <c r="G1196" s="1166">
        <v>0.115</v>
      </c>
      <c r="H1196" s="1166">
        <v>0</v>
      </c>
      <c r="I1196" s="1172">
        <f t="shared" si="121"/>
        <v>5.07</v>
      </c>
      <c r="J1196" s="1168" t="s">
        <v>102</v>
      </c>
      <c r="K1196" s="1169"/>
      <c r="L1196" s="1159"/>
      <c r="M1196" s="1169"/>
      <c r="N1196" s="1161" t="s">
        <v>2318</v>
      </c>
    </row>
    <row r="1197" spans="1:14" s="1170" customFormat="1" ht="15.75" hidden="1">
      <c r="A1197" s="1156"/>
      <c r="B1197" s="1169" t="s">
        <v>3418</v>
      </c>
      <c r="C1197" s="1157">
        <v>2</v>
      </c>
      <c r="D1197" s="1171" t="s">
        <v>273</v>
      </c>
      <c r="E1197" s="1165">
        <v>2</v>
      </c>
      <c r="F1197" s="1166">
        <v>0.9</v>
      </c>
      <c r="G1197" s="1166">
        <v>0</v>
      </c>
      <c r="H1197" s="1166">
        <v>0.9</v>
      </c>
      <c r="I1197" s="1172">
        <f t="shared" si="121"/>
        <v>3.24</v>
      </c>
      <c r="J1197" s="1168" t="s">
        <v>102</v>
      </c>
      <c r="K1197" s="1169"/>
      <c r="L1197" s="1159"/>
      <c r="M1197" s="1169"/>
      <c r="N1197" s="1161" t="s">
        <v>2318</v>
      </c>
    </row>
    <row r="1198" spans="1:14" s="1170" customFormat="1" ht="15.75" hidden="1">
      <c r="A1198" s="1156"/>
      <c r="B1198" s="1169" t="s">
        <v>3417</v>
      </c>
      <c r="C1198" s="1157">
        <v>2</v>
      </c>
      <c r="D1198" s="1171" t="s">
        <v>273</v>
      </c>
      <c r="E1198" s="1165">
        <v>1</v>
      </c>
      <c r="F1198" s="1166">
        <v>0.9</v>
      </c>
      <c r="G1198" s="1166">
        <v>0.23</v>
      </c>
      <c r="H1198" s="1166">
        <v>0</v>
      </c>
      <c r="I1198" s="1172">
        <f t="shared" si="121"/>
        <v>0.41</v>
      </c>
      <c r="J1198" s="1168" t="s">
        <v>102</v>
      </c>
      <c r="K1198" s="1169"/>
      <c r="L1198" s="1159"/>
      <c r="M1198" s="1169"/>
      <c r="N1198" s="1161" t="s">
        <v>2318</v>
      </c>
    </row>
    <row r="1199" spans="1:14" s="1170" customFormat="1" ht="15.75" hidden="1">
      <c r="A1199" s="1156"/>
      <c r="B1199" s="1169" t="s">
        <v>3157</v>
      </c>
      <c r="C1199" s="1157">
        <v>2</v>
      </c>
      <c r="D1199" s="1171" t="s">
        <v>273</v>
      </c>
      <c r="E1199" s="1165">
        <v>1</v>
      </c>
      <c r="F1199" s="1166">
        <v>1.5</v>
      </c>
      <c r="G1199" s="1166">
        <v>0</v>
      </c>
      <c r="H1199" s="1166">
        <v>0.9</v>
      </c>
      <c r="I1199" s="1172">
        <f t="shared" si="121"/>
        <v>2.7</v>
      </c>
      <c r="J1199" s="1168" t="s">
        <v>102</v>
      </c>
      <c r="K1199" s="1169"/>
      <c r="L1199" s="1159"/>
      <c r="M1199" s="1169"/>
      <c r="N1199" s="1161" t="s">
        <v>2318</v>
      </c>
    </row>
    <row r="1200" spans="1:14" s="1170" customFormat="1" ht="15.75" hidden="1">
      <c r="A1200" s="1156"/>
      <c r="B1200" s="1331"/>
      <c r="C1200" s="1332"/>
      <c r="D1200" s="1333"/>
      <c r="E1200" s="1334"/>
      <c r="F1200" s="1335"/>
      <c r="G1200" s="1335"/>
      <c r="H1200" s="1335"/>
      <c r="I1200" s="1336"/>
      <c r="J1200" s="1168"/>
      <c r="K1200" s="1169"/>
      <c r="L1200" s="1159"/>
      <c r="M1200" s="1169"/>
      <c r="N1200" s="1161" t="s">
        <v>2318</v>
      </c>
    </row>
    <row r="1201" spans="1:14" ht="15.75" hidden="1">
      <c r="A1201" s="1156"/>
      <c r="B1201" s="1169"/>
      <c r="C1201" s="1337"/>
      <c r="D1201" s="1171"/>
      <c r="E1201" s="1165"/>
      <c r="F1201" s="1166"/>
      <c r="G1201" s="1343"/>
      <c r="H1201" s="1156"/>
      <c r="I1201" s="1336"/>
      <c r="J1201" s="1168" t="s">
        <v>102</v>
      </c>
      <c r="K1201" s="1221">
        <f>data!E3283</f>
        <v>404.02</v>
      </c>
      <c r="L1201" s="1159" t="s">
        <v>2318</v>
      </c>
      <c r="M1201" s="1224">
        <f>ROUND(I1201*K1201,0)</f>
        <v>0</v>
      </c>
      <c r="N1201" s="1161" t="s">
        <v>2318</v>
      </c>
    </row>
    <row r="1202" spans="1:14" ht="92.25" hidden="1" customHeight="1">
      <c r="A1202" s="1156">
        <v>22</v>
      </c>
      <c r="B1202" s="1826" t="s">
        <v>2065</v>
      </c>
      <c r="C1202" s="1826"/>
      <c r="D1202" s="1826"/>
      <c r="E1202" s="1826"/>
      <c r="F1202" s="1826"/>
      <c r="G1202" s="1826"/>
      <c r="H1202" s="1826"/>
      <c r="I1202" s="1157"/>
      <c r="J1202" s="1158"/>
      <c r="K1202" s="1156"/>
      <c r="L1202" s="1159"/>
      <c r="M1202" s="1160"/>
      <c r="N1202" s="1161" t="s">
        <v>2218</v>
      </c>
    </row>
    <row r="1203" spans="1:14" s="1170" customFormat="1" ht="16.5" hidden="1" customHeight="1">
      <c r="A1203" s="1156"/>
      <c r="B1203" s="1169" t="s">
        <v>3510</v>
      </c>
      <c r="C1203" s="1157"/>
      <c r="D1203" s="1171" t="s">
        <v>3333</v>
      </c>
      <c r="E1203" s="1165"/>
      <c r="F1203" s="1166"/>
      <c r="G1203" s="1166"/>
      <c r="H1203" s="1166"/>
      <c r="I1203" s="1167"/>
      <c r="J1203" s="1168"/>
      <c r="K1203" s="1169"/>
      <c r="L1203" s="1159"/>
      <c r="M1203" s="1169"/>
      <c r="N1203" s="1161" t="s">
        <v>2218</v>
      </c>
    </row>
    <row r="1204" spans="1:14" s="1170" customFormat="1" ht="16.5" hidden="1" customHeight="1">
      <c r="A1204" s="1156"/>
      <c r="B1204" s="1169" t="s">
        <v>3166</v>
      </c>
      <c r="C1204" s="1157">
        <v>1</v>
      </c>
      <c r="D1204" s="1171" t="s">
        <v>273</v>
      </c>
      <c r="E1204" s="1165">
        <v>1</v>
      </c>
      <c r="F1204" s="1166">
        <v>8.65</v>
      </c>
      <c r="G1204" s="1166">
        <v>3.2</v>
      </c>
      <c r="H1204" s="1166">
        <v>7.4999999999999997E-2</v>
      </c>
      <c r="I1204" s="1172">
        <f t="shared" ref="I1204" si="122">ROUND(IF(AND(F1204:H1204),C1204*E1204*F1204*G1204*H1204,IF(AND(F1204,G1204),C1204*E1204*F1204*G1204,IF(AND(F1204,H1204),C1204*E1204*F1204*H1204,IF(AND(G1204,H1204),C1204*E1204*G1204*H1204,IF(F1204,C1204*E1204*F1204,IF(G1204,C1204*E1204*G1204,IF(H1204,C1204*E1204*H1204,C1204*E1204))))))),2)</f>
        <v>2.08</v>
      </c>
      <c r="J1204" s="1168" t="s">
        <v>5</v>
      </c>
      <c r="K1204" s="1169"/>
      <c r="L1204" s="1159"/>
      <c r="M1204" s="1169"/>
      <c r="N1204" s="1161" t="s">
        <v>2218</v>
      </c>
    </row>
    <row r="1205" spans="1:14" s="1170" customFormat="1" ht="16.5" hidden="1" customHeight="1">
      <c r="A1205" s="1156"/>
      <c r="B1205" s="1331"/>
      <c r="C1205" s="1332"/>
      <c r="D1205" s="1333"/>
      <c r="E1205" s="1549"/>
      <c r="F1205" s="1335"/>
      <c r="G1205" s="1335"/>
      <c r="H1205" s="1335"/>
      <c r="I1205" s="1336"/>
      <c r="J1205" s="1168"/>
      <c r="K1205" s="1169"/>
      <c r="L1205" s="1159"/>
      <c r="M1205" s="1169"/>
      <c r="N1205" s="1161" t="s">
        <v>2218</v>
      </c>
    </row>
    <row r="1206" spans="1:14" ht="15.75" hidden="1">
      <c r="A1206" s="1156"/>
      <c r="B1206" s="1169"/>
      <c r="C1206" s="1337"/>
      <c r="D1206" s="1171"/>
      <c r="E1206" s="1165"/>
      <c r="F1206" s="1166"/>
      <c r="G1206" s="1343"/>
      <c r="H1206" s="1156"/>
      <c r="I1206" s="1336"/>
      <c r="J1206" s="1168" t="s">
        <v>5</v>
      </c>
      <c r="K1206" s="1221">
        <f>data!E272</f>
        <v>4946.1699999999992</v>
      </c>
      <c r="L1206" s="1159" t="s">
        <v>2218</v>
      </c>
      <c r="M1206" s="1224">
        <f>ROUND(I1206*K1206,0)</f>
        <v>0</v>
      </c>
      <c r="N1206" s="1161" t="s">
        <v>2218</v>
      </c>
    </row>
    <row r="1207" spans="1:14" ht="92.25" hidden="1" customHeight="1">
      <c r="A1207" s="1156">
        <v>20</v>
      </c>
      <c r="B1207" s="1826" t="s">
        <v>1437</v>
      </c>
      <c r="C1207" s="1826"/>
      <c r="D1207" s="1826"/>
      <c r="E1207" s="1826"/>
      <c r="F1207" s="1826"/>
      <c r="G1207" s="1826"/>
      <c r="H1207" s="1826"/>
      <c r="I1207" s="1157"/>
      <c r="J1207" s="1158"/>
      <c r="K1207" s="1156"/>
      <c r="L1207" s="1159"/>
      <c r="M1207" s="1160"/>
      <c r="N1207" s="1161" t="s">
        <v>2306</v>
      </c>
    </row>
    <row r="1208" spans="1:14" s="1170" customFormat="1" ht="16.5" hidden="1" customHeight="1">
      <c r="A1208" s="1156"/>
      <c r="B1208" s="1169" t="s">
        <v>3496</v>
      </c>
      <c r="C1208" s="1351"/>
      <c r="D1208" s="1418"/>
      <c r="E1208" s="1352"/>
      <c r="F1208" s="1234"/>
      <c r="G1208" s="1234"/>
      <c r="H1208" s="1235"/>
      <c r="I1208" s="1353"/>
      <c r="J1208" s="1168"/>
      <c r="K1208" s="1169"/>
      <c r="L1208" s="1159"/>
      <c r="M1208" s="1169"/>
      <c r="N1208" s="1161" t="s">
        <v>2306</v>
      </c>
    </row>
    <row r="1209" spans="1:14" s="1170" customFormat="1" ht="16.5" hidden="1" customHeight="1">
      <c r="A1209" s="1156"/>
      <c r="B1209" s="1331" t="s">
        <v>1620</v>
      </c>
      <c r="C1209" s="1332">
        <v>10</v>
      </c>
      <c r="D1209" s="1333" t="s">
        <v>273</v>
      </c>
      <c r="E1209" s="1549">
        <v>0.5</v>
      </c>
      <c r="F1209" s="1335">
        <v>1.2</v>
      </c>
      <c r="G1209" s="1335">
        <v>0.17</v>
      </c>
      <c r="H1209" s="1335">
        <v>0.12</v>
      </c>
      <c r="I1209" s="1336">
        <f>ROUND(IF(AND(F1209:H1209),C1209*E1209*F1209*G1209*H1209,IF(AND(F1209,G1209),C1209*E1209*F1209*G1209,IF(AND(F1209,H1209),C1209*E1209*F1209*H1209,IF(AND(G1209,H1209),C1209*E1209*G1209*H1209,IF(F1209,C1209*E1209*F1209,IF(G1209,C1209*E1209*G1209,IF(H1209,C1209*E1209*H1209,C1209*E1209))))))),2)</f>
        <v>0.12</v>
      </c>
      <c r="J1209" s="1168" t="s">
        <v>5</v>
      </c>
      <c r="K1209" s="1169"/>
      <c r="L1209" s="1159"/>
      <c r="M1209" s="1169"/>
      <c r="N1209" s="1161" t="s">
        <v>2306</v>
      </c>
    </row>
    <row r="1210" spans="1:14" s="1170" customFormat="1" ht="16.5" hidden="1" customHeight="1">
      <c r="A1210" s="1156"/>
      <c r="B1210" s="1331"/>
      <c r="C1210" s="1332">
        <v>1</v>
      </c>
      <c r="D1210" s="1333" t="s">
        <v>273</v>
      </c>
      <c r="E1210" s="1334">
        <v>1</v>
      </c>
      <c r="F1210" s="1335">
        <v>1.2</v>
      </c>
      <c r="G1210" s="1335">
        <v>0.37</v>
      </c>
      <c r="H1210" s="1335">
        <v>0.12</v>
      </c>
      <c r="I1210" s="1336">
        <f>ROUND(IF(AND(F1210:H1210),C1210*E1210*F1210*G1210*H1210,IF(AND(F1210,G1210),C1210*E1210*F1210*G1210,IF(AND(F1210,H1210),C1210*E1210*F1210*H1210,IF(AND(G1210,H1210),C1210*E1210*G1210*H1210,IF(F1210,C1210*E1210*F1210,IF(G1210,C1210*E1210*G1210,IF(H1210,C1210*E1210*H1210,C1210*E1210))))))),2)</f>
        <v>0.05</v>
      </c>
      <c r="J1210" s="1168" t="s">
        <v>5</v>
      </c>
      <c r="K1210" s="1169"/>
      <c r="L1210" s="1159"/>
      <c r="M1210" s="1169"/>
      <c r="N1210" s="1161" t="s">
        <v>2306</v>
      </c>
    </row>
    <row r="1211" spans="1:14" s="1170" customFormat="1" ht="16.5" hidden="1" customHeight="1">
      <c r="A1211" s="1156"/>
      <c r="B1211" s="1331" t="s">
        <v>1621</v>
      </c>
      <c r="C1211" s="1332">
        <v>11</v>
      </c>
      <c r="D1211" s="1333" t="s">
        <v>273</v>
      </c>
      <c r="E1211" s="1549">
        <v>0.5</v>
      </c>
      <c r="F1211" s="1335">
        <v>1.2</v>
      </c>
      <c r="G1211" s="1335">
        <v>0.17</v>
      </c>
      <c r="H1211" s="1335">
        <v>0.12</v>
      </c>
      <c r="I1211" s="1336">
        <f>ROUND(IF(AND(F1211:H1211),C1211*E1211*F1211*G1211*H1211,IF(AND(F1211,G1211),C1211*E1211*F1211*G1211,IF(AND(F1211,H1211),C1211*E1211*F1211*H1211,IF(AND(G1211,H1211),C1211*E1211*G1211*H1211,IF(F1211,C1211*E1211*F1211,IF(G1211,C1211*E1211*G1211,IF(H1211,C1211*E1211*H1211,C1211*E1211))))))),2)</f>
        <v>0.13</v>
      </c>
      <c r="J1211" s="1168" t="s">
        <v>5</v>
      </c>
      <c r="K1211" s="1169"/>
      <c r="L1211" s="1159"/>
      <c r="M1211" s="1169"/>
      <c r="N1211" s="1161" t="s">
        <v>2306</v>
      </c>
    </row>
    <row r="1212" spans="1:14" s="1170" customFormat="1" ht="16.5" hidden="1" customHeight="1">
      <c r="A1212" s="1156"/>
      <c r="B1212" s="1331"/>
      <c r="C1212" s="1332"/>
      <c r="D1212" s="1333"/>
      <c r="E1212" s="1549"/>
      <c r="F1212" s="1335"/>
      <c r="G1212" s="1335"/>
      <c r="H1212" s="1335"/>
      <c r="I1212" s="1336"/>
      <c r="J1212" s="1168"/>
      <c r="K1212" s="1169"/>
      <c r="L1212" s="1159"/>
      <c r="M1212" s="1169"/>
      <c r="N1212" s="1161" t="s">
        <v>2306</v>
      </c>
    </row>
    <row r="1213" spans="1:14" ht="15.75" hidden="1">
      <c r="A1213" s="1156"/>
      <c r="B1213" s="1169"/>
      <c r="C1213" s="1337"/>
      <c r="D1213" s="1171"/>
      <c r="E1213" s="1165"/>
      <c r="F1213" s="1166"/>
      <c r="G1213" s="1343"/>
      <c r="H1213" s="1156"/>
      <c r="I1213" s="1336"/>
      <c r="J1213" s="1168" t="s">
        <v>5</v>
      </c>
      <c r="K1213" s="1221">
        <f>data!E1188</f>
        <v>5115.5200000000004</v>
      </c>
      <c r="L1213" s="1159" t="s">
        <v>2306</v>
      </c>
      <c r="M1213" s="1224">
        <f>ROUND(I1213*K1213,0)</f>
        <v>0</v>
      </c>
      <c r="N1213" s="1161" t="s">
        <v>2306</v>
      </c>
    </row>
    <row r="1214" spans="1:14" ht="92.25" hidden="1" customHeight="1">
      <c r="A1214" s="1156">
        <v>20</v>
      </c>
      <c r="B1214" s="1826" t="s">
        <v>1437</v>
      </c>
      <c r="C1214" s="1826"/>
      <c r="D1214" s="1826"/>
      <c r="E1214" s="1826"/>
      <c r="F1214" s="1826"/>
      <c r="G1214" s="1826"/>
      <c r="H1214" s="1826"/>
      <c r="I1214" s="1157"/>
      <c r="J1214" s="1158"/>
      <c r="K1214" s="1156"/>
      <c r="L1214" s="1159"/>
      <c r="M1214" s="1160"/>
      <c r="N1214" s="1161" t="s">
        <v>2317</v>
      </c>
    </row>
    <row r="1215" spans="1:14" s="1170" customFormat="1" ht="16.5" hidden="1" customHeight="1">
      <c r="A1215" s="1156"/>
      <c r="B1215" s="1169" t="s">
        <v>3496</v>
      </c>
      <c r="C1215" s="1351"/>
      <c r="D1215" s="1418"/>
      <c r="E1215" s="1352"/>
      <c r="F1215" s="1234"/>
      <c r="G1215" s="1234"/>
      <c r="H1215" s="1235"/>
      <c r="I1215" s="1353"/>
      <c r="J1215" s="1168"/>
      <c r="K1215" s="1169"/>
      <c r="L1215" s="1159"/>
      <c r="M1215" s="1169"/>
      <c r="N1215" s="1161" t="s">
        <v>2317</v>
      </c>
    </row>
    <row r="1216" spans="1:14" s="1170" customFormat="1" ht="16.5" hidden="1" customHeight="1">
      <c r="A1216" s="1156"/>
      <c r="B1216" s="1331" t="s">
        <v>1620</v>
      </c>
      <c r="C1216" s="1332">
        <v>10</v>
      </c>
      <c r="D1216" s="1333" t="s">
        <v>273</v>
      </c>
      <c r="E1216" s="1549">
        <v>0.5</v>
      </c>
      <c r="F1216" s="1335">
        <v>1.2</v>
      </c>
      <c r="G1216" s="1335">
        <v>0.17</v>
      </c>
      <c r="H1216" s="1335">
        <v>0.12</v>
      </c>
      <c r="I1216" s="1336">
        <f>ROUND(IF(AND(F1216:H1216),C1216*E1216*F1216*G1216*H1216,IF(AND(F1216,G1216),C1216*E1216*F1216*G1216,IF(AND(F1216,H1216),C1216*E1216*F1216*H1216,IF(AND(G1216,H1216),C1216*E1216*G1216*H1216,IF(F1216,C1216*E1216*F1216,IF(G1216,C1216*E1216*G1216,IF(H1216,C1216*E1216*H1216,C1216*E1216))))))),2)</f>
        <v>0.12</v>
      </c>
      <c r="J1216" s="1168" t="s">
        <v>5</v>
      </c>
      <c r="K1216" s="1169"/>
      <c r="L1216" s="1159"/>
      <c r="M1216" s="1169"/>
      <c r="N1216" s="1161" t="s">
        <v>2317</v>
      </c>
    </row>
    <row r="1217" spans="1:14" s="1170" customFormat="1" ht="16.5" hidden="1" customHeight="1">
      <c r="A1217" s="1156"/>
      <c r="B1217" s="1331"/>
      <c r="C1217" s="1332">
        <v>1</v>
      </c>
      <c r="D1217" s="1333" t="s">
        <v>273</v>
      </c>
      <c r="E1217" s="1334">
        <v>1</v>
      </c>
      <c r="F1217" s="1335">
        <v>1.2</v>
      </c>
      <c r="G1217" s="1335">
        <v>0.37</v>
      </c>
      <c r="H1217" s="1335">
        <v>0.12</v>
      </c>
      <c r="I1217" s="1336">
        <f>ROUND(IF(AND(F1217:H1217),C1217*E1217*F1217*G1217*H1217,IF(AND(F1217,G1217),C1217*E1217*F1217*G1217,IF(AND(F1217,H1217),C1217*E1217*F1217*H1217,IF(AND(G1217,H1217),C1217*E1217*G1217*H1217,IF(F1217,C1217*E1217*F1217,IF(G1217,C1217*E1217*G1217,IF(H1217,C1217*E1217*H1217,C1217*E1217))))))),2)</f>
        <v>0.05</v>
      </c>
      <c r="J1217" s="1168" t="s">
        <v>5</v>
      </c>
      <c r="K1217" s="1169"/>
      <c r="L1217" s="1159"/>
      <c r="M1217" s="1169"/>
      <c r="N1217" s="1161" t="s">
        <v>2317</v>
      </c>
    </row>
    <row r="1218" spans="1:14" s="1170" customFormat="1" ht="16.5" hidden="1" customHeight="1">
      <c r="A1218" s="1156"/>
      <c r="B1218" s="1331" t="s">
        <v>1621</v>
      </c>
      <c r="C1218" s="1332">
        <v>11</v>
      </c>
      <c r="D1218" s="1333" t="s">
        <v>273</v>
      </c>
      <c r="E1218" s="1549">
        <v>0.5</v>
      </c>
      <c r="F1218" s="1335">
        <v>1.2</v>
      </c>
      <c r="G1218" s="1335">
        <v>0.17</v>
      </c>
      <c r="H1218" s="1335">
        <v>0.12</v>
      </c>
      <c r="I1218" s="1336">
        <f>ROUND(IF(AND(F1218:H1218),C1218*E1218*F1218*G1218*H1218,IF(AND(F1218,G1218),C1218*E1218*F1218*G1218,IF(AND(F1218,H1218),C1218*E1218*F1218*H1218,IF(AND(G1218,H1218),C1218*E1218*G1218*H1218,IF(F1218,C1218*E1218*F1218,IF(G1218,C1218*E1218*G1218,IF(H1218,C1218*E1218*H1218,C1218*E1218))))))),2)</f>
        <v>0.13</v>
      </c>
      <c r="J1218" s="1168" t="s">
        <v>5</v>
      </c>
      <c r="K1218" s="1169"/>
      <c r="L1218" s="1159"/>
      <c r="M1218" s="1169"/>
      <c r="N1218" s="1161" t="s">
        <v>2317</v>
      </c>
    </row>
    <row r="1219" spans="1:14" s="1170" customFormat="1" ht="16.5" hidden="1" customHeight="1">
      <c r="A1219" s="1156"/>
      <c r="B1219" s="1331"/>
      <c r="C1219" s="1332"/>
      <c r="D1219" s="1333"/>
      <c r="E1219" s="1549"/>
      <c r="F1219" s="1335"/>
      <c r="G1219" s="1335"/>
      <c r="H1219" s="1335"/>
      <c r="I1219" s="1336"/>
      <c r="J1219" s="1168"/>
      <c r="K1219" s="1169"/>
      <c r="L1219" s="1159"/>
      <c r="M1219" s="1169"/>
      <c r="N1219" s="1161" t="s">
        <v>2317</v>
      </c>
    </row>
    <row r="1220" spans="1:14" ht="15.75" hidden="1">
      <c r="A1220" s="1156"/>
      <c r="B1220" s="1169"/>
      <c r="C1220" s="1337"/>
      <c r="D1220" s="1171"/>
      <c r="E1220" s="1165"/>
      <c r="F1220" s="1166"/>
      <c r="G1220" s="1343"/>
      <c r="H1220" s="1156"/>
      <c r="I1220" s="1336"/>
      <c r="J1220" s="1168" t="s">
        <v>5</v>
      </c>
      <c r="K1220" s="1221">
        <f>data!E2105</f>
        <v>5349.0700000000006</v>
      </c>
      <c r="L1220" s="1159" t="s">
        <v>2317</v>
      </c>
      <c r="M1220" s="1224">
        <f>ROUND(I1220*K1220,0)</f>
        <v>0</v>
      </c>
      <c r="N1220" s="1161" t="s">
        <v>2317</v>
      </c>
    </row>
    <row r="1221" spans="1:14" ht="92.25" hidden="1" customHeight="1">
      <c r="A1221" s="1156">
        <v>20</v>
      </c>
      <c r="B1221" s="1826" t="s">
        <v>2065</v>
      </c>
      <c r="C1221" s="1826"/>
      <c r="D1221" s="1826"/>
      <c r="E1221" s="1826"/>
      <c r="F1221" s="1826"/>
      <c r="G1221" s="1826"/>
      <c r="H1221" s="1826"/>
      <c r="I1221" s="1157"/>
      <c r="J1221" s="1158"/>
      <c r="K1221" s="1156"/>
      <c r="L1221" s="1159"/>
      <c r="M1221" s="1160"/>
      <c r="N1221" s="1161" t="s">
        <v>2318</v>
      </c>
    </row>
    <row r="1222" spans="1:14" s="1170" customFormat="1" ht="16.5" hidden="1" customHeight="1">
      <c r="A1222" s="1156"/>
      <c r="B1222" s="1169" t="s">
        <v>3510</v>
      </c>
      <c r="C1222" s="1157"/>
      <c r="D1222" s="1171"/>
      <c r="E1222" s="1165"/>
      <c r="F1222" s="1166"/>
      <c r="G1222" s="1166"/>
      <c r="H1222" s="1166"/>
      <c r="I1222" s="1167"/>
      <c r="J1222" s="1168"/>
      <c r="K1222" s="1169"/>
      <c r="L1222" s="1159"/>
      <c r="M1222" s="1169"/>
      <c r="N1222" s="1161" t="s">
        <v>2318</v>
      </c>
    </row>
    <row r="1223" spans="1:14" s="1170" customFormat="1" ht="16.5" hidden="1" customHeight="1">
      <c r="A1223" s="1156"/>
      <c r="B1223" s="1169"/>
      <c r="C1223" s="1157">
        <v>1</v>
      </c>
      <c r="D1223" s="1171" t="s">
        <v>273</v>
      </c>
      <c r="E1223" s="1165">
        <v>1</v>
      </c>
      <c r="F1223" s="1166">
        <v>8.65</v>
      </c>
      <c r="G1223" s="1166">
        <v>3.2</v>
      </c>
      <c r="H1223" s="1166">
        <v>7.4999999999999997E-2</v>
      </c>
      <c r="I1223" s="1172">
        <f t="shared" ref="I1223" si="123">ROUND(IF(AND(F1223:H1223),C1223*E1223*F1223*G1223*H1223,IF(AND(F1223,G1223),C1223*E1223*F1223*G1223,IF(AND(F1223,H1223),C1223*E1223*F1223*H1223,IF(AND(G1223,H1223),C1223*E1223*G1223*H1223,IF(F1223,C1223*E1223*F1223,IF(G1223,C1223*E1223*G1223,IF(H1223,C1223*E1223*H1223,C1223*E1223))))))),2)</f>
        <v>2.08</v>
      </c>
      <c r="J1223" s="1168" t="s">
        <v>5</v>
      </c>
      <c r="K1223" s="1169"/>
      <c r="L1223" s="1159"/>
      <c r="M1223" s="1169"/>
      <c r="N1223" s="1161" t="s">
        <v>2318</v>
      </c>
    </row>
    <row r="1224" spans="1:14" s="1170" customFormat="1" ht="16.5" hidden="1" customHeight="1">
      <c r="A1224" s="1156"/>
      <c r="B1224" s="1331"/>
      <c r="C1224" s="1332"/>
      <c r="D1224" s="1333"/>
      <c r="E1224" s="1549"/>
      <c r="F1224" s="1335"/>
      <c r="G1224" s="1335"/>
      <c r="H1224" s="1335"/>
      <c r="I1224" s="1336"/>
      <c r="J1224" s="1168"/>
      <c r="K1224" s="1169"/>
      <c r="L1224" s="1159"/>
      <c r="M1224" s="1169"/>
      <c r="N1224" s="1161" t="s">
        <v>2318</v>
      </c>
    </row>
    <row r="1225" spans="1:14" ht="15.75" hidden="1">
      <c r="A1225" s="1156"/>
      <c r="B1225" s="1169"/>
      <c r="C1225" s="1337"/>
      <c r="D1225" s="1171"/>
      <c r="E1225" s="1165"/>
      <c r="F1225" s="1166"/>
      <c r="G1225" s="1343"/>
      <c r="H1225" s="1156"/>
      <c r="I1225" s="1336"/>
      <c r="J1225" s="1168" t="s">
        <v>5</v>
      </c>
      <c r="K1225" s="1221">
        <f>data!E3022</f>
        <v>5601.67</v>
      </c>
      <c r="L1225" s="1159" t="s">
        <v>2318</v>
      </c>
      <c r="M1225" s="1224">
        <f>ROUND(I1225*K1225,0)</f>
        <v>0</v>
      </c>
      <c r="N1225" s="1161" t="s">
        <v>2318</v>
      </c>
    </row>
    <row r="1226" spans="1:14" ht="106.5" hidden="1" customHeight="1">
      <c r="A1226" s="1156">
        <v>25</v>
      </c>
      <c r="B1226" s="1826" t="s">
        <v>212</v>
      </c>
      <c r="C1226" s="1826"/>
      <c r="D1226" s="1826"/>
      <c r="E1226" s="1826"/>
      <c r="F1226" s="1826"/>
      <c r="G1226" s="1826"/>
      <c r="H1226" s="1826"/>
      <c r="I1226" s="1157"/>
      <c r="J1226" s="1158"/>
      <c r="K1226" s="1156"/>
      <c r="L1226" s="1159"/>
      <c r="M1226" s="1160"/>
      <c r="N1226" s="1161" t="s">
        <v>2218</v>
      </c>
    </row>
    <row r="1227" spans="1:14" s="1170" customFormat="1" ht="16.5" hidden="1" customHeight="1">
      <c r="A1227" s="1156"/>
      <c r="B1227" s="1169" t="s">
        <v>3491</v>
      </c>
      <c r="C1227" s="1351"/>
      <c r="D1227" s="1418"/>
      <c r="E1227" s="1352"/>
      <c r="F1227" s="1234"/>
      <c r="G1227" s="1234"/>
      <c r="H1227" s="1235"/>
      <c r="I1227" s="1353"/>
      <c r="J1227" s="1168"/>
      <c r="K1227" s="1169"/>
      <c r="L1227" s="1159"/>
      <c r="M1227" s="1169"/>
      <c r="N1227" s="1161" t="s">
        <v>2218</v>
      </c>
    </row>
    <row r="1228" spans="1:14" s="1170" customFormat="1" ht="16.5" hidden="1" customHeight="1">
      <c r="A1228" s="1156"/>
      <c r="B1228" s="1359" t="s">
        <v>799</v>
      </c>
      <c r="C1228" s="1360">
        <v>1</v>
      </c>
      <c r="D1228" s="1361" t="s">
        <v>273</v>
      </c>
      <c r="E1228" s="1362">
        <v>1</v>
      </c>
      <c r="F1228" s="1363">
        <v>8.4499999999999993</v>
      </c>
      <c r="G1228" s="1363">
        <v>4.92</v>
      </c>
      <c r="H1228" s="1363">
        <v>0</v>
      </c>
      <c r="I1228" s="1336">
        <f>ROUND(IF(AND(F1228:H1228),C1228*E1228*F1228*G1228*H1228,IF(AND(F1228,G1228),C1228*E1228*F1228*G1228,IF(AND(F1228,H1228),C1228*E1228*F1228*H1228,IF(AND(G1228,H1228),C1228*E1228*G1228*H1228,IF(F1228,C1228*E1228*F1228,IF(G1228,C1228*E1228*G1228,IF(H1228,C1228*E1228*H1228,C1228*E1228))))))),2)</f>
        <v>41.57</v>
      </c>
      <c r="J1228" s="1168" t="s">
        <v>102</v>
      </c>
      <c r="K1228" s="1169"/>
      <c r="L1228" s="1159"/>
      <c r="M1228" s="1169"/>
      <c r="N1228" s="1161" t="s">
        <v>2218</v>
      </c>
    </row>
    <row r="1229" spans="1:14" s="1170" customFormat="1" ht="16.5" hidden="1" customHeight="1">
      <c r="A1229" s="1156"/>
      <c r="B1229" s="1359" t="s">
        <v>1548</v>
      </c>
      <c r="C1229" s="1360">
        <v>1</v>
      </c>
      <c r="D1229" s="1361" t="s">
        <v>273</v>
      </c>
      <c r="E1229" s="1362">
        <v>1</v>
      </c>
      <c r="F1229" s="1363">
        <v>3.31</v>
      </c>
      <c r="G1229" s="1363">
        <v>2.8</v>
      </c>
      <c r="H1229" s="1363">
        <v>0</v>
      </c>
      <c r="I1229" s="1336">
        <f>ROUND(IF(AND(F1229:H1229),C1229*E1229*F1229*G1229*H1229,IF(AND(F1229,G1229),C1229*E1229*F1229*G1229,IF(AND(F1229,H1229),C1229*E1229*F1229*H1229,IF(AND(G1229,H1229),C1229*E1229*G1229*H1229,IF(F1229,C1229*E1229*F1229,IF(G1229,C1229*E1229*G1229,IF(H1229,C1229*E1229*H1229,C1229*E1229))))))),2)</f>
        <v>9.27</v>
      </c>
      <c r="J1229" s="1168" t="s">
        <v>102</v>
      </c>
      <c r="K1229" s="1169"/>
      <c r="L1229" s="1159"/>
      <c r="M1229" s="1169"/>
      <c r="N1229" s="1161" t="s">
        <v>2218</v>
      </c>
    </row>
    <row r="1230" spans="1:14" s="1170" customFormat="1" ht="16.5" hidden="1" customHeight="1">
      <c r="A1230" s="1156"/>
      <c r="B1230" s="1359"/>
      <c r="C1230" s="1360">
        <v>1</v>
      </c>
      <c r="D1230" s="1361" t="s">
        <v>273</v>
      </c>
      <c r="E1230" s="1362">
        <v>1</v>
      </c>
      <c r="F1230" s="1363">
        <v>0.25</v>
      </c>
      <c r="G1230" s="1363">
        <v>0.15</v>
      </c>
      <c r="H1230" s="1363">
        <v>0</v>
      </c>
      <c r="I1230" s="1336">
        <f>-ROUND(IF(AND(F1230:H1230),C1230*E1230*F1230*G1230*H1230,IF(AND(F1230,G1230),C1230*E1230*F1230*G1230,IF(AND(F1230,H1230),C1230*E1230*F1230*H1230,IF(AND(G1230,H1230),C1230*E1230*G1230*H1230,IF(F1230,C1230*E1230*F1230,IF(G1230,C1230*E1230*G1230,IF(H1230,C1230*E1230*H1230,C1230*E1230))))))),2)</f>
        <v>-0.04</v>
      </c>
      <c r="J1230" s="1168" t="s">
        <v>102</v>
      </c>
      <c r="K1230" s="1169"/>
      <c r="L1230" s="1159"/>
      <c r="M1230" s="1169"/>
      <c r="N1230" s="1161" t="s">
        <v>2218</v>
      </c>
    </row>
    <row r="1231" spans="1:14" s="1170" customFormat="1" ht="16.5" hidden="1" customHeight="1">
      <c r="A1231" s="1156"/>
      <c r="B1231" s="1331"/>
      <c r="C1231" s="1332"/>
      <c r="D1231" s="1333"/>
      <c r="E1231" s="1334"/>
      <c r="F1231" s="1335"/>
      <c r="G1231" s="1335"/>
      <c r="H1231" s="1335"/>
      <c r="I1231" s="1336"/>
      <c r="J1231" s="1168"/>
      <c r="K1231" s="1169"/>
      <c r="L1231" s="1159"/>
      <c r="M1231" s="1169"/>
      <c r="N1231" s="1161" t="s">
        <v>2218</v>
      </c>
    </row>
    <row r="1232" spans="1:14" ht="15.75" hidden="1">
      <c r="A1232" s="1156"/>
      <c r="B1232" s="1169"/>
      <c r="C1232" s="1337"/>
      <c r="D1232" s="1171"/>
      <c r="E1232" s="1165"/>
      <c r="F1232" s="1166"/>
      <c r="G1232" s="1343"/>
      <c r="H1232" s="1156"/>
      <c r="I1232" s="1336"/>
      <c r="J1232" s="1168" t="s">
        <v>102</v>
      </c>
      <c r="K1232" s="1221">
        <f>data!E680</f>
        <v>991.04</v>
      </c>
      <c r="L1232" s="1159" t="s">
        <v>2218</v>
      </c>
      <c r="M1232" s="1224">
        <f>ROUND(I1232*K1232,0)</f>
        <v>0</v>
      </c>
      <c r="N1232" s="1161" t="s">
        <v>2218</v>
      </c>
    </row>
    <row r="1233" spans="1:14" ht="106.5" hidden="1" customHeight="1">
      <c r="A1233" s="1156">
        <v>23</v>
      </c>
      <c r="B1233" s="1826" t="s">
        <v>212</v>
      </c>
      <c r="C1233" s="1826"/>
      <c r="D1233" s="1826"/>
      <c r="E1233" s="1826"/>
      <c r="F1233" s="1826"/>
      <c r="G1233" s="1826"/>
      <c r="H1233" s="1826"/>
      <c r="I1233" s="1157"/>
      <c r="J1233" s="1158"/>
      <c r="K1233" s="1156"/>
      <c r="L1233" s="1159"/>
      <c r="M1233" s="1160"/>
      <c r="N1233" s="1161" t="s">
        <v>2306</v>
      </c>
    </row>
    <row r="1234" spans="1:14" s="1170" customFormat="1" ht="16.5" hidden="1" customHeight="1">
      <c r="A1234" s="1156"/>
      <c r="B1234" s="1169" t="s">
        <v>3026</v>
      </c>
      <c r="C1234" s="1351"/>
      <c r="D1234" s="1418"/>
      <c r="E1234" s="1352"/>
      <c r="F1234" s="1234"/>
      <c r="G1234" s="1234"/>
      <c r="H1234" s="1235"/>
      <c r="I1234" s="1353"/>
      <c r="J1234" s="1168"/>
      <c r="K1234" s="1169"/>
      <c r="L1234" s="1159"/>
      <c r="M1234" s="1169"/>
      <c r="N1234" s="1161" t="s">
        <v>2306</v>
      </c>
    </row>
    <row r="1235" spans="1:14" s="1170" customFormat="1" ht="16.5" hidden="1" customHeight="1">
      <c r="A1235" s="1156"/>
      <c r="B1235" s="1359" t="s">
        <v>799</v>
      </c>
      <c r="C1235" s="1360">
        <v>1</v>
      </c>
      <c r="D1235" s="1361" t="s">
        <v>273</v>
      </c>
      <c r="E1235" s="1362">
        <v>1</v>
      </c>
      <c r="F1235" s="1363">
        <v>8.4</v>
      </c>
      <c r="G1235" s="1363">
        <v>4.9000000000000004</v>
      </c>
      <c r="H1235" s="1363">
        <v>0</v>
      </c>
      <c r="I1235" s="1336">
        <f t="shared" ref="I1235:I1240" si="124">ROUND(IF(AND(F1235:H1235),C1235*E1235*F1235*G1235*H1235,IF(AND(F1235,G1235),C1235*E1235*F1235*G1235,IF(AND(F1235,H1235),C1235*E1235*F1235*H1235,IF(AND(G1235,H1235),C1235*E1235*G1235*H1235,IF(F1235,C1235*E1235*F1235,IF(G1235,C1235*E1235*G1235,IF(H1235,C1235*E1235*H1235,C1235*E1235))))))),2)</f>
        <v>41.16</v>
      </c>
      <c r="J1235" s="1168" t="s">
        <v>102</v>
      </c>
      <c r="K1235" s="1169"/>
      <c r="L1235" s="1159"/>
      <c r="M1235" s="1169"/>
      <c r="N1235" s="1161" t="s">
        <v>2306</v>
      </c>
    </row>
    <row r="1236" spans="1:14" s="1170" customFormat="1" ht="16.5" hidden="1" customHeight="1">
      <c r="A1236" s="1156"/>
      <c r="B1236" s="1359" t="s">
        <v>650</v>
      </c>
      <c r="C1236" s="1360">
        <v>1</v>
      </c>
      <c r="D1236" s="1361" t="s">
        <v>273</v>
      </c>
      <c r="E1236" s="1362">
        <v>1</v>
      </c>
      <c r="F1236" s="1363">
        <v>3.2</v>
      </c>
      <c r="G1236" s="1363">
        <v>2.7</v>
      </c>
      <c r="H1236" s="1363">
        <v>0</v>
      </c>
      <c r="I1236" s="1336">
        <f t="shared" si="124"/>
        <v>8.64</v>
      </c>
      <c r="J1236" s="1168" t="s">
        <v>102</v>
      </c>
      <c r="K1236" s="1169"/>
      <c r="L1236" s="1159"/>
      <c r="M1236" s="1169"/>
      <c r="N1236" s="1161" t="s">
        <v>2306</v>
      </c>
    </row>
    <row r="1237" spans="1:14" s="1170" customFormat="1" ht="16.5" hidden="1" customHeight="1">
      <c r="A1237" s="1156"/>
      <c r="B1237" s="1359" t="s">
        <v>1548</v>
      </c>
      <c r="C1237" s="1360">
        <v>1</v>
      </c>
      <c r="D1237" s="1361" t="s">
        <v>273</v>
      </c>
      <c r="E1237" s="1362">
        <v>1</v>
      </c>
      <c r="F1237" s="1363">
        <v>3.2</v>
      </c>
      <c r="G1237" s="1363">
        <v>2.7</v>
      </c>
      <c r="H1237" s="1363">
        <v>0</v>
      </c>
      <c r="I1237" s="1336">
        <f t="shared" si="124"/>
        <v>8.64</v>
      </c>
      <c r="J1237" s="1168" t="s">
        <v>102</v>
      </c>
      <c r="K1237" s="1169"/>
      <c r="L1237" s="1159"/>
      <c r="M1237" s="1169"/>
      <c r="N1237" s="1161" t="s">
        <v>2306</v>
      </c>
    </row>
    <row r="1238" spans="1:14" s="1170" customFormat="1" ht="16.5" hidden="1" customHeight="1">
      <c r="A1238" s="1156"/>
      <c r="B1238" s="1359" t="s">
        <v>3027</v>
      </c>
      <c r="C1238" s="1360">
        <v>1</v>
      </c>
      <c r="D1238" s="1361" t="s">
        <v>273</v>
      </c>
      <c r="E1238" s="1362">
        <v>1</v>
      </c>
      <c r="F1238" s="1363">
        <v>3.3</v>
      </c>
      <c r="G1238" s="1363">
        <v>2.7</v>
      </c>
      <c r="H1238" s="1363">
        <v>0</v>
      </c>
      <c r="I1238" s="1336">
        <f t="shared" si="124"/>
        <v>8.91</v>
      </c>
      <c r="J1238" s="1168" t="s">
        <v>102</v>
      </c>
      <c r="K1238" s="1169"/>
      <c r="L1238" s="1159"/>
      <c r="M1238" s="1169"/>
      <c r="N1238" s="1161" t="s">
        <v>2306</v>
      </c>
    </row>
    <row r="1239" spans="1:14" s="1170" customFormat="1" ht="16.5" hidden="1" customHeight="1">
      <c r="A1239" s="1156"/>
      <c r="B1239" s="1359" t="s">
        <v>3024</v>
      </c>
      <c r="C1239" s="1360">
        <v>1</v>
      </c>
      <c r="D1239" s="1361" t="s">
        <v>273</v>
      </c>
      <c r="E1239" s="1362">
        <v>1</v>
      </c>
      <c r="F1239" s="1363">
        <v>1.3</v>
      </c>
      <c r="G1239" s="1363">
        <v>0.6</v>
      </c>
      <c r="H1239" s="1363">
        <v>0</v>
      </c>
      <c r="I1239" s="1336">
        <f>-ROUND(IF(AND(F1239:H1239),C1239*E1239*F1239*G1239*H1239,IF(AND(F1239,G1239),C1239*E1239*F1239*G1239,IF(AND(F1239,H1239),C1239*E1239*F1239*H1239,IF(AND(G1239,H1239),C1239*E1239*G1239*H1239,IF(F1239,C1239*E1239*F1239,IF(G1239,C1239*E1239*G1239,IF(H1239,C1239*E1239*H1239,C1239*E1239))))))),2)</f>
        <v>-0.78</v>
      </c>
      <c r="J1239" s="1168" t="s">
        <v>102</v>
      </c>
      <c r="K1239" s="1169"/>
      <c r="L1239" s="1159"/>
      <c r="M1239" s="1169"/>
      <c r="N1239" s="1161" t="s">
        <v>2306</v>
      </c>
    </row>
    <row r="1240" spans="1:14" s="1170" customFormat="1" ht="16.5" hidden="1" customHeight="1">
      <c r="A1240" s="1156"/>
      <c r="B1240" s="1359" t="s">
        <v>3028</v>
      </c>
      <c r="C1240" s="1360">
        <v>1</v>
      </c>
      <c r="D1240" s="1361" t="s">
        <v>273</v>
      </c>
      <c r="E1240" s="1362">
        <v>1</v>
      </c>
      <c r="F1240" s="1363">
        <v>5.3</v>
      </c>
      <c r="G1240" s="1363">
        <v>2.0499999999999998</v>
      </c>
      <c r="H1240" s="1363">
        <v>0</v>
      </c>
      <c r="I1240" s="1336">
        <f t="shared" si="124"/>
        <v>10.87</v>
      </c>
      <c r="J1240" s="1168" t="s">
        <v>102</v>
      </c>
      <c r="K1240" s="1169"/>
      <c r="L1240" s="1159"/>
      <c r="M1240" s="1169"/>
      <c r="N1240" s="1161" t="s">
        <v>2306</v>
      </c>
    </row>
    <row r="1241" spans="1:14" s="1170" customFormat="1" ht="16.5" hidden="1" customHeight="1">
      <c r="A1241" s="1156"/>
      <c r="B1241" s="1331"/>
      <c r="C1241" s="1332"/>
      <c r="D1241" s="1333"/>
      <c r="E1241" s="1334"/>
      <c r="F1241" s="1335"/>
      <c r="G1241" s="1335"/>
      <c r="H1241" s="1335"/>
      <c r="I1241" s="1336"/>
      <c r="J1241" s="1168"/>
      <c r="K1241" s="1169"/>
      <c r="L1241" s="1159"/>
      <c r="M1241" s="1169"/>
      <c r="N1241" s="1161" t="s">
        <v>2306</v>
      </c>
    </row>
    <row r="1242" spans="1:14" ht="15.75" hidden="1">
      <c r="A1242" s="1156"/>
      <c r="B1242" s="1169"/>
      <c r="C1242" s="1337"/>
      <c r="D1242" s="1171"/>
      <c r="E1242" s="1165"/>
      <c r="F1242" s="1166"/>
      <c r="G1242" s="1343"/>
      <c r="H1242" s="1156"/>
      <c r="I1242" s="1336"/>
      <c r="J1242" s="1168" t="s">
        <v>102</v>
      </c>
      <c r="K1242" s="1221">
        <f>data!E1597</f>
        <v>1019.43</v>
      </c>
      <c r="L1242" s="1159" t="s">
        <v>2306</v>
      </c>
      <c r="M1242" s="1224">
        <f>ROUND(I1242*K1242,0)</f>
        <v>0</v>
      </c>
      <c r="N1242" s="1161" t="s">
        <v>2306</v>
      </c>
    </row>
    <row r="1243" spans="1:14" ht="106.5" hidden="1" customHeight="1">
      <c r="A1243" s="1156">
        <v>28</v>
      </c>
      <c r="B1243" s="1826" t="s">
        <v>212</v>
      </c>
      <c r="C1243" s="1826"/>
      <c r="D1243" s="1826"/>
      <c r="E1243" s="1826"/>
      <c r="F1243" s="1826"/>
      <c r="G1243" s="1826"/>
      <c r="H1243" s="1826"/>
      <c r="I1243" s="1157"/>
      <c r="J1243" s="1158"/>
      <c r="K1243" s="1156"/>
      <c r="L1243" s="1159"/>
      <c r="M1243" s="1160"/>
      <c r="N1243" s="1161" t="s">
        <v>2317</v>
      </c>
    </row>
    <row r="1244" spans="1:14" s="1170" customFormat="1" ht="16.5" hidden="1" customHeight="1">
      <c r="A1244" s="1156"/>
      <c r="B1244" s="1163" t="s">
        <v>3706</v>
      </c>
      <c r="C1244" s="1351"/>
      <c r="D1244" s="1548" t="s">
        <v>3743</v>
      </c>
      <c r="E1244" s="1352"/>
      <c r="F1244" s="1234"/>
      <c r="G1244" s="1234"/>
      <c r="H1244" s="1235"/>
      <c r="I1244" s="1353"/>
      <c r="J1244" s="1168"/>
      <c r="K1244" s="1169"/>
      <c r="L1244" s="1159"/>
      <c r="M1244" s="1169"/>
      <c r="N1244" s="1161" t="s">
        <v>2317</v>
      </c>
    </row>
    <row r="1245" spans="1:14" s="1170" customFormat="1" ht="16.5" hidden="1" customHeight="1">
      <c r="A1245" s="1156"/>
      <c r="B1245" s="1359" t="s">
        <v>3359</v>
      </c>
      <c r="C1245" s="1360">
        <v>1</v>
      </c>
      <c r="D1245" s="1361" t="s">
        <v>273</v>
      </c>
      <c r="E1245" s="1362">
        <v>1</v>
      </c>
      <c r="F1245" s="1363">
        <v>9.3000000000000007</v>
      </c>
      <c r="G1245" s="1363">
        <v>5.7</v>
      </c>
      <c r="H1245" s="1363">
        <v>0</v>
      </c>
      <c r="I1245" s="1336">
        <f t="shared" ref="I1245:I1248" si="125">ROUND(IF(AND(F1245:H1245),C1245*E1245*F1245*G1245*H1245,IF(AND(F1245,G1245),C1245*E1245*F1245*G1245,IF(AND(F1245,H1245),C1245*E1245*F1245*H1245,IF(AND(G1245,H1245),C1245*E1245*G1245*H1245,IF(F1245,C1245*E1245*F1245,IF(G1245,C1245*E1245*G1245,IF(H1245,C1245*E1245*H1245,C1245*E1245))))))),2)</f>
        <v>53.01</v>
      </c>
      <c r="J1245" s="1168" t="s">
        <v>102</v>
      </c>
      <c r="K1245" s="1169"/>
      <c r="L1245" s="1159"/>
      <c r="M1245" s="1169"/>
      <c r="N1245" s="1161" t="s">
        <v>2317</v>
      </c>
    </row>
    <row r="1246" spans="1:14" s="1170" customFormat="1" ht="16.5" hidden="1" customHeight="1">
      <c r="A1246" s="1156"/>
      <c r="B1246" s="1359" t="s">
        <v>3352</v>
      </c>
      <c r="C1246" s="1360">
        <v>1</v>
      </c>
      <c r="D1246" s="1361" t="s">
        <v>273</v>
      </c>
      <c r="E1246" s="1362">
        <v>1</v>
      </c>
      <c r="F1246" s="1363">
        <v>3</v>
      </c>
      <c r="G1246" s="1363">
        <v>4.26</v>
      </c>
      <c r="H1246" s="1363">
        <v>0</v>
      </c>
      <c r="I1246" s="1336">
        <f t="shared" si="125"/>
        <v>12.78</v>
      </c>
      <c r="J1246" s="1168" t="s">
        <v>102</v>
      </c>
      <c r="K1246" s="1169"/>
      <c r="L1246" s="1159"/>
      <c r="M1246" s="1169"/>
      <c r="N1246" s="1161" t="s">
        <v>2317</v>
      </c>
    </row>
    <row r="1247" spans="1:14" s="1170" customFormat="1" ht="16.5" hidden="1" customHeight="1">
      <c r="A1247" s="1156"/>
      <c r="B1247" s="1359" t="s">
        <v>3614</v>
      </c>
      <c r="C1247" s="1360">
        <v>1</v>
      </c>
      <c r="D1247" s="1361" t="s">
        <v>273</v>
      </c>
      <c r="E1247" s="1362">
        <v>1</v>
      </c>
      <c r="F1247" s="1363">
        <v>3</v>
      </c>
      <c r="G1247" s="1363">
        <v>4.26</v>
      </c>
      <c r="H1247" s="1363">
        <v>0</v>
      </c>
      <c r="I1247" s="1336">
        <f t="shared" si="125"/>
        <v>12.78</v>
      </c>
      <c r="J1247" s="1168" t="s">
        <v>102</v>
      </c>
      <c r="K1247" s="1169"/>
      <c r="L1247" s="1159"/>
      <c r="M1247" s="1169"/>
      <c r="N1247" s="1161" t="s">
        <v>2317</v>
      </c>
    </row>
    <row r="1248" spans="1:14" s="1170" customFormat="1" ht="16.5" hidden="1" customHeight="1">
      <c r="A1248" s="1156"/>
      <c r="B1248" s="1359" t="s">
        <v>3363</v>
      </c>
      <c r="C1248" s="1360">
        <v>1</v>
      </c>
      <c r="D1248" s="1361" t="s">
        <v>273</v>
      </c>
      <c r="E1248" s="1362">
        <v>1</v>
      </c>
      <c r="F1248" s="1363">
        <v>3</v>
      </c>
      <c r="G1248" s="1363">
        <v>4.26</v>
      </c>
      <c r="H1248" s="1363">
        <v>0</v>
      </c>
      <c r="I1248" s="1336">
        <f t="shared" si="125"/>
        <v>12.78</v>
      </c>
      <c r="J1248" s="1168" t="s">
        <v>102</v>
      </c>
      <c r="K1248" s="1169"/>
      <c r="L1248" s="1159"/>
      <c r="M1248" s="1169"/>
      <c r="N1248" s="1161" t="s">
        <v>2317</v>
      </c>
    </row>
    <row r="1249" spans="1:14" s="1170" customFormat="1" ht="16.5" hidden="1" customHeight="1">
      <c r="A1249" s="1156"/>
      <c r="B1249" s="1331"/>
      <c r="C1249" s="1332"/>
      <c r="D1249" s="1333"/>
      <c r="E1249" s="1334"/>
      <c r="F1249" s="1335"/>
      <c r="G1249" s="1335"/>
      <c r="H1249" s="1335"/>
      <c r="I1249" s="1336"/>
      <c r="J1249" s="1168"/>
      <c r="K1249" s="1169"/>
      <c r="L1249" s="1159"/>
      <c r="M1249" s="1169"/>
      <c r="N1249" s="1161" t="s">
        <v>2317</v>
      </c>
    </row>
    <row r="1250" spans="1:14" ht="15.75" hidden="1">
      <c r="A1250" s="1156"/>
      <c r="B1250" s="1169"/>
      <c r="C1250" s="1337"/>
      <c r="D1250" s="1171"/>
      <c r="E1250" s="1165"/>
      <c r="F1250" s="1166"/>
      <c r="G1250" s="1343"/>
      <c r="H1250" s="1156"/>
      <c r="I1250" s="1336"/>
      <c r="J1250" s="1168" t="s">
        <v>102</v>
      </c>
      <c r="K1250" s="1221">
        <f>data!E2514</f>
        <v>1041.26</v>
      </c>
      <c r="L1250" s="1159" t="s">
        <v>2317</v>
      </c>
      <c r="M1250" s="1224">
        <f>ROUND(I1250*K1250,0)</f>
        <v>0</v>
      </c>
      <c r="N1250" s="1161" t="s">
        <v>2317</v>
      </c>
    </row>
    <row r="1251" spans="1:14" ht="106.5" hidden="1" customHeight="1">
      <c r="A1251" s="1156">
        <v>21</v>
      </c>
      <c r="B1251" s="1826" t="s">
        <v>212</v>
      </c>
      <c r="C1251" s="1826"/>
      <c r="D1251" s="1828"/>
      <c r="E1251" s="1826"/>
      <c r="F1251" s="1826"/>
      <c r="G1251" s="1826"/>
      <c r="H1251" s="1826"/>
      <c r="I1251" s="1157"/>
      <c r="J1251" s="1158"/>
      <c r="K1251" s="1156"/>
      <c r="L1251" s="1159"/>
      <c r="M1251" s="1160"/>
      <c r="N1251" s="1161" t="s">
        <v>2318</v>
      </c>
    </row>
    <row r="1252" spans="1:14" s="1170" customFormat="1" ht="16.5" hidden="1" customHeight="1">
      <c r="A1252" s="1156"/>
      <c r="B1252" s="1169" t="s">
        <v>3396</v>
      </c>
      <c r="C1252" s="1351"/>
      <c r="D1252" s="1418"/>
      <c r="E1252" s="1352"/>
      <c r="F1252" s="1234"/>
      <c r="G1252" s="1234"/>
      <c r="H1252" s="1235"/>
      <c r="I1252" s="1353"/>
      <c r="J1252" s="1168"/>
      <c r="K1252" s="1169"/>
      <c r="L1252" s="1159"/>
      <c r="M1252" s="1169"/>
      <c r="N1252" s="1161" t="s">
        <v>2318</v>
      </c>
    </row>
    <row r="1253" spans="1:14" s="1170" customFormat="1" ht="16.5" hidden="1" customHeight="1">
      <c r="A1253" s="1156"/>
      <c r="B1253" s="1359" t="s">
        <v>3359</v>
      </c>
      <c r="C1253" s="1360">
        <v>1</v>
      </c>
      <c r="D1253" s="1361" t="s">
        <v>273</v>
      </c>
      <c r="E1253" s="1362">
        <v>1</v>
      </c>
      <c r="F1253" s="1363">
        <v>9.25</v>
      </c>
      <c r="G1253" s="1363">
        <v>5.65</v>
      </c>
      <c r="H1253" s="1363">
        <v>0</v>
      </c>
      <c r="I1253" s="1336">
        <f t="shared" ref="I1253:I1256" si="126">ROUND(IF(AND(F1253:H1253),C1253*E1253*F1253*G1253*H1253,IF(AND(F1253,G1253),C1253*E1253*F1253*G1253,IF(AND(F1253,H1253),C1253*E1253*F1253*H1253,IF(AND(G1253,H1253),C1253*E1253*G1253*H1253,IF(F1253,C1253*E1253*F1253,IF(G1253,C1253*E1253*G1253,IF(H1253,C1253*E1253*H1253,C1253*E1253))))))),2)</f>
        <v>52.26</v>
      </c>
      <c r="J1253" s="1168" t="s">
        <v>102</v>
      </c>
      <c r="K1253" s="1169"/>
      <c r="L1253" s="1159"/>
      <c r="M1253" s="1169"/>
      <c r="N1253" s="1161" t="s">
        <v>2318</v>
      </c>
    </row>
    <row r="1254" spans="1:14" s="1170" customFormat="1" ht="16.5" hidden="1" customHeight="1">
      <c r="A1254" s="1156"/>
      <c r="B1254" s="1359" t="s">
        <v>3422</v>
      </c>
      <c r="C1254" s="1360">
        <v>1</v>
      </c>
      <c r="D1254" s="1361" t="s">
        <v>273</v>
      </c>
      <c r="E1254" s="1362">
        <v>2</v>
      </c>
      <c r="F1254" s="1363">
        <v>3</v>
      </c>
      <c r="G1254" s="1363">
        <v>4.2</v>
      </c>
      <c r="H1254" s="1363">
        <v>0</v>
      </c>
      <c r="I1254" s="1336">
        <f t="shared" si="126"/>
        <v>25.2</v>
      </c>
      <c r="J1254" s="1168" t="s">
        <v>102</v>
      </c>
      <c r="K1254" s="1169"/>
      <c r="L1254" s="1159"/>
      <c r="M1254" s="1169"/>
      <c r="N1254" s="1161" t="s">
        <v>2318</v>
      </c>
    </row>
    <row r="1255" spans="1:14" s="1170" customFormat="1" ht="16.5" hidden="1" customHeight="1">
      <c r="A1255" s="1156"/>
      <c r="B1255" s="1359" t="s">
        <v>586</v>
      </c>
      <c r="C1255" s="1360">
        <v>1</v>
      </c>
      <c r="D1255" s="1361" t="s">
        <v>273</v>
      </c>
      <c r="E1255" s="1362">
        <v>1</v>
      </c>
      <c r="F1255" s="1363">
        <v>2.95</v>
      </c>
      <c r="G1255" s="1363">
        <v>4.2</v>
      </c>
      <c r="H1255" s="1363">
        <v>0</v>
      </c>
      <c r="I1255" s="1336">
        <f t="shared" si="126"/>
        <v>12.39</v>
      </c>
      <c r="J1255" s="1168" t="s">
        <v>102</v>
      </c>
      <c r="K1255" s="1169"/>
      <c r="L1255" s="1159"/>
      <c r="M1255" s="1169"/>
      <c r="N1255" s="1161" t="s">
        <v>2318</v>
      </c>
    </row>
    <row r="1256" spans="1:14" s="1170" customFormat="1" ht="16.5" hidden="1" customHeight="1">
      <c r="A1256" s="1156"/>
      <c r="B1256" s="1359" t="s">
        <v>578</v>
      </c>
      <c r="C1256" s="1360">
        <v>1</v>
      </c>
      <c r="D1256" s="1361" t="s">
        <v>273</v>
      </c>
      <c r="E1256" s="1362">
        <v>1</v>
      </c>
      <c r="F1256" s="1363">
        <v>9.84</v>
      </c>
      <c r="G1256" s="1363">
        <v>1.07</v>
      </c>
      <c r="H1256" s="1363">
        <v>0</v>
      </c>
      <c r="I1256" s="1336">
        <f t="shared" si="126"/>
        <v>10.53</v>
      </c>
      <c r="J1256" s="1168" t="s">
        <v>102</v>
      </c>
      <c r="K1256" s="1169"/>
      <c r="L1256" s="1159"/>
      <c r="M1256" s="1169"/>
      <c r="N1256" s="1161" t="s">
        <v>2318</v>
      </c>
    </row>
    <row r="1257" spans="1:14" s="1170" customFormat="1" ht="16.5" hidden="1" customHeight="1">
      <c r="A1257" s="1156"/>
      <c r="B1257" s="1359" t="s">
        <v>3423</v>
      </c>
      <c r="C1257" s="1360">
        <v>1</v>
      </c>
      <c r="D1257" s="1361" t="s">
        <v>273</v>
      </c>
      <c r="E1257" s="1362">
        <v>4</v>
      </c>
      <c r="F1257" s="1363">
        <v>0.3</v>
      </c>
      <c r="G1257" s="1363">
        <v>0.3</v>
      </c>
      <c r="H1257" s="1363">
        <v>0</v>
      </c>
      <c r="I1257" s="1336">
        <f>-ROUND(IF(AND(F1257:H1257),C1257*E1257*F1257*G1257*H1257,IF(AND(F1257,G1257),C1257*E1257*F1257*G1257,IF(AND(F1257,H1257),C1257*E1257*F1257*H1257,IF(AND(G1257,H1257),C1257*E1257*G1257*H1257,IF(F1257,C1257*E1257*F1257,IF(G1257,C1257*E1257*G1257,IF(H1257,C1257*E1257*H1257,C1257*E1257))))))),2)</f>
        <v>-0.36</v>
      </c>
      <c r="J1257" s="1168" t="s">
        <v>102</v>
      </c>
      <c r="K1257" s="1169"/>
      <c r="L1257" s="1159"/>
      <c r="M1257" s="1169"/>
      <c r="N1257" s="1161" t="s">
        <v>2318</v>
      </c>
    </row>
    <row r="1258" spans="1:14" s="1170" customFormat="1" ht="16.5" hidden="1" customHeight="1">
      <c r="A1258" s="1156"/>
      <c r="B1258" s="1331"/>
      <c r="C1258" s="1332"/>
      <c r="D1258" s="1333"/>
      <c r="E1258" s="1334"/>
      <c r="F1258" s="1335"/>
      <c r="G1258" s="1335"/>
      <c r="H1258" s="1335"/>
      <c r="I1258" s="1336"/>
      <c r="J1258" s="1168"/>
      <c r="K1258" s="1169"/>
      <c r="L1258" s="1159"/>
      <c r="M1258" s="1169"/>
      <c r="N1258" s="1161" t="s">
        <v>2318</v>
      </c>
    </row>
    <row r="1259" spans="1:14" ht="15.75" hidden="1">
      <c r="A1259" s="1156"/>
      <c r="B1259" s="1169"/>
      <c r="C1259" s="1337"/>
      <c r="D1259" s="1171"/>
      <c r="E1259" s="1165"/>
      <c r="F1259" s="1166"/>
      <c r="G1259" s="1343"/>
      <c r="H1259" s="1156"/>
      <c r="I1259" s="1336"/>
      <c r="J1259" s="1168" t="s">
        <v>102</v>
      </c>
      <c r="K1259" s="1221">
        <f>data!E3431</f>
        <v>1067.3599999999999</v>
      </c>
      <c r="L1259" s="1159" t="s">
        <v>2318</v>
      </c>
      <c r="M1259" s="1224">
        <f>ROUND(I1259*K1259,0)</f>
        <v>0</v>
      </c>
      <c r="N1259" s="1161" t="s">
        <v>2318</v>
      </c>
    </row>
    <row r="1260" spans="1:14" ht="79.5" hidden="1" customHeight="1">
      <c r="A1260" s="1156">
        <v>26</v>
      </c>
      <c r="B1260" s="1826" t="s">
        <v>213</v>
      </c>
      <c r="C1260" s="1826"/>
      <c r="D1260" s="1826"/>
      <c r="E1260" s="1826"/>
      <c r="F1260" s="1826"/>
      <c r="G1260" s="1826"/>
      <c r="H1260" s="1826"/>
      <c r="I1260" s="1157"/>
      <c r="J1260" s="1158"/>
      <c r="K1260" s="1156"/>
      <c r="L1260" s="1159"/>
      <c r="M1260" s="1160"/>
      <c r="N1260" s="1161" t="s">
        <v>2218</v>
      </c>
    </row>
    <row r="1261" spans="1:14" s="1170" customFormat="1" ht="16.5" hidden="1" customHeight="1">
      <c r="A1261" s="1156"/>
      <c r="B1261" s="1169" t="s">
        <v>3497</v>
      </c>
      <c r="C1261" s="1351"/>
      <c r="D1261" s="1418"/>
      <c r="E1261" s="1352"/>
      <c r="F1261" s="1234"/>
      <c r="G1261" s="1234"/>
      <c r="H1261" s="1235"/>
      <c r="I1261" s="1353"/>
      <c r="J1261" s="1168"/>
      <c r="K1261" s="1169"/>
      <c r="L1261" s="1159"/>
      <c r="M1261" s="1169"/>
      <c r="N1261" s="1161" t="s">
        <v>2218</v>
      </c>
    </row>
    <row r="1262" spans="1:14" s="1170" customFormat="1" ht="16.5" hidden="1" customHeight="1">
      <c r="A1262" s="1156"/>
      <c r="B1262" s="1359" t="s">
        <v>799</v>
      </c>
      <c r="C1262" s="1360">
        <v>1</v>
      </c>
      <c r="D1262" s="1361" t="s">
        <v>273</v>
      </c>
      <c r="E1262" s="1362">
        <v>1</v>
      </c>
      <c r="F1262" s="1363">
        <v>20.7</v>
      </c>
      <c r="G1262" s="1363">
        <v>0</v>
      </c>
      <c r="H1262" s="1363">
        <v>0.1</v>
      </c>
      <c r="I1262" s="1336">
        <f>ROUND(IF(AND(F1262:H1262),C1262*E1262*F1262*G1262*H1262,IF(AND(F1262,G1262),C1262*E1262*F1262*G1262,IF(AND(F1262,H1262),C1262*E1262*F1262*H1262,IF(AND(G1262,H1262),C1262*E1262*G1262*H1262,IF(F1262,C1262*E1262*F1262,IF(G1262,C1262*E1262*G1262,IF(H1262,C1262*E1262*H1262,C1262*E1262))))))),2)</f>
        <v>2.0699999999999998</v>
      </c>
      <c r="J1262" s="1168" t="s">
        <v>102</v>
      </c>
      <c r="K1262" s="1169"/>
      <c r="L1262" s="1159"/>
      <c r="M1262" s="1169"/>
      <c r="N1262" s="1161" t="s">
        <v>2218</v>
      </c>
    </row>
    <row r="1263" spans="1:14" s="1170" customFormat="1" ht="16.5" hidden="1" customHeight="1">
      <c r="A1263" s="1156"/>
      <c r="B1263" s="1359" t="s">
        <v>1549</v>
      </c>
      <c r="C1263" s="1360">
        <v>1</v>
      </c>
      <c r="D1263" s="1361" t="s">
        <v>273</v>
      </c>
      <c r="E1263" s="1362">
        <v>1</v>
      </c>
      <c r="F1263" s="1363">
        <v>10.52</v>
      </c>
      <c r="G1263" s="1363">
        <v>0</v>
      </c>
      <c r="H1263" s="1363">
        <v>0.1</v>
      </c>
      <c r="I1263" s="1336">
        <f>ROUND(IF(AND(F1263:H1263),C1263*E1263*F1263*G1263*H1263,IF(AND(F1263,G1263),C1263*E1263*F1263*G1263,IF(AND(F1263,H1263),C1263*E1263*F1263*H1263,IF(AND(G1263,H1263),C1263*E1263*G1263*H1263,IF(F1263,C1263*E1263*F1263,IF(G1263,C1263*E1263*G1263,IF(H1263,C1263*E1263*H1263,C1263*E1263))))))),2)</f>
        <v>1.05</v>
      </c>
      <c r="J1263" s="1168" t="s">
        <v>102</v>
      </c>
      <c r="K1263" s="1169"/>
      <c r="L1263" s="1159"/>
      <c r="M1263" s="1169"/>
      <c r="N1263" s="1161" t="s">
        <v>2218</v>
      </c>
    </row>
    <row r="1264" spans="1:14" s="1170" customFormat="1" ht="16.5" hidden="1" customHeight="1">
      <c r="A1264" s="1156"/>
      <c r="B1264" s="1359" t="s">
        <v>578</v>
      </c>
      <c r="C1264" s="1360">
        <v>1</v>
      </c>
      <c r="D1264" s="1361" t="s">
        <v>273</v>
      </c>
      <c r="E1264" s="1362">
        <v>1</v>
      </c>
      <c r="F1264" s="1363">
        <v>7.6</v>
      </c>
      <c r="G1264" s="1363">
        <v>0</v>
      </c>
      <c r="H1264" s="1363">
        <v>0.1</v>
      </c>
      <c r="I1264" s="1336">
        <f>ROUND(IF(AND(F1264:H1264),C1264*E1264*F1264*G1264*H1264,IF(AND(F1264,G1264),C1264*E1264*F1264*G1264,IF(AND(F1264,H1264),C1264*E1264*F1264*H1264,IF(AND(G1264,H1264),C1264*E1264*G1264*H1264,IF(F1264,C1264*E1264*F1264,IF(G1264,C1264*E1264*G1264,IF(H1264,C1264*E1264*H1264,C1264*E1264))))))),2)</f>
        <v>0.76</v>
      </c>
      <c r="J1264" s="1168" t="s">
        <v>102</v>
      </c>
      <c r="K1264" s="1169"/>
      <c r="L1264" s="1159"/>
      <c r="M1264" s="1169"/>
      <c r="N1264" s="1161" t="s">
        <v>2218</v>
      </c>
    </row>
    <row r="1265" spans="1:14" s="1170" customFormat="1" ht="16.5" hidden="1" customHeight="1">
      <c r="A1265" s="1156"/>
      <c r="B1265" s="1331"/>
      <c r="C1265" s="1332"/>
      <c r="D1265" s="1333"/>
      <c r="E1265" s="1334"/>
      <c r="F1265" s="1335"/>
      <c r="G1265" s="1335"/>
      <c r="H1265" s="1335"/>
      <c r="I1265" s="1336"/>
      <c r="J1265" s="1168"/>
      <c r="K1265" s="1169"/>
      <c r="L1265" s="1159"/>
      <c r="M1265" s="1169"/>
      <c r="N1265" s="1161" t="s">
        <v>2218</v>
      </c>
    </row>
    <row r="1266" spans="1:14" ht="15.75" hidden="1">
      <c r="A1266" s="1156"/>
      <c r="B1266" s="1169"/>
      <c r="C1266" s="1337"/>
      <c r="D1266" s="1171"/>
      <c r="E1266" s="1165"/>
      <c r="F1266" s="1166"/>
      <c r="G1266" s="1343"/>
      <c r="H1266" s="1156"/>
      <c r="I1266" s="1336"/>
      <c r="J1266" s="1168" t="s">
        <v>102</v>
      </c>
      <c r="K1266" s="1221">
        <f>data!E698</f>
        <v>986.97</v>
      </c>
      <c r="L1266" s="1159" t="s">
        <v>2218</v>
      </c>
      <c r="M1266" s="1224">
        <f>ROUND(I1266*K1266,0)</f>
        <v>0</v>
      </c>
      <c r="N1266" s="1161" t="s">
        <v>2218</v>
      </c>
    </row>
    <row r="1267" spans="1:14" ht="79.5" hidden="1" customHeight="1">
      <c r="A1267" s="1156">
        <v>24</v>
      </c>
      <c r="B1267" s="1826" t="s">
        <v>213</v>
      </c>
      <c r="C1267" s="1826"/>
      <c r="D1267" s="1826"/>
      <c r="E1267" s="1826"/>
      <c r="F1267" s="1826"/>
      <c r="G1267" s="1826"/>
      <c r="H1267" s="1826"/>
      <c r="I1267" s="1157"/>
      <c r="J1267" s="1158"/>
      <c r="K1267" s="1156"/>
      <c r="L1267" s="1159"/>
      <c r="M1267" s="1160"/>
      <c r="N1267" s="1161" t="s">
        <v>2306</v>
      </c>
    </row>
    <row r="1268" spans="1:14" s="1170" customFormat="1" ht="16.5" hidden="1" customHeight="1">
      <c r="A1268" s="1156"/>
      <c r="B1268" s="1169" t="s">
        <v>3034</v>
      </c>
      <c r="C1268" s="1351"/>
      <c r="D1268" s="1418"/>
      <c r="E1268" s="1352"/>
      <c r="F1268" s="1234"/>
      <c r="G1268" s="1234"/>
      <c r="H1268" s="1235"/>
      <c r="I1268" s="1353"/>
      <c r="J1268" s="1168"/>
      <c r="K1268" s="1169"/>
      <c r="L1268" s="1159"/>
      <c r="M1268" s="1169"/>
      <c r="N1268" s="1161" t="s">
        <v>2306</v>
      </c>
    </row>
    <row r="1269" spans="1:14" s="1170" customFormat="1" ht="16.5" hidden="1" customHeight="1">
      <c r="A1269" s="1156"/>
      <c r="B1269" s="1359" t="s">
        <v>799</v>
      </c>
      <c r="C1269" s="1360">
        <v>1</v>
      </c>
      <c r="D1269" s="1361" t="s">
        <v>273</v>
      </c>
      <c r="E1269" s="1362">
        <v>1</v>
      </c>
      <c r="F1269" s="1363">
        <v>26.6</v>
      </c>
      <c r="G1269" s="1363">
        <v>0</v>
      </c>
      <c r="H1269" s="1363">
        <v>0.1</v>
      </c>
      <c r="I1269" s="1336">
        <f t="shared" ref="I1269" si="127">ROUND(IF(AND(F1269:H1269),C1269*E1269*F1269*G1269*H1269,IF(AND(F1269,G1269),C1269*E1269*F1269*G1269,IF(AND(F1269,H1269),C1269*E1269*F1269*H1269,IF(AND(G1269,H1269),C1269*E1269*G1269*H1269,IF(F1269,C1269*E1269*F1269,IF(G1269,C1269*E1269*G1269,IF(H1269,C1269*E1269*H1269,C1269*E1269))))))),2)</f>
        <v>2.66</v>
      </c>
      <c r="J1269" s="1168" t="s">
        <v>102</v>
      </c>
      <c r="K1269" s="1169"/>
      <c r="L1269" s="1159"/>
      <c r="M1269" s="1169"/>
      <c r="N1269" s="1161" t="s">
        <v>2306</v>
      </c>
    </row>
    <row r="1270" spans="1:14" s="1170" customFormat="1" ht="16.5" hidden="1" customHeight="1">
      <c r="A1270" s="1156"/>
      <c r="B1270" s="1359" t="s">
        <v>579</v>
      </c>
      <c r="C1270" s="1360">
        <v>1</v>
      </c>
      <c r="D1270" s="1361" t="s">
        <v>273</v>
      </c>
      <c r="E1270" s="1362">
        <v>1</v>
      </c>
      <c r="F1270" s="1363">
        <v>1.2</v>
      </c>
      <c r="G1270" s="1363">
        <v>0</v>
      </c>
      <c r="H1270" s="1363">
        <v>0.1</v>
      </c>
      <c r="I1270" s="1336">
        <f>-ROUND(IF(AND(F1270:H1270),C1270*E1270*F1270*G1270*H1270,IF(AND(F1270,G1270),C1270*E1270*F1270*G1270,IF(AND(F1270,H1270),C1270*E1270*F1270*H1270,IF(AND(G1270,H1270),C1270*E1270*G1270*H1270,IF(F1270,C1270*E1270*F1270,IF(G1270,C1270*E1270*G1270,IF(H1270,C1270*E1270*H1270,C1270*E1270))))))),2)</f>
        <v>-0.12</v>
      </c>
      <c r="J1270" s="1168" t="s">
        <v>102</v>
      </c>
      <c r="K1270" s="1169"/>
      <c r="L1270" s="1159"/>
      <c r="M1270" s="1169"/>
      <c r="N1270" s="1161" t="s">
        <v>2306</v>
      </c>
    </row>
    <row r="1271" spans="1:14" s="1170" customFormat="1" ht="16.5" hidden="1" customHeight="1">
      <c r="A1271" s="1156"/>
      <c r="B1271" s="1359" t="s">
        <v>3032</v>
      </c>
      <c r="C1271" s="1360">
        <v>1</v>
      </c>
      <c r="D1271" s="1361" t="s">
        <v>273</v>
      </c>
      <c r="E1271" s="1362">
        <v>2</v>
      </c>
      <c r="F1271" s="1363">
        <v>1.05</v>
      </c>
      <c r="G1271" s="1363">
        <v>0</v>
      </c>
      <c r="H1271" s="1363">
        <v>0.1</v>
      </c>
      <c r="I1271" s="1336">
        <f>-ROUND(IF(AND(F1271:H1271),C1271*E1271*F1271*G1271*H1271,IF(AND(F1271,G1271),C1271*E1271*F1271*G1271,IF(AND(F1271,H1271),C1271*E1271*F1271*H1271,IF(AND(G1271,H1271),C1271*E1271*G1271*H1271,IF(F1271,C1271*E1271*F1271,IF(G1271,C1271*E1271*G1271,IF(H1271,C1271*E1271*H1271,C1271*E1271))))))),2)</f>
        <v>-0.21</v>
      </c>
      <c r="J1271" s="1168" t="s">
        <v>102</v>
      </c>
      <c r="K1271" s="1169"/>
      <c r="L1271" s="1159"/>
      <c r="M1271" s="1169"/>
      <c r="N1271" s="1161" t="s">
        <v>2306</v>
      </c>
    </row>
    <row r="1272" spans="1:14" s="1170" customFormat="1" ht="16.5" hidden="1" customHeight="1">
      <c r="A1272" s="1156"/>
      <c r="B1272" s="1359" t="s">
        <v>3033</v>
      </c>
      <c r="C1272" s="1360">
        <v>1</v>
      </c>
      <c r="D1272" s="1361" t="s">
        <v>273</v>
      </c>
      <c r="E1272" s="1362">
        <v>1</v>
      </c>
      <c r="F1272" s="1363">
        <v>2.75</v>
      </c>
      <c r="G1272" s="1363">
        <v>0</v>
      </c>
      <c r="H1272" s="1363">
        <v>0.1</v>
      </c>
      <c r="I1272" s="1336">
        <f>-ROUND(IF(AND(F1272:H1272),C1272*E1272*F1272*G1272*H1272,IF(AND(F1272,G1272),C1272*E1272*F1272*G1272,IF(AND(F1272,H1272),C1272*E1272*F1272*H1272,IF(AND(G1272,H1272),C1272*E1272*G1272*H1272,IF(F1272,C1272*E1272*F1272,IF(G1272,C1272*E1272*G1272,IF(H1272,C1272*E1272*H1272,C1272*E1272))))))),2)</f>
        <v>-0.28000000000000003</v>
      </c>
      <c r="J1272" s="1168" t="s">
        <v>102</v>
      </c>
      <c r="K1272" s="1169"/>
      <c r="L1272" s="1159"/>
      <c r="M1272" s="1169"/>
      <c r="N1272" s="1161" t="s">
        <v>2306</v>
      </c>
    </row>
    <row r="1273" spans="1:14" s="1170" customFormat="1" ht="16.5" hidden="1" customHeight="1">
      <c r="A1273" s="1156"/>
      <c r="B1273" s="1359" t="s">
        <v>650</v>
      </c>
      <c r="C1273" s="1360">
        <v>1</v>
      </c>
      <c r="D1273" s="1361" t="s">
        <v>273</v>
      </c>
      <c r="E1273" s="1362">
        <v>1</v>
      </c>
      <c r="F1273" s="1363">
        <v>11.8</v>
      </c>
      <c r="G1273" s="1363">
        <v>0</v>
      </c>
      <c r="H1273" s="1363">
        <v>0.1</v>
      </c>
      <c r="I1273" s="1336">
        <f t="shared" ref="I1273:I1276" si="128">ROUND(IF(AND(F1273:H1273),C1273*E1273*F1273*G1273*H1273,IF(AND(F1273,G1273),C1273*E1273*F1273*G1273,IF(AND(F1273,H1273),C1273*E1273*F1273*H1273,IF(AND(G1273,H1273),C1273*E1273*G1273*H1273,IF(F1273,C1273*E1273*F1273,IF(G1273,C1273*E1273*G1273,IF(H1273,C1273*E1273*H1273,C1273*E1273))))))),2)</f>
        <v>1.18</v>
      </c>
      <c r="J1273" s="1168" t="s">
        <v>102</v>
      </c>
      <c r="K1273" s="1169"/>
      <c r="L1273" s="1159"/>
      <c r="M1273" s="1169"/>
      <c r="N1273" s="1161" t="s">
        <v>2306</v>
      </c>
    </row>
    <row r="1274" spans="1:14" s="1170" customFormat="1" ht="16.5" hidden="1" customHeight="1">
      <c r="A1274" s="1156"/>
      <c r="B1274" s="1359" t="s">
        <v>2993</v>
      </c>
      <c r="C1274" s="1360">
        <v>1</v>
      </c>
      <c r="D1274" s="1361" t="s">
        <v>273</v>
      </c>
      <c r="E1274" s="1362">
        <v>1</v>
      </c>
      <c r="F1274" s="1363">
        <v>11.8</v>
      </c>
      <c r="G1274" s="1363">
        <v>0</v>
      </c>
      <c r="H1274" s="1363">
        <v>0.1</v>
      </c>
      <c r="I1274" s="1336">
        <f t="shared" si="128"/>
        <v>1.18</v>
      </c>
      <c r="J1274" s="1168" t="s">
        <v>102</v>
      </c>
      <c r="K1274" s="1169"/>
      <c r="L1274" s="1159"/>
      <c r="M1274" s="1169"/>
      <c r="N1274" s="1161" t="s">
        <v>2306</v>
      </c>
    </row>
    <row r="1275" spans="1:14" s="1170" customFormat="1" ht="16.5" hidden="1" customHeight="1">
      <c r="A1275" s="1156"/>
      <c r="B1275" s="1359" t="s">
        <v>579</v>
      </c>
      <c r="C1275" s="1360">
        <v>1</v>
      </c>
      <c r="D1275" s="1361" t="s">
        <v>273</v>
      </c>
      <c r="E1275" s="1362">
        <v>2</v>
      </c>
      <c r="F1275" s="1363">
        <v>1.05</v>
      </c>
      <c r="G1275" s="1363">
        <v>0</v>
      </c>
      <c r="H1275" s="1363">
        <v>0.1</v>
      </c>
      <c r="I1275" s="1336">
        <f>-ROUND(IF(AND(F1275:H1275),C1275*E1275*F1275*G1275*H1275,IF(AND(F1275,G1275),C1275*E1275*F1275*G1275,IF(AND(F1275,H1275),C1275*E1275*F1275*H1275,IF(AND(G1275,H1275),C1275*E1275*G1275*H1275,IF(F1275,C1275*E1275*F1275,IF(G1275,C1275*E1275*G1275,IF(H1275,C1275*E1275*H1275,C1275*E1275))))))),2)</f>
        <v>-0.21</v>
      </c>
      <c r="J1275" s="1168" t="s">
        <v>102</v>
      </c>
      <c r="K1275" s="1169"/>
      <c r="L1275" s="1159"/>
      <c r="M1275" s="1169"/>
      <c r="N1275" s="1161" t="s">
        <v>2306</v>
      </c>
    </row>
    <row r="1276" spans="1:14" s="1170" customFormat="1" ht="16.5" hidden="1" customHeight="1">
      <c r="A1276" s="1156"/>
      <c r="B1276" s="1359" t="s">
        <v>3027</v>
      </c>
      <c r="C1276" s="1360">
        <v>1</v>
      </c>
      <c r="D1276" s="1361" t="s">
        <v>273</v>
      </c>
      <c r="E1276" s="1362">
        <v>1</v>
      </c>
      <c r="F1276" s="1363">
        <v>6</v>
      </c>
      <c r="G1276" s="1363">
        <v>0</v>
      </c>
      <c r="H1276" s="1363">
        <v>0.1</v>
      </c>
      <c r="I1276" s="1336">
        <f t="shared" si="128"/>
        <v>0.6</v>
      </c>
      <c r="J1276" s="1168" t="s">
        <v>102</v>
      </c>
      <c r="K1276" s="1169"/>
      <c r="L1276" s="1159"/>
      <c r="M1276" s="1169"/>
      <c r="N1276" s="1161" t="s">
        <v>2306</v>
      </c>
    </row>
    <row r="1277" spans="1:14" s="1170" customFormat="1" ht="16.5" hidden="1" customHeight="1">
      <c r="A1277" s="1156"/>
      <c r="B1277" s="1331"/>
      <c r="C1277" s="1332"/>
      <c r="D1277" s="1333"/>
      <c r="E1277" s="1334"/>
      <c r="F1277" s="1335"/>
      <c r="G1277" s="1335"/>
      <c r="H1277" s="1335"/>
      <c r="I1277" s="1336"/>
      <c r="J1277" s="1168"/>
      <c r="K1277" s="1169"/>
      <c r="L1277" s="1159"/>
      <c r="M1277" s="1169"/>
      <c r="N1277" s="1161" t="s">
        <v>2306</v>
      </c>
    </row>
    <row r="1278" spans="1:14" ht="15.75" hidden="1">
      <c r="A1278" s="1156"/>
      <c r="B1278" s="1169"/>
      <c r="C1278" s="1337"/>
      <c r="D1278" s="1171"/>
      <c r="E1278" s="1165"/>
      <c r="F1278" s="1166"/>
      <c r="G1278" s="1343"/>
      <c r="H1278" s="1156"/>
      <c r="I1278" s="1336"/>
      <c r="J1278" s="1168" t="s">
        <v>102</v>
      </c>
      <c r="K1278" s="1221">
        <f>data!E1615</f>
        <v>1015.1</v>
      </c>
      <c r="L1278" s="1159" t="s">
        <v>2306</v>
      </c>
      <c r="M1278" s="1224">
        <f>ROUND(I1278*K1278,0)</f>
        <v>0</v>
      </c>
      <c r="N1278" s="1161" t="s">
        <v>2306</v>
      </c>
    </row>
    <row r="1279" spans="1:14" ht="79.5" hidden="1" customHeight="1">
      <c r="A1279" s="1156">
        <v>29</v>
      </c>
      <c r="B1279" s="1826" t="s">
        <v>213</v>
      </c>
      <c r="C1279" s="1826"/>
      <c r="D1279" s="1826"/>
      <c r="E1279" s="1826"/>
      <c r="F1279" s="1826"/>
      <c r="G1279" s="1826"/>
      <c r="H1279" s="1826"/>
      <c r="I1279" s="1157"/>
      <c r="J1279" s="1158"/>
      <c r="K1279" s="1156"/>
      <c r="L1279" s="1159"/>
      <c r="M1279" s="1160"/>
      <c r="N1279" s="1161" t="s">
        <v>2317</v>
      </c>
    </row>
    <row r="1280" spans="1:14" s="1170" customFormat="1" ht="16.5" hidden="1" customHeight="1">
      <c r="A1280" s="1156"/>
      <c r="B1280" s="1163" t="s">
        <v>3707</v>
      </c>
      <c r="C1280" s="1351"/>
      <c r="D1280" s="1548" t="s">
        <v>3743</v>
      </c>
      <c r="E1280" s="1352"/>
      <c r="F1280" s="1234"/>
      <c r="G1280" s="1234"/>
      <c r="H1280" s="1235"/>
      <c r="I1280" s="1353"/>
      <c r="J1280" s="1168"/>
      <c r="K1280" s="1169"/>
      <c r="L1280" s="1159"/>
      <c r="M1280" s="1169"/>
      <c r="N1280" s="1161" t="s">
        <v>2317</v>
      </c>
    </row>
    <row r="1281" spans="1:14" s="1170" customFormat="1" ht="16.5" hidden="1" customHeight="1">
      <c r="A1281" s="1156"/>
      <c r="B1281" s="1359" t="s">
        <v>3359</v>
      </c>
      <c r="C1281" s="1360">
        <v>1</v>
      </c>
      <c r="D1281" s="1361" t="s">
        <v>273</v>
      </c>
      <c r="E1281" s="1362">
        <v>1</v>
      </c>
      <c r="F1281" s="1363">
        <v>30</v>
      </c>
      <c r="G1281" s="1363">
        <v>0</v>
      </c>
      <c r="H1281" s="1363">
        <v>0.1</v>
      </c>
      <c r="I1281" s="1336">
        <f t="shared" ref="I1281:I1284" si="129">ROUND(IF(AND(F1281:H1281),C1281*E1281*F1281*G1281*H1281,IF(AND(F1281,G1281),C1281*E1281*F1281*G1281,IF(AND(F1281,H1281),C1281*E1281*F1281*H1281,IF(AND(G1281,H1281),C1281*E1281*G1281*H1281,IF(F1281,C1281*E1281*F1281,IF(G1281,C1281*E1281*G1281,IF(H1281,C1281*E1281*H1281,C1281*E1281))))))),2)</f>
        <v>3</v>
      </c>
      <c r="J1281" s="1168" t="s">
        <v>102</v>
      </c>
      <c r="K1281" s="1169"/>
      <c r="L1281" s="1159"/>
      <c r="M1281" s="1169"/>
      <c r="N1281" s="1161" t="s">
        <v>2317</v>
      </c>
    </row>
    <row r="1282" spans="1:14" s="1170" customFormat="1" ht="16.5" hidden="1" customHeight="1">
      <c r="A1282" s="1156"/>
      <c r="B1282" s="1359" t="s">
        <v>3422</v>
      </c>
      <c r="C1282" s="1360">
        <v>1</v>
      </c>
      <c r="D1282" s="1361" t="s">
        <v>273</v>
      </c>
      <c r="E1282" s="1362">
        <v>1</v>
      </c>
      <c r="F1282" s="1363">
        <v>14.52</v>
      </c>
      <c r="G1282" s="1363">
        <v>0</v>
      </c>
      <c r="H1282" s="1363">
        <v>0.1</v>
      </c>
      <c r="I1282" s="1336">
        <f t="shared" si="129"/>
        <v>1.45</v>
      </c>
      <c r="J1282" s="1168" t="s">
        <v>102</v>
      </c>
      <c r="K1282" s="1169"/>
      <c r="L1282" s="1159"/>
      <c r="M1282" s="1169"/>
      <c r="N1282" s="1161" t="s">
        <v>2317</v>
      </c>
    </row>
    <row r="1283" spans="1:14" s="1170" customFormat="1" ht="16.5" hidden="1" customHeight="1">
      <c r="A1283" s="1156"/>
      <c r="B1283" s="1359" t="s">
        <v>3195</v>
      </c>
      <c r="C1283" s="1360">
        <v>1</v>
      </c>
      <c r="D1283" s="1361" t="s">
        <v>273</v>
      </c>
      <c r="E1283" s="1362">
        <v>1</v>
      </c>
      <c r="F1283" s="1363">
        <v>14.52</v>
      </c>
      <c r="G1283" s="1363">
        <v>0</v>
      </c>
      <c r="H1283" s="1363">
        <v>0.1</v>
      </c>
      <c r="I1283" s="1336">
        <f t="shared" si="129"/>
        <v>1.45</v>
      </c>
      <c r="J1283" s="1168" t="s">
        <v>102</v>
      </c>
      <c r="K1283" s="1169"/>
      <c r="L1283" s="1159"/>
      <c r="M1283" s="1169"/>
      <c r="N1283" s="1161" t="s">
        <v>2317</v>
      </c>
    </row>
    <row r="1284" spans="1:14" s="1170" customFormat="1" ht="16.5" hidden="1" customHeight="1">
      <c r="A1284" s="1156"/>
      <c r="B1284" s="1359" t="s">
        <v>3363</v>
      </c>
      <c r="C1284" s="1360">
        <v>1</v>
      </c>
      <c r="D1284" s="1361" t="s">
        <v>273</v>
      </c>
      <c r="E1284" s="1362">
        <v>1</v>
      </c>
      <c r="F1284" s="1363">
        <v>14.52</v>
      </c>
      <c r="G1284" s="1363">
        <v>0</v>
      </c>
      <c r="H1284" s="1363">
        <v>0.1</v>
      </c>
      <c r="I1284" s="1336">
        <f t="shared" si="129"/>
        <v>1.45</v>
      </c>
      <c r="J1284" s="1168" t="s">
        <v>102</v>
      </c>
      <c r="K1284" s="1169"/>
      <c r="L1284" s="1159"/>
      <c r="M1284" s="1169"/>
      <c r="N1284" s="1161" t="s">
        <v>2317</v>
      </c>
    </row>
    <row r="1285" spans="1:14" s="1170" customFormat="1" ht="16.5" hidden="1" customHeight="1">
      <c r="A1285" s="1156"/>
      <c r="B1285" s="1359" t="s">
        <v>579</v>
      </c>
      <c r="C1285" s="1360">
        <v>1</v>
      </c>
      <c r="D1285" s="1361" t="s">
        <v>273</v>
      </c>
      <c r="E1285" s="1362">
        <v>1</v>
      </c>
      <c r="F1285" s="1363">
        <v>1.2</v>
      </c>
      <c r="G1285" s="1363">
        <v>0</v>
      </c>
      <c r="H1285" s="1363">
        <v>0.1</v>
      </c>
      <c r="I1285" s="1336">
        <f>-ROUND(IF(AND(F1285:H1285),C1285*E1285*F1285*G1285*H1285,IF(AND(F1285,G1285),C1285*E1285*F1285*G1285,IF(AND(F1285,H1285),C1285*E1285*F1285*H1285,IF(AND(G1285,H1285),C1285*E1285*G1285*H1285,IF(F1285,C1285*E1285*F1285,IF(G1285,C1285*E1285*G1285,IF(H1285,C1285*E1285*H1285,C1285*E1285))))))),2)</f>
        <v>-0.12</v>
      </c>
      <c r="J1285" s="1168" t="s">
        <v>102</v>
      </c>
      <c r="K1285" s="1169"/>
      <c r="L1285" s="1159"/>
      <c r="M1285" s="1169"/>
      <c r="N1285" s="1161" t="s">
        <v>2317</v>
      </c>
    </row>
    <row r="1286" spans="1:14" s="1170" customFormat="1" ht="16.5" hidden="1" customHeight="1">
      <c r="A1286" s="1156"/>
      <c r="B1286" s="1359" t="s">
        <v>579</v>
      </c>
      <c r="C1286" s="1360">
        <v>1</v>
      </c>
      <c r="D1286" s="1361" t="s">
        <v>273</v>
      </c>
      <c r="E1286" s="1362">
        <v>2</v>
      </c>
      <c r="F1286" s="1363">
        <v>1.2</v>
      </c>
      <c r="G1286" s="1363">
        <v>0</v>
      </c>
      <c r="H1286" s="1363">
        <v>0.1</v>
      </c>
      <c r="I1286" s="1336">
        <f>-ROUND(IF(AND(F1286:H1286),C1286*E1286*F1286*G1286*H1286,IF(AND(F1286,G1286),C1286*E1286*F1286*G1286,IF(AND(F1286,H1286),C1286*E1286*F1286*H1286,IF(AND(G1286,H1286),C1286*E1286*G1286*H1286,IF(F1286,C1286*E1286*F1286,IF(G1286,C1286*E1286*G1286,IF(H1286,C1286*E1286*H1286,C1286*E1286))))))),2)</f>
        <v>-0.24</v>
      </c>
      <c r="J1286" s="1168" t="s">
        <v>102</v>
      </c>
      <c r="K1286" s="1169"/>
      <c r="L1286" s="1159"/>
      <c r="M1286" s="1169"/>
      <c r="N1286" s="1161" t="s">
        <v>2317</v>
      </c>
    </row>
    <row r="1287" spans="1:14" s="1170" customFormat="1" ht="16.5" hidden="1" customHeight="1">
      <c r="A1287" s="1156"/>
      <c r="B1287" s="1359" t="s">
        <v>579</v>
      </c>
      <c r="C1287" s="1360">
        <v>2</v>
      </c>
      <c r="D1287" s="1361" t="s">
        <v>273</v>
      </c>
      <c r="E1287" s="1362">
        <v>2</v>
      </c>
      <c r="F1287" s="1363">
        <v>1.05</v>
      </c>
      <c r="G1287" s="1363">
        <v>0</v>
      </c>
      <c r="H1287" s="1363">
        <v>0.1</v>
      </c>
      <c r="I1287" s="1336">
        <f>-ROUND(IF(AND(F1287:H1287),C1287*E1287*F1287*G1287*H1287,IF(AND(F1287,G1287),C1287*E1287*F1287*G1287,IF(AND(F1287,H1287),C1287*E1287*F1287*H1287,IF(AND(G1287,H1287),C1287*E1287*G1287*H1287,IF(F1287,C1287*E1287*F1287,IF(G1287,C1287*E1287*G1287,IF(H1287,C1287*E1287*H1287,C1287*E1287))))))),2)</f>
        <v>-0.42</v>
      </c>
      <c r="J1287" s="1168" t="s">
        <v>102</v>
      </c>
      <c r="K1287" s="1169"/>
      <c r="L1287" s="1159"/>
      <c r="M1287" s="1169"/>
      <c r="N1287" s="1161" t="s">
        <v>2317</v>
      </c>
    </row>
    <row r="1288" spans="1:14" s="1170" customFormat="1" ht="16.5" hidden="1" customHeight="1">
      <c r="A1288" s="1156"/>
      <c r="B1288" s="1331"/>
      <c r="C1288" s="1332"/>
      <c r="D1288" s="1333"/>
      <c r="E1288" s="1334"/>
      <c r="F1288" s="1335"/>
      <c r="G1288" s="1335"/>
      <c r="H1288" s="1335"/>
      <c r="I1288" s="1336"/>
      <c r="J1288" s="1168"/>
      <c r="K1288" s="1169"/>
      <c r="L1288" s="1159"/>
      <c r="M1288" s="1169"/>
      <c r="N1288" s="1161" t="s">
        <v>2317</v>
      </c>
    </row>
    <row r="1289" spans="1:14" ht="15.75" hidden="1">
      <c r="A1289" s="1156"/>
      <c r="B1289" s="1169"/>
      <c r="C1289" s="1337"/>
      <c r="D1289" s="1171"/>
      <c r="E1289" s="1165"/>
      <c r="F1289" s="1166"/>
      <c r="G1289" s="1343"/>
      <c r="H1289" s="1156"/>
      <c r="I1289" s="1336"/>
      <c r="J1289" s="1168" t="s">
        <v>102</v>
      </c>
      <c r="K1289" s="1221">
        <f>data!E2532</f>
        <v>1036.32</v>
      </c>
      <c r="L1289" s="1159" t="s">
        <v>2317</v>
      </c>
      <c r="M1289" s="1224">
        <f>ROUND(I1289*K1289,0)</f>
        <v>0</v>
      </c>
      <c r="N1289" s="1161" t="s">
        <v>2317</v>
      </c>
    </row>
    <row r="1290" spans="1:14" ht="79.5" hidden="1" customHeight="1">
      <c r="A1290" s="1156">
        <v>22</v>
      </c>
      <c r="B1290" s="1826" t="s">
        <v>213</v>
      </c>
      <c r="C1290" s="1826"/>
      <c r="D1290" s="1828"/>
      <c r="E1290" s="1826"/>
      <c r="F1290" s="1826"/>
      <c r="G1290" s="1826"/>
      <c r="H1290" s="1826"/>
      <c r="I1290" s="1157"/>
      <c r="J1290" s="1158"/>
      <c r="K1290" s="1156"/>
      <c r="L1290" s="1159"/>
      <c r="M1290" s="1160"/>
      <c r="N1290" s="1161" t="s">
        <v>2318</v>
      </c>
    </row>
    <row r="1291" spans="1:14" s="1170" customFormat="1" ht="16.5" hidden="1" customHeight="1">
      <c r="A1291" s="1156"/>
      <c r="B1291" s="1169" t="s">
        <v>3396</v>
      </c>
      <c r="C1291" s="1351"/>
      <c r="D1291" s="1418"/>
      <c r="E1291" s="1352"/>
      <c r="F1291" s="1234"/>
      <c r="G1291" s="1234"/>
      <c r="H1291" s="1235"/>
      <c r="I1291" s="1353"/>
      <c r="J1291" s="1168"/>
      <c r="K1291" s="1169"/>
      <c r="L1291" s="1159"/>
      <c r="M1291" s="1169"/>
      <c r="N1291" s="1161" t="s">
        <v>2318</v>
      </c>
    </row>
    <row r="1292" spans="1:14" s="1170" customFormat="1" ht="16.5" hidden="1" customHeight="1">
      <c r="A1292" s="1156"/>
      <c r="B1292" s="1359" t="s">
        <v>3359</v>
      </c>
      <c r="C1292" s="1332">
        <v>1</v>
      </c>
      <c r="D1292" s="1333" t="s">
        <v>273</v>
      </c>
      <c r="E1292" s="1334">
        <v>1</v>
      </c>
      <c r="F1292" s="1335">
        <v>29.8</v>
      </c>
      <c r="G1292" s="1335">
        <v>0</v>
      </c>
      <c r="H1292" s="1335">
        <v>0.1</v>
      </c>
      <c r="I1292" s="1336">
        <f>ROUND(IF(AND(F1292:H1292),C1292*E1292*F1292*G1292*H1292,IF(AND(F1292,G1292),C1292*E1292*F1292*G1292,IF(AND(F1292,H1292),C1292*E1292*F1292*H1292,IF(AND(G1292,H1292),C1292*E1292*G1292*H1292,IF(F1292,C1292*E1292*F1292,IF(G1292,C1292*E1292*G1292,IF(H1292,C1292*E1292*H1292,C1292*E1292))))))),2)</f>
        <v>2.98</v>
      </c>
      <c r="J1292" s="1168" t="s">
        <v>102</v>
      </c>
      <c r="K1292" s="1169"/>
      <c r="L1292" s="1156"/>
      <c r="M1292" s="1169"/>
      <c r="N1292" s="1161" t="s">
        <v>2318</v>
      </c>
    </row>
    <row r="1293" spans="1:14" s="1170" customFormat="1" ht="16.5" hidden="1" customHeight="1">
      <c r="A1293" s="1156"/>
      <c r="B1293" s="1359" t="s">
        <v>3422</v>
      </c>
      <c r="C1293" s="1332">
        <v>1</v>
      </c>
      <c r="D1293" s="1333" t="s">
        <v>273</v>
      </c>
      <c r="E1293" s="1334">
        <v>2</v>
      </c>
      <c r="F1293" s="1335">
        <v>14.4</v>
      </c>
      <c r="G1293" s="1335">
        <v>0</v>
      </c>
      <c r="H1293" s="1335">
        <v>0.1</v>
      </c>
      <c r="I1293" s="1336">
        <f>ROUND(IF(AND(F1293:H1293),C1293*E1293*F1293*G1293*H1293,IF(AND(F1293,G1293),C1293*E1293*F1293*G1293,IF(AND(F1293,H1293),C1293*E1293*F1293*H1293,IF(AND(G1293,H1293),C1293*E1293*G1293*H1293,IF(F1293,C1293*E1293*F1293,IF(G1293,C1293*E1293*G1293,IF(H1293,C1293*E1293*H1293,C1293*E1293))))))),2)</f>
        <v>2.88</v>
      </c>
      <c r="J1293" s="1168" t="s">
        <v>102</v>
      </c>
      <c r="K1293" s="1169"/>
      <c r="L1293" s="1156"/>
      <c r="M1293" s="1169"/>
      <c r="N1293" s="1161" t="s">
        <v>2318</v>
      </c>
    </row>
    <row r="1294" spans="1:14" s="1170" customFormat="1" ht="16.5" hidden="1" customHeight="1">
      <c r="A1294" s="1156"/>
      <c r="B1294" s="1359" t="s">
        <v>586</v>
      </c>
      <c r="C1294" s="1332">
        <v>1</v>
      </c>
      <c r="D1294" s="1333" t="s">
        <v>273</v>
      </c>
      <c r="E1294" s="1334">
        <v>1</v>
      </c>
      <c r="F1294" s="1335">
        <v>14.3</v>
      </c>
      <c r="G1294" s="1335">
        <v>0</v>
      </c>
      <c r="H1294" s="1335">
        <v>0.1</v>
      </c>
      <c r="I1294" s="1336">
        <f>ROUND(IF(AND(F1294:H1294),C1294*E1294*F1294*G1294*H1294,IF(AND(F1294,G1294),C1294*E1294*F1294*G1294,IF(AND(F1294,H1294),C1294*E1294*F1294*H1294,IF(AND(G1294,H1294),C1294*E1294*G1294*H1294,IF(F1294,C1294*E1294*F1294,IF(G1294,C1294*E1294*G1294,IF(H1294,C1294*E1294*H1294,C1294*E1294))))))),2)</f>
        <v>1.43</v>
      </c>
      <c r="J1294" s="1168" t="s">
        <v>102</v>
      </c>
      <c r="K1294" s="1169"/>
      <c r="L1294" s="1156"/>
      <c r="M1294" s="1169"/>
      <c r="N1294" s="1161" t="s">
        <v>2318</v>
      </c>
    </row>
    <row r="1295" spans="1:14" s="1170" customFormat="1" ht="16.5" hidden="1" customHeight="1">
      <c r="A1295" s="1156"/>
      <c r="B1295" s="1359" t="s">
        <v>578</v>
      </c>
      <c r="C1295" s="1332">
        <v>1</v>
      </c>
      <c r="D1295" s="1333" t="s">
        <v>273</v>
      </c>
      <c r="E1295" s="1334">
        <v>1</v>
      </c>
      <c r="F1295" s="1335">
        <v>9.84</v>
      </c>
      <c r="G1295" s="1335">
        <v>0</v>
      </c>
      <c r="H1295" s="1335">
        <v>0.1</v>
      </c>
      <c r="I1295" s="1336">
        <f>ROUND(IF(AND(F1295:H1295),C1295*E1295*F1295*G1295*H1295,IF(AND(F1295,G1295),C1295*E1295*F1295*G1295,IF(AND(F1295,H1295),C1295*E1295*F1295*H1295,IF(AND(G1295,H1295),C1295*E1295*G1295*H1295,IF(F1295,C1295*E1295*F1295,IF(G1295,C1295*E1295*G1295,IF(H1295,C1295*E1295*H1295,C1295*E1295))))))),2)</f>
        <v>0.98</v>
      </c>
      <c r="J1295" s="1168" t="s">
        <v>102</v>
      </c>
      <c r="K1295" s="1169"/>
      <c r="L1295" s="1156"/>
      <c r="M1295" s="1169"/>
      <c r="N1295" s="1161" t="s">
        <v>2318</v>
      </c>
    </row>
    <row r="1296" spans="1:14" s="1170" customFormat="1" ht="16.5" hidden="1" customHeight="1">
      <c r="A1296" s="1156"/>
      <c r="B1296" s="1359" t="s">
        <v>579</v>
      </c>
      <c r="C1296" s="1332">
        <v>1</v>
      </c>
      <c r="D1296" s="1333" t="s">
        <v>273</v>
      </c>
      <c r="E1296" s="1334">
        <v>4</v>
      </c>
      <c r="F1296" s="1335">
        <v>1.2</v>
      </c>
      <c r="G1296" s="1335">
        <v>0</v>
      </c>
      <c r="H1296" s="1335">
        <v>0.1</v>
      </c>
      <c r="I1296" s="1336">
        <f>-ROUND(IF(AND(F1296:H1296),C1296*E1296*F1296*G1296*H1296,IF(AND(F1296,G1296),C1296*E1296*F1296*G1296,IF(AND(F1296,H1296),C1296*E1296*F1296*H1296,IF(AND(G1296,H1296),C1296*E1296*G1296*H1296,IF(F1296,C1296*E1296*F1296,IF(G1296,C1296*E1296*G1296,IF(H1296,C1296*E1296*H1296,C1296*E1296))))))),2)</f>
        <v>-0.48</v>
      </c>
      <c r="J1296" s="1168" t="s">
        <v>102</v>
      </c>
      <c r="K1296" s="1169"/>
      <c r="L1296" s="1156"/>
      <c r="M1296" s="1169"/>
      <c r="N1296" s="1161" t="s">
        <v>2318</v>
      </c>
    </row>
    <row r="1297" spans="1:14" s="1170" customFormat="1" ht="16.5" hidden="1" customHeight="1">
      <c r="A1297" s="1156"/>
      <c r="B1297" s="1359" t="s">
        <v>579</v>
      </c>
      <c r="C1297" s="1332">
        <v>1</v>
      </c>
      <c r="D1297" s="1333" t="s">
        <v>273</v>
      </c>
      <c r="E1297" s="1334">
        <v>4</v>
      </c>
      <c r="F1297" s="1335">
        <v>1.05</v>
      </c>
      <c r="G1297" s="1335">
        <v>0</v>
      </c>
      <c r="H1297" s="1335">
        <v>0.1</v>
      </c>
      <c r="I1297" s="1336">
        <f>-ROUND(IF(AND(F1297:H1297),C1297*E1297*F1297*G1297*H1297,IF(AND(F1297,G1297),C1297*E1297*F1297*G1297,IF(AND(F1297,H1297),C1297*E1297*F1297*H1297,IF(AND(G1297,H1297),C1297*E1297*G1297*H1297,IF(F1297,C1297*E1297*F1297,IF(G1297,C1297*E1297*G1297,IF(H1297,C1297*E1297*H1297,C1297*E1297))))))),2)</f>
        <v>-0.42</v>
      </c>
      <c r="J1297" s="1168" t="s">
        <v>102</v>
      </c>
      <c r="K1297" s="1169"/>
      <c r="L1297" s="1156"/>
      <c r="M1297" s="1169"/>
      <c r="N1297" s="1161" t="s">
        <v>2318</v>
      </c>
    </row>
    <row r="1298" spans="1:14" s="1170" customFormat="1" ht="16.5" hidden="1" customHeight="1">
      <c r="A1298" s="1156"/>
      <c r="B1298" s="1331"/>
      <c r="C1298" s="1332"/>
      <c r="D1298" s="1333"/>
      <c r="E1298" s="1334"/>
      <c r="F1298" s="1335"/>
      <c r="G1298" s="1335"/>
      <c r="H1298" s="1335"/>
      <c r="I1298" s="1336"/>
      <c r="J1298" s="1168"/>
      <c r="K1298" s="1169"/>
      <c r="L1298" s="1159"/>
      <c r="M1298" s="1169"/>
      <c r="N1298" s="1161" t="s">
        <v>2318</v>
      </c>
    </row>
    <row r="1299" spans="1:14" ht="15.75" hidden="1">
      <c r="A1299" s="1156"/>
      <c r="B1299" s="1169"/>
      <c r="C1299" s="1337"/>
      <c r="D1299" s="1171"/>
      <c r="E1299" s="1165"/>
      <c r="F1299" s="1166"/>
      <c r="G1299" s="1343"/>
      <c r="H1299" s="1156"/>
      <c r="I1299" s="1336"/>
      <c r="J1299" s="1168" t="s">
        <v>102</v>
      </c>
      <c r="K1299" s="1221">
        <f>data!E3449</f>
        <v>1062.03</v>
      </c>
      <c r="L1299" s="1159" t="s">
        <v>2318</v>
      </c>
      <c r="M1299" s="1224">
        <f>ROUND(I1299*K1299,0)</f>
        <v>0</v>
      </c>
      <c r="N1299" s="1161" t="s">
        <v>2318</v>
      </c>
    </row>
    <row r="1300" spans="1:14" s="1575" customFormat="1" ht="108" customHeight="1">
      <c r="A1300" s="1570">
        <v>22</v>
      </c>
      <c r="B1300" s="1827" t="s">
        <v>665</v>
      </c>
      <c r="C1300" s="1827"/>
      <c r="D1300" s="1827"/>
      <c r="E1300" s="1827"/>
      <c r="F1300" s="1827"/>
      <c r="G1300" s="1827"/>
      <c r="H1300" s="1827"/>
      <c r="I1300" s="1571"/>
      <c r="J1300" s="1572"/>
      <c r="K1300" s="1570"/>
      <c r="L1300" s="1573"/>
      <c r="M1300" s="1577"/>
      <c r="N1300" s="1578" t="s">
        <v>2218</v>
      </c>
    </row>
    <row r="1301" spans="1:14" s="1586" customFormat="1" ht="16.5" customHeight="1">
      <c r="A1301" s="1570"/>
      <c r="B1301" s="1579" t="s">
        <v>3817</v>
      </c>
      <c r="C1301" s="1571"/>
      <c r="D1301" s="1790" t="s">
        <v>3875</v>
      </c>
      <c r="E1301" s="1588"/>
      <c r="F1301" s="1589"/>
      <c r="G1301" s="1589"/>
      <c r="H1301" s="1589"/>
      <c r="I1301" s="1630"/>
      <c r="J1301" s="1598"/>
      <c r="K1301" s="1585"/>
      <c r="L1301" s="1573"/>
      <c r="M1301" s="1585"/>
      <c r="N1301" s="1578" t="s">
        <v>2218</v>
      </c>
    </row>
    <row r="1302" spans="1:14" s="1586" customFormat="1" ht="16.5" customHeight="1">
      <c r="A1302" s="1570"/>
      <c r="B1302" s="1585" t="s">
        <v>3359</v>
      </c>
      <c r="C1302" s="1571">
        <v>1</v>
      </c>
      <c r="D1302" s="1587" t="s">
        <v>273</v>
      </c>
      <c r="E1302" s="1588">
        <v>1</v>
      </c>
      <c r="F1302" s="1589">
        <v>9.3699999999999992</v>
      </c>
      <c r="G1302" s="1589">
        <v>5.75</v>
      </c>
      <c r="H1302" s="1589">
        <v>0</v>
      </c>
      <c r="I1302" s="1647">
        <f t="shared" ref="I1302:I1310" si="130">ROUND(IF(AND(F1302:H1302),C1302*E1302*F1302*G1302*H1302,IF(AND(F1302,G1302),C1302*E1302*F1302*G1302,IF(AND(F1302,H1302),C1302*E1302*F1302*H1302,IF(AND(G1302,H1302),C1302*E1302*G1302*H1302,IF(F1302,C1302*E1302*F1302,IF(G1302,C1302*E1302*G1302,IF(H1302,C1302*E1302*H1302,C1302*E1302))))))),2)</f>
        <v>53.88</v>
      </c>
      <c r="J1302" s="1598" t="s">
        <v>102</v>
      </c>
      <c r="K1302" s="1585"/>
      <c r="L1302" s="1573"/>
      <c r="M1302" s="1585"/>
      <c r="N1302" s="1578" t="s">
        <v>2218</v>
      </c>
    </row>
    <row r="1303" spans="1:14" s="1586" customFormat="1" ht="16.5" customHeight="1">
      <c r="A1303" s="1570"/>
      <c r="B1303" s="1585" t="s">
        <v>3422</v>
      </c>
      <c r="C1303" s="1571">
        <v>1</v>
      </c>
      <c r="D1303" s="1587" t="s">
        <v>273</v>
      </c>
      <c r="E1303" s="1588">
        <v>1</v>
      </c>
      <c r="F1303" s="1589">
        <v>4.24</v>
      </c>
      <c r="G1303" s="1589">
        <v>3.04</v>
      </c>
      <c r="H1303" s="1589">
        <v>0</v>
      </c>
      <c r="I1303" s="1647">
        <f t="shared" si="130"/>
        <v>12.89</v>
      </c>
      <c r="J1303" s="1598" t="s">
        <v>102</v>
      </c>
      <c r="K1303" s="1585"/>
      <c r="L1303" s="1573"/>
      <c r="M1303" s="1585"/>
      <c r="N1303" s="1578" t="s">
        <v>2218</v>
      </c>
    </row>
    <row r="1304" spans="1:14" s="1586" customFormat="1" ht="16.5" customHeight="1">
      <c r="A1304" s="1570"/>
      <c r="B1304" s="1585" t="s">
        <v>3195</v>
      </c>
      <c r="C1304" s="1571">
        <v>1</v>
      </c>
      <c r="D1304" s="1587" t="s">
        <v>273</v>
      </c>
      <c r="E1304" s="1588">
        <v>1</v>
      </c>
      <c r="F1304" s="1589">
        <v>4.24</v>
      </c>
      <c r="G1304" s="1589">
        <v>3.02</v>
      </c>
      <c r="H1304" s="1589">
        <v>0</v>
      </c>
      <c r="I1304" s="1647">
        <f t="shared" si="130"/>
        <v>12.8</v>
      </c>
      <c r="J1304" s="1598" t="s">
        <v>102</v>
      </c>
      <c r="K1304" s="1585"/>
      <c r="L1304" s="1573"/>
      <c r="M1304" s="1585"/>
      <c r="N1304" s="1578" t="s">
        <v>2218</v>
      </c>
    </row>
    <row r="1305" spans="1:14" s="1586" customFormat="1" ht="16.5" customHeight="1">
      <c r="A1305" s="1570"/>
      <c r="B1305" s="1585" t="s">
        <v>3363</v>
      </c>
      <c r="C1305" s="1571">
        <v>1</v>
      </c>
      <c r="D1305" s="1587" t="s">
        <v>273</v>
      </c>
      <c r="E1305" s="1588">
        <v>1</v>
      </c>
      <c r="F1305" s="1589">
        <v>4.24</v>
      </c>
      <c r="G1305" s="1589">
        <v>3.02</v>
      </c>
      <c r="H1305" s="1589">
        <v>0</v>
      </c>
      <c r="I1305" s="1647">
        <f t="shared" si="130"/>
        <v>12.8</v>
      </c>
      <c r="J1305" s="1598" t="s">
        <v>102</v>
      </c>
      <c r="K1305" s="1585"/>
      <c r="L1305" s="1573"/>
      <c r="M1305" s="1585"/>
      <c r="N1305" s="1578" t="s">
        <v>2218</v>
      </c>
    </row>
    <row r="1306" spans="1:14" s="1586" customFormat="1" ht="16.5" customHeight="1">
      <c r="A1306" s="1570"/>
      <c r="B1306" s="1585" t="s">
        <v>2086</v>
      </c>
      <c r="C1306" s="1571">
        <v>1</v>
      </c>
      <c r="D1306" s="1587" t="s">
        <v>273</v>
      </c>
      <c r="E1306" s="1588">
        <v>1</v>
      </c>
      <c r="F1306" s="1589">
        <v>3.12</v>
      </c>
      <c r="G1306" s="1589">
        <v>1.1499999999999999</v>
      </c>
      <c r="H1306" s="1589">
        <v>0</v>
      </c>
      <c r="I1306" s="1647">
        <f t="shared" si="130"/>
        <v>3.59</v>
      </c>
      <c r="J1306" s="1598" t="s">
        <v>102</v>
      </c>
      <c r="K1306" s="1585"/>
      <c r="L1306" s="1573"/>
      <c r="M1306" s="1585"/>
      <c r="N1306" s="1578" t="s">
        <v>2218</v>
      </c>
    </row>
    <row r="1307" spans="1:14" s="1586" customFormat="1" ht="16.5" customHeight="1">
      <c r="A1307" s="1570"/>
      <c r="B1307" s="1585"/>
      <c r="C1307" s="1571">
        <v>1</v>
      </c>
      <c r="D1307" s="1587" t="s">
        <v>273</v>
      </c>
      <c r="E1307" s="1588">
        <v>1</v>
      </c>
      <c r="F1307" s="1589">
        <v>3.55</v>
      </c>
      <c r="G1307" s="1589">
        <v>2.6</v>
      </c>
      <c r="H1307" s="1589">
        <v>0</v>
      </c>
      <c r="I1307" s="1647">
        <f t="shared" si="130"/>
        <v>9.23</v>
      </c>
      <c r="J1307" s="1598" t="s">
        <v>102</v>
      </c>
      <c r="K1307" s="1585"/>
      <c r="L1307" s="1573"/>
      <c r="M1307" s="1585"/>
      <c r="N1307" s="1578" t="s">
        <v>2218</v>
      </c>
    </row>
    <row r="1308" spans="1:14" s="1586" customFormat="1" ht="16.5" customHeight="1">
      <c r="A1308" s="1570"/>
      <c r="B1308" s="1585"/>
      <c r="C1308" s="1571">
        <v>1</v>
      </c>
      <c r="D1308" s="1587" t="s">
        <v>273</v>
      </c>
      <c r="E1308" s="1588">
        <v>1</v>
      </c>
      <c r="F1308" s="1589">
        <v>3.2</v>
      </c>
      <c r="G1308" s="1589">
        <v>1.1499999999999999</v>
      </c>
      <c r="H1308" s="1589">
        <v>0</v>
      </c>
      <c r="I1308" s="1647">
        <f t="shared" si="130"/>
        <v>3.68</v>
      </c>
      <c r="J1308" s="1598" t="s">
        <v>102</v>
      </c>
      <c r="K1308" s="1585"/>
      <c r="L1308" s="1573"/>
      <c r="M1308" s="1585"/>
      <c r="N1308" s="1578" t="s">
        <v>2218</v>
      </c>
    </row>
    <row r="1309" spans="1:14" s="1586" customFormat="1" ht="16.5" customHeight="1">
      <c r="A1309" s="1570"/>
      <c r="B1309" s="1585" t="s">
        <v>281</v>
      </c>
      <c r="C1309" s="1571">
        <v>4</v>
      </c>
      <c r="D1309" s="1587" t="s">
        <v>273</v>
      </c>
      <c r="E1309" s="1588">
        <v>0.78500000000000003</v>
      </c>
      <c r="F1309" s="1589">
        <v>0.23</v>
      </c>
      <c r="G1309" s="1589">
        <v>0.23</v>
      </c>
      <c r="H1309" s="1589">
        <v>0</v>
      </c>
      <c r="I1309" s="1647">
        <f>-ROUND(IF(AND(F1309:H1309),C1309*E1309*F1309*G1309*H1309,IF(AND(F1309,G1309),C1309*E1309*F1309*G1309,IF(AND(F1309,H1309),C1309*E1309*F1309*H1309,IF(AND(G1309,H1309),C1309*E1309*G1309*H1309,IF(F1309,C1309*E1309*F1309,IF(G1309,C1309*E1309*G1309,IF(H1309,C1309*E1309*H1309,C1309*E1309))))))),2)</f>
        <v>-0.17</v>
      </c>
      <c r="J1309" s="1598" t="s">
        <v>102</v>
      </c>
      <c r="K1309" s="1585"/>
      <c r="L1309" s="1573"/>
      <c r="M1309" s="1585"/>
      <c r="N1309" s="1578" t="s">
        <v>2218</v>
      </c>
    </row>
    <row r="1310" spans="1:14" s="1586" customFormat="1" ht="16.5" customHeight="1">
      <c r="A1310" s="1570"/>
      <c r="B1310" s="1585" t="s">
        <v>2522</v>
      </c>
      <c r="C1310" s="1571">
        <v>1</v>
      </c>
      <c r="D1310" s="1587" t="s">
        <v>273</v>
      </c>
      <c r="E1310" s="1588">
        <v>3</v>
      </c>
      <c r="F1310" s="1589">
        <v>3.5</v>
      </c>
      <c r="G1310" s="1589">
        <v>0.3</v>
      </c>
      <c r="H1310" s="1589">
        <v>0</v>
      </c>
      <c r="I1310" s="1647">
        <f t="shared" si="130"/>
        <v>3.15</v>
      </c>
      <c r="J1310" s="1598" t="s">
        <v>102</v>
      </c>
      <c r="K1310" s="1585"/>
      <c r="L1310" s="1573"/>
      <c r="M1310" s="1585"/>
      <c r="N1310" s="1578" t="s">
        <v>2218</v>
      </c>
    </row>
    <row r="1311" spans="1:14" s="1586" customFormat="1" ht="16.5" customHeight="1">
      <c r="A1311" s="1570"/>
      <c r="B1311" s="1600"/>
      <c r="C1311" s="1601"/>
      <c r="D1311" s="1602"/>
      <c r="E1311" s="1603"/>
      <c r="F1311" s="1604"/>
      <c r="G1311" s="1604"/>
      <c r="H1311" s="1604"/>
      <c r="I1311" s="1605"/>
      <c r="J1311" s="1598"/>
      <c r="K1311" s="1585"/>
      <c r="L1311" s="1573"/>
      <c r="M1311" s="1585"/>
      <c r="N1311" s="1578" t="s">
        <v>2218</v>
      </c>
    </row>
    <row r="1312" spans="1:14" s="1575" customFormat="1" ht="15.75">
      <c r="A1312" s="1570"/>
      <c r="B1312" s="1585"/>
      <c r="C1312" s="1606"/>
      <c r="D1312" s="1587"/>
      <c r="E1312" s="1588"/>
      <c r="F1312" s="1589"/>
      <c r="G1312" s="1607"/>
      <c r="H1312" s="1570"/>
      <c r="I1312" s="1605">
        <f>SUM(I1302:I1311)</f>
        <v>111.85000000000002</v>
      </c>
      <c r="J1312" s="1598" t="s">
        <v>102</v>
      </c>
      <c r="K1312" s="1608">
        <f>data!E602</f>
        <v>2828.1</v>
      </c>
      <c r="L1312" s="1573" t="s">
        <v>2218</v>
      </c>
      <c r="M1312" s="1609">
        <f>ROUND(I1312*K1312,0)</f>
        <v>316323</v>
      </c>
      <c r="N1312" s="1578" t="s">
        <v>2218</v>
      </c>
    </row>
    <row r="1313" spans="1:14" ht="108" hidden="1" customHeight="1">
      <c r="A1313" s="1156">
        <v>28</v>
      </c>
      <c r="B1313" s="1826" t="s">
        <v>665</v>
      </c>
      <c r="C1313" s="1826"/>
      <c r="D1313" s="1826"/>
      <c r="E1313" s="1826"/>
      <c r="F1313" s="1826"/>
      <c r="G1313" s="1826"/>
      <c r="H1313" s="1826"/>
      <c r="I1313" s="1157"/>
      <c r="J1313" s="1158"/>
      <c r="K1313" s="1156"/>
      <c r="L1313" s="1159"/>
      <c r="M1313" s="1160"/>
      <c r="N1313" s="1161" t="s">
        <v>2306</v>
      </c>
    </row>
    <row r="1314" spans="1:14" s="1170" customFormat="1" ht="16.5" hidden="1" customHeight="1">
      <c r="A1314" s="1156"/>
      <c r="B1314" s="1163" t="s">
        <v>3520</v>
      </c>
      <c r="C1314" s="1351"/>
      <c r="D1314" s="1328" t="s">
        <v>3530</v>
      </c>
      <c r="E1314" s="1352"/>
      <c r="F1314" s="1234"/>
      <c r="G1314" s="1234"/>
      <c r="H1314" s="1235"/>
      <c r="I1314" s="1353"/>
      <c r="J1314" s="1168"/>
      <c r="K1314" s="1169"/>
      <c r="L1314" s="1159"/>
      <c r="M1314" s="1169"/>
      <c r="N1314" s="1161" t="s">
        <v>2306</v>
      </c>
    </row>
    <row r="1315" spans="1:14" s="1170" customFormat="1" ht="16.5" hidden="1" customHeight="1">
      <c r="A1315" s="1156"/>
      <c r="B1315" s="1359" t="s">
        <v>3359</v>
      </c>
      <c r="C1315" s="1360">
        <v>1</v>
      </c>
      <c r="D1315" s="1361" t="s">
        <v>273</v>
      </c>
      <c r="E1315" s="1362">
        <v>1</v>
      </c>
      <c r="F1315" s="1363">
        <v>9.25</v>
      </c>
      <c r="G1315" s="1363">
        <v>5.6</v>
      </c>
      <c r="H1315" s="1363">
        <v>0</v>
      </c>
      <c r="I1315" s="1336">
        <f t="shared" ref="I1315" si="131">ROUND(IF(AND(F1315:H1315),C1315*E1315*F1315*G1315*H1315,IF(AND(F1315,G1315),C1315*E1315*F1315*G1315,IF(AND(F1315,H1315),C1315*E1315*F1315*H1315,IF(AND(G1315,H1315),C1315*E1315*G1315*H1315,IF(F1315,C1315*E1315*F1315,IF(G1315,C1315*E1315*G1315,IF(H1315,C1315*E1315*H1315,C1315*E1315))))))),2)</f>
        <v>51.8</v>
      </c>
      <c r="J1315" s="1168" t="s">
        <v>102</v>
      </c>
      <c r="K1315" s="1169"/>
      <c r="L1315" s="1159"/>
      <c r="M1315" s="1169"/>
      <c r="N1315" s="1161" t="s">
        <v>2306</v>
      </c>
    </row>
    <row r="1316" spans="1:14" s="1170" customFormat="1" ht="16.5" hidden="1" customHeight="1">
      <c r="A1316" s="1156"/>
      <c r="B1316" s="1359" t="s">
        <v>3435</v>
      </c>
      <c r="C1316" s="1360">
        <v>1</v>
      </c>
      <c r="D1316" s="1361" t="s">
        <v>273</v>
      </c>
      <c r="E1316" s="1362">
        <v>2</v>
      </c>
      <c r="F1316" s="1363">
        <v>4.1500000000000004</v>
      </c>
      <c r="G1316" s="1363">
        <v>2.95</v>
      </c>
      <c r="H1316" s="1363">
        <v>0</v>
      </c>
      <c r="I1316" s="1336">
        <f t="shared" ref="I1316:I1319" si="132">ROUND(IF(AND(F1316:H1316),C1316*E1316*F1316*G1316*H1316,IF(AND(F1316,G1316),C1316*E1316*F1316*G1316,IF(AND(F1316,H1316),C1316*E1316*F1316*H1316,IF(AND(G1316,H1316),C1316*E1316*G1316*H1316,IF(F1316,C1316*E1316*F1316,IF(G1316,C1316*E1316*G1316,IF(H1316,C1316*E1316*H1316,C1316*E1316))))))),2)</f>
        <v>24.49</v>
      </c>
      <c r="J1316" s="1168" t="s">
        <v>102</v>
      </c>
      <c r="K1316" s="1169"/>
      <c r="L1316" s="1159"/>
      <c r="M1316" s="1169"/>
      <c r="N1316" s="1161" t="s">
        <v>2306</v>
      </c>
    </row>
    <row r="1317" spans="1:14" s="1170" customFormat="1" ht="16.5" hidden="1" customHeight="1">
      <c r="A1317" s="1156"/>
      <c r="B1317" s="1359" t="s">
        <v>586</v>
      </c>
      <c r="C1317" s="1360">
        <v>1</v>
      </c>
      <c r="D1317" s="1361" t="s">
        <v>273</v>
      </c>
      <c r="E1317" s="1362">
        <v>1</v>
      </c>
      <c r="F1317" s="1363">
        <v>4.1500000000000004</v>
      </c>
      <c r="G1317" s="1363">
        <v>2.95</v>
      </c>
      <c r="H1317" s="1363">
        <v>0</v>
      </c>
      <c r="I1317" s="1336">
        <f t="shared" si="132"/>
        <v>12.24</v>
      </c>
      <c r="J1317" s="1168" t="s">
        <v>102</v>
      </c>
      <c r="K1317" s="1169"/>
      <c r="L1317" s="1159"/>
      <c r="M1317" s="1169"/>
      <c r="N1317" s="1161" t="s">
        <v>2306</v>
      </c>
    </row>
    <row r="1318" spans="1:14" s="1170" customFormat="1" ht="16.5" hidden="1" customHeight="1">
      <c r="A1318" s="1156"/>
      <c r="B1318" s="1359" t="s">
        <v>578</v>
      </c>
      <c r="C1318" s="1360">
        <v>1</v>
      </c>
      <c r="D1318" s="1361" t="s">
        <v>273</v>
      </c>
      <c r="E1318" s="1362">
        <v>1</v>
      </c>
      <c r="F1318" s="1363">
        <v>9.83</v>
      </c>
      <c r="G1318" s="1363">
        <v>1.5</v>
      </c>
      <c r="H1318" s="1363">
        <v>0</v>
      </c>
      <c r="I1318" s="1336">
        <f t="shared" si="132"/>
        <v>14.75</v>
      </c>
      <c r="J1318" s="1168" t="s">
        <v>102</v>
      </c>
      <c r="K1318" s="1169"/>
      <c r="L1318" s="1159"/>
      <c r="M1318" s="1169"/>
      <c r="N1318" s="1161" t="s">
        <v>2306</v>
      </c>
    </row>
    <row r="1319" spans="1:14" s="1170" customFormat="1" ht="16.5" hidden="1" customHeight="1">
      <c r="A1319" s="1156"/>
      <c r="B1319" s="1359" t="s">
        <v>2522</v>
      </c>
      <c r="C1319" s="1360">
        <v>1</v>
      </c>
      <c r="D1319" s="1361" t="s">
        <v>273</v>
      </c>
      <c r="E1319" s="1362">
        <v>8</v>
      </c>
      <c r="F1319" s="1363">
        <v>3.65</v>
      </c>
      <c r="G1319" s="1363">
        <v>0.3</v>
      </c>
      <c r="H1319" s="1363">
        <v>0</v>
      </c>
      <c r="I1319" s="1336">
        <f t="shared" si="132"/>
        <v>8.76</v>
      </c>
      <c r="J1319" s="1168" t="s">
        <v>102</v>
      </c>
      <c r="K1319" s="1169"/>
      <c r="L1319" s="1159"/>
      <c r="M1319" s="1169"/>
      <c r="N1319" s="1161" t="s">
        <v>2306</v>
      </c>
    </row>
    <row r="1320" spans="1:14" s="1170" customFormat="1" ht="16.5" hidden="1" customHeight="1">
      <c r="A1320" s="1156"/>
      <c r="B1320" s="1359"/>
      <c r="C1320" s="1360">
        <v>1</v>
      </c>
      <c r="D1320" s="1361" t="s">
        <v>273</v>
      </c>
      <c r="E1320" s="1362">
        <v>1</v>
      </c>
      <c r="F1320" s="1363">
        <v>3.65</v>
      </c>
      <c r="G1320" s="1363">
        <v>0.6</v>
      </c>
      <c r="H1320" s="1363">
        <v>0</v>
      </c>
      <c r="I1320" s="1336">
        <f t="shared" ref="I1320" si="133">ROUND(IF(AND(F1320:H1320),C1320*E1320*F1320*G1320*H1320,IF(AND(F1320,G1320),C1320*E1320*F1320*G1320,IF(AND(F1320,H1320),C1320*E1320*F1320*H1320,IF(AND(G1320,H1320),C1320*E1320*G1320*H1320,IF(F1320,C1320*E1320*F1320,IF(G1320,C1320*E1320*G1320,IF(H1320,C1320*E1320*H1320,C1320*E1320))))))),2)</f>
        <v>2.19</v>
      </c>
      <c r="J1320" s="1168" t="s">
        <v>102</v>
      </c>
      <c r="K1320" s="1169"/>
      <c r="L1320" s="1159"/>
      <c r="M1320" s="1169"/>
      <c r="N1320" s="1161" t="s">
        <v>2306</v>
      </c>
    </row>
    <row r="1321" spans="1:14" s="1170" customFormat="1" ht="16.5" hidden="1" customHeight="1">
      <c r="A1321" s="1156"/>
      <c r="B1321" s="1359" t="s">
        <v>3423</v>
      </c>
      <c r="C1321" s="1360">
        <v>1</v>
      </c>
      <c r="D1321" s="1361" t="s">
        <v>273</v>
      </c>
      <c r="E1321" s="1362">
        <v>4</v>
      </c>
      <c r="F1321" s="1363">
        <v>0.3</v>
      </c>
      <c r="G1321" s="1363">
        <v>0.3</v>
      </c>
      <c r="H1321" s="1363">
        <v>0</v>
      </c>
      <c r="I1321" s="1336">
        <f>-ROUND(IF(AND(F1321:H1321),C1321*E1321*F1321*G1321*H1321,IF(AND(F1321,G1321),C1321*E1321*F1321*G1321,IF(AND(F1321,H1321),C1321*E1321*F1321*H1321,IF(AND(G1321,H1321),C1321*E1321*G1321*H1321,IF(F1321,C1321*E1321*F1321,IF(G1321,C1321*E1321*G1321,IF(H1321,C1321*E1321*H1321,C1321*E1321))))))),2)</f>
        <v>-0.36</v>
      </c>
      <c r="J1321" s="1168" t="s">
        <v>102</v>
      </c>
      <c r="K1321" s="1169"/>
      <c r="L1321" s="1159"/>
      <c r="M1321" s="1169"/>
      <c r="N1321" s="1161" t="s">
        <v>2306</v>
      </c>
    </row>
    <row r="1322" spans="1:14" s="1170" customFormat="1" ht="16.5" hidden="1" customHeight="1">
      <c r="A1322" s="1156"/>
      <c r="B1322" s="1331"/>
      <c r="C1322" s="1332"/>
      <c r="D1322" s="1333"/>
      <c r="E1322" s="1334"/>
      <c r="F1322" s="1335"/>
      <c r="G1322" s="1335"/>
      <c r="H1322" s="1335"/>
      <c r="I1322" s="1336"/>
      <c r="J1322" s="1168"/>
      <c r="K1322" s="1169"/>
      <c r="L1322" s="1159"/>
      <c r="M1322" s="1169"/>
      <c r="N1322" s="1161" t="s">
        <v>2306</v>
      </c>
    </row>
    <row r="1323" spans="1:14" ht="15.75" hidden="1">
      <c r="A1323" s="1156"/>
      <c r="B1323" s="1169"/>
      <c r="C1323" s="1337"/>
      <c r="D1323" s="1171"/>
      <c r="E1323" s="1165"/>
      <c r="F1323" s="1166"/>
      <c r="G1323" s="1343"/>
      <c r="H1323" s="1156"/>
      <c r="I1323" s="1336"/>
      <c r="J1323" s="1168" t="s">
        <v>102</v>
      </c>
      <c r="K1323" s="1221">
        <f>data!E1519</f>
        <v>2886.61</v>
      </c>
      <c r="L1323" s="1159" t="s">
        <v>2306</v>
      </c>
      <c r="M1323" s="1224">
        <f>ROUND(I1323*K1323,0)</f>
        <v>0</v>
      </c>
      <c r="N1323" s="1161" t="s">
        <v>2306</v>
      </c>
    </row>
    <row r="1324" spans="1:14" ht="108" hidden="1" customHeight="1">
      <c r="A1324" s="1156">
        <v>30</v>
      </c>
      <c r="B1324" s="1826" t="s">
        <v>665</v>
      </c>
      <c r="C1324" s="1826"/>
      <c r="D1324" s="1826"/>
      <c r="E1324" s="1826"/>
      <c r="F1324" s="1826"/>
      <c r="G1324" s="1826"/>
      <c r="H1324" s="1826"/>
      <c r="I1324" s="1157"/>
      <c r="J1324" s="1158"/>
      <c r="K1324" s="1156"/>
      <c r="L1324" s="1159"/>
      <c r="M1324" s="1160"/>
      <c r="N1324" s="1161" t="s">
        <v>2317</v>
      </c>
    </row>
    <row r="1325" spans="1:14" s="1170" customFormat="1" ht="16.5" hidden="1" customHeight="1">
      <c r="A1325" s="1156"/>
      <c r="B1325" s="1163" t="s">
        <v>3710</v>
      </c>
      <c r="C1325" s="1351"/>
      <c r="D1325" s="1548" t="s">
        <v>3743</v>
      </c>
      <c r="E1325" s="1352"/>
      <c r="F1325" s="1234"/>
      <c r="G1325" s="1234"/>
      <c r="H1325" s="1235"/>
      <c r="I1325" s="1353"/>
      <c r="J1325" s="1168"/>
      <c r="K1325" s="1169"/>
      <c r="L1325" s="1159"/>
      <c r="M1325" s="1169"/>
      <c r="N1325" s="1161" t="s">
        <v>2317</v>
      </c>
    </row>
    <row r="1326" spans="1:14" s="1170" customFormat="1" ht="16.5" hidden="1" customHeight="1">
      <c r="A1326" s="1156"/>
      <c r="B1326" s="1359" t="s">
        <v>2522</v>
      </c>
      <c r="C1326" s="1360">
        <v>1</v>
      </c>
      <c r="D1326" s="1361" t="s">
        <v>273</v>
      </c>
      <c r="E1326" s="1362">
        <v>5</v>
      </c>
      <c r="F1326" s="1363">
        <v>3.6</v>
      </c>
      <c r="G1326" s="1363">
        <v>0.3</v>
      </c>
      <c r="H1326" s="1363">
        <v>0</v>
      </c>
      <c r="I1326" s="1336">
        <f t="shared" ref="I1326" si="134">ROUND(IF(AND(F1326:H1326),C1326*E1326*F1326*G1326*H1326,IF(AND(F1326,G1326),C1326*E1326*F1326*G1326,IF(AND(F1326,H1326),C1326*E1326*F1326*H1326,IF(AND(G1326,H1326),C1326*E1326*G1326*H1326,IF(F1326,C1326*E1326*F1326,IF(G1326,C1326*E1326*G1326,IF(H1326,C1326*E1326*H1326,C1326*E1326))))))),2)</f>
        <v>5.4</v>
      </c>
      <c r="J1326" s="1168" t="s">
        <v>102</v>
      </c>
      <c r="K1326" s="1169"/>
      <c r="L1326" s="1159"/>
      <c r="M1326" s="1169"/>
      <c r="N1326" s="1161" t="s">
        <v>2317</v>
      </c>
    </row>
    <row r="1327" spans="1:14" s="1170" customFormat="1" ht="16.5" hidden="1" customHeight="1">
      <c r="A1327" s="1156"/>
      <c r="B1327" s="1331"/>
      <c r="C1327" s="1332"/>
      <c r="D1327" s="1333"/>
      <c r="E1327" s="1334"/>
      <c r="F1327" s="1335"/>
      <c r="G1327" s="1335"/>
      <c r="H1327" s="1335"/>
      <c r="I1327" s="1336"/>
      <c r="J1327" s="1168"/>
      <c r="K1327" s="1169"/>
      <c r="L1327" s="1159"/>
      <c r="M1327" s="1169"/>
      <c r="N1327" s="1161" t="s">
        <v>2317</v>
      </c>
    </row>
    <row r="1328" spans="1:14" ht="15.75" hidden="1">
      <c r="A1328" s="1156"/>
      <c r="B1328" s="1169"/>
      <c r="C1328" s="1337"/>
      <c r="D1328" s="1171"/>
      <c r="E1328" s="1165"/>
      <c r="F1328" s="1166"/>
      <c r="G1328" s="1343"/>
      <c r="H1328" s="1156"/>
      <c r="I1328" s="1336"/>
      <c r="J1328" s="1168" t="s">
        <v>102</v>
      </c>
      <c r="K1328" s="1221">
        <f>data!E2436</f>
        <v>2942.62</v>
      </c>
      <c r="L1328" s="1159" t="s">
        <v>2317</v>
      </c>
      <c r="M1328" s="1224">
        <f>ROUND(I1328*K1328,0)</f>
        <v>0</v>
      </c>
      <c r="N1328" s="1161" t="s">
        <v>2317</v>
      </c>
    </row>
    <row r="1329" spans="1:14" ht="108" hidden="1" customHeight="1">
      <c r="A1329" s="1156">
        <v>23</v>
      </c>
      <c r="B1329" s="1826" t="s">
        <v>665</v>
      </c>
      <c r="C1329" s="1826"/>
      <c r="D1329" s="1826"/>
      <c r="E1329" s="1826"/>
      <c r="F1329" s="1826"/>
      <c r="G1329" s="1826"/>
      <c r="H1329" s="1826"/>
      <c r="I1329" s="1157"/>
      <c r="J1329" s="1158"/>
      <c r="K1329" s="1156"/>
      <c r="L1329" s="1159"/>
      <c r="M1329" s="1160"/>
      <c r="N1329" s="1161" t="s">
        <v>2318</v>
      </c>
    </row>
    <row r="1330" spans="1:14" s="1170" customFormat="1" ht="16.5" hidden="1" customHeight="1">
      <c r="A1330" s="1156"/>
      <c r="B1330" s="1169" t="s">
        <v>3483</v>
      </c>
      <c r="C1330" s="1351"/>
      <c r="D1330" s="1171" t="s">
        <v>3336</v>
      </c>
      <c r="E1330" s="1352"/>
      <c r="F1330" s="1234"/>
      <c r="G1330" s="1234"/>
      <c r="H1330" s="1235"/>
      <c r="I1330" s="1353"/>
      <c r="J1330" s="1168"/>
      <c r="K1330" s="1169"/>
      <c r="L1330" s="1159"/>
      <c r="M1330" s="1169"/>
      <c r="N1330" s="1161" t="s">
        <v>2318</v>
      </c>
    </row>
    <row r="1331" spans="1:14" s="1170" customFormat="1" ht="16.5" hidden="1" customHeight="1">
      <c r="A1331" s="1156"/>
      <c r="B1331" s="1359" t="s">
        <v>3186</v>
      </c>
      <c r="C1331" s="1360">
        <v>1</v>
      </c>
      <c r="D1331" s="1361" t="s">
        <v>273</v>
      </c>
      <c r="E1331" s="1362">
        <v>1</v>
      </c>
      <c r="F1331" s="1363">
        <v>3.25</v>
      </c>
      <c r="G1331" s="1363">
        <v>2.64</v>
      </c>
      <c r="H1331" s="1363">
        <v>0</v>
      </c>
      <c r="I1331" s="1336">
        <f t="shared" ref="I1331:I1342" si="135">ROUND(IF(AND(F1331:H1331),C1331*E1331*F1331*G1331*H1331,IF(AND(F1331,G1331),C1331*E1331*F1331*G1331,IF(AND(F1331,H1331),C1331*E1331*F1331*H1331,IF(AND(G1331,H1331),C1331*E1331*G1331*H1331,IF(F1331,C1331*E1331*F1331,IF(G1331,C1331*E1331*G1331,IF(H1331,C1331*E1331*H1331,C1331*E1331))))))),2)</f>
        <v>8.58</v>
      </c>
      <c r="J1331" s="1168" t="s">
        <v>102</v>
      </c>
      <c r="K1331" s="1169"/>
      <c r="L1331" s="1159"/>
      <c r="M1331" s="1169"/>
      <c r="N1331" s="1161" t="s">
        <v>2318</v>
      </c>
    </row>
    <row r="1332" spans="1:14" s="1170" customFormat="1" ht="16.5" hidden="1" customHeight="1">
      <c r="A1332" s="1156"/>
      <c r="B1332" s="1359" t="s">
        <v>3073</v>
      </c>
      <c r="C1332" s="1360">
        <v>1</v>
      </c>
      <c r="D1332" s="1361" t="s">
        <v>273</v>
      </c>
      <c r="E1332" s="1362">
        <v>1</v>
      </c>
      <c r="F1332" s="1363">
        <v>3.25</v>
      </c>
      <c r="G1332" s="1363">
        <v>2.72</v>
      </c>
      <c r="H1332" s="1363">
        <v>0</v>
      </c>
      <c r="I1332" s="1336">
        <f t="shared" si="135"/>
        <v>8.84</v>
      </c>
      <c r="J1332" s="1168" t="s">
        <v>102</v>
      </c>
      <c r="K1332" s="1169"/>
      <c r="L1332" s="1159"/>
      <c r="M1332" s="1169"/>
      <c r="N1332" s="1161" t="s">
        <v>2318</v>
      </c>
    </row>
    <row r="1333" spans="1:14" s="1170" customFormat="1" ht="16.5" hidden="1" customHeight="1">
      <c r="A1333" s="1156"/>
      <c r="B1333" s="1359" t="s">
        <v>799</v>
      </c>
      <c r="C1333" s="1360">
        <v>1</v>
      </c>
      <c r="D1333" s="1361" t="s">
        <v>273</v>
      </c>
      <c r="E1333" s="1362">
        <v>1</v>
      </c>
      <c r="F1333" s="1363">
        <v>4.9800000000000004</v>
      </c>
      <c r="G1333" s="1363">
        <v>8.6</v>
      </c>
      <c r="H1333" s="1363">
        <v>0</v>
      </c>
      <c r="I1333" s="1336">
        <f t="shared" si="135"/>
        <v>42.83</v>
      </c>
      <c r="J1333" s="1168" t="s">
        <v>102</v>
      </c>
      <c r="K1333" s="1169"/>
      <c r="L1333" s="1159"/>
      <c r="M1333" s="1169"/>
      <c r="N1333" s="1161" t="s">
        <v>2318</v>
      </c>
    </row>
    <row r="1334" spans="1:14" s="1170" customFormat="1" ht="16.5" hidden="1" customHeight="1">
      <c r="A1334" s="1156"/>
      <c r="B1334" s="1359" t="s">
        <v>314</v>
      </c>
      <c r="C1334" s="1360">
        <v>1</v>
      </c>
      <c r="D1334" s="1361" t="s">
        <v>273</v>
      </c>
      <c r="E1334" s="1362">
        <v>1</v>
      </c>
      <c r="F1334" s="1363">
        <v>3.4</v>
      </c>
      <c r="G1334" s="1363">
        <v>2.68</v>
      </c>
      <c r="H1334" s="1363">
        <v>0</v>
      </c>
      <c r="I1334" s="1336">
        <f t="shared" si="135"/>
        <v>9.11</v>
      </c>
      <c r="J1334" s="1168" t="s">
        <v>102</v>
      </c>
      <c r="K1334" s="1169"/>
      <c r="L1334" s="1159"/>
      <c r="M1334" s="1169"/>
      <c r="N1334" s="1161" t="s">
        <v>2318</v>
      </c>
    </row>
    <row r="1335" spans="1:14" s="1170" customFormat="1" ht="16.5" hidden="1" customHeight="1">
      <c r="A1335" s="1156"/>
      <c r="B1335" s="1359" t="s">
        <v>578</v>
      </c>
      <c r="C1335" s="1360">
        <v>1</v>
      </c>
      <c r="D1335" s="1361" t="s">
        <v>273</v>
      </c>
      <c r="E1335" s="1362">
        <v>1</v>
      </c>
      <c r="F1335" s="1363">
        <v>5.6</v>
      </c>
      <c r="G1335" s="1363">
        <v>2.75</v>
      </c>
      <c r="H1335" s="1363">
        <v>0</v>
      </c>
      <c r="I1335" s="1336">
        <f t="shared" si="135"/>
        <v>15.4</v>
      </c>
      <c r="J1335" s="1168" t="s">
        <v>102</v>
      </c>
      <c r="K1335" s="1169"/>
      <c r="L1335" s="1159"/>
      <c r="M1335" s="1169"/>
      <c r="N1335" s="1161" t="s">
        <v>2318</v>
      </c>
    </row>
    <row r="1336" spans="1:14" s="1170" customFormat="1" ht="16.5" hidden="1" customHeight="1">
      <c r="A1336" s="1156"/>
      <c r="B1336" s="1359" t="s">
        <v>2515</v>
      </c>
      <c r="C1336" s="1360">
        <v>1</v>
      </c>
      <c r="D1336" s="1361" t="s">
        <v>273</v>
      </c>
      <c r="E1336" s="1362">
        <v>4</v>
      </c>
      <c r="F1336" s="1363">
        <v>5.6</v>
      </c>
      <c r="G1336" s="1363">
        <v>0.3</v>
      </c>
      <c r="H1336" s="1363">
        <v>0</v>
      </c>
      <c r="I1336" s="1336">
        <f t="shared" si="135"/>
        <v>6.72</v>
      </c>
      <c r="J1336" s="1168" t="s">
        <v>102</v>
      </c>
      <c r="K1336" s="1169"/>
      <c r="L1336" s="1159"/>
      <c r="M1336" s="1169"/>
      <c r="N1336" s="1161" t="s">
        <v>2318</v>
      </c>
    </row>
    <row r="1337" spans="1:14" s="1170" customFormat="1" ht="16.5" hidden="1" customHeight="1">
      <c r="A1337" s="1156"/>
      <c r="B1337" s="1359" t="s">
        <v>3192</v>
      </c>
      <c r="C1337" s="1360">
        <v>1</v>
      </c>
      <c r="D1337" s="1361" t="s">
        <v>273</v>
      </c>
      <c r="E1337" s="1362">
        <v>9</v>
      </c>
      <c r="F1337" s="1363">
        <v>1.25</v>
      </c>
      <c r="G1337" s="1363">
        <v>0.3</v>
      </c>
      <c r="H1337" s="1363">
        <v>0</v>
      </c>
      <c r="I1337" s="1336">
        <f t="shared" si="135"/>
        <v>3.38</v>
      </c>
      <c r="J1337" s="1168" t="s">
        <v>102</v>
      </c>
      <c r="K1337" s="1169"/>
      <c r="L1337" s="1159"/>
      <c r="M1337" s="1169"/>
      <c r="N1337" s="1161" t="s">
        <v>2318</v>
      </c>
    </row>
    <row r="1338" spans="1:14" s="1170" customFormat="1" ht="16.5" hidden="1" customHeight="1">
      <c r="A1338" s="1156"/>
      <c r="B1338" s="1359"/>
      <c r="C1338" s="1360">
        <v>1</v>
      </c>
      <c r="D1338" s="1361" t="s">
        <v>273</v>
      </c>
      <c r="E1338" s="1362">
        <v>1</v>
      </c>
      <c r="F1338" s="1363">
        <v>1.25</v>
      </c>
      <c r="G1338" s="1363">
        <v>0.45</v>
      </c>
      <c r="H1338" s="1363">
        <v>0</v>
      </c>
      <c r="I1338" s="1336">
        <f t="shared" si="135"/>
        <v>0.56000000000000005</v>
      </c>
      <c r="J1338" s="1168" t="s">
        <v>102</v>
      </c>
      <c r="K1338" s="1169"/>
      <c r="L1338" s="1159"/>
      <c r="M1338" s="1169"/>
      <c r="N1338" s="1161" t="s">
        <v>2318</v>
      </c>
    </row>
    <row r="1339" spans="1:14" s="1170" customFormat="1" ht="16.5" hidden="1" customHeight="1">
      <c r="A1339" s="1156"/>
      <c r="B1339" s="1359" t="s">
        <v>1249</v>
      </c>
      <c r="C1339" s="1360">
        <v>1</v>
      </c>
      <c r="D1339" s="1361" t="s">
        <v>273</v>
      </c>
      <c r="E1339" s="1362">
        <v>1</v>
      </c>
      <c r="F1339" s="1363">
        <v>2.9</v>
      </c>
      <c r="G1339" s="1363">
        <v>1.25</v>
      </c>
      <c r="H1339" s="1363">
        <v>0</v>
      </c>
      <c r="I1339" s="1336">
        <f t="shared" si="135"/>
        <v>3.63</v>
      </c>
      <c r="J1339" s="1168" t="s">
        <v>102</v>
      </c>
      <c r="K1339" s="1169"/>
      <c r="L1339" s="1159"/>
      <c r="M1339" s="1169"/>
      <c r="N1339" s="1161" t="s">
        <v>2318</v>
      </c>
    </row>
    <row r="1340" spans="1:14" s="1170" customFormat="1" ht="16.5" hidden="1" customHeight="1">
      <c r="A1340" s="1156"/>
      <c r="B1340" s="1359" t="s">
        <v>3193</v>
      </c>
      <c r="C1340" s="1360">
        <v>1</v>
      </c>
      <c r="D1340" s="1361" t="s">
        <v>273</v>
      </c>
      <c r="E1340" s="1362">
        <v>1</v>
      </c>
      <c r="F1340" s="1363">
        <v>0.38</v>
      </c>
      <c r="G1340" s="1363">
        <v>0.1</v>
      </c>
      <c r="H1340" s="1363">
        <v>0</v>
      </c>
      <c r="I1340" s="1336">
        <f>-ROUND(IF(AND(F1340:H1340),C1340*E1340*F1340*G1340*H1340,IF(AND(F1340,G1340),C1340*E1340*F1340*G1340,IF(AND(F1340,H1340),C1340*E1340*F1340*H1340,IF(AND(G1340,H1340),C1340*E1340*G1340*H1340,IF(F1340,C1340*E1340*F1340,IF(G1340,C1340*E1340*G1340,IF(H1340,C1340*E1340*H1340,C1340*E1340))))))),2)</f>
        <v>-0.04</v>
      </c>
      <c r="J1340" s="1168" t="s">
        <v>102</v>
      </c>
      <c r="K1340" s="1169"/>
      <c r="L1340" s="1159"/>
      <c r="M1340" s="1169"/>
      <c r="N1340" s="1161" t="s">
        <v>2318</v>
      </c>
    </row>
    <row r="1341" spans="1:14" s="1170" customFormat="1" ht="16.5" hidden="1" customHeight="1">
      <c r="A1341" s="1156"/>
      <c r="B1341" s="1359" t="s">
        <v>3194</v>
      </c>
      <c r="C1341" s="1360">
        <v>1</v>
      </c>
      <c r="D1341" s="1361" t="s">
        <v>273</v>
      </c>
      <c r="E1341" s="1362">
        <v>9</v>
      </c>
      <c r="F1341" s="1363">
        <v>1.2</v>
      </c>
      <c r="G1341" s="1363">
        <v>0.3</v>
      </c>
      <c r="H1341" s="1363">
        <v>0</v>
      </c>
      <c r="I1341" s="1336">
        <f t="shared" si="135"/>
        <v>3.24</v>
      </c>
      <c r="J1341" s="1168" t="s">
        <v>102</v>
      </c>
      <c r="K1341" s="1169"/>
      <c r="L1341" s="1159"/>
      <c r="M1341" s="1169"/>
      <c r="N1341" s="1161" t="s">
        <v>2318</v>
      </c>
    </row>
    <row r="1342" spans="1:14" s="1170" customFormat="1" ht="16.5" hidden="1" customHeight="1">
      <c r="A1342" s="1156"/>
      <c r="B1342" s="1359"/>
      <c r="C1342" s="1360">
        <v>1</v>
      </c>
      <c r="D1342" s="1361" t="s">
        <v>273</v>
      </c>
      <c r="E1342" s="1362">
        <v>1</v>
      </c>
      <c r="F1342" s="1363">
        <v>1.2</v>
      </c>
      <c r="G1342" s="1363">
        <v>0.45</v>
      </c>
      <c r="H1342" s="1363">
        <v>0</v>
      </c>
      <c r="I1342" s="1336">
        <f t="shared" si="135"/>
        <v>0.54</v>
      </c>
      <c r="J1342" s="1168" t="s">
        <v>102</v>
      </c>
      <c r="K1342" s="1169"/>
      <c r="L1342" s="1159"/>
      <c r="M1342" s="1169"/>
      <c r="N1342" s="1161" t="s">
        <v>2318</v>
      </c>
    </row>
    <row r="1343" spans="1:14" s="1170" customFormat="1" ht="16.5" hidden="1" customHeight="1">
      <c r="A1343" s="1156"/>
      <c r="B1343" s="1331"/>
      <c r="C1343" s="1332"/>
      <c r="D1343" s="1333"/>
      <c r="E1343" s="1334"/>
      <c r="F1343" s="1335"/>
      <c r="G1343" s="1335"/>
      <c r="H1343" s="1335"/>
      <c r="I1343" s="1336"/>
      <c r="J1343" s="1168"/>
      <c r="K1343" s="1169"/>
      <c r="L1343" s="1159"/>
      <c r="M1343" s="1169"/>
      <c r="N1343" s="1161" t="s">
        <v>2318</v>
      </c>
    </row>
    <row r="1344" spans="1:14" ht="15.75" hidden="1">
      <c r="A1344" s="1156"/>
      <c r="B1344" s="1169"/>
      <c r="C1344" s="1337"/>
      <c r="D1344" s="1171"/>
      <c r="E1344" s="1165"/>
      <c r="F1344" s="1166"/>
      <c r="G1344" s="1343"/>
      <c r="H1344" s="1156"/>
      <c r="I1344" s="1336"/>
      <c r="J1344" s="1168" t="s">
        <v>102</v>
      </c>
      <c r="K1344" s="1221">
        <f>data!E3353</f>
        <v>3115.07</v>
      </c>
      <c r="L1344" s="1159" t="s">
        <v>2318</v>
      </c>
      <c r="M1344" s="1224">
        <f>ROUND(I1344*K1344,0)</f>
        <v>0</v>
      </c>
      <c r="N1344" s="1161" t="s">
        <v>2318</v>
      </c>
    </row>
    <row r="1345" spans="1:14" s="1575" customFormat="1" ht="93.75" customHeight="1">
      <c r="A1345" s="1570">
        <v>23</v>
      </c>
      <c r="B1345" s="1827" t="s">
        <v>3378</v>
      </c>
      <c r="C1345" s="1827"/>
      <c r="D1345" s="1827"/>
      <c r="E1345" s="1827"/>
      <c r="F1345" s="1827"/>
      <c r="G1345" s="1827"/>
      <c r="H1345" s="1827"/>
      <c r="I1345" s="1571"/>
      <c r="J1345" s="1572"/>
      <c r="K1345" s="1570"/>
      <c r="L1345" s="1573"/>
      <c r="M1345" s="1577"/>
      <c r="N1345" s="1578" t="s">
        <v>2218</v>
      </c>
    </row>
    <row r="1346" spans="1:14" s="1586" customFormat="1" ht="16.5" customHeight="1">
      <c r="A1346" s="1570"/>
      <c r="B1346" s="1579" t="s">
        <v>3818</v>
      </c>
      <c r="C1346" s="1571"/>
      <c r="D1346" s="1790" t="s">
        <v>3875</v>
      </c>
      <c r="E1346" s="1588"/>
      <c r="F1346" s="1589"/>
      <c r="G1346" s="1589"/>
      <c r="H1346" s="1589"/>
      <c r="I1346" s="1630"/>
      <c r="J1346" s="1598"/>
      <c r="K1346" s="1585"/>
      <c r="L1346" s="1570"/>
      <c r="M1346" s="1585"/>
      <c r="N1346" s="1578" t="s">
        <v>2218</v>
      </c>
    </row>
    <row r="1347" spans="1:14" s="1586" customFormat="1" ht="16.5" customHeight="1">
      <c r="A1347" s="1570"/>
      <c r="B1347" s="1638" t="s">
        <v>3359</v>
      </c>
      <c r="C1347" s="1639">
        <v>1</v>
      </c>
      <c r="D1347" s="1640" t="s">
        <v>273</v>
      </c>
      <c r="E1347" s="1641">
        <v>1</v>
      </c>
      <c r="F1347" s="1622">
        <v>30.1</v>
      </c>
      <c r="G1347" s="1622">
        <v>0</v>
      </c>
      <c r="H1347" s="1622">
        <v>0.1</v>
      </c>
      <c r="I1347" s="1605">
        <f t="shared" ref="I1347:I1352" si="136">ROUND(IF(AND(F1347:H1347),C1347*E1347*F1347*G1347*H1347,IF(AND(F1347,G1347),C1347*E1347*F1347*G1347,IF(AND(F1347,H1347),C1347*E1347*F1347*H1347,IF(AND(G1347,H1347),C1347*E1347*G1347*H1347,IF(F1347,C1347*E1347*F1347,IF(G1347,C1347*E1347*G1347,IF(H1347,C1347*E1347*H1347,C1347*E1347))))))),2)</f>
        <v>3.01</v>
      </c>
      <c r="J1347" s="1598" t="s">
        <v>102</v>
      </c>
      <c r="K1347" s="1585"/>
      <c r="L1347" s="1570"/>
      <c r="M1347" s="1585"/>
      <c r="N1347" s="1578" t="s">
        <v>2218</v>
      </c>
    </row>
    <row r="1348" spans="1:14" s="1586" customFormat="1" ht="16.5" customHeight="1">
      <c r="A1348" s="1570"/>
      <c r="B1348" s="1638" t="s">
        <v>3422</v>
      </c>
      <c r="C1348" s="1639">
        <v>1</v>
      </c>
      <c r="D1348" s="1640" t="s">
        <v>273</v>
      </c>
      <c r="E1348" s="1641">
        <v>1</v>
      </c>
      <c r="F1348" s="1622">
        <v>14.54</v>
      </c>
      <c r="G1348" s="1622">
        <v>0</v>
      </c>
      <c r="H1348" s="1622">
        <v>0.1</v>
      </c>
      <c r="I1348" s="1605">
        <f t="shared" si="136"/>
        <v>1.45</v>
      </c>
      <c r="J1348" s="1598" t="s">
        <v>102</v>
      </c>
      <c r="K1348" s="1585"/>
      <c r="L1348" s="1570"/>
      <c r="M1348" s="1585"/>
      <c r="N1348" s="1578" t="s">
        <v>2218</v>
      </c>
    </row>
    <row r="1349" spans="1:14" s="1586" customFormat="1" ht="16.5" customHeight="1">
      <c r="A1349" s="1570"/>
      <c r="B1349" s="1638" t="s">
        <v>3195</v>
      </c>
      <c r="C1349" s="1639">
        <v>1</v>
      </c>
      <c r="D1349" s="1640" t="s">
        <v>273</v>
      </c>
      <c r="E1349" s="1641">
        <v>1</v>
      </c>
      <c r="F1349" s="1622">
        <v>14.54</v>
      </c>
      <c r="G1349" s="1622">
        <v>0</v>
      </c>
      <c r="H1349" s="1622">
        <v>0.1</v>
      </c>
      <c r="I1349" s="1605">
        <f t="shared" si="136"/>
        <v>1.45</v>
      </c>
      <c r="J1349" s="1598" t="s">
        <v>102</v>
      </c>
      <c r="K1349" s="1585"/>
      <c r="L1349" s="1570"/>
      <c r="M1349" s="1585"/>
      <c r="N1349" s="1578" t="s">
        <v>2218</v>
      </c>
    </row>
    <row r="1350" spans="1:14" s="1586" customFormat="1" ht="16.5" customHeight="1">
      <c r="A1350" s="1570"/>
      <c r="B1350" s="1638" t="s">
        <v>3363</v>
      </c>
      <c r="C1350" s="1639">
        <v>1</v>
      </c>
      <c r="D1350" s="1640" t="s">
        <v>273</v>
      </c>
      <c r="E1350" s="1641">
        <v>1</v>
      </c>
      <c r="F1350" s="1622">
        <v>14.54</v>
      </c>
      <c r="G1350" s="1622">
        <v>0</v>
      </c>
      <c r="H1350" s="1622">
        <v>0.1</v>
      </c>
      <c r="I1350" s="1605">
        <f t="shared" si="136"/>
        <v>1.45</v>
      </c>
      <c r="J1350" s="1598" t="s">
        <v>102</v>
      </c>
      <c r="K1350" s="1585"/>
      <c r="L1350" s="1570"/>
      <c r="M1350" s="1585"/>
      <c r="N1350" s="1578" t="s">
        <v>2218</v>
      </c>
    </row>
    <row r="1351" spans="1:14" s="1586" customFormat="1" ht="16.5" customHeight="1">
      <c r="A1351" s="1570"/>
      <c r="B1351" s="1638" t="s">
        <v>2086</v>
      </c>
      <c r="C1351" s="1639">
        <v>1</v>
      </c>
      <c r="D1351" s="1640" t="s">
        <v>273</v>
      </c>
      <c r="E1351" s="1641">
        <v>1</v>
      </c>
      <c r="F1351" s="1622">
        <v>9.85</v>
      </c>
      <c r="G1351" s="1622">
        <v>0</v>
      </c>
      <c r="H1351" s="1622">
        <v>0.1</v>
      </c>
      <c r="I1351" s="1605">
        <f t="shared" si="136"/>
        <v>0.99</v>
      </c>
      <c r="J1351" s="1598" t="s">
        <v>102</v>
      </c>
      <c r="K1351" s="1585"/>
      <c r="L1351" s="1570"/>
      <c r="M1351" s="1585"/>
      <c r="N1351" s="1578" t="s">
        <v>2218</v>
      </c>
    </row>
    <row r="1352" spans="1:14" s="1586" customFormat="1" ht="16.5" customHeight="1">
      <c r="A1352" s="1570"/>
      <c r="B1352" s="1638" t="s">
        <v>2522</v>
      </c>
      <c r="C1352" s="1639">
        <v>1</v>
      </c>
      <c r="D1352" s="1640" t="s">
        <v>273</v>
      </c>
      <c r="E1352" s="1641">
        <v>3</v>
      </c>
      <c r="F1352" s="1622">
        <v>3.5</v>
      </c>
      <c r="G1352" s="1622">
        <v>0</v>
      </c>
      <c r="H1352" s="1622">
        <v>0.15</v>
      </c>
      <c r="I1352" s="1605">
        <f t="shared" si="136"/>
        <v>1.58</v>
      </c>
      <c r="J1352" s="1598" t="s">
        <v>102</v>
      </c>
      <c r="K1352" s="1585"/>
      <c r="L1352" s="1570"/>
      <c r="M1352" s="1585"/>
      <c r="N1352" s="1578" t="s">
        <v>2218</v>
      </c>
    </row>
    <row r="1353" spans="1:14" s="1586" customFormat="1" ht="16.5" customHeight="1">
      <c r="A1353" s="1570"/>
      <c r="B1353" s="1638" t="s">
        <v>2506</v>
      </c>
      <c r="C1353" s="1639">
        <v>1</v>
      </c>
      <c r="D1353" s="1640" t="s">
        <v>273</v>
      </c>
      <c r="E1353" s="1641">
        <v>2</v>
      </c>
      <c r="F1353" s="1622">
        <v>1.2</v>
      </c>
      <c r="G1353" s="1622">
        <v>0</v>
      </c>
      <c r="H1353" s="1622">
        <v>0.1</v>
      </c>
      <c r="I1353" s="1605">
        <f>-ROUND(IF(AND(F1353:H1353),C1353*E1353*F1353*G1353*H1353,IF(AND(F1353,G1353),C1353*E1353*F1353*G1353,IF(AND(F1353,H1353),C1353*E1353*F1353*H1353,IF(AND(G1353,H1353),C1353*E1353*G1353*H1353,IF(F1353,C1353*E1353*F1353,IF(G1353,C1353*E1353*G1353,IF(H1353,C1353*E1353*H1353,C1353*E1353))))))),2)</f>
        <v>-0.24</v>
      </c>
      <c r="J1353" s="1598" t="s">
        <v>102</v>
      </c>
      <c r="K1353" s="1585"/>
      <c r="L1353" s="1570"/>
      <c r="M1353" s="1585"/>
      <c r="N1353" s="1578" t="s">
        <v>2218</v>
      </c>
    </row>
    <row r="1354" spans="1:14" s="1586" customFormat="1" ht="16.5" customHeight="1">
      <c r="A1354" s="1570"/>
      <c r="B1354" s="1638" t="s">
        <v>2506</v>
      </c>
      <c r="C1354" s="1639">
        <v>1</v>
      </c>
      <c r="D1354" s="1640" t="s">
        <v>273</v>
      </c>
      <c r="E1354" s="1641">
        <v>1</v>
      </c>
      <c r="F1354" s="1622">
        <v>1.2</v>
      </c>
      <c r="G1354" s="1622">
        <v>0</v>
      </c>
      <c r="H1354" s="1622">
        <v>0.1</v>
      </c>
      <c r="I1354" s="1605">
        <f>-ROUND(IF(AND(F1354:H1354),C1354*E1354*F1354*G1354*H1354,IF(AND(F1354,G1354),C1354*E1354*F1354*G1354,IF(AND(F1354,H1354),C1354*E1354*F1354*H1354,IF(AND(G1354,H1354),C1354*E1354*G1354*H1354,IF(F1354,C1354*E1354*F1354,IF(G1354,C1354*E1354*G1354,IF(H1354,C1354*E1354*H1354,C1354*E1354))))))),2)</f>
        <v>-0.12</v>
      </c>
      <c r="J1354" s="1598" t="s">
        <v>102</v>
      </c>
      <c r="K1354" s="1585"/>
      <c r="L1354" s="1570"/>
      <c r="M1354" s="1585"/>
      <c r="N1354" s="1578" t="s">
        <v>2218</v>
      </c>
    </row>
    <row r="1355" spans="1:14" s="1586" customFormat="1" ht="16.5" customHeight="1">
      <c r="A1355" s="1570"/>
      <c r="B1355" s="1638" t="s">
        <v>2506</v>
      </c>
      <c r="C1355" s="1639">
        <v>2</v>
      </c>
      <c r="D1355" s="1640" t="s">
        <v>273</v>
      </c>
      <c r="E1355" s="1641">
        <v>2</v>
      </c>
      <c r="F1355" s="1622">
        <v>1.05</v>
      </c>
      <c r="G1355" s="1622">
        <v>0</v>
      </c>
      <c r="H1355" s="1622">
        <v>0.1</v>
      </c>
      <c r="I1355" s="1605">
        <f>-ROUND(IF(AND(F1355:H1355),C1355*E1355*F1355*G1355*H1355,IF(AND(F1355,G1355),C1355*E1355*F1355*G1355,IF(AND(F1355,H1355),C1355*E1355*F1355*H1355,IF(AND(G1355,H1355),C1355*E1355*G1355*H1355,IF(F1355,C1355*E1355*F1355,IF(G1355,C1355*E1355*G1355,IF(H1355,C1355*E1355*H1355,C1355*E1355))))))),2)</f>
        <v>-0.42</v>
      </c>
      <c r="J1355" s="1598" t="s">
        <v>102</v>
      </c>
      <c r="K1355" s="1585"/>
      <c r="L1355" s="1573"/>
      <c r="M1355" s="1585"/>
      <c r="N1355" s="1578" t="s">
        <v>2218</v>
      </c>
    </row>
    <row r="1356" spans="1:14" s="1586" customFormat="1" ht="16.5" customHeight="1">
      <c r="A1356" s="1570"/>
      <c r="B1356" s="1638"/>
      <c r="C1356" s="1639"/>
      <c r="D1356" s="1640"/>
      <c r="E1356" s="1641"/>
      <c r="F1356" s="1622"/>
      <c r="G1356" s="1622"/>
      <c r="H1356" s="1622"/>
      <c r="I1356" s="1605"/>
      <c r="J1356" s="1598"/>
      <c r="K1356" s="1585"/>
      <c r="L1356" s="1573"/>
      <c r="M1356" s="1585"/>
      <c r="N1356" s="1578" t="s">
        <v>2218</v>
      </c>
    </row>
    <row r="1357" spans="1:14" s="1575" customFormat="1" ht="15.75">
      <c r="A1357" s="1570"/>
      <c r="B1357" s="1585"/>
      <c r="C1357" s="1606"/>
      <c r="D1357" s="1587"/>
      <c r="E1357" s="1588"/>
      <c r="F1357" s="1589"/>
      <c r="G1357" s="1607"/>
      <c r="H1357" s="1570"/>
      <c r="I1357" s="1605">
        <f>SUM(I1347:I1356)</f>
        <v>9.15</v>
      </c>
      <c r="J1357" s="1598" t="s">
        <v>102</v>
      </c>
      <c r="K1357" s="1608">
        <f>data!E621</f>
        <v>2667.63</v>
      </c>
      <c r="L1357" s="1573" t="s">
        <v>2218</v>
      </c>
      <c r="M1357" s="1609">
        <f>ROUND(I1357*K1357,0)</f>
        <v>24409</v>
      </c>
      <c r="N1357" s="1578" t="s">
        <v>2218</v>
      </c>
    </row>
    <row r="1358" spans="1:14" ht="93.75" hidden="1" customHeight="1">
      <c r="A1358" s="1156">
        <v>29</v>
      </c>
      <c r="B1358" s="1826" t="s">
        <v>671</v>
      </c>
      <c r="C1358" s="1826"/>
      <c r="D1358" s="1826"/>
      <c r="E1358" s="1826"/>
      <c r="F1358" s="1826"/>
      <c r="G1358" s="1826"/>
      <c r="H1358" s="1826"/>
      <c r="I1358" s="1157"/>
      <c r="J1358" s="1158"/>
      <c r="K1358" s="1156"/>
      <c r="L1358" s="1159"/>
      <c r="M1358" s="1160"/>
      <c r="N1358" s="1161" t="s">
        <v>2306</v>
      </c>
    </row>
    <row r="1359" spans="1:14" s="1170" customFormat="1" ht="16.5" hidden="1" customHeight="1">
      <c r="A1359" s="1156"/>
      <c r="B1359" s="1163" t="s">
        <v>3521</v>
      </c>
      <c r="C1359" s="1351"/>
      <c r="D1359" s="1328" t="s">
        <v>3530</v>
      </c>
      <c r="E1359" s="1352"/>
      <c r="F1359" s="1234"/>
      <c r="G1359" s="1234"/>
      <c r="H1359" s="1235"/>
      <c r="I1359" s="1353"/>
      <c r="J1359" s="1168"/>
      <c r="K1359" s="1169"/>
      <c r="L1359" s="1156"/>
      <c r="M1359" s="1169"/>
      <c r="N1359" s="1161" t="s">
        <v>2306</v>
      </c>
    </row>
    <row r="1360" spans="1:14" s="1170" customFormat="1" ht="16.5" hidden="1" customHeight="1">
      <c r="A1360" s="1156"/>
      <c r="B1360" s="1359" t="s">
        <v>3359</v>
      </c>
      <c r="C1360" s="1332">
        <v>1</v>
      </c>
      <c r="D1360" s="1333" t="s">
        <v>273</v>
      </c>
      <c r="E1360" s="1334">
        <v>1</v>
      </c>
      <c r="F1360" s="1335">
        <v>29.7</v>
      </c>
      <c r="G1360" s="1335">
        <v>0</v>
      </c>
      <c r="H1360" s="1335">
        <v>0.1</v>
      </c>
      <c r="I1360" s="1336">
        <f>ROUND(IF(AND(F1360:H1360),C1360*E1360*F1360*G1360*H1360,IF(AND(F1360,G1360),C1360*E1360*F1360*G1360,IF(AND(F1360,H1360),C1360*E1360*F1360*H1360,IF(AND(G1360,H1360),C1360*E1360*G1360*H1360,IF(F1360,C1360*E1360*F1360,IF(G1360,C1360*E1360*G1360,IF(H1360,C1360*E1360*H1360,C1360*E1360))))))),2)</f>
        <v>2.97</v>
      </c>
      <c r="J1360" s="1168" t="s">
        <v>102</v>
      </c>
      <c r="K1360" s="1169"/>
      <c r="L1360" s="1156"/>
      <c r="M1360" s="1169"/>
      <c r="N1360" s="1161" t="s">
        <v>2306</v>
      </c>
    </row>
    <row r="1361" spans="1:14" s="1170" customFormat="1" ht="16.5" hidden="1" customHeight="1">
      <c r="A1361" s="1156"/>
      <c r="B1361" s="1359" t="s">
        <v>3522</v>
      </c>
      <c r="C1361" s="1332">
        <v>1</v>
      </c>
      <c r="D1361" s="1333" t="s">
        <v>273</v>
      </c>
      <c r="E1361" s="1334">
        <v>3</v>
      </c>
      <c r="F1361" s="1335">
        <v>14.2</v>
      </c>
      <c r="G1361" s="1335">
        <v>0</v>
      </c>
      <c r="H1361" s="1335">
        <v>0.1</v>
      </c>
      <c r="I1361" s="1336">
        <f>ROUND(IF(AND(F1361:H1361),C1361*E1361*F1361*G1361*H1361,IF(AND(F1361,G1361),C1361*E1361*F1361*G1361,IF(AND(F1361,H1361),C1361*E1361*F1361*H1361,IF(AND(G1361,H1361),C1361*E1361*G1361*H1361,IF(F1361,C1361*E1361*F1361,IF(G1361,C1361*E1361*G1361,IF(H1361,C1361*E1361*H1361,C1361*E1361))))))),2)</f>
        <v>4.26</v>
      </c>
      <c r="J1361" s="1168" t="s">
        <v>102</v>
      </c>
      <c r="K1361" s="1169"/>
      <c r="L1361" s="1156"/>
      <c r="M1361" s="1169"/>
      <c r="N1361" s="1161" t="s">
        <v>2306</v>
      </c>
    </row>
    <row r="1362" spans="1:14" s="1170" customFormat="1" ht="16.5" hidden="1" customHeight="1">
      <c r="A1362" s="1156"/>
      <c r="B1362" s="1359" t="s">
        <v>578</v>
      </c>
      <c r="C1362" s="1332">
        <v>1</v>
      </c>
      <c r="D1362" s="1333" t="s">
        <v>273</v>
      </c>
      <c r="E1362" s="1334">
        <v>1</v>
      </c>
      <c r="F1362" s="1335">
        <v>9.84</v>
      </c>
      <c r="G1362" s="1335">
        <v>0</v>
      </c>
      <c r="H1362" s="1335">
        <v>0.1</v>
      </c>
      <c r="I1362" s="1336">
        <f>ROUND(IF(AND(F1362:H1362),C1362*E1362*F1362*G1362*H1362,IF(AND(F1362,G1362),C1362*E1362*F1362*G1362,IF(AND(F1362,H1362),C1362*E1362*F1362*H1362,IF(AND(G1362,H1362),C1362*E1362*G1362*H1362,IF(F1362,C1362*E1362*F1362,IF(G1362,C1362*E1362*G1362,IF(H1362,C1362*E1362*H1362,C1362*E1362))))))),2)</f>
        <v>0.98</v>
      </c>
      <c r="J1362" s="1168" t="s">
        <v>102</v>
      </c>
      <c r="K1362" s="1169"/>
      <c r="L1362" s="1156"/>
      <c r="M1362" s="1169"/>
      <c r="N1362" s="1161" t="s">
        <v>2306</v>
      </c>
    </row>
    <row r="1363" spans="1:14" s="1170" customFormat="1" ht="16.5" hidden="1" customHeight="1">
      <c r="A1363" s="1156"/>
      <c r="B1363" s="1359" t="s">
        <v>579</v>
      </c>
      <c r="C1363" s="1332">
        <v>1</v>
      </c>
      <c r="D1363" s="1333" t="s">
        <v>273</v>
      </c>
      <c r="E1363" s="1334">
        <v>4</v>
      </c>
      <c r="F1363" s="1335">
        <v>1.2</v>
      </c>
      <c r="G1363" s="1335">
        <v>0</v>
      </c>
      <c r="H1363" s="1335">
        <v>0.1</v>
      </c>
      <c r="I1363" s="1336">
        <f>-ROUND(IF(AND(F1363:H1363),C1363*E1363*F1363*G1363*H1363,IF(AND(F1363,G1363),C1363*E1363*F1363*G1363,IF(AND(F1363,H1363),C1363*E1363*F1363*H1363,IF(AND(G1363,H1363),C1363*E1363*G1363*H1363,IF(F1363,C1363*E1363*F1363,IF(G1363,C1363*E1363*G1363,IF(H1363,C1363*E1363*H1363,C1363*E1363))))))),2)</f>
        <v>-0.48</v>
      </c>
      <c r="J1363" s="1168" t="s">
        <v>102</v>
      </c>
      <c r="K1363" s="1169"/>
      <c r="L1363" s="1156"/>
      <c r="M1363" s="1169"/>
      <c r="N1363" s="1161" t="s">
        <v>2306</v>
      </c>
    </row>
    <row r="1364" spans="1:14" s="1170" customFormat="1" ht="16.5" hidden="1" customHeight="1">
      <c r="A1364" s="1156"/>
      <c r="B1364" s="1359" t="s">
        <v>579</v>
      </c>
      <c r="C1364" s="1332">
        <v>1</v>
      </c>
      <c r="D1364" s="1333" t="s">
        <v>273</v>
      </c>
      <c r="E1364" s="1334">
        <v>4</v>
      </c>
      <c r="F1364" s="1335">
        <v>1.05</v>
      </c>
      <c r="G1364" s="1335">
        <v>0</v>
      </c>
      <c r="H1364" s="1335">
        <v>0.1</v>
      </c>
      <c r="I1364" s="1336">
        <f>-ROUND(IF(AND(F1364:H1364),C1364*E1364*F1364*G1364*H1364,IF(AND(F1364,G1364),C1364*E1364*F1364*G1364,IF(AND(F1364,H1364),C1364*E1364*F1364*H1364,IF(AND(G1364,H1364),C1364*E1364*G1364*H1364,IF(F1364,C1364*E1364*F1364,IF(G1364,C1364*E1364*G1364,IF(H1364,C1364*E1364*H1364,C1364*E1364))))))),2)</f>
        <v>-0.42</v>
      </c>
      <c r="J1364" s="1168" t="s">
        <v>102</v>
      </c>
      <c r="K1364" s="1169"/>
      <c r="L1364" s="1156"/>
      <c r="M1364" s="1169"/>
      <c r="N1364" s="1161" t="s">
        <v>2306</v>
      </c>
    </row>
    <row r="1365" spans="1:14" s="1170" customFormat="1" ht="16.5" hidden="1" customHeight="1">
      <c r="A1365" s="1156"/>
      <c r="B1365" s="1359" t="s">
        <v>3424</v>
      </c>
      <c r="C1365" s="1332">
        <v>1</v>
      </c>
      <c r="D1365" s="1333" t="s">
        <v>273</v>
      </c>
      <c r="E1365" s="1334">
        <v>8</v>
      </c>
      <c r="F1365" s="1335">
        <v>3.65</v>
      </c>
      <c r="G1365" s="1335">
        <v>0</v>
      </c>
      <c r="H1365" s="1335">
        <v>0.15</v>
      </c>
      <c r="I1365" s="1336">
        <f>ROUND(IF(AND(F1365:H1365),C1365*E1365*F1365*G1365*H1365,IF(AND(F1365,G1365),C1365*E1365*F1365*G1365,IF(AND(F1365,H1365),C1365*E1365*F1365*H1365,IF(AND(G1365,H1365),C1365*E1365*G1365*H1365,IF(F1365,C1365*E1365*F1365,IF(G1365,C1365*E1365*G1365,IF(H1365,C1365*E1365*H1365,C1365*E1365))))))),2)</f>
        <v>4.38</v>
      </c>
      <c r="J1365" s="1168" t="s">
        <v>102</v>
      </c>
      <c r="K1365" s="1169"/>
      <c r="L1365" s="1156"/>
      <c r="M1365" s="1169"/>
      <c r="N1365" s="1161" t="s">
        <v>2306</v>
      </c>
    </row>
    <row r="1366" spans="1:14" s="1170" customFormat="1" ht="16.5" hidden="1" customHeight="1">
      <c r="A1366" s="1156"/>
      <c r="B1366" s="1331"/>
      <c r="C1366" s="1332"/>
      <c r="D1366" s="1333"/>
      <c r="E1366" s="1334"/>
      <c r="F1366" s="1335"/>
      <c r="G1366" s="1335"/>
      <c r="H1366" s="1335"/>
      <c r="I1366" s="1336"/>
      <c r="J1366" s="1168"/>
      <c r="K1366" s="1169"/>
      <c r="L1366" s="1159"/>
      <c r="M1366" s="1169"/>
      <c r="N1366" s="1161" t="s">
        <v>2306</v>
      </c>
    </row>
    <row r="1367" spans="1:14" ht="15.75" hidden="1">
      <c r="A1367" s="1156"/>
      <c r="B1367" s="1169"/>
      <c r="C1367" s="1337"/>
      <c r="D1367" s="1171"/>
      <c r="E1367" s="1165"/>
      <c r="F1367" s="1166"/>
      <c r="G1367" s="1343"/>
      <c r="H1367" s="1156"/>
      <c r="I1367" s="1336"/>
      <c r="J1367" s="1168" t="s">
        <v>102</v>
      </c>
      <c r="K1367" s="1221">
        <f>data!E1538</f>
        <v>2708.07</v>
      </c>
      <c r="L1367" s="1159" t="s">
        <v>2306</v>
      </c>
      <c r="M1367" s="1224">
        <f>ROUND(I1367*K1367,0)</f>
        <v>0</v>
      </c>
      <c r="N1367" s="1161" t="s">
        <v>2306</v>
      </c>
    </row>
    <row r="1368" spans="1:14" ht="93.75" hidden="1" customHeight="1">
      <c r="A1368" s="1156">
        <v>31</v>
      </c>
      <c r="B1368" s="1826" t="s">
        <v>671</v>
      </c>
      <c r="C1368" s="1826"/>
      <c r="D1368" s="1826"/>
      <c r="E1368" s="1826"/>
      <c r="F1368" s="1826"/>
      <c r="G1368" s="1826"/>
      <c r="H1368" s="1826"/>
      <c r="I1368" s="1157"/>
      <c r="J1368" s="1158"/>
      <c r="K1368" s="1156"/>
      <c r="L1368" s="1159"/>
      <c r="M1368" s="1160"/>
      <c r="N1368" s="1161" t="s">
        <v>2317</v>
      </c>
    </row>
    <row r="1369" spans="1:14" s="1170" customFormat="1" ht="16.5" hidden="1" customHeight="1">
      <c r="A1369" s="1156"/>
      <c r="B1369" s="1163" t="s">
        <v>3711</v>
      </c>
      <c r="C1369" s="1351"/>
      <c r="D1369" s="1548" t="s">
        <v>3743</v>
      </c>
      <c r="E1369" s="1352"/>
      <c r="F1369" s="1234"/>
      <c r="G1369" s="1234"/>
      <c r="H1369" s="1235"/>
      <c r="I1369" s="1353"/>
      <c r="J1369" s="1168"/>
      <c r="K1369" s="1169"/>
      <c r="L1369" s="1156"/>
      <c r="M1369" s="1169"/>
      <c r="N1369" s="1161" t="s">
        <v>2317</v>
      </c>
    </row>
    <row r="1370" spans="1:14" s="1170" customFormat="1" ht="16.5" hidden="1" customHeight="1">
      <c r="A1370" s="1156"/>
      <c r="B1370" s="1359" t="s">
        <v>3712</v>
      </c>
      <c r="C1370" s="1360">
        <v>1</v>
      </c>
      <c r="D1370" s="1361" t="s">
        <v>273</v>
      </c>
      <c r="E1370" s="1362">
        <v>5</v>
      </c>
      <c r="F1370" s="1363">
        <v>3.6</v>
      </c>
      <c r="G1370" s="1363">
        <v>0</v>
      </c>
      <c r="H1370" s="1363">
        <v>0.15</v>
      </c>
      <c r="I1370" s="1336">
        <f t="shared" ref="I1370" si="137">ROUND(IF(AND(F1370:H1370),C1370*E1370*F1370*G1370*H1370,IF(AND(F1370,G1370),C1370*E1370*F1370*G1370,IF(AND(F1370,H1370),C1370*E1370*F1370*H1370,IF(AND(G1370,H1370),C1370*E1370*G1370*H1370,IF(F1370,C1370*E1370*F1370,IF(G1370,C1370*E1370*G1370,IF(H1370,C1370*E1370*H1370,C1370*E1370))))))),2)</f>
        <v>2.7</v>
      </c>
      <c r="J1370" s="1168" t="s">
        <v>102</v>
      </c>
      <c r="K1370" s="1169"/>
      <c r="L1370" s="1156"/>
      <c r="M1370" s="1169"/>
      <c r="N1370" s="1161" t="s">
        <v>2317</v>
      </c>
    </row>
    <row r="1371" spans="1:14" s="1170" customFormat="1" ht="16.5" hidden="1" customHeight="1">
      <c r="A1371" s="1156"/>
      <c r="B1371" s="1331"/>
      <c r="C1371" s="1332"/>
      <c r="D1371" s="1333"/>
      <c r="E1371" s="1334"/>
      <c r="F1371" s="1335"/>
      <c r="G1371" s="1335"/>
      <c r="H1371" s="1335"/>
      <c r="I1371" s="1336"/>
      <c r="J1371" s="1168"/>
      <c r="K1371" s="1169"/>
      <c r="L1371" s="1159"/>
      <c r="M1371" s="1169"/>
      <c r="N1371" s="1161" t="s">
        <v>2317</v>
      </c>
    </row>
    <row r="1372" spans="1:14" ht="15.75" hidden="1">
      <c r="A1372" s="1156"/>
      <c r="B1372" s="1169"/>
      <c r="C1372" s="1337"/>
      <c r="D1372" s="1171"/>
      <c r="E1372" s="1165"/>
      <c r="F1372" s="1166"/>
      <c r="G1372" s="1343"/>
      <c r="H1372" s="1156"/>
      <c r="I1372" s="1336"/>
      <c r="J1372" s="1168" t="s">
        <v>102</v>
      </c>
      <c r="K1372" s="1221">
        <f>data!E2455</f>
        <v>2747.34</v>
      </c>
      <c r="L1372" s="1159" t="s">
        <v>2317</v>
      </c>
      <c r="M1372" s="1224">
        <f>ROUND(I1372*K1372,0)</f>
        <v>0</v>
      </c>
      <c r="N1372" s="1161" t="s">
        <v>2317</v>
      </c>
    </row>
    <row r="1373" spans="1:14" ht="93.75" hidden="1" customHeight="1">
      <c r="A1373" s="1156">
        <v>24</v>
      </c>
      <c r="B1373" s="1826" t="s">
        <v>671</v>
      </c>
      <c r="C1373" s="1826"/>
      <c r="D1373" s="1826"/>
      <c r="E1373" s="1826"/>
      <c r="F1373" s="1826"/>
      <c r="G1373" s="1826"/>
      <c r="H1373" s="1826"/>
      <c r="I1373" s="1157"/>
      <c r="J1373" s="1158"/>
      <c r="K1373" s="1156"/>
      <c r="L1373" s="1159"/>
      <c r="M1373" s="1160"/>
      <c r="N1373" s="1161" t="s">
        <v>2318</v>
      </c>
    </row>
    <row r="1374" spans="1:14" s="1170" customFormat="1" ht="16.5" hidden="1" customHeight="1">
      <c r="A1374" s="1156"/>
      <c r="B1374" s="1169" t="s">
        <v>3469</v>
      </c>
      <c r="C1374" s="1351"/>
      <c r="D1374" s="1171" t="s">
        <v>3336</v>
      </c>
      <c r="E1374" s="1352"/>
      <c r="F1374" s="1234"/>
      <c r="G1374" s="1234"/>
      <c r="H1374" s="1235"/>
      <c r="I1374" s="1353"/>
      <c r="J1374" s="1168"/>
      <c r="K1374" s="1169"/>
      <c r="L1374" s="1156"/>
      <c r="M1374" s="1169"/>
      <c r="N1374" s="1161" t="s">
        <v>2318</v>
      </c>
    </row>
    <row r="1375" spans="1:14" s="1170" customFormat="1" ht="16.5" hidden="1" customHeight="1">
      <c r="A1375" s="1156"/>
      <c r="B1375" s="1359" t="s">
        <v>3186</v>
      </c>
      <c r="C1375" s="1360">
        <v>1</v>
      </c>
      <c r="D1375" s="1361" t="s">
        <v>273</v>
      </c>
      <c r="E1375" s="1362">
        <v>1</v>
      </c>
      <c r="F1375" s="1363">
        <v>11.78</v>
      </c>
      <c r="G1375" s="1363">
        <v>0</v>
      </c>
      <c r="H1375" s="1363">
        <v>0.1</v>
      </c>
      <c r="I1375" s="1336">
        <f t="shared" ref="I1375:I1382" si="138">ROUND(IF(AND(F1375:H1375),C1375*E1375*F1375*G1375*H1375,IF(AND(F1375,G1375),C1375*E1375*F1375*G1375,IF(AND(F1375,H1375),C1375*E1375*F1375*H1375,IF(AND(G1375,H1375),C1375*E1375*G1375*H1375,IF(F1375,C1375*E1375*F1375,IF(G1375,C1375*E1375*G1375,IF(H1375,C1375*E1375*H1375,C1375*E1375))))))),2)</f>
        <v>1.18</v>
      </c>
      <c r="J1375" s="1168" t="s">
        <v>102</v>
      </c>
      <c r="K1375" s="1169"/>
      <c r="L1375" s="1156"/>
      <c r="M1375" s="1169"/>
      <c r="N1375" s="1161" t="s">
        <v>2318</v>
      </c>
    </row>
    <row r="1376" spans="1:14" s="1170" customFormat="1" ht="16.5" hidden="1" customHeight="1">
      <c r="A1376" s="1156"/>
      <c r="B1376" s="1359" t="s">
        <v>3073</v>
      </c>
      <c r="C1376" s="1360">
        <v>1</v>
      </c>
      <c r="D1376" s="1361" t="s">
        <v>273</v>
      </c>
      <c r="E1376" s="1362">
        <v>1</v>
      </c>
      <c r="F1376" s="1363">
        <v>11.94</v>
      </c>
      <c r="G1376" s="1363">
        <v>0</v>
      </c>
      <c r="H1376" s="1363">
        <v>0.1</v>
      </c>
      <c r="I1376" s="1336">
        <f t="shared" si="138"/>
        <v>1.19</v>
      </c>
      <c r="J1376" s="1168" t="s">
        <v>102</v>
      </c>
      <c r="K1376" s="1169"/>
      <c r="L1376" s="1156"/>
      <c r="M1376" s="1169"/>
      <c r="N1376" s="1161" t="s">
        <v>2318</v>
      </c>
    </row>
    <row r="1377" spans="1:14" s="1170" customFormat="1" ht="16.5" hidden="1" customHeight="1">
      <c r="A1377" s="1156"/>
      <c r="B1377" s="1359" t="s">
        <v>799</v>
      </c>
      <c r="C1377" s="1360">
        <v>1</v>
      </c>
      <c r="D1377" s="1361" t="s">
        <v>273</v>
      </c>
      <c r="E1377" s="1362">
        <v>1</v>
      </c>
      <c r="F1377" s="1363">
        <v>8.6</v>
      </c>
      <c r="G1377" s="1363">
        <v>0</v>
      </c>
      <c r="H1377" s="1363">
        <v>0.1</v>
      </c>
      <c r="I1377" s="1336">
        <f t="shared" si="138"/>
        <v>0.86</v>
      </c>
      <c r="J1377" s="1168" t="s">
        <v>102</v>
      </c>
      <c r="K1377" s="1169"/>
      <c r="L1377" s="1156"/>
      <c r="M1377" s="1169"/>
      <c r="N1377" s="1161" t="s">
        <v>2318</v>
      </c>
    </row>
    <row r="1378" spans="1:14" s="1170" customFormat="1" ht="16.5" hidden="1" customHeight="1">
      <c r="A1378" s="1156"/>
      <c r="B1378" s="1359"/>
      <c r="C1378" s="1360">
        <v>1</v>
      </c>
      <c r="D1378" s="1361" t="s">
        <v>273</v>
      </c>
      <c r="E1378" s="1362">
        <v>1</v>
      </c>
      <c r="F1378" s="1363">
        <v>4.9800000000000004</v>
      </c>
      <c r="G1378" s="1363">
        <v>0</v>
      </c>
      <c r="H1378" s="1363">
        <v>0.1</v>
      </c>
      <c r="I1378" s="1336">
        <f t="shared" si="138"/>
        <v>0.5</v>
      </c>
      <c r="J1378" s="1168" t="s">
        <v>102</v>
      </c>
      <c r="K1378" s="1169"/>
      <c r="L1378" s="1156"/>
      <c r="M1378" s="1169"/>
      <c r="N1378" s="1161" t="s">
        <v>2318</v>
      </c>
    </row>
    <row r="1379" spans="1:14" s="1170" customFormat="1" ht="16.5" hidden="1" customHeight="1">
      <c r="A1379" s="1156"/>
      <c r="B1379" s="1359"/>
      <c r="C1379" s="1360">
        <v>1</v>
      </c>
      <c r="D1379" s="1361" t="s">
        <v>273</v>
      </c>
      <c r="E1379" s="1362">
        <v>1</v>
      </c>
      <c r="F1379" s="1363">
        <v>5.55</v>
      </c>
      <c r="G1379" s="1363">
        <v>0</v>
      </c>
      <c r="H1379" s="1363">
        <v>0.1</v>
      </c>
      <c r="I1379" s="1336">
        <f t="shared" si="138"/>
        <v>0.56000000000000005</v>
      </c>
      <c r="J1379" s="1168" t="s">
        <v>102</v>
      </c>
      <c r="K1379" s="1169"/>
      <c r="L1379" s="1156"/>
      <c r="M1379" s="1169"/>
      <c r="N1379" s="1161" t="s">
        <v>2318</v>
      </c>
    </row>
    <row r="1380" spans="1:14" s="1170" customFormat="1" ht="16.5" hidden="1" customHeight="1">
      <c r="A1380" s="1156"/>
      <c r="B1380" s="1359" t="s">
        <v>3157</v>
      </c>
      <c r="C1380" s="1360">
        <v>1</v>
      </c>
      <c r="D1380" s="1361" t="s">
        <v>273</v>
      </c>
      <c r="E1380" s="1362">
        <v>1</v>
      </c>
      <c r="F1380" s="1363">
        <v>8.35</v>
      </c>
      <c r="G1380" s="1363">
        <v>0</v>
      </c>
      <c r="H1380" s="1363">
        <v>0.1</v>
      </c>
      <c r="I1380" s="1336">
        <f t="shared" si="138"/>
        <v>0.84</v>
      </c>
      <c r="J1380" s="1168" t="s">
        <v>102</v>
      </c>
      <c r="K1380" s="1169"/>
      <c r="L1380" s="1156"/>
      <c r="M1380" s="1169"/>
      <c r="N1380" s="1161" t="s">
        <v>2318</v>
      </c>
    </row>
    <row r="1381" spans="1:14" s="1170" customFormat="1" ht="16.5" hidden="1" customHeight="1">
      <c r="A1381" s="1156"/>
      <c r="B1381" s="1359" t="s">
        <v>3200</v>
      </c>
      <c r="C1381" s="1360">
        <v>1</v>
      </c>
      <c r="D1381" s="1361" t="s">
        <v>273</v>
      </c>
      <c r="E1381" s="1362">
        <v>1</v>
      </c>
      <c r="F1381" s="1363">
        <v>2.68</v>
      </c>
      <c r="G1381" s="1363">
        <v>0</v>
      </c>
      <c r="H1381" s="1363">
        <v>0.1</v>
      </c>
      <c r="I1381" s="1336">
        <f t="shared" si="138"/>
        <v>0.27</v>
      </c>
      <c r="J1381" s="1168" t="s">
        <v>102</v>
      </c>
      <c r="K1381" s="1169"/>
      <c r="L1381" s="1156"/>
      <c r="M1381" s="1169"/>
      <c r="N1381" s="1161" t="s">
        <v>2318</v>
      </c>
    </row>
    <row r="1382" spans="1:14" s="1170" customFormat="1" ht="16.5" hidden="1" customHeight="1">
      <c r="A1382" s="1156"/>
      <c r="B1382" s="1359"/>
      <c r="C1382" s="1360">
        <v>1</v>
      </c>
      <c r="D1382" s="1361" t="s">
        <v>273</v>
      </c>
      <c r="E1382" s="1362">
        <v>1</v>
      </c>
      <c r="F1382" s="1363">
        <v>3.37</v>
      </c>
      <c r="G1382" s="1363">
        <v>0</v>
      </c>
      <c r="H1382" s="1363">
        <v>0.1</v>
      </c>
      <c r="I1382" s="1336">
        <f t="shared" si="138"/>
        <v>0.34</v>
      </c>
      <c r="J1382" s="1168" t="s">
        <v>102</v>
      </c>
      <c r="K1382" s="1169"/>
      <c r="L1382" s="1156"/>
      <c r="M1382" s="1169"/>
      <c r="N1382" s="1161" t="s">
        <v>2318</v>
      </c>
    </row>
    <row r="1383" spans="1:14" s="1170" customFormat="1" ht="16.5" hidden="1" customHeight="1">
      <c r="A1383" s="1156"/>
      <c r="B1383" s="1359" t="s">
        <v>579</v>
      </c>
      <c r="C1383" s="1360">
        <v>1</v>
      </c>
      <c r="D1383" s="1361" t="s">
        <v>273</v>
      </c>
      <c r="E1383" s="1362">
        <v>1</v>
      </c>
      <c r="F1383" s="1363">
        <v>1.2</v>
      </c>
      <c r="G1383" s="1363">
        <v>0</v>
      </c>
      <c r="H1383" s="1363">
        <v>0.1</v>
      </c>
      <c r="I1383" s="1336">
        <f>-ROUND(IF(AND(F1383:H1383),C1383*E1383*F1383*G1383*H1383,IF(AND(F1383,G1383),C1383*E1383*F1383*G1383,IF(AND(F1383,H1383),C1383*E1383*F1383*H1383,IF(AND(G1383,H1383),C1383*E1383*G1383*H1383,IF(F1383,C1383*E1383*F1383,IF(G1383,C1383*E1383*G1383,IF(H1383,C1383*E1383*H1383,C1383*E1383))))))),2)</f>
        <v>-0.12</v>
      </c>
      <c r="J1383" s="1168" t="s">
        <v>102</v>
      </c>
      <c r="K1383" s="1169"/>
      <c r="L1383" s="1156"/>
      <c r="M1383" s="1169"/>
      <c r="N1383" s="1161" t="s">
        <v>2318</v>
      </c>
    </row>
    <row r="1384" spans="1:14" s="1170" customFormat="1" ht="16.5" hidden="1" customHeight="1">
      <c r="A1384" s="1156"/>
      <c r="B1384" s="1359" t="s">
        <v>579</v>
      </c>
      <c r="C1384" s="1360">
        <v>2</v>
      </c>
      <c r="D1384" s="1361" t="s">
        <v>273</v>
      </c>
      <c r="E1384" s="1362">
        <v>2</v>
      </c>
      <c r="F1384" s="1363">
        <v>1.05</v>
      </c>
      <c r="G1384" s="1363">
        <v>0</v>
      </c>
      <c r="H1384" s="1363">
        <v>0.1</v>
      </c>
      <c r="I1384" s="1336">
        <f>-ROUND(IF(AND(F1384:H1384),C1384*E1384*F1384*G1384*H1384,IF(AND(F1384,G1384),C1384*E1384*F1384*G1384,IF(AND(F1384,H1384),C1384*E1384*F1384*H1384,IF(AND(G1384,H1384),C1384*E1384*G1384*H1384,IF(F1384,C1384*E1384*F1384,IF(G1384,C1384*E1384*G1384,IF(H1384,C1384*E1384*H1384,C1384*E1384))))))),2)</f>
        <v>-0.42</v>
      </c>
      <c r="J1384" s="1168" t="s">
        <v>102</v>
      </c>
      <c r="K1384" s="1169"/>
      <c r="L1384" s="1156"/>
      <c r="M1384" s="1169"/>
      <c r="N1384" s="1161" t="s">
        <v>2318</v>
      </c>
    </row>
    <row r="1385" spans="1:14" s="1170" customFormat="1" ht="16.5" hidden="1" customHeight="1">
      <c r="A1385" s="1156"/>
      <c r="B1385" s="1331"/>
      <c r="C1385" s="1332"/>
      <c r="D1385" s="1333"/>
      <c r="E1385" s="1334"/>
      <c r="F1385" s="1335"/>
      <c r="G1385" s="1335"/>
      <c r="H1385" s="1335"/>
      <c r="I1385" s="1336"/>
      <c r="J1385" s="1168"/>
      <c r="K1385" s="1169"/>
      <c r="L1385" s="1159"/>
      <c r="M1385" s="1169"/>
      <c r="N1385" s="1161" t="s">
        <v>2318</v>
      </c>
    </row>
    <row r="1386" spans="1:14" ht="15.75" hidden="1">
      <c r="A1386" s="1156"/>
      <c r="B1386" s="1169"/>
      <c r="C1386" s="1337"/>
      <c r="D1386" s="1171"/>
      <c r="E1386" s="1165"/>
      <c r="F1386" s="1166"/>
      <c r="G1386" s="1343"/>
      <c r="H1386" s="1156"/>
      <c r="I1386" s="1336"/>
      <c r="J1386" s="1168" t="s">
        <v>102</v>
      </c>
      <c r="K1386" s="1221">
        <f>data!E3372</f>
        <v>2905.43</v>
      </c>
      <c r="L1386" s="1159" t="s">
        <v>2318</v>
      </c>
      <c r="M1386" s="1224">
        <f>ROUND(I1386*K1386,0)</f>
        <v>0</v>
      </c>
      <c r="N1386" s="1161" t="s">
        <v>2318</v>
      </c>
    </row>
    <row r="1387" spans="1:14" ht="90" hidden="1" customHeight="1">
      <c r="A1387" s="1156">
        <v>26</v>
      </c>
      <c r="B1387" s="1826" t="s">
        <v>672</v>
      </c>
      <c r="C1387" s="1826"/>
      <c r="D1387" s="1826"/>
      <c r="E1387" s="1826"/>
      <c r="F1387" s="1826"/>
      <c r="G1387" s="1826"/>
      <c r="H1387" s="1826"/>
      <c r="I1387" s="1157"/>
      <c r="J1387" s="1158"/>
      <c r="K1387" s="1156"/>
      <c r="L1387" s="1159"/>
      <c r="M1387" s="1160"/>
      <c r="N1387" s="1161" t="s">
        <v>2218</v>
      </c>
    </row>
    <row r="1388" spans="1:14" s="1170" customFormat="1" ht="16.5" hidden="1" customHeight="1">
      <c r="A1388" s="1156"/>
      <c r="B1388" s="1331"/>
      <c r="C1388" s="1332">
        <v>1</v>
      </c>
      <c r="D1388" s="1333" t="s">
        <v>273</v>
      </c>
      <c r="E1388" s="1334">
        <v>1</v>
      </c>
      <c r="F1388" s="1335">
        <v>2.65</v>
      </c>
      <c r="G1388" s="1335">
        <v>0.53</v>
      </c>
      <c r="H1388" s="1335">
        <v>0</v>
      </c>
      <c r="I1388" s="1336">
        <f>ROUND(IF(AND(F1388:H1388),C1388*E1388*F1388*G1388*H1388,IF(AND(F1388,G1388),C1388*E1388*F1388*G1388,IF(AND(F1388,H1388),C1388*E1388*F1388*H1388,IF(AND(G1388,H1388),C1388*E1388*G1388*H1388,IF(F1388,C1388*E1388*F1388,IF(G1388,C1388*E1388*G1388,IF(H1388,C1388*E1388*H1388,C1388*E1388))))))),2)</f>
        <v>1.4</v>
      </c>
      <c r="J1388" s="1168" t="s">
        <v>102</v>
      </c>
      <c r="K1388" s="1169"/>
      <c r="L1388" s="1159"/>
      <c r="M1388" s="1169"/>
      <c r="N1388" s="1161" t="s">
        <v>2218</v>
      </c>
    </row>
    <row r="1389" spans="1:14" s="1170" customFormat="1" ht="16.5" hidden="1" customHeight="1">
      <c r="A1389" s="1156"/>
      <c r="B1389" s="1331"/>
      <c r="C1389" s="1332">
        <v>1</v>
      </c>
      <c r="D1389" s="1333" t="s">
        <v>273</v>
      </c>
      <c r="E1389" s="1334">
        <v>1</v>
      </c>
      <c r="F1389" s="1335">
        <v>2.65</v>
      </c>
      <c r="G1389" s="1335">
        <v>0.9</v>
      </c>
      <c r="H1389" s="1335">
        <v>0</v>
      </c>
      <c r="I1389" s="1336">
        <f>ROUND(IF(AND(F1389:H1389),C1389*E1389*F1389*G1389*H1389,IF(AND(F1389,G1389),C1389*E1389*F1389*G1389,IF(AND(F1389,H1389),C1389*E1389*F1389*H1389,IF(AND(G1389,H1389),C1389*E1389*G1389*H1389,IF(F1389,C1389*E1389*F1389,IF(G1389,C1389*E1389*G1389,IF(H1389,C1389*E1389*H1389,C1389*E1389))))))),2)</f>
        <v>2.39</v>
      </c>
      <c r="J1389" s="1168" t="s">
        <v>102</v>
      </c>
      <c r="K1389" s="1169"/>
      <c r="L1389" s="1159"/>
      <c r="M1389" s="1169"/>
      <c r="N1389" s="1161" t="s">
        <v>2218</v>
      </c>
    </row>
    <row r="1390" spans="1:14" s="1170" customFormat="1" ht="16.5" hidden="1" customHeight="1">
      <c r="A1390" s="1156"/>
      <c r="B1390" s="1331" t="s">
        <v>1250</v>
      </c>
      <c r="C1390" s="1332">
        <v>1</v>
      </c>
      <c r="D1390" s="1333" t="s">
        <v>273</v>
      </c>
      <c r="E1390" s="1334">
        <v>4</v>
      </c>
      <c r="F1390" s="1335">
        <v>2.5</v>
      </c>
      <c r="G1390" s="1335">
        <v>0.38</v>
      </c>
      <c r="H1390" s="1335">
        <v>0</v>
      </c>
      <c r="I1390" s="1336">
        <f>ROUND(IF(AND(F1390:H1390),C1390*E1390*F1390*G1390*H1390,IF(AND(F1390,G1390),C1390*E1390*F1390*G1390,IF(AND(F1390,H1390),C1390*E1390*F1390*H1390,IF(AND(G1390,H1390),C1390*E1390*G1390*H1390,IF(F1390,C1390*E1390*F1390,IF(G1390,C1390*E1390*G1390,IF(H1390,C1390*E1390*H1390,C1390*E1390))))))),2)</f>
        <v>3.8</v>
      </c>
      <c r="J1390" s="1168" t="s">
        <v>102</v>
      </c>
      <c r="K1390" s="1169"/>
      <c r="L1390" s="1159"/>
      <c r="M1390" s="1169"/>
      <c r="N1390" s="1161" t="s">
        <v>2218</v>
      </c>
    </row>
    <row r="1391" spans="1:14" s="1170" customFormat="1" ht="16.5" hidden="1" customHeight="1">
      <c r="A1391" s="1156"/>
      <c r="B1391" s="1331" t="s">
        <v>1251</v>
      </c>
      <c r="C1391" s="1332">
        <v>1</v>
      </c>
      <c r="D1391" s="1333" t="s">
        <v>273</v>
      </c>
      <c r="E1391" s="1334">
        <v>21</v>
      </c>
      <c r="F1391" s="1335">
        <v>1.28</v>
      </c>
      <c r="G1391" s="1335">
        <v>0.3</v>
      </c>
      <c r="H1391" s="1335">
        <v>0</v>
      </c>
      <c r="I1391" s="1336">
        <f>ROUND(IF(AND(F1391:H1391),C1391*E1391*F1391*G1391*H1391,IF(AND(F1391,G1391),C1391*E1391*F1391*G1391,IF(AND(F1391,H1391),C1391*E1391*F1391*H1391,IF(AND(G1391,H1391),C1391*E1391*G1391*H1391,IF(F1391,C1391*E1391*F1391,IF(G1391,C1391*E1391*G1391,IF(H1391,C1391*E1391*H1391,C1391*E1391))))))),2)</f>
        <v>8.06</v>
      </c>
      <c r="J1391" s="1168" t="s">
        <v>102</v>
      </c>
      <c r="K1391" s="1169"/>
      <c r="L1391" s="1159"/>
      <c r="M1391" s="1169"/>
      <c r="N1391" s="1161" t="s">
        <v>2218</v>
      </c>
    </row>
    <row r="1392" spans="1:14" s="1170" customFormat="1" ht="16.5" hidden="1" customHeight="1">
      <c r="A1392" s="1156"/>
      <c r="B1392" s="1331"/>
      <c r="C1392" s="1332"/>
      <c r="D1392" s="1333"/>
      <c r="E1392" s="1334"/>
      <c r="F1392" s="1335"/>
      <c r="G1392" s="1335"/>
      <c r="H1392" s="1335"/>
      <c r="I1392" s="1336"/>
      <c r="J1392" s="1168"/>
      <c r="K1392" s="1169"/>
      <c r="L1392" s="1159"/>
      <c r="M1392" s="1169"/>
      <c r="N1392" s="1161" t="s">
        <v>2218</v>
      </c>
    </row>
    <row r="1393" spans="1:14" ht="15.75" hidden="1">
      <c r="A1393" s="1156"/>
      <c r="B1393" s="1169"/>
      <c r="C1393" s="1337"/>
      <c r="D1393" s="1171"/>
      <c r="E1393" s="1165"/>
      <c r="F1393" s="1166"/>
      <c r="G1393" s="1343"/>
      <c r="H1393" s="1156"/>
      <c r="I1393" s="1336"/>
      <c r="J1393" s="1168" t="s">
        <v>102</v>
      </c>
      <c r="K1393" s="1221">
        <f>data!E642</f>
        <v>605.58000000000004</v>
      </c>
      <c r="L1393" s="1159" t="s">
        <v>2218</v>
      </c>
      <c r="M1393" s="1224">
        <f>ROUND(I1393*K1393,0)</f>
        <v>0</v>
      </c>
      <c r="N1393" s="1161" t="s">
        <v>2218</v>
      </c>
    </row>
    <row r="1394" spans="1:14" ht="90" hidden="1" customHeight="1">
      <c r="A1394" s="1156">
        <v>26</v>
      </c>
      <c r="B1394" s="1826" t="s">
        <v>672</v>
      </c>
      <c r="C1394" s="1826"/>
      <c r="D1394" s="1826"/>
      <c r="E1394" s="1826"/>
      <c r="F1394" s="1826"/>
      <c r="G1394" s="1826"/>
      <c r="H1394" s="1826"/>
      <c r="I1394" s="1157"/>
      <c r="J1394" s="1158"/>
      <c r="K1394" s="1156"/>
      <c r="L1394" s="1159"/>
      <c r="M1394" s="1160"/>
      <c r="N1394" s="1161" t="s">
        <v>2306</v>
      </c>
    </row>
    <row r="1395" spans="1:14" s="1170" customFormat="1" ht="16.5" hidden="1" customHeight="1">
      <c r="A1395" s="1156"/>
      <c r="B1395" s="1169" t="s">
        <v>3036</v>
      </c>
      <c r="C1395" s="1332"/>
      <c r="D1395" s="1333"/>
      <c r="E1395" s="1334"/>
      <c r="F1395" s="1335"/>
      <c r="G1395" s="1335"/>
      <c r="H1395" s="1335"/>
      <c r="I1395" s="1336"/>
      <c r="J1395" s="1168"/>
      <c r="K1395" s="1169"/>
      <c r="L1395" s="1159"/>
      <c r="M1395" s="1169"/>
      <c r="N1395" s="1161" t="s">
        <v>2306</v>
      </c>
    </row>
    <row r="1396" spans="1:14" s="1170" customFormat="1" ht="16.5" hidden="1" customHeight="1">
      <c r="A1396" s="1156"/>
      <c r="B1396" s="1331" t="s">
        <v>3023</v>
      </c>
      <c r="C1396" s="1332">
        <v>1</v>
      </c>
      <c r="D1396" s="1333" t="s">
        <v>273</v>
      </c>
      <c r="E1396" s="1334">
        <v>6</v>
      </c>
      <c r="F1396" s="1335">
        <v>2.4</v>
      </c>
      <c r="G1396" s="1335">
        <v>0.3</v>
      </c>
      <c r="H1396" s="1335">
        <v>0</v>
      </c>
      <c r="I1396" s="1336">
        <f>ROUND(IF(AND(F1396:H1396),C1396*E1396*F1396*G1396*H1396,IF(AND(F1396,G1396),C1396*E1396*F1396*G1396,IF(AND(F1396,H1396),C1396*E1396*F1396*H1396,IF(AND(G1396,H1396),C1396*E1396*G1396*H1396,IF(F1396,C1396*E1396*F1396,IF(G1396,C1396*E1396*G1396,IF(H1396,C1396*E1396*H1396,C1396*E1396))))))),2)</f>
        <v>4.32</v>
      </c>
      <c r="J1396" s="1168" t="s">
        <v>102</v>
      </c>
      <c r="K1396" s="1169"/>
      <c r="L1396" s="1159"/>
      <c r="M1396" s="1169"/>
      <c r="N1396" s="1161" t="s">
        <v>2306</v>
      </c>
    </row>
    <row r="1397" spans="1:14" s="1170" customFormat="1" ht="16.5" hidden="1" customHeight="1">
      <c r="A1397" s="1156"/>
      <c r="B1397" s="1331" t="s">
        <v>3025</v>
      </c>
      <c r="C1397" s="1332">
        <v>1</v>
      </c>
      <c r="D1397" s="1333" t="s">
        <v>273</v>
      </c>
      <c r="E1397" s="1334">
        <v>1</v>
      </c>
      <c r="F1397" s="1335">
        <v>3.8</v>
      </c>
      <c r="G1397" s="1335">
        <v>1.2</v>
      </c>
      <c r="H1397" s="1335">
        <v>0</v>
      </c>
      <c r="I1397" s="1336">
        <f t="shared" ref="I1397:I1401" si="139">ROUND(IF(AND(F1397:H1397),C1397*E1397*F1397*G1397*H1397,IF(AND(F1397,G1397),C1397*E1397*F1397*G1397,IF(AND(F1397,H1397),C1397*E1397*F1397*H1397,IF(AND(G1397,H1397),C1397*E1397*G1397*H1397,IF(F1397,C1397*E1397*F1397,IF(G1397,C1397*E1397*G1397,IF(H1397,C1397*E1397*H1397,C1397*E1397))))))),2)</f>
        <v>4.5599999999999996</v>
      </c>
      <c r="J1397" s="1168" t="s">
        <v>102</v>
      </c>
      <c r="K1397" s="1169"/>
      <c r="L1397" s="1159"/>
      <c r="M1397" s="1169"/>
      <c r="N1397" s="1161" t="s">
        <v>2306</v>
      </c>
    </row>
    <row r="1398" spans="1:14" s="1170" customFormat="1" ht="16.5" hidden="1" customHeight="1">
      <c r="A1398" s="1156"/>
      <c r="B1398" s="1331" t="s">
        <v>3022</v>
      </c>
      <c r="C1398" s="1332">
        <v>1</v>
      </c>
      <c r="D1398" s="1333" t="s">
        <v>273</v>
      </c>
      <c r="E1398" s="1334">
        <v>6</v>
      </c>
      <c r="F1398" s="1335">
        <v>1.5</v>
      </c>
      <c r="G1398" s="1335">
        <v>0.3</v>
      </c>
      <c r="H1398" s="1335">
        <v>0</v>
      </c>
      <c r="I1398" s="1336">
        <f t="shared" si="139"/>
        <v>2.7</v>
      </c>
      <c r="J1398" s="1168" t="s">
        <v>102</v>
      </c>
      <c r="K1398" s="1169"/>
      <c r="L1398" s="1159"/>
      <c r="M1398" s="1169"/>
      <c r="N1398" s="1161" t="s">
        <v>2306</v>
      </c>
    </row>
    <row r="1399" spans="1:14" s="1170" customFormat="1" ht="16.5" hidden="1" customHeight="1">
      <c r="A1399" s="1156"/>
      <c r="B1399" s="1331" t="s">
        <v>801</v>
      </c>
      <c r="C1399" s="1332">
        <v>1</v>
      </c>
      <c r="D1399" s="1333" t="s">
        <v>273</v>
      </c>
      <c r="E1399" s="1334">
        <v>11</v>
      </c>
      <c r="F1399" s="1335">
        <v>1.3</v>
      </c>
      <c r="G1399" s="1335">
        <v>0.3</v>
      </c>
      <c r="H1399" s="1335">
        <v>0</v>
      </c>
      <c r="I1399" s="1336">
        <f t="shared" si="139"/>
        <v>4.29</v>
      </c>
      <c r="J1399" s="1168" t="s">
        <v>102</v>
      </c>
      <c r="K1399" s="1169"/>
      <c r="L1399" s="1159"/>
      <c r="M1399" s="1169"/>
      <c r="N1399" s="1161" t="s">
        <v>2306</v>
      </c>
    </row>
    <row r="1400" spans="1:14" s="1170" customFormat="1" ht="16.5" hidden="1" customHeight="1">
      <c r="A1400" s="1156"/>
      <c r="B1400" s="1331" t="s">
        <v>3037</v>
      </c>
      <c r="C1400" s="1332">
        <v>1</v>
      </c>
      <c r="D1400" s="1333" t="s">
        <v>273</v>
      </c>
      <c r="E1400" s="1334">
        <v>1</v>
      </c>
      <c r="F1400" s="1335">
        <v>2.6</v>
      </c>
      <c r="G1400" s="1335">
        <v>1</v>
      </c>
      <c r="H1400" s="1335">
        <v>0</v>
      </c>
      <c r="I1400" s="1336">
        <f t="shared" si="139"/>
        <v>2.6</v>
      </c>
      <c r="J1400" s="1168" t="s">
        <v>102</v>
      </c>
      <c r="K1400" s="1169"/>
      <c r="L1400" s="1159"/>
      <c r="M1400" s="1169"/>
      <c r="N1400" s="1161" t="s">
        <v>2306</v>
      </c>
    </row>
    <row r="1401" spans="1:14" s="1170" customFormat="1" ht="16.5" hidden="1" customHeight="1">
      <c r="A1401" s="1156"/>
      <c r="B1401" s="1331" t="s">
        <v>800</v>
      </c>
      <c r="C1401" s="1332">
        <v>1</v>
      </c>
      <c r="D1401" s="1333" t="s">
        <v>273</v>
      </c>
      <c r="E1401" s="1334">
        <v>11</v>
      </c>
      <c r="F1401" s="1335">
        <v>1.3</v>
      </c>
      <c r="G1401" s="1335">
        <v>0.3</v>
      </c>
      <c r="H1401" s="1335">
        <v>0</v>
      </c>
      <c r="I1401" s="1336">
        <f t="shared" si="139"/>
        <v>4.29</v>
      </c>
      <c r="J1401" s="1168" t="s">
        <v>102</v>
      </c>
      <c r="K1401" s="1169"/>
      <c r="L1401" s="1159"/>
      <c r="M1401" s="1169"/>
      <c r="N1401" s="1161" t="s">
        <v>2306</v>
      </c>
    </row>
    <row r="1402" spans="1:14" s="1170" customFormat="1" ht="16.5" hidden="1" customHeight="1">
      <c r="A1402" s="1156"/>
      <c r="B1402" s="1331"/>
      <c r="C1402" s="1332"/>
      <c r="D1402" s="1333"/>
      <c r="E1402" s="1334"/>
      <c r="F1402" s="1335"/>
      <c r="G1402" s="1335"/>
      <c r="H1402" s="1335"/>
      <c r="I1402" s="1336"/>
      <c r="J1402" s="1168"/>
      <c r="K1402" s="1169"/>
      <c r="L1402" s="1159"/>
      <c r="M1402" s="1169"/>
      <c r="N1402" s="1161" t="s">
        <v>2306</v>
      </c>
    </row>
    <row r="1403" spans="1:14" ht="15.75" hidden="1">
      <c r="A1403" s="1156"/>
      <c r="B1403" s="1169"/>
      <c r="C1403" s="1337"/>
      <c r="D1403" s="1171"/>
      <c r="E1403" s="1165"/>
      <c r="F1403" s="1166"/>
      <c r="G1403" s="1343"/>
      <c r="H1403" s="1156"/>
      <c r="I1403" s="1336"/>
      <c r="J1403" s="1168" t="s">
        <v>102</v>
      </c>
      <c r="K1403" s="1221">
        <f>data!E1559</f>
        <v>646.33000000000004</v>
      </c>
      <c r="L1403" s="1159" t="s">
        <v>2306</v>
      </c>
      <c r="M1403" s="1224">
        <f>ROUND(I1403*K1403,0)</f>
        <v>0</v>
      </c>
      <c r="N1403" s="1161" t="s">
        <v>2306</v>
      </c>
    </row>
    <row r="1404" spans="1:14" ht="90" hidden="1" customHeight="1">
      <c r="A1404" s="1156">
        <v>26</v>
      </c>
      <c r="B1404" s="1826" t="s">
        <v>672</v>
      </c>
      <c r="C1404" s="1826"/>
      <c r="D1404" s="1826"/>
      <c r="E1404" s="1826"/>
      <c r="F1404" s="1826"/>
      <c r="G1404" s="1826"/>
      <c r="H1404" s="1826"/>
      <c r="I1404" s="1157"/>
      <c r="J1404" s="1158"/>
      <c r="K1404" s="1156"/>
      <c r="L1404" s="1159"/>
      <c r="M1404" s="1160"/>
      <c r="N1404" s="1161" t="s">
        <v>2317</v>
      </c>
    </row>
    <row r="1405" spans="1:14" s="1170" customFormat="1" ht="16.5" hidden="1" customHeight="1">
      <c r="A1405" s="1156"/>
      <c r="B1405" s="1331"/>
      <c r="C1405" s="1332">
        <v>1</v>
      </c>
      <c r="D1405" s="1333" t="s">
        <v>273</v>
      </c>
      <c r="E1405" s="1334">
        <v>1</v>
      </c>
      <c r="F1405" s="1335">
        <v>2.65</v>
      </c>
      <c r="G1405" s="1335">
        <v>0.53</v>
      </c>
      <c r="H1405" s="1335">
        <v>0</v>
      </c>
      <c r="I1405" s="1336">
        <f>ROUND(IF(AND(F1405:H1405),C1405*E1405*F1405*G1405*H1405,IF(AND(F1405,G1405),C1405*E1405*F1405*G1405,IF(AND(F1405,H1405),C1405*E1405*F1405*H1405,IF(AND(G1405,H1405),C1405*E1405*G1405*H1405,IF(F1405,C1405*E1405*F1405,IF(G1405,C1405*E1405*G1405,IF(H1405,C1405*E1405*H1405,C1405*E1405))))))),2)</f>
        <v>1.4</v>
      </c>
      <c r="J1405" s="1168" t="s">
        <v>102</v>
      </c>
      <c r="K1405" s="1169"/>
      <c r="L1405" s="1159"/>
      <c r="M1405" s="1169"/>
      <c r="N1405" s="1161" t="s">
        <v>2317</v>
      </c>
    </row>
    <row r="1406" spans="1:14" s="1170" customFormat="1" ht="16.5" hidden="1" customHeight="1">
      <c r="A1406" s="1156"/>
      <c r="B1406" s="1331"/>
      <c r="C1406" s="1332">
        <v>1</v>
      </c>
      <c r="D1406" s="1333" t="s">
        <v>273</v>
      </c>
      <c r="E1406" s="1334">
        <v>1</v>
      </c>
      <c r="F1406" s="1335">
        <v>2.65</v>
      </c>
      <c r="G1406" s="1335">
        <v>0.9</v>
      </c>
      <c r="H1406" s="1335">
        <v>0</v>
      </c>
      <c r="I1406" s="1336">
        <f>ROUND(IF(AND(F1406:H1406),C1406*E1406*F1406*G1406*H1406,IF(AND(F1406,G1406),C1406*E1406*F1406*G1406,IF(AND(F1406,H1406),C1406*E1406*F1406*H1406,IF(AND(G1406,H1406),C1406*E1406*G1406*H1406,IF(F1406,C1406*E1406*F1406,IF(G1406,C1406*E1406*G1406,IF(H1406,C1406*E1406*H1406,C1406*E1406))))))),2)</f>
        <v>2.39</v>
      </c>
      <c r="J1406" s="1168" t="s">
        <v>102</v>
      </c>
      <c r="K1406" s="1169"/>
      <c r="L1406" s="1159"/>
      <c r="M1406" s="1169"/>
      <c r="N1406" s="1161" t="s">
        <v>2317</v>
      </c>
    </row>
    <row r="1407" spans="1:14" s="1170" customFormat="1" ht="16.5" hidden="1" customHeight="1">
      <c r="A1407" s="1156"/>
      <c r="B1407" s="1331" t="s">
        <v>1250</v>
      </c>
      <c r="C1407" s="1332">
        <v>1</v>
      </c>
      <c r="D1407" s="1333" t="s">
        <v>273</v>
      </c>
      <c r="E1407" s="1334">
        <v>4</v>
      </c>
      <c r="F1407" s="1335">
        <v>2.5</v>
      </c>
      <c r="G1407" s="1335">
        <v>0.38</v>
      </c>
      <c r="H1407" s="1335">
        <v>0</v>
      </c>
      <c r="I1407" s="1336">
        <f>ROUND(IF(AND(F1407:H1407),C1407*E1407*F1407*G1407*H1407,IF(AND(F1407,G1407),C1407*E1407*F1407*G1407,IF(AND(F1407,H1407),C1407*E1407*F1407*H1407,IF(AND(G1407,H1407),C1407*E1407*G1407*H1407,IF(F1407,C1407*E1407*F1407,IF(G1407,C1407*E1407*G1407,IF(H1407,C1407*E1407*H1407,C1407*E1407))))))),2)</f>
        <v>3.8</v>
      </c>
      <c r="J1407" s="1168" t="s">
        <v>102</v>
      </c>
      <c r="K1407" s="1169"/>
      <c r="L1407" s="1159"/>
      <c r="M1407" s="1169"/>
      <c r="N1407" s="1161" t="s">
        <v>2317</v>
      </c>
    </row>
    <row r="1408" spans="1:14" s="1170" customFormat="1" ht="16.5" hidden="1" customHeight="1">
      <c r="A1408" s="1156"/>
      <c r="B1408" s="1331" t="s">
        <v>1251</v>
      </c>
      <c r="C1408" s="1332">
        <v>1</v>
      </c>
      <c r="D1408" s="1333" t="s">
        <v>273</v>
      </c>
      <c r="E1408" s="1334">
        <v>21</v>
      </c>
      <c r="F1408" s="1335">
        <v>1.28</v>
      </c>
      <c r="G1408" s="1335">
        <v>0.3</v>
      </c>
      <c r="H1408" s="1335">
        <v>0</v>
      </c>
      <c r="I1408" s="1336">
        <f>ROUND(IF(AND(F1408:H1408),C1408*E1408*F1408*G1408*H1408,IF(AND(F1408,G1408),C1408*E1408*F1408*G1408,IF(AND(F1408,H1408),C1408*E1408*F1408*H1408,IF(AND(G1408,H1408),C1408*E1408*G1408*H1408,IF(F1408,C1408*E1408*F1408,IF(G1408,C1408*E1408*G1408,IF(H1408,C1408*E1408*H1408,C1408*E1408))))))),2)</f>
        <v>8.06</v>
      </c>
      <c r="J1408" s="1168" t="s">
        <v>102</v>
      </c>
      <c r="K1408" s="1169"/>
      <c r="L1408" s="1159"/>
      <c r="M1408" s="1169"/>
      <c r="N1408" s="1161" t="s">
        <v>2317</v>
      </c>
    </row>
    <row r="1409" spans="1:14" s="1170" customFormat="1" ht="16.5" hidden="1" customHeight="1">
      <c r="A1409" s="1156"/>
      <c r="B1409" s="1331"/>
      <c r="C1409" s="1332"/>
      <c r="D1409" s="1333"/>
      <c r="E1409" s="1334"/>
      <c r="F1409" s="1335"/>
      <c r="G1409" s="1335"/>
      <c r="H1409" s="1335"/>
      <c r="I1409" s="1336"/>
      <c r="J1409" s="1168"/>
      <c r="K1409" s="1169"/>
      <c r="L1409" s="1159"/>
      <c r="M1409" s="1169"/>
      <c r="N1409" s="1161" t="s">
        <v>2317</v>
      </c>
    </row>
    <row r="1410" spans="1:14" ht="15.75" hidden="1">
      <c r="A1410" s="1156"/>
      <c r="B1410" s="1169"/>
      <c r="C1410" s="1337"/>
      <c r="D1410" s="1171"/>
      <c r="E1410" s="1165"/>
      <c r="F1410" s="1166"/>
      <c r="G1410" s="1343"/>
      <c r="H1410" s="1156"/>
      <c r="I1410" s="1336"/>
      <c r="J1410" s="1168" t="s">
        <v>102</v>
      </c>
      <c r="K1410" s="1221">
        <f>data!E2476</f>
        <v>653.95000000000005</v>
      </c>
      <c r="L1410" s="1159" t="s">
        <v>2317</v>
      </c>
      <c r="M1410" s="1224">
        <f>ROUND(I1410*K1410,0)</f>
        <v>0</v>
      </c>
      <c r="N1410" s="1161" t="s">
        <v>2317</v>
      </c>
    </row>
    <row r="1411" spans="1:14" ht="90" hidden="1" customHeight="1">
      <c r="A1411" s="1156">
        <v>26</v>
      </c>
      <c r="B1411" s="1826" t="s">
        <v>672</v>
      </c>
      <c r="C1411" s="1826"/>
      <c r="D1411" s="1826"/>
      <c r="E1411" s="1826"/>
      <c r="F1411" s="1826"/>
      <c r="G1411" s="1826"/>
      <c r="H1411" s="1826"/>
      <c r="I1411" s="1157"/>
      <c r="J1411" s="1158"/>
      <c r="K1411" s="1156"/>
      <c r="L1411" s="1159"/>
      <c r="M1411" s="1160"/>
      <c r="N1411" s="1161" t="s">
        <v>2318</v>
      </c>
    </row>
    <row r="1412" spans="1:14" s="1170" customFormat="1" ht="16.5" hidden="1" customHeight="1">
      <c r="A1412" s="1156"/>
      <c r="B1412" s="1331"/>
      <c r="C1412" s="1332">
        <v>1</v>
      </c>
      <c r="D1412" s="1333" t="s">
        <v>273</v>
      </c>
      <c r="E1412" s="1334">
        <v>1</v>
      </c>
      <c r="F1412" s="1335">
        <v>2.65</v>
      </c>
      <c r="G1412" s="1335">
        <v>0.53</v>
      </c>
      <c r="H1412" s="1335">
        <v>0</v>
      </c>
      <c r="I1412" s="1336">
        <f>ROUND(IF(AND(F1412:H1412),C1412*E1412*F1412*G1412*H1412,IF(AND(F1412,G1412),C1412*E1412*F1412*G1412,IF(AND(F1412,H1412),C1412*E1412*F1412*H1412,IF(AND(G1412,H1412),C1412*E1412*G1412*H1412,IF(F1412,C1412*E1412*F1412,IF(G1412,C1412*E1412*G1412,IF(H1412,C1412*E1412*H1412,C1412*E1412))))))),2)</f>
        <v>1.4</v>
      </c>
      <c r="J1412" s="1168" t="s">
        <v>102</v>
      </c>
      <c r="K1412" s="1169"/>
      <c r="L1412" s="1159"/>
      <c r="M1412" s="1169"/>
      <c r="N1412" s="1161" t="s">
        <v>2318</v>
      </c>
    </row>
    <row r="1413" spans="1:14" s="1170" customFormat="1" ht="16.5" hidden="1" customHeight="1">
      <c r="A1413" s="1156"/>
      <c r="B1413" s="1331"/>
      <c r="C1413" s="1332">
        <v>1</v>
      </c>
      <c r="D1413" s="1333" t="s">
        <v>273</v>
      </c>
      <c r="E1413" s="1334">
        <v>1</v>
      </c>
      <c r="F1413" s="1335">
        <v>2.65</v>
      </c>
      <c r="G1413" s="1335">
        <v>0.9</v>
      </c>
      <c r="H1413" s="1335">
        <v>0</v>
      </c>
      <c r="I1413" s="1336">
        <f>ROUND(IF(AND(F1413:H1413),C1413*E1413*F1413*G1413*H1413,IF(AND(F1413,G1413),C1413*E1413*F1413*G1413,IF(AND(F1413,H1413),C1413*E1413*F1413*H1413,IF(AND(G1413,H1413),C1413*E1413*G1413*H1413,IF(F1413,C1413*E1413*F1413,IF(G1413,C1413*E1413*G1413,IF(H1413,C1413*E1413*H1413,C1413*E1413))))))),2)</f>
        <v>2.39</v>
      </c>
      <c r="J1413" s="1168" t="s">
        <v>102</v>
      </c>
      <c r="K1413" s="1169"/>
      <c r="L1413" s="1159"/>
      <c r="M1413" s="1169"/>
      <c r="N1413" s="1161" t="s">
        <v>2318</v>
      </c>
    </row>
    <row r="1414" spans="1:14" s="1170" customFormat="1" ht="16.5" hidden="1" customHeight="1">
      <c r="A1414" s="1156"/>
      <c r="B1414" s="1331" t="s">
        <v>1250</v>
      </c>
      <c r="C1414" s="1332">
        <v>1</v>
      </c>
      <c r="D1414" s="1333" t="s">
        <v>273</v>
      </c>
      <c r="E1414" s="1334">
        <v>4</v>
      </c>
      <c r="F1414" s="1335">
        <v>2.5</v>
      </c>
      <c r="G1414" s="1335">
        <v>0.38</v>
      </c>
      <c r="H1414" s="1335">
        <v>0</v>
      </c>
      <c r="I1414" s="1336">
        <f>ROUND(IF(AND(F1414:H1414),C1414*E1414*F1414*G1414*H1414,IF(AND(F1414,G1414),C1414*E1414*F1414*G1414,IF(AND(F1414,H1414),C1414*E1414*F1414*H1414,IF(AND(G1414,H1414),C1414*E1414*G1414*H1414,IF(F1414,C1414*E1414*F1414,IF(G1414,C1414*E1414*G1414,IF(H1414,C1414*E1414*H1414,C1414*E1414))))))),2)</f>
        <v>3.8</v>
      </c>
      <c r="J1414" s="1168" t="s">
        <v>102</v>
      </c>
      <c r="K1414" s="1169"/>
      <c r="L1414" s="1159"/>
      <c r="M1414" s="1169"/>
      <c r="N1414" s="1161" t="s">
        <v>2318</v>
      </c>
    </row>
    <row r="1415" spans="1:14" s="1170" customFormat="1" ht="16.5" hidden="1" customHeight="1">
      <c r="A1415" s="1156"/>
      <c r="B1415" s="1331" t="s">
        <v>1251</v>
      </c>
      <c r="C1415" s="1332">
        <v>1</v>
      </c>
      <c r="D1415" s="1333" t="s">
        <v>273</v>
      </c>
      <c r="E1415" s="1334">
        <v>21</v>
      </c>
      <c r="F1415" s="1335">
        <v>1.28</v>
      </c>
      <c r="G1415" s="1335">
        <v>0.3</v>
      </c>
      <c r="H1415" s="1335">
        <v>0</v>
      </c>
      <c r="I1415" s="1336">
        <f>ROUND(IF(AND(F1415:H1415),C1415*E1415*F1415*G1415*H1415,IF(AND(F1415,G1415),C1415*E1415*F1415*G1415,IF(AND(F1415,H1415),C1415*E1415*F1415*H1415,IF(AND(G1415,H1415),C1415*E1415*G1415*H1415,IF(F1415,C1415*E1415*F1415,IF(G1415,C1415*E1415*G1415,IF(H1415,C1415*E1415*H1415,C1415*E1415))))))),2)</f>
        <v>8.06</v>
      </c>
      <c r="J1415" s="1168" t="s">
        <v>102</v>
      </c>
      <c r="K1415" s="1169"/>
      <c r="L1415" s="1159"/>
      <c r="M1415" s="1169"/>
      <c r="N1415" s="1161" t="s">
        <v>2318</v>
      </c>
    </row>
    <row r="1416" spans="1:14" s="1170" customFormat="1" ht="16.5" hidden="1" customHeight="1">
      <c r="A1416" s="1156"/>
      <c r="B1416" s="1331"/>
      <c r="C1416" s="1332"/>
      <c r="D1416" s="1333"/>
      <c r="E1416" s="1334"/>
      <c r="F1416" s="1335"/>
      <c r="G1416" s="1335"/>
      <c r="H1416" s="1335"/>
      <c r="I1416" s="1336"/>
      <c r="J1416" s="1168"/>
      <c r="K1416" s="1169"/>
      <c r="L1416" s="1159"/>
      <c r="M1416" s="1169"/>
      <c r="N1416" s="1161" t="s">
        <v>2318</v>
      </c>
    </row>
    <row r="1417" spans="1:14" ht="15.75" hidden="1">
      <c r="A1417" s="1156"/>
      <c r="B1417" s="1169"/>
      <c r="C1417" s="1337"/>
      <c r="D1417" s="1171"/>
      <c r="E1417" s="1165"/>
      <c r="F1417" s="1166"/>
      <c r="G1417" s="1343"/>
      <c r="H1417" s="1156"/>
      <c r="I1417" s="1336"/>
      <c r="J1417" s="1168" t="s">
        <v>102</v>
      </c>
      <c r="K1417" s="1221">
        <f>data!E3393</f>
        <v>744.7</v>
      </c>
      <c r="L1417" s="1159" t="s">
        <v>2318</v>
      </c>
      <c r="M1417" s="1224">
        <f>ROUND(I1417*K1417,0)</f>
        <v>0</v>
      </c>
      <c r="N1417" s="1161" t="s">
        <v>2318</v>
      </c>
    </row>
    <row r="1418" spans="1:14" ht="96" hidden="1" customHeight="1">
      <c r="A1418" s="1156">
        <v>27</v>
      </c>
      <c r="B1418" s="1826" t="s">
        <v>678</v>
      </c>
      <c r="C1418" s="1826"/>
      <c r="D1418" s="1826"/>
      <c r="E1418" s="1826"/>
      <c r="F1418" s="1826"/>
      <c r="G1418" s="1826"/>
      <c r="H1418" s="1826"/>
      <c r="I1418" s="1157"/>
      <c r="J1418" s="1158"/>
      <c r="K1418" s="1156"/>
      <c r="L1418" s="1159"/>
      <c r="M1418" s="1160"/>
      <c r="N1418" s="1161" t="s">
        <v>2218</v>
      </c>
    </row>
    <row r="1419" spans="1:14" s="1170" customFormat="1" ht="16.5" hidden="1" customHeight="1">
      <c r="A1419" s="1156"/>
      <c r="B1419" s="1169" t="s">
        <v>3498</v>
      </c>
      <c r="C1419" s="1351"/>
      <c r="D1419" s="1418"/>
      <c r="E1419" s="1352"/>
      <c r="F1419" s="1234"/>
      <c r="G1419" s="1234"/>
      <c r="H1419" s="1235"/>
      <c r="I1419" s="1353"/>
      <c r="J1419" s="1168"/>
      <c r="K1419" s="1169"/>
      <c r="L1419" s="1159"/>
      <c r="M1419" s="1169"/>
      <c r="N1419" s="1161" t="s">
        <v>2218</v>
      </c>
    </row>
    <row r="1420" spans="1:14" s="1170" customFormat="1" ht="16.5" hidden="1" customHeight="1">
      <c r="A1420" s="1156"/>
      <c r="B1420" s="1331" t="s">
        <v>1249</v>
      </c>
      <c r="C1420" s="1332">
        <v>1</v>
      </c>
      <c r="D1420" s="1333" t="s">
        <v>273</v>
      </c>
      <c r="E1420" s="1334">
        <v>2</v>
      </c>
      <c r="F1420" s="1335">
        <v>5.25</v>
      </c>
      <c r="G1420" s="1335">
        <v>0</v>
      </c>
      <c r="H1420" s="1335">
        <v>0.1</v>
      </c>
      <c r="I1420" s="1336">
        <f>ROUND(IF(AND(F1420:H1420),C1420*E1420*F1420*G1420*H1420,IF(AND(F1420,G1420),C1420*E1420*F1420*G1420,IF(AND(F1420,H1420),C1420*E1420*F1420*H1420,IF(AND(G1420,H1420),C1420*E1420*G1420*H1420,IF(F1420,C1420*E1420*F1420,IF(G1420,C1420*E1420*G1420,IF(H1420,C1420*E1420*H1420,C1420*E1420))))))),2)</f>
        <v>1.05</v>
      </c>
      <c r="J1420" s="1168" t="s">
        <v>102</v>
      </c>
      <c r="K1420" s="1169"/>
      <c r="L1420" s="1159"/>
      <c r="M1420" s="1169"/>
      <c r="N1420" s="1161" t="s">
        <v>2218</v>
      </c>
    </row>
    <row r="1421" spans="1:14" s="1170" customFormat="1" ht="16.5" hidden="1" customHeight="1">
      <c r="A1421" s="1156"/>
      <c r="B1421" s="1331" t="s">
        <v>1251</v>
      </c>
      <c r="C1421" s="1332">
        <v>1</v>
      </c>
      <c r="D1421" s="1333" t="s">
        <v>273</v>
      </c>
      <c r="E1421" s="1334">
        <v>22</v>
      </c>
      <c r="F1421" s="1335">
        <v>1.28</v>
      </c>
      <c r="G1421" s="1335">
        <v>0</v>
      </c>
      <c r="H1421" s="1335">
        <v>0.15</v>
      </c>
      <c r="I1421" s="1336">
        <f>ROUND(IF(AND(F1421:H1421),C1421*E1421*F1421*G1421*H1421,IF(AND(F1421,G1421),C1421*E1421*F1421*G1421,IF(AND(F1421,H1421),C1421*E1421*F1421*H1421,IF(AND(G1421,H1421),C1421*E1421*G1421*H1421,IF(F1421,C1421*E1421*F1421,IF(G1421,C1421*E1421*G1421,IF(H1421,C1421*E1421*H1421,C1421*E1421))))))),2)</f>
        <v>4.22</v>
      </c>
      <c r="J1421" s="1168" t="s">
        <v>102</v>
      </c>
      <c r="K1421" s="1169"/>
      <c r="L1421" s="1159"/>
      <c r="M1421" s="1169"/>
      <c r="N1421" s="1161" t="s">
        <v>2218</v>
      </c>
    </row>
    <row r="1422" spans="1:14" s="1170" customFormat="1" ht="16.5" hidden="1" customHeight="1">
      <c r="A1422" s="1156"/>
      <c r="B1422" s="1331" t="s">
        <v>1245</v>
      </c>
      <c r="C1422" s="1332">
        <v>1</v>
      </c>
      <c r="D1422" s="1333" t="s">
        <v>273</v>
      </c>
      <c r="E1422" s="1334">
        <v>1</v>
      </c>
      <c r="F1422" s="1335">
        <v>10.53</v>
      </c>
      <c r="G1422" s="1335">
        <v>0</v>
      </c>
      <c r="H1422" s="1335">
        <v>0.1</v>
      </c>
      <c r="I1422" s="1336">
        <f>ROUND(IF(AND(F1422:H1422),C1422*E1422*F1422*G1422*H1422,IF(AND(F1422,G1422),C1422*E1422*F1422*G1422,IF(AND(F1422,H1422),C1422*E1422*F1422*H1422,IF(AND(G1422,H1422),C1422*E1422*G1422*H1422,IF(F1422,C1422*E1422*F1422,IF(G1422,C1422*E1422*G1422,IF(H1422,C1422*E1422*H1422,C1422*E1422))))))),2)</f>
        <v>1.05</v>
      </c>
      <c r="J1422" s="1168" t="s">
        <v>102</v>
      </c>
      <c r="K1422" s="1169"/>
      <c r="L1422" s="1159"/>
      <c r="M1422" s="1169"/>
      <c r="N1422" s="1161" t="s">
        <v>2218</v>
      </c>
    </row>
    <row r="1423" spans="1:14" s="1170" customFormat="1" ht="16.5" hidden="1" customHeight="1">
      <c r="A1423" s="1156"/>
      <c r="B1423" s="1331"/>
      <c r="C1423" s="1332"/>
      <c r="D1423" s="1333"/>
      <c r="E1423" s="1334"/>
      <c r="F1423" s="1335"/>
      <c r="G1423" s="1335"/>
      <c r="H1423" s="1335"/>
      <c r="I1423" s="1336"/>
      <c r="J1423" s="1168"/>
      <c r="K1423" s="1169"/>
      <c r="L1423" s="1159"/>
      <c r="M1423" s="1169"/>
      <c r="N1423" s="1161" t="s">
        <v>2218</v>
      </c>
    </row>
    <row r="1424" spans="1:14" ht="15.75" hidden="1">
      <c r="A1424" s="1156"/>
      <c r="B1424" s="1169"/>
      <c r="C1424" s="1337"/>
      <c r="D1424" s="1171"/>
      <c r="E1424" s="1165"/>
      <c r="F1424" s="1166"/>
      <c r="G1424" s="1343"/>
      <c r="H1424" s="1156"/>
      <c r="I1424" s="1336"/>
      <c r="J1424" s="1168" t="s">
        <v>102</v>
      </c>
      <c r="K1424" s="1221">
        <f>data!E660</f>
        <v>623.66999999999996</v>
      </c>
      <c r="L1424" s="1159" t="s">
        <v>2218</v>
      </c>
      <c r="M1424" s="1224">
        <f>ROUND(I1424*K1424,0)</f>
        <v>0</v>
      </c>
      <c r="N1424" s="1161" t="s">
        <v>2218</v>
      </c>
    </row>
    <row r="1425" spans="1:14" ht="96" hidden="1" customHeight="1">
      <c r="A1425" s="1156">
        <v>27</v>
      </c>
      <c r="B1425" s="1826" t="s">
        <v>678</v>
      </c>
      <c r="C1425" s="1826"/>
      <c r="D1425" s="1826"/>
      <c r="E1425" s="1826"/>
      <c r="F1425" s="1826"/>
      <c r="G1425" s="1826"/>
      <c r="H1425" s="1826"/>
      <c r="I1425" s="1157"/>
      <c r="J1425" s="1158"/>
      <c r="K1425" s="1156"/>
      <c r="L1425" s="1159"/>
      <c r="M1425" s="1160"/>
      <c r="N1425" s="1161" t="s">
        <v>2306</v>
      </c>
    </row>
    <row r="1426" spans="1:14" s="1170" customFormat="1" ht="16.5" hidden="1" customHeight="1">
      <c r="A1426" s="1156"/>
      <c r="B1426" s="1169" t="s">
        <v>3041</v>
      </c>
      <c r="C1426" s="1351"/>
      <c r="D1426" s="1418"/>
      <c r="E1426" s="1352"/>
      <c r="F1426" s="1234"/>
      <c r="G1426" s="1234"/>
      <c r="H1426" s="1235"/>
      <c r="I1426" s="1353"/>
      <c r="J1426" s="1168"/>
      <c r="K1426" s="1169"/>
      <c r="L1426" s="1159"/>
      <c r="M1426" s="1169"/>
      <c r="N1426" s="1161" t="s">
        <v>2306</v>
      </c>
    </row>
    <row r="1427" spans="1:14" s="1170" customFormat="1" ht="16.5" hidden="1" customHeight="1">
      <c r="A1427" s="1156"/>
      <c r="B1427" s="1331" t="s">
        <v>2747</v>
      </c>
      <c r="C1427" s="1332">
        <v>1</v>
      </c>
      <c r="D1427" s="1333" t="s">
        <v>273</v>
      </c>
      <c r="E1427" s="1334">
        <v>5</v>
      </c>
      <c r="F1427" s="1335">
        <v>2.4</v>
      </c>
      <c r="G1427" s="1335">
        <v>0</v>
      </c>
      <c r="H1427" s="1335">
        <v>0.15</v>
      </c>
      <c r="I1427" s="1336">
        <f>ROUND(IF(AND(F1427:H1427),C1427*E1427*F1427*G1427*H1427,IF(AND(F1427,G1427),C1427*E1427*F1427*G1427,IF(AND(F1427,H1427),C1427*E1427*F1427*H1427,IF(AND(G1427,H1427),C1427*E1427*G1427*H1427,IF(F1427,C1427*E1427*F1427,IF(G1427,C1427*E1427*G1427,IF(H1427,C1427*E1427*H1427,C1427*E1427))))))),2)</f>
        <v>1.8</v>
      </c>
      <c r="J1427" s="1168" t="s">
        <v>102</v>
      </c>
      <c r="K1427" s="1169"/>
      <c r="L1427" s="1159"/>
      <c r="M1427" s="1169"/>
      <c r="N1427" s="1161" t="s">
        <v>2306</v>
      </c>
    </row>
    <row r="1428" spans="1:14" s="1170" customFormat="1" ht="16.5" hidden="1" customHeight="1">
      <c r="A1428" s="1156"/>
      <c r="B1428" s="1331" t="s">
        <v>3022</v>
      </c>
      <c r="C1428" s="1332">
        <v>1</v>
      </c>
      <c r="D1428" s="1333" t="s">
        <v>273</v>
      </c>
      <c r="E1428" s="1334">
        <v>5</v>
      </c>
      <c r="F1428" s="1335">
        <v>1.5</v>
      </c>
      <c r="G1428" s="1335">
        <v>0</v>
      </c>
      <c r="H1428" s="1335">
        <v>0.15</v>
      </c>
      <c r="I1428" s="1336">
        <f t="shared" ref="I1428:I1429" si="140">ROUND(IF(AND(F1428:H1428),C1428*E1428*F1428*G1428*H1428,IF(AND(F1428,G1428),C1428*E1428*F1428*G1428,IF(AND(F1428,H1428),C1428*E1428*F1428*H1428,IF(AND(G1428,H1428),C1428*E1428*G1428*H1428,IF(F1428,C1428*E1428*F1428,IF(G1428,C1428*E1428*G1428,IF(H1428,C1428*E1428*H1428,C1428*E1428))))))),2)</f>
        <v>1.1299999999999999</v>
      </c>
      <c r="J1428" s="1168" t="s">
        <v>102</v>
      </c>
      <c r="K1428" s="1169"/>
      <c r="L1428" s="1159"/>
      <c r="M1428" s="1169"/>
      <c r="N1428" s="1161" t="s">
        <v>2306</v>
      </c>
    </row>
    <row r="1429" spans="1:14" s="1170" customFormat="1" ht="16.5" hidden="1" customHeight="1">
      <c r="A1429" s="1156"/>
      <c r="B1429" s="1331" t="s">
        <v>801</v>
      </c>
      <c r="C1429" s="1332">
        <v>1</v>
      </c>
      <c r="D1429" s="1333" t="s">
        <v>273</v>
      </c>
      <c r="E1429" s="1334">
        <v>11</v>
      </c>
      <c r="F1429" s="1335">
        <v>1.3</v>
      </c>
      <c r="G1429" s="1335">
        <v>0</v>
      </c>
      <c r="H1429" s="1335">
        <v>0.15</v>
      </c>
      <c r="I1429" s="1336">
        <f t="shared" si="140"/>
        <v>2.15</v>
      </c>
      <c r="J1429" s="1168" t="s">
        <v>102</v>
      </c>
      <c r="K1429" s="1169"/>
      <c r="L1429" s="1159"/>
      <c r="M1429" s="1169"/>
      <c r="N1429" s="1161" t="s">
        <v>2306</v>
      </c>
    </row>
    <row r="1430" spans="1:14" s="1170" customFormat="1" ht="16.5" hidden="1" customHeight="1">
      <c r="A1430" s="1156"/>
      <c r="B1430" s="1331" t="s">
        <v>800</v>
      </c>
      <c r="C1430" s="1332">
        <v>1</v>
      </c>
      <c r="D1430" s="1333" t="s">
        <v>273</v>
      </c>
      <c r="E1430" s="1334">
        <v>11</v>
      </c>
      <c r="F1430" s="1335">
        <v>1.3</v>
      </c>
      <c r="G1430" s="1335">
        <v>0</v>
      </c>
      <c r="H1430" s="1335">
        <v>0.15</v>
      </c>
      <c r="I1430" s="1336">
        <f>ROUND(IF(AND(F1430:H1430),C1430*E1430*F1430*G1430*H1430,IF(AND(F1430,G1430),C1430*E1430*F1430*G1430,IF(AND(F1430,H1430),C1430*E1430*F1430*H1430,IF(AND(G1430,H1430),C1430*E1430*G1430*H1430,IF(F1430,C1430*E1430*F1430,IF(G1430,C1430*E1430*G1430,IF(H1430,C1430*E1430*H1430,C1430*E1430))))))),2)</f>
        <v>2.15</v>
      </c>
      <c r="J1430" s="1168" t="s">
        <v>102</v>
      </c>
      <c r="K1430" s="1169"/>
      <c r="L1430" s="1159"/>
      <c r="M1430" s="1169"/>
      <c r="N1430" s="1161" t="s">
        <v>2306</v>
      </c>
    </row>
    <row r="1431" spans="1:14" s="1170" customFormat="1" ht="16.5" hidden="1" customHeight="1">
      <c r="A1431" s="1156"/>
      <c r="B1431" s="1331"/>
      <c r="C1431" s="1332"/>
      <c r="D1431" s="1333"/>
      <c r="E1431" s="1334"/>
      <c r="F1431" s="1335"/>
      <c r="G1431" s="1335"/>
      <c r="H1431" s="1335"/>
      <c r="I1431" s="1336"/>
      <c r="J1431" s="1168"/>
      <c r="K1431" s="1169"/>
      <c r="L1431" s="1159"/>
      <c r="M1431" s="1169"/>
      <c r="N1431" s="1161" t="s">
        <v>2306</v>
      </c>
    </row>
    <row r="1432" spans="1:14" ht="15.75" hidden="1">
      <c r="A1432" s="1156"/>
      <c r="B1432" s="1169"/>
      <c r="C1432" s="1337"/>
      <c r="D1432" s="1171"/>
      <c r="E1432" s="1165"/>
      <c r="F1432" s="1166"/>
      <c r="G1432" s="1343"/>
      <c r="H1432" s="1156"/>
      <c r="I1432" s="1336"/>
      <c r="J1432" s="1168" t="s">
        <v>102</v>
      </c>
      <c r="K1432" s="1221">
        <f>data!E1577</f>
        <v>651.79999999999995</v>
      </c>
      <c r="L1432" s="1159" t="s">
        <v>2306</v>
      </c>
      <c r="M1432" s="1224">
        <f>ROUND(I1432*K1432,0)</f>
        <v>0</v>
      </c>
      <c r="N1432" s="1161" t="s">
        <v>2306</v>
      </c>
    </row>
    <row r="1433" spans="1:14" ht="96" hidden="1" customHeight="1">
      <c r="A1433" s="1156">
        <v>27</v>
      </c>
      <c r="B1433" s="1826" t="s">
        <v>678</v>
      </c>
      <c r="C1433" s="1826"/>
      <c r="D1433" s="1826"/>
      <c r="E1433" s="1826"/>
      <c r="F1433" s="1826"/>
      <c r="G1433" s="1826"/>
      <c r="H1433" s="1826"/>
      <c r="I1433" s="1157"/>
      <c r="J1433" s="1158"/>
      <c r="K1433" s="1156"/>
      <c r="L1433" s="1159"/>
      <c r="M1433" s="1160"/>
      <c r="N1433" s="1161" t="s">
        <v>2317</v>
      </c>
    </row>
    <row r="1434" spans="1:14" s="1170" customFormat="1" ht="16.5" hidden="1" customHeight="1">
      <c r="A1434" s="1156"/>
      <c r="B1434" s="1169" t="s">
        <v>3498</v>
      </c>
      <c r="C1434" s="1351"/>
      <c r="D1434" s="1418"/>
      <c r="E1434" s="1352"/>
      <c r="F1434" s="1234"/>
      <c r="G1434" s="1234"/>
      <c r="H1434" s="1235"/>
      <c r="I1434" s="1353"/>
      <c r="J1434" s="1168"/>
      <c r="K1434" s="1169"/>
      <c r="L1434" s="1159"/>
      <c r="M1434" s="1169"/>
      <c r="N1434" s="1161" t="s">
        <v>2317</v>
      </c>
    </row>
    <row r="1435" spans="1:14" s="1170" customFormat="1" ht="16.5" hidden="1" customHeight="1">
      <c r="A1435" s="1156"/>
      <c r="B1435" s="1331" t="s">
        <v>1249</v>
      </c>
      <c r="C1435" s="1332">
        <v>1</v>
      </c>
      <c r="D1435" s="1333" t="s">
        <v>273</v>
      </c>
      <c r="E1435" s="1334">
        <v>2</v>
      </c>
      <c r="F1435" s="1335">
        <v>5.25</v>
      </c>
      <c r="G1435" s="1335">
        <v>0</v>
      </c>
      <c r="H1435" s="1335">
        <v>0.1</v>
      </c>
      <c r="I1435" s="1336">
        <f>ROUND(IF(AND(F1435:H1435),C1435*E1435*F1435*G1435*H1435,IF(AND(F1435,G1435),C1435*E1435*F1435*G1435,IF(AND(F1435,H1435),C1435*E1435*F1435*H1435,IF(AND(G1435,H1435),C1435*E1435*G1435*H1435,IF(F1435,C1435*E1435*F1435,IF(G1435,C1435*E1435*G1435,IF(H1435,C1435*E1435*H1435,C1435*E1435))))))),2)</f>
        <v>1.05</v>
      </c>
      <c r="J1435" s="1168" t="s">
        <v>102</v>
      </c>
      <c r="K1435" s="1169"/>
      <c r="L1435" s="1159"/>
      <c r="M1435" s="1169"/>
      <c r="N1435" s="1161" t="s">
        <v>2317</v>
      </c>
    </row>
    <row r="1436" spans="1:14" s="1170" customFormat="1" ht="16.5" hidden="1" customHeight="1">
      <c r="A1436" s="1156"/>
      <c r="B1436" s="1331" t="s">
        <v>1251</v>
      </c>
      <c r="C1436" s="1332">
        <v>1</v>
      </c>
      <c r="D1436" s="1333" t="s">
        <v>273</v>
      </c>
      <c r="E1436" s="1334">
        <v>22</v>
      </c>
      <c r="F1436" s="1335">
        <v>1.28</v>
      </c>
      <c r="G1436" s="1335">
        <v>0</v>
      </c>
      <c r="H1436" s="1335">
        <v>0.15</v>
      </c>
      <c r="I1436" s="1336">
        <f>ROUND(IF(AND(F1436:H1436),C1436*E1436*F1436*G1436*H1436,IF(AND(F1436,G1436),C1436*E1436*F1436*G1436,IF(AND(F1436,H1436),C1436*E1436*F1436*H1436,IF(AND(G1436,H1436),C1436*E1436*G1436*H1436,IF(F1436,C1436*E1436*F1436,IF(G1436,C1436*E1436*G1436,IF(H1436,C1436*E1436*H1436,C1436*E1436))))))),2)</f>
        <v>4.22</v>
      </c>
      <c r="J1436" s="1168" t="s">
        <v>102</v>
      </c>
      <c r="K1436" s="1169"/>
      <c r="L1436" s="1159"/>
      <c r="M1436" s="1169"/>
      <c r="N1436" s="1161" t="s">
        <v>2317</v>
      </c>
    </row>
    <row r="1437" spans="1:14" s="1170" customFormat="1" ht="16.5" hidden="1" customHeight="1">
      <c r="A1437" s="1156"/>
      <c r="B1437" s="1331" t="s">
        <v>1245</v>
      </c>
      <c r="C1437" s="1332">
        <v>1</v>
      </c>
      <c r="D1437" s="1333" t="s">
        <v>273</v>
      </c>
      <c r="E1437" s="1334">
        <v>1</v>
      </c>
      <c r="F1437" s="1335">
        <v>10.53</v>
      </c>
      <c r="G1437" s="1335">
        <v>0</v>
      </c>
      <c r="H1437" s="1335">
        <v>0.1</v>
      </c>
      <c r="I1437" s="1336">
        <f>ROUND(IF(AND(F1437:H1437),C1437*E1437*F1437*G1437*H1437,IF(AND(F1437,G1437),C1437*E1437*F1437*G1437,IF(AND(F1437,H1437),C1437*E1437*F1437*H1437,IF(AND(G1437,H1437),C1437*E1437*G1437*H1437,IF(F1437,C1437*E1437*F1437,IF(G1437,C1437*E1437*G1437,IF(H1437,C1437*E1437*H1437,C1437*E1437))))))),2)</f>
        <v>1.05</v>
      </c>
      <c r="J1437" s="1168" t="s">
        <v>102</v>
      </c>
      <c r="K1437" s="1169"/>
      <c r="L1437" s="1159"/>
      <c r="M1437" s="1169"/>
      <c r="N1437" s="1161" t="s">
        <v>2317</v>
      </c>
    </row>
    <row r="1438" spans="1:14" s="1170" customFormat="1" ht="16.5" hidden="1" customHeight="1">
      <c r="A1438" s="1156"/>
      <c r="B1438" s="1331"/>
      <c r="C1438" s="1332"/>
      <c r="D1438" s="1333"/>
      <c r="E1438" s="1334"/>
      <c r="F1438" s="1335"/>
      <c r="G1438" s="1335"/>
      <c r="H1438" s="1335"/>
      <c r="I1438" s="1336"/>
      <c r="J1438" s="1168"/>
      <c r="K1438" s="1169"/>
      <c r="L1438" s="1159"/>
      <c r="M1438" s="1169"/>
      <c r="N1438" s="1161" t="s">
        <v>2317</v>
      </c>
    </row>
    <row r="1439" spans="1:14" ht="15.75" hidden="1">
      <c r="A1439" s="1156"/>
      <c r="B1439" s="1169"/>
      <c r="C1439" s="1337"/>
      <c r="D1439" s="1171"/>
      <c r="E1439" s="1165"/>
      <c r="F1439" s="1166"/>
      <c r="G1439" s="1343"/>
      <c r="H1439" s="1156"/>
      <c r="I1439" s="1336"/>
      <c r="J1439" s="1168" t="s">
        <v>102</v>
      </c>
      <c r="K1439" s="1221">
        <f>data!E2494</f>
        <v>673.02</v>
      </c>
      <c r="L1439" s="1159" t="s">
        <v>2317</v>
      </c>
      <c r="M1439" s="1224">
        <f>ROUND(I1439*K1439,0)</f>
        <v>0</v>
      </c>
      <c r="N1439" s="1161" t="s">
        <v>2317</v>
      </c>
    </row>
    <row r="1440" spans="1:14" ht="96" hidden="1" customHeight="1">
      <c r="A1440" s="1156">
        <v>27</v>
      </c>
      <c r="B1440" s="1826" t="s">
        <v>678</v>
      </c>
      <c r="C1440" s="1826"/>
      <c r="D1440" s="1826"/>
      <c r="E1440" s="1826"/>
      <c r="F1440" s="1826"/>
      <c r="G1440" s="1826"/>
      <c r="H1440" s="1826"/>
      <c r="I1440" s="1157"/>
      <c r="J1440" s="1158"/>
      <c r="K1440" s="1156"/>
      <c r="L1440" s="1159"/>
      <c r="M1440" s="1160"/>
      <c r="N1440" s="1161" t="s">
        <v>2318</v>
      </c>
    </row>
    <row r="1441" spans="1:14" s="1170" customFormat="1" ht="16.5" hidden="1" customHeight="1">
      <c r="A1441" s="1156"/>
      <c r="B1441" s="1169" t="s">
        <v>3498</v>
      </c>
      <c r="C1441" s="1351"/>
      <c r="D1441" s="1418"/>
      <c r="E1441" s="1352"/>
      <c r="F1441" s="1234"/>
      <c r="G1441" s="1234"/>
      <c r="H1441" s="1235"/>
      <c r="I1441" s="1353"/>
      <c r="J1441" s="1168"/>
      <c r="K1441" s="1169"/>
      <c r="L1441" s="1159"/>
      <c r="M1441" s="1169"/>
      <c r="N1441" s="1161" t="s">
        <v>2318</v>
      </c>
    </row>
    <row r="1442" spans="1:14" s="1170" customFormat="1" ht="16.5" hidden="1" customHeight="1">
      <c r="A1442" s="1156"/>
      <c r="B1442" s="1331" t="s">
        <v>1249</v>
      </c>
      <c r="C1442" s="1332">
        <v>1</v>
      </c>
      <c r="D1442" s="1333" t="s">
        <v>273</v>
      </c>
      <c r="E1442" s="1334">
        <v>2</v>
      </c>
      <c r="F1442" s="1335">
        <v>5.25</v>
      </c>
      <c r="G1442" s="1335">
        <v>0</v>
      </c>
      <c r="H1442" s="1335">
        <v>0.1</v>
      </c>
      <c r="I1442" s="1336">
        <f>ROUND(IF(AND(F1442:H1442),C1442*E1442*F1442*G1442*H1442,IF(AND(F1442,G1442),C1442*E1442*F1442*G1442,IF(AND(F1442,H1442),C1442*E1442*F1442*H1442,IF(AND(G1442,H1442),C1442*E1442*G1442*H1442,IF(F1442,C1442*E1442*F1442,IF(G1442,C1442*E1442*G1442,IF(H1442,C1442*E1442*H1442,C1442*E1442))))))),2)</f>
        <v>1.05</v>
      </c>
      <c r="J1442" s="1168" t="s">
        <v>102</v>
      </c>
      <c r="K1442" s="1169"/>
      <c r="L1442" s="1159"/>
      <c r="M1442" s="1169"/>
      <c r="N1442" s="1161" t="s">
        <v>2318</v>
      </c>
    </row>
    <row r="1443" spans="1:14" s="1170" customFormat="1" ht="16.5" hidden="1" customHeight="1">
      <c r="A1443" s="1156"/>
      <c r="B1443" s="1331" t="s">
        <v>1251</v>
      </c>
      <c r="C1443" s="1332">
        <v>1</v>
      </c>
      <c r="D1443" s="1333" t="s">
        <v>273</v>
      </c>
      <c r="E1443" s="1334">
        <v>22</v>
      </c>
      <c r="F1443" s="1335">
        <v>1.28</v>
      </c>
      <c r="G1443" s="1335">
        <v>0</v>
      </c>
      <c r="H1443" s="1335">
        <v>0.15</v>
      </c>
      <c r="I1443" s="1336">
        <f>ROUND(IF(AND(F1443:H1443),C1443*E1443*F1443*G1443*H1443,IF(AND(F1443,G1443),C1443*E1443*F1443*G1443,IF(AND(F1443,H1443),C1443*E1443*F1443*H1443,IF(AND(G1443,H1443),C1443*E1443*G1443*H1443,IF(F1443,C1443*E1443*F1443,IF(G1443,C1443*E1443*G1443,IF(H1443,C1443*E1443*H1443,C1443*E1443))))))),2)</f>
        <v>4.22</v>
      </c>
      <c r="J1443" s="1168" t="s">
        <v>102</v>
      </c>
      <c r="K1443" s="1169"/>
      <c r="L1443" s="1159"/>
      <c r="M1443" s="1169"/>
      <c r="N1443" s="1161" t="s">
        <v>2318</v>
      </c>
    </row>
    <row r="1444" spans="1:14" s="1170" customFormat="1" ht="16.5" hidden="1" customHeight="1">
      <c r="A1444" s="1156"/>
      <c r="B1444" s="1331" t="s">
        <v>1245</v>
      </c>
      <c r="C1444" s="1332">
        <v>1</v>
      </c>
      <c r="D1444" s="1333" t="s">
        <v>273</v>
      </c>
      <c r="E1444" s="1334">
        <v>1</v>
      </c>
      <c r="F1444" s="1335">
        <v>10.53</v>
      </c>
      <c r="G1444" s="1335">
        <v>0</v>
      </c>
      <c r="H1444" s="1335">
        <v>0.1</v>
      </c>
      <c r="I1444" s="1336">
        <f>ROUND(IF(AND(F1444:H1444),C1444*E1444*F1444*G1444*H1444,IF(AND(F1444,G1444),C1444*E1444*F1444*G1444,IF(AND(F1444,H1444),C1444*E1444*F1444*H1444,IF(AND(G1444,H1444),C1444*E1444*G1444*H1444,IF(F1444,C1444*E1444*F1444,IF(G1444,C1444*E1444*G1444,IF(H1444,C1444*E1444*H1444,C1444*E1444))))))),2)</f>
        <v>1.05</v>
      </c>
      <c r="J1444" s="1168" t="s">
        <v>102</v>
      </c>
      <c r="K1444" s="1169"/>
      <c r="L1444" s="1159"/>
      <c r="M1444" s="1169"/>
      <c r="N1444" s="1161" t="s">
        <v>2318</v>
      </c>
    </row>
    <row r="1445" spans="1:14" s="1170" customFormat="1" ht="16.5" hidden="1" customHeight="1">
      <c r="A1445" s="1156"/>
      <c r="B1445" s="1331"/>
      <c r="C1445" s="1332"/>
      <c r="D1445" s="1333"/>
      <c r="E1445" s="1334"/>
      <c r="F1445" s="1335"/>
      <c r="G1445" s="1335"/>
      <c r="H1445" s="1335"/>
      <c r="I1445" s="1336"/>
      <c r="J1445" s="1168"/>
      <c r="K1445" s="1169"/>
      <c r="L1445" s="1159"/>
      <c r="M1445" s="1169"/>
      <c r="N1445" s="1161" t="s">
        <v>2318</v>
      </c>
    </row>
    <row r="1446" spans="1:14" ht="15.75" hidden="1">
      <c r="A1446" s="1156"/>
      <c r="B1446" s="1169"/>
      <c r="C1446" s="1337"/>
      <c r="D1446" s="1171"/>
      <c r="E1446" s="1165"/>
      <c r="F1446" s="1166"/>
      <c r="G1446" s="1343"/>
      <c r="H1446" s="1156"/>
      <c r="I1446" s="1336"/>
      <c r="J1446" s="1168" t="s">
        <v>102</v>
      </c>
      <c r="K1446" s="1221">
        <f>data!E3411</f>
        <v>750.18</v>
      </c>
      <c r="L1446" s="1159" t="s">
        <v>2318</v>
      </c>
      <c r="M1446" s="1224">
        <f>ROUND(I1446*K1446,0)</f>
        <v>0</v>
      </c>
      <c r="N1446" s="1161" t="s">
        <v>2318</v>
      </c>
    </row>
    <row r="1447" spans="1:14" ht="94.5" hidden="1" customHeight="1">
      <c r="A1447" s="1156">
        <v>26</v>
      </c>
      <c r="B1447" s="1826" t="s">
        <v>211</v>
      </c>
      <c r="C1447" s="1826"/>
      <c r="D1447" s="1826"/>
      <c r="E1447" s="1826"/>
      <c r="F1447" s="1826"/>
      <c r="G1447" s="1826"/>
      <c r="H1447" s="1826"/>
      <c r="I1447" s="1157"/>
      <c r="J1447" s="1158"/>
      <c r="K1447" s="1156"/>
      <c r="L1447" s="1159"/>
      <c r="M1447" s="1160"/>
      <c r="N1447" s="1161" t="s">
        <v>2218</v>
      </c>
    </row>
    <row r="1448" spans="1:14" s="1170" customFormat="1" ht="16.5" hidden="1" customHeight="1">
      <c r="A1448" s="1156"/>
      <c r="B1448" s="1169" t="s">
        <v>3483</v>
      </c>
      <c r="C1448" s="1351"/>
      <c r="D1448" s="1418"/>
      <c r="E1448" s="1352"/>
      <c r="F1448" s="1234"/>
      <c r="G1448" s="1234"/>
      <c r="H1448" s="1235"/>
      <c r="I1448" s="1353"/>
      <c r="J1448" s="1168"/>
      <c r="K1448" s="1169"/>
      <c r="L1448" s="1159"/>
      <c r="M1448" s="1169"/>
      <c r="N1448" s="1161" t="s">
        <v>2218</v>
      </c>
    </row>
    <row r="1449" spans="1:14" s="1170" customFormat="1" ht="16.5" hidden="1" customHeight="1">
      <c r="A1449" s="1156"/>
      <c r="B1449" s="1359" t="s">
        <v>2086</v>
      </c>
      <c r="C1449" s="1360">
        <v>1</v>
      </c>
      <c r="D1449" s="1361" t="s">
        <v>273</v>
      </c>
      <c r="E1449" s="1362">
        <v>1</v>
      </c>
      <c r="F1449" s="1363">
        <v>5.56</v>
      </c>
      <c r="G1449" s="1363">
        <v>3.05</v>
      </c>
      <c r="H1449" s="1363">
        <v>0</v>
      </c>
      <c r="I1449" s="1336">
        <f>ROUND(IF(AND(F1449:H1449),C1449*E1449*F1449*G1449*H1449,IF(AND(F1449,G1449),C1449*E1449*F1449*G1449,IF(AND(F1449,H1449),C1449*E1449*F1449*H1449,IF(AND(G1449,H1449),C1449*E1449*G1449*H1449,IF(F1449,C1449*E1449*F1449,IF(G1449,C1449*E1449*G1449,IF(H1449,C1449*E1449*H1449,C1449*E1449))))))),2)</f>
        <v>16.96</v>
      </c>
      <c r="J1449" s="1168" t="s">
        <v>102</v>
      </c>
      <c r="K1449" s="1169"/>
      <c r="L1449" s="1159"/>
      <c r="M1449" s="1169"/>
      <c r="N1449" s="1161" t="s">
        <v>2218</v>
      </c>
    </row>
    <row r="1450" spans="1:14" s="1170" customFormat="1" ht="16.5" hidden="1" customHeight="1">
      <c r="A1450" s="1156"/>
      <c r="B1450" s="1359" t="s">
        <v>2143</v>
      </c>
      <c r="C1450" s="1360">
        <v>1</v>
      </c>
      <c r="D1450" s="1361" t="s">
        <v>273</v>
      </c>
      <c r="E1450" s="1362">
        <v>1</v>
      </c>
      <c r="F1450" s="1363">
        <v>3.2</v>
      </c>
      <c r="G1450" s="1363">
        <v>1.5</v>
      </c>
      <c r="H1450" s="1363">
        <v>0</v>
      </c>
      <c r="I1450" s="1336">
        <f>ROUND(IF(AND(F1450:H1450),C1450*E1450*F1450*G1450*H1450,IF(AND(F1450,G1450),C1450*E1450*F1450*G1450,IF(AND(F1450,H1450),C1450*E1450*F1450*H1450,IF(AND(G1450,H1450),C1450*E1450*G1450*H1450,IF(F1450,C1450*E1450*F1450,IF(G1450,C1450*E1450*G1450,IF(H1450,C1450*E1450*H1450,C1450*E1450))))))),2)</f>
        <v>4.8</v>
      </c>
      <c r="J1450" s="1168" t="s">
        <v>102</v>
      </c>
      <c r="K1450" s="1169"/>
      <c r="L1450" s="1159"/>
      <c r="M1450" s="1169"/>
      <c r="N1450" s="1161" t="s">
        <v>2218</v>
      </c>
    </row>
    <row r="1451" spans="1:14" s="1170" customFormat="1" ht="16.5" hidden="1" customHeight="1">
      <c r="A1451" s="1156"/>
      <c r="B1451" s="1331"/>
      <c r="C1451" s="1332"/>
      <c r="D1451" s="1333"/>
      <c r="E1451" s="1334"/>
      <c r="F1451" s="1335"/>
      <c r="G1451" s="1335"/>
      <c r="H1451" s="1335"/>
      <c r="I1451" s="1336"/>
      <c r="J1451" s="1168"/>
      <c r="K1451" s="1169"/>
      <c r="L1451" s="1159"/>
      <c r="M1451" s="1169"/>
      <c r="N1451" s="1161" t="s">
        <v>2218</v>
      </c>
    </row>
    <row r="1452" spans="1:14" ht="15.75" hidden="1">
      <c r="A1452" s="1156"/>
      <c r="B1452" s="1169"/>
      <c r="C1452" s="1337"/>
      <c r="D1452" s="1171"/>
      <c r="E1452" s="1165"/>
      <c r="F1452" s="1166"/>
      <c r="G1452" s="1343"/>
      <c r="H1452" s="1156"/>
      <c r="I1452" s="1336"/>
      <c r="J1452" s="1168" t="s">
        <v>102</v>
      </c>
      <c r="K1452" s="1221">
        <f>data!E716</f>
        <v>726.78</v>
      </c>
      <c r="L1452" s="1159" t="s">
        <v>2218</v>
      </c>
      <c r="M1452" s="1224">
        <f>ROUND(I1452*K1452,0)</f>
        <v>0</v>
      </c>
      <c r="N1452" s="1161" t="s">
        <v>2218</v>
      </c>
    </row>
    <row r="1453" spans="1:14" ht="94.5" hidden="1" customHeight="1">
      <c r="A1453" s="1156">
        <v>26</v>
      </c>
      <c r="B1453" s="1826" t="s">
        <v>211</v>
      </c>
      <c r="C1453" s="1826"/>
      <c r="D1453" s="1826"/>
      <c r="E1453" s="1826"/>
      <c r="F1453" s="1826"/>
      <c r="G1453" s="1826"/>
      <c r="H1453" s="1826"/>
      <c r="I1453" s="1157"/>
      <c r="J1453" s="1158"/>
      <c r="K1453" s="1156"/>
      <c r="L1453" s="1159"/>
      <c r="M1453" s="1160"/>
      <c r="N1453" s="1161" t="s">
        <v>2306</v>
      </c>
    </row>
    <row r="1454" spans="1:14" s="1170" customFormat="1" ht="16.5" hidden="1" customHeight="1">
      <c r="A1454" s="1156"/>
      <c r="B1454" s="1169" t="s">
        <v>2749</v>
      </c>
      <c r="C1454" s="1351"/>
      <c r="D1454" s="1418"/>
      <c r="E1454" s="1352"/>
      <c r="F1454" s="1234"/>
      <c r="G1454" s="1234"/>
      <c r="H1454" s="1235"/>
      <c r="I1454" s="1353"/>
      <c r="J1454" s="1168"/>
      <c r="K1454" s="1169"/>
      <c r="L1454" s="1159"/>
      <c r="M1454" s="1169"/>
      <c r="N1454" s="1161" t="s">
        <v>2306</v>
      </c>
    </row>
    <row r="1455" spans="1:14" s="1170" customFormat="1" ht="16.5" hidden="1" customHeight="1">
      <c r="A1455" s="1156"/>
      <c r="B1455" s="1359" t="s">
        <v>2086</v>
      </c>
      <c r="C1455" s="1360">
        <v>1</v>
      </c>
      <c r="D1455" s="1361" t="s">
        <v>273</v>
      </c>
      <c r="E1455" s="1362">
        <v>1</v>
      </c>
      <c r="F1455" s="1363">
        <v>9</v>
      </c>
      <c r="G1455" s="1363">
        <v>2.4500000000000002</v>
      </c>
      <c r="H1455" s="1363">
        <v>0</v>
      </c>
      <c r="I1455" s="1336">
        <f>ROUND(IF(AND(F1455:H1455),C1455*E1455*F1455*G1455*H1455,IF(AND(F1455,G1455),C1455*E1455*F1455*G1455,IF(AND(F1455,H1455),C1455*E1455*F1455*H1455,IF(AND(G1455,H1455),C1455*E1455*G1455*H1455,IF(F1455,C1455*E1455*F1455,IF(G1455,C1455*E1455*G1455,IF(H1455,C1455*E1455*H1455,C1455*E1455))))))),2)</f>
        <v>22.05</v>
      </c>
      <c r="J1455" s="1168" t="s">
        <v>102</v>
      </c>
      <c r="K1455" s="1169"/>
      <c r="L1455" s="1159"/>
      <c r="M1455" s="1169"/>
      <c r="N1455" s="1161" t="s">
        <v>2306</v>
      </c>
    </row>
    <row r="1456" spans="1:14" s="1170" customFormat="1" ht="16.5" hidden="1" customHeight="1">
      <c r="A1456" s="1156"/>
      <c r="B1456" s="1331"/>
      <c r="C1456" s="1332"/>
      <c r="D1456" s="1333"/>
      <c r="E1456" s="1334"/>
      <c r="F1456" s="1335"/>
      <c r="G1456" s="1335"/>
      <c r="H1456" s="1335"/>
      <c r="I1456" s="1336"/>
      <c r="J1456" s="1168"/>
      <c r="K1456" s="1169"/>
      <c r="L1456" s="1159"/>
      <c r="M1456" s="1169"/>
      <c r="N1456" s="1161" t="s">
        <v>2306</v>
      </c>
    </row>
    <row r="1457" spans="1:14" ht="15.75" hidden="1">
      <c r="A1457" s="1156"/>
      <c r="B1457" s="1169"/>
      <c r="C1457" s="1337"/>
      <c r="D1457" s="1171"/>
      <c r="E1457" s="1165"/>
      <c r="F1457" s="1166"/>
      <c r="G1457" s="1343"/>
      <c r="H1457" s="1156"/>
      <c r="I1457" s="1336"/>
      <c r="J1457" s="1168" t="s">
        <v>102</v>
      </c>
      <c r="K1457" s="1221">
        <f>data!E1633</f>
        <v>754.91</v>
      </c>
      <c r="L1457" s="1159" t="s">
        <v>2306</v>
      </c>
      <c r="M1457" s="1224">
        <f>ROUND(I1457*K1457,0)</f>
        <v>0</v>
      </c>
      <c r="N1457" s="1161" t="s">
        <v>2306</v>
      </c>
    </row>
    <row r="1458" spans="1:14" ht="94.5" hidden="1" customHeight="1">
      <c r="A1458" s="1156">
        <v>32</v>
      </c>
      <c r="B1458" s="1826" t="s">
        <v>211</v>
      </c>
      <c r="C1458" s="1826"/>
      <c r="D1458" s="1826"/>
      <c r="E1458" s="1826"/>
      <c r="F1458" s="1826"/>
      <c r="G1458" s="1826"/>
      <c r="H1458" s="1826"/>
      <c r="I1458" s="1157"/>
      <c r="J1458" s="1158"/>
      <c r="K1458" s="1156"/>
      <c r="L1458" s="1159"/>
      <c r="M1458" s="1160"/>
      <c r="N1458" s="1161" t="s">
        <v>2317</v>
      </c>
    </row>
    <row r="1459" spans="1:14" s="1170" customFormat="1" ht="16.5" hidden="1" customHeight="1">
      <c r="A1459" s="1156"/>
      <c r="B1459" s="1163" t="s">
        <v>3708</v>
      </c>
      <c r="C1459" s="1351"/>
      <c r="D1459" s="1548" t="s">
        <v>3743</v>
      </c>
      <c r="E1459" s="1352"/>
      <c r="F1459" s="1234"/>
      <c r="G1459" s="1234"/>
      <c r="H1459" s="1235"/>
      <c r="I1459" s="1353"/>
      <c r="J1459" s="1168"/>
      <c r="K1459" s="1169"/>
      <c r="L1459" s="1159"/>
      <c r="M1459" s="1169"/>
      <c r="N1459" s="1161" t="s">
        <v>2317</v>
      </c>
    </row>
    <row r="1460" spans="1:14" s="1170" customFormat="1" ht="16.5" hidden="1" customHeight="1">
      <c r="A1460" s="1156"/>
      <c r="B1460" s="1359" t="s">
        <v>578</v>
      </c>
      <c r="C1460" s="1360">
        <v>1</v>
      </c>
      <c r="D1460" s="1361" t="s">
        <v>273</v>
      </c>
      <c r="E1460" s="1362">
        <v>2</v>
      </c>
      <c r="F1460" s="1363">
        <v>3.15</v>
      </c>
      <c r="G1460" s="1363">
        <v>1.2</v>
      </c>
      <c r="H1460" s="1363">
        <v>0</v>
      </c>
      <c r="I1460" s="1336">
        <f t="shared" ref="I1460:I1461" si="141">ROUND(IF(AND(F1460:H1460),C1460*E1460*F1460*G1460*H1460,IF(AND(F1460,G1460),C1460*E1460*F1460*G1460,IF(AND(F1460,H1460),C1460*E1460*F1460*H1460,IF(AND(G1460,H1460),C1460*E1460*G1460*H1460,IF(F1460,C1460*E1460*F1460,IF(G1460,C1460*E1460*G1460,IF(H1460,C1460*E1460*H1460,C1460*E1460))))))),2)</f>
        <v>7.56</v>
      </c>
      <c r="J1460" s="1168" t="s">
        <v>102</v>
      </c>
      <c r="K1460" s="1169"/>
      <c r="L1460" s="1159"/>
      <c r="M1460" s="1169"/>
      <c r="N1460" s="1161" t="s">
        <v>2317</v>
      </c>
    </row>
    <row r="1461" spans="1:14" s="1170" customFormat="1" ht="16.5" hidden="1" customHeight="1">
      <c r="A1461" s="1156"/>
      <c r="B1461" s="1359"/>
      <c r="C1461" s="1360">
        <v>1</v>
      </c>
      <c r="D1461" s="1361" t="s">
        <v>273</v>
      </c>
      <c r="E1461" s="1362">
        <v>1</v>
      </c>
      <c r="F1461" s="1363">
        <v>3.6</v>
      </c>
      <c r="G1461" s="1363">
        <v>2.1</v>
      </c>
      <c r="H1461" s="1363">
        <v>0</v>
      </c>
      <c r="I1461" s="1336">
        <f t="shared" si="141"/>
        <v>7.56</v>
      </c>
      <c r="J1461" s="1168" t="s">
        <v>102</v>
      </c>
      <c r="K1461" s="1169"/>
      <c r="L1461" s="1159"/>
      <c r="M1461" s="1169"/>
      <c r="N1461" s="1161" t="s">
        <v>2317</v>
      </c>
    </row>
    <row r="1462" spans="1:14" s="1170" customFormat="1" ht="16.5" hidden="1" customHeight="1">
      <c r="A1462" s="1156"/>
      <c r="B1462" s="1359" t="s">
        <v>281</v>
      </c>
      <c r="C1462" s="1360">
        <v>4</v>
      </c>
      <c r="D1462" s="1361" t="s">
        <v>273</v>
      </c>
      <c r="E1462" s="1775">
        <v>0.78500000000000003</v>
      </c>
      <c r="F1462" s="1363">
        <v>0.23</v>
      </c>
      <c r="G1462" s="1363">
        <v>0.23</v>
      </c>
      <c r="H1462" s="1363">
        <v>0</v>
      </c>
      <c r="I1462" s="1336">
        <f>-ROUND(IF(AND(F1462:H1462),C1462*E1462*F1462*G1462*H1462,IF(AND(F1462,G1462),C1462*E1462*F1462*G1462,IF(AND(F1462,H1462),C1462*E1462*F1462*H1462,IF(AND(G1462,H1462),C1462*E1462*G1462*H1462,IF(F1462,C1462*E1462*F1462,IF(G1462,C1462*E1462*G1462,IF(H1462,C1462*E1462*H1462,C1462*E1462))))))),2)</f>
        <v>-0.17</v>
      </c>
      <c r="J1462" s="1168" t="s">
        <v>102</v>
      </c>
      <c r="K1462" s="1169"/>
      <c r="L1462" s="1159"/>
      <c r="M1462" s="1169"/>
      <c r="N1462" s="1161" t="s">
        <v>2317</v>
      </c>
    </row>
    <row r="1463" spans="1:14" s="1170" customFormat="1" ht="16.5" hidden="1" customHeight="1">
      <c r="A1463" s="1156"/>
      <c r="B1463" s="1331"/>
      <c r="C1463" s="1332"/>
      <c r="D1463" s="1333"/>
      <c r="E1463" s="1334"/>
      <c r="F1463" s="1335"/>
      <c r="G1463" s="1335"/>
      <c r="H1463" s="1335"/>
      <c r="I1463" s="1336"/>
      <c r="J1463" s="1168"/>
      <c r="K1463" s="1169"/>
      <c r="L1463" s="1159"/>
      <c r="M1463" s="1169"/>
      <c r="N1463" s="1161" t="s">
        <v>2317</v>
      </c>
    </row>
    <row r="1464" spans="1:14" ht="15.75" hidden="1">
      <c r="A1464" s="1156"/>
      <c r="B1464" s="1169"/>
      <c r="C1464" s="1337"/>
      <c r="D1464" s="1171"/>
      <c r="E1464" s="1165"/>
      <c r="F1464" s="1166"/>
      <c r="G1464" s="1343"/>
      <c r="H1464" s="1156"/>
      <c r="I1464" s="1336"/>
      <c r="J1464" s="1168" t="s">
        <v>102</v>
      </c>
      <c r="K1464" s="1221">
        <f>data!E2550</f>
        <v>776.13</v>
      </c>
      <c r="L1464" s="1159" t="s">
        <v>2317</v>
      </c>
      <c r="M1464" s="1224">
        <f>ROUND(I1464*K1464,0)</f>
        <v>0</v>
      </c>
      <c r="N1464" s="1161" t="s">
        <v>2317</v>
      </c>
    </row>
    <row r="1465" spans="1:14" ht="94.5" hidden="1" customHeight="1">
      <c r="A1465" s="1156">
        <v>27</v>
      </c>
      <c r="B1465" s="1826" t="s">
        <v>211</v>
      </c>
      <c r="C1465" s="1826"/>
      <c r="D1465" s="1828"/>
      <c r="E1465" s="1826"/>
      <c r="F1465" s="1826"/>
      <c r="G1465" s="1826"/>
      <c r="H1465" s="1826"/>
      <c r="I1465" s="1157"/>
      <c r="J1465" s="1158"/>
      <c r="K1465" s="1156"/>
      <c r="L1465" s="1159"/>
      <c r="M1465" s="1160"/>
      <c r="N1465" s="1161" t="s">
        <v>2318</v>
      </c>
    </row>
    <row r="1466" spans="1:14" s="1170" customFormat="1" ht="16.5" hidden="1" customHeight="1">
      <c r="A1466" s="1156"/>
      <c r="B1466" s="1169" t="s">
        <v>3396</v>
      </c>
      <c r="C1466" s="1351"/>
      <c r="D1466" s="1418"/>
      <c r="E1466" s="1352"/>
      <c r="F1466" s="1234"/>
      <c r="G1466" s="1234"/>
      <c r="H1466" s="1235"/>
      <c r="I1466" s="1353"/>
      <c r="J1466" s="1168"/>
      <c r="K1466" s="1169"/>
      <c r="L1466" s="1159"/>
      <c r="M1466" s="1169"/>
      <c r="N1466" s="1161" t="s">
        <v>2318</v>
      </c>
    </row>
    <row r="1467" spans="1:14" s="1170" customFormat="1" ht="16.5" hidden="1" customHeight="1">
      <c r="A1467" s="1156"/>
      <c r="B1467" s="1359" t="s">
        <v>3624</v>
      </c>
      <c r="C1467" s="1360">
        <v>1</v>
      </c>
      <c r="D1467" s="1361" t="s">
        <v>273</v>
      </c>
      <c r="E1467" s="1362">
        <v>1</v>
      </c>
      <c r="F1467" s="1363">
        <v>1.8</v>
      </c>
      <c r="G1467" s="1363">
        <v>1.8</v>
      </c>
      <c r="H1467" s="1363">
        <v>0</v>
      </c>
      <c r="I1467" s="1336">
        <f t="shared" ref="I1467" si="142">ROUND(IF(AND(F1467:H1467),C1467*E1467*F1467*G1467*H1467,IF(AND(F1467,G1467),C1467*E1467*F1467*G1467,IF(AND(F1467,H1467),C1467*E1467*F1467*H1467,IF(AND(G1467,H1467),C1467*E1467*G1467*H1467,IF(F1467,C1467*E1467*F1467,IF(G1467,C1467*E1467*G1467,IF(H1467,C1467*E1467*H1467,C1467*E1467))))))),2)</f>
        <v>3.24</v>
      </c>
      <c r="J1467" s="1168" t="s">
        <v>102</v>
      </c>
      <c r="K1467" s="1169"/>
      <c r="L1467" s="1159"/>
      <c r="M1467" s="1169"/>
      <c r="N1467" s="1161" t="s">
        <v>2318</v>
      </c>
    </row>
    <row r="1468" spans="1:14" s="1170" customFormat="1" ht="16.5" hidden="1" customHeight="1">
      <c r="A1468" s="1156"/>
      <c r="B1468" s="1331"/>
      <c r="C1468" s="1332"/>
      <c r="D1468" s="1333"/>
      <c r="E1468" s="1334"/>
      <c r="F1468" s="1335"/>
      <c r="G1468" s="1335"/>
      <c r="H1468" s="1335"/>
      <c r="I1468" s="1336"/>
      <c r="J1468" s="1168"/>
      <c r="K1468" s="1169"/>
      <c r="L1468" s="1159"/>
      <c r="M1468" s="1169"/>
      <c r="N1468" s="1161" t="s">
        <v>2318</v>
      </c>
    </row>
    <row r="1469" spans="1:14" ht="15.75" hidden="1">
      <c r="A1469" s="1156"/>
      <c r="B1469" s="1169"/>
      <c r="C1469" s="1337"/>
      <c r="D1469" s="1171"/>
      <c r="E1469" s="1165"/>
      <c r="F1469" s="1166"/>
      <c r="G1469" s="1343"/>
      <c r="H1469" s="1156"/>
      <c r="I1469" s="1336"/>
      <c r="J1469" s="1168" t="s">
        <v>102</v>
      </c>
      <c r="K1469" s="1221">
        <f>data!E3467</f>
        <v>801.83</v>
      </c>
      <c r="L1469" s="1159" t="s">
        <v>2318</v>
      </c>
      <c r="M1469" s="1224">
        <f>ROUND(I1469*K1469,0)</f>
        <v>0</v>
      </c>
      <c r="N1469" s="1161" t="s">
        <v>2318</v>
      </c>
    </row>
    <row r="1470" spans="1:14" ht="94.5" hidden="1" customHeight="1">
      <c r="A1470" s="1156">
        <v>27</v>
      </c>
      <c r="B1470" s="1826" t="s">
        <v>214</v>
      </c>
      <c r="C1470" s="1826"/>
      <c r="D1470" s="1826"/>
      <c r="E1470" s="1826"/>
      <c r="F1470" s="1826"/>
      <c r="G1470" s="1826"/>
      <c r="H1470" s="1826"/>
      <c r="I1470" s="1157"/>
      <c r="J1470" s="1158"/>
      <c r="K1470" s="1156"/>
      <c r="L1470" s="1159"/>
      <c r="M1470" s="1160"/>
      <c r="N1470" s="1161" t="s">
        <v>2218</v>
      </c>
    </row>
    <row r="1471" spans="1:14" s="1170" customFormat="1" ht="16.5" hidden="1" customHeight="1">
      <c r="A1471" s="1156"/>
      <c r="B1471" s="1169" t="s">
        <v>3499</v>
      </c>
      <c r="C1471" s="1351"/>
      <c r="D1471" s="1418"/>
      <c r="E1471" s="1352"/>
      <c r="F1471" s="1234"/>
      <c r="G1471" s="1234"/>
      <c r="H1471" s="1235"/>
      <c r="I1471" s="1353"/>
      <c r="J1471" s="1168"/>
      <c r="K1471" s="1169"/>
      <c r="L1471" s="1156"/>
      <c r="M1471" s="1169"/>
      <c r="N1471" s="1161" t="s">
        <v>2218</v>
      </c>
    </row>
    <row r="1472" spans="1:14" s="1170" customFormat="1" ht="15.75" hidden="1">
      <c r="A1472" s="1156"/>
      <c r="B1472" s="1359" t="s">
        <v>2190</v>
      </c>
      <c r="C1472" s="1360">
        <v>1</v>
      </c>
      <c r="D1472" s="1361" t="s">
        <v>273</v>
      </c>
      <c r="E1472" s="1362">
        <v>1</v>
      </c>
      <c r="F1472" s="1363">
        <v>5.25</v>
      </c>
      <c r="G1472" s="1363">
        <v>0</v>
      </c>
      <c r="H1472" s="1363">
        <v>3.35</v>
      </c>
      <c r="I1472" s="1336">
        <f>ROUND(IF(AND(F1472:H1472),C1472*E1472*F1472*G1472*H1472,IF(AND(F1472,G1472),C1472*E1472*F1472*G1472,IF(AND(F1472,H1472),C1472*E1472*F1472*H1472,IF(AND(G1472,H1472),C1472*E1472*G1472*H1472,IF(F1472,C1472*E1472*F1472,IF(G1472,C1472*E1472*G1472,IF(H1472,C1472*E1472*H1472,C1472*E1472))))))),2)</f>
        <v>17.59</v>
      </c>
      <c r="J1472" s="1168" t="s">
        <v>102</v>
      </c>
      <c r="K1472" s="1169"/>
      <c r="L1472" s="1159"/>
      <c r="M1472" s="1169"/>
      <c r="N1472" s="1161" t="s">
        <v>2218</v>
      </c>
    </row>
    <row r="1473" spans="1:14" s="1170" customFormat="1" ht="15.75" hidden="1">
      <c r="A1473" s="1156"/>
      <c r="B1473" s="1359" t="s">
        <v>2191</v>
      </c>
      <c r="C1473" s="1360">
        <v>1</v>
      </c>
      <c r="D1473" s="1361" t="s">
        <v>273</v>
      </c>
      <c r="E1473" s="1362">
        <v>1</v>
      </c>
      <c r="F1473" s="1363">
        <v>1.6</v>
      </c>
      <c r="G1473" s="1363">
        <v>0</v>
      </c>
      <c r="H1473" s="1363">
        <v>1.3</v>
      </c>
      <c r="I1473" s="1336">
        <f>-ROUND(IF(AND(F1473:H1473),C1473*E1473*F1473*G1473*H1473,IF(AND(F1473,G1473),C1473*E1473*F1473*G1473,IF(AND(F1473,H1473),C1473*E1473*F1473*H1473,IF(AND(G1473,H1473),C1473*E1473*G1473*H1473,IF(F1473,C1473*E1473*F1473,IF(G1473,C1473*E1473*G1473,IF(H1473,C1473*E1473*H1473,C1473*E1473))))))),2)</f>
        <v>-2.08</v>
      </c>
      <c r="J1473" s="1168" t="s">
        <v>102</v>
      </c>
      <c r="K1473" s="1169"/>
      <c r="L1473" s="1159"/>
      <c r="M1473" s="1169"/>
      <c r="N1473" s="1161" t="s">
        <v>2218</v>
      </c>
    </row>
    <row r="1474" spans="1:14" s="1170" customFormat="1" ht="15.75" hidden="1">
      <c r="A1474" s="1156"/>
      <c r="B1474" s="1359"/>
      <c r="C1474" s="1360">
        <v>1</v>
      </c>
      <c r="D1474" s="1361" t="s">
        <v>273</v>
      </c>
      <c r="E1474" s="1362">
        <v>3</v>
      </c>
      <c r="F1474" s="1363">
        <v>0.38</v>
      </c>
      <c r="G1474" s="1363">
        <v>0</v>
      </c>
      <c r="H1474" s="1363">
        <v>0.23</v>
      </c>
      <c r="I1474" s="1336">
        <f>-ROUND(IF(AND(F1474:H1474),C1474*E1474*F1474*G1474*H1474,IF(AND(F1474,G1474),C1474*E1474*F1474*G1474,IF(AND(F1474,H1474),C1474*E1474*F1474*H1474,IF(AND(G1474,H1474),C1474*E1474*G1474*H1474,IF(F1474,C1474*E1474*F1474,IF(G1474,C1474*E1474*G1474,IF(H1474,C1474*E1474*H1474,C1474*E1474))))))),2)</f>
        <v>-0.26</v>
      </c>
      <c r="J1474" s="1168" t="s">
        <v>102</v>
      </c>
      <c r="K1474" s="1169"/>
      <c r="L1474" s="1159"/>
      <c r="M1474" s="1169"/>
      <c r="N1474" s="1161" t="s">
        <v>2218</v>
      </c>
    </row>
    <row r="1475" spans="1:14" s="1170" customFormat="1" ht="16.5" hidden="1" customHeight="1">
      <c r="A1475" s="1156"/>
      <c r="B1475" s="1331"/>
      <c r="C1475" s="1332"/>
      <c r="D1475" s="1333"/>
      <c r="E1475" s="1334"/>
      <c r="F1475" s="1335"/>
      <c r="G1475" s="1335"/>
      <c r="H1475" s="1335"/>
      <c r="I1475" s="1336"/>
      <c r="J1475" s="1168"/>
      <c r="K1475" s="1169"/>
      <c r="L1475" s="1159"/>
      <c r="M1475" s="1169"/>
      <c r="N1475" s="1161" t="s">
        <v>2218</v>
      </c>
    </row>
    <row r="1476" spans="1:14" ht="15.75" hidden="1">
      <c r="A1476" s="1156"/>
      <c r="B1476" s="1169"/>
      <c r="C1476" s="1337"/>
      <c r="D1476" s="1171"/>
      <c r="E1476" s="1165"/>
      <c r="F1476" s="1166"/>
      <c r="G1476" s="1343"/>
      <c r="H1476" s="1156"/>
      <c r="I1476" s="1336"/>
      <c r="J1476" s="1168" t="s">
        <v>102</v>
      </c>
      <c r="K1476" s="1221">
        <f>data!E733</f>
        <v>487.61</v>
      </c>
      <c r="L1476" s="1159" t="s">
        <v>2218</v>
      </c>
      <c r="M1476" s="1224">
        <f>ROUND(I1476*K1476,0)</f>
        <v>0</v>
      </c>
      <c r="N1476" s="1161" t="s">
        <v>2218</v>
      </c>
    </row>
    <row r="1477" spans="1:14" ht="94.5" hidden="1" customHeight="1">
      <c r="A1477" s="1156">
        <v>27</v>
      </c>
      <c r="B1477" s="1826" t="s">
        <v>214</v>
      </c>
      <c r="C1477" s="1826"/>
      <c r="D1477" s="1826"/>
      <c r="E1477" s="1826"/>
      <c r="F1477" s="1826"/>
      <c r="G1477" s="1826"/>
      <c r="H1477" s="1826"/>
      <c r="I1477" s="1157"/>
      <c r="J1477" s="1158"/>
      <c r="K1477" s="1156"/>
      <c r="L1477" s="1159"/>
      <c r="M1477" s="1160"/>
      <c r="N1477" s="1161" t="s">
        <v>2306</v>
      </c>
    </row>
    <row r="1478" spans="1:14" s="1170" customFormat="1" ht="16.5" hidden="1" customHeight="1">
      <c r="A1478" s="1156"/>
      <c r="B1478" s="1169" t="s">
        <v>3499</v>
      </c>
      <c r="C1478" s="1351"/>
      <c r="D1478" s="1418"/>
      <c r="E1478" s="1352"/>
      <c r="F1478" s="1234"/>
      <c r="G1478" s="1234"/>
      <c r="H1478" s="1235"/>
      <c r="I1478" s="1353"/>
      <c r="J1478" s="1168"/>
      <c r="K1478" s="1169"/>
      <c r="L1478" s="1156"/>
      <c r="M1478" s="1169"/>
      <c r="N1478" s="1161" t="s">
        <v>2306</v>
      </c>
    </row>
    <row r="1479" spans="1:14" s="1170" customFormat="1" ht="15.75" hidden="1">
      <c r="A1479" s="1156"/>
      <c r="B1479" s="1359" t="s">
        <v>2190</v>
      </c>
      <c r="C1479" s="1360">
        <v>1</v>
      </c>
      <c r="D1479" s="1361" t="s">
        <v>273</v>
      </c>
      <c r="E1479" s="1362">
        <v>1</v>
      </c>
      <c r="F1479" s="1363">
        <v>5.25</v>
      </c>
      <c r="G1479" s="1363">
        <v>0</v>
      </c>
      <c r="H1479" s="1363">
        <v>3.35</v>
      </c>
      <c r="I1479" s="1336">
        <f>ROUND(IF(AND(F1479:H1479),C1479*E1479*F1479*G1479*H1479,IF(AND(F1479,G1479),C1479*E1479*F1479*G1479,IF(AND(F1479,H1479),C1479*E1479*F1479*H1479,IF(AND(G1479,H1479),C1479*E1479*G1479*H1479,IF(F1479,C1479*E1479*F1479,IF(G1479,C1479*E1479*G1479,IF(H1479,C1479*E1479*H1479,C1479*E1479))))))),2)</f>
        <v>17.59</v>
      </c>
      <c r="J1479" s="1168" t="s">
        <v>102</v>
      </c>
      <c r="K1479" s="1169"/>
      <c r="L1479" s="1159"/>
      <c r="M1479" s="1169"/>
      <c r="N1479" s="1161" t="s">
        <v>2306</v>
      </c>
    </row>
    <row r="1480" spans="1:14" s="1170" customFormat="1" ht="15.75" hidden="1">
      <c r="A1480" s="1156"/>
      <c r="B1480" s="1359" t="s">
        <v>2191</v>
      </c>
      <c r="C1480" s="1360">
        <v>1</v>
      </c>
      <c r="D1480" s="1361" t="s">
        <v>273</v>
      </c>
      <c r="E1480" s="1362">
        <v>1</v>
      </c>
      <c r="F1480" s="1363">
        <v>1.6</v>
      </c>
      <c r="G1480" s="1363">
        <v>0</v>
      </c>
      <c r="H1480" s="1363">
        <v>1.3</v>
      </c>
      <c r="I1480" s="1336">
        <f>-ROUND(IF(AND(F1480:H1480),C1480*E1480*F1480*G1480*H1480,IF(AND(F1480,G1480),C1480*E1480*F1480*G1480,IF(AND(F1480,H1480),C1480*E1480*F1480*H1480,IF(AND(G1480,H1480),C1480*E1480*G1480*H1480,IF(F1480,C1480*E1480*F1480,IF(G1480,C1480*E1480*G1480,IF(H1480,C1480*E1480*H1480,C1480*E1480))))))),2)</f>
        <v>-2.08</v>
      </c>
      <c r="J1480" s="1168" t="s">
        <v>102</v>
      </c>
      <c r="K1480" s="1169"/>
      <c r="L1480" s="1159"/>
      <c r="M1480" s="1169"/>
      <c r="N1480" s="1161" t="s">
        <v>2306</v>
      </c>
    </row>
    <row r="1481" spans="1:14" s="1170" customFormat="1" ht="15.75" hidden="1">
      <c r="A1481" s="1156"/>
      <c r="B1481" s="1359"/>
      <c r="C1481" s="1360">
        <v>1</v>
      </c>
      <c r="D1481" s="1361" t="s">
        <v>273</v>
      </c>
      <c r="E1481" s="1362">
        <v>3</v>
      </c>
      <c r="F1481" s="1363">
        <v>0.38</v>
      </c>
      <c r="G1481" s="1363">
        <v>0</v>
      </c>
      <c r="H1481" s="1363">
        <v>0.23</v>
      </c>
      <c r="I1481" s="1336">
        <f>-ROUND(IF(AND(F1481:H1481),C1481*E1481*F1481*G1481*H1481,IF(AND(F1481,G1481),C1481*E1481*F1481*G1481,IF(AND(F1481,H1481),C1481*E1481*F1481*H1481,IF(AND(G1481,H1481),C1481*E1481*G1481*H1481,IF(F1481,C1481*E1481*F1481,IF(G1481,C1481*E1481*G1481,IF(H1481,C1481*E1481*H1481,C1481*E1481))))))),2)</f>
        <v>-0.26</v>
      </c>
      <c r="J1481" s="1168" t="s">
        <v>102</v>
      </c>
      <c r="K1481" s="1169"/>
      <c r="L1481" s="1159"/>
      <c r="M1481" s="1169"/>
      <c r="N1481" s="1161" t="s">
        <v>2306</v>
      </c>
    </row>
    <row r="1482" spans="1:14" s="1170" customFormat="1" ht="16.5" hidden="1" customHeight="1">
      <c r="A1482" s="1156"/>
      <c r="B1482" s="1331"/>
      <c r="C1482" s="1332"/>
      <c r="D1482" s="1333"/>
      <c r="E1482" s="1334"/>
      <c r="F1482" s="1335"/>
      <c r="G1482" s="1335"/>
      <c r="H1482" s="1335"/>
      <c r="I1482" s="1336"/>
      <c r="J1482" s="1168"/>
      <c r="K1482" s="1169"/>
      <c r="L1482" s="1159"/>
      <c r="M1482" s="1169"/>
      <c r="N1482" s="1161" t="s">
        <v>2306</v>
      </c>
    </row>
    <row r="1483" spans="1:14" ht="15.75" hidden="1">
      <c r="A1483" s="1156"/>
      <c r="B1483" s="1169"/>
      <c r="C1483" s="1337"/>
      <c r="D1483" s="1171"/>
      <c r="E1483" s="1165"/>
      <c r="F1483" s="1166"/>
      <c r="G1483" s="1343"/>
      <c r="H1483" s="1156"/>
      <c r="I1483" s="1336"/>
      <c r="J1483" s="1168" t="s">
        <v>102</v>
      </c>
      <c r="K1483" s="1221">
        <f>data!E1650</f>
        <v>496.21</v>
      </c>
      <c r="L1483" s="1159" t="s">
        <v>2306</v>
      </c>
      <c r="M1483" s="1224">
        <f>ROUND(I1483*K1483,0)</f>
        <v>0</v>
      </c>
      <c r="N1483" s="1161" t="s">
        <v>2306</v>
      </c>
    </row>
    <row r="1484" spans="1:14" ht="94.5" hidden="1" customHeight="1">
      <c r="A1484" s="1156">
        <v>33</v>
      </c>
      <c r="B1484" s="1826" t="s">
        <v>214</v>
      </c>
      <c r="C1484" s="1826"/>
      <c r="D1484" s="1826"/>
      <c r="E1484" s="1826"/>
      <c r="F1484" s="1826"/>
      <c r="G1484" s="1826"/>
      <c r="H1484" s="1826"/>
      <c r="I1484" s="1157"/>
      <c r="J1484" s="1158"/>
      <c r="K1484" s="1156"/>
      <c r="L1484" s="1159"/>
      <c r="M1484" s="1160"/>
      <c r="N1484" s="1161" t="s">
        <v>2317</v>
      </c>
    </row>
    <row r="1485" spans="1:14" s="1170" customFormat="1" ht="16.5" hidden="1" customHeight="1">
      <c r="A1485" s="1156"/>
      <c r="B1485" s="1163" t="s">
        <v>3709</v>
      </c>
      <c r="C1485" s="1351"/>
      <c r="D1485" s="1548" t="s">
        <v>3743</v>
      </c>
      <c r="E1485" s="1352"/>
      <c r="F1485" s="1234"/>
      <c r="G1485" s="1234"/>
      <c r="H1485" s="1235"/>
      <c r="I1485" s="1353"/>
      <c r="J1485" s="1168"/>
      <c r="K1485" s="1169"/>
      <c r="L1485" s="1156"/>
      <c r="M1485" s="1169"/>
      <c r="N1485" s="1161" t="s">
        <v>2317</v>
      </c>
    </row>
    <row r="1486" spans="1:14" s="1170" customFormat="1" ht="15.75" hidden="1">
      <c r="A1486" s="1156"/>
      <c r="B1486" s="1359" t="s">
        <v>2086</v>
      </c>
      <c r="C1486" s="1360">
        <v>1</v>
      </c>
      <c r="D1486" s="1361" t="s">
        <v>273</v>
      </c>
      <c r="E1486" s="1362">
        <v>1</v>
      </c>
      <c r="F1486" s="1363">
        <v>9.9</v>
      </c>
      <c r="G1486" s="1363">
        <v>0</v>
      </c>
      <c r="H1486" s="1363">
        <v>0.1</v>
      </c>
      <c r="I1486" s="1336">
        <f t="shared" ref="I1486" si="143">ROUND(IF(AND(F1486:H1486),C1486*E1486*F1486*G1486*H1486,IF(AND(F1486,G1486),C1486*E1486*F1486*G1486,IF(AND(F1486,H1486),C1486*E1486*F1486*H1486,IF(AND(G1486,H1486),C1486*E1486*G1486*H1486,IF(F1486,C1486*E1486*F1486,IF(G1486,C1486*E1486*G1486,IF(H1486,C1486*E1486*H1486,C1486*E1486))))))),2)</f>
        <v>0.99</v>
      </c>
      <c r="J1486" s="1168" t="s">
        <v>102</v>
      </c>
      <c r="K1486" s="1169"/>
      <c r="L1486" s="1159"/>
      <c r="M1486" s="1169"/>
      <c r="N1486" s="1161" t="s">
        <v>2317</v>
      </c>
    </row>
    <row r="1487" spans="1:14" s="1170" customFormat="1" ht="16.5" hidden="1" customHeight="1">
      <c r="A1487" s="1156"/>
      <c r="B1487" s="1331"/>
      <c r="C1487" s="1332"/>
      <c r="D1487" s="1333"/>
      <c r="E1487" s="1334"/>
      <c r="F1487" s="1335"/>
      <c r="G1487" s="1335"/>
      <c r="H1487" s="1335"/>
      <c r="I1487" s="1336"/>
      <c r="J1487" s="1168"/>
      <c r="K1487" s="1169"/>
      <c r="L1487" s="1159"/>
      <c r="M1487" s="1169"/>
      <c r="N1487" s="1161" t="s">
        <v>2317</v>
      </c>
    </row>
    <row r="1488" spans="1:14" ht="15.75" hidden="1">
      <c r="A1488" s="1156"/>
      <c r="B1488" s="1169"/>
      <c r="C1488" s="1337"/>
      <c r="D1488" s="1171"/>
      <c r="E1488" s="1165"/>
      <c r="F1488" s="1166"/>
      <c r="G1488" s="1343"/>
      <c r="H1488" s="1156"/>
      <c r="I1488" s="1336"/>
      <c r="J1488" s="1168" t="s">
        <v>102</v>
      </c>
      <c r="K1488" s="1221">
        <f>data!E2567</f>
        <v>503.67</v>
      </c>
      <c r="L1488" s="1159" t="s">
        <v>2317</v>
      </c>
      <c r="M1488" s="1224">
        <f>ROUND(I1488*K1488,0)</f>
        <v>0</v>
      </c>
      <c r="N1488" s="1161" t="s">
        <v>2317</v>
      </c>
    </row>
    <row r="1489" spans="1:14" ht="94.5" hidden="1" customHeight="1">
      <c r="A1489" s="1156">
        <v>27</v>
      </c>
      <c r="B1489" s="1826" t="s">
        <v>214</v>
      </c>
      <c r="C1489" s="1826"/>
      <c r="D1489" s="1826"/>
      <c r="E1489" s="1826"/>
      <c r="F1489" s="1826"/>
      <c r="G1489" s="1826"/>
      <c r="H1489" s="1826"/>
      <c r="I1489" s="1157"/>
      <c r="J1489" s="1158"/>
      <c r="K1489" s="1156"/>
      <c r="L1489" s="1159"/>
      <c r="M1489" s="1160"/>
      <c r="N1489" s="1161" t="s">
        <v>2318</v>
      </c>
    </row>
    <row r="1490" spans="1:14" s="1170" customFormat="1" ht="16.5" hidden="1" customHeight="1">
      <c r="A1490" s="1156"/>
      <c r="B1490" s="1169" t="s">
        <v>3396</v>
      </c>
      <c r="C1490" s="1351"/>
      <c r="D1490" s="1418"/>
      <c r="E1490" s="1352"/>
      <c r="F1490" s="1234"/>
      <c r="G1490" s="1234"/>
      <c r="H1490" s="1235"/>
      <c r="I1490" s="1353"/>
      <c r="J1490" s="1168"/>
      <c r="K1490" s="1169"/>
      <c r="L1490" s="1156"/>
      <c r="M1490" s="1169"/>
      <c r="N1490" s="1161" t="s">
        <v>2318</v>
      </c>
    </row>
    <row r="1491" spans="1:14" s="1170" customFormat="1" ht="15.75" hidden="1">
      <c r="A1491" s="1156"/>
      <c r="B1491" s="1359"/>
      <c r="C1491" s="1360">
        <v>1</v>
      </c>
      <c r="D1491" s="1361" t="s">
        <v>273</v>
      </c>
      <c r="E1491" s="1362">
        <v>1</v>
      </c>
      <c r="F1491" s="1363">
        <v>7.2</v>
      </c>
      <c r="G1491" s="1363">
        <v>0</v>
      </c>
      <c r="H1491" s="1363">
        <v>1.8</v>
      </c>
      <c r="I1491" s="1336">
        <f>ROUND(IF(AND(F1491:H1491),C1491*E1491*F1491*G1491*H1491,IF(AND(F1491,G1491),C1491*E1491*F1491*G1491,IF(AND(F1491,H1491),C1491*E1491*F1491*H1491,IF(AND(G1491,H1491),C1491*E1491*G1491*H1491,IF(F1491,C1491*E1491*F1491,IF(G1491,C1491*E1491*G1491,IF(H1491,C1491*E1491*H1491,C1491*E1491))))))),2)</f>
        <v>12.96</v>
      </c>
      <c r="J1491" s="1168" t="s">
        <v>102</v>
      </c>
      <c r="K1491" s="1169"/>
      <c r="L1491" s="1159"/>
      <c r="M1491" s="1169"/>
      <c r="N1491" s="1161" t="s">
        <v>2318</v>
      </c>
    </row>
    <row r="1492" spans="1:14" s="1170" customFormat="1" ht="15.75" hidden="1">
      <c r="A1492" s="1156"/>
      <c r="B1492" s="1359" t="s">
        <v>2506</v>
      </c>
      <c r="C1492" s="1360">
        <v>1</v>
      </c>
      <c r="D1492" s="1361" t="s">
        <v>273</v>
      </c>
      <c r="E1492" s="1362">
        <v>1</v>
      </c>
      <c r="F1492" s="1363">
        <v>0.75</v>
      </c>
      <c r="G1492" s="1363">
        <v>0</v>
      </c>
      <c r="H1492" s="1363">
        <v>1.8</v>
      </c>
      <c r="I1492" s="1336">
        <f>-ROUND(IF(AND(F1492:H1492),C1492*E1492*F1492*G1492*H1492,IF(AND(F1492,G1492),C1492*E1492*F1492*G1492,IF(AND(F1492,H1492),C1492*E1492*F1492*H1492,IF(AND(G1492,H1492),C1492*E1492*G1492*H1492,IF(F1492,C1492*E1492*F1492,IF(G1492,C1492*E1492*G1492,IF(H1492,C1492*E1492*H1492,C1492*E1492))))))),2)</f>
        <v>-1.35</v>
      </c>
      <c r="J1492" s="1168" t="s">
        <v>102</v>
      </c>
      <c r="K1492" s="1169"/>
      <c r="L1492" s="1159"/>
      <c r="M1492" s="1169"/>
      <c r="N1492" s="1161" t="s">
        <v>2318</v>
      </c>
    </row>
    <row r="1493" spans="1:14" s="1170" customFormat="1" ht="16.5" hidden="1" customHeight="1">
      <c r="A1493" s="1156"/>
      <c r="B1493" s="1331"/>
      <c r="C1493" s="1332"/>
      <c r="D1493" s="1333"/>
      <c r="E1493" s="1334"/>
      <c r="F1493" s="1335"/>
      <c r="G1493" s="1335"/>
      <c r="H1493" s="1335"/>
      <c r="I1493" s="1336"/>
      <c r="J1493" s="1168"/>
      <c r="K1493" s="1169"/>
      <c r="L1493" s="1159"/>
      <c r="M1493" s="1169"/>
      <c r="N1493" s="1161" t="s">
        <v>2318</v>
      </c>
    </row>
    <row r="1494" spans="1:14" ht="15.75" hidden="1">
      <c r="A1494" s="1156"/>
      <c r="B1494" s="1169"/>
      <c r="C1494" s="1337"/>
      <c r="D1494" s="1171"/>
      <c r="E1494" s="1165"/>
      <c r="F1494" s="1166"/>
      <c r="G1494" s="1343"/>
      <c r="H1494" s="1156"/>
      <c r="I1494" s="1336"/>
      <c r="J1494" s="1168" t="s">
        <v>102</v>
      </c>
      <c r="K1494" s="1221">
        <f>data!E3484</f>
        <v>518.15</v>
      </c>
      <c r="L1494" s="1159" t="s">
        <v>2318</v>
      </c>
      <c r="M1494" s="1224">
        <f>ROUND(I1494*K1494,0)</f>
        <v>0</v>
      </c>
      <c r="N1494" s="1161" t="s">
        <v>2318</v>
      </c>
    </row>
    <row r="1495" spans="1:14" s="1575" customFormat="1" ht="81.75" customHeight="1">
      <c r="A1495" s="1570">
        <v>24</v>
      </c>
      <c r="B1495" s="1827" t="s">
        <v>1203</v>
      </c>
      <c r="C1495" s="1827"/>
      <c r="D1495" s="1827"/>
      <c r="E1495" s="1827"/>
      <c r="F1495" s="1827"/>
      <c r="G1495" s="1827"/>
      <c r="H1495" s="1827"/>
      <c r="I1495" s="1571"/>
      <c r="J1495" s="1572"/>
      <c r="K1495" s="1570"/>
      <c r="L1495" s="1573"/>
      <c r="M1495" s="1577"/>
      <c r="N1495" s="1578" t="s">
        <v>2218</v>
      </c>
    </row>
    <row r="1496" spans="1:14" s="1586" customFormat="1" ht="16.5" customHeight="1">
      <c r="A1496" s="1570"/>
      <c r="B1496" s="1579" t="s">
        <v>3822</v>
      </c>
      <c r="C1496" s="1571"/>
      <c r="D1496" s="1790" t="s">
        <v>3872</v>
      </c>
      <c r="E1496" s="1588"/>
      <c r="F1496" s="1589"/>
      <c r="G1496" s="1589"/>
      <c r="H1496" s="1589"/>
      <c r="I1496" s="1630"/>
      <c r="J1496" s="1598"/>
      <c r="K1496" s="1585"/>
      <c r="L1496" s="1570"/>
      <c r="M1496" s="1585"/>
      <c r="N1496" s="1578" t="s">
        <v>2218</v>
      </c>
    </row>
    <row r="1497" spans="1:14" s="1586" customFormat="1" ht="16.5" customHeight="1">
      <c r="A1497" s="1570"/>
      <c r="B1497" s="1636"/>
      <c r="C1497" s="1632">
        <v>1</v>
      </c>
      <c r="D1497" s="1625" t="s">
        <v>273</v>
      </c>
      <c r="E1497" s="1633">
        <v>1</v>
      </c>
      <c r="F1497" s="1634">
        <v>3.5</v>
      </c>
      <c r="G1497" s="1634">
        <v>0</v>
      </c>
      <c r="H1497" s="1634">
        <v>1.35</v>
      </c>
      <c r="I1497" s="1635">
        <f>ROUND(IF(AND(F1497:H1497),C1497*E1497*F1497*G1497*H1497,IF(AND(F1497,G1497),C1497*E1497*F1497*G1497,IF(AND(F1497,H1497),C1497*E1497*F1497*H1497,IF(AND(G1497,H1497),C1497*E1497*G1497*H1497,IF(F1497,C1497*E1497*F1497,IF(G1497,C1497*E1497*G1497,IF(H1497,C1497*E1497*H1497,C1497*E1497))))))),2)</f>
        <v>4.7300000000000004</v>
      </c>
      <c r="J1497" s="1616" t="s">
        <v>102</v>
      </c>
      <c r="K1497" s="1585"/>
      <c r="L1497" s="1570"/>
      <c r="M1497" s="1585"/>
      <c r="N1497" s="1578" t="s">
        <v>2218</v>
      </c>
    </row>
    <row r="1498" spans="1:14" s="1586" customFormat="1" ht="16.5" customHeight="1">
      <c r="A1498" s="1570"/>
      <c r="B1498" s="1636"/>
      <c r="C1498" s="1632">
        <v>1</v>
      </c>
      <c r="D1498" s="1625" t="s">
        <v>273</v>
      </c>
      <c r="E1498" s="1633">
        <v>1</v>
      </c>
      <c r="F1498" s="1634">
        <v>3.4</v>
      </c>
      <c r="G1498" s="1634">
        <v>0</v>
      </c>
      <c r="H1498" s="1634">
        <v>1.35</v>
      </c>
      <c r="I1498" s="1635">
        <f>ROUND(IF(AND(F1498:H1498),C1498*E1498*F1498*G1498*H1498,IF(AND(F1498,G1498),C1498*E1498*F1498*G1498,IF(AND(F1498,H1498),C1498*E1498*F1498*H1498,IF(AND(G1498,H1498),C1498*E1498*G1498*H1498,IF(F1498,C1498*E1498*F1498,IF(G1498,C1498*E1498*G1498,IF(H1498,C1498*E1498*H1498,C1498*E1498))))))),2)</f>
        <v>4.59</v>
      </c>
      <c r="J1498" s="1616" t="s">
        <v>102</v>
      </c>
      <c r="K1498" s="1585"/>
      <c r="L1498" s="1570"/>
      <c r="M1498" s="1585"/>
      <c r="N1498" s="1578" t="s">
        <v>2218</v>
      </c>
    </row>
    <row r="1499" spans="1:14" s="1586" customFormat="1" ht="16.5" customHeight="1">
      <c r="A1499" s="1570"/>
      <c r="B1499" s="1636"/>
      <c r="C1499" s="1632">
        <v>1</v>
      </c>
      <c r="D1499" s="1625" t="s">
        <v>273</v>
      </c>
      <c r="E1499" s="1633">
        <v>2</v>
      </c>
      <c r="F1499" s="1634">
        <v>2.7</v>
      </c>
      <c r="G1499" s="1634">
        <v>0</v>
      </c>
      <c r="H1499" s="1634">
        <v>1.85</v>
      </c>
      <c r="I1499" s="1635">
        <f>ROUND(IF(AND(F1499:H1499),C1499*E1499*F1499*G1499*H1499,IF(AND(F1499,G1499),C1499*E1499*F1499*G1499,IF(AND(F1499,H1499),C1499*E1499*F1499*H1499,IF(AND(G1499,H1499),C1499*E1499*G1499*H1499,IF(F1499,C1499*E1499*F1499,IF(G1499,C1499*E1499*G1499,IF(H1499,C1499*E1499*H1499,C1499*E1499))))))),2)</f>
        <v>9.99</v>
      </c>
      <c r="J1499" s="1616" t="s">
        <v>102</v>
      </c>
      <c r="K1499" s="1585"/>
      <c r="L1499" s="1570"/>
      <c r="M1499" s="1585"/>
      <c r="N1499" s="1578" t="s">
        <v>2218</v>
      </c>
    </row>
    <row r="1500" spans="1:14" s="1586" customFormat="1" ht="16.5" customHeight="1">
      <c r="A1500" s="1570"/>
      <c r="B1500" s="1600"/>
      <c r="C1500" s="1601"/>
      <c r="D1500" s="1602"/>
      <c r="E1500" s="1603"/>
      <c r="F1500" s="1604"/>
      <c r="G1500" s="1604"/>
      <c r="H1500" s="1604"/>
      <c r="I1500" s="1605"/>
      <c r="J1500" s="1616"/>
      <c r="K1500" s="1585"/>
      <c r="L1500" s="1570"/>
      <c r="M1500" s="1585"/>
      <c r="N1500" s="1578" t="s">
        <v>2218</v>
      </c>
    </row>
    <row r="1501" spans="1:14" s="1575" customFormat="1" ht="15.75">
      <c r="A1501" s="1570"/>
      <c r="B1501" s="1585"/>
      <c r="C1501" s="1606"/>
      <c r="D1501" s="1587"/>
      <c r="E1501" s="1588"/>
      <c r="F1501" s="1589"/>
      <c r="G1501" s="1607"/>
      <c r="H1501" s="1570"/>
      <c r="I1501" s="1605">
        <f>SUM(I1497:I1500)</f>
        <v>19.310000000000002</v>
      </c>
      <c r="J1501" s="1616" t="s">
        <v>102</v>
      </c>
      <c r="K1501" s="1608">
        <f>data!E761</f>
        <v>911.63</v>
      </c>
      <c r="L1501" s="1573" t="s">
        <v>2218</v>
      </c>
      <c r="M1501" s="1609">
        <f>ROUND(I1501*K1501,0)</f>
        <v>17604</v>
      </c>
      <c r="N1501" s="1578" t="s">
        <v>2218</v>
      </c>
    </row>
    <row r="1502" spans="1:14" ht="81.75" hidden="1" customHeight="1">
      <c r="A1502" s="1156">
        <v>30</v>
      </c>
      <c r="B1502" s="1826" t="s">
        <v>1203</v>
      </c>
      <c r="C1502" s="1826"/>
      <c r="D1502" s="1826"/>
      <c r="E1502" s="1826"/>
      <c r="F1502" s="1826"/>
      <c r="G1502" s="1826"/>
      <c r="H1502" s="1826"/>
      <c r="I1502" s="1157"/>
      <c r="J1502" s="1158"/>
      <c r="K1502" s="1156"/>
      <c r="L1502" s="1159"/>
      <c r="M1502" s="1160"/>
      <c r="N1502" s="1161" t="s">
        <v>2306</v>
      </c>
    </row>
    <row r="1503" spans="1:14" s="1170" customFormat="1" ht="16.5" hidden="1" customHeight="1">
      <c r="A1503" s="1156"/>
      <c r="B1503" s="1169" t="s">
        <v>3517</v>
      </c>
      <c r="C1503" s="1351"/>
      <c r="D1503" s="1328" t="s">
        <v>3527</v>
      </c>
      <c r="E1503" s="1352"/>
      <c r="F1503" s="1234"/>
      <c r="G1503" s="1234"/>
      <c r="H1503" s="1235"/>
      <c r="I1503" s="1353"/>
      <c r="J1503" s="1168"/>
      <c r="K1503" s="1169"/>
      <c r="L1503" s="1156"/>
      <c r="M1503" s="1169"/>
      <c r="N1503" s="1161" t="s">
        <v>2306</v>
      </c>
    </row>
    <row r="1504" spans="1:14" s="1170" customFormat="1" ht="16.5" hidden="1" customHeight="1">
      <c r="A1504" s="1156"/>
      <c r="B1504" s="1331" t="s">
        <v>3518</v>
      </c>
      <c r="C1504" s="1332">
        <v>1</v>
      </c>
      <c r="D1504" s="1333" t="s">
        <v>273</v>
      </c>
      <c r="E1504" s="1334">
        <v>2</v>
      </c>
      <c r="F1504" s="1335">
        <v>1.9</v>
      </c>
      <c r="G1504" s="1335">
        <v>1.6</v>
      </c>
      <c r="H1504" s="1335">
        <v>0</v>
      </c>
      <c r="I1504" s="1336">
        <f>ROUND(IF(AND(F1504:H1504),C1504*E1504*F1504*G1504*H1504,IF(AND(F1504,G1504),C1504*E1504*F1504*G1504,IF(AND(F1504,H1504),C1504*E1504*F1504*H1504,IF(AND(G1504,H1504),C1504*E1504*G1504*H1504,IF(F1504,C1504*E1504*F1504,IF(G1504,C1504*E1504*G1504,IF(H1504,C1504*E1504*H1504,C1504*E1504))))))),2)</f>
        <v>6.08</v>
      </c>
      <c r="J1504" s="1168" t="s">
        <v>102</v>
      </c>
      <c r="K1504" s="1169"/>
      <c r="L1504" s="1156"/>
      <c r="M1504" s="1169"/>
      <c r="N1504" s="1161" t="s">
        <v>2306</v>
      </c>
    </row>
    <row r="1505" spans="1:14" s="1170" customFormat="1" ht="16.5" hidden="1" customHeight="1">
      <c r="A1505" s="1156"/>
      <c r="B1505" s="1331" t="s">
        <v>3519</v>
      </c>
      <c r="C1505" s="1332">
        <v>1</v>
      </c>
      <c r="D1505" s="1333" t="s">
        <v>273</v>
      </c>
      <c r="E1505" s="1334">
        <v>2</v>
      </c>
      <c r="F1505" s="1335">
        <v>2.8</v>
      </c>
      <c r="G1505" s="1335">
        <v>0</v>
      </c>
      <c r="H1505" s="1335">
        <v>0.9</v>
      </c>
      <c r="I1505" s="1336">
        <f>ROUND(IF(AND(F1505:H1505),C1505*E1505*F1505*G1505*H1505,IF(AND(F1505,G1505),C1505*E1505*F1505*G1505,IF(AND(F1505,H1505),C1505*E1505*F1505*H1505,IF(AND(G1505,H1505),C1505*E1505*G1505*H1505,IF(F1505,C1505*E1505*F1505,IF(G1505,C1505*E1505*G1505,IF(H1505,C1505*E1505*H1505,C1505*E1505))))))),2)</f>
        <v>5.04</v>
      </c>
      <c r="J1505" s="1168" t="s">
        <v>102</v>
      </c>
      <c r="K1505" s="1169"/>
      <c r="L1505" s="1156"/>
      <c r="M1505" s="1169"/>
      <c r="N1505" s="1161" t="s">
        <v>2306</v>
      </c>
    </row>
    <row r="1506" spans="1:14" s="1170" customFormat="1" ht="16.5" hidden="1" customHeight="1">
      <c r="A1506" s="1156"/>
      <c r="B1506" s="1331"/>
      <c r="C1506" s="1332"/>
      <c r="D1506" s="1333"/>
      <c r="E1506" s="1334"/>
      <c r="F1506" s="1335"/>
      <c r="G1506" s="1335"/>
      <c r="H1506" s="1335"/>
      <c r="I1506" s="1336"/>
      <c r="J1506" s="1357"/>
      <c r="K1506" s="1169"/>
      <c r="L1506" s="1156"/>
      <c r="M1506" s="1169"/>
      <c r="N1506" s="1161" t="s">
        <v>2306</v>
      </c>
    </row>
    <row r="1507" spans="1:14" ht="15.75" hidden="1">
      <c r="A1507" s="1156"/>
      <c r="B1507" s="1169"/>
      <c r="C1507" s="1337"/>
      <c r="D1507" s="1171"/>
      <c r="E1507" s="1165"/>
      <c r="F1507" s="1166"/>
      <c r="G1507" s="1343"/>
      <c r="H1507" s="1156"/>
      <c r="I1507" s="1336"/>
      <c r="J1507" s="1357" t="s">
        <v>102</v>
      </c>
      <c r="K1507" s="1221">
        <f>data!E1678</f>
        <v>950.67</v>
      </c>
      <c r="L1507" s="1159" t="s">
        <v>2306</v>
      </c>
      <c r="M1507" s="1224">
        <f>ROUND(I1507*K1507,0)</f>
        <v>0</v>
      </c>
      <c r="N1507" s="1161" t="s">
        <v>2306</v>
      </c>
    </row>
    <row r="1508" spans="1:14" ht="81.75" hidden="1" customHeight="1">
      <c r="A1508" s="1156">
        <v>34</v>
      </c>
      <c r="B1508" s="1826" t="s">
        <v>1203</v>
      </c>
      <c r="C1508" s="1826"/>
      <c r="D1508" s="1826"/>
      <c r="E1508" s="1826"/>
      <c r="F1508" s="1826"/>
      <c r="G1508" s="1826"/>
      <c r="H1508" s="1826"/>
      <c r="I1508" s="1157"/>
      <c r="J1508" s="1158"/>
      <c r="K1508" s="1156"/>
      <c r="L1508" s="1159"/>
      <c r="M1508" s="1160"/>
      <c r="N1508" s="1161" t="s">
        <v>2317</v>
      </c>
    </row>
    <row r="1509" spans="1:14" s="1170" customFormat="1" ht="16.5" hidden="1" customHeight="1">
      <c r="A1509" s="1156"/>
      <c r="B1509" s="1163" t="s">
        <v>3703</v>
      </c>
      <c r="C1509" s="1354"/>
      <c r="D1509" s="1548" t="s">
        <v>3742</v>
      </c>
      <c r="E1509" s="1355"/>
      <c r="F1509" s="1356"/>
      <c r="G1509" s="1356"/>
      <c r="H1509" s="1356"/>
      <c r="I1509" s="1774"/>
      <c r="J1509" s="1357"/>
      <c r="K1509" s="1169"/>
      <c r="L1509" s="1156"/>
      <c r="M1509" s="1169"/>
      <c r="N1509" s="1161" t="s">
        <v>2317</v>
      </c>
    </row>
    <row r="1510" spans="1:14" s="1170" customFormat="1" ht="16.5" hidden="1" customHeight="1">
      <c r="A1510" s="1156"/>
      <c r="B1510" s="1358" t="s">
        <v>3358</v>
      </c>
      <c r="C1510" s="1354">
        <v>1</v>
      </c>
      <c r="D1510" s="1346" t="s">
        <v>273</v>
      </c>
      <c r="E1510" s="1355">
        <v>1</v>
      </c>
      <c r="F1510" s="1356">
        <v>3.7</v>
      </c>
      <c r="G1510" s="1356">
        <v>1.95</v>
      </c>
      <c r="H1510" s="1356">
        <v>0</v>
      </c>
      <c r="I1510" s="1774">
        <f>ROUND(IF(AND(F1510:H1510),C1510*E1510*F1510*G1510*H1510,IF(AND(F1510,G1510),C1510*E1510*F1510*G1510,IF(AND(F1510,H1510),C1510*E1510*F1510*H1510,IF(AND(G1510,H1510),C1510*E1510*G1510*H1510,IF(F1510,C1510*E1510*F1510,IF(G1510,C1510*E1510*G1510,IF(H1510,C1510*E1510*H1510,C1510*E1510))))))),2)</f>
        <v>7.22</v>
      </c>
      <c r="J1510" s="1357" t="s">
        <v>102</v>
      </c>
      <c r="K1510" s="1169"/>
      <c r="L1510" s="1156"/>
      <c r="M1510" s="1169"/>
      <c r="N1510" s="1161" t="s">
        <v>2317</v>
      </c>
    </row>
    <row r="1511" spans="1:14" s="1170" customFormat="1" ht="16.5" hidden="1" customHeight="1">
      <c r="A1511" s="1156"/>
      <c r="B1511" s="1358" t="s">
        <v>3167</v>
      </c>
      <c r="C1511" s="1354">
        <v>1</v>
      </c>
      <c r="D1511" s="1346" t="s">
        <v>273</v>
      </c>
      <c r="E1511" s="1355">
        <v>2</v>
      </c>
      <c r="F1511" s="1356">
        <v>3.65</v>
      </c>
      <c r="G1511" s="1356">
        <v>1.4</v>
      </c>
      <c r="H1511" s="1356">
        <v>0</v>
      </c>
      <c r="I1511" s="1774">
        <f>ROUND(IF(AND(F1511:H1511),C1511*E1511*F1511*G1511*H1511,IF(AND(F1511,G1511),C1511*E1511*F1511*G1511,IF(AND(F1511,H1511),C1511*E1511*F1511*H1511,IF(AND(G1511,H1511),C1511*E1511*G1511*H1511,IF(F1511,C1511*E1511*F1511,IF(G1511,C1511*E1511*G1511,IF(H1511,C1511*E1511*H1511,C1511*E1511))))))),2)</f>
        <v>10.220000000000001</v>
      </c>
      <c r="J1511" s="1357" t="s">
        <v>102</v>
      </c>
      <c r="K1511" s="1169"/>
      <c r="L1511" s="1156"/>
      <c r="M1511" s="1169"/>
      <c r="N1511" s="1161" t="s">
        <v>2317</v>
      </c>
    </row>
    <row r="1512" spans="1:14" s="1170" customFormat="1" ht="16.5" hidden="1" customHeight="1">
      <c r="A1512" s="1156"/>
      <c r="B1512" s="1331"/>
      <c r="C1512" s="1332"/>
      <c r="D1512" s="1333"/>
      <c r="E1512" s="1334"/>
      <c r="F1512" s="1335"/>
      <c r="G1512" s="1335"/>
      <c r="H1512" s="1335"/>
      <c r="I1512" s="1336"/>
      <c r="J1512" s="1357"/>
      <c r="K1512" s="1169"/>
      <c r="L1512" s="1156"/>
      <c r="M1512" s="1169"/>
      <c r="N1512" s="1161" t="s">
        <v>2317</v>
      </c>
    </row>
    <row r="1513" spans="1:14" ht="15.75" hidden="1">
      <c r="A1513" s="1156"/>
      <c r="B1513" s="1169"/>
      <c r="C1513" s="1337"/>
      <c r="D1513" s="1171"/>
      <c r="E1513" s="1165"/>
      <c r="F1513" s="1166"/>
      <c r="G1513" s="1343"/>
      <c r="H1513" s="1156"/>
      <c r="I1513" s="1336"/>
      <c r="J1513" s="1357" t="s">
        <v>102</v>
      </c>
      <c r="K1513" s="1221">
        <f>data!E2595</f>
        <v>981.79</v>
      </c>
      <c r="L1513" s="1159" t="s">
        <v>2317</v>
      </c>
      <c r="M1513" s="1224">
        <f>ROUND(I1513*K1513,0)</f>
        <v>0</v>
      </c>
      <c r="N1513" s="1161" t="s">
        <v>2317</v>
      </c>
    </row>
    <row r="1514" spans="1:14" ht="81.75" hidden="1" customHeight="1">
      <c r="A1514" s="1156">
        <v>28</v>
      </c>
      <c r="B1514" s="1826" t="s">
        <v>1203</v>
      </c>
      <c r="C1514" s="1826"/>
      <c r="D1514" s="1828"/>
      <c r="E1514" s="1826"/>
      <c r="F1514" s="1826"/>
      <c r="G1514" s="1826"/>
      <c r="H1514" s="1826"/>
      <c r="I1514" s="1157"/>
      <c r="J1514" s="1158"/>
      <c r="K1514" s="1156"/>
      <c r="L1514" s="1159"/>
      <c r="M1514" s="1160"/>
      <c r="N1514" s="1161" t="s">
        <v>2318</v>
      </c>
    </row>
    <row r="1515" spans="1:14" s="1170" customFormat="1" ht="16.5" hidden="1" customHeight="1">
      <c r="A1515" s="1156"/>
      <c r="B1515" s="1169" t="s">
        <v>3396</v>
      </c>
      <c r="C1515" s="1351"/>
      <c r="D1515" s="1418"/>
      <c r="E1515" s="1352"/>
      <c r="F1515" s="1234"/>
      <c r="G1515" s="1234"/>
      <c r="H1515" s="1235"/>
      <c r="I1515" s="1353"/>
      <c r="J1515" s="1168"/>
      <c r="K1515" s="1169"/>
      <c r="L1515" s="1156"/>
      <c r="M1515" s="1169"/>
      <c r="N1515" s="1161" t="s">
        <v>2318</v>
      </c>
    </row>
    <row r="1516" spans="1:14" s="1170" customFormat="1" ht="16.5" hidden="1" customHeight="1">
      <c r="A1516" s="1156"/>
      <c r="B1516" s="1358" t="s">
        <v>3398</v>
      </c>
      <c r="C1516" s="1354">
        <v>1</v>
      </c>
      <c r="D1516" s="1346" t="s">
        <v>273</v>
      </c>
      <c r="E1516" s="1355">
        <v>2</v>
      </c>
      <c r="F1516" s="1356">
        <v>3.45</v>
      </c>
      <c r="G1516" s="1356">
        <v>0.9</v>
      </c>
      <c r="H1516" s="1356">
        <v>0</v>
      </c>
      <c r="I1516" s="1350">
        <f>ROUND(IF(AND(F1516:H1516),C1516*E1516*F1516*G1516*H1516,IF(AND(F1516,G1516),C1516*E1516*F1516*G1516,IF(AND(F1516,H1516),C1516*E1516*F1516*H1516,IF(AND(G1516,H1516),C1516*E1516*G1516*H1516,IF(F1516,C1516*E1516*F1516,IF(G1516,C1516*E1516*G1516,IF(H1516,C1516*E1516*H1516,C1516*E1516))))))),2)</f>
        <v>6.21</v>
      </c>
      <c r="J1516" s="1357" t="s">
        <v>102</v>
      </c>
      <c r="K1516" s="1169"/>
      <c r="L1516" s="1156"/>
      <c r="M1516" s="1169"/>
      <c r="N1516" s="1161" t="s">
        <v>2318</v>
      </c>
    </row>
    <row r="1517" spans="1:14" s="1170" customFormat="1" ht="16.5" hidden="1" customHeight="1">
      <c r="A1517" s="1156"/>
      <c r="B1517" s="1358" t="s">
        <v>3398</v>
      </c>
      <c r="C1517" s="1354">
        <v>1</v>
      </c>
      <c r="D1517" s="1346" t="s">
        <v>273</v>
      </c>
      <c r="E1517" s="1355">
        <v>2</v>
      </c>
      <c r="F1517" s="1356">
        <v>3.45</v>
      </c>
      <c r="G1517" s="1356">
        <v>0.9</v>
      </c>
      <c r="H1517" s="1356">
        <v>0</v>
      </c>
      <c r="I1517" s="1350">
        <f>ROUND(IF(AND(F1517:H1517),C1517*E1517*F1517*G1517*H1517,IF(AND(F1517,G1517),C1517*E1517*F1517*G1517,IF(AND(F1517,H1517),C1517*E1517*F1517*H1517,IF(AND(G1517,H1517),C1517*E1517*G1517*H1517,IF(F1517,C1517*E1517*F1517,IF(G1517,C1517*E1517*G1517,IF(H1517,C1517*E1517*H1517,C1517*E1517))))))),2)</f>
        <v>6.21</v>
      </c>
      <c r="J1517" s="1357" t="s">
        <v>102</v>
      </c>
      <c r="K1517" s="1169"/>
      <c r="L1517" s="1156"/>
      <c r="M1517" s="1169"/>
      <c r="N1517" s="1161" t="s">
        <v>2318</v>
      </c>
    </row>
    <row r="1518" spans="1:14" s="1170" customFormat="1" ht="16.5" hidden="1" customHeight="1">
      <c r="A1518" s="1156"/>
      <c r="B1518" s="1358"/>
      <c r="C1518" s="1354">
        <v>1</v>
      </c>
      <c r="D1518" s="1346" t="s">
        <v>273</v>
      </c>
      <c r="E1518" s="1355">
        <v>1</v>
      </c>
      <c r="F1518" s="1356">
        <v>4.0999999999999996</v>
      </c>
      <c r="G1518" s="1356">
        <v>1.22</v>
      </c>
      <c r="H1518" s="1356">
        <v>0</v>
      </c>
      <c r="I1518" s="1350">
        <f t="shared" ref="I1518" si="144">ROUND(IF(AND(F1518:H1518),C1518*E1518*F1518*G1518*H1518,IF(AND(F1518,G1518),C1518*E1518*F1518*G1518,IF(AND(F1518,H1518),C1518*E1518*F1518*H1518,IF(AND(G1518,H1518),C1518*E1518*G1518*H1518,IF(F1518,C1518*E1518*F1518,IF(G1518,C1518*E1518*G1518,IF(H1518,C1518*E1518*H1518,C1518*E1518))))))),2)</f>
        <v>5</v>
      </c>
      <c r="J1518" s="1357" t="s">
        <v>102</v>
      </c>
      <c r="K1518" s="1169"/>
      <c r="L1518" s="1156"/>
      <c r="M1518" s="1169"/>
      <c r="N1518" s="1161" t="s">
        <v>2318</v>
      </c>
    </row>
    <row r="1519" spans="1:14" s="1170" customFormat="1" ht="16.5" hidden="1" customHeight="1">
      <c r="A1519" s="1156"/>
      <c r="B1519" s="1331"/>
      <c r="C1519" s="1332"/>
      <c r="D1519" s="1333"/>
      <c r="E1519" s="1334"/>
      <c r="F1519" s="1335"/>
      <c r="G1519" s="1335"/>
      <c r="H1519" s="1335"/>
      <c r="I1519" s="1336"/>
      <c r="J1519" s="1357"/>
      <c r="K1519" s="1169"/>
      <c r="L1519" s="1156"/>
      <c r="M1519" s="1169"/>
      <c r="N1519" s="1161" t="s">
        <v>2318</v>
      </c>
    </row>
    <row r="1520" spans="1:14" ht="15.75" hidden="1">
      <c r="A1520" s="1156"/>
      <c r="B1520" s="1169"/>
      <c r="C1520" s="1337"/>
      <c r="D1520" s="1171"/>
      <c r="E1520" s="1165"/>
      <c r="F1520" s="1166"/>
      <c r="G1520" s="1343"/>
      <c r="H1520" s="1156"/>
      <c r="I1520" s="1336"/>
      <c r="J1520" s="1357" t="s">
        <v>102</v>
      </c>
      <c r="K1520" s="1221">
        <f>data!E3512</f>
        <v>1017.93</v>
      </c>
      <c r="L1520" s="1159" t="s">
        <v>2318</v>
      </c>
      <c r="M1520" s="1224">
        <f>ROUND(I1520*K1520,0)</f>
        <v>0</v>
      </c>
      <c r="N1520" s="1161" t="s">
        <v>2318</v>
      </c>
    </row>
    <row r="1521" spans="1:14" ht="81.75" hidden="1" customHeight="1">
      <c r="A1521" s="1156">
        <v>25</v>
      </c>
      <c r="B1521" s="1826" t="s">
        <v>2255</v>
      </c>
      <c r="C1521" s="1826"/>
      <c r="D1521" s="1826"/>
      <c r="E1521" s="1826"/>
      <c r="F1521" s="1826"/>
      <c r="G1521" s="1826"/>
      <c r="H1521" s="1826"/>
      <c r="I1521" s="1157"/>
      <c r="J1521" s="1158"/>
      <c r="K1521" s="1156"/>
      <c r="L1521" s="1159"/>
      <c r="M1521" s="1160"/>
      <c r="N1521" s="1161" t="s">
        <v>2218</v>
      </c>
    </row>
    <row r="1522" spans="1:14" s="1170" customFormat="1" ht="16.5" hidden="1" customHeight="1">
      <c r="A1522" s="1156"/>
      <c r="B1522" s="1169" t="s">
        <v>3481</v>
      </c>
      <c r="C1522" s="1351"/>
      <c r="D1522" s="1418"/>
      <c r="E1522" s="1352"/>
      <c r="F1522" s="1234"/>
      <c r="G1522" s="1234"/>
      <c r="H1522" s="1235"/>
      <c r="I1522" s="1353"/>
      <c r="J1522" s="1168"/>
      <c r="K1522" s="1169"/>
      <c r="L1522" s="1156"/>
      <c r="M1522" s="1169"/>
      <c r="N1522" s="1161" t="s">
        <v>2218</v>
      </c>
    </row>
    <row r="1523" spans="1:14" s="1170" customFormat="1" ht="16.5" hidden="1" customHeight="1">
      <c r="A1523" s="1156"/>
      <c r="B1523" s="1331" t="s">
        <v>1618</v>
      </c>
      <c r="C1523" s="1332">
        <v>1</v>
      </c>
      <c r="D1523" s="1333" t="s">
        <v>273</v>
      </c>
      <c r="E1523" s="1334">
        <v>2</v>
      </c>
      <c r="F1523" s="1335">
        <v>1</v>
      </c>
      <c r="G1523" s="1335">
        <v>0</v>
      </c>
      <c r="H1523" s="1335">
        <v>1</v>
      </c>
      <c r="I1523" s="1336">
        <f>ROUND(IF(AND(F1523:H1523),C1523*E1523*F1523*G1523*H1523,IF(AND(F1523,G1523),C1523*E1523*F1523*G1523,IF(AND(F1523,H1523),C1523*E1523*F1523*H1523,IF(AND(G1523,H1523),C1523*E1523*G1523*H1523,IF(F1523,C1523*E1523*F1523,IF(G1523,C1523*E1523*G1523,IF(H1523,C1523*E1523*H1523,C1523*E1523))))))),2)</f>
        <v>2</v>
      </c>
      <c r="J1523" s="1168" t="s">
        <v>102</v>
      </c>
      <c r="K1523" s="1169"/>
      <c r="L1523" s="1156"/>
      <c r="M1523" s="1169"/>
      <c r="N1523" s="1161" t="s">
        <v>2218</v>
      </c>
    </row>
    <row r="1524" spans="1:14" s="1170" customFormat="1" ht="16.5" hidden="1" customHeight="1">
      <c r="A1524" s="1156"/>
      <c r="B1524" s="1331" t="s">
        <v>1619</v>
      </c>
      <c r="C1524" s="1332">
        <v>1</v>
      </c>
      <c r="D1524" s="1333" t="s">
        <v>273</v>
      </c>
      <c r="E1524" s="1334">
        <v>2</v>
      </c>
      <c r="F1524" s="1335">
        <v>3.15</v>
      </c>
      <c r="G1524" s="1335">
        <v>0</v>
      </c>
      <c r="H1524" s="1335">
        <v>1</v>
      </c>
      <c r="I1524" s="1336">
        <f>ROUND(IF(AND(F1524:H1524),C1524*E1524*F1524*G1524*H1524,IF(AND(F1524,G1524),C1524*E1524*F1524*G1524,IF(AND(F1524,H1524),C1524*E1524*F1524*H1524,IF(AND(G1524,H1524),C1524*E1524*G1524*H1524,IF(F1524,C1524*E1524*F1524,IF(G1524,C1524*E1524*G1524,IF(H1524,C1524*E1524*H1524,C1524*E1524))))))),2)</f>
        <v>6.3</v>
      </c>
      <c r="J1524" s="1168" t="s">
        <v>102</v>
      </c>
      <c r="K1524" s="1169"/>
      <c r="L1524" s="1156"/>
      <c r="M1524" s="1169"/>
      <c r="N1524" s="1161" t="s">
        <v>2218</v>
      </c>
    </row>
    <row r="1525" spans="1:14" s="1170" customFormat="1" ht="16.5" hidden="1" customHeight="1">
      <c r="A1525" s="1156"/>
      <c r="B1525" s="1331" t="s">
        <v>1619</v>
      </c>
      <c r="C1525" s="1332">
        <v>1</v>
      </c>
      <c r="D1525" s="1333" t="s">
        <v>273</v>
      </c>
      <c r="E1525" s="1334">
        <v>2</v>
      </c>
      <c r="F1525" s="1335">
        <v>2</v>
      </c>
      <c r="G1525" s="1335">
        <v>0</v>
      </c>
      <c r="H1525" s="1335">
        <v>1.9</v>
      </c>
      <c r="I1525" s="1336">
        <f>ROUND(IF(AND(F1525:H1525),C1525*E1525*F1525*G1525*H1525,IF(AND(F1525,G1525),C1525*E1525*F1525*G1525,IF(AND(F1525,H1525),C1525*E1525*F1525*H1525,IF(AND(G1525,H1525),C1525*E1525*G1525*H1525,IF(F1525,C1525*E1525*F1525,IF(G1525,C1525*E1525*G1525,IF(H1525,C1525*E1525*H1525,C1525*E1525))))))),2)</f>
        <v>7.6</v>
      </c>
      <c r="J1525" s="1168" t="s">
        <v>102</v>
      </c>
      <c r="K1525" s="1169"/>
      <c r="L1525" s="1156"/>
      <c r="M1525" s="1169"/>
      <c r="N1525" s="1161" t="s">
        <v>2218</v>
      </c>
    </row>
    <row r="1526" spans="1:14" s="1170" customFormat="1" ht="16.5" hidden="1" customHeight="1">
      <c r="A1526" s="1156"/>
      <c r="B1526" s="1331"/>
      <c r="C1526" s="1332"/>
      <c r="D1526" s="1333"/>
      <c r="E1526" s="1334"/>
      <c r="F1526" s="1335"/>
      <c r="G1526" s="1335"/>
      <c r="H1526" s="1335"/>
      <c r="I1526" s="1336"/>
      <c r="J1526" s="1357"/>
      <c r="K1526" s="1169"/>
      <c r="L1526" s="1156"/>
      <c r="M1526" s="1169"/>
      <c r="N1526" s="1161" t="s">
        <v>2218</v>
      </c>
    </row>
    <row r="1527" spans="1:14" ht="15.75" hidden="1">
      <c r="A1527" s="1156"/>
      <c r="B1527" s="1169"/>
      <c r="C1527" s="1337"/>
      <c r="D1527" s="1171"/>
      <c r="E1527" s="1165"/>
      <c r="F1527" s="1166"/>
      <c r="G1527" s="1343"/>
      <c r="H1527" s="1156"/>
      <c r="I1527" s="1336"/>
      <c r="J1527" s="1357" t="s">
        <v>102</v>
      </c>
      <c r="K1527" s="1221">
        <f>data!G766</f>
        <v>489</v>
      </c>
      <c r="L1527" s="1159" t="s">
        <v>2218</v>
      </c>
      <c r="M1527" s="1224">
        <f>ROUND(I1527*K1527,0)</f>
        <v>0</v>
      </c>
      <c r="N1527" s="1161" t="s">
        <v>2218</v>
      </c>
    </row>
    <row r="1528" spans="1:14" ht="81.75" hidden="1" customHeight="1">
      <c r="A1528" s="1156">
        <v>25</v>
      </c>
      <c r="B1528" s="1826" t="s">
        <v>2255</v>
      </c>
      <c r="C1528" s="1826"/>
      <c r="D1528" s="1826"/>
      <c r="E1528" s="1826"/>
      <c r="F1528" s="1826"/>
      <c r="G1528" s="1826"/>
      <c r="H1528" s="1826"/>
      <c r="I1528" s="1157"/>
      <c r="J1528" s="1158"/>
      <c r="K1528" s="1156"/>
      <c r="L1528" s="1159"/>
      <c r="M1528" s="1160"/>
      <c r="N1528" s="1161" t="s">
        <v>2306</v>
      </c>
    </row>
    <row r="1529" spans="1:14" s="1170" customFormat="1" ht="16.5" hidden="1" customHeight="1">
      <c r="A1529" s="1156"/>
      <c r="B1529" s="1169" t="s">
        <v>3481</v>
      </c>
      <c r="C1529" s="1351"/>
      <c r="D1529" s="1418"/>
      <c r="E1529" s="1352"/>
      <c r="F1529" s="1234"/>
      <c r="G1529" s="1234"/>
      <c r="H1529" s="1235"/>
      <c r="I1529" s="1353"/>
      <c r="J1529" s="1168"/>
      <c r="K1529" s="1169"/>
      <c r="L1529" s="1156"/>
      <c r="M1529" s="1169"/>
      <c r="N1529" s="1161" t="s">
        <v>2306</v>
      </c>
    </row>
    <row r="1530" spans="1:14" s="1170" customFormat="1" ht="16.5" hidden="1" customHeight="1">
      <c r="A1530" s="1156"/>
      <c r="B1530" s="1331" t="s">
        <v>1618</v>
      </c>
      <c r="C1530" s="1332">
        <v>1</v>
      </c>
      <c r="D1530" s="1333" t="s">
        <v>273</v>
      </c>
      <c r="E1530" s="1334">
        <v>2</v>
      </c>
      <c r="F1530" s="1335">
        <v>1</v>
      </c>
      <c r="G1530" s="1335">
        <v>0</v>
      </c>
      <c r="H1530" s="1335">
        <v>1</v>
      </c>
      <c r="I1530" s="1336">
        <f>ROUND(IF(AND(F1530:H1530),C1530*E1530*F1530*G1530*H1530,IF(AND(F1530,G1530),C1530*E1530*F1530*G1530,IF(AND(F1530,H1530),C1530*E1530*F1530*H1530,IF(AND(G1530,H1530),C1530*E1530*G1530*H1530,IF(F1530,C1530*E1530*F1530,IF(G1530,C1530*E1530*G1530,IF(H1530,C1530*E1530*H1530,C1530*E1530))))))),2)</f>
        <v>2</v>
      </c>
      <c r="J1530" s="1168" t="s">
        <v>102</v>
      </c>
      <c r="K1530" s="1169"/>
      <c r="L1530" s="1156"/>
      <c r="M1530" s="1169"/>
      <c r="N1530" s="1161" t="s">
        <v>2306</v>
      </c>
    </row>
    <row r="1531" spans="1:14" s="1170" customFormat="1" ht="16.5" hidden="1" customHeight="1">
      <c r="A1531" s="1156"/>
      <c r="B1531" s="1331" t="s">
        <v>1619</v>
      </c>
      <c r="C1531" s="1332">
        <v>1</v>
      </c>
      <c r="D1531" s="1333" t="s">
        <v>273</v>
      </c>
      <c r="E1531" s="1334">
        <v>2</v>
      </c>
      <c r="F1531" s="1335">
        <v>3.15</v>
      </c>
      <c r="G1531" s="1335">
        <v>0</v>
      </c>
      <c r="H1531" s="1335">
        <v>1</v>
      </c>
      <c r="I1531" s="1336">
        <f>ROUND(IF(AND(F1531:H1531),C1531*E1531*F1531*G1531*H1531,IF(AND(F1531,G1531),C1531*E1531*F1531*G1531,IF(AND(F1531,H1531),C1531*E1531*F1531*H1531,IF(AND(G1531,H1531),C1531*E1531*G1531*H1531,IF(F1531,C1531*E1531*F1531,IF(G1531,C1531*E1531*G1531,IF(H1531,C1531*E1531*H1531,C1531*E1531))))))),2)</f>
        <v>6.3</v>
      </c>
      <c r="J1531" s="1168" t="s">
        <v>102</v>
      </c>
      <c r="K1531" s="1169"/>
      <c r="L1531" s="1156"/>
      <c r="M1531" s="1169"/>
      <c r="N1531" s="1161" t="s">
        <v>2306</v>
      </c>
    </row>
    <row r="1532" spans="1:14" s="1170" customFormat="1" ht="16.5" hidden="1" customHeight="1">
      <c r="A1532" s="1156"/>
      <c r="B1532" s="1331" t="s">
        <v>1619</v>
      </c>
      <c r="C1532" s="1332">
        <v>1</v>
      </c>
      <c r="D1532" s="1333" t="s">
        <v>273</v>
      </c>
      <c r="E1532" s="1334">
        <v>2</v>
      </c>
      <c r="F1532" s="1335">
        <v>2</v>
      </c>
      <c r="G1532" s="1335">
        <v>0</v>
      </c>
      <c r="H1532" s="1335">
        <v>1.9</v>
      </c>
      <c r="I1532" s="1336">
        <f>ROUND(IF(AND(F1532:H1532),C1532*E1532*F1532*G1532*H1532,IF(AND(F1532,G1532),C1532*E1532*F1532*G1532,IF(AND(F1532,H1532),C1532*E1532*F1532*H1532,IF(AND(G1532,H1532),C1532*E1532*G1532*H1532,IF(F1532,C1532*E1532*F1532,IF(G1532,C1532*E1532*G1532,IF(H1532,C1532*E1532*H1532,C1532*E1532))))))),2)</f>
        <v>7.6</v>
      </c>
      <c r="J1532" s="1168" t="s">
        <v>102</v>
      </c>
      <c r="K1532" s="1169"/>
      <c r="L1532" s="1156"/>
      <c r="M1532" s="1169"/>
      <c r="N1532" s="1161" t="s">
        <v>2306</v>
      </c>
    </row>
    <row r="1533" spans="1:14" s="1170" customFormat="1" ht="16.5" hidden="1" customHeight="1">
      <c r="A1533" s="1156"/>
      <c r="B1533" s="1331"/>
      <c r="C1533" s="1332"/>
      <c r="D1533" s="1333"/>
      <c r="E1533" s="1334"/>
      <c r="F1533" s="1335"/>
      <c r="G1533" s="1335"/>
      <c r="H1533" s="1335"/>
      <c r="I1533" s="1336"/>
      <c r="J1533" s="1357"/>
      <c r="K1533" s="1169"/>
      <c r="L1533" s="1156"/>
      <c r="M1533" s="1169"/>
      <c r="N1533" s="1161" t="s">
        <v>2306</v>
      </c>
    </row>
    <row r="1534" spans="1:14" ht="15.75" hidden="1">
      <c r="A1534" s="1156"/>
      <c r="B1534" s="1169"/>
      <c r="C1534" s="1337"/>
      <c r="D1534" s="1171"/>
      <c r="E1534" s="1165"/>
      <c r="F1534" s="1166"/>
      <c r="G1534" s="1343"/>
      <c r="H1534" s="1156"/>
      <c r="I1534" s="1336"/>
      <c r="J1534" s="1357" t="s">
        <v>102</v>
      </c>
      <c r="K1534" s="1221">
        <f>data!G1683</f>
        <v>489</v>
      </c>
      <c r="L1534" s="1159" t="s">
        <v>2306</v>
      </c>
      <c r="M1534" s="1224">
        <f>ROUND(I1534*K1534,0)</f>
        <v>0</v>
      </c>
      <c r="N1534" s="1161" t="s">
        <v>2306</v>
      </c>
    </row>
    <row r="1535" spans="1:14" ht="81.75" hidden="1" customHeight="1">
      <c r="A1535" s="1156">
        <v>25</v>
      </c>
      <c r="B1535" s="1826" t="s">
        <v>2255</v>
      </c>
      <c r="C1535" s="1826"/>
      <c r="D1535" s="1826"/>
      <c r="E1535" s="1826"/>
      <c r="F1535" s="1826"/>
      <c r="G1535" s="1826"/>
      <c r="H1535" s="1826"/>
      <c r="I1535" s="1157"/>
      <c r="J1535" s="1158"/>
      <c r="K1535" s="1156"/>
      <c r="L1535" s="1159"/>
      <c r="M1535" s="1160"/>
      <c r="N1535" s="1161" t="s">
        <v>2317</v>
      </c>
    </row>
    <row r="1536" spans="1:14" s="1170" customFormat="1" ht="16.5" hidden="1" customHeight="1">
      <c r="A1536" s="1156"/>
      <c r="B1536" s="1169" t="s">
        <v>3481</v>
      </c>
      <c r="C1536" s="1351"/>
      <c r="D1536" s="1418"/>
      <c r="E1536" s="1352"/>
      <c r="F1536" s="1234"/>
      <c r="G1536" s="1234"/>
      <c r="H1536" s="1235"/>
      <c r="I1536" s="1353"/>
      <c r="J1536" s="1168"/>
      <c r="K1536" s="1169"/>
      <c r="L1536" s="1156"/>
      <c r="M1536" s="1169"/>
      <c r="N1536" s="1161" t="s">
        <v>2317</v>
      </c>
    </row>
    <row r="1537" spans="1:14" s="1170" customFormat="1" ht="16.5" hidden="1" customHeight="1">
      <c r="A1537" s="1156"/>
      <c r="B1537" s="1331" t="s">
        <v>1618</v>
      </c>
      <c r="C1537" s="1332">
        <v>1</v>
      </c>
      <c r="D1537" s="1333" t="s">
        <v>273</v>
      </c>
      <c r="E1537" s="1334">
        <v>2</v>
      </c>
      <c r="F1537" s="1335">
        <v>1</v>
      </c>
      <c r="G1537" s="1335">
        <v>0</v>
      </c>
      <c r="H1537" s="1335">
        <v>1</v>
      </c>
      <c r="I1537" s="1336">
        <f>ROUND(IF(AND(F1537:H1537),C1537*E1537*F1537*G1537*H1537,IF(AND(F1537,G1537),C1537*E1537*F1537*G1537,IF(AND(F1537,H1537),C1537*E1537*F1537*H1537,IF(AND(G1537,H1537),C1537*E1537*G1537*H1537,IF(F1537,C1537*E1537*F1537,IF(G1537,C1537*E1537*G1537,IF(H1537,C1537*E1537*H1537,C1537*E1537))))))),2)</f>
        <v>2</v>
      </c>
      <c r="J1537" s="1168" t="s">
        <v>102</v>
      </c>
      <c r="K1537" s="1169"/>
      <c r="L1537" s="1156"/>
      <c r="M1537" s="1169"/>
      <c r="N1537" s="1161" t="s">
        <v>2317</v>
      </c>
    </row>
    <row r="1538" spans="1:14" s="1170" customFormat="1" ht="16.5" hidden="1" customHeight="1">
      <c r="A1538" s="1156"/>
      <c r="B1538" s="1331" t="s">
        <v>1619</v>
      </c>
      <c r="C1538" s="1332">
        <v>1</v>
      </c>
      <c r="D1538" s="1333" t="s">
        <v>273</v>
      </c>
      <c r="E1538" s="1334">
        <v>2</v>
      </c>
      <c r="F1538" s="1335">
        <v>3.15</v>
      </c>
      <c r="G1538" s="1335">
        <v>0</v>
      </c>
      <c r="H1538" s="1335">
        <v>1</v>
      </c>
      <c r="I1538" s="1336">
        <f>ROUND(IF(AND(F1538:H1538),C1538*E1538*F1538*G1538*H1538,IF(AND(F1538,G1538),C1538*E1538*F1538*G1538,IF(AND(F1538,H1538),C1538*E1538*F1538*H1538,IF(AND(G1538,H1538),C1538*E1538*G1538*H1538,IF(F1538,C1538*E1538*F1538,IF(G1538,C1538*E1538*G1538,IF(H1538,C1538*E1538*H1538,C1538*E1538))))))),2)</f>
        <v>6.3</v>
      </c>
      <c r="J1538" s="1168" t="s">
        <v>102</v>
      </c>
      <c r="K1538" s="1169"/>
      <c r="L1538" s="1156"/>
      <c r="M1538" s="1169"/>
      <c r="N1538" s="1161" t="s">
        <v>2317</v>
      </c>
    </row>
    <row r="1539" spans="1:14" s="1170" customFormat="1" ht="16.5" hidden="1" customHeight="1">
      <c r="A1539" s="1156"/>
      <c r="B1539" s="1331" t="s">
        <v>1619</v>
      </c>
      <c r="C1539" s="1332">
        <v>1</v>
      </c>
      <c r="D1539" s="1333" t="s">
        <v>273</v>
      </c>
      <c r="E1539" s="1334">
        <v>2</v>
      </c>
      <c r="F1539" s="1335">
        <v>2</v>
      </c>
      <c r="G1539" s="1335">
        <v>0</v>
      </c>
      <c r="H1539" s="1335">
        <v>1.9</v>
      </c>
      <c r="I1539" s="1336">
        <f>ROUND(IF(AND(F1539:H1539),C1539*E1539*F1539*G1539*H1539,IF(AND(F1539,G1539),C1539*E1539*F1539*G1539,IF(AND(F1539,H1539),C1539*E1539*F1539*H1539,IF(AND(G1539,H1539),C1539*E1539*G1539*H1539,IF(F1539,C1539*E1539*F1539,IF(G1539,C1539*E1539*G1539,IF(H1539,C1539*E1539*H1539,C1539*E1539))))))),2)</f>
        <v>7.6</v>
      </c>
      <c r="J1539" s="1168" t="s">
        <v>102</v>
      </c>
      <c r="K1539" s="1169"/>
      <c r="L1539" s="1156"/>
      <c r="M1539" s="1169"/>
      <c r="N1539" s="1161" t="s">
        <v>2317</v>
      </c>
    </row>
    <row r="1540" spans="1:14" s="1170" customFormat="1" ht="16.5" hidden="1" customHeight="1">
      <c r="A1540" s="1156"/>
      <c r="B1540" s="1331"/>
      <c r="C1540" s="1332"/>
      <c r="D1540" s="1333"/>
      <c r="E1540" s="1334"/>
      <c r="F1540" s="1335"/>
      <c r="G1540" s="1335"/>
      <c r="H1540" s="1335"/>
      <c r="I1540" s="1336"/>
      <c r="J1540" s="1357"/>
      <c r="K1540" s="1169"/>
      <c r="L1540" s="1156"/>
      <c r="M1540" s="1169"/>
      <c r="N1540" s="1161" t="s">
        <v>2317</v>
      </c>
    </row>
    <row r="1541" spans="1:14" ht="15.75" hidden="1">
      <c r="A1541" s="1156"/>
      <c r="B1541" s="1169"/>
      <c r="C1541" s="1337"/>
      <c r="D1541" s="1171"/>
      <c r="E1541" s="1165"/>
      <c r="F1541" s="1166"/>
      <c r="G1541" s="1343"/>
      <c r="H1541" s="1156"/>
      <c r="I1541" s="1336"/>
      <c r="J1541" s="1357" t="s">
        <v>102</v>
      </c>
      <c r="K1541" s="1221">
        <f>data!G2600</f>
        <v>510</v>
      </c>
      <c r="L1541" s="1159" t="s">
        <v>2317</v>
      </c>
      <c r="M1541" s="1224">
        <f>ROUND(I1541*K1541,0)</f>
        <v>0</v>
      </c>
      <c r="N1541" s="1161" t="s">
        <v>2317</v>
      </c>
    </row>
    <row r="1542" spans="1:14" ht="81.75" hidden="1" customHeight="1">
      <c r="A1542" s="1156">
        <v>25</v>
      </c>
      <c r="B1542" s="1826" t="s">
        <v>2255</v>
      </c>
      <c r="C1542" s="1826"/>
      <c r="D1542" s="1826"/>
      <c r="E1542" s="1826"/>
      <c r="F1542" s="1826"/>
      <c r="G1542" s="1826"/>
      <c r="H1542" s="1826"/>
      <c r="I1542" s="1157"/>
      <c r="J1542" s="1158"/>
      <c r="K1542" s="1156"/>
      <c r="L1542" s="1159"/>
      <c r="M1542" s="1160"/>
      <c r="N1542" s="1161" t="s">
        <v>2318</v>
      </c>
    </row>
    <row r="1543" spans="1:14" s="1170" customFormat="1" ht="16.5" hidden="1" customHeight="1">
      <c r="A1543" s="1156"/>
      <c r="B1543" s="1169" t="s">
        <v>3481</v>
      </c>
      <c r="C1543" s="1351"/>
      <c r="D1543" s="1418"/>
      <c r="E1543" s="1352"/>
      <c r="F1543" s="1234"/>
      <c r="G1543" s="1234"/>
      <c r="H1543" s="1235"/>
      <c r="I1543" s="1353"/>
      <c r="J1543" s="1168"/>
      <c r="K1543" s="1169"/>
      <c r="L1543" s="1156"/>
      <c r="M1543" s="1169"/>
      <c r="N1543" s="1161" t="s">
        <v>2318</v>
      </c>
    </row>
    <row r="1544" spans="1:14" s="1170" customFormat="1" ht="16.5" hidden="1" customHeight="1">
      <c r="A1544" s="1156"/>
      <c r="B1544" s="1331" t="s">
        <v>1618</v>
      </c>
      <c r="C1544" s="1332">
        <v>1</v>
      </c>
      <c r="D1544" s="1333" t="s">
        <v>273</v>
      </c>
      <c r="E1544" s="1334">
        <v>2</v>
      </c>
      <c r="F1544" s="1335">
        <v>1</v>
      </c>
      <c r="G1544" s="1335">
        <v>0</v>
      </c>
      <c r="H1544" s="1335">
        <v>1</v>
      </c>
      <c r="I1544" s="1336">
        <f>ROUND(IF(AND(F1544:H1544),C1544*E1544*F1544*G1544*H1544,IF(AND(F1544,G1544),C1544*E1544*F1544*G1544,IF(AND(F1544,H1544),C1544*E1544*F1544*H1544,IF(AND(G1544,H1544),C1544*E1544*G1544*H1544,IF(F1544,C1544*E1544*F1544,IF(G1544,C1544*E1544*G1544,IF(H1544,C1544*E1544*H1544,C1544*E1544))))))),2)</f>
        <v>2</v>
      </c>
      <c r="J1544" s="1168" t="s">
        <v>102</v>
      </c>
      <c r="K1544" s="1169"/>
      <c r="L1544" s="1156"/>
      <c r="M1544" s="1169"/>
      <c r="N1544" s="1161" t="s">
        <v>2318</v>
      </c>
    </row>
    <row r="1545" spans="1:14" s="1170" customFormat="1" ht="16.5" hidden="1" customHeight="1">
      <c r="A1545" s="1156"/>
      <c r="B1545" s="1331" t="s">
        <v>1619</v>
      </c>
      <c r="C1545" s="1332">
        <v>1</v>
      </c>
      <c r="D1545" s="1333" t="s">
        <v>273</v>
      </c>
      <c r="E1545" s="1334">
        <v>2</v>
      </c>
      <c r="F1545" s="1335">
        <v>3.15</v>
      </c>
      <c r="G1545" s="1335">
        <v>0</v>
      </c>
      <c r="H1545" s="1335">
        <v>1</v>
      </c>
      <c r="I1545" s="1336">
        <f>ROUND(IF(AND(F1545:H1545),C1545*E1545*F1545*G1545*H1545,IF(AND(F1545,G1545),C1545*E1545*F1545*G1545,IF(AND(F1545,H1545),C1545*E1545*F1545*H1545,IF(AND(G1545,H1545),C1545*E1545*G1545*H1545,IF(F1545,C1545*E1545*F1545,IF(G1545,C1545*E1545*G1545,IF(H1545,C1545*E1545*H1545,C1545*E1545))))))),2)</f>
        <v>6.3</v>
      </c>
      <c r="J1545" s="1168" t="s">
        <v>102</v>
      </c>
      <c r="K1545" s="1169"/>
      <c r="L1545" s="1156"/>
      <c r="M1545" s="1169"/>
      <c r="N1545" s="1161" t="s">
        <v>2318</v>
      </c>
    </row>
    <row r="1546" spans="1:14" s="1170" customFormat="1" ht="16.5" hidden="1" customHeight="1">
      <c r="A1546" s="1156"/>
      <c r="B1546" s="1331" t="s">
        <v>1619</v>
      </c>
      <c r="C1546" s="1332">
        <v>1</v>
      </c>
      <c r="D1546" s="1333" t="s">
        <v>273</v>
      </c>
      <c r="E1546" s="1334">
        <v>2</v>
      </c>
      <c r="F1546" s="1335">
        <v>2</v>
      </c>
      <c r="G1546" s="1335">
        <v>0</v>
      </c>
      <c r="H1546" s="1335">
        <v>1.9</v>
      </c>
      <c r="I1546" s="1336">
        <f>ROUND(IF(AND(F1546:H1546),C1546*E1546*F1546*G1546*H1546,IF(AND(F1546,G1546),C1546*E1546*F1546*G1546,IF(AND(F1546,H1546),C1546*E1546*F1546*H1546,IF(AND(G1546,H1546),C1546*E1546*G1546*H1546,IF(F1546,C1546*E1546*F1546,IF(G1546,C1546*E1546*G1546,IF(H1546,C1546*E1546*H1546,C1546*E1546))))))),2)</f>
        <v>7.6</v>
      </c>
      <c r="J1546" s="1168" t="s">
        <v>102</v>
      </c>
      <c r="K1546" s="1169"/>
      <c r="L1546" s="1156"/>
      <c r="M1546" s="1169"/>
      <c r="N1546" s="1161" t="s">
        <v>2318</v>
      </c>
    </row>
    <row r="1547" spans="1:14" s="1170" customFormat="1" ht="16.5" hidden="1" customHeight="1">
      <c r="A1547" s="1156"/>
      <c r="B1547" s="1331"/>
      <c r="C1547" s="1332"/>
      <c r="D1547" s="1333"/>
      <c r="E1547" s="1334"/>
      <c r="F1547" s="1335"/>
      <c r="G1547" s="1335"/>
      <c r="H1547" s="1335"/>
      <c r="I1547" s="1336"/>
      <c r="J1547" s="1357"/>
      <c r="K1547" s="1169"/>
      <c r="L1547" s="1156"/>
      <c r="M1547" s="1169"/>
      <c r="N1547" s="1161" t="s">
        <v>2318</v>
      </c>
    </row>
    <row r="1548" spans="1:14" ht="15.75" hidden="1">
      <c r="A1548" s="1156"/>
      <c r="B1548" s="1169"/>
      <c r="C1548" s="1337"/>
      <c r="D1548" s="1171"/>
      <c r="E1548" s="1165"/>
      <c r="F1548" s="1166"/>
      <c r="G1548" s="1343"/>
      <c r="H1548" s="1156"/>
      <c r="I1548" s="1336"/>
      <c r="J1548" s="1357" t="s">
        <v>102</v>
      </c>
      <c r="K1548" s="1221">
        <f>data!G3517</f>
        <v>610</v>
      </c>
      <c r="L1548" s="1159" t="s">
        <v>2318</v>
      </c>
      <c r="M1548" s="1224">
        <f>ROUND(I1548*K1548,0)</f>
        <v>0</v>
      </c>
      <c r="N1548" s="1161" t="s">
        <v>2318</v>
      </c>
    </row>
    <row r="1549" spans="1:14" ht="96" hidden="1" customHeight="1">
      <c r="A1549" s="1156">
        <v>25</v>
      </c>
      <c r="B1549" s="1826" t="s">
        <v>2259</v>
      </c>
      <c r="C1549" s="1826"/>
      <c r="D1549" s="1826"/>
      <c r="E1549" s="1826"/>
      <c r="F1549" s="1826"/>
      <c r="G1549" s="1826"/>
      <c r="H1549" s="1826"/>
      <c r="I1549" s="1157"/>
      <c r="J1549" s="1158"/>
      <c r="K1549" s="1156"/>
      <c r="L1549" s="1159"/>
      <c r="M1549" s="1160"/>
      <c r="N1549" s="1161" t="s">
        <v>2218</v>
      </c>
    </row>
    <row r="1550" spans="1:14" s="1170" customFormat="1" ht="16.5" hidden="1" customHeight="1">
      <c r="A1550" s="1156"/>
      <c r="B1550" s="1169" t="s">
        <v>3481</v>
      </c>
      <c r="C1550" s="1351"/>
      <c r="D1550" s="1418"/>
      <c r="E1550" s="1352"/>
      <c r="F1550" s="1234"/>
      <c r="G1550" s="1234"/>
      <c r="H1550" s="1235"/>
      <c r="I1550" s="1353"/>
      <c r="J1550" s="1168"/>
      <c r="K1550" s="1169"/>
      <c r="L1550" s="1156"/>
      <c r="M1550" s="1169"/>
      <c r="N1550" s="1161" t="s">
        <v>2218</v>
      </c>
    </row>
    <row r="1551" spans="1:14" s="1170" customFormat="1" ht="16.5" hidden="1" customHeight="1">
      <c r="A1551" s="1156"/>
      <c r="B1551" s="1331" t="s">
        <v>1618</v>
      </c>
      <c r="C1551" s="1332">
        <v>1</v>
      </c>
      <c r="D1551" s="1333" t="s">
        <v>273</v>
      </c>
      <c r="E1551" s="1334">
        <v>2</v>
      </c>
      <c r="F1551" s="1335">
        <v>1</v>
      </c>
      <c r="G1551" s="1335">
        <v>0</v>
      </c>
      <c r="H1551" s="1335">
        <v>1</v>
      </c>
      <c r="I1551" s="1336">
        <f>ROUND(IF(AND(F1551:H1551),C1551*E1551*F1551*G1551*H1551,IF(AND(F1551,G1551),C1551*E1551*F1551*G1551,IF(AND(F1551,H1551),C1551*E1551*F1551*H1551,IF(AND(G1551,H1551),C1551*E1551*G1551*H1551,IF(F1551,C1551*E1551*F1551,IF(G1551,C1551*E1551*G1551,IF(H1551,C1551*E1551*H1551,C1551*E1551))))))),2)</f>
        <v>2</v>
      </c>
      <c r="J1551" s="1168" t="s">
        <v>102</v>
      </c>
      <c r="K1551" s="1169"/>
      <c r="L1551" s="1156"/>
      <c r="M1551" s="1169"/>
      <c r="N1551" s="1161" t="s">
        <v>2218</v>
      </c>
    </row>
    <row r="1552" spans="1:14" s="1170" customFormat="1" ht="16.5" hidden="1" customHeight="1">
      <c r="A1552" s="1156"/>
      <c r="B1552" s="1331" t="s">
        <v>1619</v>
      </c>
      <c r="C1552" s="1332">
        <v>1</v>
      </c>
      <c r="D1552" s="1333" t="s">
        <v>273</v>
      </c>
      <c r="E1552" s="1334">
        <v>2</v>
      </c>
      <c r="F1552" s="1335">
        <v>3.15</v>
      </c>
      <c r="G1552" s="1335">
        <v>0</v>
      </c>
      <c r="H1552" s="1335">
        <v>1</v>
      </c>
      <c r="I1552" s="1336">
        <f>ROUND(IF(AND(F1552:H1552),C1552*E1552*F1552*G1552*H1552,IF(AND(F1552,G1552),C1552*E1552*F1552*G1552,IF(AND(F1552,H1552),C1552*E1552*F1552*H1552,IF(AND(G1552,H1552),C1552*E1552*G1552*H1552,IF(F1552,C1552*E1552*F1552,IF(G1552,C1552*E1552*G1552,IF(H1552,C1552*E1552*H1552,C1552*E1552))))))),2)</f>
        <v>6.3</v>
      </c>
      <c r="J1552" s="1168" t="s">
        <v>102</v>
      </c>
      <c r="K1552" s="1169"/>
      <c r="L1552" s="1156"/>
      <c r="M1552" s="1169"/>
      <c r="N1552" s="1161" t="s">
        <v>2218</v>
      </c>
    </row>
    <row r="1553" spans="1:14" s="1170" customFormat="1" ht="16.5" hidden="1" customHeight="1">
      <c r="A1553" s="1156"/>
      <c r="B1553" s="1331" t="s">
        <v>1619</v>
      </c>
      <c r="C1553" s="1332">
        <v>1</v>
      </c>
      <c r="D1553" s="1333" t="s">
        <v>273</v>
      </c>
      <c r="E1553" s="1334">
        <v>2</v>
      </c>
      <c r="F1553" s="1335">
        <v>2</v>
      </c>
      <c r="G1553" s="1335">
        <v>0</v>
      </c>
      <c r="H1553" s="1335">
        <v>1.9</v>
      </c>
      <c r="I1553" s="1336">
        <f>ROUND(IF(AND(F1553:H1553),C1553*E1553*F1553*G1553*H1553,IF(AND(F1553,G1553),C1553*E1553*F1553*G1553,IF(AND(F1553,H1553),C1553*E1553*F1553*H1553,IF(AND(G1553,H1553),C1553*E1553*G1553*H1553,IF(F1553,C1553*E1553*F1553,IF(G1553,C1553*E1553*G1553,IF(H1553,C1553*E1553*H1553,C1553*E1553))))))),2)</f>
        <v>7.6</v>
      </c>
      <c r="J1553" s="1168" t="s">
        <v>102</v>
      </c>
      <c r="K1553" s="1169"/>
      <c r="L1553" s="1156"/>
      <c r="M1553" s="1169"/>
      <c r="N1553" s="1161" t="s">
        <v>2218</v>
      </c>
    </row>
    <row r="1554" spans="1:14" s="1170" customFormat="1" ht="16.5" hidden="1" customHeight="1">
      <c r="A1554" s="1156"/>
      <c r="B1554" s="1331"/>
      <c r="C1554" s="1332"/>
      <c r="D1554" s="1333"/>
      <c r="E1554" s="1334"/>
      <c r="F1554" s="1335"/>
      <c r="G1554" s="1335"/>
      <c r="H1554" s="1335"/>
      <c r="I1554" s="1336"/>
      <c r="J1554" s="1357"/>
      <c r="K1554" s="1169"/>
      <c r="L1554" s="1156"/>
      <c r="M1554" s="1169"/>
      <c r="N1554" s="1161" t="s">
        <v>2218</v>
      </c>
    </row>
    <row r="1555" spans="1:14" ht="15.75" hidden="1">
      <c r="A1555" s="1156"/>
      <c r="B1555" s="1169"/>
      <c r="C1555" s="1337"/>
      <c r="D1555" s="1171"/>
      <c r="E1555" s="1165"/>
      <c r="F1555" s="1166"/>
      <c r="G1555" s="1343"/>
      <c r="H1555" s="1156"/>
      <c r="I1555" s="1336"/>
      <c r="J1555" s="1357" t="s">
        <v>102</v>
      </c>
      <c r="K1555" s="1221">
        <f>data!E782</f>
        <v>288.70999999999998</v>
      </c>
      <c r="L1555" s="1159" t="s">
        <v>2218</v>
      </c>
      <c r="M1555" s="1224">
        <f>ROUND(I1555*K1555,0)</f>
        <v>0</v>
      </c>
      <c r="N1555" s="1161" t="s">
        <v>2218</v>
      </c>
    </row>
    <row r="1556" spans="1:14" ht="96" hidden="1" customHeight="1">
      <c r="A1556" s="1156">
        <v>25</v>
      </c>
      <c r="B1556" s="1826" t="s">
        <v>2259</v>
      </c>
      <c r="C1556" s="1826"/>
      <c r="D1556" s="1826"/>
      <c r="E1556" s="1826"/>
      <c r="F1556" s="1826"/>
      <c r="G1556" s="1826"/>
      <c r="H1556" s="1826"/>
      <c r="I1556" s="1157"/>
      <c r="J1556" s="1158"/>
      <c r="K1556" s="1156"/>
      <c r="L1556" s="1159"/>
      <c r="M1556" s="1160"/>
      <c r="N1556" s="1161" t="s">
        <v>2306</v>
      </c>
    </row>
    <row r="1557" spans="1:14" s="1170" customFormat="1" ht="16.5" hidden="1" customHeight="1">
      <c r="A1557" s="1156"/>
      <c r="B1557" s="1169" t="s">
        <v>3481</v>
      </c>
      <c r="C1557" s="1351"/>
      <c r="D1557" s="1418"/>
      <c r="E1557" s="1352"/>
      <c r="F1557" s="1234"/>
      <c r="G1557" s="1234"/>
      <c r="H1557" s="1235"/>
      <c r="I1557" s="1353"/>
      <c r="J1557" s="1168"/>
      <c r="K1557" s="1169"/>
      <c r="L1557" s="1156"/>
      <c r="M1557" s="1169"/>
      <c r="N1557" s="1161" t="s">
        <v>2306</v>
      </c>
    </row>
    <row r="1558" spans="1:14" s="1170" customFormat="1" ht="16.5" hidden="1" customHeight="1">
      <c r="A1558" s="1156"/>
      <c r="B1558" s="1331" t="s">
        <v>1618</v>
      </c>
      <c r="C1558" s="1332">
        <v>1</v>
      </c>
      <c r="D1558" s="1333" t="s">
        <v>273</v>
      </c>
      <c r="E1558" s="1334">
        <v>2</v>
      </c>
      <c r="F1558" s="1335">
        <v>1</v>
      </c>
      <c r="G1558" s="1335">
        <v>0</v>
      </c>
      <c r="H1558" s="1335">
        <v>1</v>
      </c>
      <c r="I1558" s="1336">
        <f>ROUND(IF(AND(F1558:H1558),C1558*E1558*F1558*G1558*H1558,IF(AND(F1558,G1558),C1558*E1558*F1558*G1558,IF(AND(F1558,H1558),C1558*E1558*F1558*H1558,IF(AND(G1558,H1558),C1558*E1558*G1558*H1558,IF(F1558,C1558*E1558*F1558,IF(G1558,C1558*E1558*G1558,IF(H1558,C1558*E1558*H1558,C1558*E1558))))))),2)</f>
        <v>2</v>
      </c>
      <c r="J1558" s="1168" t="s">
        <v>102</v>
      </c>
      <c r="K1558" s="1169"/>
      <c r="L1558" s="1156"/>
      <c r="M1558" s="1169"/>
      <c r="N1558" s="1161" t="s">
        <v>2306</v>
      </c>
    </row>
    <row r="1559" spans="1:14" s="1170" customFormat="1" ht="16.5" hidden="1" customHeight="1">
      <c r="A1559" s="1156"/>
      <c r="B1559" s="1331" t="s">
        <v>1619</v>
      </c>
      <c r="C1559" s="1332">
        <v>1</v>
      </c>
      <c r="D1559" s="1333" t="s">
        <v>273</v>
      </c>
      <c r="E1559" s="1334">
        <v>2</v>
      </c>
      <c r="F1559" s="1335">
        <v>3.15</v>
      </c>
      <c r="G1559" s="1335">
        <v>0</v>
      </c>
      <c r="H1559" s="1335">
        <v>1</v>
      </c>
      <c r="I1559" s="1336">
        <f>ROUND(IF(AND(F1559:H1559),C1559*E1559*F1559*G1559*H1559,IF(AND(F1559,G1559),C1559*E1559*F1559*G1559,IF(AND(F1559,H1559),C1559*E1559*F1559*H1559,IF(AND(G1559,H1559),C1559*E1559*G1559*H1559,IF(F1559,C1559*E1559*F1559,IF(G1559,C1559*E1559*G1559,IF(H1559,C1559*E1559*H1559,C1559*E1559))))))),2)</f>
        <v>6.3</v>
      </c>
      <c r="J1559" s="1168" t="s">
        <v>102</v>
      </c>
      <c r="K1559" s="1169"/>
      <c r="L1559" s="1156"/>
      <c r="M1559" s="1169"/>
      <c r="N1559" s="1161" t="s">
        <v>2306</v>
      </c>
    </row>
    <row r="1560" spans="1:14" s="1170" customFormat="1" ht="16.5" hidden="1" customHeight="1">
      <c r="A1560" s="1156"/>
      <c r="B1560" s="1331" t="s">
        <v>1619</v>
      </c>
      <c r="C1560" s="1332">
        <v>1</v>
      </c>
      <c r="D1560" s="1333" t="s">
        <v>273</v>
      </c>
      <c r="E1560" s="1334">
        <v>2</v>
      </c>
      <c r="F1560" s="1335">
        <v>2</v>
      </c>
      <c r="G1560" s="1335">
        <v>0</v>
      </c>
      <c r="H1560" s="1335">
        <v>1.9</v>
      </c>
      <c r="I1560" s="1336">
        <f>ROUND(IF(AND(F1560:H1560),C1560*E1560*F1560*G1560*H1560,IF(AND(F1560,G1560),C1560*E1560*F1560*G1560,IF(AND(F1560,H1560),C1560*E1560*F1560*H1560,IF(AND(G1560,H1560),C1560*E1560*G1560*H1560,IF(F1560,C1560*E1560*F1560,IF(G1560,C1560*E1560*G1560,IF(H1560,C1560*E1560*H1560,C1560*E1560))))))),2)</f>
        <v>7.6</v>
      </c>
      <c r="J1560" s="1168" t="s">
        <v>102</v>
      </c>
      <c r="K1560" s="1169"/>
      <c r="L1560" s="1156"/>
      <c r="M1560" s="1169"/>
      <c r="N1560" s="1161" t="s">
        <v>2306</v>
      </c>
    </row>
    <row r="1561" spans="1:14" s="1170" customFormat="1" ht="16.5" hidden="1" customHeight="1">
      <c r="A1561" s="1156"/>
      <c r="B1561" s="1331"/>
      <c r="C1561" s="1332"/>
      <c r="D1561" s="1333"/>
      <c r="E1561" s="1334"/>
      <c r="F1561" s="1335"/>
      <c r="G1561" s="1335"/>
      <c r="H1561" s="1335"/>
      <c r="I1561" s="1336"/>
      <c r="J1561" s="1357"/>
      <c r="K1561" s="1169"/>
      <c r="L1561" s="1156"/>
      <c r="M1561" s="1169"/>
      <c r="N1561" s="1161" t="s">
        <v>2306</v>
      </c>
    </row>
    <row r="1562" spans="1:14" ht="15.75" hidden="1">
      <c r="A1562" s="1156"/>
      <c r="B1562" s="1169"/>
      <c r="C1562" s="1337"/>
      <c r="D1562" s="1171"/>
      <c r="E1562" s="1165"/>
      <c r="F1562" s="1166"/>
      <c r="G1562" s="1343"/>
      <c r="H1562" s="1156"/>
      <c r="I1562" s="1336"/>
      <c r="J1562" s="1357" t="s">
        <v>102</v>
      </c>
      <c r="K1562" s="1221">
        <f>data!E1699</f>
        <v>309.07</v>
      </c>
      <c r="L1562" s="1159" t="s">
        <v>2306</v>
      </c>
      <c r="M1562" s="1224">
        <f>ROUND(I1562*K1562,0)</f>
        <v>0</v>
      </c>
      <c r="N1562" s="1161" t="s">
        <v>2306</v>
      </c>
    </row>
    <row r="1563" spans="1:14" ht="96" hidden="1" customHeight="1">
      <c r="A1563" s="1156">
        <v>25</v>
      </c>
      <c r="B1563" s="1826" t="s">
        <v>2259</v>
      </c>
      <c r="C1563" s="1826"/>
      <c r="D1563" s="1826"/>
      <c r="E1563" s="1826"/>
      <c r="F1563" s="1826"/>
      <c r="G1563" s="1826"/>
      <c r="H1563" s="1826"/>
      <c r="I1563" s="1157"/>
      <c r="J1563" s="1158"/>
      <c r="K1563" s="1156"/>
      <c r="L1563" s="1159"/>
      <c r="M1563" s="1160"/>
      <c r="N1563" s="1161" t="s">
        <v>2317</v>
      </c>
    </row>
    <row r="1564" spans="1:14" s="1170" customFormat="1" ht="16.5" hidden="1" customHeight="1">
      <c r="A1564" s="1156"/>
      <c r="B1564" s="1169" t="s">
        <v>3481</v>
      </c>
      <c r="C1564" s="1351"/>
      <c r="D1564" s="1418"/>
      <c r="E1564" s="1352"/>
      <c r="F1564" s="1234"/>
      <c r="G1564" s="1234"/>
      <c r="H1564" s="1235"/>
      <c r="I1564" s="1353"/>
      <c r="J1564" s="1168"/>
      <c r="K1564" s="1169"/>
      <c r="L1564" s="1156"/>
      <c r="M1564" s="1169"/>
      <c r="N1564" s="1161" t="s">
        <v>2317</v>
      </c>
    </row>
    <row r="1565" spans="1:14" s="1170" customFormat="1" ht="16.5" hidden="1" customHeight="1">
      <c r="A1565" s="1156"/>
      <c r="B1565" s="1331" t="s">
        <v>1618</v>
      </c>
      <c r="C1565" s="1332">
        <v>1</v>
      </c>
      <c r="D1565" s="1333" t="s">
        <v>273</v>
      </c>
      <c r="E1565" s="1334">
        <v>2</v>
      </c>
      <c r="F1565" s="1335">
        <v>1</v>
      </c>
      <c r="G1565" s="1335">
        <v>0</v>
      </c>
      <c r="H1565" s="1335">
        <v>1</v>
      </c>
      <c r="I1565" s="1336">
        <f>ROUND(IF(AND(F1565:H1565),C1565*E1565*F1565*G1565*H1565,IF(AND(F1565,G1565),C1565*E1565*F1565*G1565,IF(AND(F1565,H1565),C1565*E1565*F1565*H1565,IF(AND(G1565,H1565),C1565*E1565*G1565*H1565,IF(F1565,C1565*E1565*F1565,IF(G1565,C1565*E1565*G1565,IF(H1565,C1565*E1565*H1565,C1565*E1565))))))),2)</f>
        <v>2</v>
      </c>
      <c r="J1565" s="1168" t="s">
        <v>102</v>
      </c>
      <c r="K1565" s="1169"/>
      <c r="L1565" s="1156"/>
      <c r="M1565" s="1169"/>
      <c r="N1565" s="1161" t="s">
        <v>2317</v>
      </c>
    </row>
    <row r="1566" spans="1:14" s="1170" customFormat="1" ht="16.5" hidden="1" customHeight="1">
      <c r="A1566" s="1156"/>
      <c r="B1566" s="1331" t="s">
        <v>1619</v>
      </c>
      <c r="C1566" s="1332">
        <v>1</v>
      </c>
      <c r="D1566" s="1333" t="s">
        <v>273</v>
      </c>
      <c r="E1566" s="1334">
        <v>2</v>
      </c>
      <c r="F1566" s="1335">
        <v>3.15</v>
      </c>
      <c r="G1566" s="1335">
        <v>0</v>
      </c>
      <c r="H1566" s="1335">
        <v>1</v>
      </c>
      <c r="I1566" s="1336">
        <f>ROUND(IF(AND(F1566:H1566),C1566*E1566*F1566*G1566*H1566,IF(AND(F1566,G1566),C1566*E1566*F1566*G1566,IF(AND(F1566,H1566),C1566*E1566*F1566*H1566,IF(AND(G1566,H1566),C1566*E1566*G1566*H1566,IF(F1566,C1566*E1566*F1566,IF(G1566,C1566*E1566*G1566,IF(H1566,C1566*E1566*H1566,C1566*E1566))))))),2)</f>
        <v>6.3</v>
      </c>
      <c r="J1566" s="1168" t="s">
        <v>102</v>
      </c>
      <c r="K1566" s="1169"/>
      <c r="L1566" s="1156"/>
      <c r="M1566" s="1169"/>
      <c r="N1566" s="1161" t="s">
        <v>2317</v>
      </c>
    </row>
    <row r="1567" spans="1:14" s="1170" customFormat="1" ht="16.5" hidden="1" customHeight="1">
      <c r="A1567" s="1156"/>
      <c r="B1567" s="1331" t="s">
        <v>1619</v>
      </c>
      <c r="C1567" s="1332">
        <v>1</v>
      </c>
      <c r="D1567" s="1333" t="s">
        <v>273</v>
      </c>
      <c r="E1567" s="1334">
        <v>2</v>
      </c>
      <c r="F1567" s="1335">
        <v>2</v>
      </c>
      <c r="G1567" s="1335">
        <v>0</v>
      </c>
      <c r="H1567" s="1335">
        <v>1.9</v>
      </c>
      <c r="I1567" s="1336">
        <f>ROUND(IF(AND(F1567:H1567),C1567*E1567*F1567*G1567*H1567,IF(AND(F1567,G1567),C1567*E1567*F1567*G1567,IF(AND(F1567,H1567),C1567*E1567*F1567*H1567,IF(AND(G1567,H1567),C1567*E1567*G1567*H1567,IF(F1567,C1567*E1567*F1567,IF(G1567,C1567*E1567*G1567,IF(H1567,C1567*E1567*H1567,C1567*E1567))))))),2)</f>
        <v>7.6</v>
      </c>
      <c r="J1567" s="1168" t="s">
        <v>102</v>
      </c>
      <c r="K1567" s="1169"/>
      <c r="L1567" s="1156"/>
      <c r="M1567" s="1169"/>
      <c r="N1567" s="1161" t="s">
        <v>2317</v>
      </c>
    </row>
    <row r="1568" spans="1:14" s="1170" customFormat="1" ht="16.5" hidden="1" customHeight="1">
      <c r="A1568" s="1156"/>
      <c r="B1568" s="1331"/>
      <c r="C1568" s="1332"/>
      <c r="D1568" s="1333"/>
      <c r="E1568" s="1334"/>
      <c r="F1568" s="1335"/>
      <c r="G1568" s="1335"/>
      <c r="H1568" s="1335"/>
      <c r="I1568" s="1336"/>
      <c r="J1568" s="1357"/>
      <c r="K1568" s="1169"/>
      <c r="L1568" s="1156"/>
      <c r="M1568" s="1169"/>
      <c r="N1568" s="1161" t="s">
        <v>2317</v>
      </c>
    </row>
    <row r="1569" spans="1:14" ht="15.75" hidden="1">
      <c r="A1569" s="1156"/>
      <c r="B1569" s="1169"/>
      <c r="C1569" s="1337"/>
      <c r="D1569" s="1171"/>
      <c r="E1569" s="1165"/>
      <c r="F1569" s="1166"/>
      <c r="G1569" s="1343"/>
      <c r="H1569" s="1156"/>
      <c r="I1569" s="1336"/>
      <c r="J1569" s="1357" t="s">
        <v>102</v>
      </c>
      <c r="K1569" s="1221">
        <f>data!E2616</f>
        <v>325.58</v>
      </c>
      <c r="L1569" s="1159" t="s">
        <v>2317</v>
      </c>
      <c r="M1569" s="1224">
        <f>ROUND(I1569*K1569,0)</f>
        <v>0</v>
      </c>
      <c r="N1569" s="1161" t="s">
        <v>2317</v>
      </c>
    </row>
    <row r="1570" spans="1:14" ht="96" hidden="1" customHeight="1">
      <c r="A1570" s="1156">
        <v>25</v>
      </c>
      <c r="B1570" s="1826" t="s">
        <v>2259</v>
      </c>
      <c r="C1570" s="1826"/>
      <c r="D1570" s="1826"/>
      <c r="E1570" s="1826"/>
      <c r="F1570" s="1826"/>
      <c r="G1570" s="1826"/>
      <c r="H1570" s="1826"/>
      <c r="I1570" s="1157"/>
      <c r="J1570" s="1158"/>
      <c r="K1570" s="1156"/>
      <c r="L1570" s="1159"/>
      <c r="M1570" s="1160"/>
      <c r="N1570" s="1161" t="s">
        <v>2318</v>
      </c>
    </row>
    <row r="1571" spans="1:14" s="1170" customFormat="1" ht="16.5" hidden="1" customHeight="1">
      <c r="A1571" s="1156"/>
      <c r="B1571" s="1169" t="s">
        <v>3481</v>
      </c>
      <c r="C1571" s="1351"/>
      <c r="D1571" s="1418"/>
      <c r="E1571" s="1352"/>
      <c r="F1571" s="1234"/>
      <c r="G1571" s="1234"/>
      <c r="H1571" s="1235"/>
      <c r="I1571" s="1353"/>
      <c r="J1571" s="1168"/>
      <c r="K1571" s="1169"/>
      <c r="L1571" s="1156"/>
      <c r="M1571" s="1169"/>
      <c r="N1571" s="1161" t="s">
        <v>2318</v>
      </c>
    </row>
    <row r="1572" spans="1:14" s="1170" customFormat="1" ht="16.5" hidden="1" customHeight="1">
      <c r="A1572" s="1156"/>
      <c r="B1572" s="1331" t="s">
        <v>1618</v>
      </c>
      <c r="C1572" s="1332">
        <v>1</v>
      </c>
      <c r="D1572" s="1333" t="s">
        <v>273</v>
      </c>
      <c r="E1572" s="1334">
        <v>2</v>
      </c>
      <c r="F1572" s="1335">
        <v>1</v>
      </c>
      <c r="G1572" s="1335">
        <v>0</v>
      </c>
      <c r="H1572" s="1335">
        <v>1</v>
      </c>
      <c r="I1572" s="1336">
        <f>ROUND(IF(AND(F1572:H1572),C1572*E1572*F1572*G1572*H1572,IF(AND(F1572,G1572),C1572*E1572*F1572*G1572,IF(AND(F1572,H1572),C1572*E1572*F1572*H1572,IF(AND(G1572,H1572),C1572*E1572*G1572*H1572,IF(F1572,C1572*E1572*F1572,IF(G1572,C1572*E1572*G1572,IF(H1572,C1572*E1572*H1572,C1572*E1572))))))),2)</f>
        <v>2</v>
      </c>
      <c r="J1572" s="1168" t="s">
        <v>102</v>
      </c>
      <c r="K1572" s="1169"/>
      <c r="L1572" s="1156"/>
      <c r="M1572" s="1169"/>
      <c r="N1572" s="1161" t="s">
        <v>2318</v>
      </c>
    </row>
    <row r="1573" spans="1:14" s="1170" customFormat="1" ht="16.5" hidden="1" customHeight="1">
      <c r="A1573" s="1156"/>
      <c r="B1573" s="1331" t="s">
        <v>1619</v>
      </c>
      <c r="C1573" s="1332">
        <v>1</v>
      </c>
      <c r="D1573" s="1333" t="s">
        <v>273</v>
      </c>
      <c r="E1573" s="1334">
        <v>2</v>
      </c>
      <c r="F1573" s="1335">
        <v>3.15</v>
      </c>
      <c r="G1573" s="1335">
        <v>0</v>
      </c>
      <c r="H1573" s="1335">
        <v>1</v>
      </c>
      <c r="I1573" s="1336">
        <f>ROUND(IF(AND(F1573:H1573),C1573*E1573*F1573*G1573*H1573,IF(AND(F1573,G1573),C1573*E1573*F1573*G1573,IF(AND(F1573,H1573),C1573*E1573*F1573*H1573,IF(AND(G1573,H1573),C1573*E1573*G1573*H1573,IF(F1573,C1573*E1573*F1573,IF(G1573,C1573*E1573*G1573,IF(H1573,C1573*E1573*H1573,C1573*E1573))))))),2)</f>
        <v>6.3</v>
      </c>
      <c r="J1573" s="1168" t="s">
        <v>102</v>
      </c>
      <c r="K1573" s="1169"/>
      <c r="L1573" s="1156"/>
      <c r="M1573" s="1169"/>
      <c r="N1573" s="1161" t="s">
        <v>2318</v>
      </c>
    </row>
    <row r="1574" spans="1:14" s="1170" customFormat="1" ht="16.5" hidden="1" customHeight="1">
      <c r="A1574" s="1156"/>
      <c r="B1574" s="1331" t="s">
        <v>1619</v>
      </c>
      <c r="C1574" s="1332">
        <v>1</v>
      </c>
      <c r="D1574" s="1333" t="s">
        <v>273</v>
      </c>
      <c r="E1574" s="1334">
        <v>2</v>
      </c>
      <c r="F1574" s="1335">
        <v>2</v>
      </c>
      <c r="G1574" s="1335">
        <v>0</v>
      </c>
      <c r="H1574" s="1335">
        <v>1.9</v>
      </c>
      <c r="I1574" s="1336">
        <f>ROUND(IF(AND(F1574:H1574),C1574*E1574*F1574*G1574*H1574,IF(AND(F1574,G1574),C1574*E1574*F1574*G1574,IF(AND(F1574,H1574),C1574*E1574*F1574*H1574,IF(AND(G1574,H1574),C1574*E1574*G1574*H1574,IF(F1574,C1574*E1574*F1574,IF(G1574,C1574*E1574*G1574,IF(H1574,C1574*E1574*H1574,C1574*E1574))))))),2)</f>
        <v>7.6</v>
      </c>
      <c r="J1574" s="1168" t="s">
        <v>102</v>
      </c>
      <c r="K1574" s="1169"/>
      <c r="L1574" s="1156"/>
      <c r="M1574" s="1169"/>
      <c r="N1574" s="1161" t="s">
        <v>2318</v>
      </c>
    </row>
    <row r="1575" spans="1:14" s="1170" customFormat="1" ht="16.5" hidden="1" customHeight="1">
      <c r="A1575" s="1156"/>
      <c r="B1575" s="1331"/>
      <c r="C1575" s="1332"/>
      <c r="D1575" s="1333"/>
      <c r="E1575" s="1334"/>
      <c r="F1575" s="1335"/>
      <c r="G1575" s="1335"/>
      <c r="H1575" s="1335"/>
      <c r="I1575" s="1336"/>
      <c r="J1575" s="1357"/>
      <c r="K1575" s="1169"/>
      <c r="L1575" s="1156"/>
      <c r="M1575" s="1169"/>
      <c r="N1575" s="1161" t="s">
        <v>2318</v>
      </c>
    </row>
    <row r="1576" spans="1:14" ht="15.75" hidden="1">
      <c r="A1576" s="1156"/>
      <c r="B1576" s="1169"/>
      <c r="C1576" s="1337"/>
      <c r="D1576" s="1171"/>
      <c r="E1576" s="1165"/>
      <c r="F1576" s="1166"/>
      <c r="G1576" s="1343"/>
      <c r="H1576" s="1156"/>
      <c r="I1576" s="1336"/>
      <c r="J1576" s="1357" t="s">
        <v>102</v>
      </c>
      <c r="K1576" s="1221">
        <f>data!E3533</f>
        <v>345.47</v>
      </c>
      <c r="L1576" s="1159" t="s">
        <v>2318</v>
      </c>
      <c r="M1576" s="1224">
        <f>ROUND(I1576*K1576,0)</f>
        <v>0</v>
      </c>
      <c r="N1576" s="1161" t="s">
        <v>2318</v>
      </c>
    </row>
    <row r="1577" spans="1:14" ht="66" hidden="1" customHeight="1">
      <c r="A1577" s="1156">
        <v>26</v>
      </c>
      <c r="B1577" s="1826" t="s">
        <v>1193</v>
      </c>
      <c r="C1577" s="1826"/>
      <c r="D1577" s="1826"/>
      <c r="E1577" s="1826"/>
      <c r="F1577" s="1826"/>
      <c r="G1577" s="1826"/>
      <c r="H1577" s="1826"/>
      <c r="I1577" s="1157"/>
      <c r="J1577" s="1158"/>
      <c r="K1577" s="1156"/>
      <c r="L1577" s="1159"/>
      <c r="M1577" s="1160"/>
      <c r="N1577" s="1161" t="s">
        <v>2218</v>
      </c>
    </row>
    <row r="1578" spans="1:14" s="1170" customFormat="1" ht="16.5" hidden="1" customHeight="1">
      <c r="A1578" s="1156"/>
      <c r="B1578" s="1169" t="s">
        <v>3500</v>
      </c>
      <c r="C1578" s="1351"/>
      <c r="D1578" s="1418"/>
      <c r="E1578" s="1352"/>
      <c r="F1578" s="1234"/>
      <c r="G1578" s="1234"/>
      <c r="H1578" s="1235"/>
      <c r="I1578" s="1353"/>
      <c r="J1578" s="1168"/>
      <c r="K1578" s="1169"/>
      <c r="L1578" s="1159"/>
      <c r="M1578" s="1169"/>
      <c r="N1578" s="1161" t="s">
        <v>2218</v>
      </c>
    </row>
    <row r="1579" spans="1:14" s="1170" customFormat="1" ht="16.5" hidden="1" customHeight="1">
      <c r="A1579" s="1156"/>
      <c r="B1579" s="1169" t="s">
        <v>799</v>
      </c>
      <c r="C1579" s="1157">
        <v>1</v>
      </c>
      <c r="D1579" s="1171" t="s">
        <v>273</v>
      </c>
      <c r="E1579" s="1165">
        <v>1</v>
      </c>
      <c r="F1579" s="1166">
        <v>8.5</v>
      </c>
      <c r="G1579" s="1166">
        <v>4.95</v>
      </c>
      <c r="H1579" s="1166">
        <v>0</v>
      </c>
      <c r="I1579" s="1172">
        <f>ROUND(IF(AND(F1579:H1579),C1579*E1579*F1579*G1579*H1579,IF(AND(F1579,G1579),C1579*E1579*F1579*G1579,IF(AND(F1579,H1579),C1579*E1579*F1579*H1579,IF(AND(G1579,H1579),C1579*E1579*G1579*H1579,IF(F1579,C1579*E1579*F1579,IF(G1579,C1579*E1579*G1579,IF(H1579,C1579*E1579*H1579,C1579*E1579))))))),2)</f>
        <v>42.08</v>
      </c>
      <c r="J1579" s="1168" t="s">
        <v>102</v>
      </c>
      <c r="K1579" s="1169"/>
      <c r="L1579" s="1159"/>
      <c r="M1579" s="1169"/>
      <c r="N1579" s="1161" t="s">
        <v>2218</v>
      </c>
    </row>
    <row r="1580" spans="1:14" s="1170" customFormat="1" ht="16.5" hidden="1" customHeight="1">
      <c r="A1580" s="1156"/>
      <c r="B1580" s="1169" t="s">
        <v>817</v>
      </c>
      <c r="C1580" s="1157">
        <v>1</v>
      </c>
      <c r="D1580" s="1171" t="s">
        <v>273</v>
      </c>
      <c r="E1580" s="1165">
        <v>1</v>
      </c>
      <c r="F1580" s="1166">
        <v>6.25</v>
      </c>
      <c r="G1580" s="1166">
        <v>0</v>
      </c>
      <c r="H1580" s="1166">
        <v>3.6</v>
      </c>
      <c r="I1580" s="1172">
        <f>ROUND(IF(AND(F1580:H1580),C1580*E1580*F1580*G1580*H1580,IF(AND(F1580,G1580),C1580*E1580*F1580*G1580,IF(AND(F1580,H1580),C1580*E1580*F1580*H1580,IF(AND(G1580,H1580),C1580*E1580*G1580*H1580,IF(F1580,C1580*E1580*F1580,IF(G1580,C1580*E1580*G1580,IF(H1580,C1580*E1580*H1580,C1580*E1580))))))),2)</f>
        <v>22.5</v>
      </c>
      <c r="J1580" s="1168" t="s">
        <v>102</v>
      </c>
      <c r="K1580" s="1169"/>
      <c r="L1580" s="1159"/>
      <c r="M1580" s="1169"/>
      <c r="N1580" s="1161" t="s">
        <v>2218</v>
      </c>
    </row>
    <row r="1581" spans="1:14" s="1170" customFormat="1" ht="16.5" hidden="1" customHeight="1">
      <c r="A1581" s="1156"/>
      <c r="B1581" s="1169" t="s">
        <v>816</v>
      </c>
      <c r="C1581" s="1157">
        <v>1</v>
      </c>
      <c r="D1581" s="1171" t="s">
        <v>273</v>
      </c>
      <c r="E1581" s="1165">
        <v>1</v>
      </c>
      <c r="F1581" s="1166">
        <v>5.45</v>
      </c>
      <c r="G1581" s="1166">
        <v>0</v>
      </c>
      <c r="H1581" s="1166">
        <v>3.2</v>
      </c>
      <c r="I1581" s="1172">
        <f>ROUND(IF(AND(F1581:H1581),C1581*E1581*F1581*G1581*H1581,IF(AND(F1581,G1581),C1581*E1581*F1581*G1581,IF(AND(F1581,H1581),C1581*E1581*F1581*H1581,IF(AND(G1581,H1581),C1581*E1581*G1581*H1581,IF(F1581,C1581*E1581*F1581,IF(G1581,C1581*E1581*G1581,IF(H1581,C1581*E1581*H1581,C1581*E1581))))))),2)</f>
        <v>17.440000000000001</v>
      </c>
      <c r="J1581" s="1168" t="s">
        <v>102</v>
      </c>
      <c r="K1581" s="1169"/>
      <c r="L1581" s="1159"/>
      <c r="M1581" s="1169"/>
      <c r="N1581" s="1161" t="s">
        <v>2218</v>
      </c>
    </row>
    <row r="1582" spans="1:14" s="1170" customFormat="1" ht="16.5" hidden="1" customHeight="1">
      <c r="A1582" s="1156"/>
      <c r="B1582" s="1331"/>
      <c r="C1582" s="1332"/>
      <c r="D1582" s="1333"/>
      <c r="E1582" s="1399"/>
      <c r="F1582" s="1335"/>
      <c r="G1582" s="1335"/>
      <c r="H1582" s="1335"/>
      <c r="I1582" s="1336"/>
      <c r="J1582" s="1168"/>
      <c r="K1582" s="1169"/>
      <c r="L1582" s="1159"/>
      <c r="M1582" s="1169"/>
      <c r="N1582" s="1161" t="s">
        <v>2218</v>
      </c>
    </row>
    <row r="1583" spans="1:14" ht="15.75" hidden="1">
      <c r="A1583" s="1156"/>
      <c r="B1583" s="1169"/>
      <c r="C1583" s="1337"/>
      <c r="D1583" s="1171"/>
      <c r="E1583" s="1165"/>
      <c r="F1583" s="1166"/>
      <c r="G1583" s="1343"/>
      <c r="H1583" s="1156"/>
      <c r="I1583" s="1336"/>
      <c r="J1583" s="1168" t="s">
        <v>102</v>
      </c>
      <c r="K1583" s="1221">
        <f>data!E796</f>
        <v>19.87</v>
      </c>
      <c r="L1583" s="1159" t="s">
        <v>2218</v>
      </c>
      <c r="M1583" s="1224">
        <f>ROUND(I1583*K1583,0)</f>
        <v>0</v>
      </c>
      <c r="N1583" s="1161" t="s">
        <v>2218</v>
      </c>
    </row>
    <row r="1584" spans="1:14" ht="66" hidden="1" customHeight="1">
      <c r="A1584" s="1156">
        <v>26</v>
      </c>
      <c r="B1584" s="1826" t="s">
        <v>1193</v>
      </c>
      <c r="C1584" s="1826"/>
      <c r="D1584" s="1826"/>
      <c r="E1584" s="1826"/>
      <c r="F1584" s="1826"/>
      <c r="G1584" s="1826"/>
      <c r="H1584" s="1826"/>
      <c r="I1584" s="1157"/>
      <c r="J1584" s="1158"/>
      <c r="K1584" s="1156"/>
      <c r="L1584" s="1159"/>
      <c r="M1584" s="1160"/>
      <c r="N1584" s="1161" t="s">
        <v>2306</v>
      </c>
    </row>
    <row r="1585" spans="1:14" s="1170" customFormat="1" ht="16.5" hidden="1" customHeight="1">
      <c r="A1585" s="1156"/>
      <c r="B1585" s="1169" t="s">
        <v>3500</v>
      </c>
      <c r="C1585" s="1351"/>
      <c r="D1585" s="1418"/>
      <c r="E1585" s="1352"/>
      <c r="F1585" s="1234"/>
      <c r="G1585" s="1234"/>
      <c r="H1585" s="1235"/>
      <c r="I1585" s="1353"/>
      <c r="J1585" s="1168"/>
      <c r="K1585" s="1169"/>
      <c r="L1585" s="1159"/>
      <c r="M1585" s="1169"/>
      <c r="N1585" s="1161" t="s">
        <v>2306</v>
      </c>
    </row>
    <row r="1586" spans="1:14" s="1170" customFormat="1" ht="16.5" hidden="1" customHeight="1">
      <c r="A1586" s="1156"/>
      <c r="B1586" s="1169" t="s">
        <v>799</v>
      </c>
      <c r="C1586" s="1157">
        <v>1</v>
      </c>
      <c r="D1586" s="1171" t="s">
        <v>273</v>
      </c>
      <c r="E1586" s="1165">
        <v>1</v>
      </c>
      <c r="F1586" s="1166">
        <v>8.5</v>
      </c>
      <c r="G1586" s="1166">
        <v>4.95</v>
      </c>
      <c r="H1586" s="1166">
        <v>0</v>
      </c>
      <c r="I1586" s="1172">
        <f>ROUND(IF(AND(F1586:H1586),C1586*E1586*F1586*G1586*H1586,IF(AND(F1586,G1586),C1586*E1586*F1586*G1586,IF(AND(F1586,H1586),C1586*E1586*F1586*H1586,IF(AND(G1586,H1586),C1586*E1586*G1586*H1586,IF(F1586,C1586*E1586*F1586,IF(G1586,C1586*E1586*G1586,IF(H1586,C1586*E1586*H1586,C1586*E1586))))))),2)</f>
        <v>42.08</v>
      </c>
      <c r="J1586" s="1168" t="s">
        <v>102</v>
      </c>
      <c r="K1586" s="1169"/>
      <c r="L1586" s="1159"/>
      <c r="M1586" s="1169"/>
      <c r="N1586" s="1161" t="s">
        <v>2306</v>
      </c>
    </row>
    <row r="1587" spans="1:14" s="1170" customFormat="1" ht="16.5" hidden="1" customHeight="1">
      <c r="A1587" s="1156"/>
      <c r="B1587" s="1169" t="s">
        <v>817</v>
      </c>
      <c r="C1587" s="1157">
        <v>1</v>
      </c>
      <c r="D1587" s="1171" t="s">
        <v>273</v>
      </c>
      <c r="E1587" s="1165">
        <v>1</v>
      </c>
      <c r="F1587" s="1166">
        <v>6.25</v>
      </c>
      <c r="G1587" s="1166">
        <v>0</v>
      </c>
      <c r="H1587" s="1166">
        <v>3.6</v>
      </c>
      <c r="I1587" s="1172">
        <f>ROUND(IF(AND(F1587:H1587),C1587*E1587*F1587*G1587*H1587,IF(AND(F1587,G1587),C1587*E1587*F1587*G1587,IF(AND(F1587,H1587),C1587*E1587*F1587*H1587,IF(AND(G1587,H1587),C1587*E1587*G1587*H1587,IF(F1587,C1587*E1587*F1587,IF(G1587,C1587*E1587*G1587,IF(H1587,C1587*E1587*H1587,C1587*E1587))))))),2)</f>
        <v>22.5</v>
      </c>
      <c r="J1587" s="1168" t="s">
        <v>102</v>
      </c>
      <c r="K1587" s="1169"/>
      <c r="L1587" s="1159"/>
      <c r="M1587" s="1169"/>
      <c r="N1587" s="1161" t="s">
        <v>2306</v>
      </c>
    </row>
    <row r="1588" spans="1:14" s="1170" customFormat="1" ht="16.5" hidden="1" customHeight="1">
      <c r="A1588" s="1156"/>
      <c r="B1588" s="1169" t="s">
        <v>816</v>
      </c>
      <c r="C1588" s="1157">
        <v>1</v>
      </c>
      <c r="D1588" s="1171" t="s">
        <v>273</v>
      </c>
      <c r="E1588" s="1165">
        <v>1</v>
      </c>
      <c r="F1588" s="1166">
        <v>5.45</v>
      </c>
      <c r="G1588" s="1166">
        <v>0</v>
      </c>
      <c r="H1588" s="1166">
        <v>3.2</v>
      </c>
      <c r="I1588" s="1172">
        <f>ROUND(IF(AND(F1588:H1588),C1588*E1588*F1588*G1588*H1588,IF(AND(F1588,G1588),C1588*E1588*F1588*G1588,IF(AND(F1588,H1588),C1588*E1588*F1588*H1588,IF(AND(G1588,H1588),C1588*E1588*G1588*H1588,IF(F1588,C1588*E1588*F1588,IF(G1588,C1588*E1588*G1588,IF(H1588,C1588*E1588*H1588,C1588*E1588))))))),2)</f>
        <v>17.440000000000001</v>
      </c>
      <c r="J1588" s="1168" t="s">
        <v>102</v>
      </c>
      <c r="K1588" s="1169"/>
      <c r="L1588" s="1159"/>
      <c r="M1588" s="1169"/>
      <c r="N1588" s="1161" t="s">
        <v>2306</v>
      </c>
    </row>
    <row r="1589" spans="1:14" s="1170" customFormat="1" ht="16.5" hidden="1" customHeight="1">
      <c r="A1589" s="1156"/>
      <c r="B1589" s="1331"/>
      <c r="C1589" s="1332"/>
      <c r="D1589" s="1333"/>
      <c r="E1589" s="1399"/>
      <c r="F1589" s="1335"/>
      <c r="G1589" s="1335"/>
      <c r="H1589" s="1335"/>
      <c r="I1589" s="1336"/>
      <c r="J1589" s="1168"/>
      <c r="K1589" s="1169"/>
      <c r="L1589" s="1159"/>
      <c r="M1589" s="1169"/>
      <c r="N1589" s="1161" t="s">
        <v>2306</v>
      </c>
    </row>
    <row r="1590" spans="1:14" ht="15.75" hidden="1">
      <c r="A1590" s="1156"/>
      <c r="B1590" s="1169"/>
      <c r="C1590" s="1337"/>
      <c r="D1590" s="1171"/>
      <c r="E1590" s="1165"/>
      <c r="F1590" s="1166"/>
      <c r="G1590" s="1343"/>
      <c r="H1590" s="1156"/>
      <c r="I1590" s="1336"/>
      <c r="J1590" s="1168" t="s">
        <v>102</v>
      </c>
      <c r="K1590" s="1221">
        <f>data!E1713</f>
        <v>21.19</v>
      </c>
      <c r="L1590" s="1159" t="s">
        <v>2306</v>
      </c>
      <c r="M1590" s="1224">
        <f>ROUND(I1590*K1590,0)</f>
        <v>0</v>
      </c>
      <c r="N1590" s="1161" t="s">
        <v>2306</v>
      </c>
    </row>
    <row r="1591" spans="1:14" ht="66" hidden="1" customHeight="1">
      <c r="A1591" s="1156">
        <v>26</v>
      </c>
      <c r="B1591" s="1826" t="s">
        <v>1193</v>
      </c>
      <c r="C1591" s="1826"/>
      <c r="D1591" s="1826"/>
      <c r="E1591" s="1826"/>
      <c r="F1591" s="1826"/>
      <c r="G1591" s="1826"/>
      <c r="H1591" s="1826"/>
      <c r="I1591" s="1157"/>
      <c r="J1591" s="1158"/>
      <c r="K1591" s="1156"/>
      <c r="L1591" s="1159"/>
      <c r="M1591" s="1160"/>
      <c r="N1591" s="1161" t="s">
        <v>2317</v>
      </c>
    </row>
    <row r="1592" spans="1:14" s="1170" customFormat="1" ht="16.5" hidden="1" customHeight="1">
      <c r="A1592" s="1156"/>
      <c r="B1592" s="1169" t="s">
        <v>3500</v>
      </c>
      <c r="C1592" s="1351"/>
      <c r="D1592" s="1418"/>
      <c r="E1592" s="1352"/>
      <c r="F1592" s="1234"/>
      <c r="G1592" s="1234"/>
      <c r="H1592" s="1235"/>
      <c r="I1592" s="1353"/>
      <c r="J1592" s="1168"/>
      <c r="K1592" s="1169"/>
      <c r="L1592" s="1159"/>
      <c r="M1592" s="1169"/>
      <c r="N1592" s="1161" t="s">
        <v>2317</v>
      </c>
    </row>
    <row r="1593" spans="1:14" s="1170" customFormat="1" ht="16.5" hidden="1" customHeight="1">
      <c r="A1593" s="1156"/>
      <c r="B1593" s="1169" t="s">
        <v>799</v>
      </c>
      <c r="C1593" s="1157">
        <v>1</v>
      </c>
      <c r="D1593" s="1171" t="s">
        <v>273</v>
      </c>
      <c r="E1593" s="1165">
        <v>1</v>
      </c>
      <c r="F1593" s="1166">
        <v>8.5</v>
      </c>
      <c r="G1593" s="1166">
        <v>4.95</v>
      </c>
      <c r="H1593" s="1166">
        <v>0</v>
      </c>
      <c r="I1593" s="1172">
        <f>ROUND(IF(AND(F1593:H1593),C1593*E1593*F1593*G1593*H1593,IF(AND(F1593,G1593),C1593*E1593*F1593*G1593,IF(AND(F1593,H1593),C1593*E1593*F1593*H1593,IF(AND(G1593,H1593),C1593*E1593*G1593*H1593,IF(F1593,C1593*E1593*F1593,IF(G1593,C1593*E1593*G1593,IF(H1593,C1593*E1593*H1593,C1593*E1593))))))),2)</f>
        <v>42.08</v>
      </c>
      <c r="J1593" s="1168" t="s">
        <v>102</v>
      </c>
      <c r="K1593" s="1169"/>
      <c r="L1593" s="1159"/>
      <c r="M1593" s="1169"/>
      <c r="N1593" s="1161" t="s">
        <v>2317</v>
      </c>
    </row>
    <row r="1594" spans="1:14" s="1170" customFormat="1" ht="16.5" hidden="1" customHeight="1">
      <c r="A1594" s="1156"/>
      <c r="B1594" s="1169" t="s">
        <v>817</v>
      </c>
      <c r="C1594" s="1157">
        <v>1</v>
      </c>
      <c r="D1594" s="1171" t="s">
        <v>273</v>
      </c>
      <c r="E1594" s="1165">
        <v>1</v>
      </c>
      <c r="F1594" s="1166">
        <v>6.25</v>
      </c>
      <c r="G1594" s="1166">
        <v>0</v>
      </c>
      <c r="H1594" s="1166">
        <v>3.6</v>
      </c>
      <c r="I1594" s="1172">
        <f>ROUND(IF(AND(F1594:H1594),C1594*E1594*F1594*G1594*H1594,IF(AND(F1594,G1594),C1594*E1594*F1594*G1594,IF(AND(F1594,H1594),C1594*E1594*F1594*H1594,IF(AND(G1594,H1594),C1594*E1594*G1594*H1594,IF(F1594,C1594*E1594*F1594,IF(G1594,C1594*E1594*G1594,IF(H1594,C1594*E1594*H1594,C1594*E1594))))))),2)</f>
        <v>22.5</v>
      </c>
      <c r="J1594" s="1168" t="s">
        <v>102</v>
      </c>
      <c r="K1594" s="1169"/>
      <c r="L1594" s="1159"/>
      <c r="M1594" s="1169"/>
      <c r="N1594" s="1161" t="s">
        <v>2317</v>
      </c>
    </row>
    <row r="1595" spans="1:14" s="1170" customFormat="1" ht="16.5" hidden="1" customHeight="1">
      <c r="A1595" s="1156"/>
      <c r="B1595" s="1169" t="s">
        <v>816</v>
      </c>
      <c r="C1595" s="1157">
        <v>1</v>
      </c>
      <c r="D1595" s="1171" t="s">
        <v>273</v>
      </c>
      <c r="E1595" s="1165">
        <v>1</v>
      </c>
      <c r="F1595" s="1166">
        <v>5.45</v>
      </c>
      <c r="G1595" s="1166">
        <v>0</v>
      </c>
      <c r="H1595" s="1166">
        <v>3.2</v>
      </c>
      <c r="I1595" s="1172">
        <f>ROUND(IF(AND(F1595:H1595),C1595*E1595*F1595*G1595*H1595,IF(AND(F1595,G1595),C1595*E1595*F1595*G1595,IF(AND(F1595,H1595),C1595*E1595*F1595*H1595,IF(AND(G1595,H1595),C1595*E1595*G1595*H1595,IF(F1595,C1595*E1595*F1595,IF(G1595,C1595*E1595*G1595,IF(H1595,C1595*E1595*H1595,C1595*E1595))))))),2)</f>
        <v>17.440000000000001</v>
      </c>
      <c r="J1595" s="1168" t="s">
        <v>102</v>
      </c>
      <c r="K1595" s="1169"/>
      <c r="L1595" s="1159"/>
      <c r="M1595" s="1169"/>
      <c r="N1595" s="1161" t="s">
        <v>2317</v>
      </c>
    </row>
    <row r="1596" spans="1:14" s="1170" customFormat="1" ht="16.5" hidden="1" customHeight="1">
      <c r="A1596" s="1156"/>
      <c r="B1596" s="1331"/>
      <c r="C1596" s="1332"/>
      <c r="D1596" s="1333"/>
      <c r="E1596" s="1399"/>
      <c r="F1596" s="1335"/>
      <c r="G1596" s="1335"/>
      <c r="H1596" s="1335"/>
      <c r="I1596" s="1336"/>
      <c r="J1596" s="1168"/>
      <c r="K1596" s="1169"/>
      <c r="L1596" s="1159"/>
      <c r="M1596" s="1169"/>
      <c r="N1596" s="1161" t="s">
        <v>2317</v>
      </c>
    </row>
    <row r="1597" spans="1:14" ht="15.75" hidden="1">
      <c r="A1597" s="1156"/>
      <c r="B1597" s="1169"/>
      <c r="C1597" s="1337"/>
      <c r="D1597" s="1171"/>
      <c r="E1597" s="1165"/>
      <c r="F1597" s="1166"/>
      <c r="G1597" s="1343"/>
      <c r="H1597" s="1156"/>
      <c r="I1597" s="1336"/>
      <c r="J1597" s="1168" t="s">
        <v>102</v>
      </c>
      <c r="K1597" s="1221">
        <f>data!E2630</f>
        <v>22.35</v>
      </c>
      <c r="L1597" s="1159" t="s">
        <v>2317</v>
      </c>
      <c r="M1597" s="1224">
        <f>ROUND(I1597*K1597,0)</f>
        <v>0</v>
      </c>
      <c r="N1597" s="1161" t="s">
        <v>2317</v>
      </c>
    </row>
    <row r="1598" spans="1:14" ht="66" hidden="1" customHeight="1">
      <c r="A1598" s="1156">
        <v>26</v>
      </c>
      <c r="B1598" s="1826" t="s">
        <v>1193</v>
      </c>
      <c r="C1598" s="1826"/>
      <c r="D1598" s="1826"/>
      <c r="E1598" s="1826"/>
      <c r="F1598" s="1826"/>
      <c r="G1598" s="1826"/>
      <c r="H1598" s="1826"/>
      <c r="I1598" s="1157"/>
      <c r="J1598" s="1158"/>
      <c r="K1598" s="1156"/>
      <c r="L1598" s="1159"/>
      <c r="M1598" s="1160"/>
      <c r="N1598" s="1161" t="s">
        <v>2318</v>
      </c>
    </row>
    <row r="1599" spans="1:14" s="1170" customFormat="1" ht="16.5" hidden="1" customHeight="1">
      <c r="A1599" s="1156"/>
      <c r="B1599" s="1169" t="s">
        <v>3500</v>
      </c>
      <c r="C1599" s="1351"/>
      <c r="D1599" s="1418"/>
      <c r="E1599" s="1352"/>
      <c r="F1599" s="1234"/>
      <c r="G1599" s="1234"/>
      <c r="H1599" s="1235"/>
      <c r="I1599" s="1353"/>
      <c r="J1599" s="1168"/>
      <c r="K1599" s="1169"/>
      <c r="L1599" s="1159"/>
      <c r="M1599" s="1169"/>
      <c r="N1599" s="1161" t="s">
        <v>2318</v>
      </c>
    </row>
    <row r="1600" spans="1:14" s="1170" customFormat="1" ht="16.5" hidden="1" customHeight="1">
      <c r="A1600" s="1156"/>
      <c r="B1600" s="1169" t="s">
        <v>799</v>
      </c>
      <c r="C1600" s="1157">
        <v>1</v>
      </c>
      <c r="D1600" s="1171" t="s">
        <v>273</v>
      </c>
      <c r="E1600" s="1165">
        <v>1</v>
      </c>
      <c r="F1600" s="1166">
        <v>8.5</v>
      </c>
      <c r="G1600" s="1166">
        <v>4.95</v>
      </c>
      <c r="H1600" s="1166">
        <v>0</v>
      </c>
      <c r="I1600" s="1172">
        <f>ROUND(IF(AND(F1600:H1600),C1600*E1600*F1600*G1600*H1600,IF(AND(F1600,G1600),C1600*E1600*F1600*G1600,IF(AND(F1600,H1600),C1600*E1600*F1600*H1600,IF(AND(G1600,H1600),C1600*E1600*G1600*H1600,IF(F1600,C1600*E1600*F1600,IF(G1600,C1600*E1600*G1600,IF(H1600,C1600*E1600*H1600,C1600*E1600))))))),2)</f>
        <v>42.08</v>
      </c>
      <c r="J1600" s="1168" t="s">
        <v>102</v>
      </c>
      <c r="K1600" s="1169"/>
      <c r="L1600" s="1159"/>
      <c r="M1600" s="1169"/>
      <c r="N1600" s="1161" t="s">
        <v>2318</v>
      </c>
    </row>
    <row r="1601" spans="1:14" s="1170" customFormat="1" ht="16.5" hidden="1" customHeight="1">
      <c r="A1601" s="1156"/>
      <c r="B1601" s="1169" t="s">
        <v>817</v>
      </c>
      <c r="C1601" s="1157">
        <v>1</v>
      </c>
      <c r="D1601" s="1171" t="s">
        <v>273</v>
      </c>
      <c r="E1601" s="1165">
        <v>1</v>
      </c>
      <c r="F1601" s="1166">
        <v>6.25</v>
      </c>
      <c r="G1601" s="1166">
        <v>0</v>
      </c>
      <c r="H1601" s="1166">
        <v>3.6</v>
      </c>
      <c r="I1601" s="1172">
        <f>ROUND(IF(AND(F1601:H1601),C1601*E1601*F1601*G1601*H1601,IF(AND(F1601,G1601),C1601*E1601*F1601*G1601,IF(AND(F1601,H1601),C1601*E1601*F1601*H1601,IF(AND(G1601,H1601),C1601*E1601*G1601*H1601,IF(F1601,C1601*E1601*F1601,IF(G1601,C1601*E1601*G1601,IF(H1601,C1601*E1601*H1601,C1601*E1601))))))),2)</f>
        <v>22.5</v>
      </c>
      <c r="J1601" s="1168" t="s">
        <v>102</v>
      </c>
      <c r="K1601" s="1169"/>
      <c r="L1601" s="1159"/>
      <c r="M1601" s="1169"/>
      <c r="N1601" s="1161" t="s">
        <v>2318</v>
      </c>
    </row>
    <row r="1602" spans="1:14" s="1170" customFormat="1" ht="16.5" hidden="1" customHeight="1">
      <c r="A1602" s="1156"/>
      <c r="B1602" s="1169" t="s">
        <v>816</v>
      </c>
      <c r="C1602" s="1157">
        <v>1</v>
      </c>
      <c r="D1602" s="1171" t="s">
        <v>273</v>
      </c>
      <c r="E1602" s="1165">
        <v>1</v>
      </c>
      <c r="F1602" s="1166">
        <v>5.45</v>
      </c>
      <c r="G1602" s="1166">
        <v>0</v>
      </c>
      <c r="H1602" s="1166">
        <v>3.2</v>
      </c>
      <c r="I1602" s="1172">
        <f>ROUND(IF(AND(F1602:H1602),C1602*E1602*F1602*G1602*H1602,IF(AND(F1602,G1602),C1602*E1602*F1602*G1602,IF(AND(F1602,H1602),C1602*E1602*F1602*H1602,IF(AND(G1602,H1602),C1602*E1602*G1602*H1602,IF(F1602,C1602*E1602*F1602,IF(G1602,C1602*E1602*G1602,IF(H1602,C1602*E1602*H1602,C1602*E1602))))))),2)</f>
        <v>17.440000000000001</v>
      </c>
      <c r="J1602" s="1168" t="s">
        <v>102</v>
      </c>
      <c r="K1602" s="1169"/>
      <c r="L1602" s="1159"/>
      <c r="M1602" s="1169"/>
      <c r="N1602" s="1161" t="s">
        <v>2318</v>
      </c>
    </row>
    <row r="1603" spans="1:14" s="1170" customFormat="1" ht="16.5" hidden="1" customHeight="1">
      <c r="A1603" s="1156"/>
      <c r="B1603" s="1331"/>
      <c r="C1603" s="1332"/>
      <c r="D1603" s="1333"/>
      <c r="E1603" s="1399"/>
      <c r="F1603" s="1335"/>
      <c r="G1603" s="1335"/>
      <c r="H1603" s="1335"/>
      <c r="I1603" s="1336"/>
      <c r="J1603" s="1168"/>
      <c r="K1603" s="1169"/>
      <c r="L1603" s="1159"/>
      <c r="M1603" s="1169"/>
      <c r="N1603" s="1161" t="s">
        <v>2318</v>
      </c>
    </row>
    <row r="1604" spans="1:14" ht="15.75" hidden="1">
      <c r="A1604" s="1156"/>
      <c r="B1604" s="1169"/>
      <c r="C1604" s="1337"/>
      <c r="D1604" s="1171"/>
      <c r="E1604" s="1165"/>
      <c r="F1604" s="1166"/>
      <c r="G1604" s="1343"/>
      <c r="H1604" s="1156"/>
      <c r="I1604" s="1336"/>
      <c r="J1604" s="1168" t="s">
        <v>102</v>
      </c>
      <c r="K1604" s="1221">
        <f>data!E3547</f>
        <v>24.05</v>
      </c>
      <c r="L1604" s="1159" t="s">
        <v>2318</v>
      </c>
      <c r="M1604" s="1224">
        <f>ROUND(I1604*K1604,0)</f>
        <v>0</v>
      </c>
      <c r="N1604" s="1161" t="s">
        <v>2318</v>
      </c>
    </row>
    <row r="1605" spans="1:14" s="1575" customFormat="1" ht="117.75" customHeight="1">
      <c r="A1605" s="1570">
        <v>25</v>
      </c>
      <c r="B1605" s="1827" t="s">
        <v>891</v>
      </c>
      <c r="C1605" s="1827"/>
      <c r="D1605" s="1827"/>
      <c r="E1605" s="1827"/>
      <c r="F1605" s="1827"/>
      <c r="G1605" s="1827"/>
      <c r="H1605" s="1827"/>
      <c r="I1605" s="1571"/>
      <c r="J1605" s="1572"/>
      <c r="K1605" s="1570"/>
      <c r="L1605" s="1573"/>
      <c r="M1605" s="1577"/>
      <c r="N1605" s="1578" t="s">
        <v>2218</v>
      </c>
    </row>
    <row r="1606" spans="1:14" s="1586" customFormat="1" ht="16.5" customHeight="1">
      <c r="A1606" s="1570"/>
      <c r="B1606" s="1579" t="s">
        <v>3816</v>
      </c>
      <c r="C1606" s="1571"/>
      <c r="D1606" s="1790" t="s">
        <v>3875</v>
      </c>
      <c r="E1606" s="1588"/>
      <c r="F1606" s="1589"/>
      <c r="G1606" s="1589"/>
      <c r="H1606" s="1589"/>
      <c r="I1606" s="1630"/>
      <c r="J1606" s="1598"/>
      <c r="K1606" s="1585"/>
      <c r="L1606" s="1573"/>
      <c r="M1606" s="1585"/>
      <c r="N1606" s="1578" t="s">
        <v>2218</v>
      </c>
    </row>
    <row r="1607" spans="1:14" s="1586" customFormat="1" ht="16.5" customHeight="1">
      <c r="A1607" s="1570"/>
      <c r="B1607" s="1585" t="s">
        <v>3359</v>
      </c>
      <c r="C1607" s="1571">
        <v>1</v>
      </c>
      <c r="D1607" s="1587" t="s">
        <v>273</v>
      </c>
      <c r="E1607" s="1588">
        <v>2</v>
      </c>
      <c r="F1607" s="1589">
        <v>9.3699999999999992</v>
      </c>
      <c r="G1607" s="1589">
        <v>0</v>
      </c>
      <c r="H1607" s="1589">
        <v>3.05</v>
      </c>
      <c r="I1607" s="1590">
        <f t="shared" ref="I1607:I1619" si="145">ROUND(IF(AND(F1607:H1607),C1607*E1607*F1607*G1607*H1607,IF(AND(F1607,G1607),C1607*E1607*F1607*G1607,IF(AND(F1607,H1607),C1607*E1607*F1607*H1607,IF(AND(G1607,H1607),C1607*E1607*G1607*H1607,IF(F1607,C1607*E1607*F1607,IF(G1607,C1607*E1607*G1607,IF(H1607,C1607*E1607*H1607,C1607*E1607))))))),2)</f>
        <v>57.16</v>
      </c>
      <c r="J1607" s="1598" t="s">
        <v>102</v>
      </c>
      <c r="K1607" s="1585"/>
      <c r="L1607" s="1573"/>
      <c r="M1607" s="1585"/>
      <c r="N1607" s="1578" t="s">
        <v>2218</v>
      </c>
    </row>
    <row r="1608" spans="1:14" s="1586" customFormat="1" ht="16.5" customHeight="1">
      <c r="A1608" s="1570"/>
      <c r="B1608" s="1585"/>
      <c r="C1608" s="1571">
        <v>1</v>
      </c>
      <c r="D1608" s="1587" t="s">
        <v>273</v>
      </c>
      <c r="E1608" s="1588">
        <v>2</v>
      </c>
      <c r="F1608" s="1589">
        <v>5.75</v>
      </c>
      <c r="G1608" s="1589">
        <v>0</v>
      </c>
      <c r="H1608" s="1589">
        <v>3.05</v>
      </c>
      <c r="I1608" s="1590">
        <f t="shared" si="145"/>
        <v>35.08</v>
      </c>
      <c r="J1608" s="1598" t="s">
        <v>102</v>
      </c>
      <c r="K1608" s="1585"/>
      <c r="L1608" s="1573"/>
      <c r="M1608" s="1585"/>
      <c r="N1608" s="1578" t="s">
        <v>2218</v>
      </c>
    </row>
    <row r="1609" spans="1:14" s="1586" customFormat="1" ht="16.5" customHeight="1">
      <c r="A1609" s="1570"/>
      <c r="B1609" s="1585" t="s">
        <v>3705</v>
      </c>
      <c r="C1609" s="1571">
        <v>1</v>
      </c>
      <c r="D1609" s="1587" t="s">
        <v>273</v>
      </c>
      <c r="E1609" s="1588">
        <v>1</v>
      </c>
      <c r="F1609" s="1589">
        <v>9.3699999999999992</v>
      </c>
      <c r="G1609" s="1589">
        <v>5.75</v>
      </c>
      <c r="H1609" s="1589">
        <v>0</v>
      </c>
      <c r="I1609" s="1590">
        <f t="shared" si="145"/>
        <v>53.88</v>
      </c>
      <c r="J1609" s="1598" t="s">
        <v>102</v>
      </c>
      <c r="K1609" s="1585"/>
      <c r="L1609" s="1573"/>
      <c r="M1609" s="1585"/>
      <c r="N1609" s="1578" t="s">
        <v>2218</v>
      </c>
    </row>
    <row r="1610" spans="1:14" s="1586" customFormat="1" ht="16.5" customHeight="1">
      <c r="A1610" s="1570"/>
      <c r="B1610" s="1585" t="s">
        <v>1244</v>
      </c>
      <c r="C1610" s="1571">
        <v>2</v>
      </c>
      <c r="D1610" s="1587" t="s">
        <v>273</v>
      </c>
      <c r="E1610" s="1588">
        <v>2</v>
      </c>
      <c r="F1610" s="1589">
        <v>5.75</v>
      </c>
      <c r="G1610" s="1589">
        <v>0</v>
      </c>
      <c r="H1610" s="1589">
        <v>0.38</v>
      </c>
      <c r="I1610" s="1590">
        <f t="shared" si="145"/>
        <v>8.74</v>
      </c>
      <c r="J1610" s="1598" t="s">
        <v>102</v>
      </c>
      <c r="K1610" s="1585"/>
      <c r="L1610" s="1573"/>
      <c r="M1610" s="1585"/>
      <c r="N1610" s="1578" t="s">
        <v>2218</v>
      </c>
    </row>
    <row r="1611" spans="1:14" s="1586" customFormat="1" ht="16.5" customHeight="1">
      <c r="A1611" s="1570"/>
      <c r="B1611" s="1585" t="s">
        <v>3422</v>
      </c>
      <c r="C1611" s="1571">
        <v>1</v>
      </c>
      <c r="D1611" s="1587" t="s">
        <v>273</v>
      </c>
      <c r="E1611" s="1588">
        <v>2</v>
      </c>
      <c r="F1611" s="1589">
        <v>3.05</v>
      </c>
      <c r="G1611" s="1589">
        <v>0</v>
      </c>
      <c r="H1611" s="1589">
        <v>3.05</v>
      </c>
      <c r="I1611" s="1590">
        <f t="shared" si="145"/>
        <v>18.61</v>
      </c>
      <c r="J1611" s="1598" t="s">
        <v>102</v>
      </c>
      <c r="K1611" s="1585"/>
      <c r="L1611" s="1573"/>
      <c r="M1611" s="1585"/>
      <c r="N1611" s="1578" t="s">
        <v>2218</v>
      </c>
    </row>
    <row r="1612" spans="1:14" s="1586" customFormat="1" ht="16.5" customHeight="1">
      <c r="A1612" s="1570"/>
      <c r="B1612" s="1585"/>
      <c r="C1612" s="1571">
        <v>1</v>
      </c>
      <c r="D1612" s="1587" t="s">
        <v>273</v>
      </c>
      <c r="E1612" s="1588">
        <v>2</v>
      </c>
      <c r="F1612" s="1589">
        <v>4.26</v>
      </c>
      <c r="G1612" s="1589">
        <v>0</v>
      </c>
      <c r="H1612" s="1589">
        <v>3.05</v>
      </c>
      <c r="I1612" s="1590">
        <f t="shared" si="145"/>
        <v>25.99</v>
      </c>
      <c r="J1612" s="1598" t="s">
        <v>102</v>
      </c>
      <c r="K1612" s="1585"/>
      <c r="L1612" s="1573"/>
      <c r="M1612" s="1585"/>
      <c r="N1612" s="1578" t="s">
        <v>2218</v>
      </c>
    </row>
    <row r="1613" spans="1:14" s="1586" customFormat="1" ht="16.5" customHeight="1">
      <c r="A1613" s="1570"/>
      <c r="B1613" s="1585" t="s">
        <v>3705</v>
      </c>
      <c r="C1613" s="1571">
        <v>1</v>
      </c>
      <c r="D1613" s="1587" t="s">
        <v>273</v>
      </c>
      <c r="E1613" s="1588">
        <v>1</v>
      </c>
      <c r="F1613" s="1589">
        <v>3.05</v>
      </c>
      <c r="G1613" s="1589">
        <v>4.26</v>
      </c>
      <c r="H1613" s="1589">
        <v>0</v>
      </c>
      <c r="I1613" s="1590">
        <f t="shared" si="145"/>
        <v>12.99</v>
      </c>
      <c r="J1613" s="1598" t="s">
        <v>102</v>
      </c>
      <c r="K1613" s="1585"/>
      <c r="L1613" s="1573"/>
      <c r="M1613" s="1585"/>
      <c r="N1613" s="1578" t="s">
        <v>2218</v>
      </c>
    </row>
    <row r="1614" spans="1:14" s="1586" customFormat="1" ht="16.5" customHeight="1">
      <c r="A1614" s="1570"/>
      <c r="B1614" s="1585" t="s">
        <v>3364</v>
      </c>
      <c r="C1614" s="1571">
        <v>1</v>
      </c>
      <c r="D1614" s="1587" t="s">
        <v>273</v>
      </c>
      <c r="E1614" s="1588">
        <v>2</v>
      </c>
      <c r="F1614" s="1589">
        <v>3.05</v>
      </c>
      <c r="G1614" s="1589">
        <v>0</v>
      </c>
      <c r="H1614" s="1589">
        <v>3.05</v>
      </c>
      <c r="I1614" s="1590">
        <f t="shared" si="145"/>
        <v>18.61</v>
      </c>
      <c r="J1614" s="1598" t="s">
        <v>102</v>
      </c>
      <c r="K1614" s="1585"/>
      <c r="L1614" s="1573"/>
      <c r="M1614" s="1585"/>
      <c r="N1614" s="1578" t="s">
        <v>2218</v>
      </c>
    </row>
    <row r="1615" spans="1:14" s="1586" customFormat="1" ht="16.5" customHeight="1">
      <c r="A1615" s="1570"/>
      <c r="B1615" s="1585"/>
      <c r="C1615" s="1571">
        <v>1</v>
      </c>
      <c r="D1615" s="1587" t="s">
        <v>273</v>
      </c>
      <c r="E1615" s="1588">
        <v>2</v>
      </c>
      <c r="F1615" s="1589">
        <v>4.26</v>
      </c>
      <c r="G1615" s="1589">
        <v>0</v>
      </c>
      <c r="H1615" s="1589">
        <v>3.05</v>
      </c>
      <c r="I1615" s="1590">
        <f t="shared" si="145"/>
        <v>25.99</v>
      </c>
      <c r="J1615" s="1598" t="s">
        <v>102</v>
      </c>
      <c r="K1615" s="1585"/>
      <c r="L1615" s="1573"/>
      <c r="M1615" s="1585"/>
      <c r="N1615" s="1578" t="s">
        <v>2218</v>
      </c>
    </row>
    <row r="1616" spans="1:14" s="1586" customFormat="1" ht="16.5" customHeight="1">
      <c r="A1616" s="1570"/>
      <c r="B1616" s="1585" t="s">
        <v>3705</v>
      </c>
      <c r="C1616" s="1571">
        <v>1</v>
      </c>
      <c r="D1616" s="1587" t="s">
        <v>273</v>
      </c>
      <c r="E1616" s="1588">
        <v>1</v>
      </c>
      <c r="F1616" s="1589">
        <v>3.05</v>
      </c>
      <c r="G1616" s="1589">
        <v>4.26</v>
      </c>
      <c r="H1616" s="1589">
        <v>0</v>
      </c>
      <c r="I1616" s="1590">
        <f t="shared" si="145"/>
        <v>12.99</v>
      </c>
      <c r="J1616" s="1598" t="s">
        <v>102</v>
      </c>
      <c r="K1616" s="1585"/>
      <c r="L1616" s="1573"/>
      <c r="M1616" s="1585"/>
      <c r="N1616" s="1578" t="s">
        <v>2218</v>
      </c>
    </row>
    <row r="1617" spans="1:14" s="1586" customFormat="1" ht="16.5" customHeight="1">
      <c r="A1617" s="1570"/>
      <c r="B1617" s="1585" t="s">
        <v>2995</v>
      </c>
      <c r="C1617" s="1571">
        <v>1</v>
      </c>
      <c r="D1617" s="1587" t="s">
        <v>273</v>
      </c>
      <c r="E1617" s="1588">
        <v>2</v>
      </c>
      <c r="F1617" s="1589">
        <v>3.05</v>
      </c>
      <c r="G1617" s="1589">
        <v>0</v>
      </c>
      <c r="H1617" s="1589">
        <v>3.05</v>
      </c>
      <c r="I1617" s="1590">
        <f t="shared" si="145"/>
        <v>18.61</v>
      </c>
      <c r="J1617" s="1598" t="s">
        <v>102</v>
      </c>
      <c r="K1617" s="1585"/>
      <c r="L1617" s="1573"/>
      <c r="M1617" s="1585"/>
      <c r="N1617" s="1578" t="s">
        <v>2218</v>
      </c>
    </row>
    <row r="1618" spans="1:14" s="1586" customFormat="1" ht="16.5" customHeight="1">
      <c r="A1618" s="1570"/>
      <c r="B1618" s="1585"/>
      <c r="C1618" s="1571">
        <v>1</v>
      </c>
      <c r="D1618" s="1587" t="s">
        <v>273</v>
      </c>
      <c r="E1618" s="1588">
        <v>2</v>
      </c>
      <c r="F1618" s="1589">
        <v>4.26</v>
      </c>
      <c r="G1618" s="1589">
        <v>0</v>
      </c>
      <c r="H1618" s="1589">
        <v>3.05</v>
      </c>
      <c r="I1618" s="1590">
        <f t="shared" si="145"/>
        <v>25.99</v>
      </c>
      <c r="J1618" s="1598" t="s">
        <v>102</v>
      </c>
      <c r="K1618" s="1585"/>
      <c r="L1618" s="1573"/>
      <c r="M1618" s="1585"/>
      <c r="N1618" s="1578" t="s">
        <v>2218</v>
      </c>
    </row>
    <row r="1619" spans="1:14" s="1586" customFormat="1" ht="16.5" customHeight="1">
      <c r="A1619" s="1570"/>
      <c r="B1619" s="1585" t="s">
        <v>3705</v>
      </c>
      <c r="C1619" s="1571">
        <v>1</v>
      </c>
      <c r="D1619" s="1587" t="s">
        <v>273</v>
      </c>
      <c r="E1619" s="1588">
        <v>1</v>
      </c>
      <c r="F1619" s="1589">
        <v>3.05</v>
      </c>
      <c r="G1619" s="1589">
        <v>4.26</v>
      </c>
      <c r="H1619" s="1589">
        <v>0</v>
      </c>
      <c r="I1619" s="1590">
        <f t="shared" si="145"/>
        <v>12.99</v>
      </c>
      <c r="J1619" s="1598" t="s">
        <v>102</v>
      </c>
      <c r="K1619" s="1585"/>
      <c r="L1619" s="1573"/>
      <c r="M1619" s="1585"/>
      <c r="N1619" s="1578" t="s">
        <v>2218</v>
      </c>
    </row>
    <row r="1620" spans="1:14" s="1586" customFormat="1" ht="16.5" customHeight="1">
      <c r="A1620" s="1570"/>
      <c r="B1620" s="1585" t="s">
        <v>579</v>
      </c>
      <c r="C1620" s="1571">
        <v>1</v>
      </c>
      <c r="D1620" s="1587" t="s">
        <v>273</v>
      </c>
      <c r="E1620" s="1588">
        <v>2</v>
      </c>
      <c r="F1620" s="1589">
        <v>1.2</v>
      </c>
      <c r="G1620" s="1589">
        <v>0</v>
      </c>
      <c r="H1620" s="1589">
        <v>2.1</v>
      </c>
      <c r="I1620" s="1590">
        <f>-ROUND(IF(AND(F1620:H1620),C1620*E1620*F1620*G1620*H1620,IF(AND(F1620,G1620),C1620*E1620*F1620*G1620,IF(AND(F1620,H1620),C1620*E1620*F1620*H1620,IF(AND(G1620,H1620),C1620*E1620*G1620*H1620,IF(F1620,C1620*E1620*F1620,IF(G1620,C1620*E1620*G1620,IF(H1620,C1620*E1620*H1620,C1620*E1620))))))),2)</f>
        <v>-5.04</v>
      </c>
      <c r="J1620" s="1598" t="s">
        <v>102</v>
      </c>
      <c r="K1620" s="1585"/>
      <c r="L1620" s="1573"/>
      <c r="M1620" s="1585"/>
      <c r="N1620" s="1578" t="s">
        <v>2218</v>
      </c>
    </row>
    <row r="1621" spans="1:14" s="1586" customFormat="1" ht="16.5" customHeight="1">
      <c r="A1621" s="1570"/>
      <c r="B1621" s="1585" t="s">
        <v>579</v>
      </c>
      <c r="C1621" s="1571">
        <v>1</v>
      </c>
      <c r="D1621" s="1587" t="s">
        <v>273</v>
      </c>
      <c r="E1621" s="1588">
        <v>1</v>
      </c>
      <c r="F1621" s="1589">
        <v>1.2</v>
      </c>
      <c r="G1621" s="1589">
        <v>0</v>
      </c>
      <c r="H1621" s="1589">
        <v>2.1</v>
      </c>
      <c r="I1621" s="1590">
        <f>-ROUND(IF(AND(F1621:H1621),C1621*E1621*F1621*G1621*H1621,IF(AND(F1621,G1621),C1621*E1621*F1621*G1621,IF(AND(F1621,H1621),C1621*E1621*F1621*H1621,IF(AND(G1621,H1621),C1621*E1621*G1621*H1621,IF(F1621,C1621*E1621*F1621,IF(G1621,C1621*E1621*G1621,IF(H1621,C1621*E1621*H1621,C1621*E1621))))))),2)</f>
        <v>-2.52</v>
      </c>
      <c r="J1621" s="1598" t="s">
        <v>102</v>
      </c>
      <c r="K1621" s="1585"/>
      <c r="L1621" s="1573"/>
      <c r="M1621" s="1585"/>
      <c r="N1621" s="1578" t="s">
        <v>2218</v>
      </c>
    </row>
    <row r="1622" spans="1:14" s="1586" customFormat="1" ht="16.5" customHeight="1">
      <c r="A1622" s="1570"/>
      <c r="B1622" s="1585" t="s">
        <v>579</v>
      </c>
      <c r="C1622" s="1571">
        <v>2</v>
      </c>
      <c r="D1622" s="1587" t="s">
        <v>273</v>
      </c>
      <c r="E1622" s="1588">
        <v>2</v>
      </c>
      <c r="F1622" s="1589">
        <v>1.05</v>
      </c>
      <c r="G1622" s="1589">
        <v>0</v>
      </c>
      <c r="H1622" s="1589">
        <v>2.1</v>
      </c>
      <c r="I1622" s="1590">
        <f>-ROUND(IF(AND(F1622:H1622),C1622*E1622*F1622*G1622*H1622,IF(AND(F1622,G1622),C1622*E1622*F1622*G1622,IF(AND(F1622,H1622),C1622*E1622*F1622*H1622,IF(AND(G1622,H1622),C1622*E1622*G1622*H1622,IF(F1622,C1622*E1622*F1622,IF(G1622,C1622*E1622*G1622,IF(H1622,C1622*E1622*H1622,C1622*E1622))))))),2)</f>
        <v>-8.82</v>
      </c>
      <c r="J1622" s="1598" t="s">
        <v>102</v>
      </c>
      <c r="K1622" s="1585"/>
      <c r="L1622" s="1573"/>
      <c r="M1622" s="1585"/>
      <c r="N1622" s="1578" t="s">
        <v>2218</v>
      </c>
    </row>
    <row r="1623" spans="1:14" s="1586" customFormat="1" ht="16.5" customHeight="1">
      <c r="A1623" s="1570"/>
      <c r="B1623" s="1585" t="s">
        <v>2360</v>
      </c>
      <c r="C1623" s="1571">
        <v>1</v>
      </c>
      <c r="D1623" s="1587" t="s">
        <v>273</v>
      </c>
      <c r="E1623" s="1588">
        <v>11</v>
      </c>
      <c r="F1623" s="1589">
        <v>1.2</v>
      </c>
      <c r="G1623" s="1589">
        <v>0</v>
      </c>
      <c r="H1623" s="1589">
        <v>1.2</v>
      </c>
      <c r="I1623" s="1590">
        <f>-ROUND(IF(AND(F1623:H1623),C1623*E1623*F1623*G1623*H1623,IF(AND(F1623,G1623),C1623*E1623*F1623*G1623,IF(AND(F1623,H1623),C1623*E1623*F1623*H1623,IF(AND(G1623,H1623),C1623*E1623*G1623*H1623,IF(F1623,C1623*E1623*F1623,IF(G1623,C1623*E1623*G1623,IF(H1623,C1623*E1623*H1623,C1623*E1623))))))),2)</f>
        <v>-15.84</v>
      </c>
      <c r="J1623" s="1598" t="s">
        <v>102</v>
      </c>
      <c r="K1623" s="1585"/>
      <c r="L1623" s="1573"/>
      <c r="M1623" s="1585"/>
      <c r="N1623" s="1578" t="s">
        <v>2218</v>
      </c>
    </row>
    <row r="1624" spans="1:14" s="1586" customFormat="1" ht="16.5" customHeight="1">
      <c r="A1624" s="1570"/>
      <c r="B1624" s="1585" t="s">
        <v>581</v>
      </c>
      <c r="C1624" s="1571">
        <v>1</v>
      </c>
      <c r="D1624" s="1587" t="s">
        <v>273</v>
      </c>
      <c r="E1624" s="1588">
        <v>12</v>
      </c>
      <c r="F1624" s="1589">
        <v>0.6</v>
      </c>
      <c r="G1624" s="1589">
        <v>0</v>
      </c>
      <c r="H1624" s="1589">
        <v>0.3</v>
      </c>
      <c r="I1624" s="1590">
        <f>-ROUND(IF(AND(F1624:H1624),C1624*E1624*F1624*G1624*H1624,IF(AND(F1624,G1624),C1624*E1624*F1624*G1624,IF(AND(F1624,H1624),C1624*E1624*F1624*H1624,IF(AND(G1624,H1624),C1624*E1624*G1624*H1624,IF(F1624,C1624*E1624*F1624,IF(G1624,C1624*E1624*G1624,IF(H1624,C1624*E1624*H1624,C1624*E1624))))))),2)</f>
        <v>-2.16</v>
      </c>
      <c r="J1624" s="1598" t="s">
        <v>102</v>
      </c>
      <c r="K1624" s="1585"/>
      <c r="L1624" s="1573"/>
      <c r="M1624" s="1585"/>
      <c r="N1624" s="1578" t="s">
        <v>2218</v>
      </c>
    </row>
    <row r="1625" spans="1:14" s="1586" customFormat="1" ht="16.5" customHeight="1">
      <c r="A1625" s="1570"/>
      <c r="B1625" s="1600"/>
      <c r="C1625" s="1601"/>
      <c r="D1625" s="1602"/>
      <c r="E1625" s="1637"/>
      <c r="F1625" s="1604"/>
      <c r="G1625" s="1604"/>
      <c r="H1625" s="1604"/>
      <c r="I1625" s="1605"/>
      <c r="J1625" s="1598"/>
      <c r="K1625" s="1585"/>
      <c r="L1625" s="1573"/>
      <c r="M1625" s="1585"/>
      <c r="N1625" s="1578" t="s">
        <v>2218</v>
      </c>
    </row>
    <row r="1626" spans="1:14" s="1575" customFormat="1" ht="15.75">
      <c r="A1626" s="1570"/>
      <c r="B1626" s="1585"/>
      <c r="C1626" s="1606"/>
      <c r="D1626" s="1587"/>
      <c r="E1626" s="1588"/>
      <c r="F1626" s="1589"/>
      <c r="G1626" s="1607"/>
      <c r="H1626" s="1570"/>
      <c r="I1626" s="1605">
        <f>SUM(I1607:I1625)</f>
        <v>293.25000000000011</v>
      </c>
      <c r="J1626" s="1598" t="s">
        <v>102</v>
      </c>
      <c r="K1626" s="1608">
        <f>data!E811</f>
        <v>148.07</v>
      </c>
      <c r="L1626" s="1573" t="s">
        <v>2218</v>
      </c>
      <c r="M1626" s="1609">
        <f>ROUND(I1626*K1626,0)</f>
        <v>43422</v>
      </c>
      <c r="N1626" s="1578" t="s">
        <v>2218</v>
      </c>
    </row>
    <row r="1627" spans="1:14" ht="117.75" hidden="1" customHeight="1">
      <c r="A1627" s="1156">
        <v>37</v>
      </c>
      <c r="B1627" s="1826" t="s">
        <v>891</v>
      </c>
      <c r="C1627" s="1826"/>
      <c r="D1627" s="1826"/>
      <c r="E1627" s="1826"/>
      <c r="F1627" s="1826"/>
      <c r="G1627" s="1826"/>
      <c r="H1627" s="1826"/>
      <c r="I1627" s="1157"/>
      <c r="J1627" s="1158"/>
      <c r="K1627" s="1156"/>
      <c r="L1627" s="1159"/>
      <c r="M1627" s="1160"/>
      <c r="N1627" s="1161" t="s">
        <v>2306</v>
      </c>
    </row>
    <row r="1628" spans="1:14" s="1170" customFormat="1" ht="16.5" hidden="1" customHeight="1">
      <c r="A1628" s="1156"/>
      <c r="B1628" s="1169" t="s">
        <v>3600</v>
      </c>
      <c r="C1628" s="1157"/>
      <c r="D1628" s="1548" t="s">
        <v>3647</v>
      </c>
      <c r="E1628" s="1165"/>
      <c r="F1628" s="1166"/>
      <c r="G1628" s="1166"/>
      <c r="H1628" s="1166"/>
      <c r="I1628" s="1167"/>
      <c r="J1628" s="1168"/>
      <c r="K1628" s="1169"/>
      <c r="L1628" s="1159"/>
      <c r="M1628" s="1169"/>
      <c r="N1628" s="1161" t="s">
        <v>2306</v>
      </c>
    </row>
    <row r="1629" spans="1:14" s="1170" customFormat="1" ht="16.5" hidden="1" customHeight="1">
      <c r="A1629" s="1156"/>
      <c r="B1629" s="1169" t="s">
        <v>3359</v>
      </c>
      <c r="C1629" s="1157">
        <v>1</v>
      </c>
      <c r="D1629" s="1171" t="s">
        <v>273</v>
      </c>
      <c r="E1629" s="1165">
        <v>1</v>
      </c>
      <c r="F1629" s="1166">
        <v>9.3699999999999992</v>
      </c>
      <c r="G1629" s="1166">
        <v>5.75</v>
      </c>
      <c r="H1629" s="1166">
        <v>0</v>
      </c>
      <c r="I1629" s="1172">
        <f t="shared" ref="I1629:I1630" si="146">ROUND(IF(AND(F1629:H1629),C1629*E1629*F1629*G1629*H1629,IF(AND(F1629,G1629),C1629*E1629*F1629*G1629,IF(AND(F1629,H1629),C1629*E1629*F1629*H1629,IF(AND(G1629,H1629),C1629*E1629*G1629*H1629,IF(F1629,C1629*E1629*F1629,IF(G1629,C1629*E1629*G1629,IF(H1629,C1629*E1629*H1629,C1629*E1629))))))),2)</f>
        <v>53.88</v>
      </c>
      <c r="J1629" s="1168" t="s">
        <v>102</v>
      </c>
      <c r="K1629" s="1169"/>
      <c r="L1629" s="1159"/>
      <c r="M1629" s="1169"/>
      <c r="N1629" s="1161" t="s">
        <v>2306</v>
      </c>
    </row>
    <row r="1630" spans="1:14" s="1170" customFormat="1" ht="16.5" hidden="1" customHeight="1">
      <c r="A1630" s="1156"/>
      <c r="B1630" s="1169" t="s">
        <v>1244</v>
      </c>
      <c r="C1630" s="1157">
        <v>2</v>
      </c>
      <c r="D1630" s="1171" t="s">
        <v>273</v>
      </c>
      <c r="E1630" s="1165">
        <v>2</v>
      </c>
      <c r="F1630" s="1166">
        <v>5.75</v>
      </c>
      <c r="G1630" s="1166">
        <v>0</v>
      </c>
      <c r="H1630" s="1166">
        <v>0.38</v>
      </c>
      <c r="I1630" s="1172">
        <f t="shared" si="146"/>
        <v>8.74</v>
      </c>
      <c r="J1630" s="1168" t="s">
        <v>102</v>
      </c>
      <c r="K1630" s="1169"/>
      <c r="L1630" s="1159"/>
      <c r="M1630" s="1169"/>
      <c r="N1630" s="1161" t="s">
        <v>2306</v>
      </c>
    </row>
    <row r="1631" spans="1:14" s="1170" customFormat="1" ht="16.5" hidden="1" customHeight="1">
      <c r="A1631" s="1156"/>
      <c r="B1631" s="1169" t="s">
        <v>579</v>
      </c>
      <c r="C1631" s="1157">
        <v>1</v>
      </c>
      <c r="D1631" s="1171" t="s">
        <v>273</v>
      </c>
      <c r="E1631" s="1165">
        <v>3</v>
      </c>
      <c r="F1631" s="1166">
        <v>1.2</v>
      </c>
      <c r="G1631" s="1166">
        <v>0</v>
      </c>
      <c r="H1631" s="1166">
        <v>2.1</v>
      </c>
      <c r="I1631" s="1172">
        <f>-ROUND(IF(AND(F1631:H1631),C1631*E1631*F1631*G1631*H1631,IF(AND(F1631,G1631),C1631*E1631*F1631*G1631,IF(AND(F1631,H1631),C1631*E1631*F1631*H1631,IF(AND(G1631,H1631),C1631*E1631*G1631*H1631,IF(F1631,C1631*E1631*F1631,IF(G1631,C1631*E1631*G1631,IF(H1631,C1631*E1631*H1631,C1631*E1631))))))),2)</f>
        <v>-7.56</v>
      </c>
      <c r="J1631" s="1168" t="s">
        <v>102</v>
      </c>
      <c r="K1631" s="1169"/>
      <c r="L1631" s="1159"/>
      <c r="M1631" s="1169"/>
      <c r="N1631" s="1161" t="s">
        <v>2306</v>
      </c>
    </row>
    <row r="1632" spans="1:14" s="1170" customFormat="1" ht="16.5" hidden="1" customHeight="1">
      <c r="A1632" s="1156"/>
      <c r="B1632" s="1169" t="s">
        <v>579</v>
      </c>
      <c r="C1632" s="1157">
        <v>2</v>
      </c>
      <c r="D1632" s="1171" t="s">
        <v>273</v>
      </c>
      <c r="E1632" s="1165">
        <v>2</v>
      </c>
      <c r="F1632" s="1166">
        <v>1.05</v>
      </c>
      <c r="G1632" s="1166">
        <v>0</v>
      </c>
      <c r="H1632" s="1166">
        <v>2.1</v>
      </c>
      <c r="I1632" s="1172">
        <f>-ROUND(IF(AND(F1632:H1632),C1632*E1632*F1632*G1632*H1632,IF(AND(F1632,G1632),C1632*E1632*F1632*G1632,IF(AND(F1632,H1632),C1632*E1632*F1632*H1632,IF(AND(G1632,H1632),C1632*E1632*G1632*H1632,IF(F1632,C1632*E1632*F1632,IF(G1632,C1632*E1632*G1632,IF(H1632,C1632*E1632*H1632,C1632*E1632))))))),2)</f>
        <v>-8.82</v>
      </c>
      <c r="J1632" s="1168" t="s">
        <v>102</v>
      </c>
      <c r="K1632" s="1169"/>
      <c r="L1632" s="1159"/>
      <c r="M1632" s="1169"/>
      <c r="N1632" s="1161" t="s">
        <v>2306</v>
      </c>
    </row>
    <row r="1633" spans="1:14" s="1170" customFormat="1" ht="16.5" hidden="1" customHeight="1">
      <c r="A1633" s="1156"/>
      <c r="B1633" s="1169" t="s">
        <v>2360</v>
      </c>
      <c r="C1633" s="1157">
        <v>1</v>
      </c>
      <c r="D1633" s="1171" t="s">
        <v>273</v>
      </c>
      <c r="E1633" s="1165">
        <v>11</v>
      </c>
      <c r="F1633" s="1166">
        <v>1.2</v>
      </c>
      <c r="G1633" s="1166">
        <v>0</v>
      </c>
      <c r="H1633" s="1166">
        <v>1.2</v>
      </c>
      <c r="I1633" s="1172">
        <f>-ROUND(IF(AND(F1633:H1633),C1633*E1633*F1633*G1633*H1633,IF(AND(F1633,G1633),C1633*E1633*F1633*G1633,IF(AND(F1633,H1633),C1633*E1633*F1633*H1633,IF(AND(G1633,H1633),C1633*E1633*G1633*H1633,IF(F1633,C1633*E1633*F1633,IF(G1633,C1633*E1633*G1633,IF(H1633,C1633*E1633*H1633,C1633*E1633))))))),2)</f>
        <v>-15.84</v>
      </c>
      <c r="J1633" s="1168" t="s">
        <v>102</v>
      </c>
      <c r="K1633" s="1169"/>
      <c r="L1633" s="1159"/>
      <c r="M1633" s="1169"/>
      <c r="N1633" s="1161" t="s">
        <v>2306</v>
      </c>
    </row>
    <row r="1634" spans="1:14" s="1170" customFormat="1" ht="16.5" hidden="1" customHeight="1">
      <c r="A1634" s="1156"/>
      <c r="B1634" s="1169" t="s">
        <v>3601</v>
      </c>
      <c r="C1634" s="1157">
        <v>1</v>
      </c>
      <c r="D1634" s="1171" t="s">
        <v>273</v>
      </c>
      <c r="E1634" s="1165">
        <v>2</v>
      </c>
      <c r="F1634" s="1166">
        <v>9.3699999999999992</v>
      </c>
      <c r="G1634" s="1166">
        <v>0</v>
      </c>
      <c r="H1634" s="1166">
        <v>3.15</v>
      </c>
      <c r="I1634" s="1172">
        <f t="shared" ref="I1634:I1644" si="147">ROUND(IF(AND(F1634:H1634),C1634*E1634*F1634*G1634*H1634,IF(AND(F1634,G1634),C1634*E1634*F1634*G1634,IF(AND(F1634,H1634),C1634*E1634*F1634*H1634,IF(AND(G1634,H1634),C1634*E1634*G1634*H1634,IF(F1634,C1634*E1634*F1634,IF(G1634,C1634*E1634*G1634,IF(H1634,C1634*E1634*H1634,C1634*E1634))))))),2)</f>
        <v>59.03</v>
      </c>
      <c r="J1634" s="1168" t="s">
        <v>102</v>
      </c>
      <c r="K1634" s="1169"/>
      <c r="L1634" s="1159"/>
      <c r="M1634" s="1169"/>
      <c r="N1634" s="1161" t="s">
        <v>2306</v>
      </c>
    </row>
    <row r="1635" spans="1:14" s="1170" customFormat="1" ht="16.5" hidden="1" customHeight="1">
      <c r="A1635" s="1156"/>
      <c r="B1635" s="1169"/>
      <c r="C1635" s="1157">
        <v>1</v>
      </c>
      <c r="D1635" s="1171" t="s">
        <v>273</v>
      </c>
      <c r="E1635" s="1165">
        <v>2</v>
      </c>
      <c r="F1635" s="1166">
        <v>5.75</v>
      </c>
      <c r="G1635" s="1166">
        <v>0</v>
      </c>
      <c r="H1635" s="1166">
        <v>3.15</v>
      </c>
      <c r="I1635" s="1172">
        <f t="shared" si="147"/>
        <v>36.229999999999997</v>
      </c>
      <c r="J1635" s="1168" t="s">
        <v>102</v>
      </c>
      <c r="K1635" s="1169"/>
      <c r="L1635" s="1159"/>
      <c r="M1635" s="1169"/>
      <c r="N1635" s="1161" t="s">
        <v>2306</v>
      </c>
    </row>
    <row r="1636" spans="1:14" s="1170" customFormat="1" ht="16.5" hidden="1" customHeight="1">
      <c r="A1636" s="1156"/>
      <c r="B1636" s="1169" t="s">
        <v>3602</v>
      </c>
      <c r="C1636" s="1157">
        <v>1</v>
      </c>
      <c r="D1636" s="1171" t="s">
        <v>273</v>
      </c>
      <c r="E1636" s="1165">
        <v>1</v>
      </c>
      <c r="F1636" s="1166">
        <v>3.05</v>
      </c>
      <c r="G1636" s="1166">
        <v>4.26</v>
      </c>
      <c r="H1636" s="1166">
        <v>0</v>
      </c>
      <c r="I1636" s="1172">
        <f t="shared" si="147"/>
        <v>12.99</v>
      </c>
      <c r="J1636" s="1168" t="s">
        <v>102</v>
      </c>
      <c r="K1636" s="1169"/>
      <c r="L1636" s="1159"/>
      <c r="M1636" s="1169"/>
      <c r="N1636" s="1161" t="s">
        <v>2306</v>
      </c>
    </row>
    <row r="1637" spans="1:14" s="1170" customFormat="1" ht="16.5" hidden="1" customHeight="1">
      <c r="A1637" s="1156"/>
      <c r="B1637" s="1169" t="s">
        <v>3601</v>
      </c>
      <c r="C1637" s="1157">
        <v>1</v>
      </c>
      <c r="D1637" s="1171" t="s">
        <v>273</v>
      </c>
      <c r="E1637" s="1165">
        <v>2</v>
      </c>
      <c r="F1637" s="1166">
        <v>3.05</v>
      </c>
      <c r="G1637" s="1166">
        <v>0</v>
      </c>
      <c r="H1637" s="1166">
        <v>3.15</v>
      </c>
      <c r="I1637" s="1172">
        <f t="shared" si="147"/>
        <v>19.22</v>
      </c>
      <c r="J1637" s="1168" t="s">
        <v>102</v>
      </c>
      <c r="K1637" s="1169"/>
      <c r="L1637" s="1159"/>
      <c r="M1637" s="1169"/>
      <c r="N1637" s="1161" t="s">
        <v>2306</v>
      </c>
    </row>
    <row r="1638" spans="1:14" s="1170" customFormat="1" ht="16.5" hidden="1" customHeight="1">
      <c r="A1638" s="1156"/>
      <c r="B1638" s="1169"/>
      <c r="C1638" s="1157">
        <v>1</v>
      </c>
      <c r="D1638" s="1171" t="s">
        <v>273</v>
      </c>
      <c r="E1638" s="1165">
        <v>2</v>
      </c>
      <c r="F1638" s="1166">
        <v>4.26</v>
      </c>
      <c r="G1638" s="1166">
        <v>0</v>
      </c>
      <c r="H1638" s="1166">
        <v>3.15</v>
      </c>
      <c r="I1638" s="1172">
        <f t="shared" si="147"/>
        <v>26.84</v>
      </c>
      <c r="J1638" s="1168" t="s">
        <v>102</v>
      </c>
      <c r="K1638" s="1169"/>
      <c r="L1638" s="1159"/>
      <c r="M1638" s="1169"/>
      <c r="N1638" s="1161" t="s">
        <v>2306</v>
      </c>
    </row>
    <row r="1639" spans="1:14" s="1170" customFormat="1" ht="16.5" hidden="1" customHeight="1">
      <c r="A1639" s="1156"/>
      <c r="B1639" s="1169" t="s">
        <v>3603</v>
      </c>
      <c r="C1639" s="1157">
        <v>1</v>
      </c>
      <c r="D1639" s="1171" t="s">
        <v>273</v>
      </c>
      <c r="E1639" s="1165">
        <v>1</v>
      </c>
      <c r="F1639" s="1166">
        <v>3.05</v>
      </c>
      <c r="G1639" s="1166">
        <v>4.26</v>
      </c>
      <c r="H1639" s="1166">
        <v>0</v>
      </c>
      <c r="I1639" s="1172">
        <f t="shared" si="147"/>
        <v>12.99</v>
      </c>
      <c r="J1639" s="1168" t="s">
        <v>102</v>
      </c>
      <c r="K1639" s="1169"/>
      <c r="L1639" s="1159"/>
      <c r="M1639" s="1169"/>
      <c r="N1639" s="1161" t="s">
        <v>2306</v>
      </c>
    </row>
    <row r="1640" spans="1:14" s="1170" customFormat="1" ht="16.5" hidden="1" customHeight="1">
      <c r="A1640" s="1156"/>
      <c r="B1640" s="1169" t="s">
        <v>3601</v>
      </c>
      <c r="C1640" s="1157">
        <v>1</v>
      </c>
      <c r="D1640" s="1171" t="s">
        <v>273</v>
      </c>
      <c r="E1640" s="1165">
        <v>2</v>
      </c>
      <c r="F1640" s="1166">
        <v>4.26</v>
      </c>
      <c r="G1640" s="1166">
        <v>0</v>
      </c>
      <c r="H1640" s="1166">
        <v>3.15</v>
      </c>
      <c r="I1640" s="1172">
        <f t="shared" si="147"/>
        <v>26.84</v>
      </c>
      <c r="J1640" s="1168" t="s">
        <v>102</v>
      </c>
      <c r="K1640" s="1169"/>
      <c r="L1640" s="1159"/>
      <c r="M1640" s="1169"/>
      <c r="N1640" s="1161" t="s">
        <v>2306</v>
      </c>
    </row>
    <row r="1641" spans="1:14" s="1170" customFormat="1" ht="16.5" hidden="1" customHeight="1">
      <c r="A1641" s="1156"/>
      <c r="B1641" s="1169"/>
      <c r="C1641" s="1157">
        <v>1</v>
      </c>
      <c r="D1641" s="1171" t="s">
        <v>273</v>
      </c>
      <c r="E1641" s="1165">
        <v>2</v>
      </c>
      <c r="F1641" s="1166">
        <v>3.05</v>
      </c>
      <c r="G1641" s="1166">
        <v>0</v>
      </c>
      <c r="H1641" s="1166">
        <v>3.15</v>
      </c>
      <c r="I1641" s="1172">
        <f t="shared" si="147"/>
        <v>19.22</v>
      </c>
      <c r="J1641" s="1168" t="s">
        <v>102</v>
      </c>
      <c r="K1641" s="1169"/>
      <c r="L1641" s="1159"/>
      <c r="M1641" s="1169"/>
      <c r="N1641" s="1161" t="s">
        <v>2306</v>
      </c>
    </row>
    <row r="1642" spans="1:14" s="1170" customFormat="1" ht="16.5" hidden="1" customHeight="1">
      <c r="A1642" s="1156"/>
      <c r="B1642" s="1169" t="s">
        <v>3604</v>
      </c>
      <c r="C1642" s="1157">
        <v>1</v>
      </c>
      <c r="D1642" s="1171" t="s">
        <v>273</v>
      </c>
      <c r="E1642" s="1165">
        <v>1</v>
      </c>
      <c r="F1642" s="1166">
        <v>3.05</v>
      </c>
      <c r="G1642" s="1166">
        <v>4.26</v>
      </c>
      <c r="H1642" s="1166">
        <v>0</v>
      </c>
      <c r="I1642" s="1172">
        <f t="shared" si="147"/>
        <v>12.99</v>
      </c>
      <c r="J1642" s="1168" t="s">
        <v>102</v>
      </c>
      <c r="K1642" s="1169"/>
      <c r="L1642" s="1159"/>
      <c r="M1642" s="1169"/>
      <c r="N1642" s="1161" t="s">
        <v>2306</v>
      </c>
    </row>
    <row r="1643" spans="1:14" s="1170" customFormat="1" ht="16.5" hidden="1" customHeight="1">
      <c r="A1643" s="1156"/>
      <c r="B1643" s="1169" t="s">
        <v>3606</v>
      </c>
      <c r="C1643" s="1157">
        <v>1</v>
      </c>
      <c r="D1643" s="1171" t="s">
        <v>273</v>
      </c>
      <c r="E1643" s="1165">
        <v>2</v>
      </c>
      <c r="F1643" s="1166">
        <v>3.05</v>
      </c>
      <c r="G1643" s="1166">
        <v>0</v>
      </c>
      <c r="H1643" s="1166">
        <v>3.15</v>
      </c>
      <c r="I1643" s="1172">
        <f t="shared" si="147"/>
        <v>19.22</v>
      </c>
      <c r="J1643" s="1168" t="s">
        <v>102</v>
      </c>
      <c r="K1643" s="1169"/>
      <c r="L1643" s="1159"/>
      <c r="M1643" s="1169"/>
      <c r="N1643" s="1161" t="s">
        <v>2306</v>
      </c>
    </row>
    <row r="1644" spans="1:14" s="1170" customFormat="1" ht="16.5" hidden="1" customHeight="1">
      <c r="A1644" s="1156"/>
      <c r="B1644" s="1169"/>
      <c r="C1644" s="1157">
        <v>1</v>
      </c>
      <c r="D1644" s="1171" t="s">
        <v>273</v>
      </c>
      <c r="E1644" s="1165">
        <v>2</v>
      </c>
      <c r="F1644" s="1166">
        <v>4.26</v>
      </c>
      <c r="G1644" s="1166">
        <v>0</v>
      </c>
      <c r="H1644" s="1166">
        <v>3.15</v>
      </c>
      <c r="I1644" s="1172">
        <f t="shared" si="147"/>
        <v>26.84</v>
      </c>
      <c r="J1644" s="1168" t="s">
        <v>102</v>
      </c>
      <c r="K1644" s="1169"/>
      <c r="L1644" s="1159"/>
      <c r="M1644" s="1169"/>
      <c r="N1644" s="1161" t="s">
        <v>2306</v>
      </c>
    </row>
    <row r="1645" spans="1:14" s="1170" customFormat="1" ht="16.5" hidden="1" customHeight="1">
      <c r="A1645" s="1156"/>
      <c r="B1645" s="1169" t="s">
        <v>3605</v>
      </c>
      <c r="C1645" s="1157">
        <v>1</v>
      </c>
      <c r="D1645" s="1171" t="s">
        <v>273</v>
      </c>
      <c r="E1645" s="1165">
        <v>12</v>
      </c>
      <c r="F1645" s="1166">
        <v>0.6</v>
      </c>
      <c r="G1645" s="1166">
        <v>0</v>
      </c>
      <c r="H1645" s="1166">
        <v>0.3</v>
      </c>
      <c r="I1645" s="1172">
        <f>-ROUND(IF(AND(F1645:H1645),C1645*E1645*F1645*G1645*H1645,IF(AND(F1645,G1645),C1645*E1645*F1645*G1645,IF(AND(F1645,H1645),C1645*E1645*F1645*H1645,IF(AND(G1645,H1645),C1645*E1645*G1645*H1645,IF(F1645,C1645*E1645*F1645,IF(G1645,C1645*E1645*G1645,IF(H1645,C1645*E1645*H1645,C1645*E1645))))))),2)</f>
        <v>-2.16</v>
      </c>
      <c r="J1645" s="1168" t="s">
        <v>102</v>
      </c>
      <c r="K1645" s="1169"/>
      <c r="L1645" s="1159"/>
      <c r="M1645" s="1169"/>
      <c r="N1645" s="1161" t="s">
        <v>2306</v>
      </c>
    </row>
    <row r="1646" spans="1:14" s="1170" customFormat="1" ht="16.5" hidden="1" customHeight="1">
      <c r="A1646" s="1156"/>
      <c r="B1646" s="1331"/>
      <c r="C1646" s="1332"/>
      <c r="D1646" s="1333"/>
      <c r="E1646" s="1399"/>
      <c r="F1646" s="1335"/>
      <c r="G1646" s="1335"/>
      <c r="H1646" s="1335"/>
      <c r="I1646" s="1336"/>
      <c r="J1646" s="1168"/>
      <c r="K1646" s="1169"/>
      <c r="L1646" s="1159"/>
      <c r="M1646" s="1169"/>
      <c r="N1646" s="1161" t="s">
        <v>2306</v>
      </c>
    </row>
    <row r="1647" spans="1:14" ht="15.75" hidden="1">
      <c r="A1647" s="1156"/>
      <c r="B1647" s="1169"/>
      <c r="C1647" s="1337"/>
      <c r="D1647" s="1171"/>
      <c r="E1647" s="1165"/>
      <c r="F1647" s="1166"/>
      <c r="G1647" s="1343"/>
      <c r="H1647" s="1156"/>
      <c r="I1647" s="1336"/>
      <c r="J1647" s="1168" t="s">
        <v>102</v>
      </c>
      <c r="K1647" s="1221">
        <f>data!E1728</f>
        <v>155.29</v>
      </c>
      <c r="L1647" s="1159" t="s">
        <v>2306</v>
      </c>
      <c r="M1647" s="1224">
        <f>ROUND(I1647*K1647,0)</f>
        <v>0</v>
      </c>
      <c r="N1647" s="1161" t="s">
        <v>2306</v>
      </c>
    </row>
    <row r="1648" spans="1:14" ht="117.75" hidden="1" customHeight="1">
      <c r="A1648" s="1156">
        <v>35</v>
      </c>
      <c r="B1648" s="1826" t="s">
        <v>891</v>
      </c>
      <c r="C1648" s="1826"/>
      <c r="D1648" s="1826"/>
      <c r="E1648" s="1826"/>
      <c r="F1648" s="1826"/>
      <c r="G1648" s="1826"/>
      <c r="H1648" s="1826"/>
      <c r="I1648" s="1157"/>
      <c r="J1648" s="1158"/>
      <c r="K1648" s="1156"/>
      <c r="L1648" s="1159"/>
      <c r="M1648" s="1160"/>
      <c r="N1648" s="1161" t="s">
        <v>2317</v>
      </c>
    </row>
    <row r="1649" spans="1:14" s="1170" customFormat="1" ht="16.5" hidden="1" customHeight="1">
      <c r="A1649" s="1156"/>
      <c r="B1649" s="1163" t="s">
        <v>3704</v>
      </c>
      <c r="C1649" s="1157"/>
      <c r="D1649" s="1548" t="s">
        <v>3743</v>
      </c>
      <c r="E1649" s="1165"/>
      <c r="F1649" s="1166"/>
      <c r="G1649" s="1166"/>
      <c r="H1649" s="1166"/>
      <c r="I1649" s="1167"/>
      <c r="J1649" s="1168"/>
      <c r="K1649" s="1169"/>
      <c r="L1649" s="1159"/>
      <c r="M1649" s="1169"/>
      <c r="N1649" s="1161" t="s">
        <v>2317</v>
      </c>
    </row>
    <row r="1650" spans="1:14" s="1170" customFormat="1" ht="16.5" hidden="1" customHeight="1">
      <c r="A1650" s="1156"/>
      <c r="B1650" s="1169" t="s">
        <v>3359</v>
      </c>
      <c r="C1650" s="1157">
        <v>1</v>
      </c>
      <c r="D1650" s="1171" t="s">
        <v>273</v>
      </c>
      <c r="E1650" s="1165">
        <v>1</v>
      </c>
      <c r="F1650" s="1166">
        <v>30.24</v>
      </c>
      <c r="G1650" s="1166">
        <v>0</v>
      </c>
      <c r="H1650" s="1166">
        <v>3.15</v>
      </c>
      <c r="I1650" s="1172">
        <f t="shared" ref="I1650:I1658" si="148">ROUND(IF(AND(F1650:H1650),C1650*E1650*F1650*G1650*H1650,IF(AND(F1650,G1650),C1650*E1650*F1650*G1650,IF(AND(F1650,H1650),C1650*E1650*F1650*H1650,IF(AND(G1650,H1650),C1650*E1650*G1650*H1650,IF(F1650,C1650*E1650*F1650,IF(G1650,C1650*E1650*G1650,IF(H1650,C1650*E1650*H1650,C1650*E1650))))))),2)</f>
        <v>95.26</v>
      </c>
      <c r="J1650" s="1168" t="s">
        <v>102</v>
      </c>
      <c r="K1650" s="1169"/>
      <c r="L1650" s="1159"/>
      <c r="M1650" s="1169"/>
      <c r="N1650" s="1161" t="s">
        <v>2317</v>
      </c>
    </row>
    <row r="1651" spans="1:14" s="1170" customFormat="1" ht="16.5" hidden="1" customHeight="1">
      <c r="A1651" s="1156"/>
      <c r="B1651" s="1169" t="s">
        <v>3705</v>
      </c>
      <c r="C1651" s="1157">
        <v>1</v>
      </c>
      <c r="D1651" s="1171" t="s">
        <v>273</v>
      </c>
      <c r="E1651" s="1165">
        <v>1</v>
      </c>
      <c r="F1651" s="1166">
        <v>9.3699999999999992</v>
      </c>
      <c r="G1651" s="1166">
        <v>5.75</v>
      </c>
      <c r="H1651" s="1166">
        <v>0</v>
      </c>
      <c r="I1651" s="1172">
        <f t="shared" si="148"/>
        <v>53.88</v>
      </c>
      <c r="J1651" s="1168" t="s">
        <v>102</v>
      </c>
      <c r="K1651" s="1169"/>
      <c r="L1651" s="1159"/>
      <c r="M1651" s="1169"/>
      <c r="N1651" s="1161" t="s">
        <v>2317</v>
      </c>
    </row>
    <row r="1652" spans="1:14" s="1170" customFormat="1" ht="16.5" hidden="1" customHeight="1">
      <c r="A1652" s="1156"/>
      <c r="B1652" s="1169" t="s">
        <v>1244</v>
      </c>
      <c r="C1652" s="1157">
        <v>1</v>
      </c>
      <c r="D1652" s="1171" t="s">
        <v>273</v>
      </c>
      <c r="E1652" s="1165">
        <v>2</v>
      </c>
      <c r="F1652" s="1166">
        <v>5.75</v>
      </c>
      <c r="G1652" s="1166">
        <v>0</v>
      </c>
      <c r="H1652" s="1166">
        <v>0.38</v>
      </c>
      <c r="I1652" s="1172">
        <f t="shared" si="148"/>
        <v>4.37</v>
      </c>
      <c r="J1652" s="1168" t="s">
        <v>102</v>
      </c>
      <c r="K1652" s="1169"/>
      <c r="L1652" s="1159"/>
      <c r="M1652" s="1169"/>
      <c r="N1652" s="1161" t="s">
        <v>2317</v>
      </c>
    </row>
    <row r="1653" spans="1:14" s="1170" customFormat="1" ht="16.5" hidden="1" customHeight="1">
      <c r="A1653" s="1156"/>
      <c r="B1653" s="1169" t="s">
        <v>3352</v>
      </c>
      <c r="C1653" s="1157">
        <v>1</v>
      </c>
      <c r="D1653" s="1171" t="s">
        <v>273</v>
      </c>
      <c r="E1653" s="1165">
        <v>1</v>
      </c>
      <c r="F1653" s="1166">
        <v>14.6</v>
      </c>
      <c r="G1653" s="1166">
        <v>0</v>
      </c>
      <c r="H1653" s="1166">
        <v>3.15</v>
      </c>
      <c r="I1653" s="1172">
        <f t="shared" si="148"/>
        <v>45.99</v>
      </c>
      <c r="J1653" s="1168" t="s">
        <v>102</v>
      </c>
      <c r="K1653" s="1169"/>
      <c r="L1653" s="1159"/>
      <c r="M1653" s="1169"/>
      <c r="N1653" s="1161" t="s">
        <v>2317</v>
      </c>
    </row>
    <row r="1654" spans="1:14" s="1170" customFormat="1" ht="16.5" hidden="1" customHeight="1">
      <c r="A1654" s="1156"/>
      <c r="B1654" s="1169" t="s">
        <v>1544</v>
      </c>
      <c r="C1654" s="1157">
        <v>1</v>
      </c>
      <c r="D1654" s="1171" t="s">
        <v>273</v>
      </c>
      <c r="E1654" s="1165">
        <v>1</v>
      </c>
      <c r="F1654" s="1166">
        <v>3.04</v>
      </c>
      <c r="G1654" s="1166">
        <v>4.26</v>
      </c>
      <c r="H1654" s="1166">
        <v>0</v>
      </c>
      <c r="I1654" s="1172">
        <f t="shared" si="148"/>
        <v>12.95</v>
      </c>
      <c r="J1654" s="1168" t="s">
        <v>102</v>
      </c>
      <c r="K1654" s="1169"/>
      <c r="L1654" s="1159"/>
      <c r="M1654" s="1169"/>
      <c r="N1654" s="1161" t="s">
        <v>2317</v>
      </c>
    </row>
    <row r="1655" spans="1:14" s="1170" customFormat="1" ht="16.5" hidden="1" customHeight="1">
      <c r="A1655" s="1156"/>
      <c r="B1655" s="1169" t="s">
        <v>3364</v>
      </c>
      <c r="C1655" s="1157">
        <v>1</v>
      </c>
      <c r="D1655" s="1171" t="s">
        <v>273</v>
      </c>
      <c r="E1655" s="1165">
        <v>1</v>
      </c>
      <c r="F1655" s="1166">
        <v>14.6</v>
      </c>
      <c r="G1655" s="1166">
        <v>0</v>
      </c>
      <c r="H1655" s="1166">
        <v>3.15</v>
      </c>
      <c r="I1655" s="1172">
        <f t="shared" si="148"/>
        <v>45.99</v>
      </c>
      <c r="J1655" s="1168" t="s">
        <v>102</v>
      </c>
      <c r="K1655" s="1169"/>
      <c r="L1655" s="1159"/>
      <c r="M1655" s="1169"/>
      <c r="N1655" s="1161" t="s">
        <v>2317</v>
      </c>
    </row>
    <row r="1656" spans="1:14" s="1170" customFormat="1" ht="16.5" hidden="1" customHeight="1">
      <c r="A1656" s="1156"/>
      <c r="B1656" s="1169" t="s">
        <v>3705</v>
      </c>
      <c r="C1656" s="1157">
        <v>1</v>
      </c>
      <c r="D1656" s="1171" t="s">
        <v>273</v>
      </c>
      <c r="E1656" s="1165">
        <v>1</v>
      </c>
      <c r="F1656" s="1166">
        <v>3.04</v>
      </c>
      <c r="G1656" s="1166">
        <v>4.26</v>
      </c>
      <c r="H1656" s="1166">
        <v>0</v>
      </c>
      <c r="I1656" s="1172">
        <f t="shared" si="148"/>
        <v>12.95</v>
      </c>
      <c r="J1656" s="1168" t="s">
        <v>102</v>
      </c>
      <c r="K1656" s="1169"/>
      <c r="L1656" s="1159"/>
      <c r="M1656" s="1169"/>
      <c r="N1656" s="1161" t="s">
        <v>2317</v>
      </c>
    </row>
    <row r="1657" spans="1:14" s="1170" customFormat="1" ht="16.5" hidden="1" customHeight="1">
      <c r="A1657" s="1156"/>
      <c r="B1657" s="1169" t="s">
        <v>586</v>
      </c>
      <c r="C1657" s="1157">
        <v>1</v>
      </c>
      <c r="D1657" s="1171" t="s">
        <v>273</v>
      </c>
      <c r="E1657" s="1165">
        <v>1</v>
      </c>
      <c r="F1657" s="1166">
        <v>14.6</v>
      </c>
      <c r="G1657" s="1166">
        <v>0</v>
      </c>
      <c r="H1657" s="1166">
        <v>3.15</v>
      </c>
      <c r="I1657" s="1172">
        <f t="shared" si="148"/>
        <v>45.99</v>
      </c>
      <c r="J1657" s="1168" t="s">
        <v>102</v>
      </c>
      <c r="K1657" s="1169"/>
      <c r="L1657" s="1159"/>
      <c r="M1657" s="1169"/>
      <c r="N1657" s="1161" t="s">
        <v>2317</v>
      </c>
    </row>
    <row r="1658" spans="1:14" s="1170" customFormat="1" ht="16.5" hidden="1" customHeight="1">
      <c r="A1658" s="1156"/>
      <c r="B1658" s="1169" t="s">
        <v>3705</v>
      </c>
      <c r="C1658" s="1157">
        <v>1</v>
      </c>
      <c r="D1658" s="1171" t="s">
        <v>273</v>
      </c>
      <c r="E1658" s="1165">
        <v>1</v>
      </c>
      <c r="F1658" s="1166">
        <v>3.04</v>
      </c>
      <c r="G1658" s="1166">
        <v>4.26</v>
      </c>
      <c r="H1658" s="1166">
        <v>0</v>
      </c>
      <c r="I1658" s="1172">
        <f t="shared" si="148"/>
        <v>12.95</v>
      </c>
      <c r="J1658" s="1168" t="s">
        <v>102</v>
      </c>
      <c r="K1658" s="1169"/>
      <c r="L1658" s="1159"/>
      <c r="M1658" s="1169"/>
      <c r="N1658" s="1161" t="s">
        <v>2317</v>
      </c>
    </row>
    <row r="1659" spans="1:14" s="1170" customFormat="1" ht="16.5" hidden="1" customHeight="1">
      <c r="A1659" s="1156"/>
      <c r="B1659" s="1169" t="s">
        <v>579</v>
      </c>
      <c r="C1659" s="1157">
        <v>1</v>
      </c>
      <c r="D1659" s="1171" t="s">
        <v>273</v>
      </c>
      <c r="E1659" s="1165">
        <v>1</v>
      </c>
      <c r="F1659" s="1166">
        <v>1.2</v>
      </c>
      <c r="G1659" s="1166">
        <v>0</v>
      </c>
      <c r="H1659" s="1166">
        <v>2.1</v>
      </c>
      <c r="I1659" s="1172">
        <f>-ROUND(IF(AND(F1659:H1659),C1659*E1659*F1659*G1659*H1659,IF(AND(F1659,G1659),C1659*E1659*F1659*G1659,IF(AND(F1659,H1659),C1659*E1659*F1659*H1659,IF(AND(G1659,H1659),C1659*E1659*G1659*H1659,IF(F1659,C1659*E1659*F1659,IF(G1659,C1659*E1659*G1659,IF(H1659,C1659*E1659*H1659,C1659*E1659))))))),2)</f>
        <v>-2.52</v>
      </c>
      <c r="J1659" s="1168" t="s">
        <v>102</v>
      </c>
      <c r="K1659" s="1169"/>
      <c r="L1659" s="1159"/>
      <c r="M1659" s="1169"/>
      <c r="N1659" s="1161" t="s">
        <v>2317</v>
      </c>
    </row>
    <row r="1660" spans="1:14" s="1170" customFormat="1" ht="16.5" hidden="1" customHeight="1">
      <c r="A1660" s="1156"/>
      <c r="B1660" s="1169" t="s">
        <v>579</v>
      </c>
      <c r="C1660" s="1157">
        <v>1</v>
      </c>
      <c r="D1660" s="1171" t="s">
        <v>273</v>
      </c>
      <c r="E1660" s="1165">
        <v>2</v>
      </c>
      <c r="F1660" s="1166">
        <v>1.2</v>
      </c>
      <c r="G1660" s="1166">
        <v>0</v>
      </c>
      <c r="H1660" s="1166">
        <v>2.1</v>
      </c>
      <c r="I1660" s="1172">
        <f>-ROUND(IF(AND(F1660:H1660),C1660*E1660*F1660*G1660*H1660,IF(AND(F1660,G1660),C1660*E1660*F1660*G1660,IF(AND(F1660,H1660),C1660*E1660*F1660*H1660,IF(AND(G1660,H1660),C1660*E1660*G1660*H1660,IF(F1660,C1660*E1660*F1660,IF(G1660,C1660*E1660*G1660,IF(H1660,C1660*E1660*H1660,C1660*E1660))))))),2)</f>
        <v>-5.04</v>
      </c>
      <c r="J1660" s="1168" t="s">
        <v>102</v>
      </c>
      <c r="K1660" s="1169"/>
      <c r="L1660" s="1159"/>
      <c r="M1660" s="1169"/>
      <c r="N1660" s="1161" t="s">
        <v>2317</v>
      </c>
    </row>
    <row r="1661" spans="1:14" s="1170" customFormat="1" ht="16.5" hidden="1" customHeight="1">
      <c r="A1661" s="1156"/>
      <c r="B1661" s="1169" t="s">
        <v>579</v>
      </c>
      <c r="C1661" s="1157">
        <v>2</v>
      </c>
      <c r="D1661" s="1171" t="s">
        <v>273</v>
      </c>
      <c r="E1661" s="1165">
        <v>2</v>
      </c>
      <c r="F1661" s="1166">
        <v>1.05</v>
      </c>
      <c r="G1661" s="1166">
        <v>0</v>
      </c>
      <c r="H1661" s="1166">
        <v>2.1</v>
      </c>
      <c r="I1661" s="1172">
        <f>-ROUND(IF(AND(F1661:H1661),C1661*E1661*F1661*G1661*H1661,IF(AND(F1661,G1661),C1661*E1661*F1661*G1661,IF(AND(F1661,H1661),C1661*E1661*F1661*H1661,IF(AND(G1661,H1661),C1661*E1661*G1661*H1661,IF(F1661,C1661*E1661*F1661,IF(G1661,C1661*E1661*G1661,IF(H1661,C1661*E1661*H1661,C1661*E1661))))))),2)</f>
        <v>-8.82</v>
      </c>
      <c r="J1661" s="1168" t="s">
        <v>102</v>
      </c>
      <c r="K1661" s="1169"/>
      <c r="L1661" s="1159"/>
      <c r="M1661" s="1169"/>
      <c r="N1661" s="1161" t="s">
        <v>2317</v>
      </c>
    </row>
    <row r="1662" spans="1:14" s="1170" customFormat="1" ht="16.5" hidden="1" customHeight="1">
      <c r="A1662" s="1156"/>
      <c r="B1662" s="1169" t="s">
        <v>2360</v>
      </c>
      <c r="C1662" s="1157">
        <v>1</v>
      </c>
      <c r="D1662" s="1171" t="s">
        <v>273</v>
      </c>
      <c r="E1662" s="1165">
        <v>11</v>
      </c>
      <c r="F1662" s="1166">
        <v>1.2</v>
      </c>
      <c r="G1662" s="1166">
        <v>0</v>
      </c>
      <c r="H1662" s="1166">
        <v>1.2</v>
      </c>
      <c r="I1662" s="1172">
        <f>-ROUND(IF(AND(F1662:H1662),C1662*E1662*F1662*G1662*H1662,IF(AND(F1662,G1662),C1662*E1662*F1662*G1662,IF(AND(F1662,H1662),C1662*E1662*F1662*H1662,IF(AND(G1662,H1662),C1662*E1662*G1662*H1662,IF(F1662,C1662*E1662*F1662,IF(G1662,C1662*E1662*G1662,IF(H1662,C1662*E1662*H1662,C1662*E1662))))))),2)</f>
        <v>-15.84</v>
      </c>
      <c r="J1662" s="1168" t="s">
        <v>102</v>
      </c>
      <c r="K1662" s="1169"/>
      <c r="L1662" s="1159"/>
      <c r="M1662" s="1169"/>
      <c r="N1662" s="1161" t="s">
        <v>2317</v>
      </c>
    </row>
    <row r="1663" spans="1:14" s="1170" customFormat="1" ht="16.5" hidden="1" customHeight="1">
      <c r="A1663" s="1156"/>
      <c r="B1663" s="1169" t="s">
        <v>581</v>
      </c>
      <c r="C1663" s="1157">
        <v>1</v>
      </c>
      <c r="D1663" s="1171" t="s">
        <v>273</v>
      </c>
      <c r="E1663" s="1165">
        <v>11</v>
      </c>
      <c r="F1663" s="1166">
        <v>0.6</v>
      </c>
      <c r="G1663" s="1166">
        <v>0</v>
      </c>
      <c r="H1663" s="1166">
        <v>0.3</v>
      </c>
      <c r="I1663" s="1172">
        <f>-ROUND(IF(AND(F1663:H1663),C1663*E1663*F1663*G1663*H1663,IF(AND(F1663,G1663),C1663*E1663*F1663*G1663,IF(AND(F1663,H1663),C1663*E1663*F1663*H1663,IF(AND(G1663,H1663),C1663*E1663*G1663*H1663,IF(F1663,C1663*E1663*F1663,IF(G1663,C1663*E1663*G1663,IF(H1663,C1663*E1663*H1663,C1663*E1663))))))),2)</f>
        <v>-1.98</v>
      </c>
      <c r="J1663" s="1168" t="s">
        <v>102</v>
      </c>
      <c r="K1663" s="1169"/>
      <c r="L1663" s="1159"/>
      <c r="M1663" s="1169"/>
      <c r="N1663" s="1161" t="s">
        <v>2317</v>
      </c>
    </row>
    <row r="1664" spans="1:14" s="1170" customFormat="1" ht="16.5" hidden="1" customHeight="1">
      <c r="A1664" s="1156"/>
      <c r="B1664" s="1331"/>
      <c r="C1664" s="1332"/>
      <c r="D1664" s="1333"/>
      <c r="E1664" s="1399"/>
      <c r="F1664" s="1335"/>
      <c r="G1664" s="1335"/>
      <c r="H1664" s="1335"/>
      <c r="I1664" s="1336"/>
      <c r="J1664" s="1168"/>
      <c r="K1664" s="1169"/>
      <c r="L1664" s="1159"/>
      <c r="M1664" s="1169"/>
      <c r="N1664" s="1161" t="s">
        <v>2317</v>
      </c>
    </row>
    <row r="1665" spans="1:14" ht="15.75" hidden="1">
      <c r="A1665" s="1156"/>
      <c r="B1665" s="1169"/>
      <c r="C1665" s="1337"/>
      <c r="D1665" s="1171"/>
      <c r="E1665" s="1165"/>
      <c r="F1665" s="1166"/>
      <c r="G1665" s="1343"/>
      <c r="H1665" s="1156"/>
      <c r="I1665" s="1336"/>
      <c r="J1665" s="1168" t="s">
        <v>102</v>
      </c>
      <c r="K1665" s="1221">
        <f>data!E2645</f>
        <v>160.76</v>
      </c>
      <c r="L1665" s="1159" t="s">
        <v>2317</v>
      </c>
      <c r="M1665" s="1224">
        <f>ROUND(I1665*K1665,0)</f>
        <v>0</v>
      </c>
      <c r="N1665" s="1161" t="s">
        <v>2317</v>
      </c>
    </row>
    <row r="1666" spans="1:14" ht="117.75" hidden="1" customHeight="1">
      <c r="A1666" s="1156">
        <v>23</v>
      </c>
      <c r="B1666" s="1826" t="s">
        <v>891</v>
      </c>
      <c r="C1666" s="1826"/>
      <c r="D1666" s="1828"/>
      <c r="E1666" s="1826"/>
      <c r="F1666" s="1826"/>
      <c r="G1666" s="1826"/>
      <c r="H1666" s="1826"/>
      <c r="I1666" s="1157"/>
      <c r="J1666" s="1158"/>
      <c r="K1666" s="1156"/>
      <c r="L1666" s="1159"/>
      <c r="M1666" s="1160"/>
      <c r="N1666" s="1161" t="s">
        <v>2318</v>
      </c>
    </row>
    <row r="1667" spans="1:14" s="1170" customFormat="1" ht="16.5" hidden="1" customHeight="1">
      <c r="A1667" s="1156"/>
      <c r="B1667" s="1169" t="s">
        <v>3395</v>
      </c>
      <c r="C1667" s="1157"/>
      <c r="D1667" s="1171"/>
      <c r="E1667" s="1165"/>
      <c r="F1667" s="1166"/>
      <c r="G1667" s="1166"/>
      <c r="H1667" s="1166"/>
      <c r="I1667" s="1167"/>
      <c r="J1667" s="1168"/>
      <c r="K1667" s="1169"/>
      <c r="L1667" s="1159"/>
      <c r="M1667" s="1169"/>
      <c r="N1667" s="1161" t="s">
        <v>2318</v>
      </c>
    </row>
    <row r="1668" spans="1:14" s="1170" customFormat="1" ht="16.5" hidden="1" customHeight="1">
      <c r="A1668" s="1156"/>
      <c r="B1668" s="1169" t="s">
        <v>3434</v>
      </c>
      <c r="C1668" s="1157">
        <v>1</v>
      </c>
      <c r="D1668" s="1171" t="s">
        <v>273</v>
      </c>
      <c r="E1668" s="1165">
        <v>1</v>
      </c>
      <c r="F1668" s="1166">
        <v>29.9</v>
      </c>
      <c r="G1668" s="1166">
        <v>0</v>
      </c>
      <c r="H1668" s="1166">
        <v>3.0750000000000002</v>
      </c>
      <c r="I1668" s="1172">
        <f t="shared" ref="I1668:I1670" si="149">ROUND(IF(AND(F1668:H1668),C1668*E1668*F1668*G1668*H1668,IF(AND(F1668,G1668),C1668*E1668*F1668*G1668,IF(AND(F1668,H1668),C1668*E1668*F1668*H1668,IF(AND(G1668,H1668),C1668*E1668*G1668*H1668,IF(F1668,C1668*E1668*F1668,IF(G1668,C1668*E1668*G1668,IF(H1668,C1668*E1668*H1668,C1668*E1668))))))),2)</f>
        <v>91.94</v>
      </c>
      <c r="J1668" s="1168" t="s">
        <v>102</v>
      </c>
      <c r="K1668" s="1169"/>
      <c r="L1668" s="1159"/>
      <c r="M1668" s="1169"/>
      <c r="N1668" s="1161" t="s">
        <v>2318</v>
      </c>
    </row>
    <row r="1669" spans="1:14" s="1170" customFormat="1" ht="16.5" hidden="1" customHeight="1">
      <c r="A1669" s="1156"/>
      <c r="B1669" s="1169" t="s">
        <v>1544</v>
      </c>
      <c r="C1669" s="1157">
        <v>1</v>
      </c>
      <c r="D1669" s="1171" t="s">
        <v>273</v>
      </c>
      <c r="E1669" s="1165">
        <v>1</v>
      </c>
      <c r="F1669" s="1166">
        <v>9.3000000000000007</v>
      </c>
      <c r="G1669" s="1166">
        <v>5.65</v>
      </c>
      <c r="H1669" s="1166">
        <v>0</v>
      </c>
      <c r="I1669" s="1172">
        <f t="shared" si="149"/>
        <v>52.55</v>
      </c>
      <c r="J1669" s="1168" t="s">
        <v>102</v>
      </c>
      <c r="K1669" s="1169"/>
      <c r="L1669" s="1159"/>
      <c r="M1669" s="1169"/>
      <c r="N1669" s="1161" t="s">
        <v>2318</v>
      </c>
    </row>
    <row r="1670" spans="1:14" s="1170" customFormat="1" ht="16.5" hidden="1" customHeight="1">
      <c r="A1670" s="1156"/>
      <c r="B1670" s="1169" t="s">
        <v>3011</v>
      </c>
      <c r="C1670" s="1157">
        <v>2</v>
      </c>
      <c r="D1670" s="1171" t="s">
        <v>273</v>
      </c>
      <c r="E1670" s="1165">
        <v>2</v>
      </c>
      <c r="F1670" s="1166">
        <v>5.65</v>
      </c>
      <c r="G1670" s="1166">
        <v>0</v>
      </c>
      <c r="H1670" s="1166">
        <v>0.38</v>
      </c>
      <c r="I1670" s="1172">
        <f t="shared" si="149"/>
        <v>8.59</v>
      </c>
      <c r="J1670" s="1168" t="s">
        <v>102</v>
      </c>
      <c r="K1670" s="1169"/>
      <c r="L1670" s="1159"/>
      <c r="M1670" s="1169"/>
      <c r="N1670" s="1161" t="s">
        <v>2318</v>
      </c>
    </row>
    <row r="1671" spans="1:14" s="1170" customFormat="1" ht="16.5" hidden="1" customHeight="1">
      <c r="A1671" s="1156"/>
      <c r="B1671" s="1169" t="s">
        <v>579</v>
      </c>
      <c r="C1671" s="1157">
        <v>1</v>
      </c>
      <c r="D1671" s="1171" t="s">
        <v>273</v>
      </c>
      <c r="E1671" s="1165">
        <v>1</v>
      </c>
      <c r="F1671" s="1166">
        <v>1.2</v>
      </c>
      <c r="G1671" s="1166">
        <v>0</v>
      </c>
      <c r="H1671" s="1166">
        <v>2.1</v>
      </c>
      <c r="I1671" s="1172">
        <f>-ROUND(IF(AND(F1671:H1671),C1671*E1671*F1671*G1671*H1671,IF(AND(F1671,G1671),C1671*E1671*F1671*G1671,IF(AND(F1671,H1671),C1671*E1671*F1671*H1671,IF(AND(G1671,H1671),C1671*E1671*G1671*H1671,IF(F1671,C1671*E1671*F1671,IF(G1671,C1671*E1671*G1671,IF(H1671,C1671*E1671*H1671,C1671*E1671))))))),2)</f>
        <v>-2.52</v>
      </c>
      <c r="J1671" s="1168" t="s">
        <v>102</v>
      </c>
      <c r="K1671" s="1169"/>
      <c r="L1671" s="1159"/>
      <c r="M1671" s="1169"/>
      <c r="N1671" s="1161" t="s">
        <v>2318</v>
      </c>
    </row>
    <row r="1672" spans="1:14" s="1170" customFormat="1" ht="16.5" hidden="1" customHeight="1">
      <c r="A1672" s="1156"/>
      <c r="B1672" s="1169" t="s">
        <v>2360</v>
      </c>
      <c r="C1672" s="1157">
        <v>1</v>
      </c>
      <c r="D1672" s="1171" t="s">
        <v>273</v>
      </c>
      <c r="E1672" s="1165">
        <v>7</v>
      </c>
      <c r="F1672" s="1166">
        <v>1.2</v>
      </c>
      <c r="G1672" s="1166">
        <v>0</v>
      </c>
      <c r="H1672" s="1166">
        <v>1.2</v>
      </c>
      <c r="I1672" s="1172">
        <f>-ROUND(IF(AND(F1672:H1672),C1672*E1672*F1672*G1672*H1672,IF(AND(F1672,G1672),C1672*E1672*F1672*G1672,IF(AND(F1672,H1672),C1672*E1672*F1672*H1672,IF(AND(G1672,H1672),C1672*E1672*G1672*H1672,IF(F1672,C1672*E1672*F1672,IF(G1672,C1672*E1672*G1672,IF(H1672,C1672*E1672*H1672,C1672*E1672))))))),2)</f>
        <v>-10.08</v>
      </c>
      <c r="J1672" s="1168" t="s">
        <v>102</v>
      </c>
      <c r="K1672" s="1169"/>
      <c r="L1672" s="1159"/>
      <c r="M1672" s="1169"/>
      <c r="N1672" s="1161" t="s">
        <v>2318</v>
      </c>
    </row>
    <row r="1673" spans="1:14" s="1170" customFormat="1" ht="16.5" hidden="1" customHeight="1">
      <c r="A1673" s="1156"/>
      <c r="B1673" s="1169" t="s">
        <v>581</v>
      </c>
      <c r="C1673" s="1157">
        <v>1</v>
      </c>
      <c r="D1673" s="1171" t="s">
        <v>273</v>
      </c>
      <c r="E1673" s="1165">
        <v>7</v>
      </c>
      <c r="F1673" s="1166">
        <v>0.45</v>
      </c>
      <c r="G1673" s="1166">
        <v>0</v>
      </c>
      <c r="H1673" s="1166">
        <v>0.3</v>
      </c>
      <c r="I1673" s="1172">
        <f>-ROUND(IF(AND(F1673:H1673),C1673*E1673*F1673*G1673*H1673,IF(AND(F1673,G1673),C1673*E1673*F1673*G1673,IF(AND(F1673,H1673),C1673*E1673*F1673*H1673,IF(AND(G1673,H1673),C1673*E1673*G1673*H1673,IF(F1673,C1673*E1673*F1673,IF(G1673,C1673*E1673*G1673,IF(H1673,C1673*E1673*H1673,C1673*E1673))))))),2)</f>
        <v>-0.95</v>
      </c>
      <c r="J1673" s="1168" t="s">
        <v>102</v>
      </c>
      <c r="K1673" s="1169"/>
      <c r="L1673" s="1159"/>
      <c r="M1673" s="1169"/>
      <c r="N1673" s="1161" t="s">
        <v>2318</v>
      </c>
    </row>
    <row r="1674" spans="1:14" s="1170" customFormat="1" ht="16.5" hidden="1" customHeight="1">
      <c r="A1674" s="1156"/>
      <c r="B1674" s="1169" t="s">
        <v>3435</v>
      </c>
      <c r="C1674" s="1157">
        <v>1</v>
      </c>
      <c r="D1674" s="1171" t="s">
        <v>273</v>
      </c>
      <c r="E1674" s="1165">
        <v>2</v>
      </c>
      <c r="F1674" s="1166">
        <v>14.5</v>
      </c>
      <c r="G1674" s="1166">
        <v>0</v>
      </c>
      <c r="H1674" s="1166">
        <v>3.0750000000000002</v>
      </c>
      <c r="I1674" s="1172">
        <f t="shared" ref="I1674:I1675" si="150">ROUND(IF(AND(F1674:H1674),C1674*E1674*F1674*G1674*H1674,IF(AND(F1674,G1674),C1674*E1674*F1674*G1674,IF(AND(F1674,H1674),C1674*E1674*F1674*H1674,IF(AND(G1674,H1674),C1674*E1674*G1674*H1674,IF(F1674,C1674*E1674*F1674,IF(G1674,C1674*E1674*G1674,IF(H1674,C1674*E1674*H1674,C1674*E1674))))))),2)</f>
        <v>89.18</v>
      </c>
      <c r="J1674" s="1168" t="s">
        <v>102</v>
      </c>
      <c r="K1674" s="1169"/>
      <c r="L1674" s="1159"/>
      <c r="M1674" s="1169"/>
      <c r="N1674" s="1161" t="s">
        <v>2318</v>
      </c>
    </row>
    <row r="1675" spans="1:14" s="1170" customFormat="1" ht="16.5" hidden="1" customHeight="1">
      <c r="A1675" s="1156"/>
      <c r="B1675" s="1169" t="s">
        <v>1544</v>
      </c>
      <c r="C1675" s="1157">
        <v>1</v>
      </c>
      <c r="D1675" s="1171" t="s">
        <v>273</v>
      </c>
      <c r="E1675" s="1165">
        <v>2</v>
      </c>
      <c r="F1675" s="1166">
        <v>3</v>
      </c>
      <c r="G1675" s="1166">
        <v>4.25</v>
      </c>
      <c r="H1675" s="1166">
        <v>0</v>
      </c>
      <c r="I1675" s="1172">
        <f t="shared" si="150"/>
        <v>25.5</v>
      </c>
      <c r="J1675" s="1168" t="s">
        <v>102</v>
      </c>
      <c r="K1675" s="1169"/>
      <c r="L1675" s="1159"/>
      <c r="M1675" s="1169"/>
      <c r="N1675" s="1161" t="s">
        <v>2318</v>
      </c>
    </row>
    <row r="1676" spans="1:14" s="1170" customFormat="1" ht="16.5" hidden="1" customHeight="1">
      <c r="A1676" s="1156"/>
      <c r="B1676" s="1169" t="s">
        <v>579</v>
      </c>
      <c r="C1676" s="1157">
        <v>1</v>
      </c>
      <c r="D1676" s="1171" t="s">
        <v>273</v>
      </c>
      <c r="E1676" s="1165">
        <v>2</v>
      </c>
      <c r="F1676" s="1166">
        <v>1.05</v>
      </c>
      <c r="G1676" s="1166">
        <v>0</v>
      </c>
      <c r="H1676" s="1166">
        <v>2</v>
      </c>
      <c r="I1676" s="1172">
        <f>-ROUND(IF(AND(F1676:H1676),C1676*E1676*F1676*G1676*H1676,IF(AND(F1676,G1676),C1676*E1676*F1676*G1676,IF(AND(F1676,H1676),C1676*E1676*F1676*H1676,IF(AND(G1676,H1676),C1676*E1676*G1676*H1676,IF(F1676,C1676*E1676*F1676,IF(G1676,C1676*E1676*G1676,IF(H1676,C1676*E1676*H1676,C1676*E1676))))))),2)</f>
        <v>-4.2</v>
      </c>
      <c r="J1676" s="1168" t="s">
        <v>102</v>
      </c>
      <c r="K1676" s="1169"/>
      <c r="L1676" s="1159"/>
      <c r="M1676" s="1169"/>
      <c r="N1676" s="1161" t="s">
        <v>2318</v>
      </c>
    </row>
    <row r="1677" spans="1:14" s="1170" customFormat="1" ht="16.5" hidden="1" customHeight="1">
      <c r="A1677" s="1156"/>
      <c r="B1677" s="1169" t="s">
        <v>2360</v>
      </c>
      <c r="C1677" s="1157">
        <v>2</v>
      </c>
      <c r="D1677" s="1171" t="s">
        <v>273</v>
      </c>
      <c r="E1677" s="1165">
        <v>2</v>
      </c>
      <c r="F1677" s="1166">
        <v>1.2</v>
      </c>
      <c r="G1677" s="1166">
        <v>0</v>
      </c>
      <c r="H1677" s="1166">
        <v>1.2</v>
      </c>
      <c r="I1677" s="1172">
        <f>-ROUND(IF(AND(F1677:H1677),C1677*E1677*F1677*G1677*H1677,IF(AND(F1677,G1677),C1677*E1677*F1677*G1677,IF(AND(F1677,H1677),C1677*E1677*F1677*H1677,IF(AND(G1677,H1677),C1677*E1677*G1677*H1677,IF(F1677,C1677*E1677*F1677,IF(G1677,C1677*E1677*G1677,IF(H1677,C1677*E1677*H1677,C1677*E1677))))))),2)</f>
        <v>-5.76</v>
      </c>
      <c r="J1677" s="1168" t="s">
        <v>102</v>
      </c>
      <c r="K1677" s="1169"/>
      <c r="L1677" s="1159"/>
      <c r="M1677" s="1169"/>
      <c r="N1677" s="1161" t="s">
        <v>2318</v>
      </c>
    </row>
    <row r="1678" spans="1:14" s="1170" customFormat="1" ht="16.5" hidden="1" customHeight="1">
      <c r="A1678" s="1156"/>
      <c r="B1678" s="1169" t="s">
        <v>581</v>
      </c>
      <c r="C1678" s="1157">
        <v>2</v>
      </c>
      <c r="D1678" s="1171" t="s">
        <v>273</v>
      </c>
      <c r="E1678" s="1165">
        <v>2</v>
      </c>
      <c r="F1678" s="1166">
        <v>0.45</v>
      </c>
      <c r="G1678" s="1166">
        <v>0</v>
      </c>
      <c r="H1678" s="1166">
        <v>0.3</v>
      </c>
      <c r="I1678" s="1172">
        <f>-ROUND(IF(AND(F1678:H1678),C1678*E1678*F1678*G1678*H1678,IF(AND(F1678,G1678),C1678*E1678*F1678*G1678,IF(AND(F1678,H1678),C1678*E1678*F1678*H1678,IF(AND(G1678,H1678),C1678*E1678*G1678*H1678,IF(F1678,C1678*E1678*F1678,IF(G1678,C1678*E1678*G1678,IF(H1678,C1678*E1678*H1678,C1678*E1678))))))),2)</f>
        <v>-0.54</v>
      </c>
      <c r="J1678" s="1168" t="s">
        <v>102</v>
      </c>
      <c r="K1678" s="1169"/>
      <c r="L1678" s="1159"/>
      <c r="M1678" s="1169"/>
      <c r="N1678" s="1161" t="s">
        <v>2318</v>
      </c>
    </row>
    <row r="1679" spans="1:14" s="1170" customFormat="1" ht="16.5" hidden="1" customHeight="1">
      <c r="A1679" s="1156"/>
      <c r="B1679" s="1169" t="s">
        <v>2995</v>
      </c>
      <c r="C1679" s="1157">
        <v>1</v>
      </c>
      <c r="D1679" s="1171" t="s">
        <v>273</v>
      </c>
      <c r="E1679" s="1165">
        <v>1</v>
      </c>
      <c r="F1679" s="1166">
        <v>14.4</v>
      </c>
      <c r="G1679" s="1166">
        <v>0</v>
      </c>
      <c r="H1679" s="1166">
        <v>3.0750000000000002</v>
      </c>
      <c r="I1679" s="1172">
        <f t="shared" ref="I1679:I1680" si="151">ROUND(IF(AND(F1679:H1679),C1679*E1679*F1679*G1679*H1679,IF(AND(F1679,G1679),C1679*E1679*F1679*G1679,IF(AND(F1679,H1679),C1679*E1679*F1679*H1679,IF(AND(G1679,H1679),C1679*E1679*G1679*H1679,IF(F1679,C1679*E1679*F1679,IF(G1679,C1679*E1679*G1679,IF(H1679,C1679*E1679*H1679,C1679*E1679))))))),2)</f>
        <v>44.28</v>
      </c>
      <c r="J1679" s="1168" t="s">
        <v>102</v>
      </c>
      <c r="K1679" s="1169"/>
      <c r="L1679" s="1159"/>
      <c r="M1679" s="1169"/>
      <c r="N1679" s="1161" t="s">
        <v>2318</v>
      </c>
    </row>
    <row r="1680" spans="1:14" s="1170" customFormat="1" ht="16.5" hidden="1" customHeight="1">
      <c r="A1680" s="1156"/>
      <c r="B1680" s="1169" t="s">
        <v>1544</v>
      </c>
      <c r="C1680" s="1157">
        <v>1</v>
      </c>
      <c r="D1680" s="1171" t="s">
        <v>273</v>
      </c>
      <c r="E1680" s="1165">
        <v>1</v>
      </c>
      <c r="F1680" s="1166">
        <v>4.2</v>
      </c>
      <c r="G1680" s="1166">
        <v>2.95</v>
      </c>
      <c r="H1680" s="1166">
        <v>0</v>
      </c>
      <c r="I1680" s="1172">
        <f t="shared" si="151"/>
        <v>12.39</v>
      </c>
      <c r="J1680" s="1168" t="s">
        <v>102</v>
      </c>
      <c r="K1680" s="1169"/>
      <c r="L1680" s="1159"/>
      <c r="M1680" s="1169"/>
      <c r="N1680" s="1161" t="s">
        <v>2318</v>
      </c>
    </row>
    <row r="1681" spans="1:14" s="1170" customFormat="1" ht="16.5" hidden="1" customHeight="1">
      <c r="A1681" s="1156"/>
      <c r="B1681" s="1169" t="s">
        <v>579</v>
      </c>
      <c r="C1681" s="1157">
        <v>1</v>
      </c>
      <c r="D1681" s="1171" t="s">
        <v>273</v>
      </c>
      <c r="E1681" s="1165">
        <v>2</v>
      </c>
      <c r="F1681" s="1166">
        <v>1.2</v>
      </c>
      <c r="G1681" s="1166">
        <v>0</v>
      </c>
      <c r="H1681" s="1166">
        <v>2.1</v>
      </c>
      <c r="I1681" s="1172">
        <f>-ROUND(IF(AND(F1681:H1681),C1681*E1681*F1681*G1681*H1681,IF(AND(F1681,G1681),C1681*E1681*F1681*G1681,IF(AND(F1681,H1681),C1681*E1681*F1681*H1681,IF(AND(G1681,H1681),C1681*E1681*G1681*H1681,IF(F1681,C1681*E1681*F1681,IF(G1681,C1681*E1681*G1681,IF(H1681,C1681*E1681*H1681,C1681*E1681))))))),2)</f>
        <v>-5.04</v>
      </c>
      <c r="J1681" s="1168" t="s">
        <v>102</v>
      </c>
      <c r="K1681" s="1169"/>
      <c r="L1681" s="1159"/>
      <c r="M1681" s="1169"/>
      <c r="N1681" s="1161" t="s">
        <v>2318</v>
      </c>
    </row>
    <row r="1682" spans="1:14" s="1170" customFormat="1" ht="16.5" hidden="1" customHeight="1">
      <c r="A1682" s="1156"/>
      <c r="B1682" s="1169" t="s">
        <v>579</v>
      </c>
      <c r="C1682" s="1157">
        <v>1</v>
      </c>
      <c r="D1682" s="1171" t="s">
        <v>273</v>
      </c>
      <c r="E1682" s="1165">
        <v>2</v>
      </c>
      <c r="F1682" s="1166">
        <v>1.05</v>
      </c>
      <c r="G1682" s="1166">
        <v>0</v>
      </c>
      <c r="H1682" s="1166">
        <v>2.1</v>
      </c>
      <c r="I1682" s="1172">
        <f>-ROUND(IF(AND(F1682:H1682),C1682*E1682*F1682*G1682*H1682,IF(AND(F1682,G1682),C1682*E1682*F1682*G1682,IF(AND(F1682,H1682),C1682*E1682*F1682*H1682,IF(AND(G1682,H1682),C1682*E1682*G1682*H1682,IF(F1682,C1682*E1682*F1682,IF(G1682,C1682*E1682*G1682,IF(H1682,C1682*E1682*H1682,C1682*E1682))))))),2)</f>
        <v>-4.41</v>
      </c>
      <c r="J1682" s="1168" t="s">
        <v>102</v>
      </c>
      <c r="K1682" s="1169"/>
      <c r="L1682" s="1159"/>
      <c r="M1682" s="1169"/>
      <c r="N1682" s="1161" t="s">
        <v>2318</v>
      </c>
    </row>
    <row r="1683" spans="1:14" s="1170" customFormat="1" ht="16.5" hidden="1" customHeight="1">
      <c r="A1683" s="1156"/>
      <c r="B1683" s="1169" t="s">
        <v>3436</v>
      </c>
      <c r="C1683" s="1157">
        <v>1</v>
      </c>
      <c r="D1683" s="1171" t="s">
        <v>273</v>
      </c>
      <c r="E1683" s="1165">
        <v>1</v>
      </c>
      <c r="F1683" s="1166">
        <v>9.83</v>
      </c>
      <c r="G1683" s="1166">
        <v>0</v>
      </c>
      <c r="H1683" s="1166">
        <v>3.0750000000000002</v>
      </c>
      <c r="I1683" s="1172">
        <f t="shared" ref="I1683" si="152">ROUND(IF(AND(F1683:H1683),C1683*E1683*F1683*G1683*H1683,IF(AND(F1683,G1683),C1683*E1683*F1683*G1683,IF(AND(F1683,H1683),C1683*E1683*F1683*H1683,IF(AND(G1683,H1683),C1683*E1683*G1683*H1683,IF(F1683,C1683*E1683*F1683,IF(G1683,C1683*E1683*G1683,IF(H1683,C1683*E1683*H1683,C1683*E1683))))))),2)</f>
        <v>30.23</v>
      </c>
      <c r="J1683" s="1168" t="s">
        <v>102</v>
      </c>
      <c r="K1683" s="1169"/>
      <c r="L1683" s="1159"/>
      <c r="M1683" s="1169"/>
      <c r="N1683" s="1161" t="s">
        <v>2318</v>
      </c>
    </row>
    <row r="1684" spans="1:14" s="1170" customFormat="1" ht="16.5" hidden="1" customHeight="1">
      <c r="A1684" s="1156"/>
      <c r="B1684" s="1169" t="s">
        <v>579</v>
      </c>
      <c r="C1684" s="1157">
        <v>1</v>
      </c>
      <c r="D1684" s="1171" t="s">
        <v>273</v>
      </c>
      <c r="E1684" s="1165">
        <v>1</v>
      </c>
      <c r="F1684" s="1166">
        <v>1.2</v>
      </c>
      <c r="G1684" s="1166">
        <v>0</v>
      </c>
      <c r="H1684" s="1166">
        <v>2.1</v>
      </c>
      <c r="I1684" s="1172">
        <f>-ROUND(IF(AND(F1684:H1684),C1684*E1684*F1684*G1684*H1684,IF(AND(F1684,G1684),C1684*E1684*F1684*G1684,IF(AND(F1684,H1684),C1684*E1684*F1684*H1684,IF(AND(G1684,H1684),C1684*E1684*G1684*H1684,IF(F1684,C1684*E1684*F1684,IF(G1684,C1684*E1684*G1684,IF(H1684,C1684*E1684*H1684,C1684*E1684))))))),2)</f>
        <v>-2.52</v>
      </c>
      <c r="J1684" s="1168" t="s">
        <v>102</v>
      </c>
      <c r="K1684" s="1169"/>
      <c r="L1684" s="1159"/>
      <c r="M1684" s="1169"/>
      <c r="N1684" s="1161" t="s">
        <v>2318</v>
      </c>
    </row>
    <row r="1685" spans="1:14" s="1170" customFormat="1" ht="16.5" hidden="1" customHeight="1">
      <c r="A1685" s="1156"/>
      <c r="B1685" s="1169" t="s">
        <v>2360</v>
      </c>
      <c r="C1685" s="1157">
        <v>1</v>
      </c>
      <c r="D1685" s="1171" t="s">
        <v>273</v>
      </c>
      <c r="E1685" s="1165">
        <v>2</v>
      </c>
      <c r="F1685" s="1166">
        <v>1.2</v>
      </c>
      <c r="G1685" s="1166">
        <v>0</v>
      </c>
      <c r="H1685" s="1166">
        <v>1.2</v>
      </c>
      <c r="I1685" s="1172">
        <f>-ROUND(IF(AND(F1685:H1685),C1685*E1685*F1685*G1685*H1685,IF(AND(F1685,G1685),C1685*E1685*F1685*G1685,IF(AND(F1685,H1685),C1685*E1685*F1685*H1685,IF(AND(G1685,H1685),C1685*E1685*G1685*H1685,IF(F1685,C1685*E1685*F1685,IF(G1685,C1685*E1685*G1685,IF(H1685,C1685*E1685*H1685,C1685*E1685))))))),2)</f>
        <v>-2.88</v>
      </c>
      <c r="J1685" s="1168" t="s">
        <v>102</v>
      </c>
      <c r="K1685" s="1169"/>
      <c r="L1685" s="1159"/>
      <c r="M1685" s="1169"/>
      <c r="N1685" s="1161" t="s">
        <v>2318</v>
      </c>
    </row>
    <row r="1686" spans="1:14" s="1170" customFormat="1" ht="16.5" hidden="1" customHeight="1">
      <c r="A1686" s="1156"/>
      <c r="B1686" s="1169" t="s">
        <v>581</v>
      </c>
      <c r="C1686" s="1157">
        <v>1</v>
      </c>
      <c r="D1686" s="1171" t="s">
        <v>273</v>
      </c>
      <c r="E1686" s="1165">
        <v>2</v>
      </c>
      <c r="F1686" s="1166">
        <v>0.45</v>
      </c>
      <c r="G1686" s="1166">
        <v>0</v>
      </c>
      <c r="H1686" s="1166">
        <v>0.3</v>
      </c>
      <c r="I1686" s="1172">
        <f>-ROUND(IF(AND(F1686:H1686),C1686*E1686*F1686*G1686*H1686,IF(AND(F1686,G1686),C1686*E1686*F1686*G1686,IF(AND(F1686,H1686),C1686*E1686*F1686*H1686,IF(AND(G1686,H1686),C1686*E1686*G1686*H1686,IF(F1686,C1686*E1686*F1686,IF(G1686,C1686*E1686*G1686,IF(H1686,C1686*E1686*H1686,C1686*E1686))))))),2)</f>
        <v>-0.27</v>
      </c>
      <c r="J1686" s="1168" t="s">
        <v>102</v>
      </c>
      <c r="K1686" s="1169"/>
      <c r="L1686" s="1159"/>
      <c r="M1686" s="1169"/>
      <c r="N1686" s="1161" t="s">
        <v>2318</v>
      </c>
    </row>
    <row r="1687" spans="1:14" s="1170" customFormat="1" ht="16.5" hidden="1" customHeight="1">
      <c r="A1687" s="1156"/>
      <c r="B1687" s="1331"/>
      <c r="C1687" s="1332"/>
      <c r="D1687" s="1333"/>
      <c r="E1687" s="1399"/>
      <c r="F1687" s="1335"/>
      <c r="G1687" s="1335"/>
      <c r="H1687" s="1335"/>
      <c r="I1687" s="1336"/>
      <c r="J1687" s="1168"/>
      <c r="K1687" s="1169"/>
      <c r="L1687" s="1159"/>
      <c r="M1687" s="1169"/>
      <c r="N1687" s="1161" t="s">
        <v>2318</v>
      </c>
    </row>
    <row r="1688" spans="1:14" ht="15.75" hidden="1">
      <c r="A1688" s="1156"/>
      <c r="B1688" s="1169"/>
      <c r="C1688" s="1337"/>
      <c r="D1688" s="1171"/>
      <c r="E1688" s="1165"/>
      <c r="F1688" s="1166"/>
      <c r="G1688" s="1343"/>
      <c r="H1688" s="1156"/>
      <c r="I1688" s="1336"/>
      <c r="J1688" s="1168" t="s">
        <v>102</v>
      </c>
      <c r="K1688" s="1221">
        <f>data!E3562</f>
        <v>173.73</v>
      </c>
      <c r="L1688" s="1159" t="s">
        <v>2318</v>
      </c>
      <c r="M1688" s="1224">
        <f>ROUND(I1688*K1688,0)</f>
        <v>0</v>
      </c>
      <c r="N1688" s="1161" t="s">
        <v>2318</v>
      </c>
    </row>
    <row r="1689" spans="1:14" s="1575" customFormat="1" ht="94.5" customHeight="1">
      <c r="A1689" s="1570">
        <v>26</v>
      </c>
      <c r="B1689" s="1827" t="s">
        <v>1167</v>
      </c>
      <c r="C1689" s="1827"/>
      <c r="D1689" s="1827"/>
      <c r="E1689" s="1827"/>
      <c r="F1689" s="1827"/>
      <c r="G1689" s="1827"/>
      <c r="H1689" s="1827"/>
      <c r="I1689" s="1571"/>
      <c r="J1689" s="1572"/>
      <c r="K1689" s="1570"/>
      <c r="L1689" s="1573"/>
      <c r="M1689" s="1577"/>
      <c r="N1689" s="1578" t="s">
        <v>2218</v>
      </c>
    </row>
    <row r="1690" spans="1:14" s="1586" customFormat="1" ht="16.5" customHeight="1">
      <c r="A1690" s="1570"/>
      <c r="B1690" s="1579" t="s">
        <v>3824</v>
      </c>
      <c r="C1690" s="1571"/>
      <c r="D1690" s="1790" t="s">
        <v>3877</v>
      </c>
      <c r="E1690" s="1588"/>
      <c r="F1690" s="1589"/>
      <c r="G1690" s="1589"/>
      <c r="H1690" s="1589"/>
      <c r="I1690" s="1630"/>
      <c r="J1690" s="1598"/>
      <c r="K1690" s="1585"/>
      <c r="L1690" s="1573"/>
      <c r="M1690" s="1585"/>
      <c r="N1690" s="1578" t="s">
        <v>2218</v>
      </c>
    </row>
    <row r="1691" spans="1:14" s="1586" customFormat="1" ht="16.5" customHeight="1">
      <c r="A1691" s="1570"/>
      <c r="B1691" s="1585" t="s">
        <v>3359</v>
      </c>
      <c r="C1691" s="1571">
        <v>1</v>
      </c>
      <c r="D1691" s="1587" t="s">
        <v>273</v>
      </c>
      <c r="E1691" s="1588">
        <v>2</v>
      </c>
      <c r="F1691" s="1589">
        <v>9.3699999999999992</v>
      </c>
      <c r="G1691" s="1589">
        <v>0</v>
      </c>
      <c r="H1691" s="1589">
        <v>3.05</v>
      </c>
      <c r="I1691" s="1590">
        <f t="shared" ref="I1691:I1703" si="153">ROUND(IF(AND(F1691:H1691),C1691*E1691*F1691*G1691*H1691,IF(AND(F1691,G1691),C1691*E1691*F1691*G1691,IF(AND(F1691,H1691),C1691*E1691*F1691*H1691,IF(AND(G1691,H1691),C1691*E1691*G1691*H1691,IF(F1691,C1691*E1691*F1691,IF(G1691,C1691*E1691*G1691,IF(H1691,C1691*E1691*H1691,C1691*E1691))))))),2)</f>
        <v>57.16</v>
      </c>
      <c r="J1691" s="1598" t="s">
        <v>102</v>
      </c>
      <c r="K1691" s="1585"/>
      <c r="L1691" s="1573"/>
      <c r="M1691" s="1585"/>
      <c r="N1691" s="1578" t="s">
        <v>2218</v>
      </c>
    </row>
    <row r="1692" spans="1:14" s="1586" customFormat="1" ht="16.5" customHeight="1">
      <c r="A1692" s="1570"/>
      <c r="B1692" s="1585"/>
      <c r="C1692" s="1571">
        <v>1</v>
      </c>
      <c r="D1692" s="1587" t="s">
        <v>273</v>
      </c>
      <c r="E1692" s="1588">
        <v>2</v>
      </c>
      <c r="F1692" s="1589">
        <v>5.75</v>
      </c>
      <c r="G1692" s="1589">
        <v>0</v>
      </c>
      <c r="H1692" s="1589">
        <v>3.05</v>
      </c>
      <c r="I1692" s="1590">
        <f t="shared" si="153"/>
        <v>35.08</v>
      </c>
      <c r="J1692" s="1598" t="s">
        <v>102</v>
      </c>
      <c r="K1692" s="1585"/>
      <c r="L1692" s="1573"/>
      <c r="M1692" s="1585"/>
      <c r="N1692" s="1578" t="s">
        <v>2218</v>
      </c>
    </row>
    <row r="1693" spans="1:14" s="1586" customFormat="1" ht="16.5" customHeight="1">
      <c r="A1693" s="1570"/>
      <c r="B1693" s="1585" t="s">
        <v>3705</v>
      </c>
      <c r="C1693" s="1571">
        <v>1</v>
      </c>
      <c r="D1693" s="1587" t="s">
        <v>273</v>
      </c>
      <c r="E1693" s="1588">
        <v>1</v>
      </c>
      <c r="F1693" s="1589">
        <v>9.3699999999999992</v>
      </c>
      <c r="G1693" s="1589">
        <v>5.75</v>
      </c>
      <c r="H1693" s="1589">
        <v>0</v>
      </c>
      <c r="I1693" s="1590">
        <f t="shared" si="153"/>
        <v>53.88</v>
      </c>
      <c r="J1693" s="1598" t="s">
        <v>102</v>
      </c>
      <c r="K1693" s="1585"/>
      <c r="L1693" s="1573"/>
      <c r="M1693" s="1585"/>
      <c r="N1693" s="1578" t="s">
        <v>2218</v>
      </c>
    </row>
    <row r="1694" spans="1:14" s="1586" customFormat="1" ht="16.5" customHeight="1">
      <c r="A1694" s="1570"/>
      <c r="B1694" s="1585" t="s">
        <v>1244</v>
      </c>
      <c r="C1694" s="1571">
        <v>2</v>
      </c>
      <c r="D1694" s="1587" t="s">
        <v>273</v>
      </c>
      <c r="E1694" s="1588">
        <v>2</v>
      </c>
      <c r="F1694" s="1589">
        <v>5.75</v>
      </c>
      <c r="G1694" s="1589">
        <v>0</v>
      </c>
      <c r="H1694" s="1589">
        <v>0.38</v>
      </c>
      <c r="I1694" s="1590">
        <f t="shared" si="153"/>
        <v>8.74</v>
      </c>
      <c r="J1694" s="1598" t="s">
        <v>102</v>
      </c>
      <c r="K1694" s="1585"/>
      <c r="L1694" s="1573"/>
      <c r="M1694" s="1585"/>
      <c r="N1694" s="1578" t="s">
        <v>2218</v>
      </c>
    </row>
    <row r="1695" spans="1:14" s="1586" customFormat="1" ht="16.5" customHeight="1">
      <c r="A1695" s="1570"/>
      <c r="B1695" s="1585" t="s">
        <v>3422</v>
      </c>
      <c r="C1695" s="1571">
        <v>1</v>
      </c>
      <c r="D1695" s="1587" t="s">
        <v>273</v>
      </c>
      <c r="E1695" s="1588">
        <v>2</v>
      </c>
      <c r="F1695" s="1589">
        <v>3.05</v>
      </c>
      <c r="G1695" s="1589">
        <v>0</v>
      </c>
      <c r="H1695" s="1589">
        <v>3.05</v>
      </c>
      <c r="I1695" s="1590">
        <f t="shared" si="153"/>
        <v>18.61</v>
      </c>
      <c r="J1695" s="1598" t="s">
        <v>102</v>
      </c>
      <c r="K1695" s="1585"/>
      <c r="L1695" s="1573"/>
      <c r="M1695" s="1585"/>
      <c r="N1695" s="1578" t="s">
        <v>2218</v>
      </c>
    </row>
    <row r="1696" spans="1:14" s="1586" customFormat="1" ht="16.5" customHeight="1">
      <c r="A1696" s="1570"/>
      <c r="B1696" s="1585"/>
      <c r="C1696" s="1571">
        <v>1</v>
      </c>
      <c r="D1696" s="1587" t="s">
        <v>273</v>
      </c>
      <c r="E1696" s="1588">
        <v>2</v>
      </c>
      <c r="F1696" s="1589">
        <v>4.26</v>
      </c>
      <c r="G1696" s="1589">
        <v>0</v>
      </c>
      <c r="H1696" s="1589">
        <v>3.05</v>
      </c>
      <c r="I1696" s="1590">
        <f t="shared" si="153"/>
        <v>25.99</v>
      </c>
      <c r="J1696" s="1598" t="s">
        <v>102</v>
      </c>
      <c r="K1696" s="1585"/>
      <c r="L1696" s="1573"/>
      <c r="M1696" s="1585"/>
      <c r="N1696" s="1578" t="s">
        <v>2218</v>
      </c>
    </row>
    <row r="1697" spans="1:14" s="1586" customFormat="1" ht="16.5" customHeight="1">
      <c r="A1697" s="1570"/>
      <c r="B1697" s="1585" t="s">
        <v>3705</v>
      </c>
      <c r="C1697" s="1571">
        <v>1</v>
      </c>
      <c r="D1697" s="1587" t="s">
        <v>273</v>
      </c>
      <c r="E1697" s="1588">
        <v>1</v>
      </c>
      <c r="F1697" s="1589">
        <v>3.05</v>
      </c>
      <c r="G1697" s="1589">
        <v>4.26</v>
      </c>
      <c r="H1697" s="1589">
        <v>0</v>
      </c>
      <c r="I1697" s="1590">
        <f t="shared" si="153"/>
        <v>12.99</v>
      </c>
      <c r="J1697" s="1598" t="s">
        <v>102</v>
      </c>
      <c r="K1697" s="1585"/>
      <c r="L1697" s="1573"/>
      <c r="M1697" s="1585"/>
      <c r="N1697" s="1578" t="s">
        <v>2218</v>
      </c>
    </row>
    <row r="1698" spans="1:14" s="1586" customFormat="1" ht="16.5" customHeight="1">
      <c r="A1698" s="1570"/>
      <c r="B1698" s="1585" t="s">
        <v>3195</v>
      </c>
      <c r="C1698" s="1571">
        <v>1</v>
      </c>
      <c r="D1698" s="1587" t="s">
        <v>273</v>
      </c>
      <c r="E1698" s="1588">
        <v>2</v>
      </c>
      <c r="F1698" s="1589">
        <v>3.05</v>
      </c>
      <c r="G1698" s="1589">
        <v>0</v>
      </c>
      <c r="H1698" s="1589">
        <v>3.05</v>
      </c>
      <c r="I1698" s="1590">
        <f t="shared" si="153"/>
        <v>18.61</v>
      </c>
      <c r="J1698" s="1598" t="s">
        <v>102</v>
      </c>
      <c r="K1698" s="1585"/>
      <c r="L1698" s="1573"/>
      <c r="M1698" s="1585"/>
      <c r="N1698" s="1578" t="s">
        <v>2218</v>
      </c>
    </row>
    <row r="1699" spans="1:14" s="1586" customFormat="1" ht="16.5" customHeight="1">
      <c r="A1699" s="1570"/>
      <c r="B1699" s="1585"/>
      <c r="C1699" s="1571">
        <v>1</v>
      </c>
      <c r="D1699" s="1587" t="s">
        <v>273</v>
      </c>
      <c r="E1699" s="1588">
        <v>2</v>
      </c>
      <c r="F1699" s="1589">
        <v>4.26</v>
      </c>
      <c r="G1699" s="1589">
        <v>0</v>
      </c>
      <c r="H1699" s="1589">
        <v>3.05</v>
      </c>
      <c r="I1699" s="1590">
        <f t="shared" si="153"/>
        <v>25.99</v>
      </c>
      <c r="J1699" s="1598" t="s">
        <v>102</v>
      </c>
      <c r="K1699" s="1585"/>
      <c r="L1699" s="1573"/>
      <c r="M1699" s="1585"/>
      <c r="N1699" s="1578" t="s">
        <v>2218</v>
      </c>
    </row>
    <row r="1700" spans="1:14" s="1586" customFormat="1" ht="16.5" customHeight="1">
      <c r="A1700" s="1570"/>
      <c r="B1700" s="1585" t="s">
        <v>3705</v>
      </c>
      <c r="C1700" s="1571">
        <v>1</v>
      </c>
      <c r="D1700" s="1587" t="s">
        <v>273</v>
      </c>
      <c r="E1700" s="1588">
        <v>1</v>
      </c>
      <c r="F1700" s="1589">
        <v>3.05</v>
      </c>
      <c r="G1700" s="1589">
        <v>4.26</v>
      </c>
      <c r="H1700" s="1589">
        <v>0</v>
      </c>
      <c r="I1700" s="1590">
        <f t="shared" si="153"/>
        <v>12.99</v>
      </c>
      <c r="J1700" s="1598" t="s">
        <v>102</v>
      </c>
      <c r="K1700" s="1585"/>
      <c r="L1700" s="1573"/>
      <c r="M1700" s="1585"/>
      <c r="N1700" s="1578" t="s">
        <v>2218</v>
      </c>
    </row>
    <row r="1701" spans="1:14" s="1586" customFormat="1" ht="16.5" customHeight="1">
      <c r="A1701" s="1570"/>
      <c r="B1701" s="1585" t="s">
        <v>3364</v>
      </c>
      <c r="C1701" s="1571">
        <v>1</v>
      </c>
      <c r="D1701" s="1587" t="s">
        <v>273</v>
      </c>
      <c r="E1701" s="1588">
        <v>2</v>
      </c>
      <c r="F1701" s="1589">
        <v>3.05</v>
      </c>
      <c r="G1701" s="1589">
        <v>0</v>
      </c>
      <c r="H1701" s="1589">
        <v>3.05</v>
      </c>
      <c r="I1701" s="1590">
        <f t="shared" si="153"/>
        <v>18.61</v>
      </c>
      <c r="J1701" s="1598" t="s">
        <v>102</v>
      </c>
      <c r="K1701" s="1585"/>
      <c r="L1701" s="1573"/>
      <c r="M1701" s="1585"/>
      <c r="N1701" s="1578" t="s">
        <v>2218</v>
      </c>
    </row>
    <row r="1702" spans="1:14" s="1586" customFormat="1" ht="16.5" customHeight="1">
      <c r="A1702" s="1570"/>
      <c r="B1702" s="1585"/>
      <c r="C1702" s="1571">
        <v>1</v>
      </c>
      <c r="D1702" s="1587" t="s">
        <v>273</v>
      </c>
      <c r="E1702" s="1588">
        <v>2</v>
      </c>
      <c r="F1702" s="1589">
        <v>4.26</v>
      </c>
      <c r="G1702" s="1589">
        <v>0</v>
      </c>
      <c r="H1702" s="1589">
        <v>3.05</v>
      </c>
      <c r="I1702" s="1590">
        <f t="shared" si="153"/>
        <v>25.99</v>
      </c>
      <c r="J1702" s="1598" t="s">
        <v>102</v>
      </c>
      <c r="K1702" s="1585"/>
      <c r="L1702" s="1573"/>
      <c r="M1702" s="1585"/>
      <c r="N1702" s="1578" t="s">
        <v>2218</v>
      </c>
    </row>
    <row r="1703" spans="1:14" s="1586" customFormat="1" ht="16.5" customHeight="1">
      <c r="A1703" s="1570"/>
      <c r="B1703" s="1585" t="s">
        <v>1544</v>
      </c>
      <c r="C1703" s="1571">
        <v>1</v>
      </c>
      <c r="D1703" s="1587" t="s">
        <v>273</v>
      </c>
      <c r="E1703" s="1588">
        <v>1</v>
      </c>
      <c r="F1703" s="1589">
        <v>3.05</v>
      </c>
      <c r="G1703" s="1589">
        <v>4.26</v>
      </c>
      <c r="H1703" s="1589">
        <v>0</v>
      </c>
      <c r="I1703" s="1590">
        <f t="shared" si="153"/>
        <v>12.99</v>
      </c>
      <c r="J1703" s="1598" t="s">
        <v>102</v>
      </c>
      <c r="K1703" s="1585"/>
      <c r="L1703" s="1573"/>
      <c r="M1703" s="1585"/>
      <c r="N1703" s="1578" t="s">
        <v>2218</v>
      </c>
    </row>
    <row r="1704" spans="1:14" s="1586" customFormat="1" ht="16.5" customHeight="1">
      <c r="A1704" s="1570"/>
      <c r="B1704" s="1585" t="s">
        <v>2506</v>
      </c>
      <c r="C1704" s="1571">
        <v>1</v>
      </c>
      <c r="D1704" s="1587" t="s">
        <v>273</v>
      </c>
      <c r="E1704" s="1588">
        <v>2</v>
      </c>
      <c r="F1704" s="1589">
        <v>1.2</v>
      </c>
      <c r="G1704" s="1589">
        <v>0</v>
      </c>
      <c r="H1704" s="1589">
        <v>2.1</v>
      </c>
      <c r="I1704" s="1590">
        <f>-ROUND(IF(AND(F1704:H1704),C1704*E1704*F1704*G1704*H1704,IF(AND(F1704,G1704),C1704*E1704*F1704*G1704,IF(AND(F1704,H1704),C1704*E1704*F1704*H1704,IF(AND(G1704,H1704),C1704*E1704*G1704*H1704,IF(F1704,C1704*E1704*F1704,IF(G1704,C1704*E1704*G1704,IF(H1704,C1704*E1704*H1704,C1704*E1704))))))),2)</f>
        <v>-5.04</v>
      </c>
      <c r="J1704" s="1598" t="s">
        <v>102</v>
      </c>
      <c r="K1704" s="1585"/>
      <c r="L1704" s="1573"/>
      <c r="M1704" s="1585"/>
      <c r="N1704" s="1578" t="s">
        <v>2218</v>
      </c>
    </row>
    <row r="1705" spans="1:14" s="1586" customFormat="1" ht="16.5" customHeight="1">
      <c r="A1705" s="1570"/>
      <c r="B1705" s="1585" t="s">
        <v>2506</v>
      </c>
      <c r="C1705" s="1571">
        <v>1</v>
      </c>
      <c r="D1705" s="1587" t="s">
        <v>273</v>
      </c>
      <c r="E1705" s="1588">
        <v>1</v>
      </c>
      <c r="F1705" s="1589">
        <v>1.2</v>
      </c>
      <c r="G1705" s="1589">
        <v>0</v>
      </c>
      <c r="H1705" s="1589">
        <v>2.1</v>
      </c>
      <c r="I1705" s="1590">
        <f>-ROUND(IF(AND(F1705:H1705),C1705*E1705*F1705*G1705*H1705,IF(AND(F1705,G1705),C1705*E1705*F1705*G1705,IF(AND(F1705,H1705),C1705*E1705*F1705*H1705,IF(AND(G1705,H1705),C1705*E1705*G1705*H1705,IF(F1705,C1705*E1705*F1705,IF(G1705,C1705*E1705*G1705,IF(H1705,C1705*E1705*H1705,C1705*E1705))))))),2)</f>
        <v>-2.52</v>
      </c>
      <c r="J1705" s="1598" t="s">
        <v>102</v>
      </c>
      <c r="K1705" s="1585"/>
      <c r="L1705" s="1573"/>
      <c r="M1705" s="1585"/>
      <c r="N1705" s="1578" t="s">
        <v>2218</v>
      </c>
    </row>
    <row r="1706" spans="1:14" s="1586" customFormat="1" ht="16.5" customHeight="1">
      <c r="A1706" s="1570"/>
      <c r="B1706" s="1585" t="s">
        <v>2506</v>
      </c>
      <c r="C1706" s="1571">
        <v>2</v>
      </c>
      <c r="D1706" s="1587" t="s">
        <v>273</v>
      </c>
      <c r="E1706" s="1588">
        <v>2</v>
      </c>
      <c r="F1706" s="1589">
        <v>1.05</v>
      </c>
      <c r="G1706" s="1589">
        <v>0</v>
      </c>
      <c r="H1706" s="1589">
        <v>2.1</v>
      </c>
      <c r="I1706" s="1590">
        <f>-ROUND(IF(AND(F1706:H1706),C1706*E1706*F1706*G1706*H1706,IF(AND(F1706,G1706),C1706*E1706*F1706*G1706,IF(AND(F1706,H1706),C1706*E1706*F1706*H1706,IF(AND(G1706,H1706),C1706*E1706*G1706*H1706,IF(F1706,C1706*E1706*F1706,IF(G1706,C1706*E1706*G1706,IF(H1706,C1706*E1706*H1706,C1706*E1706))))))),2)</f>
        <v>-8.82</v>
      </c>
      <c r="J1706" s="1598" t="s">
        <v>102</v>
      </c>
      <c r="K1706" s="1585"/>
      <c r="L1706" s="1573"/>
      <c r="M1706" s="1585"/>
      <c r="N1706" s="1578" t="s">
        <v>2218</v>
      </c>
    </row>
    <row r="1707" spans="1:14" s="1586" customFormat="1" ht="16.5" customHeight="1">
      <c r="A1707" s="1570"/>
      <c r="B1707" s="1585" t="s">
        <v>2360</v>
      </c>
      <c r="C1707" s="1571">
        <v>1</v>
      </c>
      <c r="D1707" s="1587" t="s">
        <v>273</v>
      </c>
      <c r="E1707" s="1588">
        <v>11</v>
      </c>
      <c r="F1707" s="1589">
        <v>1.2</v>
      </c>
      <c r="G1707" s="1589">
        <v>0</v>
      </c>
      <c r="H1707" s="1589">
        <v>1.2</v>
      </c>
      <c r="I1707" s="1590">
        <f>-ROUND(IF(AND(F1707:H1707),C1707*E1707*F1707*G1707*H1707,IF(AND(F1707,G1707),C1707*E1707*F1707*G1707,IF(AND(F1707,H1707),C1707*E1707*F1707*H1707,IF(AND(G1707,H1707),C1707*E1707*G1707*H1707,IF(F1707,C1707*E1707*F1707,IF(G1707,C1707*E1707*G1707,IF(H1707,C1707*E1707*H1707,C1707*E1707))))))),2)</f>
        <v>-15.84</v>
      </c>
      <c r="J1707" s="1598" t="s">
        <v>102</v>
      </c>
      <c r="K1707" s="1585"/>
      <c r="L1707" s="1573"/>
      <c r="M1707" s="1585"/>
      <c r="N1707" s="1578" t="s">
        <v>2218</v>
      </c>
    </row>
    <row r="1708" spans="1:14" s="1586" customFormat="1" ht="16.5" customHeight="1">
      <c r="A1708" s="1570"/>
      <c r="B1708" s="1585" t="s">
        <v>581</v>
      </c>
      <c r="C1708" s="1571">
        <v>1</v>
      </c>
      <c r="D1708" s="1587" t="s">
        <v>273</v>
      </c>
      <c r="E1708" s="1588">
        <v>12</v>
      </c>
      <c r="F1708" s="1589">
        <v>0.6</v>
      </c>
      <c r="G1708" s="1589">
        <v>0</v>
      </c>
      <c r="H1708" s="1589">
        <v>0.3</v>
      </c>
      <c r="I1708" s="1590">
        <f>-ROUND(IF(AND(F1708:H1708),C1708*E1708*F1708*G1708*H1708,IF(AND(F1708,G1708),C1708*E1708*F1708*G1708,IF(AND(F1708,H1708),C1708*E1708*F1708*H1708,IF(AND(G1708,H1708),C1708*E1708*G1708*H1708,IF(F1708,C1708*E1708*F1708,IF(G1708,C1708*E1708*G1708,IF(H1708,C1708*E1708*H1708,C1708*E1708))))))),2)</f>
        <v>-2.16</v>
      </c>
      <c r="J1708" s="1598" t="s">
        <v>102</v>
      </c>
      <c r="K1708" s="1585"/>
      <c r="L1708" s="1573"/>
      <c r="M1708" s="1585"/>
      <c r="N1708" s="1578" t="s">
        <v>2218</v>
      </c>
    </row>
    <row r="1709" spans="1:14" s="1586" customFormat="1" ht="16.5" customHeight="1">
      <c r="A1709" s="1570"/>
      <c r="B1709" s="1600"/>
      <c r="C1709" s="1601"/>
      <c r="D1709" s="1602"/>
      <c r="E1709" s="1603"/>
      <c r="F1709" s="1604"/>
      <c r="G1709" s="1604"/>
      <c r="H1709" s="1604"/>
      <c r="I1709" s="1605"/>
      <c r="J1709" s="1598"/>
      <c r="K1709" s="1585"/>
      <c r="L1709" s="1573"/>
      <c r="M1709" s="1585"/>
      <c r="N1709" s="1578" t="s">
        <v>2218</v>
      </c>
    </row>
    <row r="1710" spans="1:14" s="1575" customFormat="1" ht="15.75">
      <c r="A1710" s="1570"/>
      <c r="B1710" s="1585"/>
      <c r="C1710" s="1606"/>
      <c r="D1710" s="1587"/>
      <c r="E1710" s="1588"/>
      <c r="F1710" s="1589"/>
      <c r="G1710" s="1607"/>
      <c r="H1710" s="1570"/>
      <c r="I1710" s="1605">
        <f>SUM(I1691:I1709)</f>
        <v>293.25000000000011</v>
      </c>
      <c r="J1710" s="1598" t="s">
        <v>102</v>
      </c>
      <c r="K1710" s="1608">
        <f>data!E846</f>
        <v>122.02</v>
      </c>
      <c r="L1710" s="1573" t="s">
        <v>2218</v>
      </c>
      <c r="M1710" s="1609">
        <f>ROUND(I1710*K1710,0)</f>
        <v>35782</v>
      </c>
      <c r="N1710" s="1578" t="s">
        <v>2218</v>
      </c>
    </row>
    <row r="1711" spans="1:14" ht="94.5" hidden="1" customHeight="1">
      <c r="A1711" s="1156">
        <v>38</v>
      </c>
      <c r="B1711" s="1826" t="s">
        <v>1167</v>
      </c>
      <c r="C1711" s="1826"/>
      <c r="D1711" s="1826"/>
      <c r="E1711" s="1826"/>
      <c r="F1711" s="1826"/>
      <c r="G1711" s="1826"/>
      <c r="H1711" s="1826"/>
      <c r="I1711" s="1157"/>
      <c r="J1711" s="1158"/>
      <c r="K1711" s="1156"/>
      <c r="L1711" s="1159"/>
      <c r="M1711" s="1160"/>
      <c r="N1711" s="1161" t="s">
        <v>2306</v>
      </c>
    </row>
    <row r="1712" spans="1:14" s="1170" customFormat="1" ht="16.5" hidden="1" customHeight="1">
      <c r="A1712" s="1156"/>
      <c r="B1712" s="1169" t="s">
        <v>3609</v>
      </c>
      <c r="C1712" s="1157"/>
      <c r="D1712" s="1548" t="s">
        <v>3650</v>
      </c>
      <c r="E1712" s="1165"/>
      <c r="F1712" s="1166"/>
      <c r="G1712" s="1166"/>
      <c r="H1712" s="1166"/>
      <c r="I1712" s="1167"/>
      <c r="J1712" s="1168"/>
      <c r="K1712" s="1169"/>
      <c r="L1712" s="1159"/>
      <c r="M1712" s="1169"/>
      <c r="N1712" s="1161" t="s">
        <v>2306</v>
      </c>
    </row>
    <row r="1713" spans="1:14" s="1170" customFormat="1" ht="16.5" hidden="1" customHeight="1">
      <c r="A1713" s="1156"/>
      <c r="B1713" s="1169" t="s">
        <v>3359</v>
      </c>
      <c r="C1713" s="1157">
        <v>1</v>
      </c>
      <c r="D1713" s="1171" t="s">
        <v>273</v>
      </c>
      <c r="E1713" s="1165">
        <v>1</v>
      </c>
      <c r="F1713" s="1166">
        <v>9.3699999999999992</v>
      </c>
      <c r="G1713" s="1166">
        <v>5.75</v>
      </c>
      <c r="H1713" s="1166">
        <v>0</v>
      </c>
      <c r="I1713" s="1172">
        <f t="shared" ref="I1713:I1714" si="154">ROUND(IF(AND(F1713:H1713),C1713*E1713*F1713*G1713*H1713,IF(AND(F1713,G1713),C1713*E1713*F1713*G1713,IF(AND(F1713,H1713),C1713*E1713*F1713*H1713,IF(AND(G1713,H1713),C1713*E1713*G1713*H1713,IF(F1713,C1713*E1713*F1713,IF(G1713,C1713*E1713*G1713,IF(H1713,C1713*E1713*H1713,C1713*E1713))))))),2)</f>
        <v>53.88</v>
      </c>
      <c r="J1713" s="1168" t="s">
        <v>102</v>
      </c>
      <c r="K1713" s="1169"/>
      <c r="L1713" s="1159"/>
      <c r="M1713" s="1169"/>
      <c r="N1713" s="1161" t="s">
        <v>2306</v>
      </c>
    </row>
    <row r="1714" spans="1:14" s="1170" customFormat="1" ht="16.5" hidden="1" customHeight="1">
      <c r="A1714" s="1156"/>
      <c r="B1714" s="1169" t="s">
        <v>1244</v>
      </c>
      <c r="C1714" s="1157">
        <v>2</v>
      </c>
      <c r="D1714" s="1171" t="s">
        <v>273</v>
      </c>
      <c r="E1714" s="1165">
        <v>2</v>
      </c>
      <c r="F1714" s="1166">
        <v>5.75</v>
      </c>
      <c r="G1714" s="1166">
        <v>0</v>
      </c>
      <c r="H1714" s="1166">
        <v>0.38</v>
      </c>
      <c r="I1714" s="1172">
        <f t="shared" si="154"/>
        <v>8.74</v>
      </c>
      <c r="J1714" s="1168" t="s">
        <v>102</v>
      </c>
      <c r="K1714" s="1169"/>
      <c r="L1714" s="1159"/>
      <c r="M1714" s="1169"/>
      <c r="N1714" s="1161" t="s">
        <v>2306</v>
      </c>
    </row>
    <row r="1715" spans="1:14" s="1170" customFormat="1" ht="16.5" hidden="1" customHeight="1">
      <c r="A1715" s="1156"/>
      <c r="B1715" s="1169" t="s">
        <v>3606</v>
      </c>
      <c r="C1715" s="1157">
        <v>1</v>
      </c>
      <c r="D1715" s="1171" t="s">
        <v>273</v>
      </c>
      <c r="E1715" s="1165">
        <v>2</v>
      </c>
      <c r="F1715" s="1166">
        <v>9.3699999999999992</v>
      </c>
      <c r="G1715" s="1166">
        <v>0</v>
      </c>
      <c r="H1715" s="1166">
        <v>3.15</v>
      </c>
      <c r="I1715" s="1172">
        <f>ROUND(IF(AND(F1715:H1715),C1715*E1715*F1715*G1715*H1715,IF(AND(F1715,G1715),C1715*E1715*F1715*G1715,IF(AND(F1715,H1715),C1715*E1715*F1715*H1715,IF(AND(G1715,H1715),C1715*E1715*G1715*H1715,IF(F1715,C1715*E1715*F1715,IF(G1715,C1715*E1715*G1715,IF(H1715,C1715*E1715*H1715,C1715*E1715))))))),2)</f>
        <v>59.03</v>
      </c>
      <c r="J1715" s="1168" t="s">
        <v>102</v>
      </c>
      <c r="K1715" s="1169"/>
      <c r="L1715" s="1159"/>
      <c r="M1715" s="1169"/>
      <c r="N1715" s="1161" t="s">
        <v>2306</v>
      </c>
    </row>
    <row r="1716" spans="1:14" s="1170" customFormat="1" ht="16.5" hidden="1" customHeight="1">
      <c r="A1716" s="1156"/>
      <c r="B1716" s="1169"/>
      <c r="C1716" s="1157">
        <v>1</v>
      </c>
      <c r="D1716" s="1171" t="s">
        <v>273</v>
      </c>
      <c r="E1716" s="1165">
        <v>2</v>
      </c>
      <c r="F1716" s="1166">
        <v>5.75</v>
      </c>
      <c r="G1716" s="1166">
        <v>0</v>
      </c>
      <c r="H1716" s="1166">
        <v>3.15</v>
      </c>
      <c r="I1716" s="1172">
        <f>ROUND(IF(AND(F1716:H1716),C1716*E1716*F1716*G1716*H1716,IF(AND(F1716,G1716),C1716*E1716*F1716*G1716,IF(AND(F1716,H1716),C1716*E1716*F1716*H1716,IF(AND(G1716,H1716),C1716*E1716*G1716*H1716,IF(F1716,C1716*E1716*F1716,IF(G1716,C1716*E1716*G1716,IF(H1716,C1716*E1716*H1716,C1716*E1716))))))),2)</f>
        <v>36.229999999999997</v>
      </c>
      <c r="J1716" s="1168" t="s">
        <v>102</v>
      </c>
      <c r="K1716" s="1169"/>
      <c r="L1716" s="1159"/>
      <c r="M1716" s="1169"/>
      <c r="N1716" s="1161" t="s">
        <v>2306</v>
      </c>
    </row>
    <row r="1717" spans="1:14" s="1170" customFormat="1" ht="16.5" hidden="1" customHeight="1">
      <c r="A1717" s="1156"/>
      <c r="B1717" s="1169" t="s">
        <v>3602</v>
      </c>
      <c r="C1717" s="1157">
        <v>1</v>
      </c>
      <c r="D1717" s="1171" t="s">
        <v>273</v>
      </c>
      <c r="E1717" s="1165">
        <v>1</v>
      </c>
      <c r="F1717" s="1166">
        <v>3.05</v>
      </c>
      <c r="G1717" s="1166">
        <v>4.26</v>
      </c>
      <c r="H1717" s="1166">
        <v>0</v>
      </c>
      <c r="I1717" s="1172">
        <f t="shared" ref="I1717:I1725" si="155">ROUND(IF(AND(F1717:H1717),C1717*E1717*F1717*G1717*H1717,IF(AND(F1717,G1717),C1717*E1717*F1717*G1717,IF(AND(F1717,H1717),C1717*E1717*F1717*H1717,IF(AND(G1717,H1717),C1717*E1717*G1717*H1717,IF(F1717,C1717*E1717*F1717,IF(G1717,C1717*E1717*G1717,IF(H1717,C1717*E1717*H1717,C1717*E1717))))))),2)</f>
        <v>12.99</v>
      </c>
      <c r="J1717" s="1168" t="s">
        <v>102</v>
      </c>
      <c r="K1717" s="1169"/>
      <c r="L1717" s="1159"/>
      <c r="M1717" s="1169"/>
      <c r="N1717" s="1161" t="s">
        <v>2306</v>
      </c>
    </row>
    <row r="1718" spans="1:14" s="1170" customFormat="1" ht="16.5" hidden="1" customHeight="1">
      <c r="A1718" s="1156"/>
      <c r="B1718" s="1169" t="s">
        <v>3601</v>
      </c>
      <c r="C1718" s="1157">
        <v>1</v>
      </c>
      <c r="D1718" s="1171" t="s">
        <v>273</v>
      </c>
      <c r="E1718" s="1165">
        <v>2</v>
      </c>
      <c r="F1718" s="1166">
        <v>3.05</v>
      </c>
      <c r="G1718" s="1166">
        <v>0</v>
      </c>
      <c r="H1718" s="1166">
        <v>3.15</v>
      </c>
      <c r="I1718" s="1172">
        <f t="shared" si="155"/>
        <v>19.22</v>
      </c>
      <c r="J1718" s="1168" t="s">
        <v>102</v>
      </c>
      <c r="K1718" s="1169"/>
      <c r="L1718" s="1159"/>
      <c r="M1718" s="1169"/>
      <c r="N1718" s="1161" t="s">
        <v>2306</v>
      </c>
    </row>
    <row r="1719" spans="1:14" s="1170" customFormat="1" ht="16.5" hidden="1" customHeight="1">
      <c r="A1719" s="1156"/>
      <c r="B1719" s="1169"/>
      <c r="C1719" s="1157">
        <v>1</v>
      </c>
      <c r="D1719" s="1171" t="s">
        <v>273</v>
      </c>
      <c r="E1719" s="1165">
        <v>2</v>
      </c>
      <c r="F1719" s="1166">
        <v>4.26</v>
      </c>
      <c r="G1719" s="1166">
        <v>0</v>
      </c>
      <c r="H1719" s="1166">
        <v>3.15</v>
      </c>
      <c r="I1719" s="1172">
        <f t="shared" si="155"/>
        <v>26.84</v>
      </c>
      <c r="J1719" s="1168" t="s">
        <v>102</v>
      </c>
      <c r="K1719" s="1169"/>
      <c r="L1719" s="1159"/>
      <c r="M1719" s="1169"/>
      <c r="N1719" s="1161" t="s">
        <v>2306</v>
      </c>
    </row>
    <row r="1720" spans="1:14" s="1170" customFormat="1" ht="16.5" hidden="1" customHeight="1">
      <c r="A1720" s="1156"/>
      <c r="B1720" s="1169" t="s">
        <v>3603</v>
      </c>
      <c r="C1720" s="1157">
        <v>1</v>
      </c>
      <c r="D1720" s="1171" t="s">
        <v>273</v>
      </c>
      <c r="E1720" s="1165">
        <v>1</v>
      </c>
      <c r="F1720" s="1166">
        <v>3.05</v>
      </c>
      <c r="G1720" s="1166">
        <v>4.26</v>
      </c>
      <c r="H1720" s="1166">
        <v>0</v>
      </c>
      <c r="I1720" s="1172">
        <f t="shared" si="155"/>
        <v>12.99</v>
      </c>
      <c r="J1720" s="1168" t="s">
        <v>102</v>
      </c>
      <c r="K1720" s="1169"/>
      <c r="L1720" s="1159"/>
      <c r="M1720" s="1169"/>
      <c r="N1720" s="1161" t="s">
        <v>2306</v>
      </c>
    </row>
    <row r="1721" spans="1:14" s="1170" customFormat="1" ht="16.5" hidden="1" customHeight="1">
      <c r="A1721" s="1156"/>
      <c r="B1721" s="1169" t="s">
        <v>3601</v>
      </c>
      <c r="C1721" s="1157">
        <v>1</v>
      </c>
      <c r="D1721" s="1171" t="s">
        <v>273</v>
      </c>
      <c r="E1721" s="1165">
        <v>2</v>
      </c>
      <c r="F1721" s="1166">
        <v>4.26</v>
      </c>
      <c r="G1721" s="1166">
        <v>0</v>
      </c>
      <c r="H1721" s="1166">
        <v>3.15</v>
      </c>
      <c r="I1721" s="1172">
        <f t="shared" si="155"/>
        <v>26.84</v>
      </c>
      <c r="J1721" s="1168" t="s">
        <v>102</v>
      </c>
      <c r="K1721" s="1169"/>
      <c r="L1721" s="1159"/>
      <c r="M1721" s="1169"/>
      <c r="N1721" s="1161" t="s">
        <v>2306</v>
      </c>
    </row>
    <row r="1722" spans="1:14" s="1170" customFormat="1" ht="16.5" hidden="1" customHeight="1">
      <c r="A1722" s="1156"/>
      <c r="B1722" s="1169"/>
      <c r="C1722" s="1157">
        <v>1</v>
      </c>
      <c r="D1722" s="1171" t="s">
        <v>273</v>
      </c>
      <c r="E1722" s="1165">
        <v>2</v>
      </c>
      <c r="F1722" s="1166">
        <v>3.05</v>
      </c>
      <c r="G1722" s="1166">
        <v>0</v>
      </c>
      <c r="H1722" s="1166">
        <v>3.15</v>
      </c>
      <c r="I1722" s="1172">
        <f t="shared" si="155"/>
        <v>19.22</v>
      </c>
      <c r="J1722" s="1168" t="s">
        <v>102</v>
      </c>
      <c r="K1722" s="1169"/>
      <c r="L1722" s="1159"/>
      <c r="M1722" s="1169"/>
      <c r="N1722" s="1161" t="s">
        <v>2306</v>
      </c>
    </row>
    <row r="1723" spans="1:14" s="1170" customFormat="1" ht="16.5" hidden="1" customHeight="1">
      <c r="A1723" s="1156"/>
      <c r="B1723" s="1169" t="s">
        <v>3604</v>
      </c>
      <c r="C1723" s="1157">
        <v>1</v>
      </c>
      <c r="D1723" s="1171" t="s">
        <v>273</v>
      </c>
      <c r="E1723" s="1165">
        <v>1</v>
      </c>
      <c r="F1723" s="1166">
        <v>3.05</v>
      </c>
      <c r="G1723" s="1166">
        <v>4.26</v>
      </c>
      <c r="H1723" s="1166">
        <v>0</v>
      </c>
      <c r="I1723" s="1172">
        <f t="shared" si="155"/>
        <v>12.99</v>
      </c>
      <c r="J1723" s="1168" t="s">
        <v>102</v>
      </c>
      <c r="K1723" s="1169"/>
      <c r="L1723" s="1159"/>
      <c r="M1723" s="1169"/>
      <c r="N1723" s="1161" t="s">
        <v>2306</v>
      </c>
    </row>
    <row r="1724" spans="1:14" s="1170" customFormat="1" ht="16.5" hidden="1" customHeight="1">
      <c r="A1724" s="1156"/>
      <c r="B1724" s="1169" t="s">
        <v>3606</v>
      </c>
      <c r="C1724" s="1157">
        <v>1</v>
      </c>
      <c r="D1724" s="1171" t="s">
        <v>273</v>
      </c>
      <c r="E1724" s="1165">
        <v>2</v>
      </c>
      <c r="F1724" s="1166">
        <v>3.05</v>
      </c>
      <c r="G1724" s="1166">
        <v>0</v>
      </c>
      <c r="H1724" s="1166">
        <v>3.15</v>
      </c>
      <c r="I1724" s="1172">
        <f t="shared" si="155"/>
        <v>19.22</v>
      </c>
      <c r="J1724" s="1168" t="s">
        <v>102</v>
      </c>
      <c r="K1724" s="1169"/>
      <c r="L1724" s="1159"/>
      <c r="M1724" s="1169"/>
      <c r="N1724" s="1161" t="s">
        <v>2306</v>
      </c>
    </row>
    <row r="1725" spans="1:14" s="1170" customFormat="1" ht="16.5" hidden="1" customHeight="1">
      <c r="A1725" s="1156"/>
      <c r="B1725" s="1169"/>
      <c r="C1725" s="1157">
        <v>1</v>
      </c>
      <c r="D1725" s="1171" t="s">
        <v>273</v>
      </c>
      <c r="E1725" s="1165">
        <v>2</v>
      </c>
      <c r="F1725" s="1166">
        <v>4.26</v>
      </c>
      <c r="G1725" s="1166">
        <v>0</v>
      </c>
      <c r="H1725" s="1166">
        <v>3.15</v>
      </c>
      <c r="I1725" s="1172">
        <f t="shared" si="155"/>
        <v>26.84</v>
      </c>
      <c r="J1725" s="1168" t="s">
        <v>102</v>
      </c>
      <c r="K1725" s="1169"/>
      <c r="L1725" s="1159"/>
      <c r="M1725" s="1169"/>
      <c r="N1725" s="1161" t="s">
        <v>2306</v>
      </c>
    </row>
    <row r="1726" spans="1:14" s="1170" customFormat="1" ht="16.5" hidden="1" customHeight="1">
      <c r="A1726" s="1156"/>
      <c r="B1726" s="1169" t="s">
        <v>2506</v>
      </c>
      <c r="C1726" s="1157">
        <v>1</v>
      </c>
      <c r="D1726" s="1171" t="s">
        <v>273</v>
      </c>
      <c r="E1726" s="1165">
        <v>3</v>
      </c>
      <c r="F1726" s="1166">
        <v>1.2</v>
      </c>
      <c r="G1726" s="1166">
        <v>0</v>
      </c>
      <c r="H1726" s="1166">
        <v>2.1</v>
      </c>
      <c r="I1726" s="1172">
        <f>-ROUND(IF(AND(F1726:H1726),C1726*E1726*F1726*G1726*H1726,IF(AND(F1726,G1726),C1726*E1726*F1726*G1726,IF(AND(F1726,H1726),C1726*E1726*F1726*H1726,IF(AND(G1726,H1726),C1726*E1726*G1726*H1726,IF(F1726,C1726*E1726*F1726,IF(G1726,C1726*E1726*G1726,IF(H1726,C1726*E1726*H1726,C1726*E1726))))))),2)</f>
        <v>-7.56</v>
      </c>
      <c r="J1726" s="1168" t="s">
        <v>102</v>
      </c>
      <c r="K1726" s="1169"/>
      <c r="L1726" s="1159"/>
      <c r="M1726" s="1169"/>
      <c r="N1726" s="1161" t="s">
        <v>2306</v>
      </c>
    </row>
    <row r="1727" spans="1:14" s="1170" customFormat="1" ht="16.5" hidden="1" customHeight="1">
      <c r="A1727" s="1156"/>
      <c r="B1727" s="1169" t="s">
        <v>2506</v>
      </c>
      <c r="C1727" s="1157">
        <v>2</v>
      </c>
      <c r="D1727" s="1171" t="s">
        <v>273</v>
      </c>
      <c r="E1727" s="1165">
        <v>2</v>
      </c>
      <c r="F1727" s="1166">
        <v>1.05</v>
      </c>
      <c r="G1727" s="1166">
        <v>0</v>
      </c>
      <c r="H1727" s="1166">
        <v>2.1</v>
      </c>
      <c r="I1727" s="1172">
        <f>-ROUND(IF(AND(F1727:H1727),C1727*E1727*F1727*G1727*H1727,IF(AND(F1727,G1727),C1727*E1727*F1727*G1727,IF(AND(F1727,H1727),C1727*E1727*F1727*H1727,IF(AND(G1727,H1727),C1727*E1727*G1727*H1727,IF(F1727,C1727*E1727*F1727,IF(G1727,C1727*E1727*G1727,IF(H1727,C1727*E1727*H1727,C1727*E1727))))))),2)</f>
        <v>-8.82</v>
      </c>
      <c r="J1727" s="1168" t="s">
        <v>102</v>
      </c>
      <c r="K1727" s="1169"/>
      <c r="L1727" s="1159"/>
      <c r="M1727" s="1169"/>
      <c r="N1727" s="1161" t="s">
        <v>2306</v>
      </c>
    </row>
    <row r="1728" spans="1:14" s="1170" customFormat="1" ht="16.5" hidden="1" customHeight="1">
      <c r="A1728" s="1156"/>
      <c r="B1728" s="1169" t="s">
        <v>2360</v>
      </c>
      <c r="C1728" s="1157">
        <v>1</v>
      </c>
      <c r="D1728" s="1171" t="s">
        <v>273</v>
      </c>
      <c r="E1728" s="1165">
        <v>11</v>
      </c>
      <c r="F1728" s="1166">
        <v>1.2</v>
      </c>
      <c r="G1728" s="1166">
        <v>0</v>
      </c>
      <c r="H1728" s="1166">
        <v>1.2</v>
      </c>
      <c r="I1728" s="1172">
        <f>-ROUND(IF(AND(F1728:H1728),C1728*E1728*F1728*G1728*H1728,IF(AND(F1728,G1728),C1728*E1728*F1728*G1728,IF(AND(F1728,H1728),C1728*E1728*F1728*H1728,IF(AND(G1728,H1728),C1728*E1728*G1728*H1728,IF(F1728,C1728*E1728*F1728,IF(G1728,C1728*E1728*G1728,IF(H1728,C1728*E1728*H1728,C1728*E1728))))))),2)</f>
        <v>-15.84</v>
      </c>
      <c r="J1728" s="1168" t="s">
        <v>102</v>
      </c>
      <c r="K1728" s="1169"/>
      <c r="L1728" s="1159"/>
      <c r="M1728" s="1169"/>
      <c r="N1728" s="1161" t="s">
        <v>2306</v>
      </c>
    </row>
    <row r="1729" spans="1:14" s="1170" customFormat="1" ht="16.5" hidden="1" customHeight="1">
      <c r="A1729" s="1156"/>
      <c r="B1729" s="1169" t="s">
        <v>581</v>
      </c>
      <c r="C1729" s="1157">
        <v>1</v>
      </c>
      <c r="D1729" s="1171" t="s">
        <v>273</v>
      </c>
      <c r="E1729" s="1165">
        <v>12</v>
      </c>
      <c r="F1729" s="1166">
        <v>0.6</v>
      </c>
      <c r="G1729" s="1166">
        <v>0</v>
      </c>
      <c r="H1729" s="1166">
        <v>0.3</v>
      </c>
      <c r="I1729" s="1172">
        <f>-ROUND(IF(AND(F1729:H1729),C1729*E1729*F1729*G1729*H1729,IF(AND(F1729,G1729),C1729*E1729*F1729*G1729,IF(AND(F1729,H1729),C1729*E1729*F1729*H1729,IF(AND(G1729,H1729),C1729*E1729*G1729*H1729,IF(F1729,C1729*E1729*F1729,IF(G1729,C1729*E1729*G1729,IF(H1729,C1729*E1729*H1729,C1729*E1729))))))),2)</f>
        <v>-2.16</v>
      </c>
      <c r="J1729" s="1168" t="s">
        <v>102</v>
      </c>
      <c r="K1729" s="1169"/>
      <c r="L1729" s="1159"/>
      <c r="M1729" s="1169"/>
      <c r="N1729" s="1161" t="s">
        <v>2306</v>
      </c>
    </row>
    <row r="1730" spans="1:14" s="1170" customFormat="1" ht="16.5" hidden="1" customHeight="1">
      <c r="A1730" s="1156"/>
      <c r="B1730" s="1331"/>
      <c r="C1730" s="1332"/>
      <c r="D1730" s="1333"/>
      <c r="E1730" s="1334"/>
      <c r="F1730" s="1335"/>
      <c r="G1730" s="1335"/>
      <c r="H1730" s="1335"/>
      <c r="I1730" s="1336"/>
      <c r="J1730" s="1168"/>
      <c r="K1730" s="1169"/>
      <c r="L1730" s="1159"/>
      <c r="M1730" s="1169"/>
      <c r="N1730" s="1161" t="s">
        <v>2306</v>
      </c>
    </row>
    <row r="1731" spans="1:14" ht="15.75" hidden="1">
      <c r="A1731" s="1156"/>
      <c r="B1731" s="1169"/>
      <c r="C1731" s="1337"/>
      <c r="D1731" s="1171"/>
      <c r="E1731" s="1165"/>
      <c r="F1731" s="1166"/>
      <c r="G1731" s="1343"/>
      <c r="H1731" s="1156"/>
      <c r="I1731" s="1336"/>
      <c r="J1731" s="1168" t="s">
        <v>102</v>
      </c>
      <c r="K1731" s="1221">
        <f>data!E1763</f>
        <v>129.35</v>
      </c>
      <c r="L1731" s="1159" t="s">
        <v>2306</v>
      </c>
      <c r="M1731" s="1224">
        <f>ROUND(I1731*K1731,0)</f>
        <v>0</v>
      </c>
      <c r="N1731" s="1161" t="s">
        <v>2306</v>
      </c>
    </row>
    <row r="1732" spans="1:14" ht="94.5" hidden="1" customHeight="1">
      <c r="A1732" s="1156">
        <v>36</v>
      </c>
      <c r="B1732" s="1826" t="s">
        <v>1167</v>
      </c>
      <c r="C1732" s="1826"/>
      <c r="D1732" s="1826"/>
      <c r="E1732" s="1826"/>
      <c r="F1732" s="1826"/>
      <c r="G1732" s="1826"/>
      <c r="H1732" s="1826"/>
      <c r="I1732" s="1157"/>
      <c r="J1732" s="1158"/>
      <c r="K1732" s="1156"/>
      <c r="L1732" s="1159"/>
      <c r="M1732" s="1160"/>
      <c r="N1732" s="1161" t="s">
        <v>2317</v>
      </c>
    </row>
    <row r="1733" spans="1:14" s="1170" customFormat="1" ht="16.5" hidden="1" customHeight="1">
      <c r="A1733" s="1156"/>
      <c r="B1733" s="1163" t="s">
        <v>3713</v>
      </c>
      <c r="C1733" s="1351"/>
      <c r="D1733" s="1548" t="s">
        <v>3744</v>
      </c>
      <c r="E1733" s="1352"/>
      <c r="F1733" s="1234"/>
      <c r="G1733" s="1234"/>
      <c r="H1733" s="1235"/>
      <c r="I1733" s="1353"/>
      <c r="J1733" s="1168"/>
      <c r="K1733" s="1169"/>
      <c r="L1733" s="1159"/>
      <c r="M1733" s="1169"/>
      <c r="N1733" s="1161" t="s">
        <v>2317</v>
      </c>
    </row>
    <row r="1734" spans="1:14" s="1170" customFormat="1" ht="16.5" hidden="1" customHeight="1">
      <c r="A1734" s="1156"/>
      <c r="B1734" s="1169" t="s">
        <v>3359</v>
      </c>
      <c r="C1734" s="1157">
        <v>1</v>
      </c>
      <c r="D1734" s="1171" t="s">
        <v>273</v>
      </c>
      <c r="E1734" s="1165">
        <v>1</v>
      </c>
      <c r="F1734" s="1166">
        <v>30.24</v>
      </c>
      <c r="G1734" s="1166">
        <v>0</v>
      </c>
      <c r="H1734" s="1166">
        <v>3.15</v>
      </c>
      <c r="I1734" s="1172">
        <f t="shared" ref="I1734:I1742" si="156">ROUND(IF(AND(F1734:H1734),C1734*E1734*F1734*G1734*H1734,IF(AND(F1734,G1734),C1734*E1734*F1734*G1734,IF(AND(F1734,H1734),C1734*E1734*F1734*H1734,IF(AND(G1734,H1734),C1734*E1734*G1734*H1734,IF(F1734,C1734*E1734*F1734,IF(G1734,C1734*E1734*G1734,IF(H1734,C1734*E1734*H1734,C1734*E1734))))))),2)</f>
        <v>95.26</v>
      </c>
      <c r="J1734" s="1168" t="s">
        <v>102</v>
      </c>
      <c r="K1734" s="1169"/>
      <c r="L1734" s="1159"/>
      <c r="M1734" s="1169"/>
      <c r="N1734" s="1161" t="s">
        <v>2317</v>
      </c>
    </row>
    <row r="1735" spans="1:14" s="1170" customFormat="1" ht="16.5" hidden="1" customHeight="1">
      <c r="A1735" s="1156"/>
      <c r="B1735" s="1169" t="s">
        <v>3705</v>
      </c>
      <c r="C1735" s="1157">
        <v>1</v>
      </c>
      <c r="D1735" s="1171" t="s">
        <v>273</v>
      </c>
      <c r="E1735" s="1165">
        <v>1</v>
      </c>
      <c r="F1735" s="1166">
        <v>9.3699999999999992</v>
      </c>
      <c r="G1735" s="1166">
        <v>5.75</v>
      </c>
      <c r="H1735" s="1166">
        <v>0</v>
      </c>
      <c r="I1735" s="1172">
        <f t="shared" si="156"/>
        <v>53.88</v>
      </c>
      <c r="J1735" s="1168" t="s">
        <v>102</v>
      </c>
      <c r="K1735" s="1169"/>
      <c r="L1735" s="1159"/>
      <c r="M1735" s="1169"/>
      <c r="N1735" s="1161" t="s">
        <v>2317</v>
      </c>
    </row>
    <row r="1736" spans="1:14" s="1170" customFormat="1" ht="16.5" hidden="1" customHeight="1">
      <c r="A1736" s="1156"/>
      <c r="B1736" s="1169" t="s">
        <v>1244</v>
      </c>
      <c r="C1736" s="1157">
        <v>1</v>
      </c>
      <c r="D1736" s="1171" t="s">
        <v>273</v>
      </c>
      <c r="E1736" s="1165">
        <v>2</v>
      </c>
      <c r="F1736" s="1166">
        <v>5.75</v>
      </c>
      <c r="G1736" s="1166">
        <v>0</v>
      </c>
      <c r="H1736" s="1166">
        <v>0.38</v>
      </c>
      <c r="I1736" s="1172">
        <f t="shared" si="156"/>
        <v>4.37</v>
      </c>
      <c r="J1736" s="1168" t="s">
        <v>102</v>
      </c>
      <c r="K1736" s="1169"/>
      <c r="L1736" s="1159"/>
      <c r="M1736" s="1169"/>
      <c r="N1736" s="1161" t="s">
        <v>2317</v>
      </c>
    </row>
    <row r="1737" spans="1:14" s="1170" customFormat="1" ht="16.5" hidden="1" customHeight="1">
      <c r="A1737" s="1156"/>
      <c r="B1737" s="1169" t="s">
        <v>3422</v>
      </c>
      <c r="C1737" s="1157">
        <v>1</v>
      </c>
      <c r="D1737" s="1171" t="s">
        <v>273</v>
      </c>
      <c r="E1737" s="1165">
        <v>1</v>
      </c>
      <c r="F1737" s="1166">
        <v>14.6</v>
      </c>
      <c r="G1737" s="1166">
        <v>0</v>
      </c>
      <c r="H1737" s="1166">
        <v>3.15</v>
      </c>
      <c r="I1737" s="1172">
        <f t="shared" si="156"/>
        <v>45.99</v>
      </c>
      <c r="J1737" s="1168" t="s">
        <v>102</v>
      </c>
      <c r="K1737" s="1169"/>
      <c r="L1737" s="1159"/>
      <c r="M1737" s="1169"/>
      <c r="N1737" s="1161" t="s">
        <v>2317</v>
      </c>
    </row>
    <row r="1738" spans="1:14" s="1170" customFormat="1" ht="16.5" hidden="1" customHeight="1">
      <c r="A1738" s="1156"/>
      <c r="B1738" s="1169" t="s">
        <v>3705</v>
      </c>
      <c r="C1738" s="1157">
        <v>1</v>
      </c>
      <c r="D1738" s="1171" t="s">
        <v>273</v>
      </c>
      <c r="E1738" s="1165">
        <v>1</v>
      </c>
      <c r="F1738" s="1166">
        <v>3.04</v>
      </c>
      <c r="G1738" s="1166">
        <v>4.26</v>
      </c>
      <c r="H1738" s="1166">
        <v>0</v>
      </c>
      <c r="I1738" s="1172">
        <f t="shared" si="156"/>
        <v>12.95</v>
      </c>
      <c r="J1738" s="1168" t="s">
        <v>102</v>
      </c>
      <c r="K1738" s="1169"/>
      <c r="L1738" s="1159"/>
      <c r="M1738" s="1169"/>
      <c r="N1738" s="1161" t="s">
        <v>2317</v>
      </c>
    </row>
    <row r="1739" spans="1:14" s="1170" customFormat="1" ht="16.5" hidden="1" customHeight="1">
      <c r="A1739" s="1156"/>
      <c r="B1739" s="1169" t="s">
        <v>3364</v>
      </c>
      <c r="C1739" s="1157">
        <v>1</v>
      </c>
      <c r="D1739" s="1171" t="s">
        <v>273</v>
      </c>
      <c r="E1739" s="1165">
        <v>1</v>
      </c>
      <c r="F1739" s="1166">
        <v>14.6</v>
      </c>
      <c r="G1739" s="1166">
        <v>0</v>
      </c>
      <c r="H1739" s="1166">
        <v>3.15</v>
      </c>
      <c r="I1739" s="1172">
        <f t="shared" si="156"/>
        <v>45.99</v>
      </c>
      <c r="J1739" s="1168" t="s">
        <v>102</v>
      </c>
      <c r="K1739" s="1169"/>
      <c r="L1739" s="1159"/>
      <c r="M1739" s="1169"/>
      <c r="N1739" s="1161" t="s">
        <v>2317</v>
      </c>
    </row>
    <row r="1740" spans="1:14" s="1170" customFormat="1" ht="16.5" hidden="1" customHeight="1">
      <c r="A1740" s="1156"/>
      <c r="B1740" s="1169" t="s">
        <v>3705</v>
      </c>
      <c r="C1740" s="1157">
        <v>1</v>
      </c>
      <c r="D1740" s="1171" t="s">
        <v>273</v>
      </c>
      <c r="E1740" s="1165">
        <v>1</v>
      </c>
      <c r="F1740" s="1166">
        <v>3.04</v>
      </c>
      <c r="G1740" s="1166">
        <v>4.26</v>
      </c>
      <c r="H1740" s="1166">
        <v>0</v>
      </c>
      <c r="I1740" s="1172">
        <f t="shared" si="156"/>
        <v>12.95</v>
      </c>
      <c r="J1740" s="1168" t="s">
        <v>102</v>
      </c>
      <c r="K1740" s="1169"/>
      <c r="L1740" s="1159"/>
      <c r="M1740" s="1169"/>
      <c r="N1740" s="1161" t="s">
        <v>2317</v>
      </c>
    </row>
    <row r="1741" spans="1:14" s="1170" customFormat="1" ht="16.5" hidden="1" customHeight="1">
      <c r="A1741" s="1156"/>
      <c r="B1741" s="1169" t="s">
        <v>3195</v>
      </c>
      <c r="C1741" s="1157">
        <v>1</v>
      </c>
      <c r="D1741" s="1171" t="s">
        <v>273</v>
      </c>
      <c r="E1741" s="1165">
        <v>1</v>
      </c>
      <c r="F1741" s="1166">
        <v>14.6</v>
      </c>
      <c r="G1741" s="1166">
        <v>0</v>
      </c>
      <c r="H1741" s="1166">
        <v>3.15</v>
      </c>
      <c r="I1741" s="1172">
        <f t="shared" si="156"/>
        <v>45.99</v>
      </c>
      <c r="J1741" s="1168" t="s">
        <v>102</v>
      </c>
      <c r="K1741" s="1169"/>
      <c r="L1741" s="1159"/>
      <c r="M1741" s="1169"/>
      <c r="N1741" s="1161" t="s">
        <v>2317</v>
      </c>
    </row>
    <row r="1742" spans="1:14" s="1170" customFormat="1" ht="16.5" hidden="1" customHeight="1">
      <c r="A1742" s="1156"/>
      <c r="B1742" s="1169" t="s">
        <v>3705</v>
      </c>
      <c r="C1742" s="1157">
        <v>1</v>
      </c>
      <c r="D1742" s="1171" t="s">
        <v>273</v>
      </c>
      <c r="E1742" s="1165">
        <v>1</v>
      </c>
      <c r="F1742" s="1166">
        <v>3.04</v>
      </c>
      <c r="G1742" s="1166">
        <v>4.26</v>
      </c>
      <c r="H1742" s="1166">
        <v>0</v>
      </c>
      <c r="I1742" s="1172">
        <f t="shared" si="156"/>
        <v>12.95</v>
      </c>
      <c r="J1742" s="1168" t="s">
        <v>102</v>
      </c>
      <c r="K1742" s="1169"/>
      <c r="L1742" s="1159"/>
      <c r="M1742" s="1169"/>
      <c r="N1742" s="1161" t="s">
        <v>2317</v>
      </c>
    </row>
    <row r="1743" spans="1:14" s="1170" customFormat="1" ht="16.5" hidden="1" customHeight="1">
      <c r="A1743" s="1156"/>
      <c r="B1743" s="1169" t="s">
        <v>579</v>
      </c>
      <c r="C1743" s="1157">
        <v>1</v>
      </c>
      <c r="D1743" s="1171" t="s">
        <v>273</v>
      </c>
      <c r="E1743" s="1165">
        <v>1</v>
      </c>
      <c r="F1743" s="1166">
        <v>1.2</v>
      </c>
      <c r="G1743" s="1166">
        <v>0</v>
      </c>
      <c r="H1743" s="1166">
        <v>2.1</v>
      </c>
      <c r="I1743" s="1172">
        <f>-ROUND(IF(AND(F1743:H1743),C1743*E1743*F1743*G1743*H1743,IF(AND(F1743,G1743),C1743*E1743*F1743*G1743,IF(AND(F1743,H1743),C1743*E1743*F1743*H1743,IF(AND(G1743,H1743),C1743*E1743*G1743*H1743,IF(F1743,C1743*E1743*F1743,IF(G1743,C1743*E1743*G1743,IF(H1743,C1743*E1743*H1743,C1743*E1743))))))),2)</f>
        <v>-2.52</v>
      </c>
      <c r="J1743" s="1168" t="s">
        <v>102</v>
      </c>
      <c r="K1743" s="1169"/>
      <c r="L1743" s="1159"/>
      <c r="M1743" s="1169"/>
      <c r="N1743" s="1161" t="s">
        <v>2317</v>
      </c>
    </row>
    <row r="1744" spans="1:14" s="1170" customFormat="1" ht="16.5" hidden="1" customHeight="1">
      <c r="A1744" s="1156"/>
      <c r="B1744" s="1169" t="s">
        <v>579</v>
      </c>
      <c r="C1744" s="1157">
        <v>1</v>
      </c>
      <c r="D1744" s="1171" t="s">
        <v>273</v>
      </c>
      <c r="E1744" s="1165">
        <v>2</v>
      </c>
      <c r="F1744" s="1166">
        <v>1.2</v>
      </c>
      <c r="G1744" s="1166">
        <v>0</v>
      </c>
      <c r="H1744" s="1166">
        <v>2.1</v>
      </c>
      <c r="I1744" s="1172">
        <f>-ROUND(IF(AND(F1744:H1744),C1744*E1744*F1744*G1744*H1744,IF(AND(F1744,G1744),C1744*E1744*F1744*G1744,IF(AND(F1744,H1744),C1744*E1744*F1744*H1744,IF(AND(G1744,H1744),C1744*E1744*G1744*H1744,IF(F1744,C1744*E1744*F1744,IF(G1744,C1744*E1744*G1744,IF(H1744,C1744*E1744*H1744,C1744*E1744))))))),2)</f>
        <v>-5.04</v>
      </c>
      <c r="J1744" s="1168" t="s">
        <v>102</v>
      </c>
      <c r="K1744" s="1169"/>
      <c r="L1744" s="1159"/>
      <c r="M1744" s="1169"/>
      <c r="N1744" s="1161" t="s">
        <v>2317</v>
      </c>
    </row>
    <row r="1745" spans="1:14" s="1170" customFormat="1" ht="16.5" hidden="1" customHeight="1">
      <c r="A1745" s="1156"/>
      <c r="B1745" s="1169" t="s">
        <v>579</v>
      </c>
      <c r="C1745" s="1157">
        <v>2</v>
      </c>
      <c r="D1745" s="1171" t="s">
        <v>273</v>
      </c>
      <c r="E1745" s="1165">
        <v>2</v>
      </c>
      <c r="F1745" s="1166">
        <v>1.05</v>
      </c>
      <c r="G1745" s="1166">
        <v>0</v>
      </c>
      <c r="H1745" s="1166">
        <v>2.1</v>
      </c>
      <c r="I1745" s="1172">
        <f>-ROUND(IF(AND(F1745:H1745),C1745*E1745*F1745*G1745*H1745,IF(AND(F1745,G1745),C1745*E1745*F1745*G1745,IF(AND(F1745,H1745),C1745*E1745*F1745*H1745,IF(AND(G1745,H1745),C1745*E1745*G1745*H1745,IF(F1745,C1745*E1745*F1745,IF(G1745,C1745*E1745*G1745,IF(H1745,C1745*E1745*H1745,C1745*E1745))))))),2)</f>
        <v>-8.82</v>
      </c>
      <c r="J1745" s="1168" t="s">
        <v>102</v>
      </c>
      <c r="K1745" s="1169"/>
      <c r="L1745" s="1159"/>
      <c r="M1745" s="1169"/>
      <c r="N1745" s="1161" t="s">
        <v>2317</v>
      </c>
    </row>
    <row r="1746" spans="1:14" s="1170" customFormat="1" ht="16.5" hidden="1" customHeight="1">
      <c r="A1746" s="1156"/>
      <c r="B1746" s="1169" t="s">
        <v>3714</v>
      </c>
      <c r="C1746" s="1157">
        <v>1</v>
      </c>
      <c r="D1746" s="1171" t="s">
        <v>273</v>
      </c>
      <c r="E1746" s="1165">
        <v>11</v>
      </c>
      <c r="F1746" s="1166">
        <v>1.2</v>
      </c>
      <c r="G1746" s="1166">
        <v>0</v>
      </c>
      <c r="H1746" s="1166">
        <v>1.2</v>
      </c>
      <c r="I1746" s="1172">
        <f>-ROUND(IF(AND(F1746:H1746),C1746*E1746*F1746*G1746*H1746,IF(AND(F1746,G1746),C1746*E1746*F1746*G1746,IF(AND(F1746,H1746),C1746*E1746*F1746*H1746,IF(AND(G1746,H1746),C1746*E1746*G1746*H1746,IF(F1746,C1746*E1746*F1746,IF(G1746,C1746*E1746*G1746,IF(H1746,C1746*E1746*H1746,C1746*E1746))))))),2)</f>
        <v>-15.84</v>
      </c>
      <c r="J1746" s="1168" t="s">
        <v>102</v>
      </c>
      <c r="K1746" s="1169"/>
      <c r="L1746" s="1159"/>
      <c r="M1746" s="1169"/>
      <c r="N1746" s="1161" t="s">
        <v>2317</v>
      </c>
    </row>
    <row r="1747" spans="1:14" s="1170" customFormat="1" ht="16.5" hidden="1" customHeight="1">
      <c r="A1747" s="1156"/>
      <c r="B1747" s="1169" t="s">
        <v>581</v>
      </c>
      <c r="C1747" s="1157">
        <v>1</v>
      </c>
      <c r="D1747" s="1171" t="s">
        <v>273</v>
      </c>
      <c r="E1747" s="1165">
        <v>11</v>
      </c>
      <c r="F1747" s="1166">
        <v>0.6</v>
      </c>
      <c r="G1747" s="1166">
        <v>0</v>
      </c>
      <c r="H1747" s="1166">
        <v>0.3</v>
      </c>
      <c r="I1747" s="1172">
        <f>-ROUND(IF(AND(F1747:H1747),C1747*E1747*F1747*G1747*H1747,IF(AND(F1747,G1747),C1747*E1747*F1747*G1747,IF(AND(F1747,H1747),C1747*E1747*F1747*H1747,IF(AND(G1747,H1747),C1747*E1747*G1747*H1747,IF(F1747,C1747*E1747*F1747,IF(G1747,C1747*E1747*G1747,IF(H1747,C1747*E1747*H1747,C1747*E1747))))))),2)</f>
        <v>-1.98</v>
      </c>
      <c r="J1747" s="1168" t="s">
        <v>102</v>
      </c>
      <c r="K1747" s="1169"/>
      <c r="L1747" s="1159"/>
      <c r="M1747" s="1169"/>
      <c r="N1747" s="1161" t="s">
        <v>2317</v>
      </c>
    </row>
    <row r="1748" spans="1:14" s="1170" customFormat="1" ht="16.5" hidden="1" customHeight="1">
      <c r="A1748" s="1156"/>
      <c r="B1748" s="1331"/>
      <c r="C1748" s="1332"/>
      <c r="D1748" s="1333"/>
      <c r="E1748" s="1334"/>
      <c r="F1748" s="1335"/>
      <c r="G1748" s="1335"/>
      <c r="H1748" s="1335"/>
      <c r="I1748" s="1336"/>
      <c r="J1748" s="1168"/>
      <c r="K1748" s="1169"/>
      <c r="L1748" s="1159"/>
      <c r="M1748" s="1169"/>
      <c r="N1748" s="1161" t="s">
        <v>2317</v>
      </c>
    </row>
    <row r="1749" spans="1:14" ht="15.75" hidden="1">
      <c r="A1749" s="1156"/>
      <c r="B1749" s="1169"/>
      <c r="C1749" s="1337"/>
      <c r="D1749" s="1171"/>
      <c r="E1749" s="1165"/>
      <c r="F1749" s="1166"/>
      <c r="G1749" s="1343"/>
      <c r="H1749" s="1156"/>
      <c r="I1749" s="1336"/>
      <c r="J1749" s="1168" t="s">
        <v>102</v>
      </c>
      <c r="K1749" s="1221">
        <f>data!E2680</f>
        <v>134.97</v>
      </c>
      <c r="L1749" s="1159" t="s">
        <v>2317</v>
      </c>
      <c r="M1749" s="1224">
        <f>ROUND(I1749*K1749,0)</f>
        <v>0</v>
      </c>
      <c r="N1749" s="1161" t="s">
        <v>2317</v>
      </c>
    </row>
    <row r="1750" spans="1:14" ht="94.5" hidden="1" customHeight="1">
      <c r="A1750" s="1156">
        <v>45</v>
      </c>
      <c r="B1750" s="1826" t="s">
        <v>1167</v>
      </c>
      <c r="C1750" s="1826"/>
      <c r="D1750" s="1828"/>
      <c r="E1750" s="1826"/>
      <c r="F1750" s="1826"/>
      <c r="G1750" s="1826"/>
      <c r="H1750" s="1826"/>
      <c r="I1750" s="1157"/>
      <c r="J1750" s="1158"/>
      <c r="K1750" s="1156"/>
      <c r="L1750" s="1159"/>
      <c r="M1750" s="1160"/>
      <c r="N1750" s="1161" t="s">
        <v>2318</v>
      </c>
    </row>
    <row r="1751" spans="1:14" s="1170" customFormat="1" ht="16.5" hidden="1" customHeight="1">
      <c r="A1751" s="1156"/>
      <c r="B1751" s="1169" t="s">
        <v>3396</v>
      </c>
      <c r="C1751" s="1351"/>
      <c r="D1751" s="1419"/>
      <c r="E1751" s="1352"/>
      <c r="F1751" s="1166"/>
      <c r="G1751" s="1166"/>
      <c r="H1751" s="1166"/>
      <c r="I1751" s="1167"/>
      <c r="J1751" s="1168"/>
      <c r="K1751" s="1169"/>
      <c r="L1751" s="1159"/>
      <c r="M1751" s="1169"/>
      <c r="N1751" s="1161" t="s">
        <v>2318</v>
      </c>
    </row>
    <row r="1752" spans="1:14" s="1170" customFormat="1" ht="16.5" hidden="1" customHeight="1">
      <c r="A1752" s="1156"/>
      <c r="B1752" s="1169" t="s">
        <v>3628</v>
      </c>
      <c r="C1752" s="1157">
        <v>1</v>
      </c>
      <c r="D1752" s="1171" t="s">
        <v>273</v>
      </c>
      <c r="E1752" s="1165">
        <v>2</v>
      </c>
      <c r="F1752" s="1166">
        <v>1.8</v>
      </c>
      <c r="G1752" s="1166">
        <v>0</v>
      </c>
      <c r="H1752" s="1166">
        <v>2.4</v>
      </c>
      <c r="I1752" s="1172">
        <f t="shared" ref="I1752:I1753" si="157">ROUND(IF(AND(F1752:H1752),C1752*E1752*F1752*G1752*H1752,IF(AND(F1752,G1752),C1752*E1752*F1752*G1752,IF(AND(F1752,H1752),C1752*E1752*F1752*H1752,IF(AND(G1752,H1752),C1752*E1752*G1752*H1752,IF(F1752,C1752*E1752*F1752,IF(G1752,C1752*E1752*G1752,IF(H1752,C1752*E1752*H1752,C1752*E1752))))))),2)</f>
        <v>8.64</v>
      </c>
      <c r="J1752" s="1168" t="s">
        <v>102</v>
      </c>
      <c r="K1752" s="1169"/>
      <c r="L1752" s="1159"/>
      <c r="M1752" s="1169"/>
      <c r="N1752" s="1161" t="s">
        <v>2318</v>
      </c>
    </row>
    <row r="1753" spans="1:14" s="1170" customFormat="1" ht="16.5" hidden="1" customHeight="1">
      <c r="A1753" s="1156"/>
      <c r="B1753" s="1169"/>
      <c r="C1753" s="1157">
        <v>1</v>
      </c>
      <c r="D1753" s="1171" t="s">
        <v>273</v>
      </c>
      <c r="E1753" s="1165">
        <v>2</v>
      </c>
      <c r="F1753" s="1166">
        <v>1.8</v>
      </c>
      <c r="G1753" s="1166">
        <v>0</v>
      </c>
      <c r="H1753" s="1166">
        <v>2.4</v>
      </c>
      <c r="I1753" s="1172">
        <f t="shared" si="157"/>
        <v>8.64</v>
      </c>
      <c r="J1753" s="1168" t="s">
        <v>102</v>
      </c>
      <c r="K1753" s="1169"/>
      <c r="L1753" s="1159"/>
      <c r="M1753" s="1169"/>
      <c r="N1753" s="1161" t="s">
        <v>2318</v>
      </c>
    </row>
    <row r="1754" spans="1:14" s="1170" customFormat="1" ht="16.5" hidden="1" customHeight="1">
      <c r="A1754" s="1156"/>
      <c r="B1754" s="1169" t="s">
        <v>579</v>
      </c>
      <c r="C1754" s="1157">
        <v>1</v>
      </c>
      <c r="D1754" s="1171" t="s">
        <v>273</v>
      </c>
      <c r="E1754" s="1165">
        <v>1</v>
      </c>
      <c r="F1754" s="1166">
        <v>0.75</v>
      </c>
      <c r="G1754" s="1166">
        <v>0</v>
      </c>
      <c r="H1754" s="1166">
        <v>2</v>
      </c>
      <c r="I1754" s="1172">
        <f>-ROUND(IF(AND(F1754:H1754),C1754*E1754*F1754*G1754*H1754,IF(AND(F1754,G1754),C1754*E1754*F1754*G1754,IF(AND(F1754,H1754),C1754*E1754*F1754*H1754,IF(AND(G1754,H1754),C1754*E1754*G1754*H1754,IF(F1754,C1754*E1754*F1754,IF(G1754,C1754*E1754*G1754,IF(H1754,C1754*E1754*H1754,C1754*E1754))))))),2)</f>
        <v>-1.5</v>
      </c>
      <c r="J1754" s="1168" t="s">
        <v>102</v>
      </c>
      <c r="K1754" s="1169"/>
      <c r="L1754" s="1159"/>
      <c r="M1754" s="1169"/>
      <c r="N1754" s="1161" t="s">
        <v>2318</v>
      </c>
    </row>
    <row r="1755" spans="1:14" s="1170" customFormat="1" ht="16.5" hidden="1" customHeight="1">
      <c r="A1755" s="1156"/>
      <c r="B1755" s="1331"/>
      <c r="C1755" s="1332"/>
      <c r="D1755" s="1333"/>
      <c r="E1755" s="1334"/>
      <c r="F1755" s="1335"/>
      <c r="G1755" s="1335"/>
      <c r="H1755" s="1335"/>
      <c r="I1755" s="1336"/>
      <c r="J1755" s="1168"/>
      <c r="K1755" s="1169"/>
      <c r="L1755" s="1159"/>
      <c r="M1755" s="1169"/>
      <c r="N1755" s="1161" t="s">
        <v>2318</v>
      </c>
    </row>
    <row r="1756" spans="1:14" ht="15.75" hidden="1">
      <c r="A1756" s="1156"/>
      <c r="B1756" s="1169"/>
      <c r="C1756" s="1337"/>
      <c r="D1756" s="1171"/>
      <c r="E1756" s="1165"/>
      <c r="F1756" s="1166"/>
      <c r="G1756" s="1343"/>
      <c r="H1756" s="1156"/>
      <c r="I1756" s="1336"/>
      <c r="J1756" s="1168" t="s">
        <v>102</v>
      </c>
      <c r="K1756" s="1221">
        <f>data!E3597</f>
        <v>146.82</v>
      </c>
      <c r="L1756" s="1159" t="s">
        <v>2318</v>
      </c>
      <c r="M1756" s="1224">
        <f>ROUND(I1756*K1756,0)</f>
        <v>0</v>
      </c>
      <c r="N1756" s="1161" t="s">
        <v>2318</v>
      </c>
    </row>
    <row r="1757" spans="1:14" s="1575" customFormat="1" ht="94.5" customHeight="1">
      <c r="A1757" s="1570">
        <v>27</v>
      </c>
      <c r="B1757" s="1835" t="s">
        <v>1168</v>
      </c>
      <c r="C1757" s="1836"/>
      <c r="D1757" s="1836"/>
      <c r="E1757" s="1836"/>
      <c r="F1757" s="1836"/>
      <c r="G1757" s="1836"/>
      <c r="H1757" s="1837"/>
      <c r="I1757" s="1571"/>
      <c r="J1757" s="1572"/>
      <c r="K1757" s="1570"/>
      <c r="L1757" s="1573"/>
      <c r="M1757" s="1577"/>
      <c r="N1757" s="1578" t="s">
        <v>2218</v>
      </c>
    </row>
    <row r="1758" spans="1:14" s="1586" customFormat="1" ht="15.75">
      <c r="A1758" s="1570"/>
      <c r="B1758" s="1579" t="s">
        <v>3825</v>
      </c>
      <c r="C1758" s="1571"/>
      <c r="D1758" s="1790" t="s">
        <v>3877</v>
      </c>
      <c r="E1758" s="1588"/>
      <c r="F1758" s="1589"/>
      <c r="G1758" s="1589"/>
      <c r="H1758" s="1589"/>
      <c r="I1758" s="1630"/>
      <c r="J1758" s="1598"/>
      <c r="K1758" s="1585"/>
      <c r="L1758" s="1573"/>
      <c r="M1758" s="1585"/>
      <c r="N1758" s="1578" t="s">
        <v>2218</v>
      </c>
    </row>
    <row r="1759" spans="1:14" s="1586" customFormat="1" ht="15.75">
      <c r="A1759" s="1570"/>
      <c r="B1759" s="1585" t="s">
        <v>3826</v>
      </c>
      <c r="C1759" s="1571">
        <v>1</v>
      </c>
      <c r="D1759" s="1587" t="s">
        <v>273</v>
      </c>
      <c r="E1759" s="1588">
        <v>2</v>
      </c>
      <c r="F1759" s="1589">
        <v>9.83</v>
      </c>
      <c r="G1759" s="1589">
        <v>0</v>
      </c>
      <c r="H1759" s="1589">
        <v>3.05</v>
      </c>
      <c r="I1759" s="1590">
        <f t="shared" ref="I1759:I1783" si="158">ROUND(IF(AND(F1759:H1759),C1759*E1759*F1759*G1759*H1759,IF(AND(F1759,G1759),C1759*E1759*F1759*G1759,IF(AND(F1759,H1759),C1759*E1759*F1759*H1759,IF(AND(G1759,H1759),C1759*E1759*G1759*H1759,IF(F1759,C1759*E1759*F1759,IF(G1759,C1759*E1759*G1759,IF(H1759,C1759*E1759*H1759,C1759*E1759))))))),2)</f>
        <v>59.96</v>
      </c>
      <c r="J1759" s="1598" t="s">
        <v>102</v>
      </c>
      <c r="K1759" s="1585"/>
      <c r="L1759" s="1573"/>
      <c r="M1759" s="1585"/>
      <c r="N1759" s="1578" t="s">
        <v>2218</v>
      </c>
    </row>
    <row r="1760" spans="1:14" s="1586" customFormat="1" ht="15.75">
      <c r="A1760" s="1570"/>
      <c r="B1760" s="1585" t="s">
        <v>3159</v>
      </c>
      <c r="C1760" s="1571">
        <v>1</v>
      </c>
      <c r="D1760" s="1587" t="s">
        <v>273</v>
      </c>
      <c r="E1760" s="1588">
        <v>2</v>
      </c>
      <c r="F1760" s="1589">
        <v>10.59</v>
      </c>
      <c r="G1760" s="1589">
        <v>0</v>
      </c>
      <c r="H1760" s="1589">
        <v>3.05</v>
      </c>
      <c r="I1760" s="1590">
        <f t="shared" si="158"/>
        <v>64.599999999999994</v>
      </c>
      <c r="J1760" s="1598" t="s">
        <v>102</v>
      </c>
      <c r="K1760" s="1585"/>
      <c r="L1760" s="1573"/>
      <c r="M1760" s="1585"/>
      <c r="N1760" s="1578" t="s">
        <v>2218</v>
      </c>
    </row>
    <row r="1761" spans="1:14" s="1586" customFormat="1" ht="15.75">
      <c r="A1761" s="1570"/>
      <c r="B1761" s="1585" t="s">
        <v>3827</v>
      </c>
      <c r="C1761" s="1571">
        <v>1</v>
      </c>
      <c r="D1761" s="1587" t="s">
        <v>273</v>
      </c>
      <c r="E1761" s="1588">
        <v>2</v>
      </c>
      <c r="F1761" s="1589">
        <v>3.28</v>
      </c>
      <c r="G1761" s="1589">
        <v>1.02</v>
      </c>
      <c r="H1761" s="1589">
        <v>0</v>
      </c>
      <c r="I1761" s="1590">
        <f t="shared" si="158"/>
        <v>6.69</v>
      </c>
      <c r="J1761" s="1598" t="s">
        <v>102</v>
      </c>
      <c r="K1761" s="1585"/>
      <c r="L1761" s="1573"/>
      <c r="M1761" s="1585"/>
      <c r="N1761" s="1578" t="s">
        <v>2218</v>
      </c>
    </row>
    <row r="1762" spans="1:14" s="1586" customFormat="1" ht="15.75">
      <c r="A1762" s="1570"/>
      <c r="B1762" s="1585"/>
      <c r="C1762" s="1571">
        <v>1</v>
      </c>
      <c r="D1762" s="1587" t="s">
        <v>273</v>
      </c>
      <c r="E1762" s="1588">
        <v>1</v>
      </c>
      <c r="F1762" s="1589">
        <v>3.5</v>
      </c>
      <c r="G1762" s="1589">
        <v>2</v>
      </c>
      <c r="H1762" s="1589">
        <v>0</v>
      </c>
      <c r="I1762" s="1590">
        <f t="shared" si="158"/>
        <v>7</v>
      </c>
      <c r="J1762" s="1598" t="s">
        <v>102</v>
      </c>
      <c r="K1762" s="1585"/>
      <c r="L1762" s="1573"/>
      <c r="M1762" s="1585"/>
      <c r="N1762" s="1578" t="s">
        <v>2218</v>
      </c>
    </row>
    <row r="1763" spans="1:14" s="1586" customFormat="1" ht="15.75">
      <c r="A1763" s="1570"/>
      <c r="B1763" s="1585" t="s">
        <v>1244</v>
      </c>
      <c r="C1763" s="1571">
        <v>2</v>
      </c>
      <c r="D1763" s="1587" t="s">
        <v>273</v>
      </c>
      <c r="E1763" s="1588">
        <v>2</v>
      </c>
      <c r="F1763" s="1589">
        <v>0.84</v>
      </c>
      <c r="G1763" s="1589">
        <v>0</v>
      </c>
      <c r="H1763" s="1589">
        <v>0.3</v>
      </c>
      <c r="I1763" s="1590">
        <f t="shared" si="158"/>
        <v>1.01</v>
      </c>
      <c r="J1763" s="1598" t="s">
        <v>102</v>
      </c>
      <c r="K1763" s="1585"/>
      <c r="L1763" s="1573"/>
      <c r="M1763" s="1585"/>
      <c r="N1763" s="1578" t="s">
        <v>2218</v>
      </c>
    </row>
    <row r="1764" spans="1:14" s="1586" customFormat="1" ht="15.75">
      <c r="A1764" s="1570"/>
      <c r="B1764" s="1585"/>
      <c r="C1764" s="1571">
        <v>2</v>
      </c>
      <c r="D1764" s="1587" t="s">
        <v>273</v>
      </c>
      <c r="E1764" s="1588">
        <v>2</v>
      </c>
      <c r="F1764" s="1589">
        <v>1.77</v>
      </c>
      <c r="G1764" s="1589">
        <v>0</v>
      </c>
      <c r="H1764" s="1589">
        <v>0.3</v>
      </c>
      <c r="I1764" s="1590">
        <f t="shared" si="158"/>
        <v>2.12</v>
      </c>
      <c r="J1764" s="1598" t="s">
        <v>102</v>
      </c>
      <c r="K1764" s="1585"/>
      <c r="L1764" s="1573"/>
      <c r="M1764" s="1585"/>
      <c r="N1764" s="1578" t="s">
        <v>2218</v>
      </c>
    </row>
    <row r="1765" spans="1:14" s="1586" customFormat="1" ht="15.75">
      <c r="A1765" s="1570"/>
      <c r="B1765" s="1585" t="s">
        <v>3828</v>
      </c>
      <c r="C1765" s="1571">
        <v>1</v>
      </c>
      <c r="D1765" s="1587" t="s">
        <v>273</v>
      </c>
      <c r="E1765" s="1588">
        <v>1</v>
      </c>
      <c r="F1765" s="1589">
        <v>10.45</v>
      </c>
      <c r="G1765" s="1589">
        <v>0.3</v>
      </c>
      <c r="H1765" s="1589">
        <v>0</v>
      </c>
      <c r="I1765" s="1590">
        <f t="shared" si="158"/>
        <v>3.14</v>
      </c>
      <c r="J1765" s="1598" t="s">
        <v>102</v>
      </c>
      <c r="K1765" s="1585"/>
      <c r="L1765" s="1573"/>
      <c r="M1765" s="1585"/>
      <c r="N1765" s="1578" t="s">
        <v>2218</v>
      </c>
    </row>
    <row r="1766" spans="1:14" s="1586" customFormat="1" ht="15.75">
      <c r="A1766" s="1570"/>
      <c r="B1766" s="1585" t="s">
        <v>3159</v>
      </c>
      <c r="C1766" s="1571">
        <v>1</v>
      </c>
      <c r="D1766" s="1587" t="s">
        <v>273</v>
      </c>
      <c r="E1766" s="1588">
        <v>2</v>
      </c>
      <c r="F1766" s="1589">
        <v>10.59</v>
      </c>
      <c r="G1766" s="1589">
        <v>0.3</v>
      </c>
      <c r="H1766" s="1589">
        <v>0</v>
      </c>
      <c r="I1766" s="1590">
        <f t="shared" si="158"/>
        <v>6.35</v>
      </c>
      <c r="J1766" s="1598" t="s">
        <v>102</v>
      </c>
      <c r="K1766" s="1585"/>
      <c r="L1766" s="1573"/>
      <c r="M1766" s="1585"/>
      <c r="N1766" s="1578" t="s">
        <v>2218</v>
      </c>
    </row>
    <row r="1767" spans="1:14" s="1586" customFormat="1" ht="15.75">
      <c r="A1767" s="1570"/>
      <c r="B1767" s="1585" t="s">
        <v>3829</v>
      </c>
      <c r="C1767" s="1571">
        <v>1</v>
      </c>
      <c r="D1767" s="1587" t="s">
        <v>273</v>
      </c>
      <c r="E1767" s="1588">
        <v>8</v>
      </c>
      <c r="F1767" s="1589">
        <v>1.5</v>
      </c>
      <c r="G1767" s="1589">
        <v>0.6</v>
      </c>
      <c r="H1767" s="1589">
        <v>0</v>
      </c>
      <c r="I1767" s="1590">
        <f t="shared" si="158"/>
        <v>7.2</v>
      </c>
      <c r="J1767" s="1598" t="s">
        <v>102</v>
      </c>
      <c r="K1767" s="1585"/>
      <c r="L1767" s="1573"/>
      <c r="M1767" s="1585"/>
      <c r="N1767" s="1578" t="s">
        <v>2218</v>
      </c>
    </row>
    <row r="1768" spans="1:14" s="1586" customFormat="1" ht="15.75">
      <c r="A1768" s="1570"/>
      <c r="B1768" s="1585" t="s">
        <v>3719</v>
      </c>
      <c r="C1768" s="1571">
        <v>1</v>
      </c>
      <c r="D1768" s="1587" t="s">
        <v>273</v>
      </c>
      <c r="E1768" s="1588">
        <v>2</v>
      </c>
      <c r="F1768" s="1589">
        <v>3.1</v>
      </c>
      <c r="G1768" s="1589">
        <v>0</v>
      </c>
      <c r="H1768" s="1589">
        <v>0.6</v>
      </c>
      <c r="I1768" s="1590">
        <f t="shared" si="158"/>
        <v>3.72</v>
      </c>
      <c r="J1768" s="1598" t="s">
        <v>102</v>
      </c>
      <c r="K1768" s="1585"/>
      <c r="L1768" s="1573"/>
      <c r="M1768" s="1585"/>
      <c r="N1768" s="1578" t="s">
        <v>2218</v>
      </c>
    </row>
    <row r="1769" spans="1:14" s="1586" customFormat="1" ht="15.75">
      <c r="A1769" s="1570"/>
      <c r="B1769" s="1585"/>
      <c r="C1769" s="1571">
        <v>1</v>
      </c>
      <c r="D1769" s="1587" t="s">
        <v>273</v>
      </c>
      <c r="E1769" s="1588">
        <v>2</v>
      </c>
      <c r="F1769" s="1589">
        <v>1.07</v>
      </c>
      <c r="G1769" s="1589">
        <v>0</v>
      </c>
      <c r="H1769" s="1589">
        <v>0.6</v>
      </c>
      <c r="I1769" s="1590">
        <f t="shared" si="158"/>
        <v>1.28</v>
      </c>
      <c r="J1769" s="1598" t="s">
        <v>102</v>
      </c>
      <c r="K1769" s="1585"/>
      <c r="L1769" s="1573"/>
      <c r="M1769" s="1585"/>
      <c r="N1769" s="1578" t="s">
        <v>2218</v>
      </c>
    </row>
    <row r="1770" spans="1:14" s="1586" customFormat="1" ht="15.75">
      <c r="A1770" s="1570"/>
      <c r="B1770" s="1585" t="s">
        <v>3830</v>
      </c>
      <c r="C1770" s="1571">
        <v>1</v>
      </c>
      <c r="D1770" s="1587" t="s">
        <v>273</v>
      </c>
      <c r="E1770" s="1588">
        <v>1</v>
      </c>
      <c r="F1770" s="1589">
        <v>3.5</v>
      </c>
      <c r="G1770" s="1589">
        <v>0</v>
      </c>
      <c r="H1770" s="1589">
        <v>1.35</v>
      </c>
      <c r="I1770" s="1590">
        <f t="shared" si="158"/>
        <v>4.7300000000000004</v>
      </c>
      <c r="J1770" s="1598" t="s">
        <v>102</v>
      </c>
      <c r="K1770" s="1585"/>
      <c r="L1770" s="1573"/>
      <c r="M1770" s="1585"/>
      <c r="N1770" s="1578" t="s">
        <v>2218</v>
      </c>
    </row>
    <row r="1771" spans="1:14" s="1586" customFormat="1" ht="15.75">
      <c r="A1771" s="1570"/>
      <c r="B1771" s="1585"/>
      <c r="C1771" s="1571">
        <v>1</v>
      </c>
      <c r="D1771" s="1587" t="s">
        <v>273</v>
      </c>
      <c r="E1771" s="1588">
        <v>1</v>
      </c>
      <c r="F1771" s="1589">
        <v>3.4</v>
      </c>
      <c r="G1771" s="1589">
        <v>0</v>
      </c>
      <c r="H1771" s="1589">
        <v>1.35</v>
      </c>
      <c r="I1771" s="1590">
        <f t="shared" si="158"/>
        <v>4.59</v>
      </c>
      <c r="J1771" s="1598" t="s">
        <v>102</v>
      </c>
      <c r="K1771" s="1585"/>
      <c r="L1771" s="1573"/>
      <c r="M1771" s="1585"/>
      <c r="N1771" s="1578" t="s">
        <v>2218</v>
      </c>
    </row>
    <row r="1772" spans="1:14" s="1586" customFormat="1" ht="15.75">
      <c r="A1772" s="1570"/>
      <c r="B1772" s="1585"/>
      <c r="C1772" s="1571">
        <v>1</v>
      </c>
      <c r="D1772" s="1587" t="s">
        <v>273</v>
      </c>
      <c r="E1772" s="1588">
        <v>2</v>
      </c>
      <c r="F1772" s="1589">
        <v>2.7</v>
      </c>
      <c r="G1772" s="1589">
        <v>0</v>
      </c>
      <c r="H1772" s="1589">
        <v>1.85</v>
      </c>
      <c r="I1772" s="1590">
        <f t="shared" si="158"/>
        <v>9.99</v>
      </c>
      <c r="J1772" s="1598" t="s">
        <v>102</v>
      </c>
      <c r="K1772" s="1585"/>
      <c r="L1772" s="1573"/>
      <c r="M1772" s="1585"/>
      <c r="N1772" s="1578" t="s">
        <v>2218</v>
      </c>
    </row>
    <row r="1773" spans="1:14" s="1586" customFormat="1" ht="15.75">
      <c r="A1773" s="1570"/>
      <c r="B1773" s="1585" t="s">
        <v>811</v>
      </c>
      <c r="C1773" s="1571">
        <v>1</v>
      </c>
      <c r="D1773" s="1587" t="s">
        <v>273</v>
      </c>
      <c r="E1773" s="1588">
        <v>2</v>
      </c>
      <c r="F1773" s="1589">
        <v>0.9</v>
      </c>
      <c r="G1773" s="1589">
        <v>0</v>
      </c>
      <c r="H1773" s="1589">
        <v>0.15</v>
      </c>
      <c r="I1773" s="1590">
        <f t="shared" si="158"/>
        <v>0.27</v>
      </c>
      <c r="J1773" s="1598" t="s">
        <v>102</v>
      </c>
      <c r="K1773" s="1585"/>
      <c r="L1773" s="1573"/>
      <c r="M1773" s="1585"/>
      <c r="N1773" s="1578" t="s">
        <v>2218</v>
      </c>
    </row>
    <row r="1774" spans="1:14" s="1586" customFormat="1" ht="15.75">
      <c r="A1774" s="1570"/>
      <c r="B1774" s="1585" t="s">
        <v>812</v>
      </c>
      <c r="C1774" s="1571">
        <v>1</v>
      </c>
      <c r="D1774" s="1587" t="s">
        <v>273</v>
      </c>
      <c r="E1774" s="1588">
        <v>2</v>
      </c>
      <c r="F1774" s="1589">
        <v>0.6</v>
      </c>
      <c r="G1774" s="1589">
        <v>0</v>
      </c>
      <c r="H1774" s="1589">
        <v>0.15</v>
      </c>
      <c r="I1774" s="1590">
        <f t="shared" si="158"/>
        <v>0.18</v>
      </c>
      <c r="J1774" s="1598" t="s">
        <v>102</v>
      </c>
      <c r="K1774" s="1585"/>
      <c r="L1774" s="1573"/>
      <c r="M1774" s="1585"/>
      <c r="N1774" s="1578" t="s">
        <v>2218</v>
      </c>
    </row>
    <row r="1775" spans="1:14" s="1586" customFormat="1" ht="15.75">
      <c r="A1775" s="1570"/>
      <c r="B1775" s="1585" t="s">
        <v>3165</v>
      </c>
      <c r="C1775" s="1571">
        <v>1</v>
      </c>
      <c r="D1775" s="1587" t="s">
        <v>273</v>
      </c>
      <c r="E1775" s="1588">
        <v>2</v>
      </c>
      <c r="F1775" s="1589">
        <v>0.3</v>
      </c>
      <c r="G1775" s="1589">
        <v>0</v>
      </c>
      <c r="H1775" s="1589">
        <v>0.15</v>
      </c>
      <c r="I1775" s="1590">
        <f t="shared" si="158"/>
        <v>0.09</v>
      </c>
      <c r="J1775" s="1598" t="s">
        <v>102</v>
      </c>
      <c r="K1775" s="1585"/>
      <c r="L1775" s="1573"/>
      <c r="M1775" s="1585"/>
      <c r="N1775" s="1578" t="s">
        <v>2218</v>
      </c>
    </row>
    <row r="1776" spans="1:14" s="1586" customFormat="1" ht="15.75">
      <c r="A1776" s="1570"/>
      <c r="B1776" s="1585" t="s">
        <v>3398</v>
      </c>
      <c r="C1776" s="1571">
        <v>1</v>
      </c>
      <c r="D1776" s="1587" t="s">
        <v>273</v>
      </c>
      <c r="E1776" s="1588">
        <v>1</v>
      </c>
      <c r="F1776" s="1589">
        <v>3.05</v>
      </c>
      <c r="G1776" s="1589">
        <v>0</v>
      </c>
      <c r="H1776" s="1589">
        <f>(0.5+1.5+0.5)/3</f>
        <v>0.83333333333333337</v>
      </c>
      <c r="I1776" s="1590">
        <f t="shared" si="158"/>
        <v>2.54</v>
      </c>
      <c r="J1776" s="1598" t="s">
        <v>102</v>
      </c>
      <c r="K1776" s="1585"/>
      <c r="L1776" s="1573"/>
      <c r="M1776" s="1585"/>
      <c r="N1776" s="1578" t="s">
        <v>2218</v>
      </c>
    </row>
    <row r="1777" spans="1:14" s="1586" customFormat="1" ht="15.75">
      <c r="A1777" s="1570"/>
      <c r="B1777" s="1585" t="s">
        <v>3612</v>
      </c>
      <c r="C1777" s="1571">
        <v>1</v>
      </c>
      <c r="D1777" s="1587" t="s">
        <v>273</v>
      </c>
      <c r="E1777" s="1588">
        <v>1</v>
      </c>
      <c r="F1777" s="1589">
        <v>3.5</v>
      </c>
      <c r="G1777" s="1589">
        <v>0</v>
      </c>
      <c r="H1777" s="1589">
        <v>0.8</v>
      </c>
      <c r="I1777" s="1590">
        <f t="shared" si="158"/>
        <v>2.8</v>
      </c>
      <c r="J1777" s="1598" t="s">
        <v>102</v>
      </c>
      <c r="K1777" s="1585"/>
      <c r="L1777" s="1573"/>
      <c r="M1777" s="1585"/>
      <c r="N1777" s="1578" t="s">
        <v>2218</v>
      </c>
    </row>
    <row r="1778" spans="1:14" s="1586" customFormat="1" ht="15.75">
      <c r="A1778" s="1570"/>
      <c r="B1778" s="1585"/>
      <c r="C1778" s="1571">
        <v>1</v>
      </c>
      <c r="D1778" s="1587" t="s">
        <v>273</v>
      </c>
      <c r="E1778" s="1588">
        <v>1</v>
      </c>
      <c r="F1778" s="1589">
        <v>3.4</v>
      </c>
      <c r="G1778" s="1589">
        <v>0</v>
      </c>
      <c r="H1778" s="1589">
        <v>0.8</v>
      </c>
      <c r="I1778" s="1590">
        <f t="shared" si="158"/>
        <v>2.72</v>
      </c>
      <c r="J1778" s="1598" t="s">
        <v>102</v>
      </c>
      <c r="K1778" s="1585"/>
      <c r="L1778" s="1573"/>
      <c r="M1778" s="1585"/>
      <c r="N1778" s="1578" t="s">
        <v>2218</v>
      </c>
    </row>
    <row r="1779" spans="1:14" s="1586" customFormat="1" ht="15.75">
      <c r="A1779" s="1570"/>
      <c r="B1779" s="1585" t="s">
        <v>3831</v>
      </c>
      <c r="C1779" s="1571">
        <v>4</v>
      </c>
      <c r="D1779" s="1587" t="s">
        <v>273</v>
      </c>
      <c r="E1779" s="1588">
        <v>3.14</v>
      </c>
      <c r="F1779" s="1589">
        <v>0.23</v>
      </c>
      <c r="G1779" s="1589">
        <v>0</v>
      </c>
      <c r="H1779" s="1589">
        <v>2.87</v>
      </c>
      <c r="I1779" s="1590">
        <f t="shared" si="158"/>
        <v>8.2899999999999991</v>
      </c>
      <c r="J1779" s="1598" t="s">
        <v>102</v>
      </c>
      <c r="K1779" s="1585"/>
      <c r="L1779" s="1573"/>
      <c r="M1779" s="1585"/>
      <c r="N1779" s="1578" t="s">
        <v>2218</v>
      </c>
    </row>
    <row r="1780" spans="1:14" s="1586" customFormat="1" ht="15.75">
      <c r="A1780" s="1570"/>
      <c r="B1780" s="1585" t="s">
        <v>3832</v>
      </c>
      <c r="C1780" s="1571">
        <v>1</v>
      </c>
      <c r="D1780" s="1587" t="s">
        <v>273</v>
      </c>
      <c r="E1780" s="1588">
        <v>1</v>
      </c>
      <c r="F1780" s="1589">
        <v>9.83</v>
      </c>
      <c r="G1780" s="1589">
        <v>0</v>
      </c>
      <c r="H1780" s="1589">
        <v>0.3</v>
      </c>
      <c r="I1780" s="1590">
        <f t="shared" si="158"/>
        <v>2.95</v>
      </c>
      <c r="J1780" s="1598" t="s">
        <v>102</v>
      </c>
      <c r="K1780" s="1585"/>
      <c r="L1780" s="1573"/>
      <c r="M1780" s="1585"/>
      <c r="N1780" s="1578" t="s">
        <v>2218</v>
      </c>
    </row>
    <row r="1781" spans="1:14" s="1586" customFormat="1" ht="15.75">
      <c r="A1781" s="1570"/>
      <c r="B1781" s="1585" t="s">
        <v>3833</v>
      </c>
      <c r="C1781" s="1571">
        <v>1</v>
      </c>
      <c r="D1781" s="1587" t="s">
        <v>273</v>
      </c>
      <c r="E1781" s="1588">
        <v>2</v>
      </c>
      <c r="F1781" s="1589">
        <v>1.1499999999999999</v>
      </c>
      <c r="G1781" s="1589">
        <v>0</v>
      </c>
      <c r="H1781" s="1589">
        <v>0.3</v>
      </c>
      <c r="I1781" s="1590">
        <f t="shared" si="158"/>
        <v>0.69</v>
      </c>
      <c r="J1781" s="1598" t="s">
        <v>102</v>
      </c>
      <c r="K1781" s="1585"/>
      <c r="L1781" s="1573"/>
      <c r="M1781" s="1585"/>
      <c r="N1781" s="1578" t="s">
        <v>2218</v>
      </c>
    </row>
    <row r="1782" spans="1:14" s="1586" customFormat="1" ht="15.75">
      <c r="A1782" s="1570"/>
      <c r="B1782" s="1585" t="s">
        <v>3834</v>
      </c>
      <c r="C1782" s="1571">
        <v>1</v>
      </c>
      <c r="D1782" s="1587" t="s">
        <v>273</v>
      </c>
      <c r="E1782" s="1588">
        <v>1</v>
      </c>
      <c r="F1782" s="1589">
        <v>9.83</v>
      </c>
      <c r="G1782" s="1589">
        <v>0</v>
      </c>
      <c r="H1782" s="1589">
        <v>0.125</v>
      </c>
      <c r="I1782" s="1590">
        <f t="shared" si="158"/>
        <v>1.23</v>
      </c>
      <c r="J1782" s="1598" t="s">
        <v>102</v>
      </c>
      <c r="K1782" s="1585"/>
      <c r="L1782" s="1573"/>
      <c r="M1782" s="1585"/>
      <c r="N1782" s="1578" t="s">
        <v>2218</v>
      </c>
    </row>
    <row r="1783" spans="1:14" s="1586" customFormat="1" ht="15.75">
      <c r="A1783" s="1570"/>
      <c r="B1783" s="1585" t="s">
        <v>3835</v>
      </c>
      <c r="C1783" s="1571">
        <v>1</v>
      </c>
      <c r="D1783" s="1587" t="s">
        <v>273</v>
      </c>
      <c r="E1783" s="1588">
        <v>2</v>
      </c>
      <c r="F1783" s="1589">
        <v>10.59</v>
      </c>
      <c r="G1783" s="1589">
        <v>0</v>
      </c>
      <c r="H1783" s="1589">
        <v>0.125</v>
      </c>
      <c r="I1783" s="1590">
        <f t="shared" si="158"/>
        <v>2.65</v>
      </c>
      <c r="J1783" s="1598" t="s">
        <v>102</v>
      </c>
      <c r="K1783" s="1585"/>
      <c r="L1783" s="1573"/>
      <c r="M1783" s="1585"/>
      <c r="N1783" s="1578" t="s">
        <v>2218</v>
      </c>
    </row>
    <row r="1784" spans="1:14" s="1586" customFormat="1" ht="16.5" customHeight="1">
      <c r="A1784" s="1570"/>
      <c r="B1784" s="1600"/>
      <c r="C1784" s="1601"/>
      <c r="D1784" s="1602"/>
      <c r="E1784" s="1603"/>
      <c r="F1784" s="1604"/>
      <c r="G1784" s="1604"/>
      <c r="H1784" s="1604"/>
      <c r="I1784" s="1605"/>
      <c r="J1784" s="1598"/>
      <c r="K1784" s="1585"/>
      <c r="L1784" s="1573"/>
      <c r="M1784" s="1585"/>
      <c r="N1784" s="1578" t="s">
        <v>2218</v>
      </c>
    </row>
    <row r="1785" spans="1:14" s="1575" customFormat="1" ht="15.75">
      <c r="A1785" s="1570"/>
      <c r="B1785" s="1585"/>
      <c r="C1785" s="1606"/>
      <c r="D1785" s="1587"/>
      <c r="E1785" s="1588"/>
      <c r="F1785" s="1589"/>
      <c r="G1785" s="1607"/>
      <c r="H1785" s="1570"/>
      <c r="I1785" s="1605">
        <f>SUM(I1759:I1784)</f>
        <v>206.78999999999996</v>
      </c>
      <c r="J1785" s="1598" t="s">
        <v>102</v>
      </c>
      <c r="K1785" s="1608">
        <f>data!E860</f>
        <v>166.22</v>
      </c>
      <c r="L1785" s="1573" t="s">
        <v>2218</v>
      </c>
      <c r="M1785" s="1609">
        <f>ROUND(I1785*K1785,0)</f>
        <v>34373</v>
      </c>
      <c r="N1785" s="1578" t="s">
        <v>2218</v>
      </c>
    </row>
    <row r="1786" spans="1:14" ht="94.5" hidden="1" customHeight="1">
      <c r="A1786" s="1156">
        <v>39</v>
      </c>
      <c r="B1786" s="1831" t="s">
        <v>1168</v>
      </c>
      <c r="C1786" s="1832"/>
      <c r="D1786" s="1832"/>
      <c r="E1786" s="1832"/>
      <c r="F1786" s="1832"/>
      <c r="G1786" s="1832"/>
      <c r="H1786" s="1834"/>
      <c r="I1786" s="1157"/>
      <c r="J1786" s="1158"/>
      <c r="K1786" s="1156"/>
      <c r="L1786" s="1159"/>
      <c r="M1786" s="1160"/>
      <c r="N1786" s="1161" t="s">
        <v>2306</v>
      </c>
    </row>
    <row r="1787" spans="1:14" s="1170" customFormat="1" ht="15.75" hidden="1">
      <c r="A1787" s="1156"/>
      <c r="B1787" s="1169" t="s">
        <v>3610</v>
      </c>
      <c r="C1787" s="1157"/>
      <c r="D1787" s="1548" t="s">
        <v>3650</v>
      </c>
      <c r="E1787" s="1165"/>
      <c r="F1787" s="1166"/>
      <c r="G1787" s="1166"/>
      <c r="H1787" s="1166"/>
      <c r="I1787" s="1167"/>
      <c r="J1787" s="1168"/>
      <c r="K1787" s="1169"/>
      <c r="L1787" s="1159"/>
      <c r="M1787" s="1169"/>
      <c r="N1787" s="1161" t="s">
        <v>2306</v>
      </c>
    </row>
    <row r="1788" spans="1:14" s="1170" customFormat="1" ht="15.75" hidden="1">
      <c r="A1788" s="1156"/>
      <c r="B1788" s="1169" t="s">
        <v>2136</v>
      </c>
      <c r="C1788" s="1157">
        <v>1</v>
      </c>
      <c r="D1788" s="1171" t="s">
        <v>273</v>
      </c>
      <c r="E1788" s="1165">
        <v>2</v>
      </c>
      <c r="F1788" s="1166">
        <v>10.6</v>
      </c>
      <c r="G1788" s="1166">
        <v>0</v>
      </c>
      <c r="H1788" s="1166">
        <v>3.65</v>
      </c>
      <c r="I1788" s="1172">
        <f t="shared" ref="I1788:I1794" si="159">ROUND(IF(AND(F1788:H1788),C1788*E1788*F1788*G1788*H1788,IF(AND(F1788,G1788),C1788*E1788*F1788*G1788,IF(AND(F1788,H1788),C1788*E1788*F1788*H1788,IF(AND(G1788,H1788),C1788*E1788*G1788*H1788,IF(F1788,C1788*E1788*F1788,IF(G1788,C1788*E1788*G1788,IF(H1788,C1788*E1788*H1788,C1788*E1788))))))),2)</f>
        <v>77.38</v>
      </c>
      <c r="J1788" s="1168" t="s">
        <v>102</v>
      </c>
      <c r="K1788" s="1169"/>
      <c r="L1788" s="1159"/>
      <c r="M1788" s="1169"/>
      <c r="N1788" s="1161" t="s">
        <v>2306</v>
      </c>
    </row>
    <row r="1789" spans="1:14" s="1170" customFormat="1" ht="16.5" hidden="1" customHeight="1">
      <c r="A1789" s="1156"/>
      <c r="B1789" s="1169" t="s">
        <v>3183</v>
      </c>
      <c r="C1789" s="1157">
        <v>1</v>
      </c>
      <c r="D1789" s="1171" t="s">
        <v>273</v>
      </c>
      <c r="E1789" s="1165">
        <v>1</v>
      </c>
      <c r="F1789" s="1166">
        <v>9.83</v>
      </c>
      <c r="G1789" s="1166">
        <v>0</v>
      </c>
      <c r="H1789" s="1166">
        <v>3.65</v>
      </c>
      <c r="I1789" s="1172">
        <f t="shared" si="159"/>
        <v>35.880000000000003</v>
      </c>
      <c r="J1789" s="1168" t="s">
        <v>102</v>
      </c>
      <c r="K1789" s="1169"/>
      <c r="L1789" s="1159"/>
      <c r="M1789" s="1169"/>
      <c r="N1789" s="1161" t="s">
        <v>2306</v>
      </c>
    </row>
    <row r="1790" spans="1:14" s="1170" customFormat="1" ht="16.5" hidden="1" customHeight="1">
      <c r="A1790" s="1156"/>
      <c r="B1790" s="1169" t="s">
        <v>3157</v>
      </c>
      <c r="C1790" s="1157">
        <v>1</v>
      </c>
      <c r="D1790" s="1171" t="s">
        <v>273</v>
      </c>
      <c r="E1790" s="1165">
        <v>1</v>
      </c>
      <c r="F1790" s="1166">
        <v>9.83</v>
      </c>
      <c r="G1790" s="1166">
        <v>0</v>
      </c>
      <c r="H1790" s="1166">
        <v>3.15</v>
      </c>
      <c r="I1790" s="1172">
        <f t="shared" si="159"/>
        <v>30.96</v>
      </c>
      <c r="J1790" s="1168" t="s">
        <v>102</v>
      </c>
      <c r="K1790" s="1169"/>
      <c r="L1790" s="1159"/>
      <c r="M1790" s="1169"/>
      <c r="N1790" s="1161" t="s">
        <v>2306</v>
      </c>
    </row>
    <row r="1791" spans="1:14" s="1170" customFormat="1" ht="16.5" hidden="1" customHeight="1">
      <c r="A1791" s="1156"/>
      <c r="B1791" s="1169" t="s">
        <v>3611</v>
      </c>
      <c r="C1791" s="1157">
        <v>1</v>
      </c>
      <c r="D1791" s="1171" t="s">
        <v>273</v>
      </c>
      <c r="E1791" s="1165">
        <v>2</v>
      </c>
      <c r="F1791" s="1166">
        <v>11.67</v>
      </c>
      <c r="G1791" s="1166">
        <v>0</v>
      </c>
      <c r="H1791" s="1166">
        <v>0.65</v>
      </c>
      <c r="I1791" s="1172">
        <f t="shared" si="159"/>
        <v>15.17</v>
      </c>
      <c r="J1791" s="1168" t="s">
        <v>102</v>
      </c>
      <c r="K1791" s="1169"/>
      <c r="L1791" s="1159"/>
      <c r="M1791" s="1169"/>
      <c r="N1791" s="1161" t="s">
        <v>2306</v>
      </c>
    </row>
    <row r="1792" spans="1:14" s="1170" customFormat="1" ht="16.5" hidden="1" customHeight="1">
      <c r="A1792" s="1156"/>
      <c r="B1792" s="1169" t="s">
        <v>3598</v>
      </c>
      <c r="C1792" s="1157">
        <v>1</v>
      </c>
      <c r="D1792" s="1171" t="s">
        <v>273</v>
      </c>
      <c r="E1792" s="1165">
        <v>1</v>
      </c>
      <c r="F1792" s="1166">
        <v>9.83</v>
      </c>
      <c r="G1792" s="1166">
        <v>0</v>
      </c>
      <c r="H1792" s="1166">
        <v>0.65</v>
      </c>
      <c r="I1792" s="1172">
        <f t="shared" si="159"/>
        <v>6.39</v>
      </c>
      <c r="J1792" s="1168" t="s">
        <v>102</v>
      </c>
      <c r="K1792" s="1169"/>
      <c r="L1792" s="1159"/>
      <c r="M1792" s="1169"/>
      <c r="N1792" s="1161" t="s">
        <v>2306</v>
      </c>
    </row>
    <row r="1793" spans="1:14" s="1170" customFormat="1" ht="16.5" hidden="1" customHeight="1">
      <c r="A1793" s="1156"/>
      <c r="B1793" s="1169" t="s">
        <v>1246</v>
      </c>
      <c r="C1793" s="1157">
        <v>1</v>
      </c>
      <c r="D1793" s="1171" t="s">
        <v>273</v>
      </c>
      <c r="E1793" s="1165">
        <v>1</v>
      </c>
      <c r="F1793" s="1166">
        <v>8.14</v>
      </c>
      <c r="G1793" s="1166">
        <v>0</v>
      </c>
      <c r="H1793" s="1166">
        <v>0.8</v>
      </c>
      <c r="I1793" s="1172">
        <f t="shared" si="159"/>
        <v>6.51</v>
      </c>
      <c r="J1793" s="1168" t="s">
        <v>102</v>
      </c>
      <c r="K1793" s="1169"/>
      <c r="L1793" s="1159"/>
      <c r="M1793" s="1169"/>
      <c r="N1793" s="1161" t="s">
        <v>2306</v>
      </c>
    </row>
    <row r="1794" spans="1:14" s="1170" customFormat="1" ht="16.5" hidden="1" customHeight="1">
      <c r="A1794" s="1156"/>
      <c r="B1794" s="1169" t="s">
        <v>3612</v>
      </c>
      <c r="C1794" s="1157">
        <v>1</v>
      </c>
      <c r="D1794" s="1171" t="s">
        <v>273</v>
      </c>
      <c r="E1794" s="1165">
        <v>1</v>
      </c>
      <c r="F1794" s="1166">
        <v>42.3</v>
      </c>
      <c r="G1794" s="1166">
        <v>1.7</v>
      </c>
      <c r="H1794" s="1166">
        <v>0</v>
      </c>
      <c r="I1794" s="1172">
        <f t="shared" si="159"/>
        <v>71.91</v>
      </c>
      <c r="J1794" s="1168" t="s">
        <v>102</v>
      </c>
      <c r="K1794" s="1169"/>
      <c r="L1794" s="1159"/>
      <c r="M1794" s="1169"/>
      <c r="N1794" s="1161" t="s">
        <v>2306</v>
      </c>
    </row>
    <row r="1795" spans="1:14" s="1170" customFormat="1" ht="16.5" hidden="1" customHeight="1">
      <c r="A1795" s="1156"/>
      <c r="B1795" s="1331"/>
      <c r="C1795" s="1332"/>
      <c r="D1795" s="1333"/>
      <c r="E1795" s="1334"/>
      <c r="F1795" s="1335"/>
      <c r="G1795" s="1335"/>
      <c r="H1795" s="1335"/>
      <c r="I1795" s="1336"/>
      <c r="J1795" s="1168"/>
      <c r="K1795" s="1169"/>
      <c r="L1795" s="1159"/>
      <c r="M1795" s="1169"/>
      <c r="N1795" s="1161" t="s">
        <v>2306</v>
      </c>
    </row>
    <row r="1796" spans="1:14" ht="15.75" hidden="1">
      <c r="A1796" s="1156"/>
      <c r="B1796" s="1169"/>
      <c r="C1796" s="1337"/>
      <c r="D1796" s="1171"/>
      <c r="E1796" s="1165"/>
      <c r="F1796" s="1166"/>
      <c r="G1796" s="1343"/>
      <c r="H1796" s="1156"/>
      <c r="I1796" s="1336"/>
      <c r="J1796" s="1168" t="s">
        <v>102</v>
      </c>
      <c r="K1796" s="1221">
        <f>data!E1777</f>
        <v>177.63</v>
      </c>
      <c r="L1796" s="1159" t="s">
        <v>2306</v>
      </c>
      <c r="M1796" s="1224">
        <f>ROUND(I1796*K1796,0)</f>
        <v>0</v>
      </c>
      <c r="N1796" s="1161" t="s">
        <v>2306</v>
      </c>
    </row>
    <row r="1797" spans="1:14" ht="94.5" hidden="1" customHeight="1">
      <c r="A1797" s="1156">
        <v>37</v>
      </c>
      <c r="B1797" s="1831" t="s">
        <v>1168</v>
      </c>
      <c r="C1797" s="1832"/>
      <c r="D1797" s="1832"/>
      <c r="E1797" s="1832"/>
      <c r="F1797" s="1832"/>
      <c r="G1797" s="1832"/>
      <c r="H1797" s="1834"/>
      <c r="I1797" s="1157"/>
      <c r="J1797" s="1158"/>
      <c r="K1797" s="1156"/>
      <c r="L1797" s="1159"/>
      <c r="M1797" s="1160"/>
      <c r="N1797" s="1161" t="s">
        <v>2317</v>
      </c>
    </row>
    <row r="1798" spans="1:14" s="1170" customFormat="1" ht="15.75" hidden="1">
      <c r="A1798" s="1156"/>
      <c r="B1798" s="1163" t="s">
        <v>3715</v>
      </c>
      <c r="C1798" s="1157"/>
      <c r="D1798" s="1548" t="s">
        <v>3744</v>
      </c>
      <c r="E1798" s="1165"/>
      <c r="F1798" s="1166"/>
      <c r="G1798" s="1166"/>
      <c r="H1798" s="1166"/>
      <c r="I1798" s="1167"/>
      <c r="J1798" s="1168"/>
      <c r="K1798" s="1169"/>
      <c r="L1798" s="1159"/>
      <c r="M1798" s="1169"/>
      <c r="N1798" s="1161" t="s">
        <v>2317</v>
      </c>
    </row>
    <row r="1799" spans="1:14" s="1170" customFormat="1" ht="15.75" hidden="1">
      <c r="A1799" s="1156"/>
      <c r="B1799" s="1169" t="s">
        <v>3716</v>
      </c>
      <c r="C1799" s="1157">
        <v>1</v>
      </c>
      <c r="D1799" s="1171" t="s">
        <v>273</v>
      </c>
      <c r="E1799" s="1165">
        <v>1</v>
      </c>
      <c r="F1799" s="1166">
        <v>40.840000000000003</v>
      </c>
      <c r="G1799" s="1166">
        <v>0</v>
      </c>
      <c r="H1799" s="1166">
        <v>3.15</v>
      </c>
      <c r="I1799" s="1172">
        <f t="shared" ref="I1799:I1819" si="160">ROUND(IF(AND(F1799:H1799),C1799*E1799*F1799*G1799*H1799,IF(AND(F1799,G1799),C1799*E1799*F1799*G1799,IF(AND(F1799,H1799),C1799*E1799*F1799*H1799,IF(AND(G1799,H1799),C1799*E1799*G1799*H1799,IF(F1799,C1799*E1799*F1799,IF(G1799,C1799*E1799*G1799,IF(H1799,C1799*E1799*H1799,C1799*E1799))))))),2)</f>
        <v>128.65</v>
      </c>
      <c r="J1799" s="1168" t="s">
        <v>102</v>
      </c>
      <c r="K1799" s="1169"/>
      <c r="L1799" s="1159"/>
      <c r="M1799" s="1169"/>
      <c r="N1799" s="1161" t="s">
        <v>2317</v>
      </c>
    </row>
    <row r="1800" spans="1:14" s="1170" customFormat="1" ht="16.5" hidden="1" customHeight="1">
      <c r="A1800" s="1156"/>
      <c r="B1800" s="1169" t="s">
        <v>3687</v>
      </c>
      <c r="C1800" s="1157">
        <v>1</v>
      </c>
      <c r="D1800" s="1171" t="s">
        <v>273</v>
      </c>
      <c r="E1800" s="1165">
        <v>1</v>
      </c>
      <c r="F1800" s="1166">
        <v>31.01</v>
      </c>
      <c r="G1800" s="1166">
        <v>0</v>
      </c>
      <c r="H1800" s="1166">
        <v>1.2</v>
      </c>
      <c r="I1800" s="1172">
        <f t="shared" si="160"/>
        <v>37.21</v>
      </c>
      <c r="J1800" s="1168" t="s">
        <v>102</v>
      </c>
      <c r="K1800" s="1169"/>
      <c r="L1800" s="1159"/>
      <c r="M1800" s="1169"/>
      <c r="N1800" s="1161" t="s">
        <v>2317</v>
      </c>
    </row>
    <row r="1801" spans="1:14" s="1170" customFormat="1" ht="16.5" hidden="1" customHeight="1">
      <c r="A1801" s="1156"/>
      <c r="B1801" s="1169" t="s">
        <v>578</v>
      </c>
      <c r="C1801" s="1157">
        <v>1</v>
      </c>
      <c r="D1801" s="1171" t="s">
        <v>273</v>
      </c>
      <c r="E1801" s="1165">
        <v>1</v>
      </c>
      <c r="F1801" s="1166">
        <v>9.83</v>
      </c>
      <c r="G1801" s="1166">
        <v>1.08</v>
      </c>
      <c r="H1801" s="1166">
        <v>0</v>
      </c>
      <c r="I1801" s="1172">
        <f t="shared" si="160"/>
        <v>10.62</v>
      </c>
      <c r="J1801" s="1168" t="s">
        <v>102</v>
      </c>
      <c r="K1801" s="1169"/>
      <c r="L1801" s="1159"/>
      <c r="M1801" s="1169"/>
      <c r="N1801" s="1161" t="s">
        <v>2317</v>
      </c>
    </row>
    <row r="1802" spans="1:14" s="1170" customFormat="1" ht="16.5" hidden="1" customHeight="1">
      <c r="A1802" s="1156"/>
      <c r="B1802" s="1169"/>
      <c r="C1802" s="1157">
        <v>1</v>
      </c>
      <c r="D1802" s="1171" t="s">
        <v>273</v>
      </c>
      <c r="E1802" s="1165">
        <v>1</v>
      </c>
      <c r="F1802" s="1166">
        <v>3.51</v>
      </c>
      <c r="G1802" s="1166">
        <v>0.93</v>
      </c>
      <c r="H1802" s="1166">
        <v>0</v>
      </c>
      <c r="I1802" s="1172">
        <f t="shared" si="160"/>
        <v>3.26</v>
      </c>
      <c r="J1802" s="1168" t="s">
        <v>102</v>
      </c>
      <c r="K1802" s="1169"/>
      <c r="L1802" s="1159"/>
      <c r="M1802" s="1169"/>
      <c r="N1802" s="1161" t="s">
        <v>2317</v>
      </c>
    </row>
    <row r="1803" spans="1:14" s="1170" customFormat="1" ht="16.5" hidden="1" customHeight="1">
      <c r="A1803" s="1156"/>
      <c r="B1803" s="1169" t="s">
        <v>3684</v>
      </c>
      <c r="C1803" s="1157">
        <v>1</v>
      </c>
      <c r="D1803" s="1171" t="s">
        <v>273</v>
      </c>
      <c r="E1803" s="1165">
        <v>2</v>
      </c>
      <c r="F1803" s="1166">
        <v>11.66</v>
      </c>
      <c r="G1803" s="1166">
        <v>0.3</v>
      </c>
      <c r="H1803" s="1166">
        <v>0</v>
      </c>
      <c r="I1803" s="1172">
        <f t="shared" si="160"/>
        <v>7</v>
      </c>
      <c r="J1803" s="1168" t="s">
        <v>102</v>
      </c>
      <c r="K1803" s="1169"/>
      <c r="L1803" s="1159"/>
      <c r="M1803" s="1169"/>
      <c r="N1803" s="1161" t="s">
        <v>2317</v>
      </c>
    </row>
    <row r="1804" spans="1:14" s="1170" customFormat="1" ht="16.5" hidden="1" customHeight="1">
      <c r="A1804" s="1156"/>
      <c r="B1804" s="1169"/>
      <c r="C1804" s="1157">
        <v>1</v>
      </c>
      <c r="D1804" s="1171" t="s">
        <v>273</v>
      </c>
      <c r="E1804" s="1165">
        <v>1</v>
      </c>
      <c r="F1804" s="1166">
        <v>10.43</v>
      </c>
      <c r="G1804" s="1166">
        <v>0.3</v>
      </c>
      <c r="H1804" s="1166">
        <v>0</v>
      </c>
      <c r="I1804" s="1172">
        <f t="shared" si="160"/>
        <v>3.13</v>
      </c>
      <c r="J1804" s="1168" t="s">
        <v>102</v>
      </c>
      <c r="K1804" s="1169"/>
      <c r="L1804" s="1159"/>
      <c r="M1804" s="1169"/>
      <c r="N1804" s="1161" t="s">
        <v>2317</v>
      </c>
    </row>
    <row r="1805" spans="1:14" s="1170" customFormat="1" ht="16.5" hidden="1" customHeight="1">
      <c r="A1805" s="1156"/>
      <c r="B1805" s="1169" t="s">
        <v>3717</v>
      </c>
      <c r="C1805" s="1157">
        <v>1</v>
      </c>
      <c r="D1805" s="1171" t="s">
        <v>273</v>
      </c>
      <c r="E1805" s="1165">
        <v>2</v>
      </c>
      <c r="F1805" s="1166">
        <v>1.5</v>
      </c>
      <c r="G1805" s="1166">
        <v>0</v>
      </c>
      <c r="H1805" s="1166">
        <v>0.15</v>
      </c>
      <c r="I1805" s="1172">
        <f t="shared" si="160"/>
        <v>0.45</v>
      </c>
      <c r="J1805" s="1168" t="s">
        <v>102</v>
      </c>
      <c r="K1805" s="1169"/>
      <c r="L1805" s="1159"/>
      <c r="M1805" s="1169"/>
      <c r="N1805" s="1161" t="s">
        <v>2317</v>
      </c>
    </row>
    <row r="1806" spans="1:14" s="1170" customFormat="1" ht="16.5" hidden="1" customHeight="1">
      <c r="A1806" s="1156"/>
      <c r="B1806" s="1169" t="s">
        <v>812</v>
      </c>
      <c r="C1806" s="1157">
        <v>1</v>
      </c>
      <c r="D1806" s="1171" t="s">
        <v>273</v>
      </c>
      <c r="E1806" s="1165">
        <v>2</v>
      </c>
      <c r="F1806" s="1166">
        <v>1.2</v>
      </c>
      <c r="G1806" s="1166">
        <v>0</v>
      </c>
      <c r="H1806" s="1166">
        <v>0.15</v>
      </c>
      <c r="I1806" s="1172">
        <f t="shared" si="160"/>
        <v>0.36</v>
      </c>
      <c r="J1806" s="1168" t="s">
        <v>102</v>
      </c>
      <c r="K1806" s="1169"/>
      <c r="L1806" s="1159"/>
      <c r="M1806" s="1169"/>
      <c r="N1806" s="1161" t="s">
        <v>2317</v>
      </c>
    </row>
    <row r="1807" spans="1:14" s="1170" customFormat="1" ht="16.5" hidden="1" customHeight="1">
      <c r="A1807" s="1156"/>
      <c r="B1807" s="1169" t="s">
        <v>3165</v>
      </c>
      <c r="C1807" s="1157">
        <v>1</v>
      </c>
      <c r="D1807" s="1171" t="s">
        <v>273</v>
      </c>
      <c r="E1807" s="1165">
        <v>2</v>
      </c>
      <c r="F1807" s="1166">
        <v>0.9</v>
      </c>
      <c r="G1807" s="1166">
        <v>0</v>
      </c>
      <c r="H1807" s="1166">
        <v>0.15</v>
      </c>
      <c r="I1807" s="1172">
        <f t="shared" si="160"/>
        <v>0.27</v>
      </c>
      <c r="J1807" s="1168" t="s">
        <v>102</v>
      </c>
      <c r="K1807" s="1169"/>
      <c r="L1807" s="1159"/>
      <c r="M1807" s="1169"/>
      <c r="N1807" s="1161" t="s">
        <v>2317</v>
      </c>
    </row>
    <row r="1808" spans="1:14" s="1170" customFormat="1" ht="16.5" hidden="1" customHeight="1">
      <c r="A1808" s="1156"/>
      <c r="B1808" s="1169" t="s">
        <v>3589</v>
      </c>
      <c r="C1808" s="1157">
        <v>1</v>
      </c>
      <c r="D1808" s="1171" t="s">
        <v>273</v>
      </c>
      <c r="E1808" s="1165">
        <v>2</v>
      </c>
      <c r="F1808" s="1166">
        <v>0.6</v>
      </c>
      <c r="G1808" s="1166">
        <v>0</v>
      </c>
      <c r="H1808" s="1166">
        <v>0.15</v>
      </c>
      <c r="I1808" s="1172">
        <f t="shared" si="160"/>
        <v>0.18</v>
      </c>
      <c r="J1808" s="1168" t="s">
        <v>102</v>
      </c>
      <c r="K1808" s="1169"/>
      <c r="L1808" s="1159"/>
      <c r="M1808" s="1169"/>
      <c r="N1808" s="1161" t="s">
        <v>2317</v>
      </c>
    </row>
    <row r="1809" spans="1:14" s="1170" customFormat="1" ht="16.5" hidden="1" customHeight="1">
      <c r="A1809" s="1156"/>
      <c r="B1809" s="1169" t="s">
        <v>3590</v>
      </c>
      <c r="C1809" s="1157">
        <v>1</v>
      </c>
      <c r="D1809" s="1171" t="s">
        <v>273</v>
      </c>
      <c r="E1809" s="1165">
        <v>2</v>
      </c>
      <c r="F1809" s="1166">
        <v>0.3</v>
      </c>
      <c r="G1809" s="1166">
        <v>0</v>
      </c>
      <c r="H1809" s="1166">
        <v>0.15</v>
      </c>
      <c r="I1809" s="1172">
        <f t="shared" si="160"/>
        <v>0.09</v>
      </c>
      <c r="J1809" s="1168" t="s">
        <v>102</v>
      </c>
      <c r="K1809" s="1169"/>
      <c r="L1809" s="1159"/>
      <c r="M1809" s="1169"/>
      <c r="N1809" s="1161" t="s">
        <v>2317</v>
      </c>
    </row>
    <row r="1810" spans="1:14" s="1170" customFormat="1" ht="16.5" hidden="1" customHeight="1">
      <c r="A1810" s="1156"/>
      <c r="B1810" s="1169" t="s">
        <v>3612</v>
      </c>
      <c r="C1810" s="1157">
        <v>1</v>
      </c>
      <c r="D1810" s="1171" t="s">
        <v>273</v>
      </c>
      <c r="E1810" s="1165">
        <v>1</v>
      </c>
      <c r="F1810" s="1166">
        <v>10.65</v>
      </c>
      <c r="G1810" s="1166">
        <v>0</v>
      </c>
      <c r="H1810" s="1166">
        <v>1.5</v>
      </c>
      <c r="I1810" s="1172">
        <f t="shared" si="160"/>
        <v>15.98</v>
      </c>
      <c r="J1810" s="1168" t="s">
        <v>102</v>
      </c>
      <c r="K1810" s="1169"/>
      <c r="L1810" s="1159"/>
      <c r="M1810" s="1169"/>
      <c r="N1810" s="1161" t="s">
        <v>2317</v>
      </c>
    </row>
    <row r="1811" spans="1:14" s="1170" customFormat="1" ht="16.5" hidden="1" customHeight="1">
      <c r="A1811" s="1156"/>
      <c r="B1811" s="1169"/>
      <c r="C1811" s="1157">
        <v>1</v>
      </c>
      <c r="D1811" s="1171" t="s">
        <v>273</v>
      </c>
      <c r="E1811" s="1165">
        <v>1</v>
      </c>
      <c r="F1811" s="1166">
        <v>9.6999999999999993</v>
      </c>
      <c r="G1811" s="1166">
        <v>0</v>
      </c>
      <c r="H1811" s="1166">
        <v>1.5</v>
      </c>
      <c r="I1811" s="1172">
        <f t="shared" si="160"/>
        <v>14.55</v>
      </c>
      <c r="J1811" s="1168" t="s">
        <v>102</v>
      </c>
      <c r="K1811" s="1169"/>
      <c r="L1811" s="1159"/>
      <c r="M1811" s="1169"/>
      <c r="N1811" s="1161" t="s">
        <v>2317</v>
      </c>
    </row>
    <row r="1812" spans="1:14" s="1170" customFormat="1" ht="16.5" hidden="1" customHeight="1">
      <c r="A1812" s="1156"/>
      <c r="B1812" s="1169"/>
      <c r="C1812" s="1157">
        <v>1</v>
      </c>
      <c r="D1812" s="1171" t="s">
        <v>273</v>
      </c>
      <c r="E1812" s="1165">
        <v>1</v>
      </c>
      <c r="F1812" s="1166">
        <v>10.65</v>
      </c>
      <c r="G1812" s="1166">
        <v>0</v>
      </c>
      <c r="H1812" s="1166">
        <v>1.5</v>
      </c>
      <c r="I1812" s="1172">
        <f t="shared" si="160"/>
        <v>15.98</v>
      </c>
      <c r="J1812" s="1168" t="s">
        <v>102</v>
      </c>
      <c r="K1812" s="1169"/>
      <c r="L1812" s="1159"/>
      <c r="M1812" s="1169"/>
      <c r="N1812" s="1161" t="s">
        <v>2317</v>
      </c>
    </row>
    <row r="1813" spans="1:14" s="1170" customFormat="1" ht="16.5" hidden="1" customHeight="1">
      <c r="A1813" s="1156"/>
      <c r="B1813" s="1169" t="s">
        <v>3398</v>
      </c>
      <c r="C1813" s="1157">
        <v>1</v>
      </c>
      <c r="D1813" s="1171" t="s">
        <v>273</v>
      </c>
      <c r="E1813" s="1165">
        <v>1</v>
      </c>
      <c r="F1813" s="1166">
        <v>3.15</v>
      </c>
      <c r="G1813" s="1166">
        <v>0</v>
      </c>
      <c r="H1813" s="1166">
        <v>2.1</v>
      </c>
      <c r="I1813" s="1172">
        <f t="shared" si="160"/>
        <v>6.62</v>
      </c>
      <c r="J1813" s="1168" t="s">
        <v>102</v>
      </c>
      <c r="K1813" s="1169"/>
      <c r="L1813" s="1159"/>
      <c r="M1813" s="1169"/>
      <c r="N1813" s="1161" t="s">
        <v>2317</v>
      </c>
    </row>
    <row r="1814" spans="1:14" s="1170" customFormat="1" ht="16.5" hidden="1" customHeight="1">
      <c r="A1814" s="1156"/>
      <c r="B1814" s="1169"/>
      <c r="C1814" s="1157">
        <v>1</v>
      </c>
      <c r="D1814" s="1171" t="s">
        <v>273</v>
      </c>
      <c r="E1814" s="1165">
        <v>1</v>
      </c>
      <c r="F1814" s="1166">
        <v>3.5</v>
      </c>
      <c r="G1814" s="1166">
        <v>0</v>
      </c>
      <c r="H1814" s="1166">
        <v>1.5</v>
      </c>
      <c r="I1814" s="1172">
        <f t="shared" si="160"/>
        <v>5.25</v>
      </c>
      <c r="J1814" s="1168" t="s">
        <v>102</v>
      </c>
      <c r="K1814" s="1169"/>
      <c r="L1814" s="1159"/>
      <c r="M1814" s="1169"/>
      <c r="N1814" s="1161" t="s">
        <v>2317</v>
      </c>
    </row>
    <row r="1815" spans="1:14" s="1170" customFormat="1" ht="16.5" hidden="1" customHeight="1">
      <c r="A1815" s="1156"/>
      <c r="B1815" s="1169"/>
      <c r="C1815" s="1157">
        <v>1</v>
      </c>
      <c r="D1815" s="1171" t="s">
        <v>273</v>
      </c>
      <c r="E1815" s="1165">
        <v>1</v>
      </c>
      <c r="F1815" s="1166">
        <v>3.2</v>
      </c>
      <c r="G1815" s="1166">
        <v>0</v>
      </c>
      <c r="H1815" s="1166">
        <v>2.1</v>
      </c>
      <c r="I1815" s="1172">
        <f t="shared" si="160"/>
        <v>6.72</v>
      </c>
      <c r="J1815" s="1168" t="s">
        <v>102</v>
      </c>
      <c r="K1815" s="1169"/>
      <c r="L1815" s="1159"/>
      <c r="M1815" s="1169"/>
      <c r="N1815" s="1161" t="s">
        <v>2317</v>
      </c>
    </row>
    <row r="1816" spans="1:14" s="1170" customFormat="1" ht="16.5" hidden="1" customHeight="1">
      <c r="A1816" s="1156"/>
      <c r="B1816" s="1169" t="s">
        <v>3718</v>
      </c>
      <c r="C1816" s="1157">
        <v>1</v>
      </c>
      <c r="D1816" s="1171" t="s">
        <v>273</v>
      </c>
      <c r="E1816" s="1165">
        <v>6</v>
      </c>
      <c r="F1816" s="1166">
        <v>1.6</v>
      </c>
      <c r="G1816" s="1166">
        <v>0</v>
      </c>
      <c r="H1816" s="1166">
        <v>0.7</v>
      </c>
      <c r="I1816" s="1172">
        <f t="shared" si="160"/>
        <v>6.72</v>
      </c>
      <c r="J1816" s="1168" t="s">
        <v>102</v>
      </c>
      <c r="K1816" s="1169"/>
      <c r="L1816" s="1159"/>
      <c r="M1816" s="1169"/>
      <c r="N1816" s="1161" t="s">
        <v>2317</v>
      </c>
    </row>
    <row r="1817" spans="1:14" s="1170" customFormat="1" ht="16.5" hidden="1" customHeight="1">
      <c r="A1817" s="1156"/>
      <c r="B1817" s="1169"/>
      <c r="C1817" s="1157">
        <v>1</v>
      </c>
      <c r="D1817" s="1171" t="s">
        <v>273</v>
      </c>
      <c r="E1817" s="1165">
        <v>4</v>
      </c>
      <c r="F1817" s="1166">
        <v>1.5</v>
      </c>
      <c r="G1817" s="1166">
        <v>0</v>
      </c>
      <c r="H1817" s="1166">
        <v>0.7</v>
      </c>
      <c r="I1817" s="1172">
        <f t="shared" si="160"/>
        <v>4.2</v>
      </c>
      <c r="J1817" s="1168" t="s">
        <v>102</v>
      </c>
      <c r="K1817" s="1169"/>
      <c r="L1817" s="1159"/>
      <c r="M1817" s="1169"/>
      <c r="N1817" s="1161" t="s">
        <v>2317</v>
      </c>
    </row>
    <row r="1818" spans="1:14" s="1170" customFormat="1" ht="16.5" hidden="1" customHeight="1">
      <c r="A1818" s="1156"/>
      <c r="B1818" s="1169" t="s">
        <v>3719</v>
      </c>
      <c r="C1818" s="1157">
        <v>1</v>
      </c>
      <c r="D1818" s="1171" t="s">
        <v>273</v>
      </c>
      <c r="E1818" s="1165">
        <v>2</v>
      </c>
      <c r="F1818" s="1166">
        <v>3.15</v>
      </c>
      <c r="G1818" s="1166">
        <v>0</v>
      </c>
      <c r="H1818" s="1166">
        <v>1</v>
      </c>
      <c r="I1818" s="1172">
        <f t="shared" si="160"/>
        <v>6.3</v>
      </c>
      <c r="J1818" s="1168" t="s">
        <v>102</v>
      </c>
      <c r="K1818" s="1169"/>
      <c r="L1818" s="1159"/>
      <c r="M1818" s="1169"/>
      <c r="N1818" s="1161" t="s">
        <v>2317</v>
      </c>
    </row>
    <row r="1819" spans="1:14" s="1170" customFormat="1" ht="16.5" hidden="1" customHeight="1">
      <c r="A1819" s="1156"/>
      <c r="B1819" s="1169"/>
      <c r="C1819" s="1157">
        <v>1</v>
      </c>
      <c r="D1819" s="1171" t="s">
        <v>273</v>
      </c>
      <c r="E1819" s="1165">
        <v>2</v>
      </c>
      <c r="F1819" s="1166">
        <v>1.2</v>
      </c>
      <c r="G1819" s="1166">
        <v>0</v>
      </c>
      <c r="H1819" s="1166">
        <v>1</v>
      </c>
      <c r="I1819" s="1172">
        <f t="shared" si="160"/>
        <v>2.4</v>
      </c>
      <c r="J1819" s="1168" t="s">
        <v>102</v>
      </c>
      <c r="K1819" s="1169"/>
      <c r="L1819" s="1159"/>
      <c r="M1819" s="1169"/>
      <c r="N1819" s="1161" t="s">
        <v>2317</v>
      </c>
    </row>
    <row r="1820" spans="1:14" s="1170" customFormat="1" ht="16.5" hidden="1" customHeight="1">
      <c r="A1820" s="1156"/>
      <c r="B1820" s="1331"/>
      <c r="C1820" s="1332"/>
      <c r="D1820" s="1333"/>
      <c r="E1820" s="1334"/>
      <c r="F1820" s="1335"/>
      <c r="G1820" s="1335"/>
      <c r="H1820" s="1335"/>
      <c r="I1820" s="1336"/>
      <c r="J1820" s="1168"/>
      <c r="K1820" s="1169"/>
      <c r="L1820" s="1159"/>
      <c r="M1820" s="1169"/>
      <c r="N1820" s="1161" t="s">
        <v>2317</v>
      </c>
    </row>
    <row r="1821" spans="1:14" ht="15.75" hidden="1">
      <c r="A1821" s="1156"/>
      <c r="B1821" s="1169"/>
      <c r="C1821" s="1337"/>
      <c r="D1821" s="1171"/>
      <c r="E1821" s="1165"/>
      <c r="F1821" s="1166"/>
      <c r="G1821" s="1343"/>
      <c r="H1821" s="1156"/>
      <c r="I1821" s="1336"/>
      <c r="J1821" s="1168" t="s">
        <v>102</v>
      </c>
      <c r="K1821" s="1221">
        <f>data!E2694</f>
        <v>186.27</v>
      </c>
      <c r="L1821" s="1159" t="s">
        <v>2317</v>
      </c>
      <c r="M1821" s="1224">
        <f>ROUND(I1821*K1821,0)</f>
        <v>0</v>
      </c>
      <c r="N1821" s="1161" t="s">
        <v>2317</v>
      </c>
    </row>
    <row r="1822" spans="1:14" ht="94.5" hidden="1" customHeight="1">
      <c r="A1822" s="1156">
        <v>47</v>
      </c>
      <c r="B1822" s="1831" t="s">
        <v>1168</v>
      </c>
      <c r="C1822" s="1832"/>
      <c r="D1822" s="1833"/>
      <c r="E1822" s="1832"/>
      <c r="F1822" s="1832"/>
      <c r="G1822" s="1832"/>
      <c r="H1822" s="1834"/>
      <c r="I1822" s="1157"/>
      <c r="J1822" s="1158"/>
      <c r="K1822" s="1156"/>
      <c r="L1822" s="1159"/>
      <c r="M1822" s="1160"/>
      <c r="N1822" s="1161" t="s">
        <v>2318</v>
      </c>
    </row>
    <row r="1823" spans="1:14" s="1170" customFormat="1" ht="15.75" hidden="1">
      <c r="A1823" s="1156"/>
      <c r="B1823" s="1163" t="s">
        <v>3524</v>
      </c>
      <c r="C1823" s="1157"/>
      <c r="D1823" s="1164"/>
      <c r="E1823" s="1165"/>
      <c r="F1823" s="1166"/>
      <c r="G1823" s="1166"/>
      <c r="H1823" s="1166"/>
      <c r="I1823" s="1167"/>
      <c r="J1823" s="1168"/>
      <c r="K1823" s="1169"/>
      <c r="L1823" s="1159"/>
      <c r="M1823" s="1169"/>
      <c r="N1823" s="1161" t="s">
        <v>2318</v>
      </c>
    </row>
    <row r="1824" spans="1:14" s="1170" customFormat="1" ht="16.5" hidden="1" customHeight="1">
      <c r="A1824" s="1156"/>
      <c r="B1824" s="1169" t="s">
        <v>3629</v>
      </c>
      <c r="C1824" s="1157">
        <v>1</v>
      </c>
      <c r="D1824" s="1171" t="s">
        <v>273</v>
      </c>
      <c r="E1824" s="1165">
        <v>2</v>
      </c>
      <c r="F1824" s="1166">
        <v>1.8</v>
      </c>
      <c r="G1824" s="1166">
        <v>0</v>
      </c>
      <c r="H1824" s="1166">
        <v>2.6</v>
      </c>
      <c r="I1824" s="1172">
        <f t="shared" ref="I1824:I1825" si="161">ROUND(IF(AND(F1824:H1824),C1824*E1824*F1824*G1824*H1824,IF(AND(F1824,G1824),C1824*E1824*F1824*G1824,IF(AND(F1824,H1824),C1824*E1824*F1824*H1824,IF(AND(G1824,H1824),C1824*E1824*G1824*H1824,IF(F1824,C1824*E1824*F1824,IF(G1824,C1824*E1824*G1824,IF(H1824,C1824*E1824*H1824,C1824*E1824))))))),2)</f>
        <v>9.36</v>
      </c>
      <c r="J1824" s="1168" t="s">
        <v>102</v>
      </c>
      <c r="K1824" s="1169"/>
      <c r="L1824" s="1159"/>
      <c r="M1824" s="1169"/>
      <c r="N1824" s="1161" t="s">
        <v>2318</v>
      </c>
    </row>
    <row r="1825" spans="1:16" s="1170" customFormat="1" ht="16.5" hidden="1" customHeight="1">
      <c r="A1825" s="1156"/>
      <c r="B1825" s="1169"/>
      <c r="C1825" s="1157">
        <v>1</v>
      </c>
      <c r="D1825" s="1171" t="s">
        <v>273</v>
      </c>
      <c r="E1825" s="1165">
        <v>2</v>
      </c>
      <c r="F1825" s="1166">
        <v>1.8</v>
      </c>
      <c r="G1825" s="1166">
        <v>0</v>
      </c>
      <c r="H1825" s="1166">
        <v>2.6</v>
      </c>
      <c r="I1825" s="1172">
        <f t="shared" si="161"/>
        <v>9.36</v>
      </c>
      <c r="J1825" s="1168" t="s">
        <v>102</v>
      </c>
      <c r="K1825" s="1169"/>
      <c r="L1825" s="1159"/>
      <c r="M1825" s="1169"/>
      <c r="N1825" s="1161" t="s">
        <v>2318</v>
      </c>
    </row>
    <row r="1826" spans="1:16" s="1170" customFormat="1" ht="16.5" hidden="1" customHeight="1">
      <c r="A1826" s="1156"/>
      <c r="B1826" s="1169" t="s">
        <v>579</v>
      </c>
      <c r="C1826" s="1157">
        <v>1</v>
      </c>
      <c r="D1826" s="1171" t="s">
        <v>273</v>
      </c>
      <c r="E1826" s="1165">
        <v>1</v>
      </c>
      <c r="F1826" s="1166">
        <v>0.75</v>
      </c>
      <c r="G1826" s="1166">
        <v>0</v>
      </c>
      <c r="H1826" s="1166">
        <v>2</v>
      </c>
      <c r="I1826" s="1172">
        <f>-ROUND(IF(AND(F1826:H1826),C1826*E1826*F1826*G1826*H1826,IF(AND(F1826,G1826),C1826*E1826*F1826*G1826,IF(AND(F1826,H1826),C1826*E1826*F1826*H1826,IF(AND(G1826,H1826),C1826*E1826*G1826*H1826,IF(F1826,C1826*E1826*F1826,IF(G1826,C1826*E1826*G1826,IF(H1826,C1826*E1826*H1826,C1826*E1826))))))),2)</f>
        <v>-1.5</v>
      </c>
      <c r="J1826" s="1168" t="s">
        <v>102</v>
      </c>
      <c r="K1826" s="1169"/>
      <c r="L1826" s="1159"/>
      <c r="M1826" s="1169"/>
      <c r="N1826" s="1161" t="s">
        <v>2318</v>
      </c>
    </row>
    <row r="1827" spans="1:16" s="1170" customFormat="1" ht="16.5" hidden="1" customHeight="1">
      <c r="A1827" s="1156"/>
      <c r="B1827" s="1331"/>
      <c r="C1827" s="1332"/>
      <c r="D1827" s="1333"/>
      <c r="E1827" s="1334"/>
      <c r="F1827" s="1335"/>
      <c r="G1827" s="1335"/>
      <c r="H1827" s="1335"/>
      <c r="I1827" s="1336"/>
      <c r="J1827" s="1168"/>
      <c r="K1827" s="1169"/>
      <c r="L1827" s="1159"/>
      <c r="M1827" s="1169"/>
      <c r="N1827" s="1161" t="s">
        <v>2318</v>
      </c>
      <c r="P1827" s="1420">
        <f>M4024</f>
        <v>277</v>
      </c>
    </row>
    <row r="1828" spans="1:16" ht="15.75" hidden="1">
      <c r="A1828" s="1156"/>
      <c r="B1828" s="1169"/>
      <c r="C1828" s="1337"/>
      <c r="D1828" s="1171"/>
      <c r="E1828" s="1165"/>
      <c r="F1828" s="1166"/>
      <c r="G1828" s="1343"/>
      <c r="H1828" s="1156"/>
      <c r="I1828" s="1336"/>
      <c r="J1828" s="1168" t="s">
        <v>102</v>
      </c>
      <c r="K1828" s="1221">
        <f>data!E3611</f>
        <v>200.84</v>
      </c>
      <c r="L1828" s="1159" t="s">
        <v>2318</v>
      </c>
      <c r="M1828" s="1224">
        <f>ROUND(I1828*K1828,0)</f>
        <v>0</v>
      </c>
      <c r="N1828" s="1161" t="s">
        <v>2318</v>
      </c>
    </row>
    <row r="1829" spans="1:16" ht="66" hidden="1" customHeight="1">
      <c r="A1829" s="1156">
        <v>28</v>
      </c>
      <c r="B1829" s="1831" t="s">
        <v>606</v>
      </c>
      <c r="C1829" s="1832"/>
      <c r="D1829" s="1832"/>
      <c r="E1829" s="1832"/>
      <c r="F1829" s="1832"/>
      <c r="G1829" s="1832"/>
      <c r="H1829" s="1834"/>
      <c r="I1829" s="1157"/>
      <c r="J1829" s="1158"/>
      <c r="K1829" s="1156"/>
      <c r="L1829" s="1159"/>
      <c r="M1829" s="1160"/>
      <c r="N1829" s="1161" t="s">
        <v>2218</v>
      </c>
    </row>
    <row r="1830" spans="1:16" s="1170" customFormat="1" ht="16.5" hidden="1" customHeight="1">
      <c r="A1830" s="1156"/>
      <c r="B1830" s="1169" t="s">
        <v>3501</v>
      </c>
      <c r="C1830" s="1351"/>
      <c r="D1830" s="1418"/>
      <c r="E1830" s="1352"/>
      <c r="F1830" s="1234"/>
      <c r="G1830" s="1234"/>
      <c r="H1830" s="1235"/>
      <c r="I1830" s="1353"/>
      <c r="J1830" s="1168"/>
      <c r="K1830" s="1169"/>
      <c r="L1830" s="1156"/>
      <c r="M1830" s="1169"/>
      <c r="N1830" s="1161" t="s">
        <v>2218</v>
      </c>
    </row>
    <row r="1831" spans="1:16" s="1170" customFormat="1" ht="16.5" hidden="1" customHeight="1">
      <c r="A1831" s="1156"/>
      <c r="B1831" s="1331" t="s">
        <v>1623</v>
      </c>
      <c r="C1831" s="1332">
        <v>1</v>
      </c>
      <c r="D1831" s="1333" t="s">
        <v>273</v>
      </c>
      <c r="E1831" s="1334">
        <v>4</v>
      </c>
      <c r="F1831" s="1335">
        <v>1.5</v>
      </c>
      <c r="G1831" s="1335">
        <v>0</v>
      </c>
      <c r="H1831" s="1335">
        <v>1.35</v>
      </c>
      <c r="I1831" s="1336">
        <f>ROUND(IF(AND(F1831:H1831),C1831*E1831*F1831*G1831*H1831,IF(AND(F1831,G1831),C1831*E1831*F1831*G1831,IF(AND(F1831,H1831),C1831*E1831*F1831*H1831,IF(AND(G1831,H1831),C1831*E1831*G1831*H1831,IF(F1831,C1831*E1831*F1831,IF(G1831,C1831*E1831*G1831,IF(H1831,C1831*E1831*H1831,C1831*E1831))))))),2)</f>
        <v>8.1</v>
      </c>
      <c r="J1831" s="1168" t="s">
        <v>102</v>
      </c>
      <c r="K1831" s="1169"/>
      <c r="L1831" s="1156"/>
      <c r="M1831" s="1169"/>
      <c r="N1831" s="1161" t="s">
        <v>2218</v>
      </c>
    </row>
    <row r="1832" spans="1:16" s="1170" customFormat="1" ht="16.5" hidden="1" customHeight="1">
      <c r="A1832" s="1156"/>
      <c r="B1832" s="1331" t="s">
        <v>586</v>
      </c>
      <c r="C1832" s="1332">
        <v>1</v>
      </c>
      <c r="D1832" s="1333" t="s">
        <v>273</v>
      </c>
      <c r="E1832" s="1334">
        <v>1</v>
      </c>
      <c r="F1832" s="1335">
        <v>1.5</v>
      </c>
      <c r="G1832" s="1335">
        <v>0</v>
      </c>
      <c r="H1832" s="1335">
        <v>1.35</v>
      </c>
      <c r="I1832" s="1336">
        <f>ROUND(IF(AND(F1832:H1832),C1832*E1832*F1832*G1832*H1832,IF(AND(F1832,G1832),C1832*E1832*F1832*G1832,IF(AND(F1832,H1832),C1832*E1832*F1832*H1832,IF(AND(G1832,H1832),C1832*E1832*G1832*H1832,IF(F1832,C1832*E1832*F1832,IF(G1832,C1832*E1832*G1832,IF(H1832,C1832*E1832*H1832,C1832*E1832))))))),2)</f>
        <v>2.0299999999999998</v>
      </c>
      <c r="J1832" s="1168" t="s">
        <v>102</v>
      </c>
      <c r="K1832" s="1169"/>
      <c r="L1832" s="1156"/>
      <c r="M1832" s="1169"/>
      <c r="N1832" s="1161" t="s">
        <v>2218</v>
      </c>
    </row>
    <row r="1833" spans="1:16" s="1170" customFormat="1" ht="16.5" hidden="1" customHeight="1">
      <c r="A1833" s="1156"/>
      <c r="B1833" s="1331"/>
      <c r="C1833" s="1332"/>
      <c r="D1833" s="1333"/>
      <c r="E1833" s="1399"/>
      <c r="F1833" s="1335"/>
      <c r="G1833" s="1335"/>
      <c r="H1833" s="1335"/>
      <c r="I1833" s="1336"/>
      <c r="J1833" s="1168"/>
      <c r="K1833" s="1169"/>
      <c r="L1833" s="1159"/>
      <c r="M1833" s="1169"/>
      <c r="N1833" s="1161" t="s">
        <v>2218</v>
      </c>
    </row>
    <row r="1834" spans="1:16" ht="15.75" hidden="1">
      <c r="A1834" s="1156"/>
      <c r="B1834" s="1169"/>
      <c r="C1834" s="1337"/>
      <c r="D1834" s="1171"/>
      <c r="E1834" s="1165"/>
      <c r="F1834" s="1166"/>
      <c r="G1834" s="1343"/>
      <c r="H1834" s="1156"/>
      <c r="I1834" s="1336"/>
      <c r="J1834" s="1168" t="s">
        <v>102</v>
      </c>
      <c r="K1834" s="1221">
        <f>data!G877</f>
        <v>172.75</v>
      </c>
      <c r="L1834" s="1159" t="s">
        <v>2218</v>
      </c>
      <c r="M1834" s="1224">
        <f>ROUND(I1834*K1834,0)</f>
        <v>0</v>
      </c>
      <c r="N1834" s="1161" t="s">
        <v>2218</v>
      </c>
    </row>
    <row r="1835" spans="1:16" ht="66" hidden="1" customHeight="1">
      <c r="A1835" s="1156">
        <v>28</v>
      </c>
      <c r="B1835" s="1831" t="s">
        <v>606</v>
      </c>
      <c r="C1835" s="1832"/>
      <c r="D1835" s="1832"/>
      <c r="E1835" s="1832"/>
      <c r="F1835" s="1832"/>
      <c r="G1835" s="1832"/>
      <c r="H1835" s="1834"/>
      <c r="I1835" s="1157"/>
      <c r="J1835" s="1158"/>
      <c r="K1835" s="1156"/>
      <c r="L1835" s="1159"/>
      <c r="M1835" s="1160"/>
      <c r="N1835" s="1161" t="s">
        <v>2306</v>
      </c>
    </row>
    <row r="1836" spans="1:16" s="1170" customFormat="1" ht="16.5" hidden="1" customHeight="1">
      <c r="A1836" s="1156"/>
      <c r="B1836" s="1169" t="s">
        <v>3054</v>
      </c>
      <c r="C1836" s="1351"/>
      <c r="D1836" s="1418"/>
      <c r="E1836" s="1352"/>
      <c r="F1836" s="1234"/>
      <c r="G1836" s="1234"/>
      <c r="H1836" s="1235"/>
      <c r="I1836" s="1353"/>
      <c r="J1836" s="1168"/>
      <c r="K1836" s="1169"/>
      <c r="L1836" s="1156"/>
      <c r="M1836" s="1169"/>
      <c r="N1836" s="1161" t="s">
        <v>2306</v>
      </c>
    </row>
    <row r="1837" spans="1:16" s="1170" customFormat="1" ht="16.5" hidden="1" customHeight="1">
      <c r="A1837" s="1156"/>
      <c r="B1837" s="1331" t="s">
        <v>1551</v>
      </c>
      <c r="C1837" s="1332">
        <v>5</v>
      </c>
      <c r="D1837" s="1333" t="s">
        <v>273</v>
      </c>
      <c r="E1837" s="1399">
        <v>0.25</v>
      </c>
      <c r="F1837" s="1335">
        <v>1.4</v>
      </c>
      <c r="G1837" s="1335">
        <v>0</v>
      </c>
      <c r="H1837" s="1335">
        <v>1.4</v>
      </c>
      <c r="I1837" s="1336">
        <f t="shared" ref="I1837:I1842" si="162">ROUND(IF(AND(F1837:H1837),C1837*E1837*F1837*G1837*H1837,IF(AND(F1837,G1837),C1837*E1837*F1837*G1837,IF(AND(F1837,H1837),C1837*E1837*F1837*H1837,IF(AND(G1837,H1837),C1837*E1837*G1837*H1837,IF(F1837,C1837*E1837*F1837,IF(G1837,C1837*E1837*G1837,IF(H1837,C1837*E1837*H1837,C1837*E1837))))))),2)</f>
        <v>2.4500000000000002</v>
      </c>
      <c r="J1837" s="1168" t="s">
        <v>102</v>
      </c>
      <c r="K1837" s="1169"/>
      <c r="L1837" s="1156"/>
      <c r="M1837" s="1169"/>
      <c r="N1837" s="1161" t="s">
        <v>2306</v>
      </c>
    </row>
    <row r="1838" spans="1:16" s="1170" customFormat="1" ht="16.5" hidden="1" customHeight="1">
      <c r="A1838" s="1156"/>
      <c r="B1838" s="1331" t="s">
        <v>3055</v>
      </c>
      <c r="C1838" s="1332">
        <v>1</v>
      </c>
      <c r="D1838" s="1333" t="s">
        <v>273</v>
      </c>
      <c r="E1838" s="1399">
        <v>0.25</v>
      </c>
      <c r="F1838" s="1335">
        <v>1.8</v>
      </c>
      <c r="G1838" s="1335">
        <v>0</v>
      </c>
      <c r="H1838" s="1335">
        <v>1.4</v>
      </c>
      <c r="I1838" s="1336">
        <f t="shared" si="162"/>
        <v>0.63</v>
      </c>
      <c r="J1838" s="1168" t="s">
        <v>102</v>
      </c>
      <c r="K1838" s="1169"/>
      <c r="L1838" s="1156"/>
      <c r="M1838" s="1169"/>
      <c r="N1838" s="1161" t="s">
        <v>2306</v>
      </c>
    </row>
    <row r="1839" spans="1:16" s="1170" customFormat="1" ht="16.5" hidden="1" customHeight="1">
      <c r="A1839" s="1156"/>
      <c r="B1839" s="1331" t="s">
        <v>3056</v>
      </c>
      <c r="C1839" s="1332">
        <v>7</v>
      </c>
      <c r="D1839" s="1333" t="s">
        <v>273</v>
      </c>
      <c r="E1839" s="1399">
        <v>0.25</v>
      </c>
      <c r="F1839" s="1335">
        <v>1.4</v>
      </c>
      <c r="G1839" s="1335">
        <v>0</v>
      </c>
      <c r="H1839" s="1335">
        <v>1.35</v>
      </c>
      <c r="I1839" s="1336">
        <f t="shared" si="162"/>
        <v>3.31</v>
      </c>
      <c r="J1839" s="1168" t="s">
        <v>102</v>
      </c>
      <c r="K1839" s="1169"/>
      <c r="L1839" s="1156"/>
      <c r="M1839" s="1169"/>
      <c r="N1839" s="1161" t="s">
        <v>2306</v>
      </c>
    </row>
    <row r="1840" spans="1:16" s="1170" customFormat="1" ht="16.5" hidden="1" customHeight="1">
      <c r="A1840" s="1156"/>
      <c r="B1840" s="1331" t="s">
        <v>3057</v>
      </c>
      <c r="C1840" s="1332">
        <v>1</v>
      </c>
      <c r="D1840" s="1333" t="s">
        <v>273</v>
      </c>
      <c r="E1840" s="1399">
        <v>0.25</v>
      </c>
      <c r="F1840" s="1335">
        <v>1.2</v>
      </c>
      <c r="G1840" s="1335">
        <v>0</v>
      </c>
      <c r="H1840" s="1335">
        <v>1</v>
      </c>
      <c r="I1840" s="1336">
        <f t="shared" si="162"/>
        <v>0.3</v>
      </c>
      <c r="J1840" s="1168" t="s">
        <v>102</v>
      </c>
      <c r="K1840" s="1169"/>
      <c r="L1840" s="1156"/>
      <c r="M1840" s="1169"/>
      <c r="N1840" s="1161" t="s">
        <v>2306</v>
      </c>
    </row>
    <row r="1841" spans="1:14" s="1170" customFormat="1" ht="16.5" hidden="1" customHeight="1">
      <c r="A1841" s="1156"/>
      <c r="B1841" s="1331" t="s">
        <v>3057</v>
      </c>
      <c r="C1841" s="1332">
        <v>1</v>
      </c>
      <c r="D1841" s="1333" t="s">
        <v>273</v>
      </c>
      <c r="E1841" s="1399">
        <v>0.25</v>
      </c>
      <c r="F1841" s="1335">
        <v>1.2</v>
      </c>
      <c r="G1841" s="1335">
        <v>0</v>
      </c>
      <c r="H1841" s="1335">
        <v>1.1000000000000001</v>
      </c>
      <c r="I1841" s="1336">
        <f t="shared" si="162"/>
        <v>0.33</v>
      </c>
      <c r="J1841" s="1168" t="s">
        <v>102</v>
      </c>
      <c r="K1841" s="1169"/>
      <c r="L1841" s="1156"/>
      <c r="M1841" s="1169"/>
      <c r="N1841" s="1161" t="s">
        <v>2306</v>
      </c>
    </row>
    <row r="1842" spans="1:14" s="1170" customFormat="1" ht="16.5" hidden="1" customHeight="1">
      <c r="A1842" s="1156"/>
      <c r="B1842" s="1331" t="s">
        <v>3057</v>
      </c>
      <c r="C1842" s="1332">
        <v>2</v>
      </c>
      <c r="D1842" s="1333" t="s">
        <v>273</v>
      </c>
      <c r="E1842" s="1399">
        <v>0.25</v>
      </c>
      <c r="F1842" s="1335">
        <v>1.2</v>
      </c>
      <c r="G1842" s="1335">
        <v>0</v>
      </c>
      <c r="H1842" s="1335">
        <v>1.5</v>
      </c>
      <c r="I1842" s="1336">
        <f t="shared" si="162"/>
        <v>0.9</v>
      </c>
      <c r="J1842" s="1168" t="s">
        <v>102</v>
      </c>
      <c r="K1842" s="1169"/>
      <c r="L1842" s="1156"/>
      <c r="M1842" s="1169"/>
      <c r="N1842" s="1161" t="s">
        <v>2306</v>
      </c>
    </row>
    <row r="1843" spans="1:14" s="1170" customFormat="1" ht="16.5" hidden="1" customHeight="1">
      <c r="A1843" s="1156"/>
      <c r="B1843" s="1331"/>
      <c r="C1843" s="1332"/>
      <c r="D1843" s="1333"/>
      <c r="E1843" s="1399"/>
      <c r="F1843" s="1335"/>
      <c r="G1843" s="1335"/>
      <c r="H1843" s="1335"/>
      <c r="I1843" s="1336"/>
      <c r="J1843" s="1168"/>
      <c r="K1843" s="1169"/>
      <c r="L1843" s="1156"/>
      <c r="M1843" s="1169"/>
      <c r="N1843" s="1161" t="s">
        <v>2306</v>
      </c>
    </row>
    <row r="1844" spans="1:14" ht="15.75" hidden="1">
      <c r="A1844" s="1156"/>
      <c r="B1844" s="1169"/>
      <c r="C1844" s="1337"/>
      <c r="D1844" s="1171"/>
      <c r="E1844" s="1165"/>
      <c r="F1844" s="1166"/>
      <c r="G1844" s="1343"/>
      <c r="H1844" s="1156"/>
      <c r="I1844" s="1336"/>
      <c r="J1844" s="1168" t="s">
        <v>102</v>
      </c>
      <c r="K1844" s="1221">
        <f>data!G1794</f>
        <v>132.55000000000001</v>
      </c>
      <c r="L1844" s="1159" t="s">
        <v>2306</v>
      </c>
      <c r="M1844" s="1224">
        <f>ROUND(I1844*K1844,0)</f>
        <v>0</v>
      </c>
      <c r="N1844" s="1161" t="s">
        <v>2306</v>
      </c>
    </row>
    <row r="1845" spans="1:14" ht="66" hidden="1" customHeight="1">
      <c r="A1845" s="1156">
        <v>28</v>
      </c>
      <c r="B1845" s="1831" t="s">
        <v>606</v>
      </c>
      <c r="C1845" s="1832"/>
      <c r="D1845" s="1832"/>
      <c r="E1845" s="1832"/>
      <c r="F1845" s="1832"/>
      <c r="G1845" s="1832"/>
      <c r="H1845" s="1834"/>
      <c r="I1845" s="1157"/>
      <c r="J1845" s="1158"/>
      <c r="K1845" s="1156"/>
      <c r="L1845" s="1159"/>
      <c r="M1845" s="1160"/>
      <c r="N1845" s="1161" t="s">
        <v>2317</v>
      </c>
    </row>
    <row r="1846" spans="1:14" s="1170" customFormat="1" ht="16.5" hidden="1" customHeight="1">
      <c r="A1846" s="1156"/>
      <c r="B1846" s="1169" t="s">
        <v>3501</v>
      </c>
      <c r="C1846" s="1351"/>
      <c r="D1846" s="1418"/>
      <c r="E1846" s="1352"/>
      <c r="F1846" s="1234"/>
      <c r="G1846" s="1234"/>
      <c r="H1846" s="1235"/>
      <c r="I1846" s="1353"/>
      <c r="J1846" s="1168"/>
      <c r="K1846" s="1169"/>
      <c r="L1846" s="1156"/>
      <c r="M1846" s="1169"/>
      <c r="N1846" s="1161" t="s">
        <v>2317</v>
      </c>
    </row>
    <row r="1847" spans="1:14" s="1170" customFormat="1" ht="16.5" hidden="1" customHeight="1">
      <c r="A1847" s="1156"/>
      <c r="B1847" s="1331" t="s">
        <v>1623</v>
      </c>
      <c r="C1847" s="1332">
        <v>1</v>
      </c>
      <c r="D1847" s="1333" t="s">
        <v>273</v>
      </c>
      <c r="E1847" s="1334">
        <v>4</v>
      </c>
      <c r="F1847" s="1335">
        <v>1.5</v>
      </c>
      <c r="G1847" s="1335">
        <v>0</v>
      </c>
      <c r="H1847" s="1335">
        <v>1.35</v>
      </c>
      <c r="I1847" s="1336">
        <f>ROUND(IF(AND(F1847:H1847),C1847*E1847*F1847*G1847*H1847,IF(AND(F1847,G1847),C1847*E1847*F1847*G1847,IF(AND(F1847,H1847),C1847*E1847*F1847*H1847,IF(AND(G1847,H1847),C1847*E1847*G1847*H1847,IF(F1847,C1847*E1847*F1847,IF(G1847,C1847*E1847*G1847,IF(H1847,C1847*E1847*H1847,C1847*E1847))))))),2)</f>
        <v>8.1</v>
      </c>
      <c r="J1847" s="1168" t="s">
        <v>102</v>
      </c>
      <c r="K1847" s="1169"/>
      <c r="L1847" s="1156"/>
      <c r="M1847" s="1169"/>
      <c r="N1847" s="1161" t="s">
        <v>2317</v>
      </c>
    </row>
    <row r="1848" spans="1:14" s="1170" customFormat="1" ht="16.5" hidden="1" customHeight="1">
      <c r="A1848" s="1156"/>
      <c r="B1848" s="1331" t="s">
        <v>586</v>
      </c>
      <c r="C1848" s="1332">
        <v>1</v>
      </c>
      <c r="D1848" s="1333" t="s">
        <v>273</v>
      </c>
      <c r="E1848" s="1334">
        <v>1</v>
      </c>
      <c r="F1848" s="1335">
        <v>1.5</v>
      </c>
      <c r="G1848" s="1335">
        <v>0</v>
      </c>
      <c r="H1848" s="1335">
        <v>1.35</v>
      </c>
      <c r="I1848" s="1336">
        <f>ROUND(IF(AND(F1848:H1848),C1848*E1848*F1848*G1848*H1848,IF(AND(F1848,G1848),C1848*E1848*F1848*G1848,IF(AND(F1848,H1848),C1848*E1848*F1848*H1848,IF(AND(G1848,H1848),C1848*E1848*G1848*H1848,IF(F1848,C1848*E1848*F1848,IF(G1848,C1848*E1848*G1848,IF(H1848,C1848*E1848*H1848,C1848*E1848))))))),2)</f>
        <v>2.0299999999999998</v>
      </c>
      <c r="J1848" s="1168" t="s">
        <v>102</v>
      </c>
      <c r="K1848" s="1169"/>
      <c r="L1848" s="1156"/>
      <c r="M1848" s="1169"/>
      <c r="N1848" s="1161" t="s">
        <v>2317</v>
      </c>
    </row>
    <row r="1849" spans="1:14" s="1170" customFormat="1" ht="16.5" hidden="1" customHeight="1">
      <c r="A1849" s="1156"/>
      <c r="B1849" s="1331"/>
      <c r="C1849" s="1332"/>
      <c r="D1849" s="1333"/>
      <c r="E1849" s="1399"/>
      <c r="F1849" s="1335"/>
      <c r="G1849" s="1335"/>
      <c r="H1849" s="1335"/>
      <c r="I1849" s="1336"/>
      <c r="J1849" s="1168"/>
      <c r="K1849" s="1169"/>
      <c r="L1849" s="1159"/>
      <c r="M1849" s="1169"/>
      <c r="N1849" s="1161" t="s">
        <v>2317</v>
      </c>
    </row>
    <row r="1850" spans="1:14" ht="15.75" hidden="1">
      <c r="A1850" s="1156"/>
      <c r="B1850" s="1169"/>
      <c r="C1850" s="1337"/>
      <c r="D1850" s="1171"/>
      <c r="E1850" s="1165"/>
      <c r="F1850" s="1166"/>
      <c r="G1850" s="1343"/>
      <c r="H1850" s="1156"/>
      <c r="I1850" s="1336"/>
      <c r="J1850" s="1168" t="s">
        <v>102</v>
      </c>
      <c r="K1850" s="1221">
        <f>data!G2711</f>
        <v>137.6</v>
      </c>
      <c r="L1850" s="1159" t="s">
        <v>2317</v>
      </c>
      <c r="M1850" s="1224">
        <f>ROUND(I1850*K1850,0)</f>
        <v>0</v>
      </c>
      <c r="N1850" s="1161" t="s">
        <v>2317</v>
      </c>
    </row>
    <row r="1851" spans="1:14" ht="66" hidden="1" customHeight="1">
      <c r="A1851" s="1156">
        <v>33</v>
      </c>
      <c r="B1851" s="1831" t="s">
        <v>606</v>
      </c>
      <c r="C1851" s="1832"/>
      <c r="D1851" s="1833"/>
      <c r="E1851" s="1832"/>
      <c r="F1851" s="1832"/>
      <c r="G1851" s="1832"/>
      <c r="H1851" s="1834"/>
      <c r="I1851" s="1157"/>
      <c r="J1851" s="1158"/>
      <c r="K1851" s="1156"/>
      <c r="L1851" s="1159"/>
      <c r="M1851" s="1160"/>
      <c r="N1851" s="1161" t="s">
        <v>2318</v>
      </c>
    </row>
    <row r="1852" spans="1:14" s="1170" customFormat="1" ht="16.5" hidden="1" customHeight="1">
      <c r="A1852" s="1156"/>
      <c r="B1852" s="1169" t="s">
        <v>3395</v>
      </c>
      <c r="C1852" s="1351"/>
      <c r="D1852" s="1418"/>
      <c r="E1852" s="1352"/>
      <c r="F1852" s="1234"/>
      <c r="G1852" s="1234"/>
      <c r="H1852" s="1235"/>
      <c r="I1852" s="1353"/>
      <c r="J1852" s="1168"/>
      <c r="K1852" s="1169"/>
      <c r="L1852" s="1156"/>
      <c r="M1852" s="1169"/>
      <c r="N1852" s="1161" t="s">
        <v>2318</v>
      </c>
    </row>
    <row r="1853" spans="1:14" s="1170" customFormat="1" ht="16.5" hidden="1" customHeight="1">
      <c r="A1853" s="1156"/>
      <c r="B1853" s="1331" t="s">
        <v>2543</v>
      </c>
      <c r="C1853" s="1332">
        <v>11</v>
      </c>
      <c r="D1853" s="1333" t="s">
        <v>273</v>
      </c>
      <c r="E1853" s="1399">
        <v>0.5</v>
      </c>
      <c r="F1853" s="1335">
        <v>1.2</v>
      </c>
      <c r="G1853" s="1335">
        <v>0</v>
      </c>
      <c r="H1853" s="1335">
        <v>1.2</v>
      </c>
      <c r="I1853" s="1336">
        <f>ROUND(IF(AND(F1853:H1853),C1853*E1853*F1853*G1853*H1853,IF(AND(F1853,G1853),C1853*E1853*F1853*G1853,IF(AND(F1853,H1853),C1853*E1853*F1853*H1853,IF(AND(G1853,H1853),C1853*E1853*G1853*H1853,IF(F1853,C1853*E1853*F1853,IF(G1853,C1853*E1853*G1853,IF(H1853,C1853*E1853*H1853,C1853*E1853))))))),2)</f>
        <v>7.92</v>
      </c>
      <c r="J1853" s="1168" t="s">
        <v>102</v>
      </c>
      <c r="K1853" s="1169"/>
      <c r="L1853" s="1156"/>
      <c r="M1853" s="1169"/>
      <c r="N1853" s="1161" t="s">
        <v>2318</v>
      </c>
    </row>
    <row r="1854" spans="1:14" s="1170" customFormat="1" ht="16.5" hidden="1" customHeight="1">
      <c r="A1854" s="1156"/>
      <c r="B1854" s="1331"/>
      <c r="C1854" s="1332"/>
      <c r="D1854" s="1333"/>
      <c r="E1854" s="1399"/>
      <c r="F1854" s="1335"/>
      <c r="G1854" s="1335"/>
      <c r="H1854" s="1335"/>
      <c r="I1854" s="1336"/>
      <c r="J1854" s="1168"/>
      <c r="K1854" s="1169"/>
      <c r="L1854" s="1159"/>
      <c r="M1854" s="1169"/>
      <c r="N1854" s="1161" t="s">
        <v>2318</v>
      </c>
    </row>
    <row r="1855" spans="1:14" ht="15.75" hidden="1">
      <c r="A1855" s="1156"/>
      <c r="B1855" s="1169"/>
      <c r="C1855" s="1337"/>
      <c r="D1855" s="1171"/>
      <c r="E1855" s="1165"/>
      <c r="F1855" s="1166"/>
      <c r="G1855" s="1343"/>
      <c r="H1855" s="1156"/>
      <c r="I1855" s="1336"/>
      <c r="J1855" s="1168" t="s">
        <v>102</v>
      </c>
      <c r="K1855" s="1221">
        <f>data!G3628</f>
        <v>149.86000000000001</v>
      </c>
      <c r="L1855" s="1159" t="s">
        <v>2318</v>
      </c>
      <c r="M1855" s="1224">
        <f>ROUND(I1855*K1855,0)</f>
        <v>0</v>
      </c>
      <c r="N1855" s="1161" t="s">
        <v>2318</v>
      </c>
    </row>
    <row r="1856" spans="1:14" ht="66" hidden="1" customHeight="1">
      <c r="A1856" s="1156">
        <v>28</v>
      </c>
      <c r="B1856" s="1831" t="s">
        <v>1184</v>
      </c>
      <c r="C1856" s="1832"/>
      <c r="D1856" s="1832"/>
      <c r="E1856" s="1832"/>
      <c r="F1856" s="1832"/>
      <c r="G1856" s="1832"/>
      <c r="H1856" s="1834"/>
      <c r="I1856" s="1157"/>
      <c r="J1856" s="1158"/>
      <c r="K1856" s="1156"/>
      <c r="L1856" s="1159"/>
      <c r="M1856" s="1160"/>
      <c r="N1856" s="1161" t="s">
        <v>2218</v>
      </c>
    </row>
    <row r="1857" spans="1:14" s="1170" customFormat="1" ht="16.5" hidden="1" customHeight="1">
      <c r="A1857" s="1156"/>
      <c r="B1857" s="1169" t="s">
        <v>3501</v>
      </c>
      <c r="C1857" s="1351"/>
      <c r="D1857" s="1418"/>
      <c r="E1857" s="1352"/>
      <c r="F1857" s="1234"/>
      <c r="G1857" s="1234"/>
      <c r="H1857" s="1235"/>
      <c r="I1857" s="1353"/>
      <c r="J1857" s="1168"/>
      <c r="K1857" s="1169"/>
      <c r="L1857" s="1156"/>
      <c r="M1857" s="1169"/>
      <c r="N1857" s="1161" t="s">
        <v>2218</v>
      </c>
    </row>
    <row r="1858" spans="1:14" s="1170" customFormat="1" ht="16.5" hidden="1" customHeight="1">
      <c r="A1858" s="1156"/>
      <c r="B1858" s="1331" t="s">
        <v>1623</v>
      </c>
      <c r="C1858" s="1332">
        <v>1</v>
      </c>
      <c r="D1858" s="1333" t="s">
        <v>273</v>
      </c>
      <c r="E1858" s="1334">
        <v>4</v>
      </c>
      <c r="F1858" s="1335">
        <v>1.5</v>
      </c>
      <c r="G1858" s="1335">
        <v>0</v>
      </c>
      <c r="H1858" s="1335">
        <v>1.35</v>
      </c>
      <c r="I1858" s="1336">
        <f>ROUND(IF(AND(F1858:H1858),C1858*E1858*F1858*G1858*H1858,IF(AND(F1858,G1858),C1858*E1858*F1858*G1858,IF(AND(F1858,H1858),C1858*E1858*F1858*H1858,IF(AND(G1858,H1858),C1858*E1858*G1858*H1858,IF(F1858,C1858*E1858*F1858,IF(G1858,C1858*E1858*G1858,IF(H1858,C1858*E1858*H1858,C1858*E1858))))))),2)</f>
        <v>8.1</v>
      </c>
      <c r="J1858" s="1168" t="s">
        <v>102</v>
      </c>
      <c r="K1858" s="1169"/>
      <c r="L1858" s="1156"/>
      <c r="M1858" s="1169"/>
      <c r="N1858" s="1161" t="s">
        <v>2218</v>
      </c>
    </row>
    <row r="1859" spans="1:14" s="1170" customFormat="1" ht="16.5" hidden="1" customHeight="1">
      <c r="A1859" s="1156"/>
      <c r="B1859" s="1331" t="s">
        <v>586</v>
      </c>
      <c r="C1859" s="1332">
        <v>1</v>
      </c>
      <c r="D1859" s="1333" t="s">
        <v>273</v>
      </c>
      <c r="E1859" s="1334">
        <v>1</v>
      </c>
      <c r="F1859" s="1335">
        <v>1.5</v>
      </c>
      <c r="G1859" s="1335">
        <v>0</v>
      </c>
      <c r="H1859" s="1335">
        <v>1.35</v>
      </c>
      <c r="I1859" s="1336">
        <f>ROUND(IF(AND(F1859:H1859),C1859*E1859*F1859*G1859*H1859,IF(AND(F1859,G1859),C1859*E1859*F1859*G1859,IF(AND(F1859,H1859),C1859*E1859*F1859*H1859,IF(AND(G1859,H1859),C1859*E1859*G1859*H1859,IF(F1859,C1859*E1859*F1859,IF(G1859,C1859*E1859*G1859,IF(H1859,C1859*E1859*H1859,C1859*E1859))))))),2)</f>
        <v>2.0299999999999998</v>
      </c>
      <c r="J1859" s="1168" t="s">
        <v>102</v>
      </c>
      <c r="K1859" s="1169"/>
      <c r="L1859" s="1156"/>
      <c r="M1859" s="1169"/>
      <c r="N1859" s="1161" t="s">
        <v>2218</v>
      </c>
    </row>
    <row r="1860" spans="1:14" s="1170" customFormat="1" ht="16.5" hidden="1" customHeight="1">
      <c r="A1860" s="1156"/>
      <c r="B1860" s="1331"/>
      <c r="C1860" s="1332"/>
      <c r="D1860" s="1333"/>
      <c r="E1860" s="1399"/>
      <c r="F1860" s="1335"/>
      <c r="G1860" s="1335"/>
      <c r="H1860" s="1335"/>
      <c r="I1860" s="1336"/>
      <c r="J1860" s="1168"/>
      <c r="K1860" s="1169"/>
      <c r="L1860" s="1159"/>
      <c r="M1860" s="1169"/>
      <c r="N1860" s="1161" t="s">
        <v>2218</v>
      </c>
    </row>
    <row r="1861" spans="1:14" ht="15.75" hidden="1">
      <c r="A1861" s="1156"/>
      <c r="B1861" s="1169"/>
      <c r="C1861" s="1337"/>
      <c r="D1861" s="1171"/>
      <c r="E1861" s="1165"/>
      <c r="F1861" s="1166"/>
      <c r="G1861" s="1343"/>
      <c r="H1861" s="1156"/>
      <c r="I1861" s="1336"/>
      <c r="J1861" s="1168" t="s">
        <v>102</v>
      </c>
      <c r="K1861" s="1221">
        <f>data!G891</f>
        <v>630</v>
      </c>
      <c r="L1861" s="1159" t="s">
        <v>2218</v>
      </c>
      <c r="M1861" s="1224">
        <f>ROUND(I1861*K1861,0)</f>
        <v>0</v>
      </c>
      <c r="N1861" s="1161" t="s">
        <v>2218</v>
      </c>
    </row>
    <row r="1862" spans="1:14" ht="66" hidden="1" customHeight="1">
      <c r="A1862" s="1156">
        <v>28</v>
      </c>
      <c r="B1862" s="1831" t="s">
        <v>1184</v>
      </c>
      <c r="C1862" s="1832"/>
      <c r="D1862" s="1832"/>
      <c r="E1862" s="1832"/>
      <c r="F1862" s="1832"/>
      <c r="G1862" s="1832"/>
      <c r="H1862" s="1834"/>
      <c r="I1862" s="1157"/>
      <c r="J1862" s="1158"/>
      <c r="K1862" s="1156"/>
      <c r="L1862" s="1159"/>
      <c r="M1862" s="1160"/>
      <c r="N1862" s="1161" t="s">
        <v>2306</v>
      </c>
    </row>
    <row r="1863" spans="1:14" s="1170" customFormat="1" ht="16.5" hidden="1" customHeight="1">
      <c r="A1863" s="1156"/>
      <c r="B1863" s="1169" t="s">
        <v>3501</v>
      </c>
      <c r="C1863" s="1351"/>
      <c r="D1863" s="1418"/>
      <c r="E1863" s="1352"/>
      <c r="F1863" s="1234"/>
      <c r="G1863" s="1234"/>
      <c r="H1863" s="1235"/>
      <c r="I1863" s="1353"/>
      <c r="J1863" s="1168"/>
      <c r="K1863" s="1169"/>
      <c r="L1863" s="1156"/>
      <c r="M1863" s="1169"/>
      <c r="N1863" s="1161" t="s">
        <v>2306</v>
      </c>
    </row>
    <row r="1864" spans="1:14" s="1170" customFormat="1" ht="16.5" hidden="1" customHeight="1">
      <c r="A1864" s="1156"/>
      <c r="B1864" s="1331" t="s">
        <v>1623</v>
      </c>
      <c r="C1864" s="1332">
        <v>1</v>
      </c>
      <c r="D1864" s="1333" t="s">
        <v>273</v>
      </c>
      <c r="E1864" s="1334">
        <v>4</v>
      </c>
      <c r="F1864" s="1335">
        <v>1.5</v>
      </c>
      <c r="G1864" s="1335">
        <v>0</v>
      </c>
      <c r="H1864" s="1335">
        <v>1.35</v>
      </c>
      <c r="I1864" s="1336">
        <f>ROUND(IF(AND(F1864:H1864),C1864*E1864*F1864*G1864*H1864,IF(AND(F1864,G1864),C1864*E1864*F1864*G1864,IF(AND(F1864,H1864),C1864*E1864*F1864*H1864,IF(AND(G1864,H1864),C1864*E1864*G1864*H1864,IF(F1864,C1864*E1864*F1864,IF(G1864,C1864*E1864*G1864,IF(H1864,C1864*E1864*H1864,C1864*E1864))))))),2)</f>
        <v>8.1</v>
      </c>
      <c r="J1864" s="1168" t="s">
        <v>102</v>
      </c>
      <c r="K1864" s="1169"/>
      <c r="L1864" s="1156"/>
      <c r="M1864" s="1169"/>
      <c r="N1864" s="1161" t="s">
        <v>2306</v>
      </c>
    </row>
    <row r="1865" spans="1:14" s="1170" customFormat="1" ht="16.5" hidden="1" customHeight="1">
      <c r="A1865" s="1156"/>
      <c r="B1865" s="1331" t="s">
        <v>586</v>
      </c>
      <c r="C1865" s="1332">
        <v>1</v>
      </c>
      <c r="D1865" s="1333" t="s">
        <v>273</v>
      </c>
      <c r="E1865" s="1334">
        <v>1</v>
      </c>
      <c r="F1865" s="1335">
        <v>1.5</v>
      </c>
      <c r="G1865" s="1335">
        <v>0</v>
      </c>
      <c r="H1865" s="1335">
        <v>1.35</v>
      </c>
      <c r="I1865" s="1336">
        <f>ROUND(IF(AND(F1865:H1865),C1865*E1865*F1865*G1865*H1865,IF(AND(F1865,G1865),C1865*E1865*F1865*G1865,IF(AND(F1865,H1865),C1865*E1865*F1865*H1865,IF(AND(G1865,H1865),C1865*E1865*G1865*H1865,IF(F1865,C1865*E1865*F1865,IF(G1865,C1865*E1865*G1865,IF(H1865,C1865*E1865*H1865,C1865*E1865))))))),2)</f>
        <v>2.0299999999999998</v>
      </c>
      <c r="J1865" s="1168" t="s">
        <v>102</v>
      </c>
      <c r="K1865" s="1169"/>
      <c r="L1865" s="1156"/>
      <c r="M1865" s="1169"/>
      <c r="N1865" s="1161" t="s">
        <v>2306</v>
      </c>
    </row>
    <row r="1866" spans="1:14" s="1170" customFormat="1" ht="16.5" hidden="1" customHeight="1">
      <c r="A1866" s="1156"/>
      <c r="B1866" s="1331"/>
      <c r="C1866" s="1332"/>
      <c r="D1866" s="1333"/>
      <c r="E1866" s="1399"/>
      <c r="F1866" s="1335"/>
      <c r="G1866" s="1335"/>
      <c r="H1866" s="1335"/>
      <c r="I1866" s="1336"/>
      <c r="J1866" s="1168"/>
      <c r="K1866" s="1169"/>
      <c r="L1866" s="1159"/>
      <c r="M1866" s="1169"/>
      <c r="N1866" s="1161" t="s">
        <v>2306</v>
      </c>
    </row>
    <row r="1867" spans="1:14" ht="15.75" hidden="1">
      <c r="A1867" s="1156"/>
      <c r="B1867" s="1169"/>
      <c r="C1867" s="1337"/>
      <c r="D1867" s="1171"/>
      <c r="E1867" s="1165"/>
      <c r="F1867" s="1166"/>
      <c r="G1867" s="1343"/>
      <c r="H1867" s="1156"/>
      <c r="I1867" s="1336"/>
      <c r="J1867" s="1168" t="s">
        <v>102</v>
      </c>
      <c r="K1867" s="1221">
        <f>data!G1808</f>
        <v>630</v>
      </c>
      <c r="L1867" s="1159" t="s">
        <v>2306</v>
      </c>
      <c r="M1867" s="1224">
        <f>ROUND(I1867*K1867,0)</f>
        <v>0</v>
      </c>
      <c r="N1867" s="1161" t="s">
        <v>2306</v>
      </c>
    </row>
    <row r="1868" spans="1:14" ht="66" hidden="1" customHeight="1">
      <c r="A1868" s="1156">
        <v>28</v>
      </c>
      <c r="B1868" s="1831" t="s">
        <v>1184</v>
      </c>
      <c r="C1868" s="1832"/>
      <c r="D1868" s="1832"/>
      <c r="E1868" s="1832"/>
      <c r="F1868" s="1832"/>
      <c r="G1868" s="1832"/>
      <c r="H1868" s="1834"/>
      <c r="I1868" s="1157"/>
      <c r="J1868" s="1158"/>
      <c r="K1868" s="1156"/>
      <c r="L1868" s="1159"/>
      <c r="M1868" s="1160"/>
      <c r="N1868" s="1161" t="s">
        <v>2317</v>
      </c>
    </row>
    <row r="1869" spans="1:14" s="1170" customFormat="1" ht="16.5" hidden="1" customHeight="1">
      <c r="A1869" s="1156"/>
      <c r="B1869" s="1169" t="s">
        <v>3501</v>
      </c>
      <c r="C1869" s="1351"/>
      <c r="D1869" s="1418"/>
      <c r="E1869" s="1352"/>
      <c r="F1869" s="1234"/>
      <c r="G1869" s="1234"/>
      <c r="H1869" s="1235"/>
      <c r="I1869" s="1353"/>
      <c r="J1869" s="1168"/>
      <c r="K1869" s="1169"/>
      <c r="L1869" s="1156"/>
      <c r="M1869" s="1169"/>
      <c r="N1869" s="1161" t="s">
        <v>2317</v>
      </c>
    </row>
    <row r="1870" spans="1:14" s="1170" customFormat="1" ht="16.5" hidden="1" customHeight="1">
      <c r="A1870" s="1156"/>
      <c r="B1870" s="1331" t="s">
        <v>1623</v>
      </c>
      <c r="C1870" s="1332">
        <v>1</v>
      </c>
      <c r="D1870" s="1333" t="s">
        <v>273</v>
      </c>
      <c r="E1870" s="1334">
        <v>4</v>
      </c>
      <c r="F1870" s="1335">
        <v>1.5</v>
      </c>
      <c r="G1870" s="1335">
        <v>0</v>
      </c>
      <c r="H1870" s="1335">
        <v>1.35</v>
      </c>
      <c r="I1870" s="1336">
        <f>ROUND(IF(AND(F1870:H1870),C1870*E1870*F1870*G1870*H1870,IF(AND(F1870,G1870),C1870*E1870*F1870*G1870,IF(AND(F1870,H1870),C1870*E1870*F1870*H1870,IF(AND(G1870,H1870),C1870*E1870*G1870*H1870,IF(F1870,C1870*E1870*F1870,IF(G1870,C1870*E1870*G1870,IF(H1870,C1870*E1870*H1870,C1870*E1870))))))),2)</f>
        <v>8.1</v>
      </c>
      <c r="J1870" s="1168" t="s">
        <v>102</v>
      </c>
      <c r="K1870" s="1169"/>
      <c r="L1870" s="1156"/>
      <c r="M1870" s="1169"/>
      <c r="N1870" s="1161" t="s">
        <v>2317</v>
      </c>
    </row>
    <row r="1871" spans="1:14" s="1170" customFormat="1" ht="16.5" hidden="1" customHeight="1">
      <c r="A1871" s="1156"/>
      <c r="B1871" s="1331" t="s">
        <v>586</v>
      </c>
      <c r="C1871" s="1332">
        <v>1</v>
      </c>
      <c r="D1871" s="1333" t="s">
        <v>273</v>
      </c>
      <c r="E1871" s="1334">
        <v>1</v>
      </c>
      <c r="F1871" s="1335">
        <v>1.5</v>
      </c>
      <c r="G1871" s="1335">
        <v>0</v>
      </c>
      <c r="H1871" s="1335">
        <v>1.35</v>
      </c>
      <c r="I1871" s="1336">
        <f>ROUND(IF(AND(F1871:H1871),C1871*E1871*F1871*G1871*H1871,IF(AND(F1871,G1871),C1871*E1871*F1871*G1871,IF(AND(F1871,H1871),C1871*E1871*F1871*H1871,IF(AND(G1871,H1871),C1871*E1871*G1871*H1871,IF(F1871,C1871*E1871*F1871,IF(G1871,C1871*E1871*G1871,IF(H1871,C1871*E1871*H1871,C1871*E1871))))))),2)</f>
        <v>2.0299999999999998</v>
      </c>
      <c r="J1871" s="1168" t="s">
        <v>102</v>
      </c>
      <c r="K1871" s="1169"/>
      <c r="L1871" s="1156"/>
      <c r="M1871" s="1169"/>
      <c r="N1871" s="1161" t="s">
        <v>2317</v>
      </c>
    </row>
    <row r="1872" spans="1:14" s="1170" customFormat="1" ht="16.5" hidden="1" customHeight="1">
      <c r="A1872" s="1156"/>
      <c r="B1872" s="1331"/>
      <c r="C1872" s="1332"/>
      <c r="D1872" s="1333"/>
      <c r="E1872" s="1399"/>
      <c r="F1872" s="1335"/>
      <c r="G1872" s="1335"/>
      <c r="H1872" s="1335"/>
      <c r="I1872" s="1336"/>
      <c r="J1872" s="1168"/>
      <c r="K1872" s="1169"/>
      <c r="L1872" s="1159"/>
      <c r="M1872" s="1169"/>
      <c r="N1872" s="1161" t="s">
        <v>2317</v>
      </c>
    </row>
    <row r="1873" spans="1:14" ht="15.75" hidden="1">
      <c r="A1873" s="1156"/>
      <c r="B1873" s="1169"/>
      <c r="C1873" s="1337"/>
      <c r="D1873" s="1171"/>
      <c r="E1873" s="1165"/>
      <c r="F1873" s="1166"/>
      <c r="G1873" s="1343"/>
      <c r="H1873" s="1156"/>
      <c r="I1873" s="1336"/>
      <c r="J1873" s="1168" t="s">
        <v>102</v>
      </c>
      <c r="K1873" s="1221">
        <f>data!G2725</f>
        <v>630</v>
      </c>
      <c r="L1873" s="1159" t="s">
        <v>2317</v>
      </c>
      <c r="M1873" s="1224">
        <f>ROUND(I1873*K1873,0)</f>
        <v>0</v>
      </c>
      <c r="N1873" s="1161" t="s">
        <v>2317</v>
      </c>
    </row>
    <row r="1874" spans="1:14" ht="66" hidden="1" customHeight="1">
      <c r="A1874" s="1156">
        <v>31</v>
      </c>
      <c r="B1874" s="1831" t="s">
        <v>1184</v>
      </c>
      <c r="C1874" s="1832"/>
      <c r="D1874" s="1832"/>
      <c r="E1874" s="1832"/>
      <c r="F1874" s="1832"/>
      <c r="G1874" s="1832"/>
      <c r="H1874" s="1834"/>
      <c r="I1874" s="1157"/>
      <c r="J1874" s="1158"/>
      <c r="K1874" s="1156"/>
      <c r="L1874" s="1159"/>
      <c r="M1874" s="1160"/>
      <c r="N1874" s="1161" t="s">
        <v>2318</v>
      </c>
    </row>
    <row r="1875" spans="1:14" s="1170" customFormat="1" ht="16.5" hidden="1" customHeight="1">
      <c r="A1875" s="1156"/>
      <c r="B1875" s="1169" t="s">
        <v>2572</v>
      </c>
      <c r="C1875" s="1351"/>
      <c r="D1875" s="1418"/>
      <c r="E1875" s="1352"/>
      <c r="F1875" s="1234"/>
      <c r="G1875" s="1234"/>
      <c r="H1875" s="1235"/>
      <c r="I1875" s="1353"/>
      <c r="J1875" s="1168"/>
      <c r="K1875" s="1169"/>
      <c r="L1875" s="1156"/>
      <c r="M1875" s="1169"/>
      <c r="N1875" s="1161" t="s">
        <v>2318</v>
      </c>
    </row>
    <row r="1876" spans="1:14" s="1170" customFormat="1" ht="16.5" hidden="1" customHeight="1">
      <c r="A1876" s="1156"/>
      <c r="B1876" s="1331" t="s">
        <v>1601</v>
      </c>
      <c r="C1876" s="1332">
        <v>1</v>
      </c>
      <c r="D1876" s="1333" t="s">
        <v>273</v>
      </c>
      <c r="E1876" s="1334">
        <v>1</v>
      </c>
      <c r="F1876" s="1335">
        <v>5.4</v>
      </c>
      <c r="G1876" s="1335">
        <v>0</v>
      </c>
      <c r="H1876" s="1335">
        <v>1</v>
      </c>
      <c r="I1876" s="1336">
        <f>ROUND(IF(AND(F1876:H1876),C1876*E1876*F1876*G1876*H1876,IF(AND(F1876,G1876),C1876*E1876*F1876*G1876,IF(AND(F1876,H1876),C1876*E1876*F1876*H1876,IF(AND(G1876,H1876),C1876*E1876*G1876*H1876,IF(F1876,C1876*E1876*F1876,IF(G1876,C1876*E1876*G1876,IF(H1876,C1876*E1876*H1876,C1876*E1876))))))),2)</f>
        <v>5.4</v>
      </c>
      <c r="J1876" s="1168" t="s">
        <v>102</v>
      </c>
      <c r="K1876" s="1169"/>
      <c r="L1876" s="1156"/>
      <c r="M1876" s="1169"/>
      <c r="N1876" s="1161" t="s">
        <v>2318</v>
      </c>
    </row>
    <row r="1877" spans="1:14" s="1170" customFormat="1" ht="16.5" hidden="1" customHeight="1">
      <c r="A1877" s="1156"/>
      <c r="B1877" s="1331" t="s">
        <v>2579</v>
      </c>
      <c r="C1877" s="1332">
        <v>1</v>
      </c>
      <c r="D1877" s="1333" t="s">
        <v>273</v>
      </c>
      <c r="E1877" s="1334">
        <v>1</v>
      </c>
      <c r="F1877" s="1335">
        <v>30.8</v>
      </c>
      <c r="G1877" s="1335">
        <v>0</v>
      </c>
      <c r="H1877" s="1335">
        <v>0.3</v>
      </c>
      <c r="I1877" s="1336">
        <f>ROUND(IF(AND(F1877:H1877),C1877*E1877*F1877*G1877*H1877,IF(AND(F1877,G1877),C1877*E1877*F1877*G1877,IF(AND(F1877,H1877),C1877*E1877*F1877*H1877,IF(AND(G1877,H1877),C1877*E1877*G1877*H1877,IF(F1877,C1877*E1877*F1877,IF(G1877,C1877*E1877*G1877,IF(H1877,C1877*E1877*H1877,C1877*E1877))))))),2)</f>
        <v>9.24</v>
      </c>
      <c r="J1877" s="1168" t="s">
        <v>102</v>
      </c>
      <c r="K1877" s="1169"/>
      <c r="L1877" s="1156"/>
      <c r="M1877" s="1169"/>
      <c r="N1877" s="1161" t="s">
        <v>2318</v>
      </c>
    </row>
    <row r="1878" spans="1:14" s="1170" customFormat="1" ht="16.5" hidden="1" customHeight="1">
      <c r="A1878" s="1156"/>
      <c r="B1878" s="1331"/>
      <c r="C1878" s="1332"/>
      <c r="D1878" s="1333"/>
      <c r="E1878" s="1399"/>
      <c r="F1878" s="1335"/>
      <c r="G1878" s="1335"/>
      <c r="H1878" s="1335"/>
      <c r="I1878" s="1336"/>
      <c r="J1878" s="1168"/>
      <c r="K1878" s="1169"/>
      <c r="L1878" s="1159"/>
      <c r="M1878" s="1169"/>
      <c r="N1878" s="1161" t="s">
        <v>2318</v>
      </c>
    </row>
    <row r="1879" spans="1:14" ht="15.75" hidden="1">
      <c r="A1879" s="1156"/>
      <c r="B1879" s="1169"/>
      <c r="C1879" s="1337"/>
      <c r="D1879" s="1171"/>
      <c r="E1879" s="1165"/>
      <c r="F1879" s="1166"/>
      <c r="G1879" s="1343"/>
      <c r="H1879" s="1156"/>
      <c r="I1879" s="1336"/>
      <c r="J1879" s="1168" t="s">
        <v>102</v>
      </c>
      <c r="K1879" s="1221">
        <f>data!G3642</f>
        <v>630</v>
      </c>
      <c r="L1879" s="1159" t="s">
        <v>2318</v>
      </c>
      <c r="M1879" s="1224">
        <f>ROUND(I1879*K1879,0)</f>
        <v>0</v>
      </c>
      <c r="N1879" s="1161" t="s">
        <v>2318</v>
      </c>
    </row>
    <row r="1880" spans="1:14" ht="181.5" hidden="1" customHeight="1">
      <c r="A1880" s="1156">
        <v>29</v>
      </c>
      <c r="B1880" s="1826" t="s">
        <v>1183</v>
      </c>
      <c r="C1880" s="1826"/>
      <c r="D1880" s="1826"/>
      <c r="E1880" s="1826"/>
      <c r="F1880" s="1826"/>
      <c r="G1880" s="1826"/>
      <c r="H1880" s="1826"/>
      <c r="I1880" s="1157"/>
      <c r="J1880" s="1158"/>
      <c r="K1880" s="1156"/>
      <c r="L1880" s="1159"/>
      <c r="M1880" s="1160"/>
      <c r="N1880" s="1161" t="s">
        <v>2218</v>
      </c>
    </row>
    <row r="1881" spans="1:14" s="1170" customFormat="1" ht="16.5" hidden="1" customHeight="1">
      <c r="A1881" s="1156"/>
      <c r="B1881" s="1169" t="s">
        <v>3502</v>
      </c>
      <c r="C1881" s="1351"/>
      <c r="D1881" s="1418"/>
      <c r="E1881" s="1352"/>
      <c r="F1881" s="1234"/>
      <c r="G1881" s="1234"/>
      <c r="H1881" s="1235"/>
      <c r="I1881" s="1353"/>
      <c r="J1881" s="1357"/>
      <c r="K1881" s="1169"/>
      <c r="L1881" s="1156"/>
      <c r="M1881" s="1169"/>
      <c r="N1881" s="1161" t="s">
        <v>2218</v>
      </c>
    </row>
    <row r="1882" spans="1:14" s="1170" customFormat="1" ht="16.5" hidden="1" customHeight="1">
      <c r="A1882" s="1156"/>
      <c r="B1882" s="1331" t="s">
        <v>1625</v>
      </c>
      <c r="C1882" s="1332">
        <v>1</v>
      </c>
      <c r="D1882" s="1333" t="s">
        <v>273</v>
      </c>
      <c r="E1882" s="1399">
        <v>2.25</v>
      </c>
      <c r="F1882" s="1335">
        <v>1.2</v>
      </c>
      <c r="G1882" s="1335">
        <v>0</v>
      </c>
      <c r="H1882" s="1335">
        <v>2.1</v>
      </c>
      <c r="I1882" s="1336">
        <f>ROUND(IF(AND(F1882:H1882),C1882*E1882*F1882*G1882*H1882,IF(AND(F1882,G1882),C1882*E1882*F1882*G1882,IF(AND(F1882,H1882),C1882*E1882*F1882*H1882,IF(AND(G1882,H1882),C1882*E1882*G1882*H1882,IF(F1882,C1882*E1882*F1882,IF(G1882,C1882*E1882*G1882,IF(H1882,C1882*E1882*H1882,C1882*E1882))))))),2)</f>
        <v>5.67</v>
      </c>
      <c r="J1882" s="1357" t="s">
        <v>102</v>
      </c>
      <c r="K1882" s="1169"/>
      <c r="L1882" s="1156"/>
      <c r="M1882" s="1169"/>
      <c r="N1882" s="1161" t="s">
        <v>2218</v>
      </c>
    </row>
    <row r="1883" spans="1:14" s="1170" customFormat="1" ht="16.5" hidden="1" customHeight="1">
      <c r="A1883" s="1156"/>
      <c r="B1883" s="1331"/>
      <c r="C1883" s="1332"/>
      <c r="D1883" s="1333"/>
      <c r="E1883" s="1399"/>
      <c r="F1883" s="1335"/>
      <c r="G1883" s="1335"/>
      <c r="H1883" s="1335"/>
      <c r="I1883" s="1336"/>
      <c r="J1883" s="1168"/>
      <c r="K1883" s="1169"/>
      <c r="L1883" s="1159"/>
      <c r="M1883" s="1169"/>
      <c r="N1883" s="1161" t="s">
        <v>2218</v>
      </c>
    </row>
    <row r="1884" spans="1:14" ht="15.75" hidden="1">
      <c r="A1884" s="1156"/>
      <c r="B1884" s="1169"/>
      <c r="C1884" s="1337"/>
      <c r="D1884" s="1171"/>
      <c r="E1884" s="1165"/>
      <c r="F1884" s="1166"/>
      <c r="G1884" s="1343"/>
      <c r="H1884" s="1156"/>
      <c r="I1884" s="1336"/>
      <c r="J1884" s="1168" t="s">
        <v>102</v>
      </c>
      <c r="K1884" s="1221">
        <f>data!G888</f>
        <v>786.87</v>
      </c>
      <c r="L1884" s="1159" t="s">
        <v>2218</v>
      </c>
      <c r="M1884" s="1224">
        <f>ROUND(I1884*K1884,0)</f>
        <v>0</v>
      </c>
      <c r="N1884" s="1161" t="s">
        <v>2218</v>
      </c>
    </row>
    <row r="1885" spans="1:14" ht="181.5" hidden="1" customHeight="1">
      <c r="A1885" s="1156">
        <v>29</v>
      </c>
      <c r="B1885" s="1826" t="s">
        <v>1183</v>
      </c>
      <c r="C1885" s="1826"/>
      <c r="D1885" s="1826"/>
      <c r="E1885" s="1826"/>
      <c r="F1885" s="1826"/>
      <c r="G1885" s="1826"/>
      <c r="H1885" s="1826"/>
      <c r="I1885" s="1157"/>
      <c r="J1885" s="1158"/>
      <c r="K1885" s="1156"/>
      <c r="L1885" s="1159"/>
      <c r="M1885" s="1160"/>
      <c r="N1885" s="1161" t="s">
        <v>2306</v>
      </c>
    </row>
    <row r="1886" spans="1:14" s="1170" customFormat="1" ht="16.5" hidden="1" customHeight="1">
      <c r="A1886" s="1156"/>
      <c r="B1886" s="1169" t="s">
        <v>3502</v>
      </c>
      <c r="C1886" s="1351"/>
      <c r="D1886" s="1418"/>
      <c r="E1886" s="1352"/>
      <c r="F1886" s="1234"/>
      <c r="G1886" s="1234"/>
      <c r="H1886" s="1235"/>
      <c r="I1886" s="1353"/>
      <c r="J1886" s="1357"/>
      <c r="K1886" s="1169"/>
      <c r="L1886" s="1156"/>
      <c r="M1886" s="1169"/>
      <c r="N1886" s="1161" t="s">
        <v>2306</v>
      </c>
    </row>
    <row r="1887" spans="1:14" s="1170" customFormat="1" ht="16.5" hidden="1" customHeight="1">
      <c r="A1887" s="1156"/>
      <c r="B1887" s="1331" t="s">
        <v>1625</v>
      </c>
      <c r="C1887" s="1332">
        <v>1</v>
      </c>
      <c r="D1887" s="1333" t="s">
        <v>273</v>
      </c>
      <c r="E1887" s="1399">
        <v>2.25</v>
      </c>
      <c r="F1887" s="1335">
        <v>1.2</v>
      </c>
      <c r="G1887" s="1335">
        <v>0</v>
      </c>
      <c r="H1887" s="1335">
        <v>2.1</v>
      </c>
      <c r="I1887" s="1336">
        <f>ROUND(IF(AND(F1887:H1887),C1887*E1887*F1887*G1887*H1887,IF(AND(F1887,G1887),C1887*E1887*F1887*G1887,IF(AND(F1887,H1887),C1887*E1887*F1887*H1887,IF(AND(G1887,H1887),C1887*E1887*G1887*H1887,IF(F1887,C1887*E1887*F1887,IF(G1887,C1887*E1887*G1887,IF(H1887,C1887*E1887*H1887,C1887*E1887))))))),2)</f>
        <v>5.67</v>
      </c>
      <c r="J1887" s="1357" t="s">
        <v>102</v>
      </c>
      <c r="K1887" s="1169"/>
      <c r="L1887" s="1156"/>
      <c r="M1887" s="1169"/>
      <c r="N1887" s="1161" t="s">
        <v>2306</v>
      </c>
    </row>
    <row r="1888" spans="1:14" s="1170" customFormat="1" ht="16.5" hidden="1" customHeight="1">
      <c r="A1888" s="1156"/>
      <c r="B1888" s="1331"/>
      <c r="C1888" s="1332"/>
      <c r="D1888" s="1333"/>
      <c r="E1888" s="1399"/>
      <c r="F1888" s="1335"/>
      <c r="G1888" s="1335"/>
      <c r="H1888" s="1335"/>
      <c r="I1888" s="1336"/>
      <c r="J1888" s="1168"/>
      <c r="K1888" s="1169"/>
      <c r="L1888" s="1159"/>
      <c r="M1888" s="1169"/>
      <c r="N1888" s="1161" t="s">
        <v>2306</v>
      </c>
    </row>
    <row r="1889" spans="1:14" ht="15.75" hidden="1">
      <c r="A1889" s="1156"/>
      <c r="B1889" s="1169"/>
      <c r="C1889" s="1337"/>
      <c r="D1889" s="1171"/>
      <c r="E1889" s="1165"/>
      <c r="F1889" s="1166"/>
      <c r="G1889" s="1343"/>
      <c r="H1889" s="1156"/>
      <c r="I1889" s="1336"/>
      <c r="J1889" s="1168" t="s">
        <v>102</v>
      </c>
      <c r="K1889" s="1221">
        <f>data!G1805</f>
        <v>849.67000000000007</v>
      </c>
      <c r="L1889" s="1159" t="s">
        <v>2306</v>
      </c>
      <c r="M1889" s="1224">
        <f>ROUND(I1889*K1889,0)</f>
        <v>0</v>
      </c>
      <c r="N1889" s="1161" t="s">
        <v>2306</v>
      </c>
    </row>
    <row r="1890" spans="1:14" ht="181.5" hidden="1" customHeight="1">
      <c r="A1890" s="1156">
        <v>29</v>
      </c>
      <c r="B1890" s="1826" t="s">
        <v>1183</v>
      </c>
      <c r="C1890" s="1826"/>
      <c r="D1890" s="1826"/>
      <c r="E1890" s="1826"/>
      <c r="F1890" s="1826"/>
      <c r="G1890" s="1826"/>
      <c r="H1890" s="1826"/>
      <c r="I1890" s="1157"/>
      <c r="J1890" s="1158"/>
      <c r="K1890" s="1156"/>
      <c r="L1890" s="1159"/>
      <c r="M1890" s="1160"/>
      <c r="N1890" s="1161" t="s">
        <v>2317</v>
      </c>
    </row>
    <row r="1891" spans="1:14" s="1170" customFormat="1" ht="16.5" hidden="1" customHeight="1">
      <c r="A1891" s="1156"/>
      <c r="B1891" s="1169" t="s">
        <v>3502</v>
      </c>
      <c r="C1891" s="1351"/>
      <c r="D1891" s="1418"/>
      <c r="E1891" s="1352"/>
      <c r="F1891" s="1234"/>
      <c r="G1891" s="1234"/>
      <c r="H1891" s="1235"/>
      <c r="I1891" s="1353"/>
      <c r="J1891" s="1357"/>
      <c r="K1891" s="1169"/>
      <c r="L1891" s="1156"/>
      <c r="M1891" s="1169"/>
      <c r="N1891" s="1161" t="s">
        <v>2317</v>
      </c>
    </row>
    <row r="1892" spans="1:14" s="1170" customFormat="1" ht="16.5" hidden="1" customHeight="1">
      <c r="A1892" s="1156"/>
      <c r="B1892" s="1331" t="s">
        <v>1625</v>
      </c>
      <c r="C1892" s="1332">
        <v>1</v>
      </c>
      <c r="D1892" s="1333" t="s">
        <v>273</v>
      </c>
      <c r="E1892" s="1399">
        <v>2.25</v>
      </c>
      <c r="F1892" s="1335">
        <v>1.2</v>
      </c>
      <c r="G1892" s="1335">
        <v>0</v>
      </c>
      <c r="H1892" s="1335">
        <v>2.1</v>
      </c>
      <c r="I1892" s="1336">
        <f>ROUND(IF(AND(F1892:H1892),C1892*E1892*F1892*G1892*H1892,IF(AND(F1892,G1892),C1892*E1892*F1892*G1892,IF(AND(F1892,H1892),C1892*E1892*F1892*H1892,IF(AND(G1892,H1892),C1892*E1892*G1892*H1892,IF(F1892,C1892*E1892*F1892,IF(G1892,C1892*E1892*G1892,IF(H1892,C1892*E1892*H1892,C1892*E1892))))))),2)</f>
        <v>5.67</v>
      </c>
      <c r="J1892" s="1357" t="s">
        <v>102</v>
      </c>
      <c r="K1892" s="1169"/>
      <c r="L1892" s="1156"/>
      <c r="M1892" s="1169"/>
      <c r="N1892" s="1161" t="s">
        <v>2317</v>
      </c>
    </row>
    <row r="1893" spans="1:14" s="1170" customFormat="1" ht="16.5" hidden="1" customHeight="1">
      <c r="A1893" s="1156"/>
      <c r="B1893" s="1331"/>
      <c r="C1893" s="1332"/>
      <c r="D1893" s="1333"/>
      <c r="E1893" s="1399"/>
      <c r="F1893" s="1335"/>
      <c r="G1893" s="1335"/>
      <c r="H1893" s="1335"/>
      <c r="I1893" s="1336"/>
      <c r="J1893" s="1168"/>
      <c r="K1893" s="1169"/>
      <c r="L1893" s="1159"/>
      <c r="M1893" s="1169"/>
      <c r="N1893" s="1161" t="s">
        <v>2317</v>
      </c>
    </row>
    <row r="1894" spans="1:14" ht="15.75" hidden="1">
      <c r="A1894" s="1156"/>
      <c r="B1894" s="1169"/>
      <c r="C1894" s="1337"/>
      <c r="D1894" s="1171"/>
      <c r="E1894" s="1165"/>
      <c r="F1894" s="1166"/>
      <c r="G1894" s="1343"/>
      <c r="H1894" s="1156"/>
      <c r="I1894" s="1336"/>
      <c r="J1894" s="1168" t="s">
        <v>102</v>
      </c>
      <c r="K1894" s="1221">
        <f>data!G2722</f>
        <v>897.27</v>
      </c>
      <c r="L1894" s="1159" t="s">
        <v>2317</v>
      </c>
      <c r="M1894" s="1224">
        <f>ROUND(I1894*K1894,0)</f>
        <v>0</v>
      </c>
      <c r="N1894" s="1161" t="s">
        <v>2317</v>
      </c>
    </row>
    <row r="1895" spans="1:14" ht="181.5" hidden="1" customHeight="1">
      <c r="A1895" s="1156">
        <v>33</v>
      </c>
      <c r="B1895" s="1826" t="s">
        <v>1183</v>
      </c>
      <c r="C1895" s="1826"/>
      <c r="D1895" s="1828"/>
      <c r="E1895" s="1826"/>
      <c r="F1895" s="1826"/>
      <c r="G1895" s="1826"/>
      <c r="H1895" s="1826"/>
      <c r="I1895" s="1157"/>
      <c r="J1895" s="1158"/>
      <c r="K1895" s="1156"/>
      <c r="L1895" s="1159"/>
      <c r="M1895" s="1160"/>
      <c r="N1895" s="1161" t="s">
        <v>2318</v>
      </c>
    </row>
    <row r="1896" spans="1:14" s="1170" customFormat="1" ht="16.5" hidden="1" customHeight="1">
      <c r="A1896" s="1156"/>
      <c r="B1896" s="1169" t="s">
        <v>3395</v>
      </c>
      <c r="C1896" s="1351"/>
      <c r="D1896" s="1418"/>
      <c r="E1896" s="1352"/>
      <c r="F1896" s="1234"/>
      <c r="G1896" s="1234"/>
      <c r="H1896" s="1235"/>
      <c r="I1896" s="1353"/>
      <c r="J1896" s="1357"/>
      <c r="K1896" s="1169"/>
      <c r="L1896" s="1156"/>
      <c r="M1896" s="1169"/>
      <c r="N1896" s="1161" t="s">
        <v>2318</v>
      </c>
    </row>
    <row r="1897" spans="1:14" s="1170" customFormat="1" ht="16.5" hidden="1" customHeight="1">
      <c r="A1897" s="1156"/>
      <c r="B1897" s="1331"/>
      <c r="C1897" s="1332">
        <v>1</v>
      </c>
      <c r="D1897" s="1333" t="s">
        <v>273</v>
      </c>
      <c r="E1897" s="1399">
        <v>2.25</v>
      </c>
      <c r="F1897" s="1335">
        <v>1.2</v>
      </c>
      <c r="G1897" s="1335">
        <v>0</v>
      </c>
      <c r="H1897" s="1335">
        <v>2.1</v>
      </c>
      <c r="I1897" s="1336">
        <f>ROUND(IF(AND(F1897:H1897),C1897*E1897*F1897*G1897*H1897,IF(AND(F1897,G1897),C1897*E1897*F1897*G1897,IF(AND(F1897,H1897),C1897*E1897*F1897*H1897,IF(AND(G1897,H1897),C1897*E1897*G1897*H1897,IF(F1897,C1897*E1897*F1897,IF(G1897,C1897*E1897*G1897,IF(H1897,C1897*E1897*H1897,C1897*E1897))))))),2)</f>
        <v>5.67</v>
      </c>
      <c r="J1897" s="1357" t="s">
        <v>102</v>
      </c>
      <c r="K1897" s="1169"/>
      <c r="L1897" s="1156"/>
      <c r="M1897" s="1169"/>
      <c r="N1897" s="1161" t="s">
        <v>2318</v>
      </c>
    </row>
    <row r="1898" spans="1:14" s="1170" customFormat="1" ht="16.5" hidden="1" customHeight="1">
      <c r="A1898" s="1156"/>
      <c r="B1898" s="1331"/>
      <c r="C1898" s="1332"/>
      <c r="D1898" s="1333"/>
      <c r="E1898" s="1399"/>
      <c r="F1898" s="1335"/>
      <c r="G1898" s="1335"/>
      <c r="H1898" s="1335"/>
      <c r="I1898" s="1336"/>
      <c r="J1898" s="1168"/>
      <c r="K1898" s="1169"/>
      <c r="L1898" s="1159"/>
      <c r="M1898" s="1169"/>
      <c r="N1898" s="1161" t="s">
        <v>2318</v>
      </c>
    </row>
    <row r="1899" spans="1:14" ht="15.75" hidden="1">
      <c r="A1899" s="1156"/>
      <c r="B1899" s="1169"/>
      <c r="C1899" s="1337"/>
      <c r="D1899" s="1171"/>
      <c r="E1899" s="1165"/>
      <c r="F1899" s="1166"/>
      <c r="G1899" s="1343"/>
      <c r="H1899" s="1156"/>
      <c r="I1899" s="1336"/>
      <c r="J1899" s="1168" t="s">
        <v>102</v>
      </c>
      <c r="K1899" s="1221">
        <f>data!G3639</f>
        <v>968.78</v>
      </c>
      <c r="L1899" s="1159" t="s">
        <v>2318</v>
      </c>
      <c r="M1899" s="1224">
        <f>ROUND(I1899*K1899,0)</f>
        <v>0</v>
      </c>
      <c r="N1899" s="1161" t="s">
        <v>2318</v>
      </c>
    </row>
    <row r="1900" spans="1:14" ht="111.75" hidden="1" customHeight="1">
      <c r="A1900" s="1156">
        <v>32</v>
      </c>
      <c r="B1900" s="1826" t="s">
        <v>680</v>
      </c>
      <c r="C1900" s="1826"/>
      <c r="D1900" s="1826"/>
      <c r="E1900" s="1826"/>
      <c r="F1900" s="1826"/>
      <c r="G1900" s="1826"/>
      <c r="H1900" s="1826"/>
      <c r="I1900" s="1157"/>
      <c r="J1900" s="1158"/>
      <c r="K1900" s="1156"/>
      <c r="L1900" s="1159"/>
      <c r="M1900" s="1160"/>
      <c r="N1900" s="1161" t="s">
        <v>2218</v>
      </c>
    </row>
    <row r="1901" spans="1:14" s="1170" customFormat="1" ht="16.5" hidden="1" customHeight="1">
      <c r="A1901" s="1156"/>
      <c r="B1901" s="1169" t="s">
        <v>3503</v>
      </c>
      <c r="C1901" s="1351"/>
      <c r="D1901" s="1418"/>
      <c r="E1901" s="1352"/>
      <c r="F1901" s="1234"/>
      <c r="G1901" s="1234"/>
      <c r="H1901" s="1235"/>
      <c r="I1901" s="1353"/>
      <c r="J1901" s="1168"/>
      <c r="K1901" s="1169"/>
      <c r="L1901" s="1159"/>
      <c r="M1901" s="1169"/>
      <c r="N1901" s="1161" t="s">
        <v>2218</v>
      </c>
    </row>
    <row r="1902" spans="1:14" s="1170" customFormat="1" ht="16.5" hidden="1" customHeight="1">
      <c r="A1902" s="1156"/>
      <c r="B1902" s="1359"/>
      <c r="C1902" s="1360">
        <v>1</v>
      </c>
      <c r="D1902" s="1361" t="s">
        <v>273</v>
      </c>
      <c r="E1902" s="1362">
        <v>1</v>
      </c>
      <c r="F1902" s="1401">
        <v>2.4</v>
      </c>
      <c r="G1902" s="1363">
        <v>0</v>
      </c>
      <c r="H1902" s="1363">
        <v>2.1</v>
      </c>
      <c r="I1902" s="1336">
        <f>ROUND(IF(AND(F1902:H1902),C1902*E1902*F1902*G1902*H1902,IF(AND(F1902,G1902),C1902*E1902*F1902*G1902,IF(AND(F1902,H1902),C1902*E1902*F1902*H1902,IF(AND(G1902,H1902),C1902*E1902*G1902*H1902,IF(F1902,C1902*E1902*F1902,IF(G1902,C1902*E1902*G1902,IF(H1902,C1902*E1902*H1902,C1902*E1902))))))),2)</f>
        <v>5.04</v>
      </c>
      <c r="J1902" s="1168" t="s">
        <v>102</v>
      </c>
      <c r="K1902" s="1169"/>
      <c r="L1902" s="1159"/>
      <c r="M1902" s="1169"/>
      <c r="N1902" s="1161" t="s">
        <v>2218</v>
      </c>
    </row>
    <row r="1903" spans="1:14" s="1170" customFormat="1" ht="16.5" hidden="1" customHeight="1">
      <c r="A1903" s="1156"/>
      <c r="B1903" s="1331"/>
      <c r="C1903" s="1332"/>
      <c r="D1903" s="1333"/>
      <c r="E1903" s="1334"/>
      <c r="F1903" s="1550"/>
      <c r="G1903" s="1335"/>
      <c r="H1903" s="1335"/>
      <c r="I1903" s="1336"/>
      <c r="J1903" s="1168"/>
      <c r="K1903" s="1169"/>
      <c r="L1903" s="1159"/>
      <c r="M1903" s="1169"/>
      <c r="N1903" s="1161" t="s">
        <v>2218</v>
      </c>
    </row>
    <row r="1904" spans="1:14" ht="15.75" hidden="1">
      <c r="A1904" s="1156"/>
      <c r="B1904" s="1169"/>
      <c r="C1904" s="1337"/>
      <c r="D1904" s="1171"/>
      <c r="E1904" s="1165"/>
      <c r="F1904" s="1166"/>
      <c r="G1904" s="1343"/>
      <c r="H1904" s="1156"/>
      <c r="I1904" s="1336"/>
      <c r="J1904" s="1168" t="s">
        <v>102</v>
      </c>
      <c r="K1904" s="1221">
        <f>data!G894</f>
        <v>3198</v>
      </c>
      <c r="L1904" s="1159" t="s">
        <v>2218</v>
      </c>
      <c r="M1904" s="1224">
        <f>ROUND(I1904*K1904,0)</f>
        <v>0</v>
      </c>
      <c r="N1904" s="1161" t="s">
        <v>2218</v>
      </c>
    </row>
    <row r="1905" spans="1:14" ht="111.75" hidden="1" customHeight="1">
      <c r="A1905" s="1156">
        <v>30</v>
      </c>
      <c r="B1905" s="1826" t="s">
        <v>680</v>
      </c>
      <c r="C1905" s="1826"/>
      <c r="D1905" s="1826"/>
      <c r="E1905" s="1826"/>
      <c r="F1905" s="1826"/>
      <c r="G1905" s="1826"/>
      <c r="H1905" s="1826"/>
      <c r="I1905" s="1157"/>
      <c r="J1905" s="1158"/>
      <c r="K1905" s="1156"/>
      <c r="L1905" s="1159"/>
      <c r="M1905" s="1160"/>
      <c r="N1905" s="1161" t="s">
        <v>2306</v>
      </c>
    </row>
    <row r="1906" spans="1:14" s="1170" customFormat="1" ht="16.5" hidden="1" customHeight="1">
      <c r="A1906" s="1156"/>
      <c r="B1906" s="1169" t="s">
        <v>2759</v>
      </c>
      <c r="C1906" s="1351"/>
      <c r="D1906" s="1418"/>
      <c r="E1906" s="1352"/>
      <c r="F1906" s="1234"/>
      <c r="G1906" s="1234"/>
      <c r="H1906" s="1235"/>
      <c r="I1906" s="1353"/>
      <c r="J1906" s="1168"/>
      <c r="K1906" s="1169"/>
      <c r="L1906" s="1159"/>
      <c r="M1906" s="1169"/>
      <c r="N1906" s="1161" t="s">
        <v>2306</v>
      </c>
    </row>
    <row r="1907" spans="1:14" s="1170" customFormat="1" ht="16.5" hidden="1" customHeight="1">
      <c r="A1907" s="1156"/>
      <c r="B1907" s="1359"/>
      <c r="C1907" s="1360">
        <v>1</v>
      </c>
      <c r="D1907" s="1361" t="s">
        <v>273</v>
      </c>
      <c r="E1907" s="1362">
        <v>1</v>
      </c>
      <c r="F1907" s="1401">
        <v>2.4500000000000002</v>
      </c>
      <c r="G1907" s="1363">
        <v>0</v>
      </c>
      <c r="H1907" s="1363">
        <v>2.1</v>
      </c>
      <c r="I1907" s="1336">
        <f>ROUND(IF(AND(F1907:H1907),C1907*E1907*F1907*G1907*H1907,IF(AND(F1907,G1907),C1907*E1907*F1907*G1907,IF(AND(F1907,H1907),C1907*E1907*F1907*H1907,IF(AND(G1907,H1907),C1907*E1907*G1907*H1907,IF(F1907,C1907*E1907*F1907,IF(G1907,C1907*E1907*G1907,IF(H1907,C1907*E1907*H1907,C1907*E1907))))))),2)</f>
        <v>5.15</v>
      </c>
      <c r="J1907" s="1168" t="s">
        <v>102</v>
      </c>
      <c r="K1907" s="1169"/>
      <c r="L1907" s="1159"/>
      <c r="M1907" s="1169"/>
      <c r="N1907" s="1161" t="s">
        <v>2306</v>
      </c>
    </row>
    <row r="1908" spans="1:14" s="1170" customFormat="1" ht="16.5" hidden="1" customHeight="1">
      <c r="A1908" s="1156"/>
      <c r="B1908" s="1331"/>
      <c r="C1908" s="1332"/>
      <c r="D1908" s="1333"/>
      <c r="E1908" s="1334"/>
      <c r="F1908" s="1550"/>
      <c r="G1908" s="1335"/>
      <c r="H1908" s="1335"/>
      <c r="I1908" s="1336"/>
      <c r="J1908" s="1168"/>
      <c r="K1908" s="1169"/>
      <c r="L1908" s="1159"/>
      <c r="M1908" s="1169"/>
      <c r="N1908" s="1161" t="s">
        <v>2306</v>
      </c>
    </row>
    <row r="1909" spans="1:14" ht="15.75" hidden="1">
      <c r="A1909" s="1156"/>
      <c r="B1909" s="1169"/>
      <c r="C1909" s="1337"/>
      <c r="D1909" s="1171"/>
      <c r="E1909" s="1165"/>
      <c r="F1909" s="1166"/>
      <c r="G1909" s="1343"/>
      <c r="H1909" s="1156"/>
      <c r="I1909" s="1336"/>
      <c r="J1909" s="1168" t="s">
        <v>102</v>
      </c>
      <c r="K1909" s="1221">
        <f>data!G1811</f>
        <v>3198</v>
      </c>
      <c r="L1909" s="1159" t="s">
        <v>2306</v>
      </c>
      <c r="M1909" s="1224">
        <f>ROUND(I1909*K1909,0)</f>
        <v>0</v>
      </c>
      <c r="N1909" s="1161" t="s">
        <v>2306</v>
      </c>
    </row>
    <row r="1910" spans="1:14" ht="111.75" hidden="1" customHeight="1">
      <c r="A1910" s="1156">
        <v>32</v>
      </c>
      <c r="B1910" s="1826" t="s">
        <v>680</v>
      </c>
      <c r="C1910" s="1826"/>
      <c r="D1910" s="1826"/>
      <c r="E1910" s="1826"/>
      <c r="F1910" s="1826"/>
      <c r="G1910" s="1826"/>
      <c r="H1910" s="1826"/>
      <c r="I1910" s="1157"/>
      <c r="J1910" s="1158"/>
      <c r="K1910" s="1156"/>
      <c r="L1910" s="1159"/>
      <c r="M1910" s="1160"/>
      <c r="N1910" s="1161" t="s">
        <v>2317</v>
      </c>
    </row>
    <row r="1911" spans="1:14" s="1170" customFormat="1" ht="16.5" hidden="1" customHeight="1">
      <c r="A1911" s="1156"/>
      <c r="B1911" s="1169" t="s">
        <v>3503</v>
      </c>
      <c r="C1911" s="1351"/>
      <c r="D1911" s="1418"/>
      <c r="E1911" s="1352"/>
      <c r="F1911" s="1234"/>
      <c r="G1911" s="1234"/>
      <c r="H1911" s="1235"/>
      <c r="I1911" s="1353"/>
      <c r="J1911" s="1168"/>
      <c r="K1911" s="1169"/>
      <c r="L1911" s="1159"/>
      <c r="M1911" s="1169"/>
      <c r="N1911" s="1161" t="s">
        <v>2317</v>
      </c>
    </row>
    <row r="1912" spans="1:14" s="1170" customFormat="1" ht="16.5" hidden="1" customHeight="1">
      <c r="A1912" s="1156"/>
      <c r="B1912" s="1359"/>
      <c r="C1912" s="1360">
        <v>1</v>
      </c>
      <c r="D1912" s="1361" t="s">
        <v>273</v>
      </c>
      <c r="E1912" s="1362">
        <v>1</v>
      </c>
      <c r="F1912" s="1401">
        <v>2.4</v>
      </c>
      <c r="G1912" s="1363">
        <v>0</v>
      </c>
      <c r="H1912" s="1363">
        <v>2.1</v>
      </c>
      <c r="I1912" s="1336">
        <f>ROUND(IF(AND(F1912:H1912),C1912*E1912*F1912*G1912*H1912,IF(AND(F1912,G1912),C1912*E1912*F1912*G1912,IF(AND(F1912,H1912),C1912*E1912*F1912*H1912,IF(AND(G1912,H1912),C1912*E1912*G1912*H1912,IF(F1912,C1912*E1912*F1912,IF(G1912,C1912*E1912*G1912,IF(H1912,C1912*E1912*H1912,C1912*E1912))))))),2)</f>
        <v>5.04</v>
      </c>
      <c r="J1912" s="1168" t="s">
        <v>102</v>
      </c>
      <c r="K1912" s="1169"/>
      <c r="L1912" s="1159"/>
      <c r="M1912" s="1169"/>
      <c r="N1912" s="1161" t="s">
        <v>2317</v>
      </c>
    </row>
    <row r="1913" spans="1:14" s="1170" customFormat="1" ht="16.5" hidden="1" customHeight="1">
      <c r="A1913" s="1156"/>
      <c r="B1913" s="1331"/>
      <c r="C1913" s="1332"/>
      <c r="D1913" s="1333"/>
      <c r="E1913" s="1334"/>
      <c r="F1913" s="1550"/>
      <c r="G1913" s="1335"/>
      <c r="H1913" s="1335"/>
      <c r="I1913" s="1336"/>
      <c r="J1913" s="1168"/>
      <c r="K1913" s="1169"/>
      <c r="L1913" s="1159"/>
      <c r="M1913" s="1169"/>
      <c r="N1913" s="1161" t="s">
        <v>2317</v>
      </c>
    </row>
    <row r="1914" spans="1:14" ht="15.75" hidden="1">
      <c r="A1914" s="1156"/>
      <c r="B1914" s="1169"/>
      <c r="C1914" s="1337"/>
      <c r="D1914" s="1171"/>
      <c r="E1914" s="1165"/>
      <c r="F1914" s="1166"/>
      <c r="G1914" s="1343"/>
      <c r="H1914" s="1156"/>
      <c r="I1914" s="1336"/>
      <c r="J1914" s="1168" t="s">
        <v>102</v>
      </c>
      <c r="K1914" s="1221">
        <f>data!G2728</f>
        <v>3500</v>
      </c>
      <c r="L1914" s="1159" t="s">
        <v>2317</v>
      </c>
      <c r="M1914" s="1224">
        <f>ROUND(I1914*K1914,0)</f>
        <v>0</v>
      </c>
      <c r="N1914" s="1161" t="s">
        <v>2317</v>
      </c>
    </row>
    <row r="1915" spans="1:14" ht="111.75" hidden="1" customHeight="1">
      <c r="A1915" s="1156">
        <v>28</v>
      </c>
      <c r="B1915" s="1826" t="s">
        <v>680</v>
      </c>
      <c r="C1915" s="1826"/>
      <c r="D1915" s="1826"/>
      <c r="E1915" s="1826"/>
      <c r="F1915" s="1826"/>
      <c r="G1915" s="1826"/>
      <c r="H1915" s="1826"/>
      <c r="I1915" s="1157"/>
      <c r="J1915" s="1158"/>
      <c r="K1915" s="1156"/>
      <c r="L1915" s="1159"/>
      <c r="M1915" s="1160"/>
      <c r="N1915" s="1161" t="s">
        <v>2318</v>
      </c>
    </row>
    <row r="1916" spans="1:14" s="1170" customFormat="1" ht="16.5" hidden="1" customHeight="1">
      <c r="A1916" s="1156"/>
      <c r="B1916" s="1169" t="s">
        <v>3486</v>
      </c>
      <c r="C1916" s="1338"/>
      <c r="D1916" s="1171" t="s">
        <v>3336</v>
      </c>
      <c r="E1916" s="1339"/>
      <c r="F1916" s="1340"/>
      <c r="G1916" s="1340"/>
      <c r="H1916" s="1340"/>
      <c r="I1916" s="1338"/>
      <c r="J1916" s="1168"/>
      <c r="K1916" s="1169"/>
      <c r="L1916" s="1159"/>
      <c r="M1916" s="1169"/>
      <c r="N1916" s="1161" t="s">
        <v>2318</v>
      </c>
    </row>
    <row r="1917" spans="1:14" s="1170" customFormat="1" ht="16.5" hidden="1" customHeight="1">
      <c r="A1917" s="1156"/>
      <c r="B1917" s="1163"/>
      <c r="C1917" s="1157">
        <v>1</v>
      </c>
      <c r="D1917" s="1171" t="s">
        <v>273</v>
      </c>
      <c r="E1917" s="1165">
        <v>1</v>
      </c>
      <c r="F1917" s="1166">
        <v>3.15</v>
      </c>
      <c r="G1917" s="1166">
        <v>2.85</v>
      </c>
      <c r="H1917" s="1166">
        <v>0</v>
      </c>
      <c r="I1917" s="1172">
        <f t="shared" ref="I1917" si="163">ROUND(IF(AND(F1917:H1917),C1917*E1917*F1917*G1917*H1917,IF(AND(F1917,G1917),C1917*E1917*F1917*G1917,IF(AND(F1917,H1917),C1917*E1917*F1917*H1917,IF(AND(G1917,H1917),C1917*E1917*G1917*H1917,IF(F1917,C1917*E1917*F1917,IF(G1917,C1917*E1917*G1917,IF(H1917,C1917*E1917*H1917,C1917*E1917))))))),2)</f>
        <v>8.98</v>
      </c>
      <c r="J1917" s="1168" t="s">
        <v>102</v>
      </c>
      <c r="K1917" s="1169"/>
      <c r="L1917" s="1159"/>
      <c r="M1917" s="1169"/>
      <c r="N1917" s="1161" t="s">
        <v>2318</v>
      </c>
    </row>
    <row r="1918" spans="1:14" s="1170" customFormat="1" ht="16.5" hidden="1" customHeight="1">
      <c r="A1918" s="1156"/>
      <c r="B1918" s="1331"/>
      <c r="C1918" s="1332"/>
      <c r="D1918" s="1333"/>
      <c r="E1918" s="1334"/>
      <c r="F1918" s="1550"/>
      <c r="G1918" s="1335"/>
      <c r="H1918" s="1335"/>
      <c r="I1918" s="1336"/>
      <c r="J1918" s="1168"/>
      <c r="K1918" s="1169"/>
      <c r="L1918" s="1159"/>
      <c r="M1918" s="1169"/>
      <c r="N1918" s="1161" t="s">
        <v>2318</v>
      </c>
    </row>
    <row r="1919" spans="1:14" ht="15.75" hidden="1">
      <c r="A1919" s="1156"/>
      <c r="B1919" s="1169"/>
      <c r="C1919" s="1337"/>
      <c r="D1919" s="1171"/>
      <c r="E1919" s="1165"/>
      <c r="F1919" s="1166"/>
      <c r="G1919" s="1343"/>
      <c r="H1919" s="1156"/>
      <c r="I1919" s="1336"/>
      <c r="J1919" s="1168" t="s">
        <v>102</v>
      </c>
      <c r="K1919" s="1221">
        <f>data!G3645</f>
        <v>4025</v>
      </c>
      <c r="L1919" s="1159" t="s">
        <v>2318</v>
      </c>
      <c r="M1919" s="1224">
        <f>ROUND(I1919*K1919,0)</f>
        <v>0</v>
      </c>
      <c r="N1919" s="1161" t="s">
        <v>2318</v>
      </c>
    </row>
    <row r="1920" spans="1:14" ht="36.75" hidden="1" customHeight="1">
      <c r="A1920" s="1156">
        <v>33</v>
      </c>
      <c r="B1920" s="1826" t="s">
        <v>952</v>
      </c>
      <c r="C1920" s="1826"/>
      <c r="D1920" s="1826"/>
      <c r="E1920" s="1826"/>
      <c r="F1920" s="1826"/>
      <c r="G1920" s="1826"/>
      <c r="H1920" s="1826"/>
      <c r="I1920" s="1157"/>
      <c r="J1920" s="1158"/>
      <c r="K1920" s="1156"/>
      <c r="L1920" s="1159"/>
      <c r="M1920" s="1160"/>
      <c r="N1920" s="1161" t="s">
        <v>2218</v>
      </c>
    </row>
    <row r="1921" spans="1:14" s="1170" customFormat="1" ht="16.5" hidden="1" customHeight="1">
      <c r="A1921" s="1156"/>
      <c r="B1921" s="1169" t="s">
        <v>3504</v>
      </c>
      <c r="C1921" s="1351"/>
      <c r="D1921" s="1418"/>
      <c r="E1921" s="1352"/>
      <c r="F1921" s="1234"/>
      <c r="G1921" s="1234"/>
      <c r="H1921" s="1235"/>
      <c r="I1921" s="1353"/>
      <c r="J1921" s="1168"/>
      <c r="K1921" s="1169"/>
      <c r="L1921" s="1156"/>
      <c r="M1921" s="1169"/>
      <c r="N1921" s="1161" t="s">
        <v>2218</v>
      </c>
    </row>
    <row r="1922" spans="1:14" s="1170" customFormat="1" ht="16.5" hidden="1" customHeight="1">
      <c r="A1922" s="1156"/>
      <c r="B1922" s="1331"/>
      <c r="C1922" s="1332">
        <v>1</v>
      </c>
      <c r="D1922" s="1333" t="s">
        <v>273</v>
      </c>
      <c r="E1922" s="1334">
        <v>8</v>
      </c>
      <c r="F1922" s="1335">
        <v>0</v>
      </c>
      <c r="G1922" s="1335">
        <v>0</v>
      </c>
      <c r="H1922" s="1335">
        <v>0</v>
      </c>
      <c r="I1922" s="1336">
        <f>ROUND(IF(AND(F1922:H1922),C1922*E1922*F1922*G1922*H1922,IF(AND(F1922,G1922),C1922*E1922*F1922*G1922,IF(AND(F1922,H1922),C1922*E1922*F1922*H1922,IF(AND(G1922,H1922),C1922*E1922*G1922*H1922,IF(F1922,C1922*E1922*F1922,IF(G1922,C1922*E1922*G1922,IF(H1922,C1922*E1922*H1922,C1922*E1922))))))),2)</f>
        <v>8</v>
      </c>
      <c r="J1922" s="1168" t="s">
        <v>115</v>
      </c>
      <c r="K1922" s="1169"/>
      <c r="L1922" s="1156"/>
      <c r="M1922" s="1169"/>
      <c r="N1922" s="1161" t="s">
        <v>2218</v>
      </c>
    </row>
    <row r="1923" spans="1:14" s="1170" customFormat="1" ht="16.5" hidden="1" customHeight="1">
      <c r="A1923" s="1156"/>
      <c r="B1923" s="1331"/>
      <c r="C1923" s="1332"/>
      <c r="D1923" s="1333"/>
      <c r="E1923" s="1334"/>
      <c r="F1923" s="1335"/>
      <c r="G1923" s="1335"/>
      <c r="H1923" s="1335"/>
      <c r="I1923" s="1336"/>
      <c r="J1923" s="1168"/>
      <c r="K1923" s="1169"/>
      <c r="L1923" s="1156"/>
      <c r="M1923" s="1169"/>
      <c r="N1923" s="1161" t="s">
        <v>2218</v>
      </c>
    </row>
    <row r="1924" spans="1:14" ht="15.75" hidden="1">
      <c r="A1924" s="1156"/>
      <c r="B1924" s="1169"/>
      <c r="C1924" s="1337"/>
      <c r="D1924" s="1171"/>
      <c r="E1924" s="1165"/>
      <c r="F1924" s="1166"/>
      <c r="G1924" s="1343"/>
      <c r="H1924" s="1156"/>
      <c r="I1924" s="1336"/>
      <c r="J1924" s="1168" t="s">
        <v>115</v>
      </c>
      <c r="K1924" s="1221">
        <f>data!G903</f>
        <v>666.66</v>
      </c>
      <c r="L1924" s="1159" t="s">
        <v>2218</v>
      </c>
      <c r="M1924" s="1224">
        <f>ROUND(I1924*K1924,0)</f>
        <v>0</v>
      </c>
      <c r="N1924" s="1161" t="s">
        <v>2218</v>
      </c>
    </row>
    <row r="1925" spans="1:14" ht="36.75" hidden="1" customHeight="1">
      <c r="A1925" s="1156">
        <v>33</v>
      </c>
      <c r="B1925" s="1826" t="s">
        <v>952</v>
      </c>
      <c r="C1925" s="1826"/>
      <c r="D1925" s="1826"/>
      <c r="E1925" s="1826"/>
      <c r="F1925" s="1826"/>
      <c r="G1925" s="1826"/>
      <c r="H1925" s="1826"/>
      <c r="I1925" s="1157"/>
      <c r="J1925" s="1158"/>
      <c r="K1925" s="1156"/>
      <c r="L1925" s="1159"/>
      <c r="M1925" s="1160"/>
      <c r="N1925" s="1161" t="s">
        <v>2306</v>
      </c>
    </row>
    <row r="1926" spans="1:14" s="1170" customFormat="1" ht="16.5" hidden="1" customHeight="1">
      <c r="A1926" s="1156"/>
      <c r="B1926" s="1169" t="s">
        <v>3504</v>
      </c>
      <c r="C1926" s="1351"/>
      <c r="D1926" s="1418"/>
      <c r="E1926" s="1352"/>
      <c r="F1926" s="1234"/>
      <c r="G1926" s="1234"/>
      <c r="H1926" s="1235"/>
      <c r="I1926" s="1353"/>
      <c r="J1926" s="1168"/>
      <c r="K1926" s="1169"/>
      <c r="L1926" s="1156"/>
      <c r="M1926" s="1169"/>
      <c r="N1926" s="1161" t="s">
        <v>2306</v>
      </c>
    </row>
    <row r="1927" spans="1:14" s="1170" customFormat="1" ht="16.5" hidden="1" customHeight="1">
      <c r="A1927" s="1156"/>
      <c r="B1927" s="1331"/>
      <c r="C1927" s="1332">
        <v>1</v>
      </c>
      <c r="D1927" s="1333" t="s">
        <v>273</v>
      </c>
      <c r="E1927" s="1334">
        <v>8</v>
      </c>
      <c r="F1927" s="1335">
        <v>0</v>
      </c>
      <c r="G1927" s="1335">
        <v>0</v>
      </c>
      <c r="H1927" s="1335">
        <v>0</v>
      </c>
      <c r="I1927" s="1336">
        <f>ROUND(IF(AND(F1927:H1927),C1927*E1927*F1927*G1927*H1927,IF(AND(F1927,G1927),C1927*E1927*F1927*G1927,IF(AND(F1927,H1927),C1927*E1927*F1927*H1927,IF(AND(G1927,H1927),C1927*E1927*G1927*H1927,IF(F1927,C1927*E1927*F1927,IF(G1927,C1927*E1927*G1927,IF(H1927,C1927*E1927*H1927,C1927*E1927))))))),2)</f>
        <v>8</v>
      </c>
      <c r="J1927" s="1168" t="s">
        <v>115</v>
      </c>
      <c r="K1927" s="1169"/>
      <c r="L1927" s="1156"/>
      <c r="M1927" s="1169"/>
      <c r="N1927" s="1161" t="s">
        <v>2306</v>
      </c>
    </row>
    <row r="1928" spans="1:14" s="1170" customFormat="1" ht="16.5" hidden="1" customHeight="1">
      <c r="A1928" s="1156"/>
      <c r="B1928" s="1331"/>
      <c r="C1928" s="1332"/>
      <c r="D1928" s="1333"/>
      <c r="E1928" s="1334"/>
      <c r="F1928" s="1335"/>
      <c r="G1928" s="1335"/>
      <c r="H1928" s="1335"/>
      <c r="I1928" s="1336"/>
      <c r="J1928" s="1168"/>
      <c r="K1928" s="1169"/>
      <c r="L1928" s="1156"/>
      <c r="M1928" s="1169"/>
      <c r="N1928" s="1161" t="s">
        <v>2306</v>
      </c>
    </row>
    <row r="1929" spans="1:14" ht="15.75" hidden="1">
      <c r="A1929" s="1156"/>
      <c r="B1929" s="1169"/>
      <c r="C1929" s="1337"/>
      <c r="D1929" s="1171"/>
      <c r="E1929" s="1165"/>
      <c r="F1929" s="1166"/>
      <c r="G1929" s="1343"/>
      <c r="H1929" s="1156"/>
      <c r="I1929" s="1336"/>
      <c r="J1929" s="1168" t="s">
        <v>115</v>
      </c>
      <c r="K1929" s="1221">
        <f>data!G1820</f>
        <v>666.66</v>
      </c>
      <c r="L1929" s="1159" t="s">
        <v>2306</v>
      </c>
      <c r="M1929" s="1224">
        <f>ROUND(I1929*K1929,0)</f>
        <v>0</v>
      </c>
      <c r="N1929" s="1161" t="s">
        <v>2306</v>
      </c>
    </row>
    <row r="1930" spans="1:14" ht="36.75" hidden="1" customHeight="1">
      <c r="A1930" s="1156">
        <v>33</v>
      </c>
      <c r="B1930" s="1826" t="s">
        <v>952</v>
      </c>
      <c r="C1930" s="1826"/>
      <c r="D1930" s="1826"/>
      <c r="E1930" s="1826"/>
      <c r="F1930" s="1826"/>
      <c r="G1930" s="1826"/>
      <c r="H1930" s="1826"/>
      <c r="I1930" s="1157"/>
      <c r="J1930" s="1158"/>
      <c r="K1930" s="1156"/>
      <c r="L1930" s="1159"/>
      <c r="M1930" s="1160"/>
      <c r="N1930" s="1161" t="s">
        <v>2317</v>
      </c>
    </row>
    <row r="1931" spans="1:14" s="1170" customFormat="1" ht="16.5" hidden="1" customHeight="1">
      <c r="A1931" s="1156"/>
      <c r="B1931" s="1169" t="s">
        <v>3504</v>
      </c>
      <c r="C1931" s="1351"/>
      <c r="D1931" s="1418"/>
      <c r="E1931" s="1352"/>
      <c r="F1931" s="1234"/>
      <c r="G1931" s="1234"/>
      <c r="H1931" s="1235"/>
      <c r="I1931" s="1353"/>
      <c r="J1931" s="1168"/>
      <c r="K1931" s="1169"/>
      <c r="L1931" s="1156"/>
      <c r="M1931" s="1169"/>
      <c r="N1931" s="1161" t="s">
        <v>2317</v>
      </c>
    </row>
    <row r="1932" spans="1:14" s="1170" customFormat="1" ht="16.5" hidden="1" customHeight="1">
      <c r="A1932" s="1156"/>
      <c r="B1932" s="1331"/>
      <c r="C1932" s="1332">
        <v>1</v>
      </c>
      <c r="D1932" s="1333" t="s">
        <v>273</v>
      </c>
      <c r="E1932" s="1334">
        <v>8</v>
      </c>
      <c r="F1932" s="1335">
        <v>0</v>
      </c>
      <c r="G1932" s="1335">
        <v>0</v>
      </c>
      <c r="H1932" s="1335">
        <v>0</v>
      </c>
      <c r="I1932" s="1336">
        <f>ROUND(IF(AND(F1932:H1932),C1932*E1932*F1932*G1932*H1932,IF(AND(F1932,G1932),C1932*E1932*F1932*G1932,IF(AND(F1932,H1932),C1932*E1932*F1932*H1932,IF(AND(G1932,H1932),C1932*E1932*G1932*H1932,IF(F1932,C1932*E1932*F1932,IF(G1932,C1932*E1932*G1932,IF(H1932,C1932*E1932*H1932,C1932*E1932))))))),2)</f>
        <v>8</v>
      </c>
      <c r="J1932" s="1168" t="s">
        <v>115</v>
      </c>
      <c r="K1932" s="1169"/>
      <c r="L1932" s="1156"/>
      <c r="M1932" s="1169"/>
      <c r="N1932" s="1161" t="s">
        <v>2317</v>
      </c>
    </row>
    <row r="1933" spans="1:14" s="1170" customFormat="1" ht="16.5" hidden="1" customHeight="1">
      <c r="A1933" s="1156"/>
      <c r="B1933" s="1331"/>
      <c r="C1933" s="1332"/>
      <c r="D1933" s="1333"/>
      <c r="E1933" s="1334"/>
      <c r="F1933" s="1335"/>
      <c r="G1933" s="1335"/>
      <c r="H1933" s="1335"/>
      <c r="I1933" s="1336"/>
      <c r="J1933" s="1168"/>
      <c r="K1933" s="1169"/>
      <c r="L1933" s="1156"/>
      <c r="M1933" s="1169"/>
      <c r="N1933" s="1161" t="s">
        <v>2317</v>
      </c>
    </row>
    <row r="1934" spans="1:14" ht="15.75" hidden="1">
      <c r="A1934" s="1156"/>
      <c r="B1934" s="1169"/>
      <c r="C1934" s="1337"/>
      <c r="D1934" s="1171"/>
      <c r="E1934" s="1165"/>
      <c r="F1934" s="1166"/>
      <c r="G1934" s="1343"/>
      <c r="H1934" s="1156"/>
      <c r="I1934" s="1336"/>
      <c r="J1934" s="1168" t="s">
        <v>115</v>
      </c>
      <c r="K1934" s="1221">
        <f>data!G2737</f>
        <v>733.33</v>
      </c>
      <c r="L1934" s="1159" t="s">
        <v>2317</v>
      </c>
      <c r="M1934" s="1224">
        <f>ROUND(I1934*K1934,0)</f>
        <v>0</v>
      </c>
      <c r="N1934" s="1161" t="s">
        <v>2317</v>
      </c>
    </row>
    <row r="1935" spans="1:14" ht="36.75" hidden="1" customHeight="1">
      <c r="A1935" s="1156">
        <v>48</v>
      </c>
      <c r="B1935" s="1826" t="s">
        <v>952</v>
      </c>
      <c r="C1935" s="1826"/>
      <c r="D1935" s="1826"/>
      <c r="E1935" s="1826"/>
      <c r="F1935" s="1826"/>
      <c r="G1935" s="1826"/>
      <c r="H1935" s="1826"/>
      <c r="I1935" s="1157"/>
      <c r="J1935" s="1158"/>
      <c r="K1935" s="1156"/>
      <c r="L1935" s="1159"/>
      <c r="M1935" s="1160"/>
      <c r="N1935" s="1161" t="s">
        <v>2318</v>
      </c>
    </row>
    <row r="1936" spans="1:14" s="1170" customFormat="1" ht="16.5" hidden="1" customHeight="1">
      <c r="A1936" s="1156"/>
      <c r="B1936" s="1169" t="s">
        <v>3395</v>
      </c>
      <c r="C1936" s="1351"/>
      <c r="D1936" s="1418"/>
      <c r="E1936" s="1352"/>
      <c r="F1936" s="1234"/>
      <c r="G1936" s="1234"/>
      <c r="H1936" s="1235"/>
      <c r="I1936" s="1353"/>
      <c r="J1936" s="1168"/>
      <c r="K1936" s="1169"/>
      <c r="L1936" s="1156"/>
      <c r="M1936" s="1169"/>
      <c r="N1936" s="1161" t="s">
        <v>2318</v>
      </c>
    </row>
    <row r="1937" spans="1:14" s="1170" customFormat="1" ht="16.5" hidden="1" customHeight="1">
      <c r="A1937" s="1156"/>
      <c r="B1937" s="1331"/>
      <c r="C1937" s="1332">
        <v>1</v>
      </c>
      <c r="D1937" s="1333" t="s">
        <v>273</v>
      </c>
      <c r="E1937" s="1334">
        <v>8</v>
      </c>
      <c r="F1937" s="1335">
        <v>0</v>
      </c>
      <c r="G1937" s="1335">
        <v>0</v>
      </c>
      <c r="H1937" s="1335">
        <v>0</v>
      </c>
      <c r="I1937" s="1421">
        <f>ROUND(IF(AND(F1937:H1937),C1937*E1937*F1937*G1937*H1937,IF(AND(F1937,G1937),C1937*E1937*F1937*G1937,IF(AND(F1937,H1937),C1937*E1937*F1937*H1937,IF(AND(G1937,H1937),C1937*E1937*G1937*H1937,IF(F1937,C1937*E1937*F1937,IF(G1937,C1937*E1937*G1937,IF(H1937,C1937*E1937*H1937,C1937*E1937))))))),2)</f>
        <v>8</v>
      </c>
      <c r="J1937" s="1168" t="s">
        <v>115</v>
      </c>
      <c r="K1937" s="1169"/>
      <c r="L1937" s="1156"/>
      <c r="M1937" s="1169"/>
      <c r="N1937" s="1161" t="s">
        <v>2318</v>
      </c>
    </row>
    <row r="1938" spans="1:14" s="1170" customFormat="1" ht="16.5" hidden="1" customHeight="1">
      <c r="A1938" s="1156"/>
      <c r="B1938" s="1331"/>
      <c r="C1938" s="1332"/>
      <c r="D1938" s="1333"/>
      <c r="E1938" s="1334"/>
      <c r="F1938" s="1335"/>
      <c r="G1938" s="1335"/>
      <c r="H1938" s="1335"/>
      <c r="I1938" s="1421"/>
      <c r="J1938" s="1168"/>
      <c r="K1938" s="1169"/>
      <c r="L1938" s="1156"/>
      <c r="M1938" s="1169"/>
      <c r="N1938" s="1161" t="s">
        <v>2318</v>
      </c>
    </row>
    <row r="1939" spans="1:14" ht="15.75" hidden="1">
      <c r="A1939" s="1156"/>
      <c r="B1939" s="1169"/>
      <c r="C1939" s="1337"/>
      <c r="D1939" s="1171"/>
      <c r="E1939" s="1165"/>
      <c r="F1939" s="1166"/>
      <c r="G1939" s="1343"/>
      <c r="H1939" s="1156"/>
      <c r="I1939" s="1421"/>
      <c r="J1939" s="1168" t="s">
        <v>115</v>
      </c>
      <c r="K1939" s="1221">
        <f>data!G3654</f>
        <v>808</v>
      </c>
      <c r="L1939" s="1159" t="s">
        <v>2318</v>
      </c>
      <c r="M1939" s="1224">
        <f>ROUND(I1939*K1939,0)</f>
        <v>0</v>
      </c>
      <c r="N1939" s="1161" t="s">
        <v>2318</v>
      </c>
    </row>
    <row r="1940" spans="1:14" ht="33" hidden="1" customHeight="1">
      <c r="A1940" s="1156">
        <v>32</v>
      </c>
      <c r="B1940" s="1826" t="s">
        <v>1232</v>
      </c>
      <c r="C1940" s="1826"/>
      <c r="D1940" s="1826"/>
      <c r="E1940" s="1826"/>
      <c r="F1940" s="1826"/>
      <c r="G1940" s="1826"/>
      <c r="H1940" s="1826"/>
      <c r="I1940" s="1157"/>
      <c r="J1940" s="1158"/>
      <c r="K1940" s="1156"/>
      <c r="L1940" s="1159"/>
      <c r="M1940" s="1160"/>
      <c r="N1940" s="1161" t="s">
        <v>2218</v>
      </c>
    </row>
    <row r="1941" spans="1:14" s="1170" customFormat="1" ht="16.5" hidden="1" customHeight="1">
      <c r="A1941" s="1156"/>
      <c r="B1941" s="1169" t="s">
        <v>3504</v>
      </c>
      <c r="C1941" s="1351"/>
      <c r="D1941" s="1418"/>
      <c r="E1941" s="1352"/>
      <c r="F1941" s="1234"/>
      <c r="G1941" s="1234"/>
      <c r="H1941" s="1235"/>
      <c r="I1941" s="1353"/>
      <c r="J1941" s="1168"/>
      <c r="K1941" s="1169"/>
      <c r="L1941" s="1156"/>
      <c r="M1941" s="1169"/>
      <c r="N1941" s="1161" t="s">
        <v>2218</v>
      </c>
    </row>
    <row r="1942" spans="1:14" s="1170" customFormat="1" ht="16.5" hidden="1" customHeight="1">
      <c r="A1942" s="1156"/>
      <c r="B1942" s="1331"/>
      <c r="C1942" s="1332">
        <v>1</v>
      </c>
      <c r="D1942" s="1333" t="s">
        <v>273</v>
      </c>
      <c r="E1942" s="1334">
        <v>1</v>
      </c>
      <c r="F1942" s="1335">
        <v>0</v>
      </c>
      <c r="G1942" s="1335">
        <v>0</v>
      </c>
      <c r="H1942" s="1335">
        <v>0</v>
      </c>
      <c r="I1942" s="1336">
        <f>ROUND(IF(AND(F1942:H1942),C1942*E1942*F1942*G1942*H1942,IF(AND(F1942,G1942),C1942*E1942*F1942*G1942,IF(AND(F1942,H1942),C1942*E1942*F1942*H1942,IF(AND(G1942,H1942),C1942*E1942*G1942*H1942,IF(F1942,C1942*E1942*F1942,IF(G1942,C1942*E1942*G1942,IF(H1942,C1942*E1942*H1942,C1942*E1942))))))),2)</f>
        <v>1</v>
      </c>
      <c r="J1942" s="1168" t="s">
        <v>115</v>
      </c>
      <c r="K1942" s="1169"/>
      <c r="L1942" s="1156"/>
      <c r="M1942" s="1169"/>
      <c r="N1942" s="1161" t="s">
        <v>2218</v>
      </c>
    </row>
    <row r="1943" spans="1:14" s="1170" customFormat="1" ht="16.5" hidden="1" customHeight="1">
      <c r="A1943" s="1156"/>
      <c r="B1943" s="1331"/>
      <c r="C1943" s="1332"/>
      <c r="D1943" s="1333"/>
      <c r="E1943" s="1334"/>
      <c r="F1943" s="1335"/>
      <c r="G1943" s="1335"/>
      <c r="H1943" s="1335"/>
      <c r="I1943" s="1336"/>
      <c r="J1943" s="1168"/>
      <c r="K1943" s="1169"/>
      <c r="L1943" s="1156"/>
      <c r="M1943" s="1169"/>
      <c r="N1943" s="1161" t="s">
        <v>2218</v>
      </c>
    </row>
    <row r="1944" spans="1:14" ht="15.75" hidden="1">
      <c r="A1944" s="1156"/>
      <c r="B1944" s="1169"/>
      <c r="C1944" s="1337"/>
      <c r="D1944" s="1171"/>
      <c r="E1944" s="1165"/>
      <c r="F1944" s="1166"/>
      <c r="G1944" s="1343"/>
      <c r="H1944" s="1156"/>
      <c r="I1944" s="1336"/>
      <c r="J1944" s="1168" t="s">
        <v>115</v>
      </c>
      <c r="K1944" s="1221">
        <f>data!G912</f>
        <v>500</v>
      </c>
      <c r="L1944" s="1159" t="s">
        <v>2218</v>
      </c>
      <c r="M1944" s="1224">
        <f>ROUND(I1944*K1944,0)</f>
        <v>0</v>
      </c>
      <c r="N1944" s="1161" t="s">
        <v>2218</v>
      </c>
    </row>
    <row r="1945" spans="1:14" ht="33" hidden="1" customHeight="1">
      <c r="A1945" s="1156">
        <v>32</v>
      </c>
      <c r="B1945" s="1826" t="s">
        <v>1232</v>
      </c>
      <c r="C1945" s="1826"/>
      <c r="D1945" s="1826"/>
      <c r="E1945" s="1826"/>
      <c r="F1945" s="1826"/>
      <c r="G1945" s="1826"/>
      <c r="H1945" s="1826"/>
      <c r="I1945" s="1157"/>
      <c r="J1945" s="1158"/>
      <c r="K1945" s="1156"/>
      <c r="L1945" s="1159"/>
      <c r="M1945" s="1160"/>
      <c r="N1945" s="1161" t="s">
        <v>2306</v>
      </c>
    </row>
    <row r="1946" spans="1:14" s="1170" customFormat="1" ht="16.5" hidden="1" customHeight="1">
      <c r="A1946" s="1156"/>
      <c r="B1946" s="1169" t="s">
        <v>3504</v>
      </c>
      <c r="C1946" s="1351"/>
      <c r="D1946" s="1418"/>
      <c r="E1946" s="1352"/>
      <c r="F1946" s="1234"/>
      <c r="G1946" s="1234"/>
      <c r="H1946" s="1235"/>
      <c r="I1946" s="1353"/>
      <c r="J1946" s="1168"/>
      <c r="K1946" s="1169"/>
      <c r="L1946" s="1156"/>
      <c r="M1946" s="1169"/>
      <c r="N1946" s="1161" t="s">
        <v>2306</v>
      </c>
    </row>
    <row r="1947" spans="1:14" s="1170" customFormat="1" ht="16.5" hidden="1" customHeight="1">
      <c r="A1947" s="1156"/>
      <c r="B1947" s="1331"/>
      <c r="C1947" s="1332">
        <v>1</v>
      </c>
      <c r="D1947" s="1333" t="s">
        <v>273</v>
      </c>
      <c r="E1947" s="1334">
        <v>1</v>
      </c>
      <c r="F1947" s="1335">
        <v>0</v>
      </c>
      <c r="G1947" s="1335">
        <v>0</v>
      </c>
      <c r="H1947" s="1335">
        <v>0</v>
      </c>
      <c r="I1947" s="1336">
        <f>ROUND(IF(AND(F1947:H1947),C1947*E1947*F1947*G1947*H1947,IF(AND(F1947,G1947),C1947*E1947*F1947*G1947,IF(AND(F1947,H1947),C1947*E1947*F1947*H1947,IF(AND(G1947,H1947),C1947*E1947*G1947*H1947,IF(F1947,C1947*E1947*F1947,IF(G1947,C1947*E1947*G1947,IF(H1947,C1947*E1947*H1947,C1947*E1947))))))),2)</f>
        <v>1</v>
      </c>
      <c r="J1947" s="1168" t="s">
        <v>115</v>
      </c>
      <c r="K1947" s="1169"/>
      <c r="L1947" s="1156"/>
      <c r="M1947" s="1169"/>
      <c r="N1947" s="1161" t="s">
        <v>2306</v>
      </c>
    </row>
    <row r="1948" spans="1:14" s="1170" customFormat="1" ht="16.5" hidden="1" customHeight="1">
      <c r="A1948" s="1156"/>
      <c r="B1948" s="1331"/>
      <c r="C1948" s="1332"/>
      <c r="D1948" s="1333"/>
      <c r="E1948" s="1334"/>
      <c r="F1948" s="1335"/>
      <c r="G1948" s="1335"/>
      <c r="H1948" s="1335"/>
      <c r="I1948" s="1336"/>
      <c r="J1948" s="1168"/>
      <c r="K1948" s="1169"/>
      <c r="L1948" s="1156"/>
      <c r="M1948" s="1169"/>
      <c r="N1948" s="1161" t="s">
        <v>2306</v>
      </c>
    </row>
    <row r="1949" spans="1:14" ht="15.75" hidden="1">
      <c r="A1949" s="1156"/>
      <c r="B1949" s="1169"/>
      <c r="C1949" s="1337"/>
      <c r="D1949" s="1171"/>
      <c r="E1949" s="1165"/>
      <c r="F1949" s="1166"/>
      <c r="G1949" s="1343"/>
      <c r="H1949" s="1156"/>
      <c r="I1949" s="1336"/>
      <c r="J1949" s="1168" t="s">
        <v>115</v>
      </c>
      <c r="K1949" s="1221">
        <f>data!G1829</f>
        <v>500</v>
      </c>
      <c r="L1949" s="1159" t="s">
        <v>2306</v>
      </c>
      <c r="M1949" s="1224">
        <f>ROUND(I1949*K1949,0)</f>
        <v>0</v>
      </c>
      <c r="N1949" s="1161" t="s">
        <v>2306</v>
      </c>
    </row>
    <row r="1950" spans="1:14" ht="33" hidden="1" customHeight="1">
      <c r="A1950" s="1156">
        <v>32</v>
      </c>
      <c r="B1950" s="1826" t="s">
        <v>1232</v>
      </c>
      <c r="C1950" s="1826"/>
      <c r="D1950" s="1826"/>
      <c r="E1950" s="1826"/>
      <c r="F1950" s="1826"/>
      <c r="G1950" s="1826"/>
      <c r="H1950" s="1826"/>
      <c r="I1950" s="1157"/>
      <c r="J1950" s="1158"/>
      <c r="K1950" s="1156"/>
      <c r="L1950" s="1159"/>
      <c r="M1950" s="1160"/>
      <c r="N1950" s="1161" t="s">
        <v>2317</v>
      </c>
    </row>
    <row r="1951" spans="1:14" s="1170" customFormat="1" ht="16.5" hidden="1" customHeight="1">
      <c r="A1951" s="1156"/>
      <c r="B1951" s="1169" t="s">
        <v>3504</v>
      </c>
      <c r="C1951" s="1351"/>
      <c r="D1951" s="1418"/>
      <c r="E1951" s="1352"/>
      <c r="F1951" s="1234"/>
      <c r="G1951" s="1234"/>
      <c r="H1951" s="1235"/>
      <c r="I1951" s="1353"/>
      <c r="J1951" s="1168"/>
      <c r="K1951" s="1169"/>
      <c r="L1951" s="1156"/>
      <c r="M1951" s="1169"/>
      <c r="N1951" s="1161" t="s">
        <v>2317</v>
      </c>
    </row>
    <row r="1952" spans="1:14" s="1170" customFormat="1" ht="16.5" hidden="1" customHeight="1">
      <c r="A1952" s="1156"/>
      <c r="B1952" s="1331"/>
      <c r="C1952" s="1332">
        <v>1</v>
      </c>
      <c r="D1952" s="1333" t="s">
        <v>273</v>
      </c>
      <c r="E1952" s="1334">
        <v>1</v>
      </c>
      <c r="F1952" s="1335">
        <v>0</v>
      </c>
      <c r="G1952" s="1335">
        <v>0</v>
      </c>
      <c r="H1952" s="1335">
        <v>0</v>
      </c>
      <c r="I1952" s="1336">
        <f>ROUND(IF(AND(F1952:H1952),C1952*E1952*F1952*G1952*H1952,IF(AND(F1952,G1952),C1952*E1952*F1952*G1952,IF(AND(F1952,H1952),C1952*E1952*F1952*H1952,IF(AND(G1952,H1952),C1952*E1952*G1952*H1952,IF(F1952,C1952*E1952*F1952,IF(G1952,C1952*E1952*G1952,IF(H1952,C1952*E1952*H1952,C1952*E1952))))))),2)</f>
        <v>1</v>
      </c>
      <c r="J1952" s="1168" t="s">
        <v>115</v>
      </c>
      <c r="K1952" s="1169"/>
      <c r="L1952" s="1156"/>
      <c r="M1952" s="1169"/>
      <c r="N1952" s="1161" t="s">
        <v>2317</v>
      </c>
    </row>
    <row r="1953" spans="1:14" s="1170" customFormat="1" ht="16.5" hidden="1" customHeight="1">
      <c r="A1953" s="1156"/>
      <c r="B1953" s="1331"/>
      <c r="C1953" s="1332"/>
      <c r="D1953" s="1333"/>
      <c r="E1953" s="1334"/>
      <c r="F1953" s="1335"/>
      <c r="G1953" s="1335"/>
      <c r="H1953" s="1335"/>
      <c r="I1953" s="1336"/>
      <c r="J1953" s="1168"/>
      <c r="K1953" s="1169"/>
      <c r="L1953" s="1156"/>
      <c r="M1953" s="1169"/>
      <c r="N1953" s="1161" t="s">
        <v>2317</v>
      </c>
    </row>
    <row r="1954" spans="1:14" ht="15.75" hidden="1">
      <c r="A1954" s="1156"/>
      <c r="B1954" s="1169"/>
      <c r="C1954" s="1337"/>
      <c r="D1954" s="1171"/>
      <c r="E1954" s="1165"/>
      <c r="F1954" s="1166"/>
      <c r="G1954" s="1343"/>
      <c r="H1954" s="1156"/>
      <c r="I1954" s="1336"/>
      <c r="J1954" s="1168" t="s">
        <v>115</v>
      </c>
      <c r="K1954" s="1221">
        <f>data!G2746</f>
        <v>550</v>
      </c>
      <c r="L1954" s="1159" t="s">
        <v>2317</v>
      </c>
      <c r="M1954" s="1224">
        <f>ROUND(I1954*K1954,0)</f>
        <v>0</v>
      </c>
      <c r="N1954" s="1161" t="s">
        <v>2317</v>
      </c>
    </row>
    <row r="1955" spans="1:14" ht="33" hidden="1" customHeight="1">
      <c r="A1955" s="1156">
        <v>32</v>
      </c>
      <c r="B1955" s="1826" t="s">
        <v>1232</v>
      </c>
      <c r="C1955" s="1826"/>
      <c r="D1955" s="1826"/>
      <c r="E1955" s="1826"/>
      <c r="F1955" s="1826"/>
      <c r="G1955" s="1826"/>
      <c r="H1955" s="1826"/>
      <c r="I1955" s="1157"/>
      <c r="J1955" s="1158"/>
      <c r="K1955" s="1156"/>
      <c r="L1955" s="1159"/>
      <c r="M1955" s="1160"/>
      <c r="N1955" s="1161" t="s">
        <v>2318</v>
      </c>
    </row>
    <row r="1956" spans="1:14" s="1170" customFormat="1" ht="16.5" hidden="1" customHeight="1">
      <c r="A1956" s="1156"/>
      <c r="B1956" s="1169" t="s">
        <v>3504</v>
      </c>
      <c r="C1956" s="1351"/>
      <c r="D1956" s="1418"/>
      <c r="E1956" s="1352"/>
      <c r="F1956" s="1234"/>
      <c r="G1956" s="1234"/>
      <c r="H1956" s="1235"/>
      <c r="I1956" s="1353"/>
      <c r="J1956" s="1168"/>
      <c r="K1956" s="1169"/>
      <c r="L1956" s="1156"/>
      <c r="M1956" s="1169"/>
      <c r="N1956" s="1161" t="s">
        <v>2318</v>
      </c>
    </row>
    <row r="1957" spans="1:14" s="1170" customFormat="1" ht="16.5" hidden="1" customHeight="1">
      <c r="A1957" s="1156"/>
      <c r="B1957" s="1331"/>
      <c r="C1957" s="1332">
        <v>1</v>
      </c>
      <c r="D1957" s="1333" t="s">
        <v>273</v>
      </c>
      <c r="E1957" s="1334">
        <v>1</v>
      </c>
      <c r="F1957" s="1335">
        <v>0</v>
      </c>
      <c r="G1957" s="1335">
        <v>0</v>
      </c>
      <c r="H1957" s="1335">
        <v>0</v>
      </c>
      <c r="I1957" s="1336">
        <f>ROUND(IF(AND(F1957:H1957),C1957*E1957*F1957*G1957*H1957,IF(AND(F1957,G1957),C1957*E1957*F1957*G1957,IF(AND(F1957,H1957),C1957*E1957*F1957*H1957,IF(AND(G1957,H1957),C1957*E1957*G1957*H1957,IF(F1957,C1957*E1957*F1957,IF(G1957,C1957*E1957*G1957,IF(H1957,C1957*E1957*H1957,C1957*E1957))))))),2)</f>
        <v>1</v>
      </c>
      <c r="J1957" s="1168" t="s">
        <v>115</v>
      </c>
      <c r="K1957" s="1169"/>
      <c r="L1957" s="1156"/>
      <c r="M1957" s="1169"/>
      <c r="N1957" s="1161" t="s">
        <v>2318</v>
      </c>
    </row>
    <row r="1958" spans="1:14" s="1170" customFormat="1" ht="16.5" hidden="1" customHeight="1">
      <c r="A1958" s="1156"/>
      <c r="B1958" s="1331"/>
      <c r="C1958" s="1332"/>
      <c r="D1958" s="1333"/>
      <c r="E1958" s="1334"/>
      <c r="F1958" s="1335"/>
      <c r="G1958" s="1335"/>
      <c r="H1958" s="1335"/>
      <c r="I1958" s="1336"/>
      <c r="J1958" s="1168"/>
      <c r="K1958" s="1169"/>
      <c r="L1958" s="1156"/>
      <c r="M1958" s="1169"/>
      <c r="N1958" s="1161" t="s">
        <v>2318</v>
      </c>
    </row>
    <row r="1959" spans="1:14" ht="15.75" hidden="1">
      <c r="A1959" s="1156"/>
      <c r="B1959" s="1169"/>
      <c r="C1959" s="1337"/>
      <c r="D1959" s="1171"/>
      <c r="E1959" s="1165"/>
      <c r="F1959" s="1166"/>
      <c r="G1959" s="1343"/>
      <c r="H1959" s="1156"/>
      <c r="I1959" s="1336"/>
      <c r="J1959" s="1168" t="s">
        <v>115</v>
      </c>
      <c r="K1959" s="1221">
        <f>data!G3663</f>
        <v>606</v>
      </c>
      <c r="L1959" s="1159" t="s">
        <v>2318</v>
      </c>
      <c r="M1959" s="1224">
        <f>ROUND(I1959*K1959,0)</f>
        <v>0</v>
      </c>
      <c r="N1959" s="1161" t="s">
        <v>2318</v>
      </c>
    </row>
    <row r="1960" spans="1:14" ht="36.75" hidden="1" customHeight="1">
      <c r="A1960" s="1156">
        <v>33</v>
      </c>
      <c r="B1960" s="1826" t="s">
        <v>1439</v>
      </c>
      <c r="C1960" s="1826"/>
      <c r="D1960" s="1826"/>
      <c r="E1960" s="1826"/>
      <c r="F1960" s="1826"/>
      <c r="G1960" s="1826"/>
      <c r="H1960" s="1826"/>
      <c r="I1960" s="1157"/>
      <c r="J1960" s="1158"/>
      <c r="K1960" s="1156"/>
      <c r="L1960" s="1159"/>
      <c r="M1960" s="1160"/>
      <c r="N1960" s="1161" t="s">
        <v>2218</v>
      </c>
    </row>
    <row r="1961" spans="1:14" s="1170" customFormat="1" ht="16.5" hidden="1" customHeight="1">
      <c r="A1961" s="1156"/>
      <c r="B1961" s="1169" t="s">
        <v>3504</v>
      </c>
      <c r="C1961" s="1351"/>
      <c r="D1961" s="1418"/>
      <c r="E1961" s="1352"/>
      <c r="F1961" s="1234"/>
      <c r="G1961" s="1234"/>
      <c r="H1961" s="1235"/>
      <c r="I1961" s="1353"/>
      <c r="J1961" s="1168"/>
      <c r="K1961" s="1169"/>
      <c r="L1961" s="1159"/>
      <c r="M1961" s="1169"/>
      <c r="N1961" s="1161" t="s">
        <v>2218</v>
      </c>
    </row>
    <row r="1962" spans="1:14" s="1170" customFormat="1" ht="16.5" hidden="1" customHeight="1">
      <c r="A1962" s="1156"/>
      <c r="B1962" s="1331"/>
      <c r="C1962" s="1332">
        <v>1</v>
      </c>
      <c r="D1962" s="1333" t="s">
        <v>273</v>
      </c>
      <c r="E1962" s="1334">
        <v>1</v>
      </c>
      <c r="F1962" s="1335">
        <v>0</v>
      </c>
      <c r="G1962" s="1335">
        <v>0</v>
      </c>
      <c r="H1962" s="1335">
        <v>0</v>
      </c>
      <c r="I1962" s="1336">
        <f>ROUND(IF(AND(F1962:H1962),C1962*E1962*F1962*G1962*H1962,IF(AND(F1962,G1962),C1962*E1962*F1962*G1962,IF(AND(F1962,H1962),C1962*E1962*F1962*H1962,IF(AND(G1962,H1962),C1962*E1962*G1962*H1962,IF(F1962,C1962*E1962*F1962,IF(G1962,C1962*E1962*G1962,IF(H1962,C1962*E1962*H1962,C1962*E1962))))))),2)</f>
        <v>1</v>
      </c>
      <c r="J1962" s="1168" t="s">
        <v>115</v>
      </c>
      <c r="K1962" s="1169"/>
      <c r="L1962" s="1159"/>
      <c r="M1962" s="1169"/>
      <c r="N1962" s="1161" t="s">
        <v>2218</v>
      </c>
    </row>
    <row r="1963" spans="1:14" s="1170" customFormat="1" ht="16.5" hidden="1" customHeight="1">
      <c r="A1963" s="1156"/>
      <c r="B1963" s="1331"/>
      <c r="C1963" s="1332"/>
      <c r="D1963" s="1333"/>
      <c r="E1963" s="1334"/>
      <c r="F1963" s="1335"/>
      <c r="G1963" s="1335"/>
      <c r="H1963" s="1335"/>
      <c r="I1963" s="1336"/>
      <c r="J1963" s="1168"/>
      <c r="K1963" s="1169"/>
      <c r="L1963" s="1159"/>
      <c r="M1963" s="1169"/>
      <c r="N1963" s="1161" t="s">
        <v>2218</v>
      </c>
    </row>
    <row r="1964" spans="1:14" ht="15.75" hidden="1">
      <c r="A1964" s="1156"/>
      <c r="B1964" s="1169"/>
      <c r="C1964" s="1337"/>
      <c r="D1964" s="1171"/>
      <c r="E1964" s="1165"/>
      <c r="F1964" s="1166"/>
      <c r="G1964" s="1343"/>
      <c r="H1964" s="1156"/>
      <c r="I1964" s="1336"/>
      <c r="J1964" s="1168" t="s">
        <v>115</v>
      </c>
      <c r="K1964" s="1221">
        <f>data!G916</f>
        <v>130</v>
      </c>
      <c r="L1964" s="1159" t="s">
        <v>2218</v>
      </c>
      <c r="M1964" s="1224">
        <f>ROUND(I1964*K1964,0)</f>
        <v>0</v>
      </c>
      <c r="N1964" s="1161" t="s">
        <v>2218</v>
      </c>
    </row>
    <row r="1965" spans="1:14" ht="36.75" hidden="1" customHeight="1">
      <c r="A1965" s="1156">
        <v>33</v>
      </c>
      <c r="B1965" s="1826" t="s">
        <v>1439</v>
      </c>
      <c r="C1965" s="1826"/>
      <c r="D1965" s="1826"/>
      <c r="E1965" s="1826"/>
      <c r="F1965" s="1826"/>
      <c r="G1965" s="1826"/>
      <c r="H1965" s="1826"/>
      <c r="I1965" s="1157"/>
      <c r="J1965" s="1158"/>
      <c r="K1965" s="1156"/>
      <c r="L1965" s="1159"/>
      <c r="M1965" s="1160"/>
      <c r="N1965" s="1161" t="s">
        <v>2306</v>
      </c>
    </row>
    <row r="1966" spans="1:14" s="1170" customFormat="1" ht="16.5" hidden="1" customHeight="1">
      <c r="A1966" s="1156"/>
      <c r="B1966" s="1169" t="s">
        <v>3504</v>
      </c>
      <c r="C1966" s="1351"/>
      <c r="D1966" s="1418"/>
      <c r="E1966" s="1352"/>
      <c r="F1966" s="1234"/>
      <c r="G1966" s="1234"/>
      <c r="H1966" s="1235"/>
      <c r="I1966" s="1353"/>
      <c r="J1966" s="1168"/>
      <c r="K1966" s="1169"/>
      <c r="L1966" s="1159"/>
      <c r="M1966" s="1169"/>
      <c r="N1966" s="1161" t="s">
        <v>2306</v>
      </c>
    </row>
    <row r="1967" spans="1:14" s="1170" customFormat="1" ht="16.5" hidden="1" customHeight="1">
      <c r="A1967" s="1156"/>
      <c r="B1967" s="1331"/>
      <c r="C1967" s="1332">
        <v>1</v>
      </c>
      <c r="D1967" s="1333" t="s">
        <v>273</v>
      </c>
      <c r="E1967" s="1334">
        <v>1</v>
      </c>
      <c r="F1967" s="1335">
        <v>0</v>
      </c>
      <c r="G1967" s="1335">
        <v>0</v>
      </c>
      <c r="H1967" s="1335">
        <v>0</v>
      </c>
      <c r="I1967" s="1336">
        <f>ROUND(IF(AND(F1967:H1967),C1967*E1967*F1967*G1967*H1967,IF(AND(F1967,G1967),C1967*E1967*F1967*G1967,IF(AND(F1967,H1967),C1967*E1967*F1967*H1967,IF(AND(G1967,H1967),C1967*E1967*G1967*H1967,IF(F1967,C1967*E1967*F1967,IF(G1967,C1967*E1967*G1967,IF(H1967,C1967*E1967*H1967,C1967*E1967))))))),2)</f>
        <v>1</v>
      </c>
      <c r="J1967" s="1168" t="s">
        <v>115</v>
      </c>
      <c r="K1967" s="1169"/>
      <c r="L1967" s="1159"/>
      <c r="M1967" s="1169"/>
      <c r="N1967" s="1161" t="s">
        <v>2306</v>
      </c>
    </row>
    <row r="1968" spans="1:14" s="1170" customFormat="1" ht="16.5" hidden="1" customHeight="1">
      <c r="A1968" s="1156"/>
      <c r="B1968" s="1331"/>
      <c r="C1968" s="1332"/>
      <c r="D1968" s="1333"/>
      <c r="E1968" s="1334"/>
      <c r="F1968" s="1335"/>
      <c r="G1968" s="1335"/>
      <c r="H1968" s="1335"/>
      <c r="I1968" s="1336"/>
      <c r="J1968" s="1168"/>
      <c r="K1968" s="1169"/>
      <c r="L1968" s="1159"/>
      <c r="M1968" s="1169"/>
      <c r="N1968" s="1161" t="s">
        <v>2306</v>
      </c>
    </row>
    <row r="1969" spans="1:15" ht="15.75" hidden="1">
      <c r="A1969" s="1156"/>
      <c r="B1969" s="1169"/>
      <c r="C1969" s="1337"/>
      <c r="D1969" s="1171"/>
      <c r="E1969" s="1165"/>
      <c r="F1969" s="1166"/>
      <c r="G1969" s="1343"/>
      <c r="H1969" s="1156"/>
      <c r="I1969" s="1336"/>
      <c r="J1969" s="1168" t="s">
        <v>115</v>
      </c>
      <c r="K1969" s="1221">
        <f>data!G1833</f>
        <v>130</v>
      </c>
      <c r="L1969" s="1159" t="s">
        <v>2306</v>
      </c>
      <c r="M1969" s="1224">
        <f>ROUND(I1969*K1969,0)</f>
        <v>0</v>
      </c>
      <c r="N1969" s="1161" t="s">
        <v>2306</v>
      </c>
    </row>
    <row r="1970" spans="1:15" ht="36.75" hidden="1" customHeight="1">
      <c r="A1970" s="1156">
        <v>33</v>
      </c>
      <c r="B1970" s="1826" t="s">
        <v>1439</v>
      </c>
      <c r="C1970" s="1826"/>
      <c r="D1970" s="1826"/>
      <c r="E1970" s="1826"/>
      <c r="F1970" s="1826"/>
      <c r="G1970" s="1826"/>
      <c r="H1970" s="1826"/>
      <c r="I1970" s="1157"/>
      <c r="J1970" s="1158"/>
      <c r="K1970" s="1156"/>
      <c r="L1970" s="1159"/>
      <c r="M1970" s="1160"/>
      <c r="N1970" s="1161" t="s">
        <v>2317</v>
      </c>
    </row>
    <row r="1971" spans="1:15" s="1170" customFormat="1" ht="16.5" hidden="1" customHeight="1">
      <c r="A1971" s="1156"/>
      <c r="B1971" s="1169" t="s">
        <v>3504</v>
      </c>
      <c r="C1971" s="1351"/>
      <c r="D1971" s="1418"/>
      <c r="E1971" s="1352"/>
      <c r="F1971" s="1234"/>
      <c r="G1971" s="1234"/>
      <c r="H1971" s="1235"/>
      <c r="I1971" s="1353"/>
      <c r="J1971" s="1168"/>
      <c r="K1971" s="1169"/>
      <c r="L1971" s="1159"/>
      <c r="M1971" s="1169"/>
      <c r="N1971" s="1161" t="s">
        <v>2317</v>
      </c>
    </row>
    <row r="1972" spans="1:15" s="1170" customFormat="1" ht="16.5" hidden="1" customHeight="1">
      <c r="A1972" s="1156"/>
      <c r="B1972" s="1331"/>
      <c r="C1972" s="1332">
        <v>1</v>
      </c>
      <c r="D1972" s="1333" t="s">
        <v>273</v>
      </c>
      <c r="E1972" s="1334">
        <v>1</v>
      </c>
      <c r="F1972" s="1335">
        <v>0</v>
      </c>
      <c r="G1972" s="1335">
        <v>0</v>
      </c>
      <c r="H1972" s="1335">
        <v>0</v>
      </c>
      <c r="I1972" s="1336">
        <f>ROUND(IF(AND(F1972:H1972),C1972*E1972*F1972*G1972*H1972,IF(AND(F1972,G1972),C1972*E1972*F1972*G1972,IF(AND(F1972,H1972),C1972*E1972*F1972*H1972,IF(AND(G1972,H1972),C1972*E1972*G1972*H1972,IF(F1972,C1972*E1972*F1972,IF(G1972,C1972*E1972*G1972,IF(H1972,C1972*E1972*H1972,C1972*E1972))))))),2)</f>
        <v>1</v>
      </c>
      <c r="J1972" s="1168" t="s">
        <v>115</v>
      </c>
      <c r="K1972" s="1169"/>
      <c r="L1972" s="1159"/>
      <c r="M1972" s="1169"/>
      <c r="N1972" s="1161" t="s">
        <v>2317</v>
      </c>
    </row>
    <row r="1973" spans="1:15" s="1170" customFormat="1" ht="16.5" hidden="1" customHeight="1">
      <c r="A1973" s="1156"/>
      <c r="B1973" s="1331"/>
      <c r="C1973" s="1332"/>
      <c r="D1973" s="1333"/>
      <c r="E1973" s="1334"/>
      <c r="F1973" s="1335"/>
      <c r="G1973" s="1335"/>
      <c r="H1973" s="1335"/>
      <c r="I1973" s="1336"/>
      <c r="J1973" s="1168"/>
      <c r="K1973" s="1169"/>
      <c r="L1973" s="1159"/>
      <c r="M1973" s="1169"/>
      <c r="N1973" s="1161" t="s">
        <v>2317</v>
      </c>
    </row>
    <row r="1974" spans="1:15" ht="15.75" hidden="1">
      <c r="A1974" s="1156"/>
      <c r="B1974" s="1169"/>
      <c r="C1974" s="1337"/>
      <c r="D1974" s="1171"/>
      <c r="E1974" s="1165"/>
      <c r="F1974" s="1166"/>
      <c r="G1974" s="1343"/>
      <c r="H1974" s="1156"/>
      <c r="I1974" s="1336"/>
      <c r="J1974" s="1168" t="s">
        <v>115</v>
      </c>
      <c r="K1974" s="1221">
        <f>data!G2750</f>
        <v>143</v>
      </c>
      <c r="L1974" s="1159" t="s">
        <v>2317</v>
      </c>
      <c r="M1974" s="1224">
        <f>ROUND(I1974*K1974,0)</f>
        <v>0</v>
      </c>
      <c r="N1974" s="1161" t="s">
        <v>2317</v>
      </c>
    </row>
    <row r="1975" spans="1:15" ht="36.75" hidden="1" customHeight="1">
      <c r="A1975" s="1156">
        <v>49</v>
      </c>
      <c r="B1975" s="1826" t="s">
        <v>1439</v>
      </c>
      <c r="C1975" s="1826"/>
      <c r="D1975" s="1826"/>
      <c r="E1975" s="1826"/>
      <c r="F1975" s="1826"/>
      <c r="G1975" s="1826"/>
      <c r="H1975" s="1826"/>
      <c r="I1975" s="1157"/>
      <c r="J1975" s="1158"/>
      <c r="K1975" s="1156"/>
      <c r="L1975" s="1159"/>
      <c r="M1975" s="1160"/>
      <c r="N1975" s="1161" t="s">
        <v>2318</v>
      </c>
    </row>
    <row r="1976" spans="1:15" s="1170" customFormat="1" ht="16.5" hidden="1" customHeight="1">
      <c r="A1976" s="1156"/>
      <c r="B1976" s="1169" t="s">
        <v>3395</v>
      </c>
      <c r="C1976" s="1351"/>
      <c r="D1976" s="1418"/>
      <c r="E1976" s="1352"/>
      <c r="F1976" s="1234"/>
      <c r="G1976" s="1234"/>
      <c r="H1976" s="1235"/>
      <c r="I1976" s="1353"/>
      <c r="J1976" s="1168"/>
      <c r="K1976" s="1169"/>
      <c r="L1976" s="1159"/>
      <c r="M1976" s="1169"/>
      <c r="N1976" s="1161" t="s">
        <v>2318</v>
      </c>
    </row>
    <row r="1977" spans="1:15" s="1170" customFormat="1" ht="16.5" hidden="1" customHeight="1">
      <c r="A1977" s="1156"/>
      <c r="B1977" s="1331"/>
      <c r="C1977" s="1332">
        <v>1</v>
      </c>
      <c r="D1977" s="1333" t="s">
        <v>273</v>
      </c>
      <c r="E1977" s="1334">
        <v>1</v>
      </c>
      <c r="F1977" s="1335">
        <v>0</v>
      </c>
      <c r="G1977" s="1335">
        <v>0</v>
      </c>
      <c r="H1977" s="1335">
        <v>0</v>
      </c>
      <c r="I1977" s="1421">
        <f>ROUND(IF(AND(F1977:H1977),C1977*E1977*F1977*G1977*H1977,IF(AND(F1977,G1977),C1977*E1977*F1977*G1977,IF(AND(F1977,H1977),C1977*E1977*F1977*H1977,IF(AND(G1977,H1977),C1977*E1977*G1977*H1977,IF(F1977,C1977*E1977*F1977,IF(G1977,C1977*E1977*G1977,IF(H1977,C1977*E1977*H1977,C1977*E1977))))))),2)</f>
        <v>1</v>
      </c>
      <c r="J1977" s="1168" t="s">
        <v>115</v>
      </c>
      <c r="K1977" s="1169"/>
      <c r="L1977" s="1159"/>
      <c r="M1977" s="1169"/>
      <c r="N1977" s="1161" t="s">
        <v>2318</v>
      </c>
    </row>
    <row r="1978" spans="1:15" s="1170" customFormat="1" ht="16.5" hidden="1" customHeight="1">
      <c r="A1978" s="1156"/>
      <c r="B1978" s="1331"/>
      <c r="C1978" s="1332"/>
      <c r="D1978" s="1333"/>
      <c r="E1978" s="1334"/>
      <c r="F1978" s="1335"/>
      <c r="G1978" s="1335"/>
      <c r="H1978" s="1335"/>
      <c r="I1978" s="1421"/>
      <c r="J1978" s="1168"/>
      <c r="K1978" s="1169"/>
      <c r="L1978" s="1159"/>
      <c r="M1978" s="1169"/>
      <c r="N1978" s="1161" t="s">
        <v>2318</v>
      </c>
    </row>
    <row r="1979" spans="1:15" ht="15.75" hidden="1">
      <c r="A1979" s="1156"/>
      <c r="B1979" s="1169"/>
      <c r="C1979" s="1337"/>
      <c r="D1979" s="1171"/>
      <c r="E1979" s="1165"/>
      <c r="F1979" s="1166"/>
      <c r="G1979" s="1343"/>
      <c r="H1979" s="1156"/>
      <c r="I1979" s="1421"/>
      <c r="J1979" s="1168" t="s">
        <v>115</v>
      </c>
      <c r="K1979" s="1221">
        <f>data!G3667</f>
        <v>157</v>
      </c>
      <c r="L1979" s="1159" t="s">
        <v>2318</v>
      </c>
      <c r="M1979" s="1224">
        <f>ROUND(I1979*K1979,0)</f>
        <v>0</v>
      </c>
      <c r="N1979" s="1161" t="s">
        <v>2318</v>
      </c>
    </row>
    <row r="1980" spans="1:15" s="1575" customFormat="1" ht="69.75" customHeight="1">
      <c r="A1980" s="1570">
        <v>28</v>
      </c>
      <c r="B1980" s="1827" t="s">
        <v>124</v>
      </c>
      <c r="C1980" s="1827"/>
      <c r="D1980" s="1827"/>
      <c r="E1980" s="1827"/>
      <c r="F1980" s="1827"/>
      <c r="G1980" s="1827"/>
      <c r="H1980" s="1827"/>
      <c r="I1980" s="1571"/>
      <c r="J1980" s="1572"/>
      <c r="K1980" s="1570"/>
      <c r="L1980" s="1573"/>
      <c r="M1980" s="1577"/>
      <c r="N1980" s="1578" t="s">
        <v>2218</v>
      </c>
    </row>
    <row r="1981" spans="1:15" s="1586" customFormat="1" ht="16.5" customHeight="1">
      <c r="A1981" s="1570"/>
      <c r="B1981" s="1579" t="s">
        <v>3775</v>
      </c>
      <c r="C1981" s="1592" t="s">
        <v>152</v>
      </c>
      <c r="D1981" s="1593"/>
      <c r="E1981" s="1594"/>
      <c r="F1981" s="1595"/>
      <c r="G1981" s="1790" t="s">
        <v>3860</v>
      </c>
      <c r="H1981" s="1596"/>
      <c r="I1981" s="1788">
        <v>1711.73</v>
      </c>
      <c r="J1981" s="1598" t="s">
        <v>141</v>
      </c>
      <c r="K1981" s="1585"/>
      <c r="L1981" s="1573"/>
      <c r="M1981" s="1585"/>
      <c r="N1981" s="1578" t="s">
        <v>2218</v>
      </c>
      <c r="O1981" s="1599"/>
    </row>
    <row r="1982" spans="1:15" s="1586" customFormat="1" ht="16.5" customHeight="1">
      <c r="A1982" s="1570"/>
      <c r="B1982" s="1579" t="s">
        <v>3783</v>
      </c>
      <c r="C1982" s="1592" t="s">
        <v>3763</v>
      </c>
      <c r="D1982" s="1593"/>
      <c r="E1982" s="1594"/>
      <c r="F1982" s="1595"/>
      <c r="G1982" s="1790" t="s">
        <v>3862</v>
      </c>
      <c r="H1982" s="1596"/>
      <c r="I1982" s="1788">
        <v>566.41000000000008</v>
      </c>
      <c r="J1982" s="1598" t="s">
        <v>141</v>
      </c>
      <c r="K1982" s="1585"/>
      <c r="L1982" s="1573"/>
      <c r="M1982" s="1585"/>
      <c r="N1982" s="1578" t="s">
        <v>2218</v>
      </c>
      <c r="O1982" s="1599"/>
    </row>
    <row r="1983" spans="1:15" s="1586" customFormat="1" ht="16.5" customHeight="1">
      <c r="A1983" s="1570"/>
      <c r="B1983" s="1579" t="s">
        <v>3786</v>
      </c>
      <c r="C1983" s="1592" t="s">
        <v>1626</v>
      </c>
      <c r="D1983" s="1593"/>
      <c r="E1983" s="1594"/>
      <c r="F1983" s="1595"/>
      <c r="G1983" s="1790" t="s">
        <v>3879</v>
      </c>
      <c r="H1983" s="1596"/>
      <c r="I1983" s="1788">
        <v>2083.5300000000002</v>
      </c>
      <c r="J1983" s="1598" t="s">
        <v>141</v>
      </c>
      <c r="K1983" s="1585"/>
      <c r="L1983" s="1573"/>
      <c r="M1983" s="1585"/>
      <c r="N1983" s="1578" t="s">
        <v>2218</v>
      </c>
      <c r="O1983" s="1599"/>
    </row>
    <row r="1984" spans="1:15" s="1586" customFormat="1" ht="16.5" customHeight="1">
      <c r="A1984" s="1570"/>
      <c r="B1984" s="1579" t="s">
        <v>3792</v>
      </c>
      <c r="C1984" s="1592" t="s">
        <v>866</v>
      </c>
      <c r="D1984" s="1593"/>
      <c r="E1984" s="1594"/>
      <c r="F1984" s="1595"/>
      <c r="G1984" s="1790" t="s">
        <v>3873</v>
      </c>
      <c r="H1984" s="1596"/>
      <c r="I1984" s="1788">
        <v>297.37</v>
      </c>
      <c r="J1984" s="1598" t="s">
        <v>141</v>
      </c>
      <c r="K1984" s="1585"/>
      <c r="L1984" s="1573"/>
      <c r="M1984" s="1585"/>
      <c r="N1984" s="1578" t="s">
        <v>2218</v>
      </c>
      <c r="O1984" s="1599"/>
    </row>
    <row r="1985" spans="1:15" s="1586" customFormat="1" ht="16.5" customHeight="1">
      <c r="A1985" s="1570"/>
      <c r="B1985" s="1579" t="s">
        <v>3750</v>
      </c>
      <c r="C1985" s="1592" t="s">
        <v>3575</v>
      </c>
      <c r="D1985" s="1593"/>
      <c r="E1985" s="1594"/>
      <c r="F1985" s="1595"/>
      <c r="G1985" s="1790" t="s">
        <v>3332</v>
      </c>
      <c r="H1985" s="1596"/>
      <c r="I1985" s="1788">
        <v>125.21</v>
      </c>
      <c r="J1985" s="1598" t="s">
        <v>141</v>
      </c>
      <c r="K1985" s="1585"/>
      <c r="L1985" s="1573"/>
      <c r="M1985" s="1585"/>
      <c r="N1985" s="1578" t="s">
        <v>2218</v>
      </c>
      <c r="O1985" s="1599"/>
    </row>
    <row r="1986" spans="1:15" s="1586" customFormat="1" ht="16.5" customHeight="1">
      <c r="A1986" s="1570"/>
      <c r="B1986" s="1579" t="s">
        <v>3806</v>
      </c>
      <c r="C1986" s="1592" t="s">
        <v>3765</v>
      </c>
      <c r="D1986" s="1593"/>
      <c r="E1986" s="1594"/>
      <c r="F1986" s="1595"/>
      <c r="G1986" s="1790" t="s">
        <v>3867</v>
      </c>
      <c r="H1986" s="1596"/>
      <c r="I1986" s="1788">
        <v>93.38</v>
      </c>
      <c r="J1986" s="1598" t="s">
        <v>141</v>
      </c>
      <c r="K1986" s="1585"/>
      <c r="L1986" s="1573"/>
      <c r="M1986" s="1585"/>
      <c r="N1986" s="1578" t="s">
        <v>2218</v>
      </c>
      <c r="O1986" s="1599"/>
    </row>
    <row r="1987" spans="1:15" s="1586" customFormat="1" ht="16.5" customHeight="1">
      <c r="A1987" s="1570"/>
      <c r="B1987" s="1579"/>
      <c r="C1987" s="1592"/>
      <c r="D1987" s="1611"/>
      <c r="E1987" s="1594"/>
      <c r="F1987" s="1595"/>
      <c r="G1987" s="1595"/>
      <c r="H1987" s="1596"/>
      <c r="I1987" s="1597"/>
      <c r="J1987" s="1598"/>
      <c r="K1987" s="1585"/>
      <c r="L1987" s="1573"/>
      <c r="M1987" s="1585"/>
      <c r="N1987" s="1578" t="s">
        <v>2218</v>
      </c>
      <c r="O1987" s="1612"/>
    </row>
    <row r="1988" spans="1:15" s="1586" customFormat="1" ht="16.5" customHeight="1">
      <c r="A1988" s="1570"/>
      <c r="B1988" s="1585"/>
      <c r="C1988" s="1592"/>
      <c r="D1988" s="1611"/>
      <c r="E1988" s="1594"/>
      <c r="F1988" s="1595"/>
      <c r="G1988" s="1595"/>
      <c r="H1988" s="1596"/>
      <c r="I1988" s="1597">
        <f>SUM(I1981:I1987)</f>
        <v>4877.63</v>
      </c>
      <c r="J1988" s="1598" t="s">
        <v>141</v>
      </c>
      <c r="K1988" s="1585"/>
      <c r="L1988" s="1573"/>
      <c r="M1988" s="1585"/>
      <c r="N1988" s="1578" t="s">
        <v>2218</v>
      </c>
    </row>
    <row r="1989" spans="1:15" s="1575" customFormat="1" ht="15.75">
      <c r="A1989" s="1570"/>
      <c r="B1989" s="1585"/>
      <c r="C1989" s="1606"/>
      <c r="D1989" s="1587"/>
      <c r="E1989" s="1588"/>
      <c r="F1989" s="1589"/>
      <c r="G1989" s="1607"/>
      <c r="H1989" s="1570" t="s">
        <v>902</v>
      </c>
      <c r="I1989" s="1605">
        <f>ROUND(I1988/1000,2)</f>
        <v>4.88</v>
      </c>
      <c r="J1989" s="1598" t="s">
        <v>29</v>
      </c>
      <c r="K1989" s="1608">
        <f>data!E286</f>
        <v>62198.5</v>
      </c>
      <c r="L1989" s="1573" t="s">
        <v>2218</v>
      </c>
      <c r="M1989" s="1609">
        <f>ROUND(I1989*K1989,0)</f>
        <v>303529</v>
      </c>
      <c r="N1989" s="1578" t="s">
        <v>2218</v>
      </c>
    </row>
    <row r="1990" spans="1:15" ht="69.75" hidden="1" customHeight="1">
      <c r="A1990" s="1156">
        <v>39</v>
      </c>
      <c r="B1990" s="1826" t="s">
        <v>124</v>
      </c>
      <c r="C1990" s="1826"/>
      <c r="D1990" s="1828"/>
      <c r="E1990" s="1826"/>
      <c r="F1990" s="1826"/>
      <c r="G1990" s="1826"/>
      <c r="H1990" s="1826"/>
      <c r="I1990" s="1157"/>
      <c r="J1990" s="1158"/>
      <c r="K1990" s="1156"/>
      <c r="L1990" s="1159"/>
      <c r="M1990" s="1160"/>
      <c r="N1990" s="1161" t="s">
        <v>2306</v>
      </c>
    </row>
    <row r="1991" spans="1:15" s="1170" customFormat="1" ht="16.5" hidden="1" customHeight="1">
      <c r="A1991" s="1156"/>
      <c r="B1991" s="1169" t="s">
        <v>3675</v>
      </c>
      <c r="C1991" s="1351" t="s">
        <v>866</v>
      </c>
      <c r="D1991" s="1400"/>
      <c r="E1991" s="1352"/>
      <c r="F1991" s="1234"/>
      <c r="G1991" s="1548" t="s">
        <v>3734</v>
      </c>
      <c r="H1991" s="1235"/>
      <c r="I1991" s="1353">
        <v>276.75</v>
      </c>
      <c r="J1991" s="1168" t="s">
        <v>141</v>
      </c>
      <c r="K1991" s="1169"/>
      <c r="L1991" s="1159"/>
      <c r="M1991" s="1169"/>
      <c r="N1991" s="1161" t="s">
        <v>2306</v>
      </c>
      <c r="O1991" s="1422"/>
    </row>
    <row r="1992" spans="1:15" s="1170" customFormat="1" ht="16.5" hidden="1" customHeight="1">
      <c r="A1992" s="1156"/>
      <c r="B1992" s="1163"/>
      <c r="C1992" s="1423"/>
      <c r="D1992" s="1418"/>
      <c r="E1992" s="1352"/>
      <c r="F1992" s="1234"/>
      <c r="G1992" s="1234"/>
      <c r="H1992" s="1235"/>
      <c r="I1992" s="1353"/>
      <c r="J1992" s="1168"/>
      <c r="K1992" s="1169"/>
      <c r="L1992" s="1159"/>
      <c r="M1992" s="1169"/>
      <c r="N1992" s="1161" t="s">
        <v>2306</v>
      </c>
      <c r="O1992" s="1424"/>
    </row>
    <row r="1993" spans="1:15" s="1170" customFormat="1" ht="16.5" hidden="1" customHeight="1">
      <c r="A1993" s="1156"/>
      <c r="B1993" s="1169"/>
      <c r="C1993" s="1351"/>
      <c r="D1993" s="1418"/>
      <c r="E1993" s="1352"/>
      <c r="F1993" s="1234"/>
      <c r="G1993" s="1234"/>
      <c r="H1993" s="1235"/>
      <c r="I1993" s="1353">
        <f>SUM(I1991:I1992)</f>
        <v>276.75</v>
      </c>
      <c r="J1993" s="1168" t="s">
        <v>141</v>
      </c>
      <c r="K1993" s="1169"/>
      <c r="L1993" s="1159"/>
      <c r="M1993" s="1169"/>
      <c r="N1993" s="1161" t="s">
        <v>2306</v>
      </c>
    </row>
    <row r="1994" spans="1:15" ht="15.75" hidden="1">
      <c r="A1994" s="1156"/>
      <c r="B1994" s="1169"/>
      <c r="C1994" s="1337"/>
      <c r="D1994" s="1171"/>
      <c r="E1994" s="1165"/>
      <c r="F1994" s="1166"/>
      <c r="G1994" s="1343"/>
      <c r="H1994" s="1156" t="s">
        <v>902</v>
      </c>
      <c r="I1994" s="1336"/>
      <c r="J1994" s="1168" t="s">
        <v>29</v>
      </c>
      <c r="K1994" s="1221">
        <f>data!E1202</f>
        <v>62385</v>
      </c>
      <c r="L1994" s="1159" t="s">
        <v>2306</v>
      </c>
      <c r="M1994" s="1224">
        <f>ROUND(I1994*K1994,0)</f>
        <v>0</v>
      </c>
      <c r="N1994" s="1161" t="s">
        <v>2306</v>
      </c>
    </row>
    <row r="1995" spans="1:15" ht="69.75" hidden="1" customHeight="1">
      <c r="A1995" s="1156">
        <v>40</v>
      </c>
      <c r="B1995" s="1826" t="s">
        <v>124</v>
      </c>
      <c r="C1995" s="1826"/>
      <c r="D1995" s="1826"/>
      <c r="E1995" s="1826"/>
      <c r="F1995" s="1826"/>
      <c r="G1995" s="1826"/>
      <c r="H1995" s="1826"/>
      <c r="I1995" s="1157"/>
      <c r="J1995" s="1158"/>
      <c r="K1995" s="1156"/>
      <c r="L1995" s="1159"/>
      <c r="M1995" s="1160"/>
      <c r="N1995" s="1161" t="s">
        <v>2317</v>
      </c>
    </row>
    <row r="1996" spans="1:15" s="1170" customFormat="1" ht="16.5" hidden="1" customHeight="1">
      <c r="A1996" s="1156"/>
      <c r="B1996" s="1169" t="s">
        <v>3691</v>
      </c>
      <c r="C1996" s="1351" t="s">
        <v>2384</v>
      </c>
      <c r="D1996" s="1400"/>
      <c r="E1996" s="1352"/>
      <c r="F1996" s="1234"/>
      <c r="G1996" s="1548" t="s">
        <v>3740</v>
      </c>
      <c r="H1996" s="1235"/>
      <c r="I1996" s="1353">
        <v>198.04</v>
      </c>
      <c r="J1996" s="1168" t="s">
        <v>141</v>
      </c>
      <c r="K1996" s="1169"/>
      <c r="L1996" s="1159"/>
      <c r="M1996" s="1169"/>
      <c r="N1996" s="1161" t="s">
        <v>2317</v>
      </c>
      <c r="O1996" s="1776"/>
    </row>
    <row r="1997" spans="1:15" s="1170" customFormat="1" ht="16.5" hidden="1" customHeight="1">
      <c r="A1997" s="1156"/>
      <c r="B1997" s="1163"/>
      <c r="C1997" s="1423"/>
      <c r="D1997" s="1418"/>
      <c r="E1997" s="1352"/>
      <c r="F1997" s="1234"/>
      <c r="G1997" s="1234"/>
      <c r="H1997" s="1235"/>
      <c r="I1997" s="1353"/>
      <c r="J1997" s="1168"/>
      <c r="K1997" s="1169"/>
      <c r="L1997" s="1159"/>
      <c r="M1997" s="1169"/>
      <c r="N1997" s="1161" t="s">
        <v>2317</v>
      </c>
      <c r="O1997" s="1424"/>
    </row>
    <row r="1998" spans="1:15" s="1170" customFormat="1" ht="16.5" hidden="1" customHeight="1">
      <c r="A1998" s="1156"/>
      <c r="B1998" s="1169"/>
      <c r="C1998" s="1351"/>
      <c r="D1998" s="1418"/>
      <c r="E1998" s="1352"/>
      <c r="F1998" s="1234"/>
      <c r="G1998" s="1234"/>
      <c r="H1998" s="1235"/>
      <c r="I1998" s="1353">
        <f>SUM(I1996:I1997)</f>
        <v>198.04</v>
      </c>
      <c r="J1998" s="1168" t="s">
        <v>141</v>
      </c>
      <c r="K1998" s="1169"/>
      <c r="L1998" s="1159"/>
      <c r="M1998" s="1169"/>
      <c r="N1998" s="1161" t="s">
        <v>2317</v>
      </c>
    </row>
    <row r="1999" spans="1:15" ht="15.75" hidden="1">
      <c r="A1999" s="1156"/>
      <c r="B1999" s="1169"/>
      <c r="C1999" s="1337"/>
      <c r="D1999" s="1171"/>
      <c r="E1999" s="1165"/>
      <c r="F1999" s="1166"/>
      <c r="G1999" s="1343"/>
      <c r="H1999" s="1156" t="s">
        <v>902</v>
      </c>
      <c r="I1999" s="1336"/>
      <c r="J1999" s="1168" t="s">
        <v>29</v>
      </c>
      <c r="K1999" s="1221">
        <f>data!E2119</f>
        <v>79809.5</v>
      </c>
      <c r="L1999" s="1159" t="s">
        <v>2317</v>
      </c>
      <c r="M1999" s="1224">
        <f>ROUND(I1999*K1999,0)</f>
        <v>0</v>
      </c>
      <c r="N1999" s="1161" t="s">
        <v>2317</v>
      </c>
    </row>
    <row r="2000" spans="1:15" ht="69.75" hidden="1" customHeight="1">
      <c r="A2000" s="1156">
        <v>52</v>
      </c>
      <c r="B2000" s="1826" t="s">
        <v>124</v>
      </c>
      <c r="C2000" s="1826"/>
      <c r="D2000" s="1828"/>
      <c r="E2000" s="1826"/>
      <c r="F2000" s="1826"/>
      <c r="G2000" s="1826"/>
      <c r="H2000" s="1826"/>
      <c r="I2000" s="1157"/>
      <c r="J2000" s="1158"/>
      <c r="K2000" s="1156"/>
      <c r="L2000" s="1159"/>
      <c r="M2000" s="1160"/>
      <c r="N2000" s="1161" t="s">
        <v>2318</v>
      </c>
    </row>
    <row r="2001" spans="1:15" s="1170" customFormat="1" ht="16.5" hidden="1" customHeight="1">
      <c r="A2001" s="1156"/>
      <c r="B2001" s="1169" t="s">
        <v>3395</v>
      </c>
      <c r="C2001" s="1351" t="s">
        <v>3630</v>
      </c>
      <c r="D2001" s="1418"/>
      <c r="E2001" s="1352"/>
      <c r="F2001" s="1234"/>
      <c r="G2001" s="1234"/>
      <c r="H2001" s="1235"/>
      <c r="I2001" s="1353">
        <v>100</v>
      </c>
      <c r="J2001" s="1168" t="s">
        <v>141</v>
      </c>
      <c r="K2001" s="1169"/>
      <c r="L2001" s="1159"/>
      <c r="M2001" s="1169"/>
      <c r="N2001" s="1161" t="s">
        <v>2318</v>
      </c>
      <c r="O2001" s="1422"/>
    </row>
    <row r="2002" spans="1:15" s="1170" customFormat="1" ht="16.5" hidden="1" customHeight="1">
      <c r="A2002" s="1156"/>
      <c r="B2002" s="1163"/>
      <c r="C2002" s="1423"/>
      <c r="D2002" s="1418"/>
      <c r="E2002" s="1352"/>
      <c r="F2002" s="1234"/>
      <c r="G2002" s="1234"/>
      <c r="H2002" s="1235"/>
      <c r="I2002" s="1353"/>
      <c r="J2002" s="1168"/>
      <c r="K2002" s="1169"/>
      <c r="L2002" s="1159"/>
      <c r="M2002" s="1169"/>
      <c r="N2002" s="1161" t="s">
        <v>2318</v>
      </c>
      <c r="O2002" s="1424"/>
    </row>
    <row r="2003" spans="1:15" s="1170" customFormat="1" ht="16.5" hidden="1" customHeight="1">
      <c r="A2003" s="1156"/>
      <c r="B2003" s="1169"/>
      <c r="C2003" s="1351"/>
      <c r="D2003" s="1418"/>
      <c r="E2003" s="1352"/>
      <c r="F2003" s="1234"/>
      <c r="G2003" s="1234"/>
      <c r="H2003" s="1235"/>
      <c r="I2003" s="1353">
        <f>SUM(I2001:I2002)</f>
        <v>100</v>
      </c>
      <c r="J2003" s="1168" t="s">
        <v>141</v>
      </c>
      <c r="K2003" s="1169"/>
      <c r="L2003" s="1159"/>
      <c r="M2003" s="1169"/>
      <c r="N2003" s="1161" t="s">
        <v>2318</v>
      </c>
    </row>
    <row r="2004" spans="1:15" ht="15.75" hidden="1">
      <c r="A2004" s="1156"/>
      <c r="B2004" s="1169"/>
      <c r="C2004" s="1337"/>
      <c r="D2004" s="1171"/>
      <c r="E2004" s="1165"/>
      <c r="F2004" s="1166"/>
      <c r="G2004" s="1343"/>
      <c r="H2004" s="1156" t="s">
        <v>902</v>
      </c>
      <c r="I2004" s="1336"/>
      <c r="J2004" s="1168" t="s">
        <v>29</v>
      </c>
      <c r="K2004" s="1221">
        <f>data!E3036</f>
        <v>92466</v>
      </c>
      <c r="L2004" s="1159" t="s">
        <v>2318</v>
      </c>
      <c r="M2004" s="1224">
        <f>ROUND(I2004*K2004,0)</f>
        <v>0</v>
      </c>
      <c r="N2004" s="1161" t="s">
        <v>2318</v>
      </c>
    </row>
    <row r="2005" spans="1:15" s="1320" customFormat="1" ht="15.75" hidden="1">
      <c r="A2005" s="1212"/>
      <c r="B2005" s="1212" t="s">
        <v>2510</v>
      </c>
      <c r="C2005" s="1212"/>
      <c r="D2005" s="1212"/>
      <c r="E2005" s="1212"/>
      <c r="F2005" s="1240"/>
      <c r="G2005" s="1240"/>
      <c r="H2005" s="1212"/>
      <c r="I2005" s="1546"/>
      <c r="J2005" s="1547"/>
      <c r="K2005" s="1212"/>
      <c r="L2005" s="1212"/>
      <c r="M2005" s="1212"/>
      <c r="N2005" s="1161"/>
    </row>
    <row r="2006" spans="1:15" s="1575" customFormat="1" ht="72" customHeight="1">
      <c r="A2006" s="1570">
        <v>29</v>
      </c>
      <c r="B2006" s="1827" t="s">
        <v>803</v>
      </c>
      <c r="C2006" s="1827"/>
      <c r="D2006" s="1827"/>
      <c r="E2006" s="1827"/>
      <c r="F2006" s="1827"/>
      <c r="G2006" s="1827"/>
      <c r="H2006" s="1827"/>
      <c r="I2006" s="1571"/>
      <c r="J2006" s="1572"/>
      <c r="K2006" s="1570"/>
      <c r="L2006" s="1570"/>
      <c r="M2006" s="1577"/>
      <c r="N2006" s="1578" t="s">
        <v>2218</v>
      </c>
    </row>
    <row r="2007" spans="1:15" s="1586" customFormat="1" ht="15.75">
      <c r="A2007" s="1570"/>
      <c r="B2007" s="1579" t="s">
        <v>3823</v>
      </c>
      <c r="C2007" s="1592"/>
      <c r="D2007" s="1790" t="s">
        <v>3872</v>
      </c>
      <c r="E2007" s="1594"/>
      <c r="F2007" s="1595"/>
      <c r="G2007" s="1595"/>
      <c r="H2007" s="1596"/>
      <c r="I2007" s="1597"/>
      <c r="J2007" s="1598"/>
      <c r="K2007" s="1585"/>
      <c r="L2007" s="1570"/>
      <c r="M2007" s="1585"/>
      <c r="N2007" s="1578" t="s">
        <v>2218</v>
      </c>
    </row>
    <row r="2008" spans="1:15" s="1586" customFormat="1" ht="15.75">
      <c r="A2008" s="1570"/>
      <c r="B2008" s="1638" t="s">
        <v>583</v>
      </c>
      <c r="C2008" s="1639">
        <v>1</v>
      </c>
      <c r="D2008" s="1640" t="s">
        <v>273</v>
      </c>
      <c r="E2008" s="1641">
        <v>1</v>
      </c>
      <c r="F2008" s="1622">
        <v>0</v>
      </c>
      <c r="G2008" s="1622">
        <v>0</v>
      </c>
      <c r="H2008" s="1622">
        <v>0</v>
      </c>
      <c r="I2008" s="1642">
        <f>ROUND(IF(AND(F2008:H2008),C2008*E2008*F2008*G2008*H2008,IF(AND(F2008,G2008),C2008*E2008*F2008*G2008,IF(AND(F2008,H2008),C2008*E2008*F2008*H2008,IF(AND(G2008,H2008),C2008*E2008*G2008*H2008,IF(F2008,C2008*E2008*F2008,IF(G2008,C2008*E2008*G2008,IF(H2008,C2008*E2008*H2008,C2008*E2008))))))),2)</f>
        <v>1</v>
      </c>
      <c r="J2008" s="1598" t="s">
        <v>115</v>
      </c>
      <c r="K2008" s="1585"/>
      <c r="L2008" s="1570"/>
      <c r="M2008" s="1585"/>
      <c r="N2008" s="1578" t="s">
        <v>2218</v>
      </c>
    </row>
    <row r="2009" spans="1:15" s="1586" customFormat="1" ht="15.75">
      <c r="A2009" s="1570"/>
      <c r="B2009" s="1600"/>
      <c r="C2009" s="1601"/>
      <c r="D2009" s="1602"/>
      <c r="E2009" s="1603"/>
      <c r="F2009" s="1604"/>
      <c r="G2009" s="1604"/>
      <c r="H2009" s="1604"/>
      <c r="I2009" s="1642"/>
      <c r="J2009" s="1598"/>
      <c r="K2009" s="1585"/>
      <c r="L2009" s="1570"/>
      <c r="M2009" s="1585"/>
      <c r="N2009" s="1578" t="s">
        <v>2218</v>
      </c>
    </row>
    <row r="2010" spans="1:15" s="1575" customFormat="1" ht="15.75">
      <c r="A2010" s="1570"/>
      <c r="B2010" s="1585"/>
      <c r="C2010" s="1606"/>
      <c r="D2010" s="1587"/>
      <c r="E2010" s="1588"/>
      <c r="F2010" s="1589"/>
      <c r="G2010" s="1607"/>
      <c r="H2010" s="1570"/>
      <c r="I2010" s="1642">
        <f>SUM(I2008:I2009)</f>
        <v>1</v>
      </c>
      <c r="J2010" s="1598" t="s">
        <v>115</v>
      </c>
      <c r="K2010" s="1608">
        <f>'D&amp;W data'!H25</f>
        <v>20396.340000000004</v>
      </c>
      <c r="L2010" s="1573" t="s">
        <v>2218</v>
      </c>
      <c r="M2010" s="1609">
        <f>ROUND(I2010*K2010,0)</f>
        <v>20396</v>
      </c>
      <c r="N2010" s="1578" t="s">
        <v>2218</v>
      </c>
    </row>
    <row r="2011" spans="1:15" ht="72" hidden="1" customHeight="1">
      <c r="A2011" s="1156">
        <v>2</v>
      </c>
      <c r="B2011" s="1826" t="s">
        <v>2103</v>
      </c>
      <c r="C2011" s="1826"/>
      <c r="D2011" s="1826"/>
      <c r="E2011" s="1826"/>
      <c r="F2011" s="1826"/>
      <c r="G2011" s="1826"/>
      <c r="H2011" s="1826"/>
      <c r="I2011" s="1157"/>
      <c r="J2011" s="1158"/>
      <c r="K2011" s="1156"/>
      <c r="L2011" s="1156"/>
      <c r="M2011" s="1160"/>
      <c r="N2011" s="1161" t="s">
        <v>2218</v>
      </c>
    </row>
    <row r="2012" spans="1:15" s="1170" customFormat="1" ht="15.75" hidden="1">
      <c r="A2012" s="1156"/>
      <c r="B2012" s="1169" t="s">
        <v>2335</v>
      </c>
      <c r="C2012" s="1351"/>
      <c r="D2012" s="1418"/>
      <c r="E2012" s="1352"/>
      <c r="F2012" s="1234"/>
      <c r="G2012" s="1234"/>
      <c r="H2012" s="1235"/>
      <c r="I2012" s="1353"/>
      <c r="J2012" s="1168"/>
      <c r="K2012" s="1169"/>
      <c r="L2012" s="1156"/>
      <c r="M2012" s="1169"/>
      <c r="N2012" s="1161" t="s">
        <v>2218</v>
      </c>
    </row>
    <row r="2013" spans="1:15" s="1170" customFormat="1" ht="15.75" hidden="1">
      <c r="A2013" s="1156"/>
      <c r="B2013" s="1331"/>
      <c r="C2013" s="1332">
        <v>1</v>
      </c>
      <c r="D2013" s="1333" t="s">
        <v>273</v>
      </c>
      <c r="E2013" s="1334">
        <v>3</v>
      </c>
      <c r="F2013" s="1335">
        <v>0</v>
      </c>
      <c r="G2013" s="1335">
        <v>0</v>
      </c>
      <c r="H2013" s="1335">
        <v>0</v>
      </c>
      <c r="I2013" s="1421">
        <f>ROUND(IF(AND(F2013:H2013),C2013*E2013*F2013*G2013*H2013,IF(AND(F2013,G2013),C2013*E2013*F2013*G2013,IF(AND(F2013,H2013),C2013*E2013*F2013*H2013,IF(AND(G2013,H2013),C2013*E2013*G2013*H2013,IF(F2013,C2013*E2013*F2013,IF(G2013,C2013*E2013*G2013,IF(H2013,C2013*E2013*H2013,C2013*E2013))))))),2)</f>
        <v>3</v>
      </c>
      <c r="J2013" s="1168" t="s">
        <v>115</v>
      </c>
      <c r="K2013" s="1169"/>
      <c r="L2013" s="1156"/>
      <c r="M2013" s="1169"/>
      <c r="N2013" s="1161" t="s">
        <v>2218</v>
      </c>
    </row>
    <row r="2014" spans="1:15" s="1170" customFormat="1" ht="15.75" hidden="1">
      <c r="A2014" s="1156"/>
      <c r="B2014" s="1331"/>
      <c r="C2014" s="1332"/>
      <c r="D2014" s="1333"/>
      <c r="E2014" s="1334"/>
      <c r="F2014" s="1335"/>
      <c r="G2014" s="1335"/>
      <c r="H2014" s="1335"/>
      <c r="I2014" s="1421"/>
      <c r="J2014" s="1168"/>
      <c r="K2014" s="1169"/>
      <c r="L2014" s="1156"/>
      <c r="M2014" s="1169"/>
      <c r="N2014" s="1161" t="s">
        <v>2218</v>
      </c>
    </row>
    <row r="2015" spans="1:15" ht="15.75" hidden="1">
      <c r="A2015" s="1156"/>
      <c r="B2015" s="1169"/>
      <c r="C2015" s="1337"/>
      <c r="D2015" s="1171"/>
      <c r="E2015" s="1165"/>
      <c r="F2015" s="1166"/>
      <c r="G2015" s="1343"/>
      <c r="H2015" s="1156"/>
      <c r="I2015" s="1421"/>
      <c r="J2015" s="1168" t="s">
        <v>115</v>
      </c>
      <c r="K2015" s="1221">
        <f>'D&amp;W data'!H43</f>
        <v>10891.57</v>
      </c>
      <c r="L2015" s="1159" t="s">
        <v>2218</v>
      </c>
      <c r="M2015" s="1224">
        <f>ROUND(I2015*K2015,0)</f>
        <v>0</v>
      </c>
      <c r="N2015" s="1161" t="s">
        <v>2218</v>
      </c>
    </row>
    <row r="2016" spans="1:15" ht="72" hidden="1" customHeight="1">
      <c r="A2016" s="1156">
        <v>3</v>
      </c>
      <c r="B2016" s="1826" t="s">
        <v>2210</v>
      </c>
      <c r="C2016" s="1826"/>
      <c r="D2016" s="1826"/>
      <c r="E2016" s="1826"/>
      <c r="F2016" s="1826"/>
      <c r="G2016" s="1826"/>
      <c r="H2016" s="1826"/>
      <c r="I2016" s="1157"/>
      <c r="J2016" s="1158"/>
      <c r="K2016" s="1156"/>
      <c r="L2016" s="1156"/>
      <c r="M2016" s="1160"/>
      <c r="N2016" s="1161" t="s">
        <v>2218</v>
      </c>
    </row>
    <row r="2017" spans="1:14" s="1170" customFormat="1" ht="15.75" hidden="1">
      <c r="A2017" s="1156"/>
      <c r="B2017" s="1169" t="s">
        <v>2336</v>
      </c>
      <c r="C2017" s="1351"/>
      <c r="D2017" s="1418"/>
      <c r="E2017" s="1352"/>
      <c r="F2017" s="1234"/>
      <c r="G2017" s="1234"/>
      <c r="H2017" s="1235"/>
      <c r="I2017" s="1353"/>
      <c r="J2017" s="1168"/>
      <c r="K2017" s="1169"/>
      <c r="L2017" s="1156"/>
      <c r="M2017" s="1169"/>
      <c r="N2017" s="1161" t="s">
        <v>2218</v>
      </c>
    </row>
    <row r="2018" spans="1:14" s="1170" customFormat="1" ht="15.75" hidden="1">
      <c r="A2018" s="1156"/>
      <c r="B2018" s="1331"/>
      <c r="C2018" s="1332">
        <v>1</v>
      </c>
      <c r="D2018" s="1333" t="s">
        <v>273</v>
      </c>
      <c r="E2018" s="1334">
        <v>1</v>
      </c>
      <c r="F2018" s="1335">
        <v>0</v>
      </c>
      <c r="G2018" s="1335">
        <v>0</v>
      </c>
      <c r="H2018" s="1335">
        <v>0</v>
      </c>
      <c r="I2018" s="1421">
        <f>ROUND(IF(AND(F2018:H2018),C2018*E2018*F2018*G2018*H2018,IF(AND(F2018,G2018),C2018*E2018*F2018*G2018,IF(AND(F2018,H2018),C2018*E2018*F2018*H2018,IF(AND(G2018,H2018),C2018*E2018*G2018*H2018,IF(F2018,C2018*E2018*F2018,IF(G2018,C2018*E2018*G2018,IF(H2018,C2018*E2018*H2018,C2018*E2018))))))),2)</f>
        <v>1</v>
      </c>
      <c r="J2018" s="1168" t="s">
        <v>115</v>
      </c>
      <c r="K2018" s="1169"/>
      <c r="L2018" s="1156"/>
      <c r="M2018" s="1169"/>
      <c r="N2018" s="1161" t="s">
        <v>2218</v>
      </c>
    </row>
    <row r="2019" spans="1:14" s="1170" customFormat="1" ht="15.75" hidden="1">
      <c r="A2019" s="1156"/>
      <c r="B2019" s="1331"/>
      <c r="C2019" s="1332"/>
      <c r="D2019" s="1333"/>
      <c r="E2019" s="1334"/>
      <c r="F2019" s="1335"/>
      <c r="G2019" s="1335"/>
      <c r="H2019" s="1335"/>
      <c r="I2019" s="1421"/>
      <c r="J2019" s="1168"/>
      <c r="K2019" s="1169"/>
      <c r="L2019" s="1156"/>
      <c r="M2019" s="1169"/>
      <c r="N2019" s="1161" t="s">
        <v>2218</v>
      </c>
    </row>
    <row r="2020" spans="1:14" ht="15.75" hidden="1">
      <c r="A2020" s="1156"/>
      <c r="B2020" s="1169"/>
      <c r="C2020" s="1337"/>
      <c r="D2020" s="1171"/>
      <c r="E2020" s="1165"/>
      <c r="F2020" s="1166"/>
      <c r="G2020" s="1343"/>
      <c r="H2020" s="1156"/>
      <c r="I2020" s="1421"/>
      <c r="J2020" s="1168" t="s">
        <v>115</v>
      </c>
      <c r="K2020" s="1221">
        <f>'D&amp;W data'!H61</f>
        <v>9855.7799999999988</v>
      </c>
      <c r="L2020" s="1159" t="s">
        <v>2218</v>
      </c>
      <c r="M2020" s="1224">
        <f>ROUND(I2020*K2020,0)</f>
        <v>0</v>
      </c>
      <c r="N2020" s="1161" t="s">
        <v>2218</v>
      </c>
    </row>
    <row r="2021" spans="1:14" ht="71.25" hidden="1" customHeight="1">
      <c r="A2021" s="1156">
        <v>2</v>
      </c>
      <c r="B2021" s="1826" t="s">
        <v>1634</v>
      </c>
      <c r="C2021" s="1826"/>
      <c r="D2021" s="1826"/>
      <c r="E2021" s="1826"/>
      <c r="F2021" s="1826"/>
      <c r="G2021" s="1826"/>
      <c r="H2021" s="1826"/>
      <c r="I2021" s="1157"/>
      <c r="J2021" s="1158"/>
      <c r="K2021" s="1156"/>
      <c r="L2021" s="1156"/>
      <c r="M2021" s="1160"/>
      <c r="N2021" s="1161" t="s">
        <v>2218</v>
      </c>
    </row>
    <row r="2022" spans="1:14" s="1170" customFormat="1" ht="15.75" hidden="1">
      <c r="A2022" s="1156"/>
      <c r="B2022" s="1163" t="s">
        <v>2330</v>
      </c>
      <c r="C2022" s="1351"/>
      <c r="D2022" s="1418"/>
      <c r="E2022" s="1352"/>
      <c r="F2022" s="1234"/>
      <c r="G2022" s="1234"/>
      <c r="H2022" s="1235"/>
      <c r="I2022" s="1353"/>
      <c r="J2022" s="1168"/>
      <c r="K2022" s="1169"/>
      <c r="L2022" s="1156"/>
      <c r="M2022" s="1169"/>
      <c r="N2022" s="1161" t="s">
        <v>2218</v>
      </c>
    </row>
    <row r="2023" spans="1:14" s="1170" customFormat="1" ht="15.75" hidden="1">
      <c r="A2023" s="1156"/>
      <c r="B2023" s="1331" t="s">
        <v>583</v>
      </c>
      <c r="C2023" s="1332">
        <v>1</v>
      </c>
      <c r="D2023" s="1333" t="s">
        <v>273</v>
      </c>
      <c r="E2023" s="1334">
        <v>1</v>
      </c>
      <c r="F2023" s="1335">
        <v>0</v>
      </c>
      <c r="G2023" s="1335">
        <v>0</v>
      </c>
      <c r="H2023" s="1335">
        <v>0</v>
      </c>
      <c r="I2023" s="1336">
        <f>ROUND(IF(AND(F2023:H2023),C2023*E2023*F2023*G2023*H2023,IF(AND(F2023,G2023),C2023*E2023*F2023*G2023,IF(AND(F2023,H2023),C2023*E2023*F2023*H2023,IF(AND(G2023,H2023),C2023*E2023*G2023*H2023,IF(F2023,C2023*E2023*F2023,IF(G2023,C2023*E2023*G2023,IF(H2023,C2023*E2023*H2023,C2023*E2023))))))),2)</f>
        <v>1</v>
      </c>
      <c r="J2023" s="1168" t="s">
        <v>115</v>
      </c>
      <c r="K2023" s="1169"/>
      <c r="L2023" s="1156"/>
      <c r="M2023" s="1169"/>
      <c r="N2023" s="1161" t="s">
        <v>2218</v>
      </c>
    </row>
    <row r="2024" spans="1:14" s="1170" customFormat="1" ht="15.75" hidden="1">
      <c r="A2024" s="1156"/>
      <c r="B2024" s="1331"/>
      <c r="C2024" s="1332"/>
      <c r="D2024" s="1333"/>
      <c r="E2024" s="1334"/>
      <c r="F2024" s="1335"/>
      <c r="G2024" s="1335"/>
      <c r="H2024" s="1335"/>
      <c r="I2024" s="1336"/>
      <c r="J2024" s="1168"/>
      <c r="K2024" s="1169"/>
      <c r="L2024" s="1156"/>
      <c r="M2024" s="1169"/>
      <c r="N2024" s="1161" t="s">
        <v>2218</v>
      </c>
    </row>
    <row r="2025" spans="1:14" ht="15.75" hidden="1">
      <c r="A2025" s="1156"/>
      <c r="B2025" s="1169"/>
      <c r="C2025" s="1337"/>
      <c r="D2025" s="1171"/>
      <c r="E2025" s="1165"/>
      <c r="F2025" s="1166"/>
      <c r="G2025" s="1343"/>
      <c r="H2025" s="1156"/>
      <c r="I2025" s="1336"/>
      <c r="J2025" s="1168" t="s">
        <v>115</v>
      </c>
      <c r="K2025" s="1221">
        <f>'D&amp;W data'!H80</f>
        <v>14099.53</v>
      </c>
      <c r="L2025" s="1159" t="s">
        <v>2218</v>
      </c>
      <c r="M2025" s="1224">
        <f>ROUND(I2025*K2025,0)</f>
        <v>0</v>
      </c>
      <c r="N2025" s="1161" t="s">
        <v>2218</v>
      </c>
    </row>
    <row r="2026" spans="1:14" ht="71.25" hidden="1" customHeight="1">
      <c r="A2026" s="1156">
        <v>3</v>
      </c>
      <c r="B2026" s="1826" t="s">
        <v>1635</v>
      </c>
      <c r="C2026" s="1826"/>
      <c r="D2026" s="1826"/>
      <c r="E2026" s="1826"/>
      <c r="F2026" s="1826"/>
      <c r="G2026" s="1826"/>
      <c r="H2026" s="1826"/>
      <c r="I2026" s="1157"/>
      <c r="J2026" s="1158"/>
      <c r="K2026" s="1156"/>
      <c r="L2026" s="1156"/>
      <c r="M2026" s="1160"/>
      <c r="N2026" s="1161" t="s">
        <v>2218</v>
      </c>
    </row>
    <row r="2027" spans="1:14" s="1170" customFormat="1" ht="15.75" hidden="1">
      <c r="A2027" s="1156"/>
      <c r="B2027" s="1163" t="s">
        <v>2327</v>
      </c>
      <c r="C2027" s="1351"/>
      <c r="D2027" s="1418"/>
      <c r="E2027" s="1352"/>
      <c r="F2027" s="1234"/>
      <c r="G2027" s="1234"/>
      <c r="H2027" s="1235"/>
      <c r="I2027" s="1353"/>
      <c r="J2027" s="1168"/>
      <c r="K2027" s="1169"/>
      <c r="L2027" s="1156"/>
      <c r="M2027" s="1169"/>
      <c r="N2027" s="1161" t="s">
        <v>2218</v>
      </c>
    </row>
    <row r="2028" spans="1:14" s="1170" customFormat="1" ht="15.75" hidden="1">
      <c r="A2028" s="1156"/>
      <c r="B2028" s="1331" t="s">
        <v>583</v>
      </c>
      <c r="C2028" s="1332">
        <v>1</v>
      </c>
      <c r="D2028" s="1333" t="s">
        <v>273</v>
      </c>
      <c r="E2028" s="1334">
        <v>1</v>
      </c>
      <c r="F2028" s="1335">
        <v>0</v>
      </c>
      <c r="G2028" s="1335">
        <v>0</v>
      </c>
      <c r="H2028" s="1335">
        <v>0</v>
      </c>
      <c r="I2028" s="1336">
        <f>ROUND(IF(AND(F2028:H2028),C2028*E2028*F2028*G2028*H2028,IF(AND(F2028,G2028),C2028*E2028*F2028*G2028,IF(AND(F2028,H2028),C2028*E2028*F2028*H2028,IF(AND(G2028,H2028),C2028*E2028*G2028*H2028,IF(F2028,C2028*E2028*F2028,IF(G2028,C2028*E2028*G2028,IF(H2028,C2028*E2028*H2028,C2028*E2028))))))),2)</f>
        <v>1</v>
      </c>
      <c r="J2028" s="1168" t="s">
        <v>115</v>
      </c>
      <c r="K2028" s="1169"/>
      <c r="L2028" s="1156"/>
      <c r="M2028" s="1169"/>
      <c r="N2028" s="1161" t="s">
        <v>2218</v>
      </c>
    </row>
    <row r="2029" spans="1:14" s="1170" customFormat="1" ht="15.75" hidden="1">
      <c r="A2029" s="1156"/>
      <c r="B2029" s="1331"/>
      <c r="C2029" s="1332"/>
      <c r="D2029" s="1333"/>
      <c r="E2029" s="1334"/>
      <c r="F2029" s="1335"/>
      <c r="G2029" s="1335"/>
      <c r="H2029" s="1335"/>
      <c r="I2029" s="1336"/>
      <c r="J2029" s="1168"/>
      <c r="K2029" s="1169"/>
      <c r="L2029" s="1156"/>
      <c r="M2029" s="1169"/>
      <c r="N2029" s="1161" t="s">
        <v>2218</v>
      </c>
    </row>
    <row r="2030" spans="1:14" ht="15.75" hidden="1">
      <c r="A2030" s="1156"/>
      <c r="B2030" s="1169"/>
      <c r="C2030" s="1337"/>
      <c r="D2030" s="1171"/>
      <c r="E2030" s="1165"/>
      <c r="F2030" s="1166"/>
      <c r="G2030" s="1343"/>
      <c r="H2030" s="1156"/>
      <c r="I2030" s="1336"/>
      <c r="J2030" s="1168" t="s">
        <v>115</v>
      </c>
      <c r="K2030" s="1221">
        <f>'D&amp;W data'!H99</f>
        <v>13359.1</v>
      </c>
      <c r="L2030" s="1159" t="s">
        <v>2218</v>
      </c>
      <c r="M2030" s="1224">
        <f>ROUND(I2030*K2030,0)</f>
        <v>0</v>
      </c>
      <c r="N2030" s="1161" t="s">
        <v>2218</v>
      </c>
    </row>
    <row r="2031" spans="1:14" ht="71.25" hidden="1" customHeight="1">
      <c r="A2031" s="1156">
        <v>3</v>
      </c>
      <c r="B2031" s="1826" t="s">
        <v>2144</v>
      </c>
      <c r="C2031" s="1826"/>
      <c r="D2031" s="1826"/>
      <c r="E2031" s="1826"/>
      <c r="F2031" s="1826"/>
      <c r="G2031" s="1826"/>
      <c r="H2031" s="1826"/>
      <c r="I2031" s="1157"/>
      <c r="J2031" s="1158"/>
      <c r="K2031" s="1156"/>
      <c r="L2031" s="1156"/>
      <c r="M2031" s="1160"/>
      <c r="N2031" s="1161" t="s">
        <v>2218</v>
      </c>
    </row>
    <row r="2032" spans="1:14" s="1170" customFormat="1" ht="15.75" hidden="1">
      <c r="A2032" s="1156"/>
      <c r="B2032" s="1169" t="s">
        <v>2192</v>
      </c>
      <c r="C2032" s="1351"/>
      <c r="D2032" s="1418"/>
      <c r="E2032" s="1352"/>
      <c r="F2032" s="1234"/>
      <c r="G2032" s="1234"/>
      <c r="H2032" s="1235"/>
      <c r="I2032" s="1353"/>
      <c r="J2032" s="1168"/>
      <c r="K2032" s="1169"/>
      <c r="L2032" s="1156"/>
      <c r="M2032" s="1169"/>
      <c r="N2032" s="1161" t="s">
        <v>2218</v>
      </c>
    </row>
    <row r="2033" spans="1:14" s="1170" customFormat="1" ht="15.75" hidden="1">
      <c r="A2033" s="1156"/>
      <c r="B2033" s="1331" t="s">
        <v>2193</v>
      </c>
      <c r="C2033" s="1332">
        <v>1</v>
      </c>
      <c r="D2033" s="1333" t="s">
        <v>273</v>
      </c>
      <c r="E2033" s="1334">
        <v>5</v>
      </c>
      <c r="F2033" s="1335">
        <v>0</v>
      </c>
      <c r="G2033" s="1335">
        <v>0</v>
      </c>
      <c r="H2033" s="1335">
        <v>0</v>
      </c>
      <c r="I2033" s="1336">
        <f>ROUND(IF(AND(F2033:H2033),C2033*E2033*F2033*G2033*H2033,IF(AND(F2033,G2033),C2033*E2033*F2033*G2033,IF(AND(F2033,H2033),C2033*E2033*F2033*H2033,IF(AND(G2033,H2033),C2033*E2033*G2033*H2033,IF(F2033,C2033*E2033*F2033,IF(G2033,C2033*E2033*G2033,IF(H2033,C2033*E2033*H2033,C2033*E2033))))))),2)</f>
        <v>5</v>
      </c>
      <c r="J2033" s="1168" t="s">
        <v>115</v>
      </c>
      <c r="K2033" s="1169"/>
      <c r="L2033" s="1156"/>
      <c r="M2033" s="1169"/>
      <c r="N2033" s="1161" t="s">
        <v>2218</v>
      </c>
    </row>
    <row r="2034" spans="1:14" s="1170" customFormat="1" ht="15.75" hidden="1">
      <c r="A2034" s="1156"/>
      <c r="B2034" s="1331"/>
      <c r="C2034" s="1332"/>
      <c r="D2034" s="1333"/>
      <c r="E2034" s="1334"/>
      <c r="F2034" s="1335"/>
      <c r="G2034" s="1335"/>
      <c r="H2034" s="1335"/>
      <c r="I2034" s="1336"/>
      <c r="J2034" s="1168"/>
      <c r="K2034" s="1169"/>
      <c r="L2034" s="1156"/>
      <c r="M2034" s="1169"/>
      <c r="N2034" s="1161" t="s">
        <v>2218</v>
      </c>
    </row>
    <row r="2035" spans="1:14" ht="15.75" hidden="1">
      <c r="A2035" s="1156"/>
      <c r="B2035" s="1169"/>
      <c r="C2035" s="1337"/>
      <c r="D2035" s="1171"/>
      <c r="E2035" s="1165"/>
      <c r="F2035" s="1166"/>
      <c r="G2035" s="1343"/>
      <c r="H2035" s="1156"/>
      <c r="I2035" s="1336"/>
      <c r="J2035" s="1168" t="s">
        <v>115</v>
      </c>
      <c r="K2035" s="1221">
        <f>'D&amp;W data'!H194</f>
        <v>8905.99</v>
      </c>
      <c r="L2035" s="1159" t="s">
        <v>2218</v>
      </c>
      <c r="M2035" s="1224">
        <f>ROUND(I2035*K2035,0)</f>
        <v>0</v>
      </c>
      <c r="N2035" s="1161" t="s">
        <v>2218</v>
      </c>
    </row>
    <row r="2036" spans="1:14" ht="71.25" hidden="1" customHeight="1">
      <c r="A2036" s="1156">
        <v>3</v>
      </c>
      <c r="B2036" s="1826" t="s">
        <v>1636</v>
      </c>
      <c r="C2036" s="1826"/>
      <c r="D2036" s="1826"/>
      <c r="E2036" s="1826"/>
      <c r="F2036" s="1826"/>
      <c r="G2036" s="1826"/>
      <c r="H2036" s="1826"/>
      <c r="I2036" s="1157"/>
      <c r="J2036" s="1158"/>
      <c r="K2036" s="1156"/>
      <c r="L2036" s="1156"/>
      <c r="M2036" s="1160"/>
      <c r="N2036" s="1161" t="s">
        <v>2218</v>
      </c>
    </row>
    <row r="2037" spans="1:14" s="1170" customFormat="1" ht="15.75" hidden="1">
      <c r="A2037" s="1156"/>
      <c r="B2037" s="1169" t="s">
        <v>2337</v>
      </c>
      <c r="C2037" s="1351"/>
      <c r="D2037" s="1418"/>
      <c r="E2037" s="1352"/>
      <c r="F2037" s="1234"/>
      <c r="G2037" s="1234"/>
      <c r="H2037" s="1235"/>
      <c r="I2037" s="1353"/>
      <c r="J2037" s="1168"/>
      <c r="K2037" s="1169"/>
      <c r="L2037" s="1156"/>
      <c r="M2037" s="1169"/>
      <c r="N2037" s="1161" t="s">
        <v>2218</v>
      </c>
    </row>
    <row r="2038" spans="1:14" s="1170" customFormat="1" ht="15.75" hidden="1">
      <c r="A2038" s="1156"/>
      <c r="B2038" s="1331" t="s">
        <v>583</v>
      </c>
      <c r="C2038" s="1332">
        <v>1</v>
      </c>
      <c r="D2038" s="1333" t="s">
        <v>273</v>
      </c>
      <c r="E2038" s="1334">
        <v>1</v>
      </c>
      <c r="F2038" s="1335">
        <v>0</v>
      </c>
      <c r="G2038" s="1335">
        <v>0</v>
      </c>
      <c r="H2038" s="1335">
        <v>0</v>
      </c>
      <c r="I2038" s="1336">
        <f>ROUND(IF(AND(F2038:H2038),C2038*E2038*F2038*G2038*H2038,IF(AND(F2038,G2038),C2038*E2038*F2038*G2038,IF(AND(F2038,H2038),C2038*E2038*F2038*H2038,IF(AND(G2038,H2038),C2038*E2038*G2038*H2038,IF(F2038,C2038*E2038*F2038,IF(G2038,C2038*E2038*G2038,IF(H2038,C2038*E2038*H2038,C2038*E2038))))))),2)</f>
        <v>1</v>
      </c>
      <c r="J2038" s="1168" t="s">
        <v>115</v>
      </c>
      <c r="K2038" s="1169"/>
      <c r="L2038" s="1156"/>
      <c r="M2038" s="1169"/>
      <c r="N2038" s="1161" t="s">
        <v>2218</v>
      </c>
    </row>
    <row r="2039" spans="1:14" s="1170" customFormat="1" ht="15.75" hidden="1">
      <c r="A2039" s="1156"/>
      <c r="B2039" s="1331"/>
      <c r="C2039" s="1332"/>
      <c r="D2039" s="1333"/>
      <c r="E2039" s="1334"/>
      <c r="F2039" s="1335"/>
      <c r="G2039" s="1335"/>
      <c r="H2039" s="1335"/>
      <c r="I2039" s="1336"/>
      <c r="J2039" s="1168"/>
      <c r="K2039" s="1169"/>
      <c r="L2039" s="1156"/>
      <c r="M2039" s="1169"/>
      <c r="N2039" s="1161" t="s">
        <v>2218</v>
      </c>
    </row>
    <row r="2040" spans="1:14" ht="15.75" hidden="1">
      <c r="A2040" s="1156"/>
      <c r="B2040" s="1169"/>
      <c r="C2040" s="1337"/>
      <c r="D2040" s="1171"/>
      <c r="E2040" s="1165"/>
      <c r="F2040" s="1166"/>
      <c r="G2040" s="1343"/>
      <c r="H2040" s="1156"/>
      <c r="I2040" s="1336"/>
      <c r="J2040" s="1168" t="s">
        <v>115</v>
      </c>
      <c r="K2040" s="1221">
        <f>'D&amp;W data'!H137</f>
        <v>6334.76</v>
      </c>
      <c r="L2040" s="1159" t="s">
        <v>2218</v>
      </c>
      <c r="M2040" s="1224">
        <f>ROUND(I2040*K2040,0)</f>
        <v>0</v>
      </c>
      <c r="N2040" s="1161" t="s">
        <v>2218</v>
      </c>
    </row>
    <row r="2041" spans="1:14" ht="71.25" hidden="1" customHeight="1">
      <c r="A2041" s="1156">
        <v>40</v>
      </c>
      <c r="B2041" s="1826" t="s">
        <v>804</v>
      </c>
      <c r="C2041" s="1826"/>
      <c r="D2041" s="1826"/>
      <c r="E2041" s="1826"/>
      <c r="F2041" s="1826"/>
      <c r="G2041" s="1826"/>
      <c r="H2041" s="1826"/>
      <c r="I2041" s="1157"/>
      <c r="J2041" s="1158"/>
      <c r="K2041" s="1156"/>
      <c r="L2041" s="1156"/>
      <c r="M2041" s="1160"/>
      <c r="N2041" s="1161" t="s">
        <v>2218</v>
      </c>
    </row>
    <row r="2042" spans="1:14" s="1170" customFormat="1" ht="15.75" hidden="1">
      <c r="A2042" s="1156"/>
      <c r="B2042" s="1358" t="s">
        <v>2328</v>
      </c>
      <c r="C2042" s="1351"/>
      <c r="D2042" s="1418"/>
      <c r="E2042" s="1352"/>
      <c r="F2042" s="1234"/>
      <c r="G2042" s="1234"/>
      <c r="H2042" s="1235"/>
      <c r="I2042" s="1353"/>
      <c r="J2042" s="1168"/>
      <c r="K2042" s="1169"/>
      <c r="L2042" s="1156"/>
      <c r="M2042" s="1169"/>
      <c r="N2042" s="1161" t="s">
        <v>2218</v>
      </c>
    </row>
    <row r="2043" spans="1:14" s="1170" customFormat="1" ht="15.75" hidden="1">
      <c r="A2043" s="1156"/>
      <c r="B2043" s="1331" t="s">
        <v>583</v>
      </c>
      <c r="C2043" s="1332">
        <v>2</v>
      </c>
      <c r="D2043" s="1333" t="s">
        <v>273</v>
      </c>
      <c r="E2043" s="1334">
        <v>1</v>
      </c>
      <c r="F2043" s="1335">
        <v>0</v>
      </c>
      <c r="G2043" s="1335">
        <v>0</v>
      </c>
      <c r="H2043" s="1335">
        <v>0</v>
      </c>
      <c r="I2043" s="1421">
        <f>ROUND(IF(AND(F2043:H2043),C2043*E2043*F2043*G2043*H2043,IF(AND(F2043,G2043),C2043*E2043*F2043*G2043,IF(AND(F2043,H2043),C2043*E2043*F2043*H2043,IF(AND(G2043,H2043),C2043*E2043*G2043*H2043,IF(F2043,C2043*E2043*F2043,IF(G2043,C2043*E2043*G2043,IF(H2043,C2043*E2043*H2043,C2043*E2043))))))),2)</f>
        <v>2</v>
      </c>
      <c r="J2043" s="1168" t="s">
        <v>115</v>
      </c>
      <c r="K2043" s="1169"/>
      <c r="L2043" s="1156"/>
      <c r="M2043" s="1169"/>
      <c r="N2043" s="1161" t="s">
        <v>2218</v>
      </c>
    </row>
    <row r="2044" spans="1:14" s="1170" customFormat="1" ht="15.75" hidden="1">
      <c r="A2044" s="1156"/>
      <c r="B2044" s="1358" t="s">
        <v>2338</v>
      </c>
      <c r="C2044" s="1351"/>
      <c r="D2044" s="1418"/>
      <c r="E2044" s="1352"/>
      <c r="F2044" s="1234"/>
      <c r="G2044" s="1234"/>
      <c r="H2044" s="1235"/>
      <c r="I2044" s="1425"/>
      <c r="J2044" s="1168"/>
      <c r="K2044" s="1169"/>
      <c r="L2044" s="1156"/>
      <c r="M2044" s="1169"/>
      <c r="N2044" s="1161" t="s">
        <v>2218</v>
      </c>
    </row>
    <row r="2045" spans="1:14" s="1170" customFormat="1" ht="15.75" hidden="1">
      <c r="A2045" s="1156"/>
      <c r="B2045" s="1331" t="s">
        <v>584</v>
      </c>
      <c r="C2045" s="1332">
        <v>3</v>
      </c>
      <c r="D2045" s="1333" t="s">
        <v>273</v>
      </c>
      <c r="E2045" s="1334">
        <v>1</v>
      </c>
      <c r="F2045" s="1335">
        <v>0</v>
      </c>
      <c r="G2045" s="1335">
        <v>0</v>
      </c>
      <c r="H2045" s="1335">
        <v>0</v>
      </c>
      <c r="I2045" s="1421">
        <f>ROUND(IF(AND(F2045:H2045),C2045*E2045*F2045*G2045*H2045,IF(AND(F2045,G2045),C2045*E2045*F2045*G2045,IF(AND(F2045,H2045),C2045*E2045*F2045*H2045,IF(AND(G2045,H2045),C2045*E2045*G2045*H2045,IF(F2045,C2045*E2045*F2045,IF(G2045,C2045*E2045*G2045,IF(H2045,C2045*E2045*H2045,C2045*E2045))))))),2)</f>
        <v>3</v>
      </c>
      <c r="J2045" s="1168" t="s">
        <v>115</v>
      </c>
      <c r="K2045" s="1169"/>
      <c r="L2045" s="1156"/>
      <c r="M2045" s="1169"/>
      <c r="N2045" s="1161" t="s">
        <v>2218</v>
      </c>
    </row>
    <row r="2046" spans="1:14" s="1170" customFormat="1" ht="15.75" hidden="1">
      <c r="A2046" s="1156"/>
      <c r="B2046" s="1331"/>
      <c r="C2046" s="1332"/>
      <c r="D2046" s="1333"/>
      <c r="E2046" s="1334"/>
      <c r="F2046" s="1335"/>
      <c r="G2046" s="1335"/>
      <c r="H2046" s="1335"/>
      <c r="I2046" s="1421"/>
      <c r="J2046" s="1168"/>
      <c r="K2046" s="1169"/>
      <c r="L2046" s="1156"/>
      <c r="M2046" s="1169"/>
      <c r="N2046" s="1161" t="s">
        <v>2218</v>
      </c>
    </row>
    <row r="2047" spans="1:14" ht="15.75" hidden="1">
      <c r="A2047" s="1156"/>
      <c r="B2047" s="1169"/>
      <c r="C2047" s="1337"/>
      <c r="D2047" s="1171"/>
      <c r="E2047" s="1165"/>
      <c r="F2047" s="1166"/>
      <c r="G2047" s="1343"/>
      <c r="H2047" s="1156"/>
      <c r="I2047" s="1421"/>
      <c r="J2047" s="1168" t="s">
        <v>115</v>
      </c>
      <c r="K2047" s="1221">
        <f>'D&amp;W data'!H156</f>
        <v>15555.64</v>
      </c>
      <c r="L2047" s="1159" t="s">
        <v>2218</v>
      </c>
      <c r="M2047" s="1224">
        <f>ROUND(I2047*K2047,0)</f>
        <v>0</v>
      </c>
      <c r="N2047" s="1161" t="s">
        <v>2218</v>
      </c>
    </row>
    <row r="2048" spans="1:14" ht="71.25" hidden="1" customHeight="1">
      <c r="A2048" s="1156">
        <v>4</v>
      </c>
      <c r="B2048" s="1826" t="s">
        <v>2098</v>
      </c>
      <c r="C2048" s="1826"/>
      <c r="D2048" s="1826"/>
      <c r="E2048" s="1826"/>
      <c r="F2048" s="1826"/>
      <c r="G2048" s="1826"/>
      <c r="H2048" s="1826"/>
      <c r="I2048" s="1157"/>
      <c r="J2048" s="1158"/>
      <c r="K2048" s="1156"/>
      <c r="L2048" s="1156"/>
      <c r="M2048" s="1160"/>
      <c r="N2048" s="1161" t="s">
        <v>2218</v>
      </c>
    </row>
    <row r="2049" spans="1:15" s="1170" customFormat="1" ht="15.75" hidden="1">
      <c r="A2049" s="1156"/>
      <c r="B2049" s="1169" t="s">
        <v>2335</v>
      </c>
      <c r="C2049" s="1351"/>
      <c r="D2049" s="1418"/>
      <c r="E2049" s="1352"/>
      <c r="F2049" s="1234"/>
      <c r="G2049" s="1234"/>
      <c r="H2049" s="1235"/>
      <c r="I2049" s="1353"/>
      <c r="J2049" s="1168"/>
      <c r="K2049" s="1169"/>
      <c r="L2049" s="1156"/>
      <c r="M2049" s="1169"/>
      <c r="N2049" s="1161" t="s">
        <v>2218</v>
      </c>
    </row>
    <row r="2050" spans="1:15" s="1170" customFormat="1" ht="15.75" hidden="1">
      <c r="A2050" s="1156"/>
      <c r="B2050" s="1331" t="s">
        <v>583</v>
      </c>
      <c r="C2050" s="1332">
        <v>1</v>
      </c>
      <c r="D2050" s="1333" t="s">
        <v>273</v>
      </c>
      <c r="E2050" s="1334">
        <v>2</v>
      </c>
      <c r="F2050" s="1335">
        <v>0</v>
      </c>
      <c r="G2050" s="1335">
        <v>0</v>
      </c>
      <c r="H2050" s="1335">
        <v>0</v>
      </c>
      <c r="I2050" s="1421">
        <f>ROUND(IF(AND(F2050:H2050),C2050*E2050*F2050*G2050*H2050,IF(AND(F2050,G2050),C2050*E2050*F2050*G2050,IF(AND(F2050,H2050),C2050*E2050*F2050*H2050,IF(AND(G2050,H2050),C2050*E2050*G2050*H2050,IF(F2050,C2050*E2050*F2050,IF(G2050,C2050*E2050*G2050,IF(H2050,C2050*E2050*H2050,C2050*E2050))))))),2)</f>
        <v>2</v>
      </c>
      <c r="J2050" s="1168" t="s">
        <v>115</v>
      </c>
      <c r="K2050" s="1169"/>
      <c r="L2050" s="1156"/>
      <c r="M2050" s="1169"/>
      <c r="N2050" s="1161" t="s">
        <v>2218</v>
      </c>
    </row>
    <row r="2051" spans="1:15" s="1170" customFormat="1" ht="15.75" hidden="1">
      <c r="A2051" s="1156"/>
      <c r="B2051" s="1169" t="s">
        <v>2335</v>
      </c>
      <c r="C2051" s="1351"/>
      <c r="D2051" s="1418"/>
      <c r="E2051" s="1352"/>
      <c r="F2051" s="1234"/>
      <c r="G2051" s="1234"/>
      <c r="H2051" s="1235"/>
      <c r="I2051" s="1353"/>
      <c r="J2051" s="1168"/>
      <c r="K2051" s="1169"/>
      <c r="L2051" s="1156"/>
      <c r="M2051" s="1169"/>
      <c r="N2051" s="1161" t="s">
        <v>2218</v>
      </c>
    </row>
    <row r="2052" spans="1:15" s="1170" customFormat="1" ht="15.75" hidden="1">
      <c r="A2052" s="1156"/>
      <c r="B2052" s="1331" t="s">
        <v>584</v>
      </c>
      <c r="C2052" s="1332">
        <v>1</v>
      </c>
      <c r="D2052" s="1333" t="s">
        <v>273</v>
      </c>
      <c r="E2052" s="1334">
        <v>3</v>
      </c>
      <c r="F2052" s="1335">
        <v>0</v>
      </c>
      <c r="G2052" s="1335">
        <v>0</v>
      </c>
      <c r="H2052" s="1335">
        <v>0</v>
      </c>
      <c r="I2052" s="1421">
        <f>ROUND(IF(AND(F2052:H2052),C2052*E2052*F2052*G2052*H2052,IF(AND(F2052,G2052),C2052*E2052*F2052*G2052,IF(AND(F2052,H2052),C2052*E2052*F2052*H2052,IF(AND(G2052,H2052),C2052*E2052*G2052*H2052,IF(F2052,C2052*E2052*F2052,IF(G2052,C2052*E2052*G2052,IF(H2052,C2052*E2052*H2052,C2052*E2052))))))),2)</f>
        <v>3</v>
      </c>
      <c r="J2052" s="1168" t="s">
        <v>115</v>
      </c>
      <c r="K2052" s="1169"/>
      <c r="L2052" s="1156"/>
      <c r="M2052" s="1169"/>
      <c r="N2052" s="1161" t="s">
        <v>2218</v>
      </c>
    </row>
    <row r="2053" spans="1:15" s="1170" customFormat="1" ht="15.75" hidden="1">
      <c r="A2053" s="1156"/>
      <c r="B2053" s="1331"/>
      <c r="C2053" s="1332"/>
      <c r="D2053" s="1333"/>
      <c r="E2053" s="1334"/>
      <c r="F2053" s="1335"/>
      <c r="G2053" s="1335"/>
      <c r="H2053" s="1335"/>
      <c r="I2053" s="1421"/>
      <c r="J2053" s="1168"/>
      <c r="K2053" s="1169"/>
      <c r="L2053" s="1156"/>
      <c r="M2053" s="1169"/>
      <c r="N2053" s="1161" t="s">
        <v>2218</v>
      </c>
    </row>
    <row r="2054" spans="1:15" ht="15.75" hidden="1">
      <c r="A2054" s="1156"/>
      <c r="B2054" s="1169"/>
      <c r="C2054" s="1337"/>
      <c r="D2054" s="1171"/>
      <c r="E2054" s="1165"/>
      <c r="F2054" s="1166"/>
      <c r="G2054" s="1343"/>
      <c r="H2054" s="1156"/>
      <c r="I2054" s="1421"/>
      <c r="J2054" s="1168" t="s">
        <v>115</v>
      </c>
      <c r="K2054" s="1221">
        <f>'D&amp;W data'!H175</f>
        <v>9631.65</v>
      </c>
      <c r="L2054" s="1159" t="s">
        <v>2218</v>
      </c>
      <c r="M2054" s="1224">
        <f>ROUND(I2054*K2054,0)</f>
        <v>0</v>
      </c>
      <c r="N2054" s="1161" t="s">
        <v>2218</v>
      </c>
    </row>
    <row r="2055" spans="1:15" ht="148.5" hidden="1" customHeight="1">
      <c r="A2055" s="1156">
        <v>5</v>
      </c>
      <c r="B2055" s="1826" t="s">
        <v>910</v>
      </c>
      <c r="C2055" s="1826"/>
      <c r="D2055" s="1826"/>
      <c r="E2055" s="1826"/>
      <c r="F2055" s="1826"/>
      <c r="G2055" s="1826"/>
      <c r="H2055" s="1826"/>
      <c r="I2055" s="1157"/>
      <c r="J2055" s="1158"/>
      <c r="K2055" s="1156"/>
      <c r="L2055" s="1156"/>
      <c r="M2055" s="1160"/>
      <c r="N2055" s="1161" t="s">
        <v>2218</v>
      </c>
    </row>
    <row r="2056" spans="1:15" s="1170" customFormat="1" ht="16.5" hidden="1" customHeight="1">
      <c r="A2056" s="1156"/>
      <c r="B2056" s="1169" t="s">
        <v>2192</v>
      </c>
      <c r="C2056" s="1351"/>
      <c r="D2056" s="1418"/>
      <c r="E2056" s="1352"/>
      <c r="F2056" s="1234"/>
      <c r="G2056" s="1234"/>
      <c r="H2056" s="1235"/>
      <c r="I2056" s="1353"/>
      <c r="J2056" s="1168"/>
      <c r="K2056" s="1169"/>
      <c r="L2056" s="1156"/>
      <c r="M2056" s="1169"/>
      <c r="N2056" s="1161" t="s">
        <v>2218</v>
      </c>
    </row>
    <row r="2057" spans="1:15" s="1170" customFormat="1" ht="16.5" hidden="1" customHeight="1">
      <c r="A2057" s="1156"/>
      <c r="B2057" s="1331" t="s">
        <v>2194</v>
      </c>
      <c r="C2057" s="1332">
        <v>1</v>
      </c>
      <c r="D2057" s="1333" t="s">
        <v>273</v>
      </c>
      <c r="E2057" s="1334">
        <v>3</v>
      </c>
      <c r="F2057" s="1335">
        <v>0.72</v>
      </c>
      <c r="G2057" s="1335">
        <v>0</v>
      </c>
      <c r="H2057" s="1335">
        <v>1.99</v>
      </c>
      <c r="I2057" s="1336">
        <f>ROUND(IF(AND(F2057:H2057),C2057*E2057*F2057*G2057*H2057,IF(AND(F2057,G2057),C2057*E2057*F2057*G2057,IF(AND(F2057,H2057),C2057*E2057*F2057*H2057,IF(AND(G2057,H2057),C2057*E2057*G2057*H2057,IF(F2057,C2057*E2057*F2057,IF(G2057,C2057*E2057*G2057,IF(H2057,C2057*E2057*H2057,C2057*E2057))))))),2)</f>
        <v>4.3</v>
      </c>
      <c r="J2057" s="1168" t="s">
        <v>102</v>
      </c>
      <c r="K2057" s="1169"/>
      <c r="L2057" s="1156"/>
      <c r="M2057" s="1169"/>
      <c r="N2057" s="1161" t="s">
        <v>2218</v>
      </c>
      <c r="O2057" s="1334">
        <v>2</v>
      </c>
    </row>
    <row r="2058" spans="1:15" s="1170" customFormat="1" ht="16.5" hidden="1" customHeight="1">
      <c r="A2058" s="1156"/>
      <c r="B2058" s="1331"/>
      <c r="C2058" s="1332"/>
      <c r="D2058" s="1333"/>
      <c r="E2058" s="1334"/>
      <c r="F2058" s="1335"/>
      <c r="G2058" s="1335"/>
      <c r="H2058" s="1335"/>
      <c r="I2058" s="1336"/>
      <c r="J2058" s="1168"/>
      <c r="K2058" s="1169"/>
      <c r="L2058" s="1156"/>
      <c r="M2058" s="1169"/>
      <c r="N2058" s="1161" t="s">
        <v>2218</v>
      </c>
      <c r="O2058" s="1334"/>
    </row>
    <row r="2059" spans="1:15" ht="15.75" hidden="1">
      <c r="A2059" s="1156"/>
      <c r="B2059" s="1169"/>
      <c r="C2059" s="1337"/>
      <c r="D2059" s="1171"/>
      <c r="E2059" s="1165"/>
      <c r="F2059" s="1166"/>
      <c r="G2059" s="1343"/>
      <c r="H2059" s="1156"/>
      <c r="I2059" s="1336"/>
      <c r="J2059" s="1168" t="s">
        <v>102</v>
      </c>
      <c r="K2059" s="1221">
        <f>'D&amp;W data'!H218</f>
        <v>6011.2</v>
      </c>
      <c r="L2059" s="1159" t="s">
        <v>2218</v>
      </c>
      <c r="M2059" s="1224">
        <f>ROUND(I2059*K2059,0)</f>
        <v>0</v>
      </c>
      <c r="N2059" s="1161" t="s">
        <v>2218</v>
      </c>
    </row>
    <row r="2060" spans="1:15" ht="148.5" hidden="1" customHeight="1">
      <c r="A2060" s="1156">
        <v>2</v>
      </c>
      <c r="B2060" s="1826" t="s">
        <v>910</v>
      </c>
      <c r="C2060" s="1826"/>
      <c r="D2060" s="1826"/>
      <c r="E2060" s="1826"/>
      <c r="F2060" s="1826"/>
      <c r="G2060" s="1826"/>
      <c r="H2060" s="1826"/>
      <c r="I2060" s="1157"/>
      <c r="J2060" s="1158"/>
      <c r="K2060" s="1156"/>
      <c r="L2060" s="1156"/>
      <c r="M2060" s="1160"/>
      <c r="N2060" s="1161" t="s">
        <v>2218</v>
      </c>
    </row>
    <row r="2061" spans="1:15" s="1170" customFormat="1" ht="16.5" hidden="1" customHeight="1">
      <c r="A2061" s="1156"/>
      <c r="B2061" s="1365" t="s">
        <v>2339</v>
      </c>
      <c r="C2061" s="1351"/>
      <c r="D2061" s="1418"/>
      <c r="E2061" s="1352"/>
      <c r="F2061" s="1234"/>
      <c r="G2061" s="1234"/>
      <c r="H2061" s="1235"/>
      <c r="I2061" s="1353"/>
      <c r="J2061" s="1168"/>
      <c r="K2061" s="1169"/>
      <c r="L2061" s="1156"/>
      <c r="M2061" s="1169"/>
      <c r="N2061" s="1161" t="s">
        <v>2218</v>
      </c>
    </row>
    <row r="2062" spans="1:15" s="1170" customFormat="1" ht="16.5" hidden="1" customHeight="1">
      <c r="A2062" s="1156"/>
      <c r="B2062" s="1359"/>
      <c r="C2062" s="1360">
        <v>1</v>
      </c>
      <c r="D2062" s="1361" t="s">
        <v>273</v>
      </c>
      <c r="E2062" s="1362">
        <v>2</v>
      </c>
      <c r="F2062" s="1363">
        <v>1.01</v>
      </c>
      <c r="G2062" s="1363">
        <v>0</v>
      </c>
      <c r="H2062" s="1363">
        <v>2.09</v>
      </c>
      <c r="I2062" s="1336">
        <f>ROUND(IF(AND(F2062:H2062),C2062*E2062*F2062*G2062*H2062,IF(AND(F2062,G2062),C2062*E2062*F2062*G2062,IF(AND(F2062,H2062),C2062*E2062*F2062*H2062,IF(AND(G2062,H2062),C2062*E2062*G2062*H2062,IF(F2062,C2062*E2062*F2062,IF(G2062,C2062*E2062*G2062,IF(H2062,C2062*E2062*H2062,C2062*E2062))))))),2)</f>
        <v>4.22</v>
      </c>
      <c r="J2062" s="1168" t="s">
        <v>102</v>
      </c>
      <c r="K2062" s="1169"/>
      <c r="L2062" s="1156"/>
      <c r="M2062" s="1169"/>
      <c r="N2062" s="1161" t="s">
        <v>2218</v>
      </c>
      <c r="O2062" s="1334">
        <v>2</v>
      </c>
    </row>
    <row r="2063" spans="1:15" s="1170" customFormat="1" ht="16.5" hidden="1" customHeight="1">
      <c r="A2063" s="1156"/>
      <c r="B2063" s="1359"/>
      <c r="C2063" s="1360">
        <v>1</v>
      </c>
      <c r="D2063" s="1361" t="s">
        <v>273</v>
      </c>
      <c r="E2063" s="1362">
        <v>2</v>
      </c>
      <c r="F2063" s="1363">
        <v>1.02</v>
      </c>
      <c r="G2063" s="1363">
        <v>0</v>
      </c>
      <c r="H2063" s="1363">
        <v>2.02</v>
      </c>
      <c r="I2063" s="1336">
        <f>ROUND(IF(AND(F2063:H2063),C2063*E2063*F2063*G2063*H2063,IF(AND(F2063,G2063),C2063*E2063*F2063*G2063,IF(AND(F2063,H2063),C2063*E2063*F2063*H2063,IF(AND(G2063,H2063),C2063*E2063*G2063*H2063,IF(F2063,C2063*E2063*F2063,IF(G2063,C2063*E2063*G2063,IF(H2063,C2063*E2063*H2063,C2063*E2063))))))),2)</f>
        <v>4.12</v>
      </c>
      <c r="J2063" s="1168" t="s">
        <v>102</v>
      </c>
      <c r="K2063" s="1169"/>
      <c r="L2063" s="1156"/>
      <c r="M2063" s="1169"/>
      <c r="N2063" s="1161" t="s">
        <v>2218</v>
      </c>
      <c r="O2063" s="1334">
        <v>2</v>
      </c>
    </row>
    <row r="2064" spans="1:15" s="1170" customFormat="1" ht="16.5" hidden="1" customHeight="1">
      <c r="A2064" s="1156"/>
      <c r="B2064" s="1359"/>
      <c r="C2064" s="1360">
        <v>1</v>
      </c>
      <c r="D2064" s="1361" t="s">
        <v>273</v>
      </c>
      <c r="E2064" s="1362">
        <v>1</v>
      </c>
      <c r="F2064" s="1363">
        <v>1</v>
      </c>
      <c r="G2064" s="1363">
        <v>0</v>
      </c>
      <c r="H2064" s="1363">
        <v>2.02</v>
      </c>
      <c r="I2064" s="1336">
        <f>ROUND(IF(AND(F2064:H2064),C2064*E2064*F2064*G2064*H2064,IF(AND(F2064,G2064),C2064*E2064*F2064*G2064,IF(AND(F2064,H2064),C2064*E2064*F2064*H2064,IF(AND(G2064,H2064),C2064*E2064*G2064*H2064,IF(F2064,C2064*E2064*F2064,IF(G2064,C2064*E2064*G2064,IF(H2064,C2064*E2064*H2064,C2064*E2064))))))),2)</f>
        <v>2.02</v>
      </c>
      <c r="J2064" s="1168" t="s">
        <v>102</v>
      </c>
      <c r="K2064" s="1169"/>
      <c r="L2064" s="1156"/>
      <c r="M2064" s="1169"/>
      <c r="N2064" s="1161" t="s">
        <v>2218</v>
      </c>
      <c r="O2064" s="1334">
        <v>2</v>
      </c>
    </row>
    <row r="2065" spans="1:15" s="1170" customFormat="1" ht="16.5" hidden="1" customHeight="1">
      <c r="A2065" s="1156"/>
      <c r="B2065" s="1359"/>
      <c r="C2065" s="1360"/>
      <c r="D2065" s="1361"/>
      <c r="E2065" s="1362"/>
      <c r="F2065" s="1363"/>
      <c r="G2065" s="1363"/>
      <c r="H2065" s="1363"/>
      <c r="I2065" s="1336"/>
      <c r="J2065" s="1168"/>
      <c r="K2065" s="1169"/>
      <c r="L2065" s="1156"/>
      <c r="M2065" s="1169"/>
      <c r="N2065" s="1161" t="s">
        <v>2218</v>
      </c>
      <c r="O2065" s="1551"/>
    </row>
    <row r="2066" spans="1:15" ht="15.75" hidden="1">
      <c r="A2066" s="1156"/>
      <c r="B2066" s="1169"/>
      <c r="C2066" s="1337"/>
      <c r="D2066" s="1171"/>
      <c r="E2066" s="1165"/>
      <c r="F2066" s="1166"/>
      <c r="G2066" s="1343"/>
      <c r="H2066" s="1156"/>
      <c r="I2066" s="1336"/>
      <c r="J2066" s="1168" t="s">
        <v>102</v>
      </c>
      <c r="K2066" s="1221">
        <f>'D&amp;W data'!H230</f>
        <v>5617.52</v>
      </c>
      <c r="L2066" s="1159" t="s">
        <v>2218</v>
      </c>
      <c r="M2066" s="1224">
        <f>ROUND(I2066*K2066,0)</f>
        <v>0</v>
      </c>
      <c r="N2066" s="1161" t="s">
        <v>2218</v>
      </c>
    </row>
    <row r="2067" spans="1:15" s="1575" customFormat="1" ht="151.5" customHeight="1">
      <c r="A2067" s="1570">
        <v>30</v>
      </c>
      <c r="B2067" s="1857" t="s">
        <v>3458</v>
      </c>
      <c r="C2067" s="1857"/>
      <c r="D2067" s="1857"/>
      <c r="E2067" s="1857"/>
      <c r="F2067" s="1857"/>
      <c r="G2067" s="1857"/>
      <c r="H2067" s="1857"/>
      <c r="I2067" s="1571"/>
      <c r="J2067" s="1572"/>
      <c r="K2067" s="1570"/>
      <c r="L2067" s="1570"/>
      <c r="M2067" s="1577"/>
      <c r="N2067" s="1578" t="s">
        <v>2218</v>
      </c>
    </row>
    <row r="2068" spans="1:15" s="1170" customFormat="1" ht="16.5" hidden="1" customHeight="1">
      <c r="A2068" s="1156"/>
      <c r="B2068" s="1169" t="s">
        <v>2340</v>
      </c>
      <c r="C2068" s="1351" t="s">
        <v>1550</v>
      </c>
      <c r="D2068" s="1418"/>
      <c r="E2068" s="1352"/>
      <c r="F2068" s="1234"/>
      <c r="G2068" s="1234"/>
      <c r="H2068" s="1235"/>
      <c r="I2068" s="1353"/>
      <c r="J2068" s="1168"/>
      <c r="K2068" s="1169"/>
      <c r="L2068" s="1156"/>
      <c r="M2068" s="1169"/>
      <c r="N2068" s="1161" t="s">
        <v>2218</v>
      </c>
    </row>
    <row r="2069" spans="1:15" s="1170" customFormat="1" ht="16.5" hidden="1" customHeight="1">
      <c r="A2069" s="1156"/>
      <c r="B2069" s="1359" t="s">
        <v>1551</v>
      </c>
      <c r="C2069" s="1360">
        <v>1</v>
      </c>
      <c r="D2069" s="1361" t="s">
        <v>273</v>
      </c>
      <c r="E2069" s="1362">
        <v>15</v>
      </c>
      <c r="F2069" s="1363">
        <v>1.35</v>
      </c>
      <c r="G2069" s="1363">
        <v>0</v>
      </c>
      <c r="H2069" s="1363">
        <v>1.58</v>
      </c>
      <c r="I2069" s="1336">
        <f>ROUND(IF(AND(F2069:H2069),C2069*E2069*F2069*G2069*H2069,IF(AND(F2069,G2069),C2069*E2069*F2069*G2069,IF(AND(F2069,H2069),C2069*E2069*F2069*H2069,IF(AND(G2069,H2069),C2069*E2069*G2069*H2069,IF(F2069,C2069*E2069*F2069,IF(G2069,C2069*E2069*G2069,IF(H2069,C2069*E2069*H2069,C2069*E2069))))))),2)</f>
        <v>32</v>
      </c>
      <c r="J2069" s="1168" t="s">
        <v>102</v>
      </c>
      <c r="K2069" s="1169"/>
      <c r="L2069" s="1156"/>
      <c r="M2069" s="1169"/>
      <c r="N2069" s="1161" t="s">
        <v>2218</v>
      </c>
    </row>
    <row r="2070" spans="1:15" s="1170" customFormat="1" ht="16.5" hidden="1" customHeight="1">
      <c r="A2070" s="1156"/>
      <c r="B2070" s="1359"/>
      <c r="C2070" s="1360">
        <v>1</v>
      </c>
      <c r="D2070" s="1361" t="s">
        <v>273</v>
      </c>
      <c r="E2070" s="1362">
        <v>5</v>
      </c>
      <c r="F2070" s="1363">
        <v>1.5</v>
      </c>
      <c r="G2070" s="1363">
        <v>0</v>
      </c>
      <c r="H2070" s="1363">
        <v>1.35</v>
      </c>
      <c r="I2070" s="1336">
        <f>ROUND(IF(AND(F2070:H2070),C2070*E2070*F2070*G2070*H2070,IF(AND(F2070,G2070),C2070*E2070*F2070*G2070,IF(AND(F2070,H2070),C2070*E2070*F2070*H2070,IF(AND(G2070,H2070),C2070*E2070*G2070*H2070,IF(F2070,C2070*E2070*F2070,IF(G2070,C2070*E2070*G2070,IF(H2070,C2070*E2070*H2070,C2070*E2070))))))),2)</f>
        <v>10.130000000000001</v>
      </c>
      <c r="J2070" s="1168" t="s">
        <v>102</v>
      </c>
      <c r="K2070" s="1169"/>
      <c r="L2070" s="1156"/>
      <c r="M2070" s="1169"/>
      <c r="N2070" s="1161" t="s">
        <v>2218</v>
      </c>
    </row>
    <row r="2071" spans="1:15" s="1170" customFormat="1" ht="16.5" hidden="1" customHeight="1">
      <c r="A2071" s="1156"/>
      <c r="B2071" s="1359" t="s">
        <v>2209</v>
      </c>
      <c r="C2071" s="1360">
        <v>1</v>
      </c>
      <c r="D2071" s="1361" t="s">
        <v>273</v>
      </c>
      <c r="E2071" s="1362">
        <v>6</v>
      </c>
      <c r="F2071" s="1363">
        <v>1.5</v>
      </c>
      <c r="G2071" s="1363">
        <v>0</v>
      </c>
      <c r="H2071" s="1363">
        <v>1.35</v>
      </c>
      <c r="I2071" s="1336">
        <f>ROUND(IF(AND(F2071:H2071),C2071*E2071*F2071*G2071*H2071,IF(AND(F2071,G2071),C2071*E2071*F2071*G2071,IF(AND(F2071,H2071),C2071*E2071*F2071*H2071,IF(AND(G2071,H2071),C2071*E2071*G2071*H2071,IF(F2071,C2071*E2071*F2071,IF(G2071,C2071*E2071*G2071,IF(H2071,C2071*E2071*H2071,C2071*E2071))))))),2)</f>
        <v>12.15</v>
      </c>
      <c r="J2071" s="1168" t="s">
        <v>102</v>
      </c>
      <c r="K2071" s="1169"/>
      <c r="L2071" s="1156"/>
      <c r="M2071" s="1169"/>
      <c r="N2071" s="1161" t="s">
        <v>2218</v>
      </c>
    </row>
    <row r="2072" spans="1:15" s="1170" customFormat="1" ht="16.5" hidden="1" customHeight="1">
      <c r="A2072" s="1156"/>
      <c r="B2072" s="1331"/>
      <c r="C2072" s="1332"/>
      <c r="D2072" s="1333"/>
      <c r="E2072" s="1334"/>
      <c r="F2072" s="1335"/>
      <c r="G2072" s="1335"/>
      <c r="H2072" s="1335"/>
      <c r="I2072" s="1336"/>
      <c r="J2072" s="1168"/>
      <c r="K2072" s="1169"/>
      <c r="L2072" s="1156"/>
      <c r="M2072" s="1169"/>
      <c r="N2072" s="1161" t="s">
        <v>2218</v>
      </c>
    </row>
    <row r="2073" spans="1:15" ht="15.75" hidden="1">
      <c r="A2073" s="1156"/>
      <c r="B2073" s="1169"/>
      <c r="C2073" s="1337"/>
      <c r="D2073" s="1171"/>
      <c r="E2073" s="1165"/>
      <c r="F2073" s="1166"/>
      <c r="G2073" s="1343"/>
      <c r="H2073" s="1156"/>
      <c r="I2073" s="1336"/>
      <c r="J2073" s="1168" t="s">
        <v>102</v>
      </c>
      <c r="K2073" s="1221">
        <f>'D&amp;W data'!H235</f>
        <v>8058</v>
      </c>
      <c r="L2073" s="1159" t="s">
        <v>2218</v>
      </c>
      <c r="M2073" s="1224">
        <f>ROUND(I2073*K2073,0)</f>
        <v>0</v>
      </c>
      <c r="N2073" s="1161" t="s">
        <v>2218</v>
      </c>
    </row>
    <row r="2074" spans="1:15" s="1586" customFormat="1" ht="16.5" customHeight="1">
      <c r="A2074" s="1570"/>
      <c r="B2074" s="1579" t="s">
        <v>3820</v>
      </c>
      <c r="C2074" s="1592"/>
      <c r="D2074" s="1790" t="s">
        <v>3875</v>
      </c>
      <c r="E2074" s="1594"/>
      <c r="F2074" s="1595"/>
      <c r="G2074" s="1595"/>
      <c r="H2074" s="1596"/>
      <c r="I2074" s="1597"/>
      <c r="J2074" s="1598"/>
      <c r="K2074" s="1585"/>
      <c r="L2074" s="1570"/>
      <c r="M2074" s="1585"/>
      <c r="N2074" s="1578" t="s">
        <v>2218</v>
      </c>
    </row>
    <row r="2075" spans="1:15" s="1586" customFormat="1" ht="16.5" customHeight="1">
      <c r="A2075" s="1570"/>
      <c r="B2075" s="1638" t="s">
        <v>3821</v>
      </c>
      <c r="C2075" s="1639">
        <v>1</v>
      </c>
      <c r="D2075" s="1640" t="s">
        <v>273</v>
      </c>
      <c r="E2075" s="1641">
        <v>11</v>
      </c>
      <c r="F2075" s="1622">
        <v>1.2</v>
      </c>
      <c r="G2075" s="1622">
        <v>0</v>
      </c>
      <c r="H2075" s="1622">
        <v>1.2</v>
      </c>
      <c r="I2075" s="1605">
        <f>ROUND(IF(AND(F2075:H2075),C2075*E2075*F2075*G2075*H2075,IF(AND(F2075,G2075),C2075*E2075*F2075*G2075,IF(AND(F2075,H2075),C2075*E2075*F2075*H2075,IF(AND(G2075,H2075),C2075*E2075*G2075*H2075,IF(F2075,C2075*E2075*F2075,IF(G2075,C2075*E2075*G2075,IF(H2075,C2075*E2075*H2075,C2075*E2075))))))),2)</f>
        <v>15.84</v>
      </c>
      <c r="J2075" s="1598" t="s">
        <v>102</v>
      </c>
      <c r="K2075" s="1585"/>
      <c r="L2075" s="1570"/>
      <c r="M2075" s="1585"/>
      <c r="N2075" s="1578" t="s">
        <v>2218</v>
      </c>
    </row>
    <row r="2076" spans="1:15" s="1586" customFormat="1" ht="16.5" customHeight="1">
      <c r="A2076" s="1570"/>
      <c r="B2076" s="1600"/>
      <c r="C2076" s="1601"/>
      <c r="D2076" s="1602"/>
      <c r="E2076" s="1603"/>
      <c r="F2076" s="1604"/>
      <c r="G2076" s="1604"/>
      <c r="H2076" s="1604"/>
      <c r="I2076" s="1605"/>
      <c r="J2076" s="1598"/>
      <c r="K2076" s="1585"/>
      <c r="L2076" s="1570"/>
      <c r="M2076" s="1585"/>
      <c r="N2076" s="1578" t="s">
        <v>2218</v>
      </c>
    </row>
    <row r="2077" spans="1:15" s="1575" customFormat="1" ht="15.75">
      <c r="A2077" s="1570"/>
      <c r="B2077" s="1585"/>
      <c r="C2077" s="1606"/>
      <c r="D2077" s="1587"/>
      <c r="E2077" s="1588"/>
      <c r="F2077" s="1589"/>
      <c r="G2077" s="1607"/>
      <c r="H2077" s="1570"/>
      <c r="I2077" s="1605">
        <f>SUM(I2075:I2076)</f>
        <v>15.84</v>
      </c>
      <c r="J2077" s="1598" t="s">
        <v>102</v>
      </c>
      <c r="K2077" s="1608">
        <f>'D&amp;W data'!H233</f>
        <v>6038</v>
      </c>
      <c r="L2077" s="1573" t="s">
        <v>2218</v>
      </c>
      <c r="M2077" s="1609">
        <f>ROUND(I2077*K2077,0)</f>
        <v>95642</v>
      </c>
      <c r="N2077" s="1578" t="s">
        <v>2218</v>
      </c>
    </row>
    <row r="2078" spans="1:15" s="1170" customFormat="1" ht="16.5" hidden="1" customHeight="1">
      <c r="A2078" s="1156">
        <v>3</v>
      </c>
      <c r="B2078" s="1365" t="s">
        <v>2341</v>
      </c>
      <c r="C2078" s="1351" t="s">
        <v>1637</v>
      </c>
      <c r="D2078" s="1418"/>
      <c r="E2078" s="1352"/>
      <c r="F2078" s="1234"/>
      <c r="G2078" s="1234"/>
      <c r="H2078" s="1235"/>
      <c r="I2078" s="1353"/>
      <c r="J2078" s="1168"/>
      <c r="K2078" s="1169"/>
      <c r="L2078" s="1156"/>
      <c r="M2078" s="1169"/>
      <c r="N2078" s="1161" t="s">
        <v>2218</v>
      </c>
    </row>
    <row r="2079" spans="1:15" s="1170" customFormat="1" ht="16.5" hidden="1" customHeight="1">
      <c r="A2079" s="1156"/>
      <c r="B2079" s="1331"/>
      <c r="C2079" s="1332">
        <v>1</v>
      </c>
      <c r="D2079" s="1333" t="s">
        <v>273</v>
      </c>
      <c r="E2079" s="1334">
        <v>1</v>
      </c>
      <c r="F2079" s="1335">
        <v>1.51</v>
      </c>
      <c r="G2079" s="1335">
        <v>0</v>
      </c>
      <c r="H2079" s="1335">
        <v>1.2</v>
      </c>
      <c r="I2079" s="1336">
        <f>ROUND(IF(AND(F2079:H2079),C2079*E2079*F2079*G2079*H2079,IF(AND(F2079,G2079),C2079*E2079*F2079*G2079,IF(AND(F2079,H2079),C2079*E2079*F2079*H2079,IF(AND(G2079,H2079),C2079*E2079*G2079*H2079,IF(F2079,C2079*E2079*F2079,IF(G2079,C2079*E2079*G2079,IF(H2079,C2079*E2079*H2079,C2079*E2079))))))),2)</f>
        <v>1.81</v>
      </c>
      <c r="J2079" s="1168" t="s">
        <v>102</v>
      </c>
      <c r="K2079" s="1169"/>
      <c r="L2079" s="1156"/>
      <c r="M2079" s="1169"/>
      <c r="N2079" s="1161" t="s">
        <v>2218</v>
      </c>
      <c r="O2079" s="1334">
        <v>1</v>
      </c>
    </row>
    <row r="2080" spans="1:15" s="1170" customFormat="1" ht="16.5" hidden="1" customHeight="1">
      <c r="A2080" s="1156"/>
      <c r="B2080" s="1331"/>
      <c r="C2080" s="1332"/>
      <c r="D2080" s="1333"/>
      <c r="E2080" s="1334"/>
      <c r="F2080" s="1335"/>
      <c r="G2080" s="1335"/>
      <c r="H2080" s="1335"/>
      <c r="I2080" s="1336"/>
      <c r="J2080" s="1168"/>
      <c r="K2080" s="1169"/>
      <c r="L2080" s="1156"/>
      <c r="M2080" s="1169"/>
      <c r="N2080" s="1161" t="s">
        <v>2218</v>
      </c>
      <c r="O2080" s="1334"/>
    </row>
    <row r="2081" spans="1:14" ht="15.75" hidden="1">
      <c r="A2081" s="1156"/>
      <c r="B2081" s="1169"/>
      <c r="C2081" s="1337"/>
      <c r="D2081" s="1171"/>
      <c r="E2081" s="1165"/>
      <c r="F2081" s="1166"/>
      <c r="G2081" s="1343"/>
      <c r="H2081" s="1156"/>
      <c r="I2081" s="1336"/>
      <c r="J2081" s="1168" t="s">
        <v>102</v>
      </c>
      <c r="K2081" s="1221">
        <f>'D&amp;W data'!H237</f>
        <v>5830</v>
      </c>
      <c r="L2081" s="1159" t="s">
        <v>2218</v>
      </c>
      <c r="M2081" s="1224">
        <f>ROUND(I2081*K2081,0)</f>
        <v>0</v>
      </c>
      <c r="N2081" s="1161" t="s">
        <v>2218</v>
      </c>
    </row>
    <row r="2082" spans="1:14" ht="27" hidden="1" customHeight="1">
      <c r="A2082" s="1156">
        <v>6</v>
      </c>
      <c r="B2082" s="1826" t="s">
        <v>2293</v>
      </c>
      <c r="C2082" s="1826"/>
      <c r="D2082" s="1826"/>
      <c r="E2082" s="1826"/>
      <c r="F2082" s="1826"/>
      <c r="G2082" s="1826"/>
      <c r="H2082" s="1826"/>
      <c r="I2082" s="1157"/>
      <c r="J2082" s="1158"/>
      <c r="K2082" s="1156"/>
      <c r="L2082" s="1156"/>
      <c r="M2082" s="1160"/>
      <c r="N2082" s="1161" t="s">
        <v>2218</v>
      </c>
    </row>
    <row r="2083" spans="1:14" s="1170" customFormat="1" ht="16.5" hidden="1" customHeight="1">
      <c r="A2083" s="1156"/>
      <c r="B2083" s="1230" t="s">
        <v>2342</v>
      </c>
      <c r="C2083" s="1351"/>
      <c r="D2083" s="1418"/>
      <c r="E2083" s="1352"/>
      <c r="F2083" s="1234"/>
      <c r="G2083" s="1234"/>
      <c r="H2083" s="1235"/>
      <c r="I2083" s="1353"/>
      <c r="J2083" s="1168"/>
      <c r="K2083" s="1169"/>
      <c r="L2083" s="1156"/>
      <c r="M2083" s="1169"/>
      <c r="N2083" s="1161" t="s">
        <v>2218</v>
      </c>
    </row>
    <row r="2084" spans="1:14" s="1170" customFormat="1" ht="16.5" hidden="1" customHeight="1">
      <c r="A2084" s="1156"/>
      <c r="B2084" s="1331"/>
      <c r="C2084" s="1332">
        <v>1</v>
      </c>
      <c r="D2084" s="1333" t="s">
        <v>273</v>
      </c>
      <c r="E2084" s="1334">
        <v>1</v>
      </c>
      <c r="F2084" s="1335">
        <v>1.2</v>
      </c>
      <c r="G2084" s="1335">
        <v>0</v>
      </c>
      <c r="H2084" s="1335">
        <v>0.3</v>
      </c>
      <c r="I2084" s="1336">
        <f>ROUND(IF(AND(F2084:H2084),C2084*E2084*F2084*G2084*H2084,IF(AND(F2084,G2084),C2084*E2084*F2084*G2084,IF(AND(F2084,H2084),C2084*E2084*F2084*H2084,IF(AND(G2084,H2084),C2084*E2084*G2084*H2084,IF(F2084,C2084*E2084*F2084,IF(G2084,C2084*E2084*G2084,IF(H2084,C2084*E2084*H2084,C2084*E2084))))))),2)</f>
        <v>0.36</v>
      </c>
      <c r="J2084" s="1168" t="s">
        <v>102</v>
      </c>
      <c r="K2084" s="1169"/>
      <c r="L2084" s="1156"/>
      <c r="M2084" s="1169"/>
      <c r="N2084" s="1161" t="s">
        <v>2218</v>
      </c>
    </row>
    <row r="2085" spans="1:14" s="1170" customFormat="1" ht="16.5" hidden="1" customHeight="1">
      <c r="A2085" s="1156"/>
      <c r="B2085" s="1331"/>
      <c r="C2085" s="1332"/>
      <c r="D2085" s="1333"/>
      <c r="E2085" s="1334"/>
      <c r="F2085" s="1335"/>
      <c r="G2085" s="1335"/>
      <c r="H2085" s="1335"/>
      <c r="I2085" s="1336"/>
      <c r="J2085" s="1168"/>
      <c r="K2085" s="1169"/>
      <c r="L2085" s="1156"/>
      <c r="M2085" s="1169"/>
      <c r="N2085" s="1161" t="s">
        <v>2218</v>
      </c>
    </row>
    <row r="2086" spans="1:14" ht="15.75" hidden="1">
      <c r="A2086" s="1156"/>
      <c r="B2086" s="1169"/>
      <c r="C2086" s="1337"/>
      <c r="D2086" s="1171"/>
      <c r="E2086" s="1165"/>
      <c r="F2086" s="1166"/>
      <c r="G2086" s="1343"/>
      <c r="H2086" s="1156"/>
      <c r="I2086" s="1336"/>
      <c r="J2086" s="1168" t="s">
        <v>102</v>
      </c>
      <c r="K2086" s="1221">
        <f>'D&amp;W data'!H240</f>
        <v>3797</v>
      </c>
      <c r="L2086" s="1159" t="s">
        <v>2218</v>
      </c>
      <c r="M2086" s="1224">
        <f>ROUND(I2086*K2086,0)</f>
        <v>0</v>
      </c>
      <c r="N2086" s="1161" t="s">
        <v>2218</v>
      </c>
    </row>
    <row r="2087" spans="1:14" ht="27" hidden="1" customHeight="1">
      <c r="A2087" s="1156">
        <v>6</v>
      </c>
      <c r="B2087" s="1826" t="s">
        <v>1200</v>
      </c>
      <c r="C2087" s="1826"/>
      <c r="D2087" s="1826"/>
      <c r="E2087" s="1826"/>
      <c r="F2087" s="1826"/>
      <c r="G2087" s="1826"/>
      <c r="H2087" s="1826"/>
      <c r="I2087" s="1157"/>
      <c r="J2087" s="1158"/>
      <c r="K2087" s="1156"/>
      <c r="L2087" s="1156"/>
      <c r="M2087" s="1160"/>
      <c r="N2087" s="1161" t="s">
        <v>2218</v>
      </c>
    </row>
    <row r="2088" spans="1:14" s="1170" customFormat="1" ht="16.5" hidden="1" customHeight="1">
      <c r="A2088" s="1156"/>
      <c r="B2088" s="1230" t="s">
        <v>2342</v>
      </c>
      <c r="C2088" s="1351"/>
      <c r="D2088" s="1418"/>
      <c r="E2088" s="1352"/>
      <c r="F2088" s="1234"/>
      <c r="G2088" s="1234"/>
      <c r="H2088" s="1235"/>
      <c r="I2088" s="1353"/>
      <c r="J2088" s="1168"/>
      <c r="K2088" s="1169"/>
      <c r="L2088" s="1156"/>
      <c r="M2088" s="1169"/>
      <c r="N2088" s="1161" t="s">
        <v>2218</v>
      </c>
    </row>
    <row r="2089" spans="1:14" s="1170" customFormat="1" ht="16.5" hidden="1" customHeight="1">
      <c r="A2089" s="1156"/>
      <c r="B2089" s="1331"/>
      <c r="C2089" s="1332">
        <v>1</v>
      </c>
      <c r="D2089" s="1333" t="s">
        <v>273</v>
      </c>
      <c r="E2089" s="1334">
        <v>16</v>
      </c>
      <c r="F2089" s="1335">
        <v>0</v>
      </c>
      <c r="G2089" s="1335">
        <v>0</v>
      </c>
      <c r="H2089" s="1335">
        <v>0</v>
      </c>
      <c r="I2089" s="1421">
        <f>ROUND(IF(AND(F2089:H2089),C2089*E2089*F2089*G2089*H2089,IF(AND(F2089,G2089),C2089*E2089*F2089*G2089,IF(AND(F2089,H2089),C2089*E2089*F2089*H2089,IF(AND(G2089,H2089),C2089*E2089*G2089*H2089,IF(F2089,C2089*E2089*F2089,IF(G2089,C2089*E2089*G2089,IF(H2089,C2089*E2089*H2089,C2089*E2089))))))),2)</f>
        <v>16</v>
      </c>
      <c r="J2089" s="1168" t="s">
        <v>115</v>
      </c>
      <c r="K2089" s="1169"/>
      <c r="L2089" s="1156"/>
      <c r="M2089" s="1169"/>
      <c r="N2089" s="1161" t="s">
        <v>2218</v>
      </c>
    </row>
    <row r="2090" spans="1:14" s="1170" customFormat="1" ht="16.5" hidden="1" customHeight="1">
      <c r="A2090" s="1156"/>
      <c r="B2090" s="1331"/>
      <c r="C2090" s="1332"/>
      <c r="D2090" s="1333"/>
      <c r="E2090" s="1334"/>
      <c r="F2090" s="1335"/>
      <c r="G2090" s="1335"/>
      <c r="H2090" s="1335"/>
      <c r="I2090" s="1421"/>
      <c r="J2090" s="1168"/>
      <c r="K2090" s="1169"/>
      <c r="L2090" s="1156"/>
      <c r="M2090" s="1169"/>
      <c r="N2090" s="1161" t="s">
        <v>2218</v>
      </c>
    </row>
    <row r="2091" spans="1:14" ht="15.75" hidden="1">
      <c r="A2091" s="1156"/>
      <c r="B2091" s="1169"/>
      <c r="C2091" s="1337"/>
      <c r="D2091" s="1171"/>
      <c r="E2091" s="1165"/>
      <c r="F2091" s="1166"/>
      <c r="G2091" s="1343"/>
      <c r="H2091" s="1156"/>
      <c r="I2091" s="1421"/>
      <c r="J2091" s="1168" t="s">
        <v>115</v>
      </c>
      <c r="K2091" s="1221">
        <f>'D&amp;W data'!H200</f>
        <v>494.94</v>
      </c>
      <c r="L2091" s="1159" t="s">
        <v>2218</v>
      </c>
      <c r="M2091" s="1224">
        <f>ROUND(I2091*K2091,0)</f>
        <v>0</v>
      </c>
      <c r="N2091" s="1161" t="s">
        <v>2218</v>
      </c>
    </row>
    <row r="2092" spans="1:14" s="1575" customFormat="1" ht="27" customHeight="1">
      <c r="A2092" s="1570">
        <v>31</v>
      </c>
      <c r="B2092" s="1827" t="s">
        <v>932</v>
      </c>
      <c r="C2092" s="1827"/>
      <c r="D2092" s="1827"/>
      <c r="E2092" s="1827"/>
      <c r="F2092" s="1827"/>
      <c r="G2092" s="1827"/>
      <c r="H2092" s="1827"/>
      <c r="I2092" s="1571"/>
      <c r="J2092" s="1572"/>
      <c r="K2092" s="1570"/>
      <c r="L2092" s="1570"/>
      <c r="M2092" s="1577"/>
      <c r="N2092" s="1578" t="s">
        <v>2218</v>
      </c>
    </row>
    <row r="2093" spans="1:14" s="1586" customFormat="1" ht="16.5" customHeight="1">
      <c r="A2093" s="1570"/>
      <c r="B2093" s="1579" t="s">
        <v>3766</v>
      </c>
      <c r="C2093" s="1592"/>
      <c r="D2093" s="1790" t="s">
        <v>3872</v>
      </c>
      <c r="E2093" s="1594"/>
      <c r="F2093" s="1595"/>
      <c r="G2093" s="1595"/>
      <c r="H2093" s="1596"/>
      <c r="I2093" s="1597"/>
      <c r="J2093" s="1598"/>
      <c r="K2093" s="1585"/>
      <c r="L2093" s="1570"/>
      <c r="M2093" s="1585"/>
      <c r="N2093" s="1578" t="s">
        <v>2218</v>
      </c>
    </row>
    <row r="2094" spans="1:14" s="1586" customFormat="1" ht="16.5" customHeight="1">
      <c r="A2094" s="1570"/>
      <c r="B2094" s="1638" t="s">
        <v>583</v>
      </c>
      <c r="C2094" s="1639">
        <v>1</v>
      </c>
      <c r="D2094" s="1640" t="s">
        <v>273</v>
      </c>
      <c r="E2094" s="1641">
        <v>12</v>
      </c>
      <c r="F2094" s="1622">
        <v>0.6</v>
      </c>
      <c r="G2094" s="1622">
        <v>0</v>
      </c>
      <c r="H2094" s="1622">
        <v>0.3</v>
      </c>
      <c r="I2094" s="1605">
        <f>ROUND(IF(AND(F2094:H2094),C2094*E2094*F2094*G2094*H2094,IF(AND(F2094,G2094),C2094*E2094*F2094*G2094,IF(AND(F2094,H2094),C2094*E2094*F2094*H2094,IF(AND(G2094,H2094),C2094*E2094*G2094*H2094,IF(F2094,C2094*E2094*F2094,IF(G2094,C2094*E2094*G2094,IF(H2094,C2094*E2094*H2094,C2094*E2094))))))),2)</f>
        <v>2.16</v>
      </c>
      <c r="J2094" s="1598" t="s">
        <v>102</v>
      </c>
      <c r="K2094" s="1585"/>
      <c r="L2094" s="1570"/>
      <c r="M2094" s="1585"/>
      <c r="N2094" s="1578" t="s">
        <v>2218</v>
      </c>
    </row>
    <row r="2095" spans="1:14" s="1586" customFormat="1" ht="16.5" customHeight="1">
      <c r="A2095" s="1570"/>
      <c r="B2095" s="1600"/>
      <c r="C2095" s="1601"/>
      <c r="D2095" s="1602"/>
      <c r="E2095" s="1603"/>
      <c r="F2095" s="1604"/>
      <c r="G2095" s="1604"/>
      <c r="H2095" s="1604"/>
      <c r="I2095" s="1605"/>
      <c r="J2095" s="1598"/>
      <c r="K2095" s="1585"/>
      <c r="L2095" s="1570"/>
      <c r="M2095" s="1585"/>
      <c r="N2095" s="1578" t="s">
        <v>2218</v>
      </c>
    </row>
    <row r="2096" spans="1:14" s="1575" customFormat="1" ht="15.75">
      <c r="A2096" s="1570"/>
      <c r="B2096" s="1585"/>
      <c r="C2096" s="1606"/>
      <c r="D2096" s="1587"/>
      <c r="E2096" s="1588"/>
      <c r="F2096" s="1589"/>
      <c r="G2096" s="1607"/>
      <c r="H2096" s="1570"/>
      <c r="I2096" s="1605">
        <f>SUM(I2094:I2095)</f>
        <v>2.16</v>
      </c>
      <c r="J2096" s="1598" t="s">
        <v>102</v>
      </c>
      <c r="K2096" s="1608">
        <f>'D&amp;W data'!H206</f>
        <v>513.1</v>
      </c>
      <c r="L2096" s="1573" t="s">
        <v>2218</v>
      </c>
      <c r="M2096" s="1609">
        <f>ROUND(I2096*K2096,0)</f>
        <v>1108</v>
      </c>
      <c r="N2096" s="1578" t="s">
        <v>2218</v>
      </c>
    </row>
    <row r="2097" spans="1:14" s="1575" customFormat="1" ht="46.5" customHeight="1">
      <c r="A2097" s="1570">
        <v>32</v>
      </c>
      <c r="B2097" s="1827" t="s">
        <v>185</v>
      </c>
      <c r="C2097" s="1827"/>
      <c r="D2097" s="1827"/>
      <c r="E2097" s="1827"/>
      <c r="F2097" s="1827"/>
      <c r="G2097" s="1827"/>
      <c r="H2097" s="1827"/>
      <c r="I2097" s="1571"/>
      <c r="J2097" s="1572"/>
      <c r="K2097" s="1570"/>
      <c r="L2097" s="1570"/>
      <c r="M2097" s="1577"/>
      <c r="N2097" s="1578" t="s">
        <v>2218</v>
      </c>
    </row>
    <row r="2098" spans="1:14" s="1586" customFormat="1" ht="16.5" customHeight="1">
      <c r="A2098" s="1570"/>
      <c r="B2098" s="1579" t="s">
        <v>3762</v>
      </c>
      <c r="C2098" s="1571"/>
      <c r="D2098" s="1790" t="s">
        <v>3461</v>
      </c>
      <c r="E2098" s="1588"/>
      <c r="F2098" s="1589"/>
      <c r="G2098" s="1595"/>
      <c r="H2098" s="1596"/>
      <c r="I2098" s="1597"/>
      <c r="J2098" s="1598"/>
      <c r="K2098" s="1585"/>
      <c r="L2098" s="1570"/>
      <c r="M2098" s="1585"/>
      <c r="N2098" s="1578" t="s">
        <v>2218</v>
      </c>
    </row>
    <row r="2099" spans="1:14" s="1586" customFormat="1" ht="16.5" customHeight="1">
      <c r="A2099" s="1570"/>
      <c r="B2099" s="1638" t="s">
        <v>1188</v>
      </c>
      <c r="C2099" s="1571">
        <v>1</v>
      </c>
      <c r="D2099" s="1587" t="s">
        <v>273</v>
      </c>
      <c r="E2099" s="1588">
        <v>11</v>
      </c>
      <c r="F2099" s="1589">
        <v>35</v>
      </c>
      <c r="G2099" s="1622">
        <v>0</v>
      </c>
      <c r="H2099" s="1622">
        <v>0</v>
      </c>
      <c r="I2099" s="1605">
        <f>ROUND(IF(AND(F2099:H2099),C2099*E2099*F2099*G2099*H2099,IF(AND(F2099,G2099),C2099*E2099*F2099*G2099,IF(AND(F2099,H2099),C2099*E2099*F2099*H2099,IF(AND(G2099,H2099),C2099*E2099*G2099*H2099,IF(F2099,C2099*E2099*F2099,IF(G2099,C2099*E2099*G2099,IF(H2099,C2099*E2099*H2099,C2099*E2099))))))),2)</f>
        <v>385</v>
      </c>
      <c r="J2099" s="1598" t="s">
        <v>141</v>
      </c>
      <c r="K2099" s="1585"/>
      <c r="L2099" s="1570"/>
      <c r="M2099" s="1585"/>
      <c r="N2099" s="1578" t="s">
        <v>2218</v>
      </c>
    </row>
    <row r="2100" spans="1:14" s="1586" customFormat="1" ht="16.5" customHeight="1">
      <c r="A2100" s="1570"/>
      <c r="B2100" s="1638"/>
      <c r="C2100" s="1571"/>
      <c r="D2100" s="1587"/>
      <c r="E2100" s="1588"/>
      <c r="F2100" s="1589"/>
      <c r="G2100" s="1589"/>
      <c r="H2100" s="1589"/>
      <c r="I2100" s="1590"/>
      <c r="J2100" s="1598"/>
      <c r="K2100" s="1585"/>
      <c r="L2100" s="1570"/>
      <c r="M2100" s="1585"/>
      <c r="N2100" s="1578" t="s">
        <v>2218</v>
      </c>
    </row>
    <row r="2101" spans="1:14" s="1575" customFormat="1" ht="15.75">
      <c r="A2101" s="1570"/>
      <c r="B2101" s="1585"/>
      <c r="C2101" s="1606"/>
      <c r="D2101" s="1587"/>
      <c r="E2101" s="1588"/>
      <c r="F2101" s="1589"/>
      <c r="G2101" s="1607"/>
      <c r="H2101" s="1570"/>
      <c r="I2101" s="1605">
        <f>SUM(I2099:I2100)</f>
        <v>385</v>
      </c>
      <c r="J2101" s="1598" t="s">
        <v>4</v>
      </c>
      <c r="K2101" s="1608">
        <f>data!G306</f>
        <v>84.009999999999991</v>
      </c>
      <c r="L2101" s="1573" t="s">
        <v>2218</v>
      </c>
      <c r="M2101" s="1609">
        <f>ROUND(I2101*K2101,0)</f>
        <v>32344</v>
      </c>
      <c r="N2101" s="1578" t="s">
        <v>2218</v>
      </c>
    </row>
    <row r="2102" spans="1:14" ht="65.25" hidden="1" customHeight="1">
      <c r="A2102" s="1156">
        <v>7</v>
      </c>
      <c r="B2102" s="1826" t="s">
        <v>933</v>
      </c>
      <c r="C2102" s="1826"/>
      <c r="D2102" s="1826"/>
      <c r="E2102" s="1826"/>
      <c r="F2102" s="1826"/>
      <c r="G2102" s="1826"/>
      <c r="H2102" s="1826"/>
      <c r="I2102" s="1157"/>
      <c r="J2102" s="1158"/>
      <c r="K2102" s="1156"/>
      <c r="L2102" s="1156"/>
      <c r="M2102" s="1160"/>
      <c r="N2102" s="1161" t="s">
        <v>2218</v>
      </c>
    </row>
    <row r="2103" spans="1:14" s="1170" customFormat="1" ht="16.5" hidden="1" customHeight="1">
      <c r="A2103" s="1156"/>
      <c r="B2103" s="1169" t="s">
        <v>2344</v>
      </c>
      <c r="C2103" s="1351"/>
      <c r="D2103" s="1418"/>
      <c r="E2103" s="1352"/>
      <c r="F2103" s="1234"/>
      <c r="G2103" s="1234"/>
      <c r="H2103" s="1235"/>
      <c r="I2103" s="1353"/>
      <c r="J2103" s="1168"/>
      <c r="K2103" s="1169"/>
      <c r="L2103" s="1156"/>
      <c r="M2103" s="1169"/>
      <c r="N2103" s="1161" t="s">
        <v>2218</v>
      </c>
    </row>
    <row r="2104" spans="1:14" s="1170" customFormat="1" ht="16.5" hidden="1" customHeight="1">
      <c r="A2104" s="1156"/>
      <c r="B2104" s="1359" t="s">
        <v>1537</v>
      </c>
      <c r="C2104" s="1360">
        <v>1</v>
      </c>
      <c r="D2104" s="1361" t="s">
        <v>273</v>
      </c>
      <c r="E2104" s="1362">
        <v>11</v>
      </c>
      <c r="F2104" s="1363">
        <v>1.5</v>
      </c>
      <c r="G2104" s="1363">
        <v>0</v>
      </c>
      <c r="H2104" s="1363">
        <v>1.35</v>
      </c>
      <c r="I2104" s="1336">
        <f>ROUND(IF(AND(F2104:H2104),C2104*E2104*F2104*G2104*H2104,IF(AND(F2104,G2104),C2104*E2104*F2104*G2104,IF(AND(F2104,H2104),C2104*E2104*F2104*H2104,IF(AND(G2104,H2104),C2104*E2104*G2104*H2104,IF(F2104,C2104*E2104*F2104,IF(G2104,C2104*E2104*G2104,IF(H2104,C2104*E2104*H2104,C2104*E2104))))))),2)</f>
        <v>22.28</v>
      </c>
      <c r="J2104" s="1168" t="s">
        <v>102</v>
      </c>
      <c r="K2104" s="1169"/>
      <c r="L2104" s="1156"/>
      <c r="M2104" s="1169"/>
      <c r="N2104" s="1161" t="s">
        <v>2218</v>
      </c>
    </row>
    <row r="2105" spans="1:14" s="1170" customFormat="1" ht="16.5" hidden="1" customHeight="1">
      <c r="A2105" s="1156"/>
      <c r="B2105" s="1359"/>
      <c r="C2105" s="1360">
        <v>1</v>
      </c>
      <c r="D2105" s="1361" t="s">
        <v>273</v>
      </c>
      <c r="E2105" s="1362">
        <v>1</v>
      </c>
      <c r="F2105" s="1363">
        <v>1.59</v>
      </c>
      <c r="G2105" s="1363">
        <v>0</v>
      </c>
      <c r="H2105" s="1363">
        <v>1.35</v>
      </c>
      <c r="I2105" s="1336">
        <f>ROUND(IF(AND(F2105:H2105),C2105*E2105*F2105*G2105*H2105,IF(AND(F2105,G2105),C2105*E2105*F2105*G2105,IF(AND(F2105,H2105),C2105*E2105*F2105*H2105,IF(AND(G2105,H2105),C2105*E2105*G2105*H2105,IF(F2105,C2105*E2105*F2105,IF(G2105,C2105*E2105*G2105,IF(H2105,C2105*E2105*H2105,C2105*E2105))))))),2)</f>
        <v>2.15</v>
      </c>
      <c r="J2105" s="1168" t="s">
        <v>102</v>
      </c>
      <c r="K2105" s="1169"/>
      <c r="L2105" s="1156"/>
      <c r="M2105" s="1169"/>
      <c r="N2105" s="1161" t="s">
        <v>2218</v>
      </c>
    </row>
    <row r="2106" spans="1:14" s="1170" customFormat="1" ht="16.5" hidden="1" customHeight="1">
      <c r="A2106" s="1156"/>
      <c r="B2106" s="1359"/>
      <c r="C2106" s="1360">
        <v>1</v>
      </c>
      <c r="D2106" s="1361" t="s">
        <v>273</v>
      </c>
      <c r="E2106" s="1362">
        <v>2</v>
      </c>
      <c r="F2106" s="1363">
        <v>1.5</v>
      </c>
      <c r="G2106" s="1363">
        <v>0</v>
      </c>
      <c r="H2106" s="1363">
        <v>1.35</v>
      </c>
      <c r="I2106" s="1336">
        <f>ROUND(IF(AND(F2106:H2106),C2106*E2106*F2106*G2106*H2106,IF(AND(F2106,G2106),C2106*E2106*F2106*G2106,IF(AND(F2106,H2106),C2106*E2106*F2106*H2106,IF(AND(G2106,H2106),C2106*E2106*G2106*H2106,IF(F2106,C2106*E2106*F2106,IF(G2106,C2106*E2106*G2106,IF(H2106,C2106*E2106*H2106,C2106*E2106))))))),2)</f>
        <v>4.05</v>
      </c>
      <c r="J2106" s="1168" t="s">
        <v>102</v>
      </c>
      <c r="K2106" s="1169"/>
      <c r="L2106" s="1156"/>
      <c r="M2106" s="1169"/>
      <c r="N2106" s="1161" t="s">
        <v>2218</v>
      </c>
    </row>
    <row r="2107" spans="1:14" s="1170" customFormat="1" ht="16.5" hidden="1" customHeight="1">
      <c r="A2107" s="1156"/>
      <c r="B2107" s="1331"/>
      <c r="C2107" s="1332"/>
      <c r="D2107" s="1333"/>
      <c r="E2107" s="1334"/>
      <c r="F2107" s="1335"/>
      <c r="G2107" s="1335"/>
      <c r="H2107" s="1335"/>
      <c r="I2107" s="1336"/>
      <c r="J2107" s="1168"/>
      <c r="K2107" s="1169"/>
      <c r="L2107" s="1156"/>
      <c r="M2107" s="1169"/>
      <c r="N2107" s="1161" t="s">
        <v>2218</v>
      </c>
    </row>
    <row r="2108" spans="1:14" ht="15.75" hidden="1">
      <c r="A2108" s="1156"/>
      <c r="B2108" s="1169"/>
      <c r="C2108" s="1337"/>
      <c r="D2108" s="1171"/>
      <c r="E2108" s="1165"/>
      <c r="F2108" s="1166"/>
      <c r="G2108" s="1343"/>
      <c r="H2108" s="1156"/>
      <c r="I2108" s="1336"/>
      <c r="J2108" s="1168" t="s">
        <v>102</v>
      </c>
      <c r="K2108" s="1221">
        <f>data!G313</f>
        <v>2353.58</v>
      </c>
      <c r="L2108" s="1159" t="s">
        <v>2218</v>
      </c>
      <c r="M2108" s="1224">
        <f>ROUND(I2108*K2108,0)</f>
        <v>0</v>
      </c>
      <c r="N2108" s="1161" t="s">
        <v>2218</v>
      </c>
    </row>
    <row r="2109" spans="1:14" ht="42.75" hidden="1" customHeight="1">
      <c r="A2109" s="1156">
        <v>51</v>
      </c>
      <c r="B2109" s="1826" t="s">
        <v>626</v>
      </c>
      <c r="C2109" s="1826"/>
      <c r="D2109" s="1826"/>
      <c r="E2109" s="1826"/>
      <c r="F2109" s="1826"/>
      <c r="G2109" s="1826"/>
      <c r="H2109" s="1826"/>
      <c r="I2109" s="1157"/>
      <c r="J2109" s="1158"/>
      <c r="K2109" s="1156"/>
      <c r="L2109" s="1156"/>
      <c r="M2109" s="1160"/>
      <c r="N2109" s="1161" t="s">
        <v>2218</v>
      </c>
    </row>
    <row r="2110" spans="1:14" s="1170" customFormat="1" ht="16.5" hidden="1" customHeight="1">
      <c r="A2110" s="1156"/>
      <c r="B2110" s="1230" t="s">
        <v>2345</v>
      </c>
      <c r="C2110" s="1351"/>
      <c r="D2110" s="1418"/>
      <c r="E2110" s="1352"/>
      <c r="F2110" s="1234"/>
      <c r="G2110" s="1234"/>
      <c r="H2110" s="1235"/>
      <c r="I2110" s="1353"/>
      <c r="J2110" s="1168"/>
      <c r="K2110" s="1169"/>
      <c r="L2110" s="1156"/>
      <c r="M2110" s="1169"/>
      <c r="N2110" s="1161" t="s">
        <v>2218</v>
      </c>
    </row>
    <row r="2111" spans="1:14" s="1170" customFormat="1" ht="16.5" hidden="1" customHeight="1">
      <c r="A2111" s="1156"/>
      <c r="B2111" s="1331" t="s">
        <v>661</v>
      </c>
      <c r="C2111" s="1332">
        <v>1</v>
      </c>
      <c r="D2111" s="1333" t="s">
        <v>273</v>
      </c>
      <c r="E2111" s="1334">
        <v>1</v>
      </c>
      <c r="F2111" s="1550">
        <v>58.6</v>
      </c>
      <c r="G2111" s="1335">
        <v>0</v>
      </c>
      <c r="H2111" s="1335">
        <v>0</v>
      </c>
      <c r="I2111" s="1336">
        <f>ROUND(IF(AND(F2111:H2111),C2111*E2111*F2111*G2111*H2111,IF(AND(F2111,G2111),C2111*E2111*F2111*G2111,IF(AND(F2111,H2111),C2111*E2111*F2111*H2111,IF(AND(G2111,H2111),C2111*E2111*G2111*H2111,IF(F2111,C2111*E2111*F2111,IF(G2111,C2111*E2111*G2111,IF(H2111,C2111*E2111*H2111,C2111*E2111))))))),2)</f>
        <v>58.6</v>
      </c>
      <c r="J2111" s="1168" t="s">
        <v>141</v>
      </c>
      <c r="K2111" s="1169"/>
      <c r="L2111" s="1156"/>
      <c r="M2111" s="1169"/>
      <c r="N2111" s="1161" t="s">
        <v>2218</v>
      </c>
    </row>
    <row r="2112" spans="1:14" s="1170" customFormat="1" ht="16.5" hidden="1" customHeight="1">
      <c r="A2112" s="1156"/>
      <c r="B2112" s="1331"/>
      <c r="C2112" s="1332"/>
      <c r="D2112" s="1333"/>
      <c r="E2112" s="1334"/>
      <c r="F2112" s="1550"/>
      <c r="G2112" s="1335"/>
      <c r="H2112" s="1335"/>
      <c r="I2112" s="1336"/>
      <c r="J2112" s="1168"/>
      <c r="K2112" s="1169"/>
      <c r="L2112" s="1156"/>
      <c r="M2112" s="1169"/>
      <c r="N2112" s="1161" t="s">
        <v>2218</v>
      </c>
    </row>
    <row r="2113" spans="1:14" ht="15.75" hidden="1">
      <c r="A2113" s="1156"/>
      <c r="B2113" s="1169"/>
      <c r="C2113" s="1337"/>
      <c r="D2113" s="1171"/>
      <c r="E2113" s="1165"/>
      <c r="F2113" s="1166"/>
      <c r="G2113" s="1343"/>
      <c r="H2113" s="1156"/>
      <c r="I2113" s="1336"/>
      <c r="J2113" s="1168" t="s">
        <v>141</v>
      </c>
      <c r="K2113" s="1221">
        <f>data!G320</f>
        <v>106.5</v>
      </c>
      <c r="L2113" s="1159" t="s">
        <v>2218</v>
      </c>
      <c r="M2113" s="1224">
        <f>ROUND(I2113*K2113,0)</f>
        <v>0</v>
      </c>
      <c r="N2113" s="1161" t="s">
        <v>2218</v>
      </c>
    </row>
    <row r="2114" spans="1:14" s="1575" customFormat="1" ht="132" customHeight="1">
      <c r="A2114" s="1570">
        <v>33</v>
      </c>
      <c r="B2114" s="1827" t="s">
        <v>928</v>
      </c>
      <c r="C2114" s="1827"/>
      <c r="D2114" s="1827"/>
      <c r="E2114" s="1827"/>
      <c r="F2114" s="1827"/>
      <c r="G2114" s="1827"/>
      <c r="H2114" s="1827"/>
      <c r="I2114" s="1571"/>
      <c r="J2114" s="1572"/>
      <c r="K2114" s="1570"/>
      <c r="L2114" s="1570"/>
      <c r="M2114" s="1577"/>
      <c r="N2114" s="1578" t="s">
        <v>2218</v>
      </c>
    </row>
    <row r="2115" spans="1:14" s="1586" customFormat="1" ht="16.5" customHeight="1">
      <c r="A2115" s="1570"/>
      <c r="B2115" s="1585" t="s">
        <v>3842</v>
      </c>
      <c r="C2115" s="1592"/>
      <c r="D2115" s="1790" t="s">
        <v>3878</v>
      </c>
      <c r="E2115" s="1594"/>
      <c r="F2115" s="1595"/>
      <c r="G2115" s="1595"/>
      <c r="H2115" s="1596"/>
      <c r="I2115" s="1597"/>
      <c r="J2115" s="1598"/>
      <c r="K2115" s="1585"/>
      <c r="L2115" s="1570"/>
      <c r="M2115" s="1585"/>
      <c r="N2115" s="1578" t="s">
        <v>2218</v>
      </c>
    </row>
    <row r="2116" spans="1:14" s="1586" customFormat="1" ht="16.5" customHeight="1">
      <c r="A2116" s="1570"/>
      <c r="B2116" s="1638"/>
      <c r="C2116" s="1639">
        <v>1</v>
      </c>
      <c r="D2116" s="1640" t="s">
        <v>273</v>
      </c>
      <c r="E2116" s="1641">
        <v>2</v>
      </c>
      <c r="F2116" s="1643">
        <v>0.8</v>
      </c>
      <c r="G2116" s="1622">
        <v>0</v>
      </c>
      <c r="H2116" s="1622">
        <v>0.9</v>
      </c>
      <c r="I2116" s="1605">
        <f>ROUND(IF(AND(F2116:H2116),C2116*E2116*F2116*G2116*H2116,IF(AND(F2116,G2116),C2116*E2116*F2116*G2116,IF(AND(F2116,H2116),C2116*E2116*F2116*H2116,IF(AND(G2116,H2116),C2116*E2116*G2116*H2116,IF(F2116,C2116*E2116*F2116,IF(G2116,C2116*E2116*G2116,IF(H2116,C2116*E2116*H2116,C2116*E2116))))))),2)</f>
        <v>1.44</v>
      </c>
      <c r="J2116" s="1598" t="s">
        <v>102</v>
      </c>
      <c r="K2116" s="1585"/>
      <c r="L2116" s="1570"/>
      <c r="M2116" s="1585"/>
      <c r="N2116" s="1578" t="s">
        <v>2218</v>
      </c>
    </row>
    <row r="2117" spans="1:14" s="1586" customFormat="1" ht="16.5" customHeight="1">
      <c r="A2117" s="1570"/>
      <c r="B2117" s="1638"/>
      <c r="C2117" s="1639">
        <v>1</v>
      </c>
      <c r="D2117" s="1640" t="s">
        <v>273</v>
      </c>
      <c r="E2117" s="1641">
        <v>2</v>
      </c>
      <c r="F2117" s="1643">
        <v>3.8</v>
      </c>
      <c r="G2117" s="1622">
        <v>0</v>
      </c>
      <c r="H2117" s="1622">
        <v>0.9</v>
      </c>
      <c r="I2117" s="1605">
        <f>ROUND(IF(AND(F2117:H2117),C2117*E2117*F2117*G2117*H2117,IF(AND(F2117,G2117),C2117*E2117*F2117*G2117,IF(AND(F2117,H2117),C2117*E2117*F2117*H2117,IF(AND(G2117,H2117),C2117*E2117*G2117*H2117,IF(F2117,C2117*E2117*F2117,IF(G2117,C2117*E2117*G2117,IF(H2117,C2117*E2117*H2117,C2117*E2117))))))),2)</f>
        <v>6.84</v>
      </c>
      <c r="J2117" s="1598" t="s">
        <v>102</v>
      </c>
      <c r="K2117" s="1585"/>
      <c r="L2117" s="1570"/>
      <c r="M2117" s="1585"/>
      <c r="N2117" s="1578" t="s">
        <v>2218</v>
      </c>
    </row>
    <row r="2118" spans="1:14" s="1586" customFormat="1" ht="16.5" customHeight="1">
      <c r="A2118" s="1570"/>
      <c r="B2118" s="1638"/>
      <c r="C2118" s="1639">
        <v>1</v>
      </c>
      <c r="D2118" s="1640" t="s">
        <v>273</v>
      </c>
      <c r="E2118" s="1641">
        <v>2</v>
      </c>
      <c r="F2118" s="1643">
        <v>1.5</v>
      </c>
      <c r="G2118" s="1622">
        <v>0</v>
      </c>
      <c r="H2118" s="1622">
        <v>0.9</v>
      </c>
      <c r="I2118" s="1605">
        <f>ROUND(IF(AND(F2118:H2118),C2118*E2118*F2118*G2118*H2118,IF(AND(F2118,G2118),C2118*E2118*F2118*G2118,IF(AND(F2118,H2118),C2118*E2118*F2118*H2118,IF(AND(G2118,H2118),C2118*E2118*G2118*H2118,IF(F2118,C2118*E2118*F2118,IF(G2118,C2118*E2118*G2118,IF(H2118,C2118*E2118*H2118,C2118*E2118))))))),2)</f>
        <v>2.7</v>
      </c>
      <c r="J2118" s="1598" t="s">
        <v>102</v>
      </c>
      <c r="K2118" s="1585"/>
      <c r="L2118" s="1570"/>
      <c r="M2118" s="1585"/>
      <c r="N2118" s="1578" t="s">
        <v>2218</v>
      </c>
    </row>
    <row r="2119" spans="1:14" s="1586" customFormat="1" ht="16.5" customHeight="1">
      <c r="A2119" s="1570"/>
      <c r="B2119" s="1600"/>
      <c r="C2119" s="1601"/>
      <c r="D2119" s="1602"/>
      <c r="E2119" s="1603"/>
      <c r="F2119" s="1645"/>
      <c r="G2119" s="1604"/>
      <c r="H2119" s="1604"/>
      <c r="I2119" s="1605"/>
      <c r="J2119" s="1598"/>
      <c r="K2119" s="1585"/>
      <c r="L2119" s="1570"/>
      <c r="M2119" s="1585"/>
      <c r="N2119" s="1578" t="s">
        <v>2218</v>
      </c>
    </row>
    <row r="2120" spans="1:14" s="1575" customFormat="1" ht="15.75">
      <c r="A2120" s="1570"/>
      <c r="B2120" s="1585"/>
      <c r="C2120" s="1606"/>
      <c r="D2120" s="1587"/>
      <c r="E2120" s="1588"/>
      <c r="F2120" s="1589"/>
      <c r="G2120" s="1607"/>
      <c r="H2120" s="1570"/>
      <c r="I2120" s="1605">
        <f>SUM(I2116:I2119)</f>
        <v>10.98</v>
      </c>
      <c r="J2120" s="1598" t="s">
        <v>102</v>
      </c>
      <c r="K2120" s="1608">
        <f>data!G334</f>
        <v>2839.34</v>
      </c>
      <c r="L2120" s="1573" t="s">
        <v>2218</v>
      </c>
      <c r="M2120" s="1609">
        <f>ROUND(I2120*K2120,0)</f>
        <v>31176</v>
      </c>
      <c r="N2120" s="1578" t="s">
        <v>2218</v>
      </c>
    </row>
    <row r="2121" spans="1:14" ht="96.75" hidden="1" customHeight="1">
      <c r="A2121" s="1156">
        <v>4</v>
      </c>
      <c r="B2121" s="1826" t="s">
        <v>1638</v>
      </c>
      <c r="C2121" s="1826"/>
      <c r="D2121" s="1826"/>
      <c r="E2121" s="1826"/>
      <c r="F2121" s="1826"/>
      <c r="G2121" s="1826"/>
      <c r="H2121" s="1826"/>
      <c r="I2121" s="1157"/>
      <c r="J2121" s="1158"/>
      <c r="K2121" s="1156"/>
      <c r="L2121" s="1156"/>
      <c r="M2121" s="1160"/>
      <c r="N2121" s="1161" t="s">
        <v>2218</v>
      </c>
    </row>
    <row r="2122" spans="1:14" s="1170" customFormat="1" ht="16.5" hidden="1" customHeight="1">
      <c r="A2122" s="1156"/>
      <c r="B2122" s="1169" t="s">
        <v>2346</v>
      </c>
      <c r="C2122" s="1351"/>
      <c r="D2122" s="1418"/>
      <c r="E2122" s="1352"/>
      <c r="F2122" s="1234"/>
      <c r="G2122" s="1234"/>
      <c r="H2122" s="1235"/>
      <c r="I2122" s="1353"/>
      <c r="J2122" s="1168"/>
      <c r="K2122" s="1169"/>
      <c r="L2122" s="1156"/>
      <c r="M2122" s="1169"/>
      <c r="N2122" s="1161" t="s">
        <v>2218</v>
      </c>
    </row>
    <row r="2123" spans="1:14" s="1170" customFormat="1" ht="16.5" hidden="1" customHeight="1">
      <c r="A2123" s="1156"/>
      <c r="B2123" s="1331" t="s">
        <v>578</v>
      </c>
      <c r="C2123" s="1332">
        <v>1</v>
      </c>
      <c r="D2123" s="1333" t="s">
        <v>273</v>
      </c>
      <c r="E2123" s="1334">
        <v>1</v>
      </c>
      <c r="F2123" s="1550">
        <v>3.3</v>
      </c>
      <c r="G2123" s="1335">
        <v>0</v>
      </c>
      <c r="H2123" s="1335">
        <v>0.87</v>
      </c>
      <c r="I2123" s="1336">
        <f>ROUND(IF(AND(F2123:H2123),C2123*E2123*F2123*G2123*H2123,IF(AND(F2123,G2123),C2123*E2123*F2123*G2123,IF(AND(F2123,H2123),C2123*E2123*F2123*H2123,IF(AND(G2123,H2123),C2123*E2123*G2123*H2123,IF(F2123,C2123*E2123*F2123,IF(G2123,C2123*E2123*G2123,IF(H2123,C2123*E2123*H2123,C2123*E2123))))))),2)</f>
        <v>2.87</v>
      </c>
      <c r="J2123" s="1168" t="s">
        <v>102</v>
      </c>
      <c r="K2123" s="1169"/>
      <c r="L2123" s="1156"/>
      <c r="M2123" s="1169"/>
      <c r="N2123" s="1161" t="s">
        <v>2218</v>
      </c>
    </row>
    <row r="2124" spans="1:14" s="1170" customFormat="1" ht="16.5" hidden="1" customHeight="1">
      <c r="A2124" s="1156"/>
      <c r="B2124" s="1331"/>
      <c r="C2124" s="1332">
        <v>1</v>
      </c>
      <c r="D2124" s="1333" t="s">
        <v>273</v>
      </c>
      <c r="E2124" s="1334">
        <v>1</v>
      </c>
      <c r="F2124" s="1550">
        <v>1</v>
      </c>
      <c r="G2124" s="1335">
        <v>0</v>
      </c>
      <c r="H2124" s="1335">
        <v>0.87</v>
      </c>
      <c r="I2124" s="1336">
        <f>ROUND(IF(AND(F2124:H2124),C2124*E2124*F2124*G2124*H2124,IF(AND(F2124,G2124),C2124*E2124*F2124*G2124,IF(AND(F2124,H2124),C2124*E2124*F2124*H2124,IF(AND(G2124,H2124),C2124*E2124*G2124*H2124,IF(F2124,C2124*E2124*F2124,IF(G2124,C2124*E2124*G2124,IF(H2124,C2124*E2124*H2124,C2124*E2124))))))),2)</f>
        <v>0.87</v>
      </c>
      <c r="J2124" s="1168" t="s">
        <v>102</v>
      </c>
      <c r="K2124" s="1169"/>
      <c r="L2124" s="1156"/>
      <c r="M2124" s="1169"/>
      <c r="N2124" s="1161" t="s">
        <v>2218</v>
      </c>
    </row>
    <row r="2125" spans="1:14" s="1170" customFormat="1" ht="16.5" hidden="1" customHeight="1">
      <c r="A2125" s="1156"/>
      <c r="B2125" s="1331" t="s">
        <v>654</v>
      </c>
      <c r="C2125" s="1332">
        <v>1</v>
      </c>
      <c r="D2125" s="1333" t="s">
        <v>273</v>
      </c>
      <c r="E2125" s="1334">
        <v>1</v>
      </c>
      <c r="F2125" s="1550">
        <v>1.45</v>
      </c>
      <c r="G2125" s="1335">
        <v>0</v>
      </c>
      <c r="H2125" s="1335">
        <v>0.87</v>
      </c>
      <c r="I2125" s="1336">
        <f>ROUND(IF(AND(F2125:H2125),C2125*E2125*F2125*G2125*H2125,IF(AND(F2125,G2125),C2125*E2125*F2125*G2125,IF(AND(F2125,H2125),C2125*E2125*F2125*H2125,IF(AND(G2125,H2125),C2125*E2125*G2125*H2125,IF(F2125,C2125*E2125*F2125,IF(G2125,C2125*E2125*G2125,IF(H2125,C2125*E2125*H2125,C2125*E2125))))))),2)</f>
        <v>1.26</v>
      </c>
      <c r="J2125" s="1168" t="s">
        <v>102</v>
      </c>
      <c r="K2125" s="1169"/>
      <c r="L2125" s="1156"/>
      <c r="M2125" s="1169"/>
      <c r="N2125" s="1161" t="s">
        <v>2218</v>
      </c>
    </row>
    <row r="2126" spans="1:14" s="1170" customFormat="1" ht="16.5" hidden="1" customHeight="1">
      <c r="A2126" s="1156"/>
      <c r="B2126" s="1331"/>
      <c r="C2126" s="1332">
        <v>1</v>
      </c>
      <c r="D2126" s="1333" t="s">
        <v>273</v>
      </c>
      <c r="E2126" s="1334">
        <v>1</v>
      </c>
      <c r="F2126" s="1550">
        <v>2.57</v>
      </c>
      <c r="G2126" s="1335">
        <v>0</v>
      </c>
      <c r="H2126" s="1335">
        <v>0.87</v>
      </c>
      <c r="I2126" s="1336">
        <f>ROUND(IF(AND(F2126:H2126),C2126*E2126*F2126*G2126*H2126,IF(AND(F2126,G2126),C2126*E2126*F2126*G2126,IF(AND(F2126,H2126),C2126*E2126*F2126*H2126,IF(AND(G2126,H2126),C2126*E2126*G2126*H2126,IF(F2126,C2126*E2126*F2126,IF(G2126,C2126*E2126*G2126,IF(H2126,C2126*E2126*H2126,C2126*E2126))))))),2)</f>
        <v>2.2400000000000002</v>
      </c>
      <c r="J2126" s="1168" t="s">
        <v>102</v>
      </c>
      <c r="K2126" s="1169"/>
      <c r="L2126" s="1156"/>
      <c r="M2126" s="1169"/>
      <c r="N2126" s="1161" t="s">
        <v>2218</v>
      </c>
    </row>
    <row r="2127" spans="1:14" s="1170" customFormat="1" ht="16.5" hidden="1" customHeight="1">
      <c r="A2127" s="1156"/>
      <c r="B2127" s="1331"/>
      <c r="C2127" s="1332"/>
      <c r="D2127" s="1333"/>
      <c r="E2127" s="1334"/>
      <c r="F2127" s="1550"/>
      <c r="G2127" s="1335"/>
      <c r="H2127" s="1335"/>
      <c r="I2127" s="1336"/>
      <c r="J2127" s="1168"/>
      <c r="K2127" s="1169"/>
      <c r="L2127" s="1156"/>
      <c r="M2127" s="1169"/>
      <c r="N2127" s="1161" t="s">
        <v>2218</v>
      </c>
    </row>
    <row r="2128" spans="1:14" ht="15.75" hidden="1">
      <c r="A2128" s="1156"/>
      <c r="B2128" s="1169"/>
      <c r="C2128" s="1337"/>
      <c r="D2128" s="1171"/>
      <c r="E2128" s="1165"/>
      <c r="F2128" s="1166"/>
      <c r="G2128" s="1343"/>
      <c r="H2128" s="1156"/>
      <c r="I2128" s="1336"/>
      <c r="J2128" s="1168" t="s">
        <v>102</v>
      </c>
      <c r="K2128" s="1221">
        <f>data!G345</f>
        <v>1258.8900000000001</v>
      </c>
      <c r="L2128" s="1159" t="s">
        <v>2218</v>
      </c>
      <c r="M2128" s="1224">
        <f>ROUND(I2128*K2128,0)</f>
        <v>0</v>
      </c>
      <c r="N2128" s="1161" t="s">
        <v>2218</v>
      </c>
    </row>
    <row r="2129" spans="1:14" ht="31.5" hidden="1" customHeight="1">
      <c r="A2129" s="1156">
        <v>4</v>
      </c>
      <c r="B2129" s="1826" t="s">
        <v>2295</v>
      </c>
      <c r="C2129" s="1826"/>
      <c r="D2129" s="1826"/>
      <c r="E2129" s="1826"/>
      <c r="F2129" s="1826"/>
      <c r="G2129" s="1826"/>
      <c r="H2129" s="1826"/>
      <c r="I2129" s="1157"/>
      <c r="J2129" s="1158"/>
      <c r="K2129" s="1156"/>
      <c r="L2129" s="1156"/>
      <c r="M2129" s="1160"/>
      <c r="N2129" s="1161" t="s">
        <v>2218</v>
      </c>
    </row>
    <row r="2130" spans="1:14" s="1170" customFormat="1" ht="16.5" hidden="1" customHeight="1">
      <c r="A2130" s="1156"/>
      <c r="B2130" s="1169" t="s">
        <v>2346</v>
      </c>
      <c r="C2130" s="1351"/>
      <c r="D2130" s="1418"/>
      <c r="E2130" s="1352"/>
      <c r="F2130" s="1234"/>
      <c r="G2130" s="1234"/>
      <c r="H2130" s="1235"/>
      <c r="I2130" s="1353"/>
      <c r="J2130" s="1168"/>
      <c r="K2130" s="1169"/>
      <c r="L2130" s="1156"/>
      <c r="M2130" s="1169"/>
      <c r="N2130" s="1161" t="s">
        <v>2218</v>
      </c>
    </row>
    <row r="2131" spans="1:14" s="1170" customFormat="1" ht="16.5" hidden="1" customHeight="1">
      <c r="A2131" s="1156"/>
      <c r="B2131" s="1331"/>
      <c r="C2131" s="1332">
        <v>1</v>
      </c>
      <c r="D2131" s="1333" t="s">
        <v>273</v>
      </c>
      <c r="E2131" s="1334">
        <v>1</v>
      </c>
      <c r="F2131" s="1550">
        <v>0.5</v>
      </c>
      <c r="G2131" s="1335">
        <v>0</v>
      </c>
      <c r="H2131" s="1335">
        <v>0</v>
      </c>
      <c r="I2131" s="1336">
        <f>ROUND(IF(AND(F2131:H2131),C2131*E2131*F2131*G2131*H2131,IF(AND(F2131,G2131),C2131*E2131*F2131*G2131,IF(AND(F2131,H2131),C2131*E2131*F2131*H2131,IF(AND(G2131,H2131),C2131*E2131*G2131*H2131,IF(F2131,C2131*E2131*F2131,IF(G2131,C2131*E2131*G2131,IF(H2131,C2131*E2131*H2131,C2131*E2131))))))),2)</f>
        <v>0.5</v>
      </c>
      <c r="J2131" s="1168" t="s">
        <v>4</v>
      </c>
      <c r="K2131" s="1169"/>
      <c r="L2131" s="1156"/>
      <c r="M2131" s="1169"/>
      <c r="N2131" s="1161" t="s">
        <v>2218</v>
      </c>
    </row>
    <row r="2132" spans="1:14" s="1170" customFormat="1" ht="16.5" hidden="1" customHeight="1">
      <c r="A2132" s="1156"/>
      <c r="B2132" s="1331"/>
      <c r="C2132" s="1332"/>
      <c r="D2132" s="1333"/>
      <c r="E2132" s="1334"/>
      <c r="F2132" s="1550"/>
      <c r="G2132" s="1335"/>
      <c r="H2132" s="1335"/>
      <c r="I2132" s="1336"/>
      <c r="J2132" s="1168"/>
      <c r="K2132" s="1169"/>
      <c r="L2132" s="1156"/>
      <c r="M2132" s="1169"/>
      <c r="N2132" s="1161" t="s">
        <v>2218</v>
      </c>
    </row>
    <row r="2133" spans="1:14" ht="15.75" hidden="1">
      <c r="A2133" s="1156"/>
      <c r="B2133" s="1169"/>
      <c r="C2133" s="1337"/>
      <c r="D2133" s="1171"/>
      <c r="E2133" s="1165"/>
      <c r="F2133" s="1166"/>
      <c r="G2133" s="1343"/>
      <c r="H2133" s="1156"/>
      <c r="I2133" s="1336"/>
      <c r="J2133" s="1168" t="s">
        <v>4</v>
      </c>
      <c r="K2133" s="1221">
        <f>data!G349</f>
        <v>470.28</v>
      </c>
      <c r="L2133" s="1159" t="s">
        <v>2218</v>
      </c>
      <c r="M2133" s="1224">
        <f>ROUND(I2133*K2133,0)</f>
        <v>0</v>
      </c>
      <c r="N2133" s="1161" t="s">
        <v>2218</v>
      </c>
    </row>
    <row r="2134" spans="1:14" s="1575" customFormat="1" ht="30.75" customHeight="1">
      <c r="A2134" s="1570">
        <v>34</v>
      </c>
      <c r="B2134" s="1827" t="s">
        <v>958</v>
      </c>
      <c r="C2134" s="1827"/>
      <c r="D2134" s="1827"/>
      <c r="E2134" s="1827"/>
      <c r="F2134" s="1827"/>
      <c r="G2134" s="1827"/>
      <c r="H2134" s="1827"/>
      <c r="I2134" s="1571"/>
      <c r="J2134" s="1572"/>
      <c r="K2134" s="1570"/>
      <c r="L2134" s="1570"/>
      <c r="M2134" s="1577"/>
      <c r="N2134" s="1578" t="s">
        <v>2218</v>
      </c>
    </row>
    <row r="2135" spans="1:14" s="1586" customFormat="1" ht="16.5" customHeight="1">
      <c r="A2135" s="1570"/>
      <c r="B2135" s="1579" t="s">
        <v>3766</v>
      </c>
      <c r="C2135" s="1592"/>
      <c r="D2135" s="1790" t="s">
        <v>3872</v>
      </c>
      <c r="E2135" s="1594"/>
      <c r="F2135" s="1595"/>
      <c r="G2135" s="1595"/>
      <c r="H2135" s="1596"/>
      <c r="I2135" s="1597"/>
      <c r="J2135" s="1598"/>
      <c r="K2135" s="1585"/>
      <c r="L2135" s="1570"/>
      <c r="M2135" s="1585"/>
      <c r="N2135" s="1578" t="s">
        <v>2218</v>
      </c>
    </row>
    <row r="2136" spans="1:14" s="1586" customFormat="1" ht="16.5" customHeight="1">
      <c r="A2136" s="1570"/>
      <c r="B2136" s="1638"/>
      <c r="C2136" s="1639">
        <v>1</v>
      </c>
      <c r="D2136" s="1640" t="s">
        <v>273</v>
      </c>
      <c r="E2136" s="1641">
        <v>3</v>
      </c>
      <c r="F2136" s="1643">
        <v>3.5</v>
      </c>
      <c r="G2136" s="1622">
        <v>0</v>
      </c>
      <c r="H2136" s="1622">
        <v>0</v>
      </c>
      <c r="I2136" s="1605">
        <f>ROUND(IF(AND(F2136:H2136),C2136*E2136*F2136*G2136*H2136,IF(AND(F2136,G2136),C2136*E2136*F2136*G2136,IF(AND(F2136,H2136),C2136*E2136*F2136*H2136,IF(AND(G2136,H2136),C2136*E2136*G2136*H2136,IF(F2136,C2136*E2136*F2136,IF(G2136,C2136*E2136*G2136,IF(H2136,C2136*E2136*H2136,C2136*E2136))))))),2)</f>
        <v>10.5</v>
      </c>
      <c r="J2136" s="1598" t="s">
        <v>277</v>
      </c>
      <c r="K2136" s="1585"/>
      <c r="L2136" s="1570"/>
      <c r="M2136" s="1585"/>
      <c r="N2136" s="1578" t="s">
        <v>2218</v>
      </c>
    </row>
    <row r="2137" spans="1:14" s="1586" customFormat="1" ht="16.5" customHeight="1">
      <c r="A2137" s="1570"/>
      <c r="B2137" s="1600"/>
      <c r="C2137" s="1601"/>
      <c r="D2137" s="1602"/>
      <c r="E2137" s="1603"/>
      <c r="F2137" s="1645"/>
      <c r="G2137" s="1604"/>
      <c r="H2137" s="1604"/>
      <c r="I2137" s="1605"/>
      <c r="J2137" s="1598"/>
      <c r="K2137" s="1585"/>
      <c r="L2137" s="1570"/>
      <c r="M2137" s="1585"/>
      <c r="N2137" s="1578" t="s">
        <v>2218</v>
      </c>
    </row>
    <row r="2138" spans="1:14" s="1575" customFormat="1" ht="15.75">
      <c r="A2138" s="1570"/>
      <c r="B2138" s="1585"/>
      <c r="C2138" s="1606"/>
      <c r="D2138" s="1587"/>
      <c r="E2138" s="1588"/>
      <c r="F2138" s="1589"/>
      <c r="G2138" s="1607"/>
      <c r="H2138" s="1570"/>
      <c r="I2138" s="1605">
        <f>SUM(I2136:I2137)</f>
        <v>10.5</v>
      </c>
      <c r="J2138" s="1598" t="s">
        <v>277</v>
      </c>
      <c r="K2138" s="1608">
        <f>data!G624</f>
        <v>412</v>
      </c>
      <c r="L2138" s="1573" t="s">
        <v>2218</v>
      </c>
      <c r="M2138" s="1609">
        <f>ROUND(I2138*K2138,0)</f>
        <v>4326</v>
      </c>
      <c r="N2138" s="1578" t="s">
        <v>2218</v>
      </c>
    </row>
    <row r="2139" spans="1:14" s="1320" customFormat="1" ht="15.75" hidden="1">
      <c r="A2139" s="1212"/>
      <c r="B2139" s="1212" t="s">
        <v>2220</v>
      </c>
      <c r="C2139" s="1212"/>
      <c r="D2139" s="1212"/>
      <c r="E2139" s="1212"/>
      <c r="F2139" s="1240"/>
      <c r="G2139" s="1240"/>
      <c r="H2139" s="1212"/>
      <c r="I2139" s="1546"/>
      <c r="J2139" s="1547"/>
      <c r="K2139" s="1212"/>
      <c r="L2139" s="1212"/>
      <c r="M2139" s="1212"/>
      <c r="N2139" s="1161" t="s">
        <v>2306</v>
      </c>
    </row>
    <row r="2140" spans="1:14" ht="72" hidden="1" customHeight="1">
      <c r="A2140" s="1156">
        <v>42</v>
      </c>
      <c r="B2140" s="1826" t="s">
        <v>803</v>
      </c>
      <c r="C2140" s="1826"/>
      <c r="D2140" s="1826"/>
      <c r="E2140" s="1826"/>
      <c r="F2140" s="1826"/>
      <c r="G2140" s="1826"/>
      <c r="H2140" s="1826"/>
      <c r="I2140" s="1157"/>
      <c r="J2140" s="1158"/>
      <c r="K2140" s="1156"/>
      <c r="L2140" s="1156"/>
      <c r="M2140" s="1160"/>
      <c r="N2140" s="1161" t="s">
        <v>2306</v>
      </c>
    </row>
    <row r="2141" spans="1:14" s="1170" customFormat="1" ht="15.75" hidden="1">
      <c r="A2141" s="1156"/>
      <c r="B2141" s="1169" t="s">
        <v>3543</v>
      </c>
      <c r="C2141" s="1351"/>
      <c r="D2141" s="1548" t="s">
        <v>3647</v>
      </c>
      <c r="E2141" s="1352"/>
      <c r="F2141" s="1234"/>
      <c r="G2141" s="1234"/>
      <c r="H2141" s="1235"/>
      <c r="I2141" s="1353"/>
      <c r="J2141" s="1168"/>
      <c r="K2141" s="1169"/>
      <c r="L2141" s="1156"/>
      <c r="M2141" s="1169"/>
      <c r="N2141" s="1161" t="s">
        <v>2306</v>
      </c>
    </row>
    <row r="2142" spans="1:14" s="1170" customFormat="1" ht="15.75" hidden="1">
      <c r="A2142" s="1156"/>
      <c r="B2142" s="1359" t="s">
        <v>2542</v>
      </c>
      <c r="C2142" s="1360">
        <v>1</v>
      </c>
      <c r="D2142" s="1361" t="s">
        <v>273</v>
      </c>
      <c r="E2142" s="1362">
        <v>1</v>
      </c>
      <c r="F2142" s="1363">
        <v>0</v>
      </c>
      <c r="G2142" s="1363">
        <v>0</v>
      </c>
      <c r="H2142" s="1363">
        <v>0</v>
      </c>
      <c r="I2142" s="1421">
        <f>ROUND(IF(AND(F2142:H2142),C2142*E2142*F2142*G2142*H2142,IF(AND(F2142,G2142),C2142*E2142*F2142*G2142,IF(AND(F2142,H2142),C2142*E2142*F2142*H2142,IF(AND(G2142,H2142),C2142*E2142*G2142*H2142,IF(F2142,C2142*E2142*F2142,IF(G2142,C2142*E2142*G2142,IF(H2142,C2142*E2142*H2142,C2142*E2142))))))),2)</f>
        <v>1</v>
      </c>
      <c r="J2142" s="1168" t="s">
        <v>115</v>
      </c>
      <c r="K2142" s="1169"/>
      <c r="L2142" s="1156"/>
      <c r="M2142" s="1169"/>
      <c r="N2142" s="1161" t="s">
        <v>2306</v>
      </c>
    </row>
    <row r="2143" spans="1:14" s="1170" customFormat="1" ht="15.75" hidden="1">
      <c r="A2143" s="1156"/>
      <c r="B2143" s="1331"/>
      <c r="C2143" s="1332"/>
      <c r="D2143" s="1333"/>
      <c r="E2143" s="1334"/>
      <c r="F2143" s="1335"/>
      <c r="G2143" s="1335"/>
      <c r="H2143" s="1335"/>
      <c r="I2143" s="1421"/>
      <c r="J2143" s="1168"/>
      <c r="K2143" s="1169"/>
      <c r="L2143" s="1156"/>
      <c r="M2143" s="1169"/>
      <c r="N2143" s="1161" t="s">
        <v>2306</v>
      </c>
    </row>
    <row r="2144" spans="1:14" ht="15.75" hidden="1">
      <c r="A2144" s="1156"/>
      <c r="B2144" s="1169"/>
      <c r="C2144" s="1337"/>
      <c r="D2144" s="1171"/>
      <c r="E2144" s="1165"/>
      <c r="F2144" s="1166"/>
      <c r="G2144" s="1343"/>
      <c r="H2144" s="1156"/>
      <c r="I2144" s="1421"/>
      <c r="J2144" s="1168" t="s">
        <v>115</v>
      </c>
      <c r="K2144" s="1221">
        <f>'D&amp;W data'!H260</f>
        <v>20396.340000000004</v>
      </c>
      <c r="L2144" s="1159" t="s">
        <v>2306</v>
      </c>
      <c r="M2144" s="1224">
        <f>ROUND(I2144*K2144,0)</f>
        <v>0</v>
      </c>
      <c r="N2144" s="1161" t="s">
        <v>2306</v>
      </c>
    </row>
    <row r="2145" spans="1:14" ht="41.25" hidden="1" customHeight="1">
      <c r="A2145" s="1156">
        <v>2</v>
      </c>
      <c r="B2145" s="1826" t="s">
        <v>2782</v>
      </c>
      <c r="C2145" s="1826"/>
      <c r="D2145" s="1826"/>
      <c r="E2145" s="1826"/>
      <c r="F2145" s="1826"/>
      <c r="G2145" s="1826"/>
      <c r="H2145" s="1826"/>
      <c r="I2145" s="1157"/>
      <c r="J2145" s="1158"/>
      <c r="K2145" s="1156"/>
      <c r="L2145" s="1156"/>
      <c r="M2145" s="1160"/>
      <c r="N2145" s="1161" t="s">
        <v>2306</v>
      </c>
    </row>
    <row r="2146" spans="1:14" s="1170" customFormat="1" ht="15.75" hidden="1">
      <c r="A2146" s="1156"/>
      <c r="B2146" s="1169" t="s">
        <v>2784</v>
      </c>
      <c r="C2146" s="1351" t="s">
        <v>2758</v>
      </c>
      <c r="D2146" s="1418"/>
      <c r="E2146" s="1352"/>
      <c r="F2146" s="1234"/>
      <c r="G2146" s="1234"/>
      <c r="H2146" s="1235"/>
      <c r="I2146" s="1353"/>
      <c r="J2146" s="1168"/>
      <c r="K2146" s="1169"/>
      <c r="L2146" s="1156"/>
      <c r="M2146" s="1169"/>
      <c r="N2146" s="1161" t="s">
        <v>2306</v>
      </c>
    </row>
    <row r="2147" spans="1:14" s="1170" customFormat="1" ht="15.75" hidden="1">
      <c r="A2147" s="1156"/>
      <c r="B2147" s="1331"/>
      <c r="C2147" s="1332">
        <v>1</v>
      </c>
      <c r="D2147" s="1333" t="s">
        <v>273</v>
      </c>
      <c r="E2147" s="1334">
        <v>3</v>
      </c>
      <c r="F2147" s="1335">
        <v>0</v>
      </c>
      <c r="G2147" s="1335">
        <v>0</v>
      </c>
      <c r="H2147" s="1335">
        <v>0</v>
      </c>
      <c r="I2147" s="1421">
        <f>ROUND(IF(AND(F2147:H2147),C2147*E2147*F2147*G2147*H2147,IF(AND(F2147,G2147),C2147*E2147*F2147*G2147,IF(AND(F2147,H2147),C2147*E2147*F2147*H2147,IF(AND(G2147,H2147),C2147*E2147*G2147*H2147,IF(F2147,C2147*E2147*F2147,IF(G2147,C2147*E2147*G2147,IF(H2147,C2147*E2147*H2147,C2147*E2147))))))),2)</f>
        <v>3</v>
      </c>
      <c r="J2147" s="1168" t="s">
        <v>115</v>
      </c>
      <c r="K2147" s="1169"/>
      <c r="L2147" s="1156"/>
      <c r="M2147" s="1169"/>
      <c r="N2147" s="1161" t="s">
        <v>2306</v>
      </c>
    </row>
    <row r="2148" spans="1:14" s="1170" customFormat="1" ht="15.75" hidden="1">
      <c r="A2148" s="1156"/>
      <c r="B2148" s="1331"/>
      <c r="C2148" s="1332"/>
      <c r="D2148" s="1333"/>
      <c r="E2148" s="1334"/>
      <c r="F2148" s="1335"/>
      <c r="G2148" s="1335"/>
      <c r="H2148" s="1335"/>
      <c r="I2148" s="1421"/>
      <c r="J2148" s="1168"/>
      <c r="K2148" s="1169"/>
      <c r="L2148" s="1156"/>
      <c r="M2148" s="1169"/>
      <c r="N2148" s="1161" t="s">
        <v>2306</v>
      </c>
    </row>
    <row r="2149" spans="1:14" ht="15.75" hidden="1">
      <c r="A2149" s="1156"/>
      <c r="B2149" s="1169"/>
      <c r="C2149" s="1337"/>
      <c r="D2149" s="1171"/>
      <c r="E2149" s="1165"/>
      <c r="F2149" s="1166"/>
      <c r="G2149" s="1343"/>
      <c r="H2149" s="1156"/>
      <c r="I2149" s="1421"/>
      <c r="J2149" s="1168" t="s">
        <v>115</v>
      </c>
      <c r="K2149" s="1221">
        <f>'D&amp;W data'!H278</f>
        <v>4180.6099999999997</v>
      </c>
      <c r="L2149" s="1159" t="s">
        <v>2306</v>
      </c>
      <c r="M2149" s="1224">
        <f>ROUND(I2149*K2149,0)</f>
        <v>0</v>
      </c>
      <c r="N2149" s="1161" t="s">
        <v>2306</v>
      </c>
    </row>
    <row r="2150" spans="1:14" ht="72" hidden="1" customHeight="1">
      <c r="A2150" s="1156">
        <v>3</v>
      </c>
      <c r="B2150" s="1826" t="s">
        <v>2210</v>
      </c>
      <c r="C2150" s="1826"/>
      <c r="D2150" s="1826"/>
      <c r="E2150" s="1826"/>
      <c r="F2150" s="1826"/>
      <c r="G2150" s="1826"/>
      <c r="H2150" s="1826"/>
      <c r="I2150" s="1157"/>
      <c r="J2150" s="1158"/>
      <c r="K2150" s="1156"/>
      <c r="L2150" s="1156"/>
      <c r="M2150" s="1160"/>
      <c r="N2150" s="1161" t="s">
        <v>2306</v>
      </c>
    </row>
    <row r="2151" spans="1:14" s="1170" customFormat="1" ht="15.75" hidden="1">
      <c r="A2151" s="1156"/>
      <c r="B2151" s="1169" t="s">
        <v>2570</v>
      </c>
      <c r="C2151" s="1351"/>
      <c r="D2151" s="1418"/>
      <c r="E2151" s="1352"/>
      <c r="F2151" s="1234"/>
      <c r="G2151" s="1234"/>
      <c r="H2151" s="1235"/>
      <c r="I2151" s="1353"/>
      <c r="J2151" s="1168"/>
      <c r="K2151" s="1169"/>
      <c r="L2151" s="1156"/>
      <c r="M2151" s="1169"/>
      <c r="N2151" s="1161" t="s">
        <v>2306</v>
      </c>
    </row>
    <row r="2152" spans="1:14" s="1170" customFormat="1" ht="15.75" hidden="1">
      <c r="A2152" s="1156"/>
      <c r="B2152" s="1331"/>
      <c r="C2152" s="1332">
        <v>1</v>
      </c>
      <c r="D2152" s="1333" t="s">
        <v>273</v>
      </c>
      <c r="E2152" s="1334">
        <v>1</v>
      </c>
      <c r="F2152" s="1335">
        <v>0</v>
      </c>
      <c r="G2152" s="1335">
        <v>0</v>
      </c>
      <c r="H2152" s="1335">
        <v>0</v>
      </c>
      <c r="I2152" s="1421">
        <f>ROUND(IF(AND(F2152:H2152),C2152*E2152*F2152*G2152*H2152,IF(AND(F2152,G2152),C2152*E2152*F2152*G2152,IF(AND(F2152,H2152),C2152*E2152*F2152*H2152,IF(AND(G2152,H2152),C2152*E2152*G2152*H2152,IF(F2152,C2152*E2152*F2152,IF(G2152,C2152*E2152*G2152,IF(H2152,C2152*E2152*H2152,C2152*E2152))))))),2)</f>
        <v>1</v>
      </c>
      <c r="J2152" s="1168" t="s">
        <v>115</v>
      </c>
      <c r="K2152" s="1169"/>
      <c r="L2152" s="1156"/>
      <c r="M2152" s="1169"/>
      <c r="N2152" s="1161" t="s">
        <v>2306</v>
      </c>
    </row>
    <row r="2153" spans="1:14" s="1170" customFormat="1" ht="15.75" hidden="1">
      <c r="A2153" s="1156"/>
      <c r="B2153" s="1331"/>
      <c r="C2153" s="1332"/>
      <c r="D2153" s="1333"/>
      <c r="E2153" s="1334"/>
      <c r="F2153" s="1335"/>
      <c r="G2153" s="1335"/>
      <c r="H2153" s="1335"/>
      <c r="I2153" s="1421"/>
      <c r="J2153" s="1168"/>
      <c r="K2153" s="1169"/>
      <c r="L2153" s="1156"/>
      <c r="M2153" s="1169"/>
      <c r="N2153" s="1161" t="s">
        <v>2306</v>
      </c>
    </row>
    <row r="2154" spans="1:14" ht="15.75" hidden="1">
      <c r="A2154" s="1156"/>
      <c r="B2154" s="1169"/>
      <c r="C2154" s="1337"/>
      <c r="D2154" s="1171"/>
      <c r="E2154" s="1165"/>
      <c r="F2154" s="1166"/>
      <c r="G2154" s="1343"/>
      <c r="H2154" s="1156"/>
      <c r="I2154" s="1421"/>
      <c r="J2154" s="1168" t="s">
        <v>115</v>
      </c>
      <c r="K2154" s="1221">
        <f>'D&amp;W data'!H296</f>
        <v>9855.7799999999988</v>
      </c>
      <c r="L2154" s="1159" t="s">
        <v>2306</v>
      </c>
      <c r="M2154" s="1224">
        <f>ROUND(I2154*K2154,0)</f>
        <v>0</v>
      </c>
      <c r="N2154" s="1161" t="s">
        <v>2306</v>
      </c>
    </row>
    <row r="2155" spans="1:14" ht="71.25" hidden="1" customHeight="1">
      <c r="A2155" s="1156">
        <v>2</v>
      </c>
      <c r="B2155" s="1826" t="s">
        <v>1634</v>
      </c>
      <c r="C2155" s="1826"/>
      <c r="D2155" s="1826"/>
      <c r="E2155" s="1826"/>
      <c r="F2155" s="1826"/>
      <c r="G2155" s="1826"/>
      <c r="H2155" s="1826"/>
      <c r="I2155" s="1157"/>
      <c r="J2155" s="1158"/>
      <c r="K2155" s="1156"/>
      <c r="L2155" s="1156"/>
      <c r="M2155" s="1160"/>
      <c r="N2155" s="1161" t="s">
        <v>2306</v>
      </c>
    </row>
    <row r="2156" spans="1:14" s="1170" customFormat="1" ht="15.75" hidden="1">
      <c r="A2156" s="1156"/>
      <c r="B2156" s="1163" t="s">
        <v>2330</v>
      </c>
      <c r="C2156" s="1351"/>
      <c r="D2156" s="1418"/>
      <c r="E2156" s="1352"/>
      <c r="F2156" s="1234"/>
      <c r="G2156" s="1234"/>
      <c r="H2156" s="1235"/>
      <c r="I2156" s="1353"/>
      <c r="J2156" s="1168"/>
      <c r="K2156" s="1169"/>
      <c r="L2156" s="1156"/>
      <c r="M2156" s="1169"/>
      <c r="N2156" s="1161" t="s">
        <v>2306</v>
      </c>
    </row>
    <row r="2157" spans="1:14" s="1170" customFormat="1" ht="15.75" hidden="1">
      <c r="A2157" s="1156"/>
      <c r="B2157" s="1331" t="s">
        <v>583</v>
      </c>
      <c r="C2157" s="1332">
        <v>1</v>
      </c>
      <c r="D2157" s="1333" t="s">
        <v>273</v>
      </c>
      <c r="E2157" s="1334">
        <v>1</v>
      </c>
      <c r="F2157" s="1335">
        <v>0</v>
      </c>
      <c r="G2157" s="1335">
        <v>0</v>
      </c>
      <c r="H2157" s="1335">
        <v>0</v>
      </c>
      <c r="I2157" s="1336">
        <f>ROUND(IF(AND(F2157:H2157),C2157*E2157*F2157*G2157*H2157,IF(AND(F2157,G2157),C2157*E2157*F2157*G2157,IF(AND(F2157,H2157),C2157*E2157*F2157*H2157,IF(AND(G2157,H2157),C2157*E2157*G2157*H2157,IF(F2157,C2157*E2157*F2157,IF(G2157,C2157*E2157*G2157,IF(H2157,C2157*E2157*H2157,C2157*E2157))))))),2)</f>
        <v>1</v>
      </c>
      <c r="J2157" s="1168" t="s">
        <v>115</v>
      </c>
      <c r="K2157" s="1169"/>
      <c r="L2157" s="1156"/>
      <c r="M2157" s="1169"/>
      <c r="N2157" s="1161" t="s">
        <v>2306</v>
      </c>
    </row>
    <row r="2158" spans="1:14" s="1170" customFormat="1" ht="15.75" hidden="1">
      <c r="A2158" s="1156"/>
      <c r="B2158" s="1331"/>
      <c r="C2158" s="1332"/>
      <c r="D2158" s="1333"/>
      <c r="E2158" s="1334"/>
      <c r="F2158" s="1335"/>
      <c r="G2158" s="1335"/>
      <c r="H2158" s="1335"/>
      <c r="I2158" s="1336"/>
      <c r="J2158" s="1168"/>
      <c r="K2158" s="1169"/>
      <c r="L2158" s="1156"/>
      <c r="M2158" s="1169"/>
      <c r="N2158" s="1161" t="s">
        <v>2306</v>
      </c>
    </row>
    <row r="2159" spans="1:14" ht="15.75" hidden="1">
      <c r="A2159" s="1156"/>
      <c r="B2159" s="1169"/>
      <c r="C2159" s="1337"/>
      <c r="D2159" s="1171"/>
      <c r="E2159" s="1165"/>
      <c r="F2159" s="1166"/>
      <c r="G2159" s="1343"/>
      <c r="H2159" s="1156"/>
      <c r="I2159" s="1336"/>
      <c r="J2159" s="1168" t="s">
        <v>115</v>
      </c>
      <c r="K2159" s="1221">
        <f>'D&amp;W data'!H315</f>
        <v>14099.53</v>
      </c>
      <c r="L2159" s="1159" t="s">
        <v>2306</v>
      </c>
      <c r="M2159" s="1224">
        <f>ROUND(I2159*K2159,0)</f>
        <v>0</v>
      </c>
      <c r="N2159" s="1161" t="s">
        <v>2306</v>
      </c>
    </row>
    <row r="2160" spans="1:14" ht="71.25" hidden="1" customHeight="1">
      <c r="A2160" s="1156">
        <v>3</v>
      </c>
      <c r="B2160" s="1826" t="s">
        <v>1635</v>
      </c>
      <c r="C2160" s="1826"/>
      <c r="D2160" s="1826"/>
      <c r="E2160" s="1826"/>
      <c r="F2160" s="1826"/>
      <c r="G2160" s="1826"/>
      <c r="H2160" s="1826"/>
      <c r="I2160" s="1157"/>
      <c r="J2160" s="1158"/>
      <c r="K2160" s="1156"/>
      <c r="L2160" s="1156"/>
      <c r="M2160" s="1160"/>
      <c r="N2160" s="1161" t="s">
        <v>2306</v>
      </c>
    </row>
    <row r="2161" spans="1:14" s="1170" customFormat="1" ht="15.75" hidden="1">
      <c r="A2161" s="1156"/>
      <c r="B2161" s="1163" t="s">
        <v>2327</v>
      </c>
      <c r="C2161" s="1351"/>
      <c r="D2161" s="1418"/>
      <c r="E2161" s="1352"/>
      <c r="F2161" s="1234"/>
      <c r="G2161" s="1234"/>
      <c r="H2161" s="1235"/>
      <c r="I2161" s="1353"/>
      <c r="J2161" s="1168"/>
      <c r="K2161" s="1169"/>
      <c r="L2161" s="1156"/>
      <c r="M2161" s="1169"/>
      <c r="N2161" s="1161" t="s">
        <v>2306</v>
      </c>
    </row>
    <row r="2162" spans="1:14" s="1170" customFormat="1" ht="15.75" hidden="1">
      <c r="A2162" s="1156"/>
      <c r="B2162" s="1331" t="s">
        <v>583</v>
      </c>
      <c r="C2162" s="1332">
        <v>1</v>
      </c>
      <c r="D2162" s="1333" t="s">
        <v>273</v>
      </c>
      <c r="E2162" s="1334">
        <v>1</v>
      </c>
      <c r="F2162" s="1335">
        <v>0</v>
      </c>
      <c r="G2162" s="1335">
        <v>0</v>
      </c>
      <c r="H2162" s="1335">
        <v>0</v>
      </c>
      <c r="I2162" s="1336">
        <f>ROUND(IF(AND(F2162:H2162),C2162*E2162*F2162*G2162*H2162,IF(AND(F2162,G2162),C2162*E2162*F2162*G2162,IF(AND(F2162,H2162),C2162*E2162*F2162*H2162,IF(AND(G2162,H2162),C2162*E2162*G2162*H2162,IF(F2162,C2162*E2162*F2162,IF(G2162,C2162*E2162*G2162,IF(H2162,C2162*E2162*H2162,C2162*E2162))))))),2)</f>
        <v>1</v>
      </c>
      <c r="J2162" s="1168" t="s">
        <v>115</v>
      </c>
      <c r="K2162" s="1169"/>
      <c r="L2162" s="1156"/>
      <c r="M2162" s="1169"/>
      <c r="N2162" s="1161" t="s">
        <v>2306</v>
      </c>
    </row>
    <row r="2163" spans="1:14" s="1170" customFormat="1" ht="15.75" hidden="1">
      <c r="A2163" s="1156"/>
      <c r="B2163" s="1331"/>
      <c r="C2163" s="1332"/>
      <c r="D2163" s="1333"/>
      <c r="E2163" s="1334"/>
      <c r="F2163" s="1335"/>
      <c r="G2163" s="1335"/>
      <c r="H2163" s="1335"/>
      <c r="I2163" s="1336"/>
      <c r="J2163" s="1168"/>
      <c r="K2163" s="1169"/>
      <c r="L2163" s="1156"/>
      <c r="M2163" s="1169"/>
      <c r="N2163" s="1161" t="s">
        <v>2306</v>
      </c>
    </row>
    <row r="2164" spans="1:14" ht="15.75" hidden="1">
      <c r="A2164" s="1156"/>
      <c r="B2164" s="1169"/>
      <c r="C2164" s="1337"/>
      <c r="D2164" s="1171"/>
      <c r="E2164" s="1165"/>
      <c r="F2164" s="1166"/>
      <c r="G2164" s="1343"/>
      <c r="H2164" s="1156"/>
      <c r="I2164" s="1336"/>
      <c r="J2164" s="1168" t="s">
        <v>115</v>
      </c>
      <c r="K2164" s="1221">
        <f>'D&amp;W data'!H334</f>
        <v>13359.1</v>
      </c>
      <c r="L2164" s="1159" t="s">
        <v>2306</v>
      </c>
      <c r="M2164" s="1224">
        <f>ROUND(I2164*K2164,0)</f>
        <v>0</v>
      </c>
      <c r="N2164" s="1161" t="s">
        <v>2306</v>
      </c>
    </row>
    <row r="2165" spans="1:14" ht="71.25" hidden="1" customHeight="1">
      <c r="A2165" s="1156">
        <v>3</v>
      </c>
      <c r="B2165" s="1826" t="s">
        <v>2144</v>
      </c>
      <c r="C2165" s="1826"/>
      <c r="D2165" s="1826"/>
      <c r="E2165" s="1826"/>
      <c r="F2165" s="1826"/>
      <c r="G2165" s="1826"/>
      <c r="H2165" s="1826"/>
      <c r="I2165" s="1157"/>
      <c r="J2165" s="1158"/>
      <c r="K2165" s="1156"/>
      <c r="L2165" s="1156"/>
      <c r="M2165" s="1160"/>
      <c r="N2165" s="1161" t="s">
        <v>2306</v>
      </c>
    </row>
    <row r="2166" spans="1:14" s="1170" customFormat="1" ht="15.75" hidden="1">
      <c r="A2166" s="1156"/>
      <c r="B2166" s="1169" t="s">
        <v>2192</v>
      </c>
      <c r="C2166" s="1351"/>
      <c r="D2166" s="1418"/>
      <c r="E2166" s="1352"/>
      <c r="F2166" s="1234"/>
      <c r="G2166" s="1234"/>
      <c r="H2166" s="1235"/>
      <c r="I2166" s="1353"/>
      <c r="J2166" s="1168"/>
      <c r="K2166" s="1169"/>
      <c r="L2166" s="1156"/>
      <c r="M2166" s="1169"/>
      <c r="N2166" s="1161" t="s">
        <v>2306</v>
      </c>
    </row>
    <row r="2167" spans="1:14" s="1170" customFormat="1" ht="15.75" hidden="1">
      <c r="A2167" s="1156"/>
      <c r="B2167" s="1331" t="s">
        <v>2193</v>
      </c>
      <c r="C2167" s="1332">
        <v>1</v>
      </c>
      <c r="D2167" s="1333" t="s">
        <v>273</v>
      </c>
      <c r="E2167" s="1334">
        <v>5</v>
      </c>
      <c r="F2167" s="1335">
        <v>0</v>
      </c>
      <c r="G2167" s="1335">
        <v>0</v>
      </c>
      <c r="H2167" s="1335">
        <v>0</v>
      </c>
      <c r="I2167" s="1336">
        <f>ROUND(IF(AND(F2167:H2167),C2167*E2167*F2167*G2167*H2167,IF(AND(F2167,G2167),C2167*E2167*F2167*G2167,IF(AND(F2167,H2167),C2167*E2167*F2167*H2167,IF(AND(G2167,H2167),C2167*E2167*G2167*H2167,IF(F2167,C2167*E2167*F2167,IF(G2167,C2167*E2167*G2167,IF(H2167,C2167*E2167*H2167,C2167*E2167))))))),2)</f>
        <v>5</v>
      </c>
      <c r="J2167" s="1168" t="s">
        <v>115</v>
      </c>
      <c r="K2167" s="1169"/>
      <c r="L2167" s="1156"/>
      <c r="M2167" s="1169"/>
      <c r="N2167" s="1161" t="s">
        <v>2306</v>
      </c>
    </row>
    <row r="2168" spans="1:14" s="1170" customFormat="1" ht="15.75" hidden="1">
      <c r="A2168" s="1156"/>
      <c r="B2168" s="1331"/>
      <c r="C2168" s="1332"/>
      <c r="D2168" s="1333"/>
      <c r="E2168" s="1334"/>
      <c r="F2168" s="1335"/>
      <c r="G2168" s="1335"/>
      <c r="H2168" s="1335"/>
      <c r="I2168" s="1336"/>
      <c r="J2168" s="1168"/>
      <c r="K2168" s="1169"/>
      <c r="L2168" s="1156"/>
      <c r="M2168" s="1169"/>
      <c r="N2168" s="1161" t="s">
        <v>2306</v>
      </c>
    </row>
    <row r="2169" spans="1:14" ht="15.75" hidden="1">
      <c r="A2169" s="1156"/>
      <c r="B2169" s="1169"/>
      <c r="C2169" s="1337"/>
      <c r="D2169" s="1171"/>
      <c r="E2169" s="1165"/>
      <c r="F2169" s="1166"/>
      <c r="G2169" s="1343"/>
      <c r="H2169" s="1156"/>
      <c r="I2169" s="1336"/>
      <c r="J2169" s="1168" t="s">
        <v>115</v>
      </c>
      <c r="K2169" s="1221">
        <f>'D&amp;W data'!H429</f>
        <v>8905.99</v>
      </c>
      <c r="L2169" s="1159" t="s">
        <v>2306</v>
      </c>
      <c r="M2169" s="1224">
        <f>ROUND(I2169*K2169,0)</f>
        <v>0</v>
      </c>
      <c r="N2169" s="1161" t="s">
        <v>2306</v>
      </c>
    </row>
    <row r="2170" spans="1:14" ht="71.25" hidden="1" customHeight="1">
      <c r="A2170" s="1156">
        <v>3</v>
      </c>
      <c r="B2170" s="1826" t="s">
        <v>1636</v>
      </c>
      <c r="C2170" s="1826"/>
      <c r="D2170" s="1826"/>
      <c r="E2170" s="1826"/>
      <c r="F2170" s="1826"/>
      <c r="G2170" s="1826"/>
      <c r="H2170" s="1826"/>
      <c r="I2170" s="1157"/>
      <c r="J2170" s="1158"/>
      <c r="K2170" s="1156"/>
      <c r="L2170" s="1156"/>
      <c r="M2170" s="1160"/>
      <c r="N2170" s="1161" t="s">
        <v>2306</v>
      </c>
    </row>
    <row r="2171" spans="1:14" s="1170" customFormat="1" ht="15.75" hidden="1">
      <c r="A2171" s="1156"/>
      <c r="B2171" s="1169" t="s">
        <v>2337</v>
      </c>
      <c r="C2171" s="1351"/>
      <c r="D2171" s="1418"/>
      <c r="E2171" s="1352"/>
      <c r="F2171" s="1234"/>
      <c r="G2171" s="1234"/>
      <c r="H2171" s="1235"/>
      <c r="I2171" s="1353"/>
      <c r="J2171" s="1168"/>
      <c r="K2171" s="1169"/>
      <c r="L2171" s="1156"/>
      <c r="M2171" s="1169"/>
      <c r="N2171" s="1161" t="s">
        <v>2306</v>
      </c>
    </row>
    <row r="2172" spans="1:14" s="1170" customFormat="1" ht="15.75" hidden="1">
      <c r="A2172" s="1156"/>
      <c r="B2172" s="1331" t="s">
        <v>583</v>
      </c>
      <c r="C2172" s="1332">
        <v>1</v>
      </c>
      <c r="D2172" s="1333" t="s">
        <v>273</v>
      </c>
      <c r="E2172" s="1334">
        <v>1</v>
      </c>
      <c r="F2172" s="1335">
        <v>0</v>
      </c>
      <c r="G2172" s="1335">
        <v>0</v>
      </c>
      <c r="H2172" s="1335">
        <v>0</v>
      </c>
      <c r="I2172" s="1336">
        <f>ROUND(IF(AND(F2172:H2172),C2172*E2172*F2172*G2172*H2172,IF(AND(F2172,G2172),C2172*E2172*F2172*G2172,IF(AND(F2172,H2172),C2172*E2172*F2172*H2172,IF(AND(G2172,H2172),C2172*E2172*G2172*H2172,IF(F2172,C2172*E2172*F2172,IF(G2172,C2172*E2172*G2172,IF(H2172,C2172*E2172*H2172,C2172*E2172))))))),2)</f>
        <v>1</v>
      </c>
      <c r="J2172" s="1168" t="s">
        <v>115</v>
      </c>
      <c r="K2172" s="1169"/>
      <c r="L2172" s="1156"/>
      <c r="M2172" s="1169"/>
      <c r="N2172" s="1161" t="s">
        <v>2306</v>
      </c>
    </row>
    <row r="2173" spans="1:14" s="1170" customFormat="1" ht="15.75" hidden="1">
      <c r="A2173" s="1156"/>
      <c r="B2173" s="1331"/>
      <c r="C2173" s="1332"/>
      <c r="D2173" s="1333"/>
      <c r="E2173" s="1334"/>
      <c r="F2173" s="1335"/>
      <c r="G2173" s="1335"/>
      <c r="H2173" s="1335"/>
      <c r="I2173" s="1336"/>
      <c r="J2173" s="1168"/>
      <c r="K2173" s="1169"/>
      <c r="L2173" s="1156"/>
      <c r="M2173" s="1169"/>
      <c r="N2173" s="1161" t="s">
        <v>2306</v>
      </c>
    </row>
    <row r="2174" spans="1:14" ht="15.75" hidden="1">
      <c r="A2174" s="1156"/>
      <c r="B2174" s="1169"/>
      <c r="C2174" s="1337"/>
      <c r="D2174" s="1171"/>
      <c r="E2174" s="1165"/>
      <c r="F2174" s="1166"/>
      <c r="G2174" s="1343"/>
      <c r="H2174" s="1156"/>
      <c r="I2174" s="1336"/>
      <c r="J2174" s="1168" t="s">
        <v>115</v>
      </c>
      <c r="K2174" s="1221">
        <f>'D&amp;W data'!H372</f>
        <v>6334.76</v>
      </c>
      <c r="L2174" s="1159" t="s">
        <v>2306</v>
      </c>
      <c r="M2174" s="1224">
        <f>ROUND(I2174*K2174,0)</f>
        <v>0</v>
      </c>
      <c r="N2174" s="1161" t="s">
        <v>2306</v>
      </c>
    </row>
    <row r="2175" spans="1:14" ht="71.25" hidden="1" customHeight="1">
      <c r="A2175" s="1156">
        <v>40</v>
      </c>
      <c r="B2175" s="1826" t="s">
        <v>804</v>
      </c>
      <c r="C2175" s="1826"/>
      <c r="D2175" s="1826"/>
      <c r="E2175" s="1826"/>
      <c r="F2175" s="1826"/>
      <c r="G2175" s="1826"/>
      <c r="H2175" s="1826"/>
      <c r="I2175" s="1157"/>
      <c r="J2175" s="1158"/>
      <c r="K2175" s="1156"/>
      <c r="L2175" s="1156"/>
      <c r="M2175" s="1160"/>
      <c r="N2175" s="1161" t="s">
        <v>2306</v>
      </c>
    </row>
    <row r="2176" spans="1:14" s="1170" customFormat="1" ht="15.75" hidden="1">
      <c r="A2176" s="1156"/>
      <c r="B2176" s="1169" t="s">
        <v>2759</v>
      </c>
      <c r="C2176" s="1351" t="s">
        <v>2758</v>
      </c>
      <c r="D2176" s="1418"/>
      <c r="E2176" s="1352"/>
      <c r="F2176" s="1234"/>
      <c r="G2176" s="1234"/>
      <c r="H2176" s="1235"/>
      <c r="I2176" s="1353"/>
      <c r="J2176" s="1168"/>
      <c r="K2176" s="1169"/>
      <c r="L2176" s="1156"/>
      <c r="M2176" s="1169"/>
      <c r="N2176" s="1161" t="s">
        <v>2306</v>
      </c>
    </row>
    <row r="2177" spans="1:14" s="1170" customFormat="1" ht="15.75" hidden="1">
      <c r="A2177" s="1156"/>
      <c r="B2177" s="1331"/>
      <c r="C2177" s="1332">
        <v>1</v>
      </c>
      <c r="D2177" s="1333" t="s">
        <v>273</v>
      </c>
      <c r="E2177" s="1334">
        <v>1</v>
      </c>
      <c r="F2177" s="1335">
        <v>0</v>
      </c>
      <c r="G2177" s="1335">
        <v>0</v>
      </c>
      <c r="H2177" s="1335">
        <v>0</v>
      </c>
      <c r="I2177" s="1421">
        <f>ROUND(IF(AND(F2177:H2177),C2177*E2177*F2177*G2177*H2177,IF(AND(F2177,G2177),C2177*E2177*F2177*G2177,IF(AND(F2177,H2177),C2177*E2177*F2177*H2177,IF(AND(G2177,H2177),C2177*E2177*G2177*H2177,IF(F2177,C2177*E2177*F2177,IF(G2177,C2177*E2177*G2177,IF(H2177,C2177*E2177*H2177,C2177*E2177))))))),2)</f>
        <v>1</v>
      </c>
      <c r="J2177" s="1168" t="s">
        <v>115</v>
      </c>
      <c r="K2177" s="1169"/>
      <c r="L2177" s="1156"/>
      <c r="M2177" s="1169"/>
      <c r="N2177" s="1161" t="s">
        <v>2306</v>
      </c>
    </row>
    <row r="2178" spans="1:14" s="1170" customFormat="1" ht="15.75" hidden="1">
      <c r="A2178" s="1156"/>
      <c r="B2178" s="1331"/>
      <c r="C2178" s="1332">
        <v>1</v>
      </c>
      <c r="D2178" s="1333" t="s">
        <v>273</v>
      </c>
      <c r="E2178" s="1334">
        <v>1</v>
      </c>
      <c r="F2178" s="1335">
        <v>0</v>
      </c>
      <c r="G2178" s="1335">
        <v>0</v>
      </c>
      <c r="H2178" s="1335">
        <v>0</v>
      </c>
      <c r="I2178" s="1421">
        <f>ROUND(IF(AND(F2178:H2178),C2178*E2178*F2178*G2178*H2178,IF(AND(F2178,G2178),C2178*E2178*F2178*G2178,IF(AND(F2178,H2178),C2178*E2178*F2178*H2178,IF(AND(G2178,H2178),C2178*E2178*G2178*H2178,IF(F2178,C2178*E2178*F2178,IF(G2178,C2178*E2178*G2178,IF(H2178,C2178*E2178*H2178,C2178*E2178))))))),2)</f>
        <v>1</v>
      </c>
      <c r="J2178" s="1168" t="s">
        <v>115</v>
      </c>
      <c r="K2178" s="1169"/>
      <c r="L2178" s="1156"/>
      <c r="M2178" s="1169"/>
      <c r="N2178" s="1161" t="s">
        <v>2306</v>
      </c>
    </row>
    <row r="2179" spans="1:14" s="1170" customFormat="1" ht="15.75" hidden="1">
      <c r="A2179" s="1156"/>
      <c r="B2179" s="1169" t="s">
        <v>2759</v>
      </c>
      <c r="C2179" s="1351" t="s">
        <v>2758</v>
      </c>
      <c r="D2179" s="1418"/>
      <c r="E2179" s="1352"/>
      <c r="F2179" s="1234"/>
      <c r="G2179" s="1234"/>
      <c r="H2179" s="1235"/>
      <c r="I2179" s="1353"/>
      <c r="J2179" s="1168"/>
      <c r="K2179" s="1169"/>
      <c r="L2179" s="1156"/>
      <c r="M2179" s="1169"/>
      <c r="N2179" s="1161" t="s">
        <v>2306</v>
      </c>
    </row>
    <row r="2180" spans="1:14" s="1170" customFormat="1" ht="15.75" hidden="1">
      <c r="A2180" s="1156"/>
      <c r="B2180" s="1331"/>
      <c r="C2180" s="1332">
        <v>1</v>
      </c>
      <c r="D2180" s="1333" t="s">
        <v>273</v>
      </c>
      <c r="E2180" s="1334">
        <v>3</v>
      </c>
      <c r="F2180" s="1335">
        <v>0</v>
      </c>
      <c r="G2180" s="1335">
        <v>0</v>
      </c>
      <c r="H2180" s="1335">
        <v>0</v>
      </c>
      <c r="I2180" s="1421">
        <f>ROUND(IF(AND(F2180:H2180),C2180*E2180*F2180*G2180*H2180,IF(AND(F2180,G2180),C2180*E2180*F2180*G2180,IF(AND(F2180,H2180),C2180*E2180*F2180*H2180,IF(AND(G2180,H2180),C2180*E2180*G2180*H2180,IF(F2180,C2180*E2180*F2180,IF(G2180,C2180*E2180*G2180,IF(H2180,C2180*E2180*H2180,C2180*E2180))))))),2)</f>
        <v>3</v>
      </c>
      <c r="J2180" s="1168" t="s">
        <v>115</v>
      </c>
      <c r="K2180" s="1169"/>
      <c r="L2180" s="1156"/>
      <c r="M2180" s="1169"/>
      <c r="N2180" s="1161" t="s">
        <v>2306</v>
      </c>
    </row>
    <row r="2181" spans="1:14" s="1170" customFormat="1" ht="15.75" hidden="1">
      <c r="A2181" s="1156"/>
      <c r="B2181" s="1331"/>
      <c r="C2181" s="1332"/>
      <c r="D2181" s="1333"/>
      <c r="E2181" s="1334"/>
      <c r="F2181" s="1335"/>
      <c r="G2181" s="1335"/>
      <c r="H2181" s="1335"/>
      <c r="I2181" s="1421"/>
      <c r="J2181" s="1168"/>
      <c r="K2181" s="1169"/>
      <c r="L2181" s="1156"/>
      <c r="M2181" s="1169"/>
      <c r="N2181" s="1161" t="s">
        <v>2306</v>
      </c>
    </row>
    <row r="2182" spans="1:14" ht="15.75" hidden="1">
      <c r="A2182" s="1156"/>
      <c r="B2182" s="1169"/>
      <c r="C2182" s="1337"/>
      <c r="D2182" s="1171"/>
      <c r="E2182" s="1165"/>
      <c r="F2182" s="1166"/>
      <c r="G2182" s="1343"/>
      <c r="H2182" s="1156"/>
      <c r="I2182" s="1421"/>
      <c r="J2182" s="1168" t="s">
        <v>115</v>
      </c>
      <c r="K2182" s="1221">
        <f>'D&amp;W data'!H391</f>
        <v>15555.64</v>
      </c>
      <c r="L2182" s="1159" t="s">
        <v>2306</v>
      </c>
      <c r="M2182" s="1224">
        <f>ROUND(I2182*K2182,0)</f>
        <v>0</v>
      </c>
      <c r="N2182" s="1161" t="s">
        <v>2306</v>
      </c>
    </row>
    <row r="2183" spans="1:14" ht="42.75" hidden="1" customHeight="1">
      <c r="A2183" s="1156">
        <v>3</v>
      </c>
      <c r="B2183" s="1826" t="s">
        <v>2783</v>
      </c>
      <c r="C2183" s="1826"/>
      <c r="D2183" s="1826"/>
      <c r="E2183" s="1826"/>
      <c r="F2183" s="1826"/>
      <c r="G2183" s="1826"/>
      <c r="H2183" s="1826"/>
      <c r="I2183" s="1157"/>
      <c r="J2183" s="1158"/>
      <c r="K2183" s="1156"/>
      <c r="L2183" s="1156"/>
      <c r="M2183" s="1160"/>
      <c r="N2183" s="1161" t="s">
        <v>2306</v>
      </c>
    </row>
    <row r="2184" spans="1:14" s="1170" customFormat="1" ht="15.75" hidden="1">
      <c r="A2184" s="1156"/>
      <c r="B2184" s="1169" t="s">
        <v>2784</v>
      </c>
      <c r="C2184" s="1351" t="s">
        <v>2758</v>
      </c>
      <c r="D2184" s="1418"/>
      <c r="E2184" s="1352"/>
      <c r="F2184" s="1234"/>
      <c r="G2184" s="1234"/>
      <c r="H2184" s="1235"/>
      <c r="I2184" s="1353"/>
      <c r="J2184" s="1168"/>
      <c r="K2184" s="1169"/>
      <c r="L2184" s="1156"/>
      <c r="M2184" s="1169"/>
      <c r="N2184" s="1161" t="s">
        <v>2306</v>
      </c>
    </row>
    <row r="2185" spans="1:14" s="1170" customFormat="1" ht="15.75" hidden="1">
      <c r="A2185" s="1156"/>
      <c r="B2185" s="1331"/>
      <c r="C2185" s="1332">
        <v>1</v>
      </c>
      <c r="D2185" s="1333" t="s">
        <v>273</v>
      </c>
      <c r="E2185" s="1334">
        <v>1</v>
      </c>
      <c r="F2185" s="1335">
        <v>0</v>
      </c>
      <c r="G2185" s="1335">
        <v>0</v>
      </c>
      <c r="H2185" s="1335">
        <v>0</v>
      </c>
      <c r="I2185" s="1421">
        <f>ROUND(IF(AND(F2185:H2185),C2185*E2185*F2185*G2185*H2185,IF(AND(F2185,G2185),C2185*E2185*F2185*G2185,IF(AND(F2185,H2185),C2185*E2185*F2185*H2185,IF(AND(G2185,H2185),C2185*E2185*G2185*H2185,IF(F2185,C2185*E2185*F2185,IF(G2185,C2185*E2185*G2185,IF(H2185,C2185*E2185*H2185,C2185*E2185))))))),2)</f>
        <v>1</v>
      </c>
      <c r="J2185" s="1168" t="s">
        <v>115</v>
      </c>
      <c r="K2185" s="1169"/>
      <c r="L2185" s="1156"/>
      <c r="M2185" s="1169"/>
      <c r="N2185" s="1161" t="s">
        <v>2306</v>
      </c>
    </row>
    <row r="2186" spans="1:14" s="1170" customFormat="1" ht="15.75" hidden="1">
      <c r="A2186" s="1156"/>
      <c r="B2186" s="1331"/>
      <c r="C2186" s="1332">
        <v>1</v>
      </c>
      <c r="D2186" s="1333" t="s">
        <v>273</v>
      </c>
      <c r="E2186" s="1334">
        <v>1</v>
      </c>
      <c r="F2186" s="1335">
        <v>0</v>
      </c>
      <c r="G2186" s="1335">
        <v>0</v>
      </c>
      <c r="H2186" s="1335">
        <v>0</v>
      </c>
      <c r="I2186" s="1421">
        <f>ROUND(IF(AND(F2186:H2186),C2186*E2186*F2186*G2186*H2186,IF(AND(F2186,G2186),C2186*E2186*F2186*G2186,IF(AND(F2186,H2186),C2186*E2186*F2186*H2186,IF(AND(G2186,H2186),C2186*E2186*G2186*H2186,IF(F2186,C2186*E2186*F2186,IF(G2186,C2186*E2186*G2186,IF(H2186,C2186*E2186*H2186,C2186*E2186))))))),2)</f>
        <v>1</v>
      </c>
      <c r="J2186" s="1168" t="s">
        <v>115</v>
      </c>
      <c r="K2186" s="1169"/>
      <c r="L2186" s="1156"/>
      <c r="M2186" s="1169"/>
      <c r="N2186" s="1161" t="s">
        <v>2306</v>
      </c>
    </row>
    <row r="2187" spans="1:14" s="1170" customFormat="1" ht="15.75" hidden="1">
      <c r="A2187" s="1156"/>
      <c r="B2187" s="1169" t="s">
        <v>2784</v>
      </c>
      <c r="C2187" s="1351" t="s">
        <v>2758</v>
      </c>
      <c r="D2187" s="1418"/>
      <c r="E2187" s="1352"/>
      <c r="F2187" s="1234"/>
      <c r="G2187" s="1234"/>
      <c r="H2187" s="1235"/>
      <c r="I2187" s="1353"/>
      <c r="J2187" s="1168"/>
      <c r="K2187" s="1169"/>
      <c r="L2187" s="1156"/>
      <c r="M2187" s="1169"/>
      <c r="N2187" s="1161" t="s">
        <v>2306</v>
      </c>
    </row>
    <row r="2188" spans="1:14" s="1170" customFormat="1" ht="15.75" hidden="1">
      <c r="A2188" s="1156"/>
      <c r="B2188" s="1331"/>
      <c r="C2188" s="1332">
        <v>1</v>
      </c>
      <c r="D2188" s="1333" t="s">
        <v>273</v>
      </c>
      <c r="E2188" s="1334">
        <v>3</v>
      </c>
      <c r="F2188" s="1335">
        <v>0</v>
      </c>
      <c r="G2188" s="1335">
        <v>0</v>
      </c>
      <c r="H2188" s="1335">
        <v>0</v>
      </c>
      <c r="I2188" s="1421">
        <f>ROUND(IF(AND(F2188:H2188),C2188*E2188*F2188*G2188*H2188,IF(AND(F2188,G2188),C2188*E2188*F2188*G2188,IF(AND(F2188,H2188),C2188*E2188*F2188*H2188,IF(AND(G2188,H2188),C2188*E2188*G2188*H2188,IF(F2188,C2188*E2188*F2188,IF(G2188,C2188*E2188*G2188,IF(H2188,C2188*E2188*H2188,C2188*E2188))))))),2)</f>
        <v>3</v>
      </c>
      <c r="J2188" s="1168" t="s">
        <v>115</v>
      </c>
      <c r="K2188" s="1169"/>
      <c r="L2188" s="1156"/>
      <c r="M2188" s="1169"/>
      <c r="N2188" s="1161" t="s">
        <v>2306</v>
      </c>
    </row>
    <row r="2189" spans="1:14" s="1170" customFormat="1" ht="15.75" hidden="1">
      <c r="A2189" s="1156"/>
      <c r="B2189" s="1331"/>
      <c r="C2189" s="1332"/>
      <c r="D2189" s="1333"/>
      <c r="E2189" s="1334"/>
      <c r="F2189" s="1335"/>
      <c r="G2189" s="1335"/>
      <c r="H2189" s="1335"/>
      <c r="I2189" s="1421"/>
      <c r="J2189" s="1168"/>
      <c r="K2189" s="1169"/>
      <c r="L2189" s="1156"/>
      <c r="M2189" s="1169"/>
      <c r="N2189" s="1161" t="s">
        <v>2306</v>
      </c>
    </row>
    <row r="2190" spans="1:14" ht="15.75" hidden="1">
      <c r="A2190" s="1156"/>
      <c r="B2190" s="1169"/>
      <c r="C2190" s="1337"/>
      <c r="D2190" s="1171"/>
      <c r="E2190" s="1165"/>
      <c r="F2190" s="1166"/>
      <c r="G2190" s="1343"/>
      <c r="H2190" s="1156"/>
      <c r="I2190" s="1421"/>
      <c r="J2190" s="1168" t="s">
        <v>115</v>
      </c>
      <c r="K2190" s="1221">
        <f>'D&amp;W data'!H410</f>
        <v>4472.53</v>
      </c>
      <c r="L2190" s="1159" t="s">
        <v>2306</v>
      </c>
      <c r="M2190" s="1224">
        <f>ROUND(I2190*K2190,0)</f>
        <v>0</v>
      </c>
      <c r="N2190" s="1161" t="s">
        <v>2306</v>
      </c>
    </row>
    <row r="2191" spans="1:14" ht="148.5" hidden="1" customHeight="1">
      <c r="A2191" s="1156">
        <v>36</v>
      </c>
      <c r="B2191" s="1826" t="s">
        <v>910</v>
      </c>
      <c r="C2191" s="1826"/>
      <c r="D2191" s="1826"/>
      <c r="E2191" s="1826"/>
      <c r="F2191" s="1826"/>
      <c r="G2191" s="1826"/>
      <c r="H2191" s="1826"/>
      <c r="I2191" s="1157"/>
      <c r="J2191" s="1158"/>
      <c r="K2191" s="1156"/>
      <c r="L2191" s="1156"/>
      <c r="M2191" s="1160"/>
      <c r="N2191" s="1161" t="s">
        <v>2306</v>
      </c>
    </row>
    <row r="2192" spans="1:14" s="1170" customFormat="1" ht="16.5" hidden="1" customHeight="1">
      <c r="A2192" s="1156"/>
      <c r="B2192" s="1163" t="s">
        <v>3505</v>
      </c>
      <c r="C2192" s="1351"/>
      <c r="D2192" s="1419" t="s">
        <v>3438</v>
      </c>
      <c r="E2192" s="1352"/>
      <c r="F2192" s="1234"/>
      <c r="G2192" s="1234"/>
      <c r="H2192" s="1235"/>
      <c r="I2192" s="1353"/>
      <c r="J2192" s="1168"/>
      <c r="K2192" s="1169"/>
      <c r="L2192" s="1156"/>
      <c r="M2192" s="1169"/>
      <c r="N2192" s="1161" t="s">
        <v>2306</v>
      </c>
    </row>
    <row r="2193" spans="1:15" s="1170" customFormat="1" ht="16.5" hidden="1" customHeight="1">
      <c r="A2193" s="1156"/>
      <c r="B2193" s="1331" t="s">
        <v>2542</v>
      </c>
      <c r="C2193" s="1332">
        <v>1</v>
      </c>
      <c r="D2193" s="1333" t="s">
        <v>273</v>
      </c>
      <c r="E2193" s="1334">
        <v>1</v>
      </c>
      <c r="F2193" s="1335">
        <v>1.2</v>
      </c>
      <c r="G2193" s="1335">
        <v>0</v>
      </c>
      <c r="H2193" s="1335">
        <v>2.1</v>
      </c>
      <c r="I2193" s="1336">
        <f>ROUND(IF(AND(F2193:H2193),C2193*E2193*F2193*G2193*H2193,IF(AND(F2193,G2193),C2193*E2193*F2193*G2193,IF(AND(F2193,H2193),C2193*E2193*F2193*H2193,IF(AND(G2193,H2193),C2193*E2193*G2193*H2193,IF(F2193,C2193*E2193*F2193,IF(G2193,C2193*E2193*G2193,IF(H2193,C2193*E2193*H2193,C2193*E2193))))))),2)</f>
        <v>2.52</v>
      </c>
      <c r="J2193" s="1168" t="s">
        <v>102</v>
      </c>
      <c r="K2193" s="1169"/>
      <c r="L2193" s="1156"/>
      <c r="M2193" s="1169"/>
      <c r="N2193" s="1161" t="s">
        <v>2306</v>
      </c>
      <c r="O2193" s="1334">
        <v>2</v>
      </c>
    </row>
    <row r="2194" spans="1:15" s="1170" customFormat="1" ht="16.5" hidden="1" customHeight="1">
      <c r="A2194" s="1156"/>
      <c r="B2194" s="1163" t="s">
        <v>3506</v>
      </c>
      <c r="C2194" s="1351"/>
      <c r="D2194" s="1419" t="s">
        <v>3438</v>
      </c>
      <c r="E2194" s="1352"/>
      <c r="F2194" s="1234"/>
      <c r="G2194" s="1234"/>
      <c r="H2194" s="1235"/>
      <c r="I2194" s="1353"/>
      <c r="J2194" s="1168"/>
      <c r="K2194" s="1169"/>
      <c r="L2194" s="1156"/>
      <c r="M2194" s="1169"/>
      <c r="N2194" s="1161" t="s">
        <v>2306</v>
      </c>
    </row>
    <row r="2195" spans="1:15" s="1170" customFormat="1" ht="16.5" hidden="1" customHeight="1">
      <c r="A2195" s="1156"/>
      <c r="B2195" s="1331" t="s">
        <v>1217</v>
      </c>
      <c r="C2195" s="1332">
        <v>1</v>
      </c>
      <c r="D2195" s="1333" t="s">
        <v>273</v>
      </c>
      <c r="E2195" s="1334">
        <v>1</v>
      </c>
      <c r="F2195" s="1335">
        <v>1.2</v>
      </c>
      <c r="G2195" s="1335">
        <v>0</v>
      </c>
      <c r="H2195" s="1335">
        <v>2.1</v>
      </c>
      <c r="I2195" s="1336">
        <f>ROUND(IF(AND(F2195:H2195),C2195*E2195*F2195*G2195*H2195,IF(AND(F2195,G2195),C2195*E2195*F2195*G2195,IF(AND(F2195,H2195),C2195*E2195*F2195*H2195,IF(AND(G2195,H2195),C2195*E2195*G2195*H2195,IF(F2195,C2195*E2195*F2195,IF(G2195,C2195*E2195*G2195,IF(H2195,C2195*E2195*H2195,C2195*E2195))))))),2)</f>
        <v>2.52</v>
      </c>
      <c r="J2195" s="1168" t="s">
        <v>102</v>
      </c>
      <c r="K2195" s="1169"/>
      <c r="L2195" s="1156"/>
      <c r="M2195" s="1169"/>
      <c r="N2195" s="1161" t="s">
        <v>2306</v>
      </c>
      <c r="O2195" s="1334">
        <v>2</v>
      </c>
    </row>
    <row r="2196" spans="1:15" s="1170" customFormat="1" ht="16.5" hidden="1" customHeight="1">
      <c r="A2196" s="1156"/>
      <c r="B2196" s="1163" t="s">
        <v>3507</v>
      </c>
      <c r="C2196" s="1351"/>
      <c r="D2196" s="1419" t="s">
        <v>3438</v>
      </c>
      <c r="E2196" s="1352"/>
      <c r="F2196" s="1234"/>
      <c r="G2196" s="1234"/>
      <c r="H2196" s="1235"/>
      <c r="I2196" s="1353"/>
      <c r="J2196" s="1168"/>
      <c r="K2196" s="1169"/>
      <c r="L2196" s="1156"/>
      <c r="M2196" s="1169"/>
      <c r="N2196" s="1161" t="s">
        <v>2306</v>
      </c>
    </row>
    <row r="2197" spans="1:15" s="1170" customFormat="1" ht="16.5" hidden="1" customHeight="1">
      <c r="A2197" s="1156"/>
      <c r="B2197" s="1331" t="s">
        <v>3352</v>
      </c>
      <c r="C2197" s="1332">
        <v>1</v>
      </c>
      <c r="D2197" s="1333" t="s">
        <v>273</v>
      </c>
      <c r="E2197" s="1334">
        <v>2</v>
      </c>
      <c r="F2197" s="1335">
        <v>1.05</v>
      </c>
      <c r="G2197" s="1335">
        <v>0</v>
      </c>
      <c r="H2197" s="1335">
        <v>2.1</v>
      </c>
      <c r="I2197" s="1336">
        <f>ROUND(IF(AND(F2197:H2197),C2197*E2197*F2197*G2197*H2197,IF(AND(F2197,G2197),C2197*E2197*F2197*G2197,IF(AND(F2197,H2197),C2197*E2197*F2197*H2197,IF(AND(G2197,H2197),C2197*E2197*G2197*H2197,IF(F2197,C2197*E2197*F2197,IF(G2197,C2197*E2197*G2197,IF(H2197,C2197*E2197*H2197,C2197*E2197))))))),2)</f>
        <v>4.41</v>
      </c>
      <c r="J2197" s="1168" t="s">
        <v>102</v>
      </c>
      <c r="K2197" s="1169"/>
      <c r="L2197" s="1156"/>
      <c r="M2197" s="1169"/>
      <c r="N2197" s="1161" t="s">
        <v>2306</v>
      </c>
      <c r="O2197" s="1334">
        <v>2</v>
      </c>
    </row>
    <row r="2198" spans="1:15" s="1170" customFormat="1" ht="16.5" hidden="1" customHeight="1">
      <c r="A2198" s="1156"/>
      <c r="B2198" s="1331"/>
      <c r="C2198" s="1332"/>
      <c r="D2198" s="1333"/>
      <c r="E2198" s="1334"/>
      <c r="F2198" s="1335"/>
      <c r="G2198" s="1335"/>
      <c r="H2198" s="1335"/>
      <c r="I2198" s="1336"/>
      <c r="J2198" s="1168"/>
      <c r="K2198" s="1169"/>
      <c r="L2198" s="1156"/>
      <c r="M2198" s="1169"/>
      <c r="N2198" s="1161" t="s">
        <v>2306</v>
      </c>
      <c r="O2198" s="1334"/>
    </row>
    <row r="2199" spans="1:15" ht="15.75" hidden="1">
      <c r="A2199" s="1156"/>
      <c r="B2199" s="1169"/>
      <c r="C2199" s="1337"/>
      <c r="D2199" s="1171"/>
      <c r="E2199" s="1165"/>
      <c r="F2199" s="1166"/>
      <c r="G2199" s="1343"/>
      <c r="H2199" s="1156"/>
      <c r="I2199" s="1336"/>
      <c r="J2199" s="1168" t="s">
        <v>102</v>
      </c>
      <c r="K2199" s="1221">
        <f>'D&amp;W data'!H453</f>
        <v>5930.61</v>
      </c>
      <c r="L2199" s="1159" t="s">
        <v>2306</v>
      </c>
      <c r="M2199" s="1224">
        <f>ROUND(I2199*K2199,0)</f>
        <v>0</v>
      </c>
      <c r="N2199" s="1161" t="s">
        <v>2306</v>
      </c>
    </row>
    <row r="2200" spans="1:15" ht="148.5" hidden="1" customHeight="1">
      <c r="A2200" s="1156">
        <v>2</v>
      </c>
      <c r="B2200" s="1826" t="s">
        <v>910</v>
      </c>
      <c r="C2200" s="1826"/>
      <c r="D2200" s="1826"/>
      <c r="E2200" s="1826"/>
      <c r="F2200" s="1826"/>
      <c r="G2200" s="1826"/>
      <c r="H2200" s="1826"/>
      <c r="I2200" s="1157"/>
      <c r="J2200" s="1158"/>
      <c r="K2200" s="1156"/>
      <c r="L2200" s="1156"/>
      <c r="M2200" s="1160"/>
      <c r="N2200" s="1161" t="s">
        <v>2306</v>
      </c>
    </row>
    <row r="2201" spans="1:15" s="1170" customFormat="1" ht="16.5" hidden="1" customHeight="1">
      <c r="A2201" s="1156"/>
      <c r="B2201" s="1365" t="s">
        <v>2339</v>
      </c>
      <c r="C2201" s="1351"/>
      <c r="D2201" s="1418"/>
      <c r="E2201" s="1352"/>
      <c r="F2201" s="1234"/>
      <c r="G2201" s="1234"/>
      <c r="H2201" s="1235"/>
      <c r="I2201" s="1353"/>
      <c r="J2201" s="1168"/>
      <c r="K2201" s="1169"/>
      <c r="L2201" s="1156"/>
      <c r="M2201" s="1169"/>
      <c r="N2201" s="1161" t="s">
        <v>2306</v>
      </c>
    </row>
    <row r="2202" spans="1:15" s="1170" customFormat="1" ht="16.5" hidden="1" customHeight="1">
      <c r="A2202" s="1156"/>
      <c r="B2202" s="1359"/>
      <c r="C2202" s="1360">
        <v>1</v>
      </c>
      <c r="D2202" s="1361" t="s">
        <v>273</v>
      </c>
      <c r="E2202" s="1362">
        <v>2</v>
      </c>
      <c r="F2202" s="1363">
        <v>1.01</v>
      </c>
      <c r="G2202" s="1363">
        <v>0</v>
      </c>
      <c r="H2202" s="1363">
        <v>2.09</v>
      </c>
      <c r="I2202" s="1336">
        <f>ROUND(IF(AND(F2202:H2202),C2202*E2202*F2202*G2202*H2202,IF(AND(F2202,G2202),C2202*E2202*F2202*G2202,IF(AND(F2202,H2202),C2202*E2202*F2202*H2202,IF(AND(G2202,H2202),C2202*E2202*G2202*H2202,IF(F2202,C2202*E2202*F2202,IF(G2202,C2202*E2202*G2202,IF(H2202,C2202*E2202*H2202,C2202*E2202))))))),2)</f>
        <v>4.22</v>
      </c>
      <c r="J2202" s="1168" t="s">
        <v>102</v>
      </c>
      <c r="K2202" s="1169"/>
      <c r="L2202" s="1156"/>
      <c r="M2202" s="1169"/>
      <c r="N2202" s="1161" t="s">
        <v>2306</v>
      </c>
      <c r="O2202" s="1334">
        <v>2</v>
      </c>
    </row>
    <row r="2203" spans="1:15" s="1170" customFormat="1" ht="16.5" hidden="1" customHeight="1">
      <c r="A2203" s="1156"/>
      <c r="B2203" s="1359"/>
      <c r="C2203" s="1360">
        <v>1</v>
      </c>
      <c r="D2203" s="1361" t="s">
        <v>273</v>
      </c>
      <c r="E2203" s="1362">
        <v>2</v>
      </c>
      <c r="F2203" s="1363">
        <v>1.02</v>
      </c>
      <c r="G2203" s="1363">
        <v>0</v>
      </c>
      <c r="H2203" s="1363">
        <v>2.02</v>
      </c>
      <c r="I2203" s="1336">
        <f>ROUND(IF(AND(F2203:H2203),C2203*E2203*F2203*G2203*H2203,IF(AND(F2203,G2203),C2203*E2203*F2203*G2203,IF(AND(F2203,H2203),C2203*E2203*F2203*H2203,IF(AND(G2203,H2203),C2203*E2203*G2203*H2203,IF(F2203,C2203*E2203*F2203,IF(G2203,C2203*E2203*G2203,IF(H2203,C2203*E2203*H2203,C2203*E2203))))))),2)</f>
        <v>4.12</v>
      </c>
      <c r="J2203" s="1168" t="s">
        <v>102</v>
      </c>
      <c r="K2203" s="1169"/>
      <c r="L2203" s="1156"/>
      <c r="M2203" s="1169"/>
      <c r="N2203" s="1161" t="s">
        <v>2306</v>
      </c>
      <c r="O2203" s="1334">
        <v>2</v>
      </c>
    </row>
    <row r="2204" spans="1:15" s="1170" customFormat="1" ht="16.5" hidden="1" customHeight="1">
      <c r="A2204" s="1156"/>
      <c r="B2204" s="1359"/>
      <c r="C2204" s="1360">
        <v>1</v>
      </c>
      <c r="D2204" s="1361" t="s">
        <v>273</v>
      </c>
      <c r="E2204" s="1362">
        <v>1</v>
      </c>
      <c r="F2204" s="1363">
        <v>1</v>
      </c>
      <c r="G2204" s="1363">
        <v>0</v>
      </c>
      <c r="H2204" s="1363">
        <v>2.02</v>
      </c>
      <c r="I2204" s="1336">
        <f>ROUND(IF(AND(F2204:H2204),C2204*E2204*F2204*G2204*H2204,IF(AND(F2204,G2204),C2204*E2204*F2204*G2204,IF(AND(F2204,H2204),C2204*E2204*F2204*H2204,IF(AND(G2204,H2204),C2204*E2204*G2204*H2204,IF(F2204,C2204*E2204*F2204,IF(G2204,C2204*E2204*G2204,IF(H2204,C2204*E2204*H2204,C2204*E2204))))))),2)</f>
        <v>2.02</v>
      </c>
      <c r="J2204" s="1168" t="s">
        <v>102</v>
      </c>
      <c r="K2204" s="1169"/>
      <c r="L2204" s="1156"/>
      <c r="M2204" s="1169"/>
      <c r="N2204" s="1161" t="s">
        <v>2306</v>
      </c>
      <c r="O2204" s="1334">
        <v>2</v>
      </c>
    </row>
    <row r="2205" spans="1:15" s="1170" customFormat="1" ht="16.5" hidden="1" customHeight="1">
      <c r="A2205" s="1156"/>
      <c r="B2205" s="1359"/>
      <c r="C2205" s="1360"/>
      <c r="D2205" s="1361"/>
      <c r="E2205" s="1362"/>
      <c r="F2205" s="1363"/>
      <c r="G2205" s="1363"/>
      <c r="H2205" s="1363"/>
      <c r="I2205" s="1336"/>
      <c r="J2205" s="1168"/>
      <c r="K2205" s="1169"/>
      <c r="L2205" s="1156"/>
      <c r="M2205" s="1169"/>
      <c r="N2205" s="1161" t="s">
        <v>2306</v>
      </c>
      <c r="O2205" s="1551"/>
    </row>
    <row r="2206" spans="1:15" ht="15.75" hidden="1">
      <c r="A2206" s="1156"/>
      <c r="B2206" s="1169"/>
      <c r="C2206" s="1337"/>
      <c r="D2206" s="1171"/>
      <c r="E2206" s="1165"/>
      <c r="F2206" s="1166"/>
      <c r="G2206" s="1343"/>
      <c r="H2206" s="1156"/>
      <c r="I2206" s="1336"/>
      <c r="J2206" s="1168" t="s">
        <v>102</v>
      </c>
      <c r="K2206" s="1221">
        <f>'D&amp;W data'!H465</f>
        <v>5617.52</v>
      </c>
      <c r="L2206" s="1159" t="s">
        <v>2306</v>
      </c>
      <c r="M2206" s="1224">
        <f>ROUND(I2206*K2206,0)</f>
        <v>0</v>
      </c>
      <c r="N2206" s="1161" t="s">
        <v>2306</v>
      </c>
    </row>
    <row r="2207" spans="1:15" ht="160.5" hidden="1" customHeight="1">
      <c r="A2207" s="1156">
        <v>35</v>
      </c>
      <c r="B2207" s="1825" t="s">
        <v>3440</v>
      </c>
      <c r="C2207" s="1825"/>
      <c r="D2207" s="1825"/>
      <c r="E2207" s="1825"/>
      <c r="F2207" s="1825"/>
      <c r="G2207" s="1825"/>
      <c r="H2207" s="1825"/>
      <c r="I2207" s="1157"/>
      <c r="J2207" s="1158"/>
      <c r="K2207" s="1156"/>
      <c r="L2207" s="1156"/>
      <c r="M2207" s="1160"/>
      <c r="N2207" s="1161" t="s">
        <v>2306</v>
      </c>
    </row>
    <row r="2208" spans="1:15" ht="51.75" hidden="1" customHeight="1">
      <c r="A2208" s="1156"/>
      <c r="B2208" s="1825" t="s">
        <v>3439</v>
      </c>
      <c r="C2208" s="1825"/>
      <c r="D2208" s="1825"/>
      <c r="E2208" s="1825"/>
      <c r="F2208" s="1825"/>
      <c r="G2208" s="1825"/>
      <c r="H2208" s="1825"/>
      <c r="I2208" s="1157"/>
      <c r="J2208" s="1158"/>
      <c r="K2208" s="1156"/>
      <c r="L2208" s="1156"/>
      <c r="M2208" s="1160"/>
      <c r="N2208" s="1161"/>
    </row>
    <row r="2209" spans="1:15" s="1170" customFormat="1" ht="16.5" hidden="1" customHeight="1">
      <c r="A2209" s="1156"/>
      <c r="B2209" s="1163" t="s">
        <v>3465</v>
      </c>
      <c r="C2209" s="1351"/>
      <c r="D2209" s="1328" t="s">
        <v>3531</v>
      </c>
      <c r="E2209" s="1352"/>
      <c r="F2209" s="1234"/>
      <c r="G2209" s="1234"/>
      <c r="H2209" s="1235"/>
      <c r="I2209" s="1353"/>
      <c r="J2209" s="1168"/>
      <c r="K2209" s="1169"/>
      <c r="L2209" s="1156"/>
      <c r="M2209" s="1169"/>
      <c r="N2209" s="1161" t="s">
        <v>2306</v>
      </c>
    </row>
    <row r="2210" spans="1:15" s="1170" customFormat="1" ht="16.5" hidden="1" customHeight="1">
      <c r="A2210" s="1156"/>
      <c r="B2210" s="1359"/>
      <c r="C2210" s="1360">
        <v>1</v>
      </c>
      <c r="D2210" s="1361" t="s">
        <v>273</v>
      </c>
      <c r="E2210" s="1362">
        <v>6</v>
      </c>
      <c r="F2210" s="1363">
        <v>1.2</v>
      </c>
      <c r="G2210" s="1363">
        <v>0</v>
      </c>
      <c r="H2210" s="1363">
        <v>1.2</v>
      </c>
      <c r="I2210" s="1336">
        <f>ROUND(IF(AND(F2210:H2210),C2210*E2210*F2210*G2210*H2210,IF(AND(F2210,G2210),C2210*E2210*F2210*G2210,IF(AND(F2210,H2210),C2210*E2210*F2210*H2210,IF(AND(G2210,H2210),C2210*E2210*G2210*H2210,IF(F2210,C2210*E2210*F2210,IF(G2210,C2210*E2210*G2210,IF(H2210,C2210*E2210*H2210,C2210*E2210))))))),2)</f>
        <v>8.64</v>
      </c>
      <c r="J2210" s="1168" t="s">
        <v>102</v>
      </c>
      <c r="K2210" s="1169"/>
      <c r="L2210" s="1156"/>
      <c r="M2210" s="1169"/>
      <c r="N2210" s="1161" t="s">
        <v>2306</v>
      </c>
    </row>
    <row r="2211" spans="1:15" s="1170" customFormat="1" ht="16.5" hidden="1" customHeight="1">
      <c r="A2211" s="1156"/>
      <c r="B2211" s="1331"/>
      <c r="C2211" s="1332"/>
      <c r="D2211" s="1333"/>
      <c r="E2211" s="1334"/>
      <c r="F2211" s="1335"/>
      <c r="G2211" s="1335"/>
      <c r="H2211" s="1335"/>
      <c r="I2211" s="1336"/>
      <c r="J2211" s="1168"/>
      <c r="K2211" s="1169"/>
      <c r="L2211" s="1156"/>
      <c r="M2211" s="1169"/>
      <c r="N2211" s="1161" t="s">
        <v>2306</v>
      </c>
    </row>
    <row r="2212" spans="1:15" ht="15.75" hidden="1">
      <c r="A2212" s="1156"/>
      <c r="B2212" s="1169"/>
      <c r="C2212" s="1337"/>
      <c r="D2212" s="1171"/>
      <c r="E2212" s="1165"/>
      <c r="F2212" s="1166"/>
      <c r="G2212" s="1343"/>
      <c r="H2212" s="1156"/>
      <c r="I2212" s="1336"/>
      <c r="J2212" s="1168" t="s">
        <v>102</v>
      </c>
      <c r="K2212" s="1221">
        <f>'D&amp;W data'!H470</f>
        <v>8058</v>
      </c>
      <c r="L2212" s="1159" t="s">
        <v>2306</v>
      </c>
      <c r="M2212" s="1224">
        <f>ROUND(I2212*K2212,0)</f>
        <v>0</v>
      </c>
      <c r="N2212" s="1161" t="s">
        <v>2306</v>
      </c>
    </row>
    <row r="2213" spans="1:15" s="1170" customFormat="1" ht="16.5" hidden="1" customHeight="1">
      <c r="A2213" s="1156">
        <v>6</v>
      </c>
      <c r="B2213" s="1169" t="s">
        <v>3045</v>
      </c>
      <c r="C2213" s="1351" t="s">
        <v>1552</v>
      </c>
      <c r="D2213" s="1418"/>
      <c r="E2213" s="1352"/>
      <c r="F2213" s="1234"/>
      <c r="G2213" s="1234"/>
      <c r="H2213" s="1235"/>
      <c r="I2213" s="1353"/>
      <c r="J2213" s="1168"/>
      <c r="K2213" s="1169"/>
      <c r="L2213" s="1156"/>
      <c r="M2213" s="1169"/>
      <c r="N2213" s="1161" t="s">
        <v>2306</v>
      </c>
    </row>
    <row r="2214" spans="1:15" s="1170" customFormat="1" ht="16.5" hidden="1" customHeight="1">
      <c r="A2214" s="1156"/>
      <c r="B2214" s="1359" t="s">
        <v>3046</v>
      </c>
      <c r="C2214" s="1360">
        <v>1</v>
      </c>
      <c r="D2214" s="1361" t="s">
        <v>273</v>
      </c>
      <c r="E2214" s="1362">
        <v>1</v>
      </c>
      <c r="F2214" s="1363">
        <v>1.8</v>
      </c>
      <c r="G2214" s="1363">
        <v>1.4</v>
      </c>
      <c r="H2214" s="1363">
        <v>0</v>
      </c>
      <c r="I2214" s="1336">
        <f>ROUND(IF(AND(F2214:H2214),C2214*E2214*F2214*G2214*H2214,IF(AND(F2214,G2214),C2214*E2214*F2214*G2214,IF(AND(F2214,H2214),C2214*E2214*F2214*H2214,IF(AND(G2214,H2214),C2214*E2214*G2214*H2214,IF(F2214,C2214*E2214*F2214,IF(G2214,C2214*E2214*G2214,IF(H2214,C2214*E2214*H2214,C2214*E2214))))))),2)</f>
        <v>2.52</v>
      </c>
      <c r="J2214" s="1168" t="s">
        <v>102</v>
      </c>
      <c r="K2214" s="1169"/>
      <c r="L2214" s="1156"/>
      <c r="M2214" s="1169"/>
      <c r="N2214" s="1161" t="s">
        <v>2306</v>
      </c>
    </row>
    <row r="2215" spans="1:15" s="1170" customFormat="1" ht="16.5" hidden="1" customHeight="1">
      <c r="A2215" s="1156"/>
      <c r="B2215" s="1331"/>
      <c r="C2215" s="1332"/>
      <c r="D2215" s="1333"/>
      <c r="E2215" s="1334"/>
      <c r="F2215" s="1335"/>
      <c r="G2215" s="1335"/>
      <c r="H2215" s="1335"/>
      <c r="I2215" s="1336"/>
      <c r="J2215" s="1168"/>
      <c r="K2215" s="1169"/>
      <c r="L2215" s="1156"/>
      <c r="M2215" s="1169"/>
      <c r="N2215" s="1161" t="s">
        <v>2306</v>
      </c>
    </row>
    <row r="2216" spans="1:15" ht="15.75" hidden="1">
      <c r="A2216" s="1156"/>
      <c r="B2216" s="1169"/>
      <c r="C2216" s="1337"/>
      <c r="D2216" s="1171"/>
      <c r="E2216" s="1165"/>
      <c r="F2216" s="1166"/>
      <c r="G2216" s="1343"/>
      <c r="H2216" s="1156"/>
      <c r="I2216" s="1336"/>
      <c r="J2216" s="1168" t="s">
        <v>102</v>
      </c>
      <c r="K2216" s="1221">
        <f>'D&amp;W data'!H468</f>
        <v>6038</v>
      </c>
      <c r="L2216" s="1159" t="s">
        <v>2306</v>
      </c>
      <c r="M2216" s="1224">
        <f>ROUND(I2216*K2216,0)</f>
        <v>0</v>
      </c>
      <c r="N2216" s="1161" t="s">
        <v>2306</v>
      </c>
    </row>
    <row r="2217" spans="1:15" s="1170" customFormat="1" ht="16.5" hidden="1" customHeight="1">
      <c r="A2217" s="1156">
        <v>3</v>
      </c>
      <c r="B2217" s="1169" t="s">
        <v>3045</v>
      </c>
      <c r="C2217" s="1351" t="s">
        <v>1637</v>
      </c>
      <c r="D2217" s="1418"/>
      <c r="E2217" s="1352"/>
      <c r="F2217" s="1234"/>
      <c r="G2217" s="1234"/>
      <c r="H2217" s="1235"/>
      <c r="I2217" s="1353"/>
      <c r="J2217" s="1168"/>
      <c r="K2217" s="1169"/>
      <c r="L2217" s="1156"/>
      <c r="M2217" s="1169"/>
      <c r="N2217" s="1161" t="s">
        <v>2306</v>
      </c>
    </row>
    <row r="2218" spans="1:15" s="1170" customFormat="1" ht="16.5" hidden="1" customHeight="1">
      <c r="A2218" s="1156"/>
      <c r="B2218" s="1331" t="s">
        <v>3047</v>
      </c>
      <c r="C2218" s="1332">
        <v>1</v>
      </c>
      <c r="D2218" s="1333" t="s">
        <v>273</v>
      </c>
      <c r="E2218" s="1334">
        <v>1</v>
      </c>
      <c r="F2218" s="1335">
        <v>1.2</v>
      </c>
      <c r="G2218" s="1335">
        <v>0</v>
      </c>
      <c r="H2218" s="1335">
        <v>1</v>
      </c>
      <c r="I2218" s="1336">
        <f>ROUND(IF(AND(F2218:H2218),C2218*E2218*F2218*G2218*H2218,IF(AND(F2218,G2218),C2218*E2218*F2218*G2218,IF(AND(F2218,H2218),C2218*E2218*F2218*H2218,IF(AND(G2218,H2218),C2218*E2218*G2218*H2218,IF(F2218,C2218*E2218*F2218,IF(G2218,C2218*E2218*G2218,IF(H2218,C2218*E2218*H2218,C2218*E2218))))))),2)</f>
        <v>1.2</v>
      </c>
      <c r="J2218" s="1168" t="s">
        <v>102</v>
      </c>
      <c r="K2218" s="1169"/>
      <c r="L2218" s="1156"/>
      <c r="M2218" s="1169"/>
      <c r="N2218" s="1161" t="s">
        <v>2306</v>
      </c>
      <c r="O2218" s="1334">
        <v>1</v>
      </c>
    </row>
    <row r="2219" spans="1:15" s="1170" customFormat="1" ht="16.5" hidden="1" customHeight="1">
      <c r="A2219" s="1156"/>
      <c r="B2219" s="1331"/>
      <c r="C2219" s="1332">
        <v>1</v>
      </c>
      <c r="D2219" s="1333" t="s">
        <v>273</v>
      </c>
      <c r="E2219" s="1334">
        <v>1</v>
      </c>
      <c r="F2219" s="1335">
        <v>1.2</v>
      </c>
      <c r="G2219" s="1335">
        <v>0</v>
      </c>
      <c r="H2219" s="1335">
        <v>1.1000000000000001</v>
      </c>
      <c r="I2219" s="1336">
        <f>ROUND(IF(AND(F2219:H2219),C2219*E2219*F2219*G2219*H2219,IF(AND(F2219,G2219),C2219*E2219*F2219*G2219,IF(AND(F2219,H2219),C2219*E2219*F2219*H2219,IF(AND(G2219,H2219),C2219*E2219*G2219*H2219,IF(F2219,C2219*E2219*F2219,IF(G2219,C2219*E2219*G2219,IF(H2219,C2219*E2219*H2219,C2219*E2219))))))),2)</f>
        <v>1.32</v>
      </c>
      <c r="J2219" s="1168" t="s">
        <v>102</v>
      </c>
      <c r="K2219" s="1169"/>
      <c r="L2219" s="1156"/>
      <c r="M2219" s="1169"/>
      <c r="N2219" s="1161" t="s">
        <v>2306</v>
      </c>
      <c r="O2219" s="1334">
        <v>1</v>
      </c>
    </row>
    <row r="2220" spans="1:15" s="1170" customFormat="1" ht="16.5" hidden="1" customHeight="1">
      <c r="A2220" s="1156"/>
      <c r="B2220" s="1331"/>
      <c r="C2220" s="1332">
        <v>1</v>
      </c>
      <c r="D2220" s="1333" t="s">
        <v>273</v>
      </c>
      <c r="E2220" s="1334">
        <v>2</v>
      </c>
      <c r="F2220" s="1335">
        <v>1.2</v>
      </c>
      <c r="G2220" s="1335">
        <v>0</v>
      </c>
      <c r="H2220" s="1335">
        <v>1.5</v>
      </c>
      <c r="I2220" s="1336">
        <f>ROUND(IF(AND(F2220:H2220),C2220*E2220*F2220*G2220*H2220,IF(AND(F2220,G2220),C2220*E2220*F2220*G2220,IF(AND(F2220,H2220),C2220*E2220*F2220*H2220,IF(AND(G2220,H2220),C2220*E2220*G2220*H2220,IF(F2220,C2220*E2220*F2220,IF(G2220,C2220*E2220*G2220,IF(H2220,C2220*E2220*H2220,C2220*E2220))))))),2)</f>
        <v>3.6</v>
      </c>
      <c r="J2220" s="1168" t="s">
        <v>102</v>
      </c>
      <c r="K2220" s="1169"/>
      <c r="L2220" s="1156"/>
      <c r="M2220" s="1169"/>
      <c r="N2220" s="1161" t="s">
        <v>2306</v>
      </c>
      <c r="O2220" s="1334">
        <v>1</v>
      </c>
    </row>
    <row r="2221" spans="1:15" s="1170" customFormat="1" ht="16.5" hidden="1" customHeight="1">
      <c r="A2221" s="1156"/>
      <c r="B2221" s="1331"/>
      <c r="C2221" s="1332"/>
      <c r="D2221" s="1333"/>
      <c r="E2221" s="1334"/>
      <c r="F2221" s="1335"/>
      <c r="G2221" s="1335"/>
      <c r="H2221" s="1335"/>
      <c r="I2221" s="1336"/>
      <c r="J2221" s="1168"/>
      <c r="K2221" s="1169"/>
      <c r="L2221" s="1156"/>
      <c r="M2221" s="1169"/>
      <c r="N2221" s="1161" t="s">
        <v>2306</v>
      </c>
      <c r="O2221" s="1334"/>
    </row>
    <row r="2222" spans="1:15" ht="15.75" hidden="1">
      <c r="A2222" s="1156"/>
      <c r="B2222" s="1169"/>
      <c r="C2222" s="1337"/>
      <c r="D2222" s="1171"/>
      <c r="E2222" s="1165"/>
      <c r="F2222" s="1166"/>
      <c r="G2222" s="1343"/>
      <c r="H2222" s="1156"/>
      <c r="I2222" s="1336"/>
      <c r="J2222" s="1168" t="s">
        <v>102</v>
      </c>
      <c r="K2222" s="1221">
        <f>'D&amp;W data'!H472</f>
        <v>5830</v>
      </c>
      <c r="L2222" s="1159" t="s">
        <v>2306</v>
      </c>
      <c r="M2222" s="1224">
        <f>ROUND(I2222*K2222,0)</f>
        <v>0</v>
      </c>
      <c r="N2222" s="1161" t="s">
        <v>2306</v>
      </c>
    </row>
    <row r="2223" spans="1:15" ht="27" hidden="1" customHeight="1">
      <c r="A2223" s="1156">
        <v>6</v>
      </c>
      <c r="B2223" s="1826" t="s">
        <v>2293</v>
      </c>
      <c r="C2223" s="1826"/>
      <c r="D2223" s="1826"/>
      <c r="E2223" s="1826"/>
      <c r="F2223" s="1826"/>
      <c r="G2223" s="1826"/>
      <c r="H2223" s="1826"/>
      <c r="I2223" s="1157"/>
      <c r="J2223" s="1158"/>
      <c r="K2223" s="1156"/>
      <c r="L2223" s="1156"/>
      <c r="M2223" s="1160"/>
      <c r="N2223" s="1161" t="s">
        <v>2306</v>
      </c>
    </row>
    <row r="2224" spans="1:15" s="1170" customFormat="1" ht="16.5" hidden="1" customHeight="1">
      <c r="A2224" s="1156"/>
      <c r="B2224" s="1230" t="s">
        <v>2342</v>
      </c>
      <c r="C2224" s="1351"/>
      <c r="D2224" s="1418"/>
      <c r="E2224" s="1352"/>
      <c r="F2224" s="1234"/>
      <c r="G2224" s="1234"/>
      <c r="H2224" s="1235"/>
      <c r="I2224" s="1353"/>
      <c r="J2224" s="1168"/>
      <c r="K2224" s="1169"/>
      <c r="L2224" s="1156"/>
      <c r="M2224" s="1169"/>
      <c r="N2224" s="1161" t="s">
        <v>2306</v>
      </c>
    </row>
    <row r="2225" spans="1:14" s="1170" customFormat="1" ht="16.5" hidden="1" customHeight="1">
      <c r="A2225" s="1156"/>
      <c r="B2225" s="1331"/>
      <c r="C2225" s="1332">
        <v>1</v>
      </c>
      <c r="D2225" s="1333" t="s">
        <v>273</v>
      </c>
      <c r="E2225" s="1334">
        <v>1</v>
      </c>
      <c r="F2225" s="1335">
        <v>1.2</v>
      </c>
      <c r="G2225" s="1335">
        <v>0</v>
      </c>
      <c r="H2225" s="1335">
        <v>0.3</v>
      </c>
      <c r="I2225" s="1336">
        <f>ROUND(IF(AND(F2225:H2225),C2225*E2225*F2225*G2225*H2225,IF(AND(F2225,G2225),C2225*E2225*F2225*G2225,IF(AND(F2225,H2225),C2225*E2225*F2225*H2225,IF(AND(G2225,H2225),C2225*E2225*G2225*H2225,IF(F2225,C2225*E2225*F2225,IF(G2225,C2225*E2225*G2225,IF(H2225,C2225*E2225*H2225,C2225*E2225))))))),2)</f>
        <v>0.36</v>
      </c>
      <c r="J2225" s="1168" t="s">
        <v>102</v>
      </c>
      <c r="K2225" s="1169"/>
      <c r="L2225" s="1156"/>
      <c r="M2225" s="1169"/>
      <c r="N2225" s="1161" t="s">
        <v>2306</v>
      </c>
    </row>
    <row r="2226" spans="1:14" s="1170" customFormat="1" ht="16.5" hidden="1" customHeight="1">
      <c r="A2226" s="1156"/>
      <c r="B2226" s="1331"/>
      <c r="C2226" s="1332"/>
      <c r="D2226" s="1333"/>
      <c r="E2226" s="1334"/>
      <c r="F2226" s="1335"/>
      <c r="G2226" s="1335"/>
      <c r="H2226" s="1335"/>
      <c r="I2226" s="1336"/>
      <c r="J2226" s="1168"/>
      <c r="K2226" s="1169"/>
      <c r="L2226" s="1156"/>
      <c r="M2226" s="1169"/>
      <c r="N2226" s="1161" t="s">
        <v>2306</v>
      </c>
    </row>
    <row r="2227" spans="1:14" ht="15.75" hidden="1">
      <c r="A2227" s="1156"/>
      <c r="B2227" s="1169"/>
      <c r="C2227" s="1337"/>
      <c r="D2227" s="1171"/>
      <c r="E2227" s="1165"/>
      <c r="F2227" s="1166"/>
      <c r="G2227" s="1343"/>
      <c r="H2227" s="1156"/>
      <c r="I2227" s="1336"/>
      <c r="J2227" s="1168" t="s">
        <v>102</v>
      </c>
      <c r="K2227" s="1221">
        <f>'D&amp;W data'!H475</f>
        <v>3797</v>
      </c>
      <c r="L2227" s="1159" t="s">
        <v>2306</v>
      </c>
      <c r="M2227" s="1224">
        <f>ROUND(I2227*K2227,0)</f>
        <v>0</v>
      </c>
      <c r="N2227" s="1161" t="s">
        <v>2306</v>
      </c>
    </row>
    <row r="2228" spans="1:14" ht="27" hidden="1" customHeight="1">
      <c r="A2228" s="1156">
        <v>6</v>
      </c>
      <c r="B2228" s="1826" t="s">
        <v>1200</v>
      </c>
      <c r="C2228" s="1826"/>
      <c r="D2228" s="1826"/>
      <c r="E2228" s="1826"/>
      <c r="F2228" s="1826"/>
      <c r="G2228" s="1826"/>
      <c r="H2228" s="1826"/>
      <c r="I2228" s="1157"/>
      <c r="J2228" s="1158"/>
      <c r="K2228" s="1156"/>
      <c r="L2228" s="1156"/>
      <c r="M2228" s="1160"/>
      <c r="N2228" s="1161" t="s">
        <v>2306</v>
      </c>
    </row>
    <row r="2229" spans="1:14" s="1170" customFormat="1" ht="16.5" hidden="1" customHeight="1">
      <c r="A2229" s="1156"/>
      <c r="B2229" s="1230" t="s">
        <v>2342</v>
      </c>
      <c r="C2229" s="1351"/>
      <c r="D2229" s="1418"/>
      <c r="E2229" s="1352"/>
      <c r="F2229" s="1234"/>
      <c r="G2229" s="1234"/>
      <c r="H2229" s="1235"/>
      <c r="I2229" s="1353"/>
      <c r="J2229" s="1168"/>
      <c r="K2229" s="1169"/>
      <c r="L2229" s="1156"/>
      <c r="M2229" s="1169"/>
      <c r="N2229" s="1161" t="s">
        <v>2306</v>
      </c>
    </row>
    <row r="2230" spans="1:14" s="1170" customFormat="1" ht="16.5" hidden="1" customHeight="1">
      <c r="A2230" s="1156"/>
      <c r="B2230" s="1331"/>
      <c r="C2230" s="1332">
        <v>1</v>
      </c>
      <c r="D2230" s="1333" t="s">
        <v>273</v>
      </c>
      <c r="E2230" s="1334">
        <v>16</v>
      </c>
      <c r="F2230" s="1335">
        <v>0</v>
      </c>
      <c r="G2230" s="1335">
        <v>0</v>
      </c>
      <c r="H2230" s="1335">
        <v>0</v>
      </c>
      <c r="I2230" s="1421">
        <f>ROUND(IF(AND(F2230:H2230),C2230*E2230*F2230*G2230*H2230,IF(AND(F2230,G2230),C2230*E2230*F2230*G2230,IF(AND(F2230,H2230),C2230*E2230*F2230*H2230,IF(AND(G2230,H2230),C2230*E2230*G2230*H2230,IF(F2230,C2230*E2230*F2230,IF(G2230,C2230*E2230*G2230,IF(H2230,C2230*E2230*H2230,C2230*E2230))))))),2)</f>
        <v>16</v>
      </c>
      <c r="J2230" s="1168" t="s">
        <v>115</v>
      </c>
      <c r="K2230" s="1169"/>
      <c r="L2230" s="1156"/>
      <c r="M2230" s="1169"/>
      <c r="N2230" s="1161" t="s">
        <v>2306</v>
      </c>
    </row>
    <row r="2231" spans="1:14" s="1170" customFormat="1" ht="16.5" hidden="1" customHeight="1">
      <c r="A2231" s="1156"/>
      <c r="B2231" s="1331"/>
      <c r="C2231" s="1332"/>
      <c r="D2231" s="1333"/>
      <c r="E2231" s="1334"/>
      <c r="F2231" s="1335"/>
      <c r="G2231" s="1335"/>
      <c r="H2231" s="1335"/>
      <c r="I2231" s="1421"/>
      <c r="J2231" s="1168"/>
      <c r="K2231" s="1169"/>
      <c r="L2231" s="1156"/>
      <c r="M2231" s="1169"/>
      <c r="N2231" s="1161" t="s">
        <v>2306</v>
      </c>
    </row>
    <row r="2232" spans="1:14" ht="15.75" hidden="1">
      <c r="A2232" s="1156"/>
      <c r="B2232" s="1169"/>
      <c r="C2232" s="1337"/>
      <c r="D2232" s="1171"/>
      <c r="E2232" s="1165"/>
      <c r="F2232" s="1166"/>
      <c r="G2232" s="1343"/>
      <c r="H2232" s="1156"/>
      <c r="I2232" s="1421"/>
      <c r="J2232" s="1168" t="s">
        <v>115</v>
      </c>
      <c r="K2232" s="1221">
        <f>'D&amp;W data'!H435</f>
        <v>494.64</v>
      </c>
      <c r="L2232" s="1159" t="s">
        <v>2306</v>
      </c>
      <c r="M2232" s="1224">
        <f>ROUND(I2232*K2232,0)</f>
        <v>0</v>
      </c>
      <c r="N2232" s="1161" t="s">
        <v>2306</v>
      </c>
    </row>
    <row r="2233" spans="1:14" ht="27" hidden="1" customHeight="1">
      <c r="A2233" s="1156">
        <v>38</v>
      </c>
      <c r="B2233" s="1826" t="s">
        <v>932</v>
      </c>
      <c r="C2233" s="1826"/>
      <c r="D2233" s="1826"/>
      <c r="E2233" s="1826"/>
      <c r="F2233" s="1826"/>
      <c r="G2233" s="1826"/>
      <c r="H2233" s="1826"/>
      <c r="I2233" s="1157"/>
      <c r="J2233" s="1158"/>
      <c r="K2233" s="1156"/>
      <c r="L2233" s="1156"/>
      <c r="M2233" s="1160"/>
      <c r="N2233" s="1161" t="s">
        <v>2306</v>
      </c>
    </row>
    <row r="2234" spans="1:14" s="1170" customFormat="1" ht="16.5" hidden="1" customHeight="1">
      <c r="A2234" s="1156"/>
      <c r="B2234" s="1163" t="s">
        <v>3503</v>
      </c>
      <c r="C2234" s="1351"/>
      <c r="D2234" s="1419" t="s">
        <v>3438</v>
      </c>
      <c r="E2234" s="1352"/>
      <c r="F2234" s="1234"/>
      <c r="G2234" s="1234"/>
      <c r="H2234" s="1235"/>
      <c r="I2234" s="1353"/>
      <c r="J2234" s="1168"/>
      <c r="K2234" s="1169"/>
      <c r="L2234" s="1156"/>
      <c r="M2234" s="1169"/>
      <c r="N2234" s="1161" t="s">
        <v>2306</v>
      </c>
    </row>
    <row r="2235" spans="1:14" s="1170" customFormat="1" ht="16.5" hidden="1" customHeight="1">
      <c r="A2235" s="1156"/>
      <c r="B2235" s="1331"/>
      <c r="C2235" s="1332">
        <v>1</v>
      </c>
      <c r="D2235" s="1333" t="s">
        <v>273</v>
      </c>
      <c r="E2235" s="1334">
        <v>5</v>
      </c>
      <c r="F2235" s="1335">
        <v>0.45</v>
      </c>
      <c r="G2235" s="1335">
        <v>0</v>
      </c>
      <c r="H2235" s="1335">
        <v>0.3</v>
      </c>
      <c r="I2235" s="1336">
        <f>ROUND(IF(AND(F2235:H2235),C2235*E2235*F2235*G2235*H2235,IF(AND(F2235,G2235),C2235*E2235*F2235*G2235,IF(AND(F2235,H2235),C2235*E2235*F2235*H2235,IF(AND(G2235,H2235),C2235*E2235*G2235*H2235,IF(F2235,C2235*E2235*F2235,IF(G2235,C2235*E2235*G2235,IF(H2235,C2235*E2235*H2235,C2235*E2235))))))),2)</f>
        <v>0.68</v>
      </c>
      <c r="J2235" s="1168" t="s">
        <v>102</v>
      </c>
      <c r="K2235" s="1169"/>
      <c r="L2235" s="1156"/>
      <c r="M2235" s="1169"/>
      <c r="N2235" s="1161" t="s">
        <v>2306</v>
      </c>
    </row>
    <row r="2236" spans="1:14" s="1170" customFormat="1" ht="16.5" hidden="1" customHeight="1">
      <c r="A2236" s="1156"/>
      <c r="B2236" s="1331"/>
      <c r="C2236" s="1332"/>
      <c r="D2236" s="1333"/>
      <c r="E2236" s="1334"/>
      <c r="F2236" s="1335"/>
      <c r="G2236" s="1335"/>
      <c r="H2236" s="1335"/>
      <c r="I2236" s="1336"/>
      <c r="J2236" s="1168"/>
      <c r="K2236" s="1169"/>
      <c r="L2236" s="1156"/>
      <c r="M2236" s="1169"/>
      <c r="N2236" s="1161" t="s">
        <v>2306</v>
      </c>
    </row>
    <row r="2237" spans="1:14" ht="15.75" hidden="1">
      <c r="A2237" s="1156"/>
      <c r="B2237" s="1169"/>
      <c r="C2237" s="1337"/>
      <c r="D2237" s="1171"/>
      <c r="E2237" s="1165"/>
      <c r="F2237" s="1166"/>
      <c r="G2237" s="1343"/>
      <c r="H2237" s="1156"/>
      <c r="I2237" s="1336"/>
      <c r="J2237" s="1168" t="s">
        <v>102</v>
      </c>
      <c r="K2237" s="1221">
        <f>'D&amp;W data'!H441</f>
        <v>529.5</v>
      </c>
      <c r="L2237" s="1159" t="s">
        <v>2306</v>
      </c>
      <c r="M2237" s="1224">
        <f>ROUND(I2237*K2237,0)</f>
        <v>0</v>
      </c>
      <c r="N2237" s="1161" t="s">
        <v>2306</v>
      </c>
    </row>
    <row r="2238" spans="1:14" ht="46.5" hidden="1" customHeight="1">
      <c r="A2238" s="1156">
        <v>43</v>
      </c>
      <c r="B2238" s="1826" t="s">
        <v>185</v>
      </c>
      <c r="C2238" s="1826"/>
      <c r="D2238" s="1826"/>
      <c r="E2238" s="1826"/>
      <c r="F2238" s="1826"/>
      <c r="G2238" s="1826"/>
      <c r="H2238" s="1826"/>
      <c r="I2238" s="1157"/>
      <c r="J2238" s="1158"/>
      <c r="K2238" s="1156"/>
      <c r="L2238" s="1156"/>
      <c r="M2238" s="1160"/>
      <c r="N2238" s="1161" t="s">
        <v>2306</v>
      </c>
    </row>
    <row r="2239" spans="1:14" s="1170" customFormat="1" ht="16.5" hidden="1" customHeight="1">
      <c r="A2239" s="1156"/>
      <c r="B2239" s="1169" t="s">
        <v>3545</v>
      </c>
      <c r="C2239" s="1351"/>
      <c r="D2239" s="1548" t="s">
        <v>3650</v>
      </c>
      <c r="E2239" s="1352"/>
      <c r="F2239" s="1234"/>
      <c r="G2239" s="1234"/>
      <c r="H2239" s="1235"/>
      <c r="I2239" s="1353"/>
      <c r="J2239" s="1168"/>
      <c r="K2239" s="1169"/>
      <c r="L2239" s="1156"/>
      <c r="M2239" s="1169"/>
      <c r="N2239" s="1161" t="s">
        <v>2306</v>
      </c>
    </row>
    <row r="2240" spans="1:14" s="1170" customFormat="1" ht="16.5" hidden="1" customHeight="1">
      <c r="A2240" s="1156"/>
      <c r="B2240" s="1359" t="s">
        <v>3613</v>
      </c>
      <c r="C2240" s="1360">
        <v>1</v>
      </c>
      <c r="D2240" s="1361" t="s">
        <v>273</v>
      </c>
      <c r="E2240" s="1362">
        <v>11</v>
      </c>
      <c r="F2240" s="1401">
        <v>40</v>
      </c>
      <c r="G2240" s="1363">
        <v>0</v>
      </c>
      <c r="H2240" s="1363">
        <v>0</v>
      </c>
      <c r="I2240" s="1336">
        <f>ROUND(IF(AND(F2240:H2240),C2240*E2240*F2240*G2240*H2240,IF(AND(F2240,G2240),C2240*E2240*F2240*G2240,IF(AND(F2240,H2240),C2240*E2240*F2240*H2240,IF(AND(G2240,H2240),C2240*E2240*G2240*H2240,IF(F2240,C2240*E2240*F2240,IF(G2240,C2240*E2240*G2240,IF(H2240,C2240*E2240*H2240,C2240*E2240))))))),2)</f>
        <v>440</v>
      </c>
      <c r="J2240" s="1168" t="s">
        <v>141</v>
      </c>
      <c r="K2240" s="1169"/>
      <c r="L2240" s="1156"/>
      <c r="M2240" s="1169"/>
      <c r="N2240" s="1161" t="s">
        <v>2306</v>
      </c>
    </row>
    <row r="2241" spans="1:14" s="1170" customFormat="1" ht="16.5" hidden="1" customHeight="1">
      <c r="A2241" s="1156"/>
      <c r="B2241" s="1331"/>
      <c r="C2241" s="1332"/>
      <c r="D2241" s="1333"/>
      <c r="E2241" s="1334"/>
      <c r="F2241" s="1335"/>
      <c r="G2241" s="1335"/>
      <c r="H2241" s="1335"/>
      <c r="I2241" s="1336"/>
      <c r="J2241" s="1168"/>
      <c r="K2241" s="1169"/>
      <c r="L2241" s="1156"/>
      <c r="M2241" s="1169"/>
      <c r="N2241" s="1161" t="s">
        <v>2306</v>
      </c>
    </row>
    <row r="2242" spans="1:14" ht="15.75" hidden="1">
      <c r="A2242" s="1156"/>
      <c r="B2242" s="1169"/>
      <c r="C2242" s="1337"/>
      <c r="D2242" s="1171"/>
      <c r="E2242" s="1165"/>
      <c r="F2242" s="1166"/>
      <c r="G2242" s="1343"/>
      <c r="H2242" s="1156"/>
      <c r="I2242" s="1336"/>
      <c r="J2242" s="1168" t="s">
        <v>141</v>
      </c>
      <c r="K2242" s="1221">
        <f>data!G1222</f>
        <v>82.8</v>
      </c>
      <c r="L2242" s="1159" t="s">
        <v>2306</v>
      </c>
      <c r="M2242" s="1224">
        <f>ROUND(I2242*K2242,0)</f>
        <v>0</v>
      </c>
      <c r="N2242" s="1161" t="s">
        <v>2306</v>
      </c>
    </row>
    <row r="2243" spans="1:14" ht="65.25" hidden="1" customHeight="1">
      <c r="A2243" s="1156">
        <v>36</v>
      </c>
      <c r="B2243" s="1826" t="s">
        <v>933</v>
      </c>
      <c r="C2243" s="1826"/>
      <c r="D2243" s="1826"/>
      <c r="E2243" s="1826"/>
      <c r="F2243" s="1826"/>
      <c r="G2243" s="1826"/>
      <c r="H2243" s="1826"/>
      <c r="I2243" s="1157"/>
      <c r="J2243" s="1158"/>
      <c r="K2243" s="1156"/>
      <c r="L2243" s="1156"/>
      <c r="M2243" s="1160"/>
      <c r="N2243" s="1161" t="s">
        <v>2306</v>
      </c>
    </row>
    <row r="2244" spans="1:14" s="1170" customFormat="1" ht="16.5" hidden="1" customHeight="1">
      <c r="A2244" s="1156"/>
      <c r="B2244" s="1169" t="s">
        <v>3503</v>
      </c>
      <c r="C2244" s="1351"/>
      <c r="D2244" s="1328" t="s">
        <v>3527</v>
      </c>
      <c r="E2244" s="1352"/>
      <c r="F2244" s="1234"/>
      <c r="G2244" s="1234"/>
      <c r="H2244" s="1235"/>
      <c r="I2244" s="1353"/>
      <c r="J2244" s="1168"/>
      <c r="K2244" s="1169"/>
      <c r="L2244" s="1156"/>
      <c r="M2244" s="1169"/>
      <c r="N2244" s="1161" t="s">
        <v>2306</v>
      </c>
    </row>
    <row r="2245" spans="1:14" s="1170" customFormat="1" ht="16.5" hidden="1" customHeight="1">
      <c r="A2245" s="1156"/>
      <c r="B2245" s="1359"/>
      <c r="C2245" s="1360">
        <v>1</v>
      </c>
      <c r="D2245" s="1361" t="s">
        <v>273</v>
      </c>
      <c r="E2245" s="1362">
        <v>11</v>
      </c>
      <c r="F2245" s="1363">
        <v>1.2</v>
      </c>
      <c r="G2245" s="1363">
        <v>0</v>
      </c>
      <c r="H2245" s="1363">
        <v>1.2</v>
      </c>
      <c r="I2245" s="1336">
        <f>ROUND(IF(AND(F2245:H2245),C2245*E2245*F2245*G2245*H2245,IF(AND(F2245,G2245),C2245*E2245*F2245*G2245,IF(AND(F2245,H2245),C2245*E2245*F2245*H2245,IF(AND(G2245,H2245),C2245*E2245*G2245*H2245,IF(F2245,C2245*E2245*F2245,IF(G2245,C2245*E2245*G2245,IF(H2245,C2245*E2245*H2245,C2245*E2245))))))),2)</f>
        <v>15.84</v>
      </c>
      <c r="J2245" s="1168" t="s">
        <v>102</v>
      </c>
      <c r="K2245" s="1169"/>
      <c r="L2245" s="1156"/>
      <c r="M2245" s="1169"/>
      <c r="N2245" s="1161" t="s">
        <v>2306</v>
      </c>
    </row>
    <row r="2246" spans="1:14" s="1170" customFormat="1" ht="16.5" hidden="1" customHeight="1">
      <c r="A2246" s="1156"/>
      <c r="B2246" s="1331"/>
      <c r="C2246" s="1332"/>
      <c r="D2246" s="1333"/>
      <c r="E2246" s="1334"/>
      <c r="F2246" s="1335"/>
      <c r="G2246" s="1335"/>
      <c r="H2246" s="1335"/>
      <c r="I2246" s="1336"/>
      <c r="J2246" s="1168"/>
      <c r="K2246" s="1169"/>
      <c r="L2246" s="1156"/>
      <c r="M2246" s="1169"/>
      <c r="N2246" s="1161" t="s">
        <v>2306</v>
      </c>
    </row>
    <row r="2247" spans="1:14" ht="15.75" hidden="1">
      <c r="A2247" s="1156"/>
      <c r="B2247" s="1169"/>
      <c r="C2247" s="1337"/>
      <c r="D2247" s="1171"/>
      <c r="E2247" s="1165"/>
      <c r="F2247" s="1166"/>
      <c r="G2247" s="1343"/>
      <c r="H2247" s="1156"/>
      <c r="I2247" s="1336"/>
      <c r="J2247" s="1168" t="s">
        <v>102</v>
      </c>
      <c r="K2247" s="1221">
        <f>data!G1230</f>
        <v>2324.02</v>
      </c>
      <c r="L2247" s="1159" t="s">
        <v>2306</v>
      </c>
      <c r="M2247" s="1224">
        <f>ROUND(I2247*K2247,0)</f>
        <v>0</v>
      </c>
      <c r="N2247" s="1161" t="s">
        <v>2306</v>
      </c>
    </row>
    <row r="2248" spans="1:14" ht="42.75" hidden="1" customHeight="1">
      <c r="A2248" s="1156">
        <v>51</v>
      </c>
      <c r="B2248" s="1826" t="s">
        <v>626</v>
      </c>
      <c r="C2248" s="1826"/>
      <c r="D2248" s="1826"/>
      <c r="E2248" s="1826"/>
      <c r="F2248" s="1826"/>
      <c r="G2248" s="1826"/>
      <c r="H2248" s="1826"/>
      <c r="I2248" s="1157"/>
      <c r="J2248" s="1158"/>
      <c r="K2248" s="1156"/>
      <c r="L2248" s="1156"/>
      <c r="M2248" s="1160"/>
      <c r="N2248" s="1161" t="s">
        <v>2306</v>
      </c>
    </row>
    <row r="2249" spans="1:14" s="1170" customFormat="1" ht="16.5" hidden="1" customHeight="1">
      <c r="A2249" s="1156"/>
      <c r="B2249" s="1230" t="s">
        <v>2345</v>
      </c>
      <c r="C2249" s="1351"/>
      <c r="D2249" s="1418"/>
      <c r="E2249" s="1352"/>
      <c r="F2249" s="1234"/>
      <c r="G2249" s="1234"/>
      <c r="H2249" s="1235"/>
      <c r="I2249" s="1353"/>
      <c r="J2249" s="1168"/>
      <c r="K2249" s="1169"/>
      <c r="L2249" s="1156"/>
      <c r="M2249" s="1169"/>
      <c r="N2249" s="1161" t="s">
        <v>2306</v>
      </c>
    </row>
    <row r="2250" spans="1:14" s="1170" customFormat="1" ht="16.5" hidden="1" customHeight="1">
      <c r="A2250" s="1156"/>
      <c r="B2250" s="1331" t="s">
        <v>661</v>
      </c>
      <c r="C2250" s="1332">
        <v>1</v>
      </c>
      <c r="D2250" s="1333" t="s">
        <v>273</v>
      </c>
      <c r="E2250" s="1334">
        <v>1</v>
      </c>
      <c r="F2250" s="1550">
        <v>58.6</v>
      </c>
      <c r="G2250" s="1335">
        <v>0</v>
      </c>
      <c r="H2250" s="1335">
        <v>0</v>
      </c>
      <c r="I2250" s="1336">
        <f>ROUND(IF(AND(F2250:H2250),C2250*E2250*F2250*G2250*H2250,IF(AND(F2250,G2250),C2250*E2250*F2250*G2250,IF(AND(F2250,H2250),C2250*E2250*F2250*H2250,IF(AND(G2250,H2250),C2250*E2250*G2250*H2250,IF(F2250,C2250*E2250*F2250,IF(G2250,C2250*E2250*G2250,IF(H2250,C2250*E2250*H2250,C2250*E2250))))))),2)</f>
        <v>58.6</v>
      </c>
      <c r="J2250" s="1168" t="s">
        <v>141</v>
      </c>
      <c r="K2250" s="1169"/>
      <c r="L2250" s="1156"/>
      <c r="M2250" s="1169"/>
      <c r="N2250" s="1161" t="s">
        <v>2306</v>
      </c>
    </row>
    <row r="2251" spans="1:14" s="1170" customFormat="1" ht="16.5" hidden="1" customHeight="1">
      <c r="A2251" s="1156"/>
      <c r="B2251" s="1331"/>
      <c r="C2251" s="1332"/>
      <c r="D2251" s="1333"/>
      <c r="E2251" s="1334"/>
      <c r="F2251" s="1550"/>
      <c r="G2251" s="1335"/>
      <c r="H2251" s="1335"/>
      <c r="I2251" s="1336"/>
      <c r="J2251" s="1168"/>
      <c r="K2251" s="1169"/>
      <c r="L2251" s="1156"/>
      <c r="M2251" s="1169"/>
      <c r="N2251" s="1161" t="s">
        <v>2306</v>
      </c>
    </row>
    <row r="2252" spans="1:14" ht="15.75" hidden="1">
      <c r="A2252" s="1156"/>
      <c r="B2252" s="1169"/>
      <c r="C2252" s="1337"/>
      <c r="D2252" s="1171"/>
      <c r="E2252" s="1165"/>
      <c r="F2252" s="1166"/>
      <c r="G2252" s="1343"/>
      <c r="H2252" s="1156"/>
      <c r="I2252" s="1336"/>
      <c r="J2252" s="1168" t="s">
        <v>141</v>
      </c>
      <c r="K2252" s="1221">
        <f>data!G1237</f>
        <v>106.5</v>
      </c>
      <c r="L2252" s="1159" t="s">
        <v>2306</v>
      </c>
      <c r="M2252" s="1224">
        <f>ROUND(I2252*K2252,0)</f>
        <v>0</v>
      </c>
      <c r="N2252" s="1161" t="s">
        <v>2306</v>
      </c>
    </row>
    <row r="2253" spans="1:14" ht="132" hidden="1" customHeight="1">
      <c r="A2253" s="1156">
        <v>5</v>
      </c>
      <c r="B2253" s="1826" t="s">
        <v>928</v>
      </c>
      <c r="C2253" s="1826"/>
      <c r="D2253" s="1826"/>
      <c r="E2253" s="1826"/>
      <c r="F2253" s="1826"/>
      <c r="G2253" s="1826"/>
      <c r="H2253" s="1826"/>
      <c r="I2253" s="1157"/>
      <c r="J2253" s="1158"/>
      <c r="K2253" s="1156"/>
      <c r="L2253" s="1156"/>
      <c r="M2253" s="1160"/>
      <c r="N2253" s="1161" t="s">
        <v>2306</v>
      </c>
    </row>
    <row r="2254" spans="1:14" s="1170" customFormat="1" ht="16.5" hidden="1" customHeight="1">
      <c r="A2254" s="1156"/>
      <c r="B2254" s="1169" t="s">
        <v>2785</v>
      </c>
      <c r="C2254" s="1351"/>
      <c r="D2254" s="1418"/>
      <c r="E2254" s="1352"/>
      <c r="F2254" s="1234"/>
      <c r="G2254" s="1234"/>
      <c r="H2254" s="1235"/>
      <c r="I2254" s="1353"/>
      <c r="J2254" s="1168"/>
      <c r="K2254" s="1169"/>
      <c r="L2254" s="1156"/>
      <c r="M2254" s="1169"/>
      <c r="N2254" s="1161" t="s">
        <v>2306</v>
      </c>
    </row>
    <row r="2255" spans="1:14" s="1170" customFormat="1" ht="16.5" hidden="1" customHeight="1">
      <c r="A2255" s="1156"/>
      <c r="B2255" s="1331" t="s">
        <v>578</v>
      </c>
      <c r="C2255" s="1332">
        <v>1</v>
      </c>
      <c r="D2255" s="1333" t="s">
        <v>273</v>
      </c>
      <c r="E2255" s="1334">
        <v>1</v>
      </c>
      <c r="F2255" s="1550">
        <v>11.15</v>
      </c>
      <c r="G2255" s="1335">
        <v>0</v>
      </c>
      <c r="H2255" s="1335">
        <v>0.85</v>
      </c>
      <c r="I2255" s="1336">
        <f>ROUND(IF(AND(F2255:H2255),C2255*E2255*F2255*G2255*H2255,IF(AND(F2255,G2255),C2255*E2255*F2255*G2255,IF(AND(F2255,H2255),C2255*E2255*F2255*H2255,IF(AND(G2255,H2255),C2255*E2255*G2255*H2255,IF(F2255,C2255*E2255*F2255,IF(G2255,C2255*E2255*G2255,IF(H2255,C2255*E2255*H2255,C2255*E2255))))))),2)</f>
        <v>9.48</v>
      </c>
      <c r="J2255" s="1168" t="s">
        <v>102</v>
      </c>
      <c r="K2255" s="1169"/>
      <c r="L2255" s="1156"/>
      <c r="M2255" s="1169"/>
      <c r="N2255" s="1161" t="s">
        <v>2306</v>
      </c>
    </row>
    <row r="2256" spans="1:14" s="1170" customFormat="1" ht="16.5" hidden="1" customHeight="1">
      <c r="A2256" s="1156"/>
      <c r="B2256" s="1331" t="s">
        <v>2756</v>
      </c>
      <c r="C2256" s="1332">
        <v>1</v>
      </c>
      <c r="D2256" s="1333" t="s">
        <v>273</v>
      </c>
      <c r="E2256" s="1334">
        <v>1</v>
      </c>
      <c r="F2256" s="1550">
        <v>7.5</v>
      </c>
      <c r="G2256" s="1335">
        <v>0</v>
      </c>
      <c r="H2256" s="1335">
        <v>0.85</v>
      </c>
      <c r="I2256" s="1336">
        <f>ROUND(IF(AND(F2256:H2256),C2256*E2256*F2256*G2256*H2256,IF(AND(F2256,G2256),C2256*E2256*F2256*G2256,IF(AND(F2256,H2256),C2256*E2256*F2256*H2256,IF(AND(G2256,H2256),C2256*E2256*G2256*H2256,IF(F2256,C2256*E2256*F2256,IF(G2256,C2256*E2256*G2256,IF(H2256,C2256*E2256*H2256,C2256*E2256))))))),2)</f>
        <v>6.38</v>
      </c>
      <c r="J2256" s="1168" t="s">
        <v>102</v>
      </c>
      <c r="K2256" s="1169"/>
      <c r="L2256" s="1156"/>
      <c r="M2256" s="1169"/>
      <c r="N2256" s="1161" t="s">
        <v>2306</v>
      </c>
    </row>
    <row r="2257" spans="1:14" s="1170" customFormat="1" ht="16.5" hidden="1" customHeight="1">
      <c r="A2257" s="1156"/>
      <c r="B2257" s="1331" t="s">
        <v>2757</v>
      </c>
      <c r="C2257" s="1332">
        <v>1</v>
      </c>
      <c r="D2257" s="1333" t="s">
        <v>273</v>
      </c>
      <c r="E2257" s="1334">
        <v>1</v>
      </c>
      <c r="F2257" s="1550">
        <v>7.5</v>
      </c>
      <c r="G2257" s="1335">
        <v>0</v>
      </c>
      <c r="H2257" s="1335">
        <v>0.85</v>
      </c>
      <c r="I2257" s="1336">
        <f>ROUND(IF(AND(F2257:H2257),C2257*E2257*F2257*G2257*H2257,IF(AND(F2257,G2257),C2257*E2257*F2257*G2257,IF(AND(F2257,H2257),C2257*E2257*F2257*H2257,IF(AND(G2257,H2257),C2257*E2257*G2257*H2257,IF(F2257,C2257*E2257*F2257,IF(G2257,C2257*E2257*G2257,IF(H2257,C2257*E2257*H2257,C2257*E2257))))))),2)</f>
        <v>6.38</v>
      </c>
      <c r="J2257" s="1168" t="s">
        <v>102</v>
      </c>
      <c r="K2257" s="1169"/>
      <c r="L2257" s="1156"/>
      <c r="M2257" s="1169"/>
      <c r="N2257" s="1161" t="s">
        <v>2306</v>
      </c>
    </row>
    <row r="2258" spans="1:14" s="1170" customFormat="1" ht="16.5" hidden="1" customHeight="1">
      <c r="A2258" s="1156"/>
      <c r="B2258" s="1331"/>
      <c r="C2258" s="1332"/>
      <c r="D2258" s="1333"/>
      <c r="E2258" s="1334"/>
      <c r="F2258" s="1550"/>
      <c r="G2258" s="1335"/>
      <c r="H2258" s="1335"/>
      <c r="I2258" s="1336"/>
      <c r="J2258" s="1168"/>
      <c r="K2258" s="1169"/>
      <c r="L2258" s="1156"/>
      <c r="M2258" s="1169"/>
      <c r="N2258" s="1161" t="s">
        <v>2306</v>
      </c>
    </row>
    <row r="2259" spans="1:14" ht="15.75" hidden="1">
      <c r="A2259" s="1156"/>
      <c r="B2259" s="1169"/>
      <c r="C2259" s="1337"/>
      <c r="D2259" s="1171"/>
      <c r="E2259" s="1165"/>
      <c r="F2259" s="1166"/>
      <c r="G2259" s="1343"/>
      <c r="H2259" s="1156"/>
      <c r="I2259" s="1336"/>
      <c r="J2259" s="1168" t="s">
        <v>102</v>
      </c>
      <c r="K2259" s="1221">
        <f>data!G1251</f>
        <v>2839.34</v>
      </c>
      <c r="L2259" s="1159" t="s">
        <v>2306</v>
      </c>
      <c r="M2259" s="1224">
        <f>ROUND(I2259*K2259,0)</f>
        <v>0</v>
      </c>
      <c r="N2259" s="1161" t="s">
        <v>2306</v>
      </c>
    </row>
    <row r="2260" spans="1:14" ht="96.75" hidden="1" customHeight="1">
      <c r="A2260" s="1156">
        <v>4</v>
      </c>
      <c r="B2260" s="1826" t="s">
        <v>1638</v>
      </c>
      <c r="C2260" s="1826"/>
      <c r="D2260" s="1826"/>
      <c r="E2260" s="1826"/>
      <c r="F2260" s="1826"/>
      <c r="G2260" s="1826"/>
      <c r="H2260" s="1826"/>
      <c r="I2260" s="1157"/>
      <c r="J2260" s="1158"/>
      <c r="K2260" s="1156"/>
      <c r="L2260" s="1156"/>
      <c r="M2260" s="1160"/>
      <c r="N2260" s="1161" t="s">
        <v>2306</v>
      </c>
    </row>
    <row r="2261" spans="1:14" s="1170" customFormat="1" ht="16.5" hidden="1" customHeight="1">
      <c r="A2261" s="1156"/>
      <c r="B2261" s="1169" t="s">
        <v>2346</v>
      </c>
      <c r="C2261" s="1351"/>
      <c r="D2261" s="1418"/>
      <c r="E2261" s="1352"/>
      <c r="F2261" s="1234"/>
      <c r="G2261" s="1234"/>
      <c r="H2261" s="1235"/>
      <c r="I2261" s="1353"/>
      <c r="J2261" s="1168"/>
      <c r="K2261" s="1169"/>
      <c r="L2261" s="1156"/>
      <c r="M2261" s="1169"/>
      <c r="N2261" s="1161" t="s">
        <v>2306</v>
      </c>
    </row>
    <row r="2262" spans="1:14" s="1170" customFormat="1" ht="16.5" hidden="1" customHeight="1">
      <c r="A2262" s="1156"/>
      <c r="B2262" s="1331" t="s">
        <v>578</v>
      </c>
      <c r="C2262" s="1332">
        <v>1</v>
      </c>
      <c r="D2262" s="1333" t="s">
        <v>273</v>
      </c>
      <c r="E2262" s="1334">
        <v>1</v>
      </c>
      <c r="F2262" s="1550">
        <v>3.3</v>
      </c>
      <c r="G2262" s="1335">
        <v>0</v>
      </c>
      <c r="H2262" s="1335">
        <v>0.87</v>
      </c>
      <c r="I2262" s="1336">
        <f>ROUND(IF(AND(F2262:H2262),C2262*E2262*F2262*G2262*H2262,IF(AND(F2262,G2262),C2262*E2262*F2262*G2262,IF(AND(F2262,H2262),C2262*E2262*F2262*H2262,IF(AND(G2262,H2262),C2262*E2262*G2262*H2262,IF(F2262,C2262*E2262*F2262,IF(G2262,C2262*E2262*G2262,IF(H2262,C2262*E2262*H2262,C2262*E2262))))))),2)</f>
        <v>2.87</v>
      </c>
      <c r="J2262" s="1168" t="s">
        <v>102</v>
      </c>
      <c r="K2262" s="1169"/>
      <c r="L2262" s="1156"/>
      <c r="M2262" s="1169"/>
      <c r="N2262" s="1161" t="s">
        <v>2306</v>
      </c>
    </row>
    <row r="2263" spans="1:14" s="1170" customFormat="1" ht="16.5" hidden="1" customHeight="1">
      <c r="A2263" s="1156"/>
      <c r="B2263" s="1331"/>
      <c r="C2263" s="1332">
        <v>1</v>
      </c>
      <c r="D2263" s="1333" t="s">
        <v>273</v>
      </c>
      <c r="E2263" s="1334">
        <v>1</v>
      </c>
      <c r="F2263" s="1550">
        <v>1</v>
      </c>
      <c r="G2263" s="1335">
        <v>0</v>
      </c>
      <c r="H2263" s="1335">
        <v>0.87</v>
      </c>
      <c r="I2263" s="1336">
        <f>ROUND(IF(AND(F2263:H2263),C2263*E2263*F2263*G2263*H2263,IF(AND(F2263,G2263),C2263*E2263*F2263*G2263,IF(AND(F2263,H2263),C2263*E2263*F2263*H2263,IF(AND(G2263,H2263),C2263*E2263*G2263*H2263,IF(F2263,C2263*E2263*F2263,IF(G2263,C2263*E2263*G2263,IF(H2263,C2263*E2263*H2263,C2263*E2263))))))),2)</f>
        <v>0.87</v>
      </c>
      <c r="J2263" s="1168" t="s">
        <v>102</v>
      </c>
      <c r="K2263" s="1169"/>
      <c r="L2263" s="1156"/>
      <c r="M2263" s="1169"/>
      <c r="N2263" s="1161" t="s">
        <v>2306</v>
      </c>
    </row>
    <row r="2264" spans="1:14" s="1170" customFormat="1" ht="16.5" hidden="1" customHeight="1">
      <c r="A2264" s="1156"/>
      <c r="B2264" s="1331" t="s">
        <v>654</v>
      </c>
      <c r="C2264" s="1332">
        <v>1</v>
      </c>
      <c r="D2264" s="1333" t="s">
        <v>273</v>
      </c>
      <c r="E2264" s="1334">
        <v>1</v>
      </c>
      <c r="F2264" s="1550">
        <v>1.45</v>
      </c>
      <c r="G2264" s="1335">
        <v>0</v>
      </c>
      <c r="H2264" s="1335">
        <v>0.87</v>
      </c>
      <c r="I2264" s="1336">
        <f>ROUND(IF(AND(F2264:H2264),C2264*E2264*F2264*G2264*H2264,IF(AND(F2264,G2264),C2264*E2264*F2264*G2264,IF(AND(F2264,H2264),C2264*E2264*F2264*H2264,IF(AND(G2264,H2264),C2264*E2264*G2264*H2264,IF(F2264,C2264*E2264*F2264,IF(G2264,C2264*E2264*G2264,IF(H2264,C2264*E2264*H2264,C2264*E2264))))))),2)</f>
        <v>1.26</v>
      </c>
      <c r="J2264" s="1168" t="s">
        <v>102</v>
      </c>
      <c r="K2264" s="1169"/>
      <c r="L2264" s="1156"/>
      <c r="M2264" s="1169"/>
      <c r="N2264" s="1161" t="s">
        <v>2306</v>
      </c>
    </row>
    <row r="2265" spans="1:14" s="1170" customFormat="1" ht="16.5" hidden="1" customHeight="1">
      <c r="A2265" s="1156"/>
      <c r="B2265" s="1331"/>
      <c r="C2265" s="1332">
        <v>1</v>
      </c>
      <c r="D2265" s="1333" t="s">
        <v>273</v>
      </c>
      <c r="E2265" s="1334">
        <v>1</v>
      </c>
      <c r="F2265" s="1550">
        <v>2.57</v>
      </c>
      <c r="G2265" s="1335">
        <v>0</v>
      </c>
      <c r="H2265" s="1335">
        <v>0.87</v>
      </c>
      <c r="I2265" s="1336">
        <f>ROUND(IF(AND(F2265:H2265),C2265*E2265*F2265*G2265*H2265,IF(AND(F2265,G2265),C2265*E2265*F2265*G2265,IF(AND(F2265,H2265),C2265*E2265*F2265*H2265,IF(AND(G2265,H2265),C2265*E2265*G2265*H2265,IF(F2265,C2265*E2265*F2265,IF(G2265,C2265*E2265*G2265,IF(H2265,C2265*E2265*H2265,C2265*E2265))))))),2)</f>
        <v>2.2400000000000002</v>
      </c>
      <c r="J2265" s="1168" t="s">
        <v>102</v>
      </c>
      <c r="K2265" s="1169"/>
      <c r="L2265" s="1156"/>
      <c r="M2265" s="1169"/>
      <c r="N2265" s="1161" t="s">
        <v>2306</v>
      </c>
    </row>
    <row r="2266" spans="1:14" s="1170" customFormat="1" ht="16.5" hidden="1" customHeight="1">
      <c r="A2266" s="1156"/>
      <c r="B2266" s="1331"/>
      <c r="C2266" s="1332"/>
      <c r="D2266" s="1333"/>
      <c r="E2266" s="1334"/>
      <c r="F2266" s="1550"/>
      <c r="G2266" s="1335"/>
      <c r="H2266" s="1335"/>
      <c r="I2266" s="1336"/>
      <c r="J2266" s="1168"/>
      <c r="K2266" s="1169"/>
      <c r="L2266" s="1156"/>
      <c r="M2266" s="1169"/>
      <c r="N2266" s="1161" t="s">
        <v>2306</v>
      </c>
    </row>
    <row r="2267" spans="1:14" ht="15.75" hidden="1">
      <c r="A2267" s="1156"/>
      <c r="B2267" s="1169"/>
      <c r="C2267" s="1337"/>
      <c r="D2267" s="1171"/>
      <c r="E2267" s="1165"/>
      <c r="F2267" s="1166"/>
      <c r="G2267" s="1343"/>
      <c r="H2267" s="1156"/>
      <c r="I2267" s="1336"/>
      <c r="J2267" s="1168" t="s">
        <v>102</v>
      </c>
      <c r="K2267" s="1221">
        <f>data!G1262</f>
        <v>1258.8900000000001</v>
      </c>
      <c r="L2267" s="1159" t="s">
        <v>2306</v>
      </c>
      <c r="M2267" s="1224">
        <f>ROUND(I2267*K2267,0)</f>
        <v>0</v>
      </c>
      <c r="N2267" s="1161" t="s">
        <v>2306</v>
      </c>
    </row>
    <row r="2268" spans="1:14" ht="31.5" hidden="1" customHeight="1">
      <c r="A2268" s="1156">
        <v>4</v>
      </c>
      <c r="B2268" s="1826" t="s">
        <v>2295</v>
      </c>
      <c r="C2268" s="1826"/>
      <c r="D2268" s="1826"/>
      <c r="E2268" s="1826"/>
      <c r="F2268" s="1826"/>
      <c r="G2268" s="1826"/>
      <c r="H2268" s="1826"/>
      <c r="I2268" s="1157"/>
      <c r="J2268" s="1158"/>
      <c r="K2268" s="1156"/>
      <c r="L2268" s="1156"/>
      <c r="M2268" s="1160"/>
      <c r="N2268" s="1161" t="s">
        <v>2306</v>
      </c>
    </row>
    <row r="2269" spans="1:14" s="1170" customFormat="1" ht="16.5" hidden="1" customHeight="1">
      <c r="A2269" s="1156"/>
      <c r="B2269" s="1169" t="s">
        <v>2346</v>
      </c>
      <c r="C2269" s="1351"/>
      <c r="D2269" s="1418"/>
      <c r="E2269" s="1352"/>
      <c r="F2269" s="1234"/>
      <c r="G2269" s="1234"/>
      <c r="H2269" s="1235"/>
      <c r="I2269" s="1353"/>
      <c r="J2269" s="1168"/>
      <c r="K2269" s="1169"/>
      <c r="L2269" s="1156"/>
      <c r="M2269" s="1169"/>
      <c r="N2269" s="1161" t="s">
        <v>2306</v>
      </c>
    </row>
    <row r="2270" spans="1:14" s="1170" customFormat="1" ht="16.5" hidden="1" customHeight="1">
      <c r="A2270" s="1156"/>
      <c r="B2270" s="1331"/>
      <c r="C2270" s="1332">
        <v>1</v>
      </c>
      <c r="D2270" s="1333" t="s">
        <v>273</v>
      </c>
      <c r="E2270" s="1334">
        <v>1</v>
      </c>
      <c r="F2270" s="1550">
        <v>0.5</v>
      </c>
      <c r="G2270" s="1335">
        <v>0</v>
      </c>
      <c r="H2270" s="1335">
        <v>0</v>
      </c>
      <c r="I2270" s="1336">
        <f>ROUND(IF(AND(F2270:H2270),C2270*E2270*F2270*G2270*H2270,IF(AND(F2270,G2270),C2270*E2270*F2270*G2270,IF(AND(F2270,H2270),C2270*E2270*F2270*H2270,IF(AND(G2270,H2270),C2270*E2270*G2270*H2270,IF(F2270,C2270*E2270*F2270,IF(G2270,C2270*E2270*G2270,IF(H2270,C2270*E2270*H2270,C2270*E2270))))))),2)</f>
        <v>0.5</v>
      </c>
      <c r="J2270" s="1168" t="s">
        <v>4</v>
      </c>
      <c r="K2270" s="1169"/>
      <c r="L2270" s="1156"/>
      <c r="M2270" s="1169"/>
      <c r="N2270" s="1161" t="s">
        <v>2306</v>
      </c>
    </row>
    <row r="2271" spans="1:14" s="1170" customFormat="1" ht="16.5" hidden="1" customHeight="1">
      <c r="A2271" s="1156"/>
      <c r="B2271" s="1331"/>
      <c r="C2271" s="1332"/>
      <c r="D2271" s="1333"/>
      <c r="E2271" s="1334"/>
      <c r="F2271" s="1550"/>
      <c r="G2271" s="1335"/>
      <c r="H2271" s="1335"/>
      <c r="I2271" s="1336"/>
      <c r="J2271" s="1168"/>
      <c r="K2271" s="1169"/>
      <c r="L2271" s="1156"/>
      <c r="M2271" s="1169"/>
      <c r="N2271" s="1161" t="s">
        <v>2306</v>
      </c>
    </row>
    <row r="2272" spans="1:14" ht="15.75" hidden="1">
      <c r="A2272" s="1156"/>
      <c r="B2272" s="1169"/>
      <c r="C2272" s="1337"/>
      <c r="D2272" s="1171"/>
      <c r="E2272" s="1165"/>
      <c r="F2272" s="1166"/>
      <c r="G2272" s="1343"/>
      <c r="H2272" s="1156"/>
      <c r="I2272" s="1336"/>
      <c r="J2272" s="1168" t="s">
        <v>4</v>
      </c>
      <c r="K2272" s="1221">
        <f>data!G1266</f>
        <v>470.28</v>
      </c>
      <c r="L2272" s="1159" t="s">
        <v>2306</v>
      </c>
      <c r="M2272" s="1224">
        <f>ROUND(I2272*K2272,0)</f>
        <v>0</v>
      </c>
      <c r="N2272" s="1161" t="s">
        <v>2306</v>
      </c>
    </row>
    <row r="2273" spans="1:14" ht="30.75" hidden="1" customHeight="1">
      <c r="A2273" s="1156">
        <v>7</v>
      </c>
      <c r="B2273" s="1826" t="s">
        <v>958</v>
      </c>
      <c r="C2273" s="1826"/>
      <c r="D2273" s="1826"/>
      <c r="E2273" s="1826"/>
      <c r="F2273" s="1826"/>
      <c r="G2273" s="1826"/>
      <c r="H2273" s="1826"/>
      <c r="I2273" s="1157"/>
      <c r="J2273" s="1158"/>
      <c r="K2273" s="1156"/>
      <c r="L2273" s="1156"/>
      <c r="M2273" s="1160"/>
      <c r="N2273" s="1161" t="s">
        <v>2306</v>
      </c>
    </row>
    <row r="2274" spans="1:14" s="1170" customFormat="1" ht="16.5" hidden="1" customHeight="1">
      <c r="A2274" s="1156"/>
      <c r="B2274" s="1169" t="s">
        <v>2107</v>
      </c>
      <c r="C2274" s="1351"/>
      <c r="D2274" s="1418"/>
      <c r="E2274" s="1352"/>
      <c r="F2274" s="1234"/>
      <c r="G2274" s="1234"/>
      <c r="H2274" s="1235"/>
      <c r="I2274" s="1353"/>
      <c r="J2274" s="1168"/>
      <c r="K2274" s="1169"/>
      <c r="L2274" s="1156"/>
      <c r="M2274" s="1169"/>
      <c r="N2274" s="1161" t="s">
        <v>2306</v>
      </c>
    </row>
    <row r="2275" spans="1:14" s="1170" customFormat="1" ht="16.5" hidden="1" customHeight="1">
      <c r="A2275" s="1156"/>
      <c r="B2275" s="1331" t="s">
        <v>939</v>
      </c>
      <c r="C2275" s="1332">
        <v>1</v>
      </c>
      <c r="D2275" s="1333" t="s">
        <v>273</v>
      </c>
      <c r="E2275" s="1334">
        <v>11</v>
      </c>
      <c r="F2275" s="1550">
        <v>1.25</v>
      </c>
      <c r="G2275" s="1335">
        <v>0</v>
      </c>
      <c r="H2275" s="1335">
        <v>0</v>
      </c>
      <c r="I2275" s="1336">
        <f>ROUND(IF(AND(F2275:H2275),C2275*E2275*F2275*G2275*H2275,IF(AND(F2275,G2275),C2275*E2275*F2275*G2275,IF(AND(F2275,H2275),C2275*E2275*F2275*H2275,IF(AND(G2275,H2275),C2275*E2275*G2275*H2275,IF(F2275,C2275*E2275*F2275,IF(G2275,C2275*E2275*G2275,IF(H2275,C2275*E2275*H2275,C2275*E2275))))))),2)</f>
        <v>13.75</v>
      </c>
      <c r="J2275" s="1168" t="s">
        <v>277</v>
      </c>
      <c r="K2275" s="1169"/>
      <c r="L2275" s="1156"/>
      <c r="M2275" s="1169"/>
      <c r="N2275" s="1161" t="s">
        <v>2306</v>
      </c>
    </row>
    <row r="2276" spans="1:14" s="1170" customFormat="1" ht="16.5" hidden="1" customHeight="1">
      <c r="A2276" s="1156"/>
      <c r="B2276" s="1331" t="s">
        <v>940</v>
      </c>
      <c r="C2276" s="1332">
        <v>1</v>
      </c>
      <c r="D2276" s="1333" t="s">
        <v>273</v>
      </c>
      <c r="E2276" s="1334">
        <v>11</v>
      </c>
      <c r="F2276" s="1550">
        <v>1.25</v>
      </c>
      <c r="G2276" s="1335">
        <v>0</v>
      </c>
      <c r="H2276" s="1335">
        <v>0</v>
      </c>
      <c r="I2276" s="1336">
        <f>ROUND(IF(AND(F2276:H2276),C2276*E2276*F2276*G2276*H2276,IF(AND(F2276,G2276),C2276*E2276*F2276*G2276,IF(AND(F2276,H2276),C2276*E2276*F2276*H2276,IF(AND(G2276,H2276),C2276*E2276*G2276*H2276,IF(F2276,C2276*E2276*F2276,IF(G2276,C2276*E2276*G2276,IF(H2276,C2276*E2276*H2276,C2276*E2276))))))),2)</f>
        <v>13.75</v>
      </c>
      <c r="J2276" s="1168" t="s">
        <v>277</v>
      </c>
      <c r="K2276" s="1169"/>
      <c r="L2276" s="1156"/>
      <c r="M2276" s="1169"/>
      <c r="N2276" s="1161" t="s">
        <v>2306</v>
      </c>
    </row>
    <row r="2277" spans="1:14" s="1170" customFormat="1" ht="16.5" hidden="1" customHeight="1">
      <c r="A2277" s="1156"/>
      <c r="B2277" s="1230" t="s">
        <v>584</v>
      </c>
      <c r="C2277" s="1351"/>
      <c r="D2277" s="1418"/>
      <c r="E2277" s="1352"/>
      <c r="F2277" s="1234"/>
      <c r="G2277" s="1234"/>
      <c r="H2277" s="1235"/>
      <c r="I2277" s="1353"/>
      <c r="J2277" s="1168"/>
      <c r="K2277" s="1169"/>
      <c r="L2277" s="1156"/>
      <c r="M2277" s="1169"/>
      <c r="N2277" s="1161" t="s">
        <v>2306</v>
      </c>
    </row>
    <row r="2278" spans="1:14" s="1170" customFormat="1" ht="16.5" hidden="1" customHeight="1">
      <c r="A2278" s="1156"/>
      <c r="B2278" s="1331" t="s">
        <v>939</v>
      </c>
      <c r="C2278" s="1332">
        <v>1</v>
      </c>
      <c r="D2278" s="1333" t="s">
        <v>273</v>
      </c>
      <c r="E2278" s="1334">
        <v>7</v>
      </c>
      <c r="F2278" s="1550">
        <v>1.25</v>
      </c>
      <c r="G2278" s="1335">
        <v>0</v>
      </c>
      <c r="H2278" s="1335">
        <v>0</v>
      </c>
      <c r="I2278" s="1336">
        <f>ROUND(IF(AND(F2278:H2278),C2278*E2278*F2278*G2278*H2278,IF(AND(F2278,G2278),C2278*E2278*F2278*G2278,IF(AND(F2278,H2278),C2278*E2278*F2278*H2278,IF(AND(G2278,H2278),C2278*E2278*G2278*H2278,IF(F2278,C2278*E2278*F2278,IF(G2278,C2278*E2278*G2278,IF(H2278,C2278*E2278*H2278,C2278*E2278))))))),2)</f>
        <v>8.75</v>
      </c>
      <c r="J2278" s="1168" t="s">
        <v>277</v>
      </c>
      <c r="K2278" s="1169"/>
      <c r="L2278" s="1156"/>
      <c r="M2278" s="1169"/>
      <c r="N2278" s="1161" t="s">
        <v>2306</v>
      </c>
    </row>
    <row r="2279" spans="1:14" s="1170" customFormat="1" ht="16.5" hidden="1" customHeight="1">
      <c r="A2279" s="1156"/>
      <c r="B2279" s="1331"/>
      <c r="C2279" s="1332"/>
      <c r="D2279" s="1333"/>
      <c r="E2279" s="1334"/>
      <c r="F2279" s="1550"/>
      <c r="G2279" s="1335"/>
      <c r="H2279" s="1335"/>
      <c r="I2279" s="1336"/>
      <c r="J2279" s="1168"/>
      <c r="K2279" s="1169"/>
      <c r="L2279" s="1156"/>
      <c r="M2279" s="1169"/>
      <c r="N2279" s="1161" t="s">
        <v>2306</v>
      </c>
    </row>
    <row r="2280" spans="1:14" ht="15.75" hidden="1">
      <c r="A2280" s="1156"/>
      <c r="B2280" s="1169"/>
      <c r="C2280" s="1337"/>
      <c r="D2280" s="1171"/>
      <c r="E2280" s="1165"/>
      <c r="F2280" s="1166"/>
      <c r="G2280" s="1343"/>
      <c r="H2280" s="1156"/>
      <c r="I2280" s="1336"/>
      <c r="J2280" s="1168" t="s">
        <v>277</v>
      </c>
      <c r="K2280" s="1221">
        <f>data!G1541</f>
        <v>412</v>
      </c>
      <c r="L2280" s="1159" t="s">
        <v>2306</v>
      </c>
      <c r="M2280" s="1224">
        <f>ROUND(I2280*K2280,0)</f>
        <v>0</v>
      </c>
      <c r="N2280" s="1161" t="s">
        <v>2306</v>
      </c>
    </row>
    <row r="2281" spans="1:14" s="1320" customFormat="1" ht="15.75" hidden="1">
      <c r="A2281" s="1212"/>
      <c r="B2281" s="1212" t="s">
        <v>2221</v>
      </c>
      <c r="C2281" s="1212"/>
      <c r="D2281" s="1212"/>
      <c r="E2281" s="1212"/>
      <c r="F2281" s="1240"/>
      <c r="G2281" s="1240"/>
      <c r="H2281" s="1212"/>
      <c r="I2281" s="1546"/>
      <c r="J2281" s="1547"/>
      <c r="K2281" s="1212"/>
      <c r="L2281" s="1212"/>
      <c r="M2281" s="1212"/>
      <c r="N2281" s="1161" t="s">
        <v>2317</v>
      </c>
    </row>
    <row r="2282" spans="1:14" ht="72" hidden="1" customHeight="1">
      <c r="A2282" s="1156">
        <v>41</v>
      </c>
      <c r="B2282" s="1826" t="s">
        <v>803</v>
      </c>
      <c r="C2282" s="1826"/>
      <c r="D2282" s="1826"/>
      <c r="E2282" s="1826"/>
      <c r="F2282" s="1826"/>
      <c r="G2282" s="1826"/>
      <c r="H2282" s="1826"/>
      <c r="I2282" s="1157"/>
      <c r="J2282" s="1158"/>
      <c r="K2282" s="1156"/>
      <c r="L2282" s="1156"/>
      <c r="M2282" s="1160"/>
      <c r="N2282" s="1161" t="s">
        <v>2317</v>
      </c>
    </row>
    <row r="2283" spans="1:14" s="1170" customFormat="1" ht="15.75" hidden="1">
      <c r="A2283" s="1156"/>
      <c r="B2283" s="1163" t="s">
        <v>3657</v>
      </c>
      <c r="C2283" s="1351"/>
      <c r="D2283" s="1548" t="s">
        <v>3743</v>
      </c>
      <c r="E2283" s="1352"/>
      <c r="F2283" s="1234"/>
      <c r="G2283" s="1234"/>
      <c r="H2283" s="1235"/>
      <c r="I2283" s="1353"/>
      <c r="J2283" s="1168"/>
      <c r="K2283" s="1169"/>
      <c r="L2283" s="1156"/>
      <c r="M2283" s="1169"/>
      <c r="N2283" s="1161" t="s">
        <v>2317</v>
      </c>
    </row>
    <row r="2284" spans="1:14" s="1170" customFormat="1" ht="15.75" hidden="1">
      <c r="A2284" s="1156"/>
      <c r="B2284" s="1359" t="s">
        <v>583</v>
      </c>
      <c r="C2284" s="1360">
        <v>1</v>
      </c>
      <c r="D2284" s="1361" t="s">
        <v>273</v>
      </c>
      <c r="E2284" s="1362">
        <v>1</v>
      </c>
      <c r="F2284" s="1363">
        <v>0</v>
      </c>
      <c r="G2284" s="1363">
        <v>0</v>
      </c>
      <c r="H2284" s="1363">
        <v>0</v>
      </c>
      <c r="I2284" s="1421">
        <f>ROUND(IF(AND(F2284:H2284),C2284*E2284*F2284*G2284*H2284,IF(AND(F2284,G2284),C2284*E2284*F2284*G2284,IF(AND(F2284,H2284),C2284*E2284*F2284*H2284,IF(AND(G2284,H2284),C2284*E2284*G2284*H2284,IF(F2284,C2284*E2284*F2284,IF(G2284,C2284*E2284*G2284,IF(H2284,C2284*E2284*H2284,C2284*E2284))))))),2)</f>
        <v>1</v>
      </c>
      <c r="J2284" s="1168" t="s">
        <v>115</v>
      </c>
      <c r="K2284" s="1169"/>
      <c r="L2284" s="1156"/>
      <c r="M2284" s="1169"/>
      <c r="N2284" s="1161" t="s">
        <v>2317</v>
      </c>
    </row>
    <row r="2285" spans="1:14" s="1170" customFormat="1" ht="15.75" hidden="1">
      <c r="A2285" s="1156"/>
      <c r="B2285" s="1331"/>
      <c r="C2285" s="1332"/>
      <c r="D2285" s="1333"/>
      <c r="E2285" s="1334"/>
      <c r="F2285" s="1335"/>
      <c r="G2285" s="1335"/>
      <c r="H2285" s="1335"/>
      <c r="I2285" s="1421"/>
      <c r="J2285" s="1168"/>
      <c r="K2285" s="1169"/>
      <c r="L2285" s="1156"/>
      <c r="M2285" s="1169"/>
      <c r="N2285" s="1161" t="s">
        <v>2317</v>
      </c>
    </row>
    <row r="2286" spans="1:14" ht="15.75" hidden="1">
      <c r="A2286" s="1156"/>
      <c r="B2286" s="1169"/>
      <c r="C2286" s="1337"/>
      <c r="D2286" s="1171"/>
      <c r="E2286" s="1165"/>
      <c r="F2286" s="1166"/>
      <c r="G2286" s="1343"/>
      <c r="H2286" s="1156"/>
      <c r="I2286" s="1421"/>
      <c r="J2286" s="1168" t="s">
        <v>115</v>
      </c>
      <c r="K2286" s="1221">
        <f>'D&amp;W data'!H495</f>
        <v>24683.69</v>
      </c>
      <c r="L2286" s="1159" t="s">
        <v>2317</v>
      </c>
      <c r="M2286" s="1224">
        <f>ROUND(I2286*K2286,0)</f>
        <v>0</v>
      </c>
      <c r="N2286" s="1161" t="s">
        <v>2317</v>
      </c>
    </row>
    <row r="2287" spans="1:14" ht="72" hidden="1" customHeight="1">
      <c r="A2287" s="1156">
        <v>2</v>
      </c>
      <c r="B2287" s="1826" t="s">
        <v>2103</v>
      </c>
      <c r="C2287" s="1826"/>
      <c r="D2287" s="1826"/>
      <c r="E2287" s="1826"/>
      <c r="F2287" s="1826"/>
      <c r="G2287" s="1826"/>
      <c r="H2287" s="1826"/>
      <c r="I2287" s="1157"/>
      <c r="J2287" s="1158"/>
      <c r="K2287" s="1156"/>
      <c r="L2287" s="1156"/>
      <c r="M2287" s="1160"/>
      <c r="N2287" s="1161" t="s">
        <v>2317</v>
      </c>
    </row>
    <row r="2288" spans="1:14" s="1170" customFormat="1" ht="15.75" hidden="1">
      <c r="A2288" s="1156"/>
      <c r="B2288" s="1169" t="s">
        <v>2335</v>
      </c>
      <c r="C2288" s="1351"/>
      <c r="D2288" s="1418"/>
      <c r="E2288" s="1352"/>
      <c r="F2288" s="1234"/>
      <c r="G2288" s="1234"/>
      <c r="H2288" s="1235"/>
      <c r="I2288" s="1353"/>
      <c r="J2288" s="1168"/>
      <c r="K2288" s="1169"/>
      <c r="L2288" s="1156"/>
      <c r="M2288" s="1169"/>
      <c r="N2288" s="1161" t="s">
        <v>2317</v>
      </c>
    </row>
    <row r="2289" spans="1:14" s="1170" customFormat="1" ht="15.75" hidden="1">
      <c r="A2289" s="1156"/>
      <c r="B2289" s="1331"/>
      <c r="C2289" s="1332">
        <v>1</v>
      </c>
      <c r="D2289" s="1333" t="s">
        <v>273</v>
      </c>
      <c r="E2289" s="1334">
        <v>3</v>
      </c>
      <c r="F2289" s="1335">
        <v>0</v>
      </c>
      <c r="G2289" s="1335">
        <v>0</v>
      </c>
      <c r="H2289" s="1335">
        <v>0</v>
      </c>
      <c r="I2289" s="1421">
        <f>ROUND(IF(AND(F2289:H2289),C2289*E2289*F2289*G2289*H2289,IF(AND(F2289,G2289),C2289*E2289*F2289*G2289,IF(AND(F2289,H2289),C2289*E2289*F2289*H2289,IF(AND(G2289,H2289),C2289*E2289*G2289*H2289,IF(F2289,C2289*E2289*F2289,IF(G2289,C2289*E2289*G2289,IF(H2289,C2289*E2289*H2289,C2289*E2289))))))),2)</f>
        <v>3</v>
      </c>
      <c r="J2289" s="1168" t="s">
        <v>115</v>
      </c>
      <c r="K2289" s="1169"/>
      <c r="L2289" s="1156"/>
      <c r="M2289" s="1169"/>
      <c r="N2289" s="1161" t="s">
        <v>2317</v>
      </c>
    </row>
    <row r="2290" spans="1:14" s="1170" customFormat="1" ht="15.75" hidden="1">
      <c r="A2290" s="1156"/>
      <c r="B2290" s="1331"/>
      <c r="C2290" s="1332"/>
      <c r="D2290" s="1333"/>
      <c r="E2290" s="1334"/>
      <c r="F2290" s="1335"/>
      <c r="G2290" s="1335"/>
      <c r="H2290" s="1335"/>
      <c r="I2290" s="1421"/>
      <c r="J2290" s="1168"/>
      <c r="K2290" s="1169"/>
      <c r="L2290" s="1156"/>
      <c r="M2290" s="1169"/>
      <c r="N2290" s="1161" t="s">
        <v>2317</v>
      </c>
    </row>
    <row r="2291" spans="1:14" ht="15.75" hidden="1">
      <c r="A2291" s="1156"/>
      <c r="B2291" s="1169"/>
      <c r="C2291" s="1337"/>
      <c r="D2291" s="1171"/>
      <c r="E2291" s="1165"/>
      <c r="F2291" s="1166"/>
      <c r="G2291" s="1343"/>
      <c r="H2291" s="1156"/>
      <c r="I2291" s="1421"/>
      <c r="J2291" s="1168" t="s">
        <v>115</v>
      </c>
      <c r="K2291" s="1221">
        <f>'D&amp;W data'!H513</f>
        <v>11215.33</v>
      </c>
      <c r="L2291" s="1159" t="s">
        <v>2317</v>
      </c>
      <c r="M2291" s="1224">
        <f>ROUND(I2291*K2291,0)</f>
        <v>0</v>
      </c>
      <c r="N2291" s="1161" t="s">
        <v>2317</v>
      </c>
    </row>
    <row r="2292" spans="1:14" ht="72" hidden="1" customHeight="1">
      <c r="A2292" s="1156">
        <v>3</v>
      </c>
      <c r="B2292" s="1826" t="s">
        <v>2210</v>
      </c>
      <c r="C2292" s="1826"/>
      <c r="D2292" s="1826"/>
      <c r="E2292" s="1826"/>
      <c r="F2292" s="1826"/>
      <c r="G2292" s="1826"/>
      <c r="H2292" s="1826"/>
      <c r="I2292" s="1157"/>
      <c r="J2292" s="1158"/>
      <c r="K2292" s="1156"/>
      <c r="L2292" s="1156"/>
      <c r="M2292" s="1160"/>
      <c r="N2292" s="1161" t="s">
        <v>2317</v>
      </c>
    </row>
    <row r="2293" spans="1:14" s="1170" customFormat="1" ht="15.75" hidden="1">
      <c r="A2293" s="1156"/>
      <c r="B2293" s="1169" t="s">
        <v>2336</v>
      </c>
      <c r="C2293" s="1351"/>
      <c r="D2293" s="1418"/>
      <c r="E2293" s="1352"/>
      <c r="F2293" s="1234"/>
      <c r="G2293" s="1234"/>
      <c r="H2293" s="1235"/>
      <c r="I2293" s="1353"/>
      <c r="J2293" s="1168"/>
      <c r="K2293" s="1169"/>
      <c r="L2293" s="1156"/>
      <c r="M2293" s="1169"/>
      <c r="N2293" s="1161" t="s">
        <v>2317</v>
      </c>
    </row>
    <row r="2294" spans="1:14" s="1170" customFormat="1" ht="15.75" hidden="1">
      <c r="A2294" s="1156"/>
      <c r="B2294" s="1331"/>
      <c r="C2294" s="1332">
        <v>1</v>
      </c>
      <c r="D2294" s="1333" t="s">
        <v>273</v>
      </c>
      <c r="E2294" s="1334">
        <v>1</v>
      </c>
      <c r="F2294" s="1335">
        <v>0</v>
      </c>
      <c r="G2294" s="1335">
        <v>0</v>
      </c>
      <c r="H2294" s="1335">
        <v>0</v>
      </c>
      <c r="I2294" s="1421">
        <f>ROUND(IF(AND(F2294:H2294),C2294*E2294*F2294*G2294*H2294,IF(AND(F2294,G2294),C2294*E2294*F2294*G2294,IF(AND(F2294,H2294),C2294*E2294*F2294*H2294,IF(AND(G2294,H2294),C2294*E2294*G2294*H2294,IF(F2294,C2294*E2294*F2294,IF(G2294,C2294*E2294*G2294,IF(H2294,C2294*E2294*H2294,C2294*E2294))))))),2)</f>
        <v>1</v>
      </c>
      <c r="J2294" s="1168" t="s">
        <v>115</v>
      </c>
      <c r="K2294" s="1169"/>
      <c r="L2294" s="1156"/>
      <c r="M2294" s="1169"/>
      <c r="N2294" s="1161" t="s">
        <v>2317</v>
      </c>
    </row>
    <row r="2295" spans="1:14" s="1170" customFormat="1" ht="15.75" hidden="1">
      <c r="A2295" s="1156"/>
      <c r="B2295" s="1331"/>
      <c r="C2295" s="1332"/>
      <c r="D2295" s="1333"/>
      <c r="E2295" s="1334"/>
      <c r="F2295" s="1335"/>
      <c r="G2295" s="1335"/>
      <c r="H2295" s="1335"/>
      <c r="I2295" s="1421"/>
      <c r="J2295" s="1168"/>
      <c r="K2295" s="1169"/>
      <c r="L2295" s="1156"/>
      <c r="M2295" s="1169"/>
      <c r="N2295" s="1161" t="s">
        <v>2317</v>
      </c>
    </row>
    <row r="2296" spans="1:14" ht="15.75" hidden="1">
      <c r="A2296" s="1156"/>
      <c r="B2296" s="1169"/>
      <c r="C2296" s="1337"/>
      <c r="D2296" s="1171"/>
      <c r="E2296" s="1165"/>
      <c r="F2296" s="1166"/>
      <c r="G2296" s="1343"/>
      <c r="H2296" s="1156"/>
      <c r="I2296" s="1421"/>
      <c r="J2296" s="1168" t="s">
        <v>115</v>
      </c>
      <c r="K2296" s="1221">
        <f>'D&amp;W data'!H531</f>
        <v>10134.49</v>
      </c>
      <c r="L2296" s="1159" t="s">
        <v>2317</v>
      </c>
      <c r="M2296" s="1224">
        <f>ROUND(I2296*K2296,0)</f>
        <v>0</v>
      </c>
      <c r="N2296" s="1161" t="s">
        <v>2317</v>
      </c>
    </row>
    <row r="2297" spans="1:14" ht="71.25" hidden="1" customHeight="1">
      <c r="A2297" s="1156">
        <v>2</v>
      </c>
      <c r="B2297" s="1826" t="s">
        <v>2421</v>
      </c>
      <c r="C2297" s="1826"/>
      <c r="D2297" s="1826"/>
      <c r="E2297" s="1826"/>
      <c r="F2297" s="1826"/>
      <c r="G2297" s="1826"/>
      <c r="H2297" s="1826"/>
      <c r="I2297" s="1157"/>
      <c r="J2297" s="1158"/>
      <c r="K2297" s="1156"/>
      <c r="L2297" s="1156"/>
      <c r="M2297" s="1160"/>
      <c r="N2297" s="1161" t="s">
        <v>2317</v>
      </c>
    </row>
    <row r="2298" spans="1:14" s="1170" customFormat="1" ht="15.75" hidden="1">
      <c r="A2298" s="1156"/>
      <c r="B2298" s="1169" t="s">
        <v>2333</v>
      </c>
      <c r="C2298" s="1351"/>
      <c r="D2298" s="1418"/>
      <c r="E2298" s="1352"/>
      <c r="F2298" s="1234"/>
      <c r="G2298" s="1234"/>
      <c r="H2298" s="1235"/>
      <c r="I2298" s="1353"/>
      <c r="J2298" s="1168"/>
      <c r="K2298" s="1169"/>
      <c r="L2298" s="1156"/>
      <c r="M2298" s="1169"/>
      <c r="N2298" s="1161" t="s">
        <v>2317</v>
      </c>
    </row>
    <row r="2299" spans="1:14" s="1170" customFormat="1" ht="15.75" hidden="1">
      <c r="A2299" s="1156"/>
      <c r="B2299" s="1331"/>
      <c r="C2299" s="1332">
        <v>1</v>
      </c>
      <c r="D2299" s="1333" t="s">
        <v>273</v>
      </c>
      <c r="E2299" s="1334">
        <v>1</v>
      </c>
      <c r="F2299" s="1335">
        <v>0</v>
      </c>
      <c r="G2299" s="1335">
        <v>0</v>
      </c>
      <c r="H2299" s="1335">
        <v>0</v>
      </c>
      <c r="I2299" s="1421">
        <f>ROUND(IF(AND(F2299:H2299),C2299*E2299*F2299*G2299*H2299,IF(AND(F2299,G2299),C2299*E2299*F2299*G2299,IF(AND(F2299,H2299),C2299*E2299*F2299*H2299,IF(AND(G2299,H2299),C2299*E2299*G2299*H2299,IF(F2299,C2299*E2299*F2299,IF(G2299,C2299*E2299*G2299,IF(H2299,C2299*E2299*H2299,C2299*E2299))))))),2)</f>
        <v>1</v>
      </c>
      <c r="J2299" s="1168" t="s">
        <v>115</v>
      </c>
      <c r="K2299" s="1169"/>
      <c r="L2299" s="1156"/>
      <c r="M2299" s="1169"/>
      <c r="N2299" s="1161" t="s">
        <v>2317</v>
      </c>
    </row>
    <row r="2300" spans="1:14" s="1170" customFormat="1" ht="15.75" hidden="1">
      <c r="A2300" s="1156"/>
      <c r="B2300" s="1331"/>
      <c r="C2300" s="1332"/>
      <c r="D2300" s="1333"/>
      <c r="E2300" s="1334"/>
      <c r="F2300" s="1335"/>
      <c r="G2300" s="1335"/>
      <c r="H2300" s="1335"/>
      <c r="I2300" s="1421"/>
      <c r="J2300" s="1168"/>
      <c r="K2300" s="1169"/>
      <c r="L2300" s="1156"/>
      <c r="M2300" s="1169"/>
      <c r="N2300" s="1161" t="s">
        <v>2317</v>
      </c>
    </row>
    <row r="2301" spans="1:14" ht="15.75" hidden="1">
      <c r="A2301" s="1156"/>
      <c r="B2301" s="1169"/>
      <c r="C2301" s="1337"/>
      <c r="D2301" s="1171"/>
      <c r="E2301" s="1165"/>
      <c r="F2301" s="1166"/>
      <c r="G2301" s="1343"/>
      <c r="H2301" s="1156"/>
      <c r="I2301" s="1421"/>
      <c r="J2301" s="1168" t="s">
        <v>115</v>
      </c>
      <c r="K2301" s="1221">
        <f>'D&amp;W data'!H550</f>
        <v>8918.9600000000009</v>
      </c>
      <c r="L2301" s="1159" t="s">
        <v>2317</v>
      </c>
      <c r="M2301" s="1224">
        <f>ROUND(I2301*K2301,0)</f>
        <v>0</v>
      </c>
      <c r="N2301" s="1161" t="s">
        <v>2317</v>
      </c>
    </row>
    <row r="2302" spans="1:14" ht="71.25" hidden="1" customHeight="1">
      <c r="A2302" s="1156">
        <v>3</v>
      </c>
      <c r="B2302" s="1826" t="s">
        <v>2420</v>
      </c>
      <c r="C2302" s="1826"/>
      <c r="D2302" s="1826"/>
      <c r="E2302" s="1826"/>
      <c r="F2302" s="1826"/>
      <c r="G2302" s="1826"/>
      <c r="H2302" s="1826"/>
      <c r="I2302" s="1157"/>
      <c r="J2302" s="1158"/>
      <c r="K2302" s="1156"/>
      <c r="L2302" s="1156"/>
      <c r="M2302" s="1160"/>
      <c r="N2302" s="1161" t="s">
        <v>2317</v>
      </c>
    </row>
    <row r="2303" spans="1:14" s="1170" customFormat="1" ht="15.75" hidden="1">
      <c r="A2303" s="1156"/>
      <c r="B2303" s="1169" t="s">
        <v>2351</v>
      </c>
      <c r="C2303" s="1351"/>
      <c r="D2303" s="1418"/>
      <c r="E2303" s="1352"/>
      <c r="F2303" s="1234"/>
      <c r="G2303" s="1234"/>
      <c r="H2303" s="1235"/>
      <c r="I2303" s="1353"/>
      <c r="J2303" s="1168"/>
      <c r="K2303" s="1169"/>
      <c r="L2303" s="1156"/>
      <c r="M2303" s="1169"/>
      <c r="N2303" s="1161" t="s">
        <v>2317</v>
      </c>
    </row>
    <row r="2304" spans="1:14" s="1170" customFormat="1" ht="15.75" hidden="1">
      <c r="A2304" s="1156"/>
      <c r="B2304" s="1331"/>
      <c r="C2304" s="1332">
        <v>1</v>
      </c>
      <c r="D2304" s="1333" t="s">
        <v>273</v>
      </c>
      <c r="E2304" s="1334">
        <v>1</v>
      </c>
      <c r="F2304" s="1335">
        <v>0</v>
      </c>
      <c r="G2304" s="1335">
        <v>0</v>
      </c>
      <c r="H2304" s="1335">
        <v>0</v>
      </c>
      <c r="I2304" s="1336">
        <f>ROUND(IF(AND(F2304:H2304),C2304*E2304*F2304*G2304*H2304,IF(AND(F2304,G2304),C2304*E2304*F2304*G2304,IF(AND(F2304,H2304),C2304*E2304*F2304*H2304,IF(AND(G2304,H2304),C2304*E2304*G2304*H2304,IF(F2304,C2304*E2304*F2304,IF(G2304,C2304*E2304*G2304,IF(H2304,C2304*E2304*H2304,C2304*E2304))))))),2)</f>
        <v>1</v>
      </c>
      <c r="J2304" s="1168" t="s">
        <v>115</v>
      </c>
      <c r="K2304" s="1169"/>
      <c r="L2304" s="1156"/>
      <c r="M2304" s="1169"/>
      <c r="N2304" s="1161" t="s">
        <v>2317</v>
      </c>
    </row>
    <row r="2305" spans="1:14" s="1170" customFormat="1" ht="15.75" hidden="1">
      <c r="A2305" s="1156"/>
      <c r="B2305" s="1331"/>
      <c r="C2305" s="1332"/>
      <c r="D2305" s="1333"/>
      <c r="E2305" s="1334"/>
      <c r="F2305" s="1335"/>
      <c r="G2305" s="1335"/>
      <c r="H2305" s="1335"/>
      <c r="I2305" s="1336"/>
      <c r="J2305" s="1168"/>
      <c r="K2305" s="1169"/>
      <c r="L2305" s="1156"/>
      <c r="M2305" s="1169"/>
      <c r="N2305" s="1161" t="s">
        <v>2317</v>
      </c>
    </row>
    <row r="2306" spans="1:14" ht="15.75" hidden="1">
      <c r="A2306" s="1156"/>
      <c r="B2306" s="1169"/>
      <c r="C2306" s="1337"/>
      <c r="D2306" s="1171"/>
      <c r="E2306" s="1165"/>
      <c r="F2306" s="1166"/>
      <c r="G2306" s="1343"/>
      <c r="H2306" s="1156"/>
      <c r="I2306" s="1336"/>
      <c r="J2306" s="1168" t="s">
        <v>115</v>
      </c>
      <c r="K2306" s="1221">
        <f>'D&amp;W data'!H569</f>
        <v>7973.17</v>
      </c>
      <c r="L2306" s="1159" t="s">
        <v>2317</v>
      </c>
      <c r="M2306" s="1224">
        <f>ROUND(I2306*K2306,0)</f>
        <v>0</v>
      </c>
      <c r="N2306" s="1161" t="s">
        <v>2317</v>
      </c>
    </row>
    <row r="2307" spans="1:14" ht="71.25" hidden="1" customHeight="1">
      <c r="A2307" s="1156">
        <v>36</v>
      </c>
      <c r="B2307" s="1826" t="s">
        <v>2144</v>
      </c>
      <c r="C2307" s="1826"/>
      <c r="D2307" s="1826"/>
      <c r="E2307" s="1826"/>
      <c r="F2307" s="1826"/>
      <c r="G2307" s="1826"/>
      <c r="H2307" s="1826"/>
      <c r="I2307" s="1157"/>
      <c r="J2307" s="1158"/>
      <c r="K2307" s="1156"/>
      <c r="L2307" s="1156"/>
      <c r="M2307" s="1160"/>
      <c r="N2307" s="1161" t="s">
        <v>2317</v>
      </c>
    </row>
    <row r="2308" spans="1:14" s="1170" customFormat="1" ht="15.75" hidden="1">
      <c r="A2308" s="1156"/>
      <c r="B2308" s="1169" t="s">
        <v>2509</v>
      </c>
      <c r="C2308" s="1351"/>
      <c r="D2308" s="1418"/>
      <c r="E2308" s="1352"/>
      <c r="F2308" s="1234"/>
      <c r="G2308" s="1234"/>
      <c r="H2308" s="1235"/>
      <c r="I2308" s="1353"/>
      <c r="J2308" s="1168"/>
      <c r="K2308" s="1169"/>
      <c r="L2308" s="1156"/>
      <c r="M2308" s="1169"/>
      <c r="N2308" s="1161" t="s">
        <v>2317</v>
      </c>
    </row>
    <row r="2309" spans="1:14" s="1170" customFormat="1" ht="15.75" hidden="1">
      <c r="A2309" s="1156"/>
      <c r="B2309" s="1359" t="s">
        <v>583</v>
      </c>
      <c r="C2309" s="1360">
        <v>1</v>
      </c>
      <c r="D2309" s="1361" t="s">
        <v>273</v>
      </c>
      <c r="E2309" s="1362">
        <v>1</v>
      </c>
      <c r="F2309" s="1363">
        <v>0</v>
      </c>
      <c r="G2309" s="1363">
        <v>0</v>
      </c>
      <c r="H2309" s="1363">
        <v>0</v>
      </c>
      <c r="I2309" s="1421">
        <f>ROUND(IF(AND(F2309:H2309),C2309*E2309*F2309*G2309*H2309,IF(AND(F2309,G2309),C2309*E2309*F2309*G2309,IF(AND(F2309,H2309),C2309*E2309*F2309*H2309,IF(AND(G2309,H2309),C2309*E2309*G2309*H2309,IF(F2309,C2309*E2309*F2309,IF(G2309,C2309*E2309*G2309,IF(H2309,C2309*E2309*H2309,C2309*E2309))))))),2)</f>
        <v>1</v>
      </c>
      <c r="J2309" s="1168" t="s">
        <v>115</v>
      </c>
      <c r="K2309" s="1169"/>
      <c r="L2309" s="1156"/>
      <c r="M2309" s="1169"/>
      <c r="N2309" s="1161" t="s">
        <v>2317</v>
      </c>
    </row>
    <row r="2310" spans="1:14" s="1170" customFormat="1" ht="15.75" hidden="1">
      <c r="A2310" s="1156"/>
      <c r="B2310" s="1331"/>
      <c r="C2310" s="1332"/>
      <c r="D2310" s="1333"/>
      <c r="E2310" s="1334"/>
      <c r="F2310" s="1335"/>
      <c r="G2310" s="1335"/>
      <c r="H2310" s="1335"/>
      <c r="I2310" s="1421"/>
      <c r="J2310" s="1168"/>
      <c r="K2310" s="1169"/>
      <c r="L2310" s="1156"/>
      <c r="M2310" s="1169"/>
      <c r="N2310" s="1161" t="s">
        <v>2317</v>
      </c>
    </row>
    <row r="2311" spans="1:14" ht="15.75" hidden="1">
      <c r="A2311" s="1156"/>
      <c r="B2311" s="1169"/>
      <c r="C2311" s="1337"/>
      <c r="D2311" s="1171"/>
      <c r="E2311" s="1165"/>
      <c r="F2311" s="1166"/>
      <c r="G2311" s="1343"/>
      <c r="H2311" s="1156"/>
      <c r="I2311" s="1421"/>
      <c r="J2311" s="1168" t="s">
        <v>115</v>
      </c>
      <c r="K2311" s="1221">
        <f>'D&amp;W data'!H664</f>
        <v>9185.3799999999992</v>
      </c>
      <c r="L2311" s="1159" t="s">
        <v>2317</v>
      </c>
      <c r="M2311" s="1224">
        <f>ROUND(I2311*K2311,0)</f>
        <v>0</v>
      </c>
      <c r="N2311" s="1161" t="s">
        <v>2317</v>
      </c>
    </row>
    <row r="2312" spans="1:14" ht="71.25" hidden="1" customHeight="1">
      <c r="A2312" s="1156">
        <v>3</v>
      </c>
      <c r="B2312" s="1826" t="s">
        <v>1636</v>
      </c>
      <c r="C2312" s="1826"/>
      <c r="D2312" s="1826"/>
      <c r="E2312" s="1826"/>
      <c r="F2312" s="1826"/>
      <c r="G2312" s="1826"/>
      <c r="H2312" s="1826"/>
      <c r="I2312" s="1157"/>
      <c r="J2312" s="1158"/>
      <c r="K2312" s="1156"/>
      <c r="L2312" s="1156"/>
      <c r="M2312" s="1160"/>
      <c r="N2312" s="1161" t="s">
        <v>2317</v>
      </c>
    </row>
    <row r="2313" spans="1:14" s="1170" customFormat="1" ht="15.75" hidden="1">
      <c r="A2313" s="1156"/>
      <c r="B2313" s="1169" t="s">
        <v>2337</v>
      </c>
      <c r="C2313" s="1351"/>
      <c r="D2313" s="1418"/>
      <c r="E2313" s="1352"/>
      <c r="F2313" s="1234"/>
      <c r="G2313" s="1234"/>
      <c r="H2313" s="1235"/>
      <c r="I2313" s="1353"/>
      <c r="J2313" s="1168"/>
      <c r="K2313" s="1169"/>
      <c r="L2313" s="1156"/>
      <c r="M2313" s="1169"/>
      <c r="N2313" s="1161" t="s">
        <v>2317</v>
      </c>
    </row>
    <row r="2314" spans="1:14" s="1170" customFormat="1" ht="15.75" hidden="1">
      <c r="A2314" s="1156"/>
      <c r="B2314" s="1331" t="s">
        <v>583</v>
      </c>
      <c r="C2314" s="1332">
        <v>1</v>
      </c>
      <c r="D2314" s="1333" t="s">
        <v>273</v>
      </c>
      <c r="E2314" s="1334">
        <v>1</v>
      </c>
      <c r="F2314" s="1335">
        <v>0</v>
      </c>
      <c r="G2314" s="1335">
        <v>0</v>
      </c>
      <c r="H2314" s="1335">
        <v>0</v>
      </c>
      <c r="I2314" s="1336">
        <f>ROUND(IF(AND(F2314:H2314),C2314*E2314*F2314*G2314*H2314,IF(AND(F2314,G2314),C2314*E2314*F2314*G2314,IF(AND(F2314,H2314),C2314*E2314*F2314*H2314,IF(AND(G2314,H2314),C2314*E2314*G2314*H2314,IF(F2314,C2314*E2314*F2314,IF(G2314,C2314*E2314*G2314,IF(H2314,C2314*E2314*H2314,C2314*E2314))))))),2)</f>
        <v>1</v>
      </c>
      <c r="J2314" s="1168" t="s">
        <v>115</v>
      </c>
      <c r="K2314" s="1169"/>
      <c r="L2314" s="1156"/>
      <c r="M2314" s="1169"/>
      <c r="N2314" s="1161" t="s">
        <v>2317</v>
      </c>
    </row>
    <row r="2315" spans="1:14" s="1170" customFormat="1" ht="15.75" hidden="1">
      <c r="A2315" s="1156"/>
      <c r="B2315" s="1331"/>
      <c r="C2315" s="1332"/>
      <c r="D2315" s="1333"/>
      <c r="E2315" s="1334"/>
      <c r="F2315" s="1335"/>
      <c r="G2315" s="1335"/>
      <c r="H2315" s="1335"/>
      <c r="I2315" s="1336"/>
      <c r="J2315" s="1168"/>
      <c r="K2315" s="1169"/>
      <c r="L2315" s="1156"/>
      <c r="M2315" s="1169"/>
      <c r="N2315" s="1161" t="s">
        <v>2317</v>
      </c>
    </row>
    <row r="2316" spans="1:14" ht="15.75" hidden="1">
      <c r="A2316" s="1156"/>
      <c r="B2316" s="1169"/>
      <c r="C2316" s="1337"/>
      <c r="D2316" s="1171"/>
      <c r="E2316" s="1165"/>
      <c r="F2316" s="1166"/>
      <c r="G2316" s="1343"/>
      <c r="H2316" s="1156"/>
      <c r="I2316" s="1336"/>
      <c r="J2316" s="1168" t="s">
        <v>115</v>
      </c>
      <c r="K2316" s="1221">
        <f>'D&amp;W data'!H607</f>
        <v>6584.41</v>
      </c>
      <c r="L2316" s="1159" t="s">
        <v>2317</v>
      </c>
      <c r="M2316" s="1224">
        <f>ROUND(I2316*K2316,0)</f>
        <v>0</v>
      </c>
      <c r="N2316" s="1161" t="s">
        <v>2317</v>
      </c>
    </row>
    <row r="2317" spans="1:14" ht="71.25" hidden="1" customHeight="1">
      <c r="A2317" s="1156">
        <v>40</v>
      </c>
      <c r="B2317" s="1826" t="s">
        <v>804</v>
      </c>
      <c r="C2317" s="1826"/>
      <c r="D2317" s="1826"/>
      <c r="E2317" s="1826"/>
      <c r="F2317" s="1826"/>
      <c r="G2317" s="1826"/>
      <c r="H2317" s="1826"/>
      <c r="I2317" s="1157"/>
      <c r="J2317" s="1158"/>
      <c r="K2317" s="1156"/>
      <c r="L2317" s="1156"/>
      <c r="M2317" s="1160"/>
      <c r="N2317" s="1161" t="s">
        <v>2317</v>
      </c>
    </row>
    <row r="2318" spans="1:14" s="1170" customFormat="1" ht="15.75" hidden="1">
      <c r="A2318" s="1156"/>
      <c r="B2318" s="1358" t="s">
        <v>2328</v>
      </c>
      <c r="C2318" s="1351"/>
      <c r="D2318" s="1418"/>
      <c r="E2318" s="1352"/>
      <c r="F2318" s="1234"/>
      <c r="G2318" s="1234"/>
      <c r="H2318" s="1235"/>
      <c r="I2318" s="1353"/>
      <c r="J2318" s="1168"/>
      <c r="K2318" s="1169"/>
      <c r="L2318" s="1156"/>
      <c r="M2318" s="1169"/>
      <c r="N2318" s="1161" t="s">
        <v>2317</v>
      </c>
    </row>
    <row r="2319" spans="1:14" s="1170" customFormat="1" ht="15.75" hidden="1">
      <c r="A2319" s="1156"/>
      <c r="B2319" s="1331" t="s">
        <v>583</v>
      </c>
      <c r="C2319" s="1332">
        <v>2</v>
      </c>
      <c r="D2319" s="1333" t="s">
        <v>273</v>
      </c>
      <c r="E2319" s="1334">
        <v>1</v>
      </c>
      <c r="F2319" s="1335">
        <v>0</v>
      </c>
      <c r="G2319" s="1335">
        <v>0</v>
      </c>
      <c r="H2319" s="1335">
        <v>0</v>
      </c>
      <c r="I2319" s="1421">
        <f>ROUND(IF(AND(F2319:H2319),C2319*E2319*F2319*G2319*H2319,IF(AND(F2319,G2319),C2319*E2319*F2319*G2319,IF(AND(F2319,H2319),C2319*E2319*F2319*H2319,IF(AND(G2319,H2319),C2319*E2319*G2319*H2319,IF(F2319,C2319*E2319*F2319,IF(G2319,C2319*E2319*G2319,IF(H2319,C2319*E2319*H2319,C2319*E2319))))))),2)</f>
        <v>2</v>
      </c>
      <c r="J2319" s="1168" t="s">
        <v>115</v>
      </c>
      <c r="K2319" s="1169"/>
      <c r="L2319" s="1156"/>
      <c r="M2319" s="1169"/>
      <c r="N2319" s="1161" t="s">
        <v>2317</v>
      </c>
    </row>
    <row r="2320" spans="1:14" s="1170" customFormat="1" ht="15.75" hidden="1">
      <c r="A2320" s="1156"/>
      <c r="B2320" s="1358" t="s">
        <v>2338</v>
      </c>
      <c r="C2320" s="1351"/>
      <c r="D2320" s="1418"/>
      <c r="E2320" s="1352"/>
      <c r="F2320" s="1234"/>
      <c r="G2320" s="1234"/>
      <c r="H2320" s="1235"/>
      <c r="I2320" s="1425"/>
      <c r="J2320" s="1168"/>
      <c r="K2320" s="1169"/>
      <c r="L2320" s="1156"/>
      <c r="M2320" s="1169"/>
      <c r="N2320" s="1161" t="s">
        <v>2317</v>
      </c>
    </row>
    <row r="2321" spans="1:15" s="1170" customFormat="1" ht="15.75" hidden="1">
      <c r="A2321" s="1156"/>
      <c r="B2321" s="1331" t="s">
        <v>584</v>
      </c>
      <c r="C2321" s="1332">
        <v>3</v>
      </c>
      <c r="D2321" s="1333" t="s">
        <v>273</v>
      </c>
      <c r="E2321" s="1334">
        <v>1</v>
      </c>
      <c r="F2321" s="1335">
        <v>0</v>
      </c>
      <c r="G2321" s="1335">
        <v>0</v>
      </c>
      <c r="H2321" s="1335">
        <v>0</v>
      </c>
      <c r="I2321" s="1421">
        <f>ROUND(IF(AND(F2321:H2321),C2321*E2321*F2321*G2321*H2321,IF(AND(F2321,G2321),C2321*E2321*F2321*G2321,IF(AND(F2321,H2321),C2321*E2321*F2321*H2321,IF(AND(G2321,H2321),C2321*E2321*G2321*H2321,IF(F2321,C2321*E2321*F2321,IF(G2321,C2321*E2321*G2321,IF(H2321,C2321*E2321*H2321,C2321*E2321))))))),2)</f>
        <v>3</v>
      </c>
      <c r="J2321" s="1168" t="s">
        <v>115</v>
      </c>
      <c r="K2321" s="1169"/>
      <c r="L2321" s="1156"/>
      <c r="M2321" s="1169"/>
      <c r="N2321" s="1161" t="s">
        <v>2317</v>
      </c>
    </row>
    <row r="2322" spans="1:15" s="1170" customFormat="1" ht="15.75" hidden="1">
      <c r="A2322" s="1156"/>
      <c r="B2322" s="1331"/>
      <c r="C2322" s="1332"/>
      <c r="D2322" s="1333"/>
      <c r="E2322" s="1334"/>
      <c r="F2322" s="1335"/>
      <c r="G2322" s="1335"/>
      <c r="H2322" s="1335"/>
      <c r="I2322" s="1421"/>
      <c r="J2322" s="1168"/>
      <c r="K2322" s="1169"/>
      <c r="L2322" s="1156"/>
      <c r="M2322" s="1169"/>
      <c r="N2322" s="1161" t="s">
        <v>2317</v>
      </c>
    </row>
    <row r="2323" spans="1:15" ht="15.75" hidden="1">
      <c r="A2323" s="1156"/>
      <c r="B2323" s="1169"/>
      <c r="C2323" s="1337"/>
      <c r="D2323" s="1171"/>
      <c r="E2323" s="1165"/>
      <c r="F2323" s="1166"/>
      <c r="G2323" s="1343"/>
      <c r="H2323" s="1156"/>
      <c r="I2323" s="1421"/>
      <c r="J2323" s="1168" t="s">
        <v>115</v>
      </c>
      <c r="K2323" s="1221">
        <f>'D&amp;W data'!H626</f>
        <v>16143.809999999998</v>
      </c>
      <c r="L2323" s="1159" t="s">
        <v>2317</v>
      </c>
      <c r="M2323" s="1224">
        <f>ROUND(I2323*K2323,0)</f>
        <v>0</v>
      </c>
      <c r="N2323" s="1161" t="s">
        <v>2317</v>
      </c>
    </row>
    <row r="2324" spans="1:15" ht="71.25" hidden="1" customHeight="1">
      <c r="A2324" s="1156">
        <v>4</v>
      </c>
      <c r="B2324" s="1826" t="s">
        <v>2098</v>
      </c>
      <c r="C2324" s="1826"/>
      <c r="D2324" s="1826"/>
      <c r="E2324" s="1826"/>
      <c r="F2324" s="1826"/>
      <c r="G2324" s="1826"/>
      <c r="H2324" s="1826"/>
      <c r="I2324" s="1157"/>
      <c r="J2324" s="1158"/>
      <c r="K2324" s="1156"/>
      <c r="L2324" s="1156"/>
      <c r="M2324" s="1160"/>
      <c r="N2324" s="1161" t="s">
        <v>2317</v>
      </c>
    </row>
    <row r="2325" spans="1:15" s="1170" customFormat="1" ht="15.75" hidden="1">
      <c r="A2325" s="1156"/>
      <c r="B2325" s="1169" t="s">
        <v>2335</v>
      </c>
      <c r="C2325" s="1351"/>
      <c r="D2325" s="1418"/>
      <c r="E2325" s="1352"/>
      <c r="F2325" s="1234"/>
      <c r="G2325" s="1234"/>
      <c r="H2325" s="1235"/>
      <c r="I2325" s="1353"/>
      <c r="J2325" s="1168"/>
      <c r="K2325" s="1169"/>
      <c r="L2325" s="1156"/>
      <c r="M2325" s="1169"/>
      <c r="N2325" s="1161" t="s">
        <v>2317</v>
      </c>
    </row>
    <row r="2326" spans="1:15" s="1170" customFormat="1" ht="15.75" hidden="1">
      <c r="A2326" s="1156"/>
      <c r="B2326" s="1331" t="s">
        <v>583</v>
      </c>
      <c r="C2326" s="1332">
        <v>1</v>
      </c>
      <c r="D2326" s="1333" t="s">
        <v>273</v>
      </c>
      <c r="E2326" s="1334">
        <v>2</v>
      </c>
      <c r="F2326" s="1335">
        <v>0</v>
      </c>
      <c r="G2326" s="1335">
        <v>0</v>
      </c>
      <c r="H2326" s="1335">
        <v>0</v>
      </c>
      <c r="I2326" s="1421">
        <f>ROUND(IF(AND(F2326:H2326),C2326*E2326*F2326*G2326*H2326,IF(AND(F2326,G2326),C2326*E2326*F2326*G2326,IF(AND(F2326,H2326),C2326*E2326*F2326*H2326,IF(AND(G2326,H2326),C2326*E2326*G2326*H2326,IF(F2326,C2326*E2326*F2326,IF(G2326,C2326*E2326*G2326,IF(H2326,C2326*E2326*H2326,C2326*E2326))))))),2)</f>
        <v>2</v>
      </c>
      <c r="J2326" s="1168" t="s">
        <v>115</v>
      </c>
      <c r="K2326" s="1169"/>
      <c r="L2326" s="1156"/>
      <c r="M2326" s="1169"/>
      <c r="N2326" s="1161" t="s">
        <v>2317</v>
      </c>
    </row>
    <row r="2327" spans="1:15" s="1170" customFormat="1" ht="15.75" hidden="1">
      <c r="A2327" s="1156"/>
      <c r="B2327" s="1169" t="s">
        <v>2335</v>
      </c>
      <c r="C2327" s="1351"/>
      <c r="D2327" s="1418"/>
      <c r="E2327" s="1352"/>
      <c r="F2327" s="1234"/>
      <c r="G2327" s="1234"/>
      <c r="H2327" s="1235"/>
      <c r="I2327" s="1353"/>
      <c r="J2327" s="1168"/>
      <c r="K2327" s="1169"/>
      <c r="L2327" s="1156"/>
      <c r="M2327" s="1169"/>
      <c r="N2327" s="1161" t="s">
        <v>2317</v>
      </c>
    </row>
    <row r="2328" spans="1:15" s="1170" customFormat="1" ht="15.75" hidden="1">
      <c r="A2328" s="1156"/>
      <c r="B2328" s="1331" t="s">
        <v>584</v>
      </c>
      <c r="C2328" s="1332">
        <v>1</v>
      </c>
      <c r="D2328" s="1333" t="s">
        <v>273</v>
      </c>
      <c r="E2328" s="1334">
        <v>3</v>
      </c>
      <c r="F2328" s="1335">
        <v>0</v>
      </c>
      <c r="G2328" s="1335">
        <v>0</v>
      </c>
      <c r="H2328" s="1335">
        <v>0</v>
      </c>
      <c r="I2328" s="1421">
        <f>ROUND(IF(AND(F2328:H2328),C2328*E2328*F2328*G2328*H2328,IF(AND(F2328,G2328),C2328*E2328*F2328*G2328,IF(AND(F2328,H2328),C2328*E2328*F2328*H2328,IF(AND(G2328,H2328),C2328*E2328*G2328*H2328,IF(F2328,C2328*E2328*F2328,IF(G2328,C2328*E2328*G2328,IF(H2328,C2328*E2328*H2328,C2328*E2328))))))),2)</f>
        <v>3</v>
      </c>
      <c r="J2328" s="1168" t="s">
        <v>115</v>
      </c>
      <c r="K2328" s="1169"/>
      <c r="L2328" s="1156"/>
      <c r="M2328" s="1169"/>
      <c r="N2328" s="1161" t="s">
        <v>2317</v>
      </c>
    </row>
    <row r="2329" spans="1:15" s="1170" customFormat="1" ht="15.75" hidden="1">
      <c r="A2329" s="1156"/>
      <c r="B2329" s="1331"/>
      <c r="C2329" s="1332"/>
      <c r="D2329" s="1333"/>
      <c r="E2329" s="1334"/>
      <c r="F2329" s="1335"/>
      <c r="G2329" s="1335"/>
      <c r="H2329" s="1335"/>
      <c r="I2329" s="1421"/>
      <c r="J2329" s="1168"/>
      <c r="K2329" s="1169"/>
      <c r="L2329" s="1156"/>
      <c r="M2329" s="1169"/>
      <c r="N2329" s="1161" t="s">
        <v>2317</v>
      </c>
    </row>
    <row r="2330" spans="1:15" ht="15.75" hidden="1">
      <c r="A2330" s="1156"/>
      <c r="B2330" s="1169"/>
      <c r="C2330" s="1337"/>
      <c r="D2330" s="1171"/>
      <c r="E2330" s="1165"/>
      <c r="F2330" s="1166"/>
      <c r="G2330" s="1343"/>
      <c r="H2330" s="1156"/>
      <c r="I2330" s="1421"/>
      <c r="J2330" s="1168" t="s">
        <v>115</v>
      </c>
      <c r="K2330" s="1221">
        <f>'D&amp;W data'!H645</f>
        <v>9936.0399999999991</v>
      </c>
      <c r="L2330" s="1159" t="s">
        <v>2317</v>
      </c>
      <c r="M2330" s="1224">
        <f>ROUND(I2330*K2330,0)</f>
        <v>0</v>
      </c>
      <c r="N2330" s="1161" t="s">
        <v>2317</v>
      </c>
    </row>
    <row r="2331" spans="1:15" ht="148.5" hidden="1" customHeight="1">
      <c r="A2331" s="1156">
        <v>44</v>
      </c>
      <c r="B2331" s="1826" t="s">
        <v>910</v>
      </c>
      <c r="C2331" s="1826"/>
      <c r="D2331" s="1826"/>
      <c r="E2331" s="1826"/>
      <c r="F2331" s="1826"/>
      <c r="G2331" s="1826"/>
      <c r="H2331" s="1826"/>
      <c r="I2331" s="1157"/>
      <c r="J2331" s="1158"/>
      <c r="K2331" s="1156"/>
      <c r="L2331" s="1156"/>
      <c r="M2331" s="1160"/>
      <c r="N2331" s="1161" t="s">
        <v>2317</v>
      </c>
    </row>
    <row r="2332" spans="1:15" s="1170" customFormat="1" ht="16.5" hidden="1" customHeight="1">
      <c r="A2332" s="1156"/>
      <c r="B2332" s="1169" t="s">
        <v>3658</v>
      </c>
      <c r="C2332" s="1351"/>
      <c r="D2332" s="1400"/>
      <c r="E2332" s="1352"/>
      <c r="F2332" s="1234"/>
      <c r="G2332" s="1234"/>
      <c r="H2332" s="1235"/>
      <c r="I2332" s="1353"/>
      <c r="J2332" s="1168"/>
      <c r="K2332" s="1169"/>
      <c r="L2332" s="1156"/>
      <c r="M2332" s="1169"/>
      <c r="N2332" s="1161" t="s">
        <v>2317</v>
      </c>
    </row>
    <row r="2333" spans="1:15" s="1170" customFormat="1" ht="16.5" hidden="1" customHeight="1">
      <c r="A2333" s="1156"/>
      <c r="B2333" s="1359"/>
      <c r="C2333" s="1360">
        <v>1</v>
      </c>
      <c r="D2333" s="1361" t="s">
        <v>273</v>
      </c>
      <c r="E2333" s="1362">
        <v>2</v>
      </c>
      <c r="F2333" s="1363">
        <v>1.05</v>
      </c>
      <c r="G2333" s="1363">
        <v>0</v>
      </c>
      <c r="H2333" s="1363">
        <v>2.1</v>
      </c>
      <c r="I2333" s="1336">
        <f>ROUND(IF(AND(F2333:H2333),C2333*E2333*F2333*G2333*H2333,IF(AND(F2333,G2333),C2333*E2333*F2333*G2333,IF(AND(F2333,H2333),C2333*E2333*F2333*H2333,IF(AND(G2333,H2333),C2333*E2333*G2333*H2333,IF(F2333,C2333*E2333*F2333,IF(G2333,C2333*E2333*G2333,IF(H2333,C2333*E2333*H2333,C2333*E2333))))))),2)</f>
        <v>4.41</v>
      </c>
      <c r="J2333" s="1168" t="s">
        <v>102</v>
      </c>
      <c r="K2333" s="1169"/>
      <c r="L2333" s="1156"/>
      <c r="M2333" s="1169"/>
      <c r="N2333" s="1161" t="s">
        <v>2317</v>
      </c>
      <c r="O2333" s="1334">
        <v>2</v>
      </c>
    </row>
    <row r="2334" spans="1:15" s="1170" customFormat="1" ht="16.5" hidden="1" customHeight="1">
      <c r="A2334" s="1156"/>
      <c r="B2334" s="1359"/>
      <c r="C2334" s="1360">
        <v>1</v>
      </c>
      <c r="D2334" s="1361" t="s">
        <v>273</v>
      </c>
      <c r="E2334" s="1362">
        <v>1</v>
      </c>
      <c r="F2334" s="1363">
        <v>1.2</v>
      </c>
      <c r="G2334" s="1363">
        <v>0</v>
      </c>
      <c r="H2334" s="1363">
        <v>2.1</v>
      </c>
      <c r="I2334" s="1336">
        <f>ROUND(IF(AND(F2334:H2334),C2334*E2334*F2334*G2334*H2334,IF(AND(F2334,G2334),C2334*E2334*F2334*G2334,IF(AND(F2334,H2334),C2334*E2334*F2334*H2334,IF(AND(G2334,H2334),C2334*E2334*G2334*H2334,IF(F2334,C2334*E2334*F2334,IF(G2334,C2334*E2334*G2334,IF(H2334,C2334*E2334*H2334,C2334*E2334))))))),2)</f>
        <v>2.52</v>
      </c>
      <c r="J2334" s="1168" t="s">
        <v>102</v>
      </c>
      <c r="K2334" s="1169"/>
      <c r="L2334" s="1156"/>
      <c r="M2334" s="1169"/>
      <c r="N2334" s="1161" t="s">
        <v>2317</v>
      </c>
      <c r="O2334" s="1334"/>
    </row>
    <row r="2335" spans="1:15" s="1170" customFormat="1" ht="16.5" hidden="1" customHeight="1">
      <c r="A2335" s="1156"/>
      <c r="B2335" s="1331"/>
      <c r="C2335" s="1332"/>
      <c r="D2335" s="1333"/>
      <c r="E2335" s="1334"/>
      <c r="F2335" s="1335"/>
      <c r="G2335" s="1335"/>
      <c r="H2335" s="1335"/>
      <c r="I2335" s="1336"/>
      <c r="J2335" s="1168"/>
      <c r="K2335" s="1169"/>
      <c r="L2335" s="1156"/>
      <c r="M2335" s="1169"/>
      <c r="N2335" s="1161" t="s">
        <v>2317</v>
      </c>
      <c r="O2335" s="1334"/>
    </row>
    <row r="2336" spans="1:15" ht="15.75" hidden="1">
      <c r="A2336" s="1156"/>
      <c r="B2336" s="1169"/>
      <c r="C2336" s="1337"/>
      <c r="D2336" s="1171"/>
      <c r="E2336" s="1165"/>
      <c r="F2336" s="1166"/>
      <c r="G2336" s="1343"/>
      <c r="H2336" s="1156"/>
      <c r="I2336" s="1336"/>
      <c r="J2336" s="1168" t="s">
        <v>102</v>
      </c>
      <c r="K2336" s="1221">
        <f>'D&amp;W data'!H688</f>
        <v>5976.6</v>
      </c>
      <c r="L2336" s="1159" t="s">
        <v>2317</v>
      </c>
      <c r="M2336" s="1224">
        <f>ROUND(I2336*K2336,0)</f>
        <v>0</v>
      </c>
      <c r="N2336" s="1161" t="s">
        <v>2317</v>
      </c>
    </row>
    <row r="2337" spans="1:15" ht="148.5" hidden="1" customHeight="1">
      <c r="A2337" s="1156">
        <v>2</v>
      </c>
      <c r="B2337" s="1826" t="s">
        <v>910</v>
      </c>
      <c r="C2337" s="1826"/>
      <c r="D2337" s="1826"/>
      <c r="E2337" s="1826"/>
      <c r="F2337" s="1826"/>
      <c r="G2337" s="1826"/>
      <c r="H2337" s="1826"/>
      <c r="I2337" s="1157"/>
      <c r="J2337" s="1158"/>
      <c r="K2337" s="1156"/>
      <c r="L2337" s="1156"/>
      <c r="M2337" s="1160"/>
      <c r="N2337" s="1161" t="s">
        <v>2317</v>
      </c>
    </row>
    <row r="2338" spans="1:15" s="1170" customFormat="1" ht="16.5" hidden="1" customHeight="1">
      <c r="A2338" s="1156"/>
      <c r="B2338" s="1365" t="s">
        <v>2339</v>
      </c>
      <c r="C2338" s="1351"/>
      <c r="D2338" s="1418"/>
      <c r="E2338" s="1352"/>
      <c r="F2338" s="1234"/>
      <c r="G2338" s="1234"/>
      <c r="H2338" s="1235"/>
      <c r="I2338" s="1353"/>
      <c r="J2338" s="1168"/>
      <c r="K2338" s="1169"/>
      <c r="L2338" s="1156"/>
      <c r="M2338" s="1169"/>
      <c r="N2338" s="1161" t="s">
        <v>2317</v>
      </c>
    </row>
    <row r="2339" spans="1:15" s="1170" customFormat="1" ht="16.5" hidden="1" customHeight="1">
      <c r="A2339" s="1156"/>
      <c r="B2339" s="1359"/>
      <c r="C2339" s="1360">
        <v>1</v>
      </c>
      <c r="D2339" s="1361" t="s">
        <v>273</v>
      </c>
      <c r="E2339" s="1362">
        <v>2</v>
      </c>
      <c r="F2339" s="1363">
        <v>1.01</v>
      </c>
      <c r="G2339" s="1363">
        <v>0</v>
      </c>
      <c r="H2339" s="1363">
        <v>2.09</v>
      </c>
      <c r="I2339" s="1336">
        <f>ROUND(IF(AND(F2339:H2339),C2339*E2339*F2339*G2339*H2339,IF(AND(F2339,G2339),C2339*E2339*F2339*G2339,IF(AND(F2339,H2339),C2339*E2339*F2339*H2339,IF(AND(G2339,H2339),C2339*E2339*G2339*H2339,IF(F2339,C2339*E2339*F2339,IF(G2339,C2339*E2339*G2339,IF(H2339,C2339*E2339*H2339,C2339*E2339))))))),2)</f>
        <v>4.22</v>
      </c>
      <c r="J2339" s="1168" t="s">
        <v>102</v>
      </c>
      <c r="K2339" s="1169"/>
      <c r="L2339" s="1156"/>
      <c r="M2339" s="1169"/>
      <c r="N2339" s="1161" t="s">
        <v>2317</v>
      </c>
      <c r="O2339" s="1334">
        <v>2</v>
      </c>
    </row>
    <row r="2340" spans="1:15" s="1170" customFormat="1" ht="16.5" hidden="1" customHeight="1">
      <c r="A2340" s="1156"/>
      <c r="B2340" s="1359"/>
      <c r="C2340" s="1360">
        <v>1</v>
      </c>
      <c r="D2340" s="1361" t="s">
        <v>273</v>
      </c>
      <c r="E2340" s="1362">
        <v>2</v>
      </c>
      <c r="F2340" s="1363">
        <v>1.02</v>
      </c>
      <c r="G2340" s="1363">
        <v>0</v>
      </c>
      <c r="H2340" s="1363">
        <v>2.02</v>
      </c>
      <c r="I2340" s="1336">
        <f>ROUND(IF(AND(F2340:H2340),C2340*E2340*F2340*G2340*H2340,IF(AND(F2340,G2340),C2340*E2340*F2340*G2340,IF(AND(F2340,H2340),C2340*E2340*F2340*H2340,IF(AND(G2340,H2340),C2340*E2340*G2340*H2340,IF(F2340,C2340*E2340*F2340,IF(G2340,C2340*E2340*G2340,IF(H2340,C2340*E2340*H2340,C2340*E2340))))))),2)</f>
        <v>4.12</v>
      </c>
      <c r="J2340" s="1168" t="s">
        <v>102</v>
      </c>
      <c r="K2340" s="1169"/>
      <c r="L2340" s="1156"/>
      <c r="M2340" s="1169"/>
      <c r="N2340" s="1161" t="s">
        <v>2317</v>
      </c>
      <c r="O2340" s="1334">
        <v>2</v>
      </c>
    </row>
    <row r="2341" spans="1:15" s="1170" customFormat="1" ht="16.5" hidden="1" customHeight="1">
      <c r="A2341" s="1156"/>
      <c r="B2341" s="1359"/>
      <c r="C2341" s="1360">
        <v>1</v>
      </c>
      <c r="D2341" s="1361" t="s">
        <v>273</v>
      </c>
      <c r="E2341" s="1362">
        <v>1</v>
      </c>
      <c r="F2341" s="1363">
        <v>1</v>
      </c>
      <c r="G2341" s="1363">
        <v>0</v>
      </c>
      <c r="H2341" s="1363">
        <v>2.02</v>
      </c>
      <c r="I2341" s="1336">
        <f>ROUND(IF(AND(F2341:H2341),C2341*E2341*F2341*G2341*H2341,IF(AND(F2341,G2341),C2341*E2341*F2341*G2341,IF(AND(F2341,H2341),C2341*E2341*F2341*H2341,IF(AND(G2341,H2341),C2341*E2341*G2341*H2341,IF(F2341,C2341*E2341*F2341,IF(G2341,C2341*E2341*G2341,IF(H2341,C2341*E2341*H2341,C2341*E2341))))))),2)</f>
        <v>2.02</v>
      </c>
      <c r="J2341" s="1168" t="s">
        <v>102</v>
      </c>
      <c r="K2341" s="1169"/>
      <c r="L2341" s="1156"/>
      <c r="M2341" s="1169"/>
      <c r="N2341" s="1161" t="s">
        <v>2317</v>
      </c>
      <c r="O2341" s="1334">
        <v>2</v>
      </c>
    </row>
    <row r="2342" spans="1:15" s="1170" customFormat="1" ht="16.5" hidden="1" customHeight="1">
      <c r="A2342" s="1156"/>
      <c r="B2342" s="1359"/>
      <c r="C2342" s="1360"/>
      <c r="D2342" s="1361"/>
      <c r="E2342" s="1362"/>
      <c r="F2342" s="1363"/>
      <c r="G2342" s="1363"/>
      <c r="H2342" s="1363"/>
      <c r="I2342" s="1336"/>
      <c r="J2342" s="1168"/>
      <c r="K2342" s="1169"/>
      <c r="L2342" s="1156"/>
      <c r="M2342" s="1169"/>
      <c r="N2342" s="1161" t="s">
        <v>2317</v>
      </c>
      <c r="O2342" s="1551"/>
    </row>
    <row r="2343" spans="1:15" ht="15.75" hidden="1">
      <c r="A2343" s="1156"/>
      <c r="B2343" s="1169"/>
      <c r="C2343" s="1337"/>
      <c r="D2343" s="1171"/>
      <c r="E2343" s="1165"/>
      <c r="F2343" s="1166"/>
      <c r="G2343" s="1343"/>
      <c r="H2343" s="1156"/>
      <c r="I2343" s="1336"/>
      <c r="J2343" s="1168" t="s">
        <v>102</v>
      </c>
      <c r="K2343" s="1221">
        <f>'D&amp;W data'!H700</f>
        <v>5663.52</v>
      </c>
      <c r="L2343" s="1159" t="s">
        <v>2317</v>
      </c>
      <c r="M2343" s="1224">
        <f>ROUND(I2343*K2343,0)</f>
        <v>0</v>
      </c>
      <c r="N2343" s="1161" t="s">
        <v>2317</v>
      </c>
    </row>
    <row r="2344" spans="1:15" ht="152.25" hidden="1" customHeight="1">
      <c r="A2344" s="1156">
        <v>45</v>
      </c>
      <c r="B2344" s="1825" t="s">
        <v>3616</v>
      </c>
      <c r="C2344" s="1825"/>
      <c r="D2344" s="1825"/>
      <c r="E2344" s="1825"/>
      <c r="F2344" s="1825"/>
      <c r="G2344" s="1825"/>
      <c r="H2344" s="1825"/>
      <c r="I2344" s="1157"/>
      <c r="J2344" s="1158"/>
      <c r="K2344" s="1156"/>
      <c r="L2344" s="1156"/>
      <c r="M2344" s="1160"/>
      <c r="N2344" s="1161" t="s">
        <v>2317</v>
      </c>
    </row>
    <row r="2345" spans="1:15" ht="51.75" hidden="1" customHeight="1">
      <c r="A2345" s="1156"/>
      <c r="B2345" s="1825" t="s">
        <v>3439</v>
      </c>
      <c r="C2345" s="1825"/>
      <c r="D2345" s="1825"/>
      <c r="E2345" s="1825"/>
      <c r="F2345" s="1825"/>
      <c r="G2345" s="1825"/>
      <c r="H2345" s="1825"/>
      <c r="I2345" s="1157"/>
      <c r="J2345" s="1158"/>
      <c r="K2345" s="1156"/>
      <c r="L2345" s="1156"/>
      <c r="M2345" s="1160"/>
      <c r="N2345" s="1161"/>
    </row>
    <row r="2346" spans="1:15" s="1170" customFormat="1" ht="16.5" hidden="1" customHeight="1">
      <c r="A2346" s="1156"/>
      <c r="B2346" s="1163" t="s">
        <v>3615</v>
      </c>
      <c r="C2346" s="1351"/>
      <c r="D2346" s="1548" t="s">
        <v>3644</v>
      </c>
      <c r="E2346" s="1352"/>
      <c r="F2346" s="1234"/>
      <c r="G2346" s="1234"/>
      <c r="H2346" s="1235"/>
      <c r="I2346" s="1353"/>
      <c r="J2346" s="1168"/>
      <c r="K2346" s="1169"/>
      <c r="L2346" s="1156"/>
      <c r="M2346" s="1169"/>
      <c r="N2346" s="1161" t="s">
        <v>2317</v>
      </c>
    </row>
    <row r="2347" spans="1:15" s="1170" customFormat="1" ht="16.5" hidden="1" customHeight="1">
      <c r="A2347" s="1156"/>
      <c r="B2347" s="1359"/>
      <c r="C2347" s="1360">
        <v>1</v>
      </c>
      <c r="D2347" s="1361" t="s">
        <v>273</v>
      </c>
      <c r="E2347" s="1362">
        <v>11</v>
      </c>
      <c r="F2347" s="1363">
        <v>1.2</v>
      </c>
      <c r="G2347" s="1363">
        <v>0</v>
      </c>
      <c r="H2347" s="1363">
        <v>1.2</v>
      </c>
      <c r="I2347" s="1336">
        <f>ROUND(IF(AND(F2347:H2347),C2347*E2347*F2347*G2347*H2347,IF(AND(F2347,G2347),C2347*E2347*F2347*G2347,IF(AND(F2347,H2347),C2347*E2347*F2347*H2347,IF(AND(G2347,H2347),C2347*E2347*G2347*H2347,IF(F2347,C2347*E2347*F2347,IF(G2347,C2347*E2347*G2347,IF(H2347,C2347*E2347*H2347,C2347*E2347))))))),2)</f>
        <v>15.84</v>
      </c>
      <c r="J2347" s="1168" t="s">
        <v>102</v>
      </c>
      <c r="K2347" s="1169"/>
      <c r="L2347" s="1156"/>
      <c r="M2347" s="1169"/>
      <c r="N2347" s="1161" t="s">
        <v>2317</v>
      </c>
    </row>
    <row r="2348" spans="1:15" s="1170" customFormat="1" ht="16.5" hidden="1" customHeight="1">
      <c r="A2348" s="1156"/>
      <c r="B2348" s="1331"/>
      <c r="C2348" s="1332"/>
      <c r="D2348" s="1333"/>
      <c r="E2348" s="1334"/>
      <c r="F2348" s="1335"/>
      <c r="G2348" s="1335"/>
      <c r="H2348" s="1335"/>
      <c r="I2348" s="1336"/>
      <c r="J2348" s="1168"/>
      <c r="K2348" s="1169"/>
      <c r="L2348" s="1156"/>
      <c r="M2348" s="1169"/>
      <c r="N2348" s="1161" t="s">
        <v>2317</v>
      </c>
    </row>
    <row r="2349" spans="1:15" ht="15.75" hidden="1">
      <c r="A2349" s="1156"/>
      <c r="B2349" s="1169"/>
      <c r="C2349" s="1337"/>
      <c r="D2349" s="1171"/>
      <c r="E2349" s="1165"/>
      <c r="F2349" s="1166"/>
      <c r="G2349" s="1343"/>
      <c r="H2349" s="1156"/>
      <c r="I2349" s="1336"/>
      <c r="J2349" s="1168" t="s">
        <v>102</v>
      </c>
      <c r="K2349" s="1221">
        <f>'D&amp;W data'!H705</f>
        <v>8058</v>
      </c>
      <c r="L2349" s="1159" t="s">
        <v>2317</v>
      </c>
      <c r="M2349" s="1224">
        <f>ROUND(I2349*K2349,0)</f>
        <v>0</v>
      </c>
      <c r="N2349" s="1161" t="s">
        <v>2317</v>
      </c>
    </row>
    <row r="2350" spans="1:15" s="1170" customFormat="1" ht="16.5" hidden="1" customHeight="1">
      <c r="A2350" s="1156">
        <v>6</v>
      </c>
      <c r="B2350" s="1169" t="s">
        <v>3659</v>
      </c>
      <c r="C2350" s="1351"/>
      <c r="D2350" s="1400"/>
      <c r="E2350" s="1352"/>
      <c r="F2350" s="1234"/>
      <c r="G2350" s="1234"/>
      <c r="H2350" s="1235"/>
      <c r="I2350" s="1353"/>
      <c r="J2350" s="1168"/>
      <c r="K2350" s="1169"/>
      <c r="L2350" s="1156"/>
      <c r="M2350" s="1169"/>
      <c r="N2350" s="1161" t="s">
        <v>2317</v>
      </c>
    </row>
    <row r="2351" spans="1:15" s="1170" customFormat="1" ht="16.5" hidden="1" customHeight="1">
      <c r="A2351" s="1156"/>
      <c r="B2351" s="1359" t="s">
        <v>3126</v>
      </c>
      <c r="C2351" s="1360">
        <v>1</v>
      </c>
      <c r="D2351" s="1361" t="s">
        <v>273</v>
      </c>
      <c r="E2351" s="1362">
        <v>11</v>
      </c>
      <c r="F2351" s="1363">
        <v>1.2</v>
      </c>
      <c r="G2351" s="1363">
        <v>0</v>
      </c>
      <c r="H2351" s="1363">
        <v>1.2</v>
      </c>
      <c r="I2351" s="1336">
        <f>ROUND(IF(AND(F2351:H2351),C2351*E2351*F2351*G2351*H2351,IF(AND(F2351,G2351),C2351*E2351*F2351*G2351,IF(AND(F2351,H2351),C2351*E2351*F2351*H2351,IF(AND(G2351,H2351),C2351*E2351*G2351*H2351,IF(F2351,C2351*E2351*F2351,IF(G2351,C2351*E2351*G2351,IF(H2351,C2351*E2351*H2351,C2351*E2351))))))),2)</f>
        <v>15.84</v>
      </c>
      <c r="J2351" s="1168" t="s">
        <v>102</v>
      </c>
      <c r="K2351" s="1169"/>
      <c r="L2351" s="1156"/>
      <c r="M2351" s="1169"/>
      <c r="N2351" s="1161" t="s">
        <v>2317</v>
      </c>
    </row>
    <row r="2352" spans="1:15" s="1170" customFormat="1" ht="16.5" hidden="1" customHeight="1">
      <c r="A2352" s="1156"/>
      <c r="B2352" s="1331"/>
      <c r="C2352" s="1332"/>
      <c r="D2352" s="1333"/>
      <c r="E2352" s="1334"/>
      <c r="F2352" s="1335"/>
      <c r="G2352" s="1335"/>
      <c r="H2352" s="1335"/>
      <c r="I2352" s="1336"/>
      <c r="J2352" s="1168"/>
      <c r="K2352" s="1169"/>
      <c r="L2352" s="1156"/>
      <c r="M2352" s="1169"/>
      <c r="N2352" s="1161" t="s">
        <v>2317</v>
      </c>
    </row>
    <row r="2353" spans="1:15" ht="15.75" hidden="1">
      <c r="A2353" s="1156"/>
      <c r="B2353" s="1169"/>
      <c r="C2353" s="1337"/>
      <c r="D2353" s="1171"/>
      <c r="E2353" s="1165"/>
      <c r="F2353" s="1166"/>
      <c r="G2353" s="1343"/>
      <c r="H2353" s="1156"/>
      <c r="I2353" s="1336"/>
      <c r="J2353" s="1168" t="s">
        <v>102</v>
      </c>
      <c r="K2353" s="1221">
        <f>'D&amp;W data'!H703</f>
        <v>6038</v>
      </c>
      <c r="L2353" s="1159" t="s">
        <v>2317</v>
      </c>
      <c r="M2353" s="1224">
        <f>ROUND(I2353*K2353,0)</f>
        <v>0</v>
      </c>
      <c r="N2353" s="1161" t="s">
        <v>2317</v>
      </c>
    </row>
    <row r="2354" spans="1:15" s="1170" customFormat="1" ht="16.5" hidden="1" customHeight="1">
      <c r="A2354" s="1156">
        <v>3</v>
      </c>
      <c r="B2354" s="1365" t="s">
        <v>2341</v>
      </c>
      <c r="C2354" s="1351" t="s">
        <v>1637</v>
      </c>
      <c r="D2354" s="1418"/>
      <c r="E2354" s="1352"/>
      <c r="F2354" s="1234"/>
      <c r="G2354" s="1234"/>
      <c r="H2354" s="1235"/>
      <c r="I2354" s="1353"/>
      <c r="J2354" s="1168"/>
      <c r="K2354" s="1169"/>
      <c r="L2354" s="1156"/>
      <c r="M2354" s="1169"/>
      <c r="N2354" s="1161" t="s">
        <v>2317</v>
      </c>
    </row>
    <row r="2355" spans="1:15" s="1170" customFormat="1" ht="16.5" hidden="1" customHeight="1">
      <c r="A2355" s="1156"/>
      <c r="B2355" s="1331"/>
      <c r="C2355" s="1332">
        <v>1</v>
      </c>
      <c r="D2355" s="1333" t="s">
        <v>273</v>
      </c>
      <c r="E2355" s="1334">
        <v>1</v>
      </c>
      <c r="F2355" s="1335">
        <v>1.51</v>
      </c>
      <c r="G2355" s="1335">
        <v>0</v>
      </c>
      <c r="H2355" s="1335">
        <v>1.2</v>
      </c>
      <c r="I2355" s="1336">
        <f>ROUND(IF(AND(F2355:H2355),C2355*E2355*F2355*G2355*H2355,IF(AND(F2355,G2355),C2355*E2355*F2355*G2355,IF(AND(F2355,H2355),C2355*E2355*F2355*H2355,IF(AND(G2355,H2355),C2355*E2355*G2355*H2355,IF(F2355,C2355*E2355*F2355,IF(G2355,C2355*E2355*G2355,IF(H2355,C2355*E2355*H2355,C2355*E2355))))))),2)</f>
        <v>1.81</v>
      </c>
      <c r="J2355" s="1168" t="s">
        <v>102</v>
      </c>
      <c r="K2355" s="1169"/>
      <c r="L2355" s="1156"/>
      <c r="M2355" s="1169"/>
      <c r="N2355" s="1161" t="s">
        <v>2317</v>
      </c>
      <c r="O2355" s="1334">
        <v>1</v>
      </c>
    </row>
    <row r="2356" spans="1:15" s="1170" customFormat="1" ht="16.5" hidden="1" customHeight="1">
      <c r="A2356" s="1156"/>
      <c r="B2356" s="1331"/>
      <c r="C2356" s="1332"/>
      <c r="D2356" s="1333"/>
      <c r="E2356" s="1334"/>
      <c r="F2356" s="1335"/>
      <c r="G2356" s="1335"/>
      <c r="H2356" s="1335"/>
      <c r="I2356" s="1336"/>
      <c r="J2356" s="1168"/>
      <c r="K2356" s="1169"/>
      <c r="L2356" s="1156"/>
      <c r="M2356" s="1169"/>
      <c r="N2356" s="1161" t="s">
        <v>2317</v>
      </c>
      <c r="O2356" s="1334"/>
    </row>
    <row r="2357" spans="1:15" ht="15.75" hidden="1">
      <c r="A2357" s="1156"/>
      <c r="B2357" s="1169"/>
      <c r="C2357" s="1337"/>
      <c r="D2357" s="1171"/>
      <c r="E2357" s="1165"/>
      <c r="F2357" s="1166"/>
      <c r="G2357" s="1343"/>
      <c r="H2357" s="1156"/>
      <c r="I2357" s="1336"/>
      <c r="J2357" s="1168" t="s">
        <v>102</v>
      </c>
      <c r="K2357" s="1221">
        <f>'D&amp;W data'!H707</f>
        <v>5830</v>
      </c>
      <c r="L2357" s="1159" t="s">
        <v>2317</v>
      </c>
      <c r="M2357" s="1224">
        <f>ROUND(I2357*K2357,0)</f>
        <v>0</v>
      </c>
      <c r="N2357" s="1161" t="s">
        <v>2317</v>
      </c>
    </row>
    <row r="2358" spans="1:15" ht="27" hidden="1" customHeight="1">
      <c r="A2358" s="1156">
        <v>6</v>
      </c>
      <c r="B2358" s="1826" t="s">
        <v>2293</v>
      </c>
      <c r="C2358" s="1826"/>
      <c r="D2358" s="1826"/>
      <c r="E2358" s="1826"/>
      <c r="F2358" s="1826"/>
      <c r="G2358" s="1826"/>
      <c r="H2358" s="1826"/>
      <c r="I2358" s="1157"/>
      <c r="J2358" s="1158"/>
      <c r="K2358" s="1156"/>
      <c r="L2358" s="1156"/>
      <c r="M2358" s="1160"/>
      <c r="N2358" s="1161" t="s">
        <v>2317</v>
      </c>
    </row>
    <row r="2359" spans="1:15" s="1170" customFormat="1" ht="16.5" hidden="1" customHeight="1">
      <c r="A2359" s="1156"/>
      <c r="B2359" s="1230" t="s">
        <v>2342</v>
      </c>
      <c r="C2359" s="1351"/>
      <c r="D2359" s="1418"/>
      <c r="E2359" s="1352"/>
      <c r="F2359" s="1234"/>
      <c r="G2359" s="1234"/>
      <c r="H2359" s="1235"/>
      <c r="I2359" s="1353"/>
      <c r="J2359" s="1168"/>
      <c r="K2359" s="1169"/>
      <c r="L2359" s="1156"/>
      <c r="M2359" s="1169"/>
      <c r="N2359" s="1161" t="s">
        <v>2317</v>
      </c>
    </row>
    <row r="2360" spans="1:15" s="1170" customFormat="1" ht="16.5" hidden="1" customHeight="1">
      <c r="A2360" s="1156"/>
      <c r="B2360" s="1331"/>
      <c r="C2360" s="1332">
        <v>1</v>
      </c>
      <c r="D2360" s="1333" t="s">
        <v>273</v>
      </c>
      <c r="E2360" s="1334">
        <v>1</v>
      </c>
      <c r="F2360" s="1335">
        <v>1.2</v>
      </c>
      <c r="G2360" s="1335">
        <v>0</v>
      </c>
      <c r="H2360" s="1335">
        <v>0.3</v>
      </c>
      <c r="I2360" s="1336">
        <f>ROUND(IF(AND(F2360:H2360),C2360*E2360*F2360*G2360*H2360,IF(AND(F2360,G2360),C2360*E2360*F2360*G2360,IF(AND(F2360,H2360),C2360*E2360*F2360*H2360,IF(AND(G2360,H2360),C2360*E2360*G2360*H2360,IF(F2360,C2360*E2360*F2360,IF(G2360,C2360*E2360*G2360,IF(H2360,C2360*E2360*H2360,C2360*E2360))))))),2)</f>
        <v>0.36</v>
      </c>
      <c r="J2360" s="1168" t="s">
        <v>102</v>
      </c>
      <c r="K2360" s="1169"/>
      <c r="L2360" s="1156"/>
      <c r="M2360" s="1169"/>
      <c r="N2360" s="1161" t="s">
        <v>2317</v>
      </c>
    </row>
    <row r="2361" spans="1:15" s="1170" customFormat="1" ht="16.5" hidden="1" customHeight="1">
      <c r="A2361" s="1156"/>
      <c r="B2361" s="1331"/>
      <c r="C2361" s="1332"/>
      <c r="D2361" s="1333"/>
      <c r="E2361" s="1334"/>
      <c r="F2361" s="1335"/>
      <c r="G2361" s="1335"/>
      <c r="H2361" s="1335"/>
      <c r="I2361" s="1336"/>
      <c r="J2361" s="1168"/>
      <c r="K2361" s="1169"/>
      <c r="L2361" s="1156"/>
      <c r="M2361" s="1169"/>
      <c r="N2361" s="1161" t="s">
        <v>2317</v>
      </c>
    </row>
    <row r="2362" spans="1:15" ht="15.75" hidden="1">
      <c r="A2362" s="1156"/>
      <c r="B2362" s="1169"/>
      <c r="C2362" s="1337"/>
      <c r="D2362" s="1171"/>
      <c r="E2362" s="1165"/>
      <c r="F2362" s="1166"/>
      <c r="G2362" s="1343"/>
      <c r="H2362" s="1156"/>
      <c r="I2362" s="1336"/>
      <c r="J2362" s="1168" t="s">
        <v>102</v>
      </c>
      <c r="K2362" s="1221">
        <f>'D&amp;W data'!H710</f>
        <v>3797</v>
      </c>
      <c r="L2362" s="1159" t="s">
        <v>2317</v>
      </c>
      <c r="M2362" s="1224">
        <f>ROUND(I2362*K2362,0)</f>
        <v>0</v>
      </c>
      <c r="N2362" s="1161" t="s">
        <v>2317</v>
      </c>
    </row>
    <row r="2363" spans="1:15" ht="27" hidden="1" customHeight="1">
      <c r="A2363" s="1156">
        <v>6</v>
      </c>
      <c r="B2363" s="1826" t="s">
        <v>1200</v>
      </c>
      <c r="C2363" s="1826"/>
      <c r="D2363" s="1826"/>
      <c r="E2363" s="1826"/>
      <c r="F2363" s="1826"/>
      <c r="G2363" s="1826"/>
      <c r="H2363" s="1826"/>
      <c r="I2363" s="1157"/>
      <c r="J2363" s="1158"/>
      <c r="K2363" s="1156"/>
      <c r="L2363" s="1156"/>
      <c r="M2363" s="1160"/>
      <c r="N2363" s="1161" t="s">
        <v>2317</v>
      </c>
    </row>
    <row r="2364" spans="1:15" s="1170" customFormat="1" ht="16.5" hidden="1" customHeight="1">
      <c r="A2364" s="1156"/>
      <c r="B2364" s="1230" t="s">
        <v>2342</v>
      </c>
      <c r="C2364" s="1351"/>
      <c r="D2364" s="1418"/>
      <c r="E2364" s="1352"/>
      <c r="F2364" s="1234"/>
      <c r="G2364" s="1234"/>
      <c r="H2364" s="1235"/>
      <c r="I2364" s="1353"/>
      <c r="J2364" s="1168"/>
      <c r="K2364" s="1169"/>
      <c r="L2364" s="1156"/>
      <c r="M2364" s="1169"/>
      <c r="N2364" s="1161" t="s">
        <v>2317</v>
      </c>
    </row>
    <row r="2365" spans="1:15" s="1170" customFormat="1" ht="16.5" hidden="1" customHeight="1">
      <c r="A2365" s="1156"/>
      <c r="B2365" s="1331"/>
      <c r="C2365" s="1332">
        <v>1</v>
      </c>
      <c r="D2365" s="1333" t="s">
        <v>273</v>
      </c>
      <c r="E2365" s="1334">
        <v>16</v>
      </c>
      <c r="F2365" s="1335">
        <v>0</v>
      </c>
      <c r="G2365" s="1335">
        <v>0</v>
      </c>
      <c r="H2365" s="1335">
        <v>0</v>
      </c>
      <c r="I2365" s="1421">
        <f>ROUND(IF(AND(F2365:H2365),C2365*E2365*F2365*G2365*H2365,IF(AND(F2365,G2365),C2365*E2365*F2365*G2365,IF(AND(F2365,H2365),C2365*E2365*F2365*H2365,IF(AND(G2365,H2365),C2365*E2365*G2365*H2365,IF(F2365,C2365*E2365*F2365,IF(G2365,C2365*E2365*G2365,IF(H2365,C2365*E2365*H2365,C2365*E2365))))))),2)</f>
        <v>16</v>
      </c>
      <c r="J2365" s="1168" t="s">
        <v>115</v>
      </c>
      <c r="K2365" s="1169"/>
      <c r="L2365" s="1156"/>
      <c r="M2365" s="1169"/>
      <c r="N2365" s="1161" t="s">
        <v>2317</v>
      </c>
    </row>
    <row r="2366" spans="1:15" s="1170" customFormat="1" ht="16.5" hidden="1" customHeight="1">
      <c r="A2366" s="1156"/>
      <c r="B2366" s="1331"/>
      <c r="C2366" s="1332"/>
      <c r="D2366" s="1333"/>
      <c r="E2366" s="1334"/>
      <c r="F2366" s="1335"/>
      <c r="G2366" s="1335"/>
      <c r="H2366" s="1335"/>
      <c r="I2366" s="1421"/>
      <c r="J2366" s="1168"/>
      <c r="K2366" s="1169"/>
      <c r="L2366" s="1156"/>
      <c r="M2366" s="1169"/>
      <c r="N2366" s="1161" t="s">
        <v>2317</v>
      </c>
    </row>
    <row r="2367" spans="1:15" ht="15.75" hidden="1">
      <c r="A2367" s="1156"/>
      <c r="B2367" s="1169"/>
      <c r="C2367" s="1337"/>
      <c r="D2367" s="1171"/>
      <c r="E2367" s="1165"/>
      <c r="F2367" s="1166"/>
      <c r="G2367" s="1343"/>
      <c r="H2367" s="1156"/>
      <c r="I2367" s="1421"/>
      <c r="J2367" s="1168" t="s">
        <v>115</v>
      </c>
      <c r="K2367" s="1221">
        <f>'D&amp;W data'!H670</f>
        <v>520.87</v>
      </c>
      <c r="L2367" s="1159" t="s">
        <v>2317</v>
      </c>
      <c r="M2367" s="1224">
        <f>ROUND(I2367*K2367,0)</f>
        <v>0</v>
      </c>
      <c r="N2367" s="1161" t="s">
        <v>2317</v>
      </c>
    </row>
    <row r="2368" spans="1:15" ht="27" hidden="1" customHeight="1">
      <c r="A2368" s="1156">
        <v>46</v>
      </c>
      <c r="B2368" s="1826" t="s">
        <v>932</v>
      </c>
      <c r="C2368" s="1826"/>
      <c r="D2368" s="1826"/>
      <c r="E2368" s="1826"/>
      <c r="F2368" s="1826"/>
      <c r="G2368" s="1826"/>
      <c r="H2368" s="1826"/>
      <c r="I2368" s="1157"/>
      <c r="J2368" s="1158"/>
      <c r="K2368" s="1156"/>
      <c r="L2368" s="1156"/>
      <c r="M2368" s="1160"/>
      <c r="N2368" s="1161" t="s">
        <v>2317</v>
      </c>
    </row>
    <row r="2369" spans="1:14" s="1170" customFormat="1" ht="16.5" hidden="1" customHeight="1">
      <c r="A2369" s="1156"/>
      <c r="B2369" s="1163" t="s">
        <v>3546</v>
      </c>
      <c r="C2369" s="1351"/>
      <c r="D2369" s="1548" t="s">
        <v>3644</v>
      </c>
      <c r="E2369" s="1352"/>
      <c r="F2369" s="1234"/>
      <c r="G2369" s="1234"/>
      <c r="H2369" s="1235"/>
      <c r="I2369" s="1353"/>
      <c r="J2369" s="1168"/>
      <c r="K2369" s="1169"/>
      <c r="L2369" s="1156"/>
      <c r="M2369" s="1169"/>
      <c r="N2369" s="1161" t="s">
        <v>2317</v>
      </c>
    </row>
    <row r="2370" spans="1:14" s="1170" customFormat="1" ht="16.5" hidden="1" customHeight="1">
      <c r="A2370" s="1156"/>
      <c r="B2370" s="1359"/>
      <c r="C2370" s="1360">
        <v>1</v>
      </c>
      <c r="D2370" s="1361" t="s">
        <v>273</v>
      </c>
      <c r="E2370" s="1362">
        <v>12</v>
      </c>
      <c r="F2370" s="1363">
        <v>0.6</v>
      </c>
      <c r="G2370" s="1363">
        <v>0</v>
      </c>
      <c r="H2370" s="1363">
        <v>0.3</v>
      </c>
      <c r="I2370" s="1336">
        <f>ROUND(IF(AND(F2370:H2370),C2370*E2370*F2370*G2370*H2370,IF(AND(F2370,G2370),C2370*E2370*F2370*G2370,IF(AND(F2370,H2370),C2370*E2370*F2370*H2370,IF(AND(G2370,H2370),C2370*E2370*G2370*H2370,IF(F2370,C2370*E2370*F2370,IF(G2370,C2370*E2370*G2370,IF(H2370,C2370*E2370*H2370,C2370*E2370))))))),2)</f>
        <v>2.16</v>
      </c>
      <c r="J2370" s="1168" t="s">
        <v>102</v>
      </c>
      <c r="K2370" s="1169"/>
      <c r="L2370" s="1156"/>
      <c r="M2370" s="1169"/>
      <c r="N2370" s="1161" t="s">
        <v>2317</v>
      </c>
    </row>
    <row r="2371" spans="1:14" s="1170" customFormat="1" ht="16.5" hidden="1" customHeight="1">
      <c r="A2371" s="1156"/>
      <c r="B2371" s="1331"/>
      <c r="C2371" s="1332"/>
      <c r="D2371" s="1333"/>
      <c r="E2371" s="1334"/>
      <c r="F2371" s="1335"/>
      <c r="G2371" s="1335"/>
      <c r="H2371" s="1335"/>
      <c r="I2371" s="1336"/>
      <c r="J2371" s="1168"/>
      <c r="K2371" s="1169"/>
      <c r="L2371" s="1156"/>
      <c r="M2371" s="1169"/>
      <c r="N2371" s="1161" t="s">
        <v>2317</v>
      </c>
    </row>
    <row r="2372" spans="1:14" ht="15.75" hidden="1">
      <c r="A2372" s="1156"/>
      <c r="B2372" s="1169"/>
      <c r="C2372" s="1337"/>
      <c r="D2372" s="1171"/>
      <c r="E2372" s="1165"/>
      <c r="F2372" s="1166"/>
      <c r="G2372" s="1343"/>
      <c r="H2372" s="1156"/>
      <c r="I2372" s="1336"/>
      <c r="J2372" s="1168" t="s">
        <v>102</v>
      </c>
      <c r="K2372" s="1221">
        <f>'D&amp;W data'!H676</f>
        <v>554.35</v>
      </c>
      <c r="L2372" s="1159" t="s">
        <v>2317</v>
      </c>
      <c r="M2372" s="1224">
        <f>ROUND(I2372*K2372,0)</f>
        <v>0</v>
      </c>
      <c r="N2372" s="1161" t="s">
        <v>2317</v>
      </c>
    </row>
    <row r="2373" spans="1:14" ht="46.5" hidden="1" customHeight="1">
      <c r="A2373" s="1156">
        <v>42</v>
      </c>
      <c r="B2373" s="1826" t="s">
        <v>185</v>
      </c>
      <c r="C2373" s="1826"/>
      <c r="D2373" s="1826"/>
      <c r="E2373" s="1826"/>
      <c r="F2373" s="1826"/>
      <c r="G2373" s="1826"/>
      <c r="H2373" s="1826"/>
      <c r="I2373" s="1157"/>
      <c r="J2373" s="1158"/>
      <c r="K2373" s="1156"/>
      <c r="L2373" s="1156"/>
      <c r="M2373" s="1160"/>
      <c r="N2373" s="1161" t="s">
        <v>2317</v>
      </c>
    </row>
    <row r="2374" spans="1:14" s="1170" customFormat="1" ht="16.5" hidden="1" customHeight="1">
      <c r="A2374" s="1156"/>
      <c r="B2374" s="1163" t="s">
        <v>3660</v>
      </c>
      <c r="C2374" s="1351"/>
      <c r="D2374" s="1548" t="s">
        <v>3744</v>
      </c>
      <c r="E2374" s="1352"/>
      <c r="F2374" s="1234"/>
      <c r="G2374" s="1234"/>
      <c r="H2374" s="1235"/>
      <c r="I2374" s="1353"/>
      <c r="J2374" s="1168"/>
      <c r="K2374" s="1169"/>
      <c r="L2374" s="1156"/>
      <c r="M2374" s="1169"/>
      <c r="N2374" s="1161" t="s">
        <v>2317</v>
      </c>
    </row>
    <row r="2375" spans="1:14" s="1170" customFormat="1" ht="16.5" hidden="1" customHeight="1">
      <c r="A2375" s="1156"/>
      <c r="B2375" s="1359"/>
      <c r="C2375" s="1360">
        <v>1</v>
      </c>
      <c r="D2375" s="1361" t="s">
        <v>273</v>
      </c>
      <c r="E2375" s="1362">
        <v>11</v>
      </c>
      <c r="F2375" s="1401">
        <v>40</v>
      </c>
      <c r="G2375" s="1363">
        <v>0</v>
      </c>
      <c r="H2375" s="1363">
        <v>0</v>
      </c>
      <c r="I2375" s="1336">
        <f>ROUND(IF(AND(F2375:H2375),C2375*E2375*F2375*G2375*H2375,IF(AND(F2375,G2375),C2375*E2375*F2375*G2375,IF(AND(F2375,H2375),C2375*E2375*F2375*H2375,IF(AND(G2375,H2375),C2375*E2375*G2375*H2375,IF(F2375,C2375*E2375*F2375,IF(G2375,C2375*E2375*G2375,IF(H2375,C2375*E2375*H2375,C2375*E2375))))))),2)</f>
        <v>440</v>
      </c>
      <c r="J2375" s="1168" t="s">
        <v>141</v>
      </c>
      <c r="K2375" s="1169"/>
      <c r="L2375" s="1156"/>
      <c r="M2375" s="1169"/>
      <c r="N2375" s="1161" t="s">
        <v>2317</v>
      </c>
    </row>
    <row r="2376" spans="1:14" s="1170" customFormat="1" ht="16.5" hidden="1" customHeight="1">
      <c r="A2376" s="1156"/>
      <c r="B2376" s="1331"/>
      <c r="C2376" s="1332"/>
      <c r="D2376" s="1333"/>
      <c r="E2376" s="1334"/>
      <c r="F2376" s="1335"/>
      <c r="G2376" s="1335"/>
      <c r="H2376" s="1335"/>
      <c r="I2376" s="1336"/>
      <c r="J2376" s="1168"/>
      <c r="K2376" s="1169"/>
      <c r="L2376" s="1156"/>
      <c r="M2376" s="1169"/>
      <c r="N2376" s="1161" t="s">
        <v>2317</v>
      </c>
    </row>
    <row r="2377" spans="1:14" ht="15.75" hidden="1">
      <c r="A2377" s="1156"/>
      <c r="B2377" s="1169"/>
      <c r="C2377" s="1337"/>
      <c r="D2377" s="1171"/>
      <c r="E2377" s="1165"/>
      <c r="F2377" s="1166"/>
      <c r="G2377" s="1343"/>
      <c r="H2377" s="1156"/>
      <c r="I2377" s="1336"/>
      <c r="J2377" s="1168" t="s">
        <v>4</v>
      </c>
      <c r="K2377" s="1221">
        <f>data!G2139</f>
        <v>95.89</v>
      </c>
      <c r="L2377" s="1159" t="s">
        <v>2317</v>
      </c>
      <c r="M2377" s="1224">
        <f>ROUND(I2377*K2377,0)</f>
        <v>0</v>
      </c>
      <c r="N2377" s="1161" t="s">
        <v>2317</v>
      </c>
    </row>
    <row r="2378" spans="1:14" ht="65.25" hidden="1" customHeight="1">
      <c r="A2378" s="1156">
        <v>2</v>
      </c>
      <c r="B2378" s="1826" t="s">
        <v>933</v>
      </c>
      <c r="C2378" s="1826"/>
      <c r="D2378" s="1826"/>
      <c r="E2378" s="1826"/>
      <c r="F2378" s="1826"/>
      <c r="G2378" s="1826"/>
      <c r="H2378" s="1826"/>
      <c r="I2378" s="1157"/>
      <c r="J2378" s="1158"/>
      <c r="K2378" s="1156"/>
      <c r="L2378" s="1156"/>
      <c r="M2378" s="1160"/>
      <c r="N2378" s="1161" t="s">
        <v>2317</v>
      </c>
    </row>
    <row r="2379" spans="1:14" s="1170" customFormat="1" ht="16.5" hidden="1" customHeight="1">
      <c r="A2379" s="1156"/>
      <c r="B2379" s="1169" t="s">
        <v>2330</v>
      </c>
      <c r="C2379" s="1351"/>
      <c r="D2379" s="1418"/>
      <c r="E2379" s="1352"/>
      <c r="F2379" s="1234"/>
      <c r="G2379" s="1234"/>
      <c r="H2379" s="1235"/>
      <c r="I2379" s="1353"/>
      <c r="J2379" s="1168"/>
      <c r="K2379" s="1169"/>
      <c r="L2379" s="1156"/>
      <c r="M2379" s="1169"/>
      <c r="N2379" s="1161" t="s">
        <v>2317</v>
      </c>
    </row>
    <row r="2380" spans="1:14" s="1170" customFormat="1" ht="16.5" hidden="1" customHeight="1">
      <c r="A2380" s="1156"/>
      <c r="B2380" s="1359" t="s">
        <v>1537</v>
      </c>
      <c r="C2380" s="1360">
        <v>1</v>
      </c>
      <c r="D2380" s="1361" t="s">
        <v>273</v>
      </c>
      <c r="E2380" s="1362">
        <v>8</v>
      </c>
      <c r="F2380" s="1363">
        <v>1.2</v>
      </c>
      <c r="G2380" s="1363">
        <v>0</v>
      </c>
      <c r="H2380" s="1363">
        <v>1.2</v>
      </c>
      <c r="I2380" s="1336">
        <f>ROUND(IF(AND(F2380:H2380),C2380*E2380*F2380*G2380*H2380,IF(AND(F2380,G2380),C2380*E2380*F2380*G2380,IF(AND(F2380,H2380),C2380*E2380*F2380*H2380,IF(AND(G2380,H2380),C2380*E2380*G2380*H2380,IF(F2380,C2380*E2380*F2380,IF(G2380,C2380*E2380*G2380,IF(H2380,C2380*E2380*H2380,C2380*E2380))))))),2)</f>
        <v>11.52</v>
      </c>
      <c r="J2380" s="1168" t="s">
        <v>102</v>
      </c>
      <c r="K2380" s="1169"/>
      <c r="L2380" s="1156"/>
      <c r="M2380" s="1169"/>
      <c r="N2380" s="1161" t="s">
        <v>2317</v>
      </c>
    </row>
    <row r="2381" spans="1:14" s="1170" customFormat="1" ht="16.5" hidden="1" customHeight="1">
      <c r="A2381" s="1156"/>
      <c r="B2381" s="1331"/>
      <c r="C2381" s="1332"/>
      <c r="D2381" s="1333"/>
      <c r="E2381" s="1334"/>
      <c r="F2381" s="1335"/>
      <c r="G2381" s="1335"/>
      <c r="H2381" s="1335"/>
      <c r="I2381" s="1336"/>
      <c r="J2381" s="1168"/>
      <c r="K2381" s="1169"/>
      <c r="L2381" s="1156"/>
      <c r="M2381" s="1169"/>
      <c r="N2381" s="1161" t="s">
        <v>2317</v>
      </c>
    </row>
    <row r="2382" spans="1:14" ht="15.75" hidden="1">
      <c r="A2382" s="1156"/>
      <c r="B2382" s="1169"/>
      <c r="C2382" s="1337"/>
      <c r="D2382" s="1171"/>
      <c r="E2382" s="1165"/>
      <c r="F2382" s="1166"/>
      <c r="G2382" s="1343"/>
      <c r="H2382" s="1156"/>
      <c r="I2382" s="1336"/>
      <c r="J2382" s="1168" t="s">
        <v>102</v>
      </c>
      <c r="K2382" s="1221">
        <f>data!G2147</f>
        <v>2719.44</v>
      </c>
      <c r="L2382" s="1159" t="s">
        <v>2317</v>
      </c>
      <c r="M2382" s="1224">
        <f>ROUND(I2382*K2382,0)</f>
        <v>0</v>
      </c>
      <c r="N2382" s="1161" t="s">
        <v>2317</v>
      </c>
    </row>
    <row r="2383" spans="1:14" ht="42.75" hidden="1" customHeight="1">
      <c r="A2383" s="1156">
        <v>51</v>
      </c>
      <c r="B2383" s="1826" t="s">
        <v>626</v>
      </c>
      <c r="C2383" s="1826"/>
      <c r="D2383" s="1826"/>
      <c r="E2383" s="1826"/>
      <c r="F2383" s="1826"/>
      <c r="G2383" s="1826"/>
      <c r="H2383" s="1826"/>
      <c r="I2383" s="1157"/>
      <c r="J2383" s="1158"/>
      <c r="K2383" s="1156"/>
      <c r="L2383" s="1156"/>
      <c r="M2383" s="1160"/>
      <c r="N2383" s="1161" t="s">
        <v>2317</v>
      </c>
    </row>
    <row r="2384" spans="1:14" s="1170" customFormat="1" ht="16.5" hidden="1" customHeight="1">
      <c r="A2384" s="1156"/>
      <c r="B2384" s="1230" t="s">
        <v>2345</v>
      </c>
      <c r="C2384" s="1351"/>
      <c r="D2384" s="1418"/>
      <c r="E2384" s="1352"/>
      <c r="F2384" s="1234"/>
      <c r="G2384" s="1234"/>
      <c r="H2384" s="1235"/>
      <c r="I2384" s="1353"/>
      <c r="J2384" s="1168"/>
      <c r="K2384" s="1169"/>
      <c r="L2384" s="1156"/>
      <c r="M2384" s="1169"/>
      <c r="N2384" s="1161" t="s">
        <v>2317</v>
      </c>
    </row>
    <row r="2385" spans="1:14" s="1170" customFormat="1" ht="16.5" hidden="1" customHeight="1">
      <c r="A2385" s="1156"/>
      <c r="B2385" s="1331" t="s">
        <v>661</v>
      </c>
      <c r="C2385" s="1332">
        <v>1</v>
      </c>
      <c r="D2385" s="1333" t="s">
        <v>273</v>
      </c>
      <c r="E2385" s="1334">
        <v>1</v>
      </c>
      <c r="F2385" s="1550">
        <v>58.6</v>
      </c>
      <c r="G2385" s="1335">
        <v>0</v>
      </c>
      <c r="H2385" s="1335">
        <v>0</v>
      </c>
      <c r="I2385" s="1336">
        <f>ROUND(IF(AND(F2385:H2385),C2385*E2385*F2385*G2385*H2385,IF(AND(F2385,G2385),C2385*E2385*F2385*G2385,IF(AND(F2385,H2385),C2385*E2385*F2385*H2385,IF(AND(G2385,H2385),C2385*E2385*G2385*H2385,IF(F2385,C2385*E2385*F2385,IF(G2385,C2385*E2385*G2385,IF(H2385,C2385*E2385*H2385,C2385*E2385))))))),2)</f>
        <v>58.6</v>
      </c>
      <c r="J2385" s="1168" t="s">
        <v>141</v>
      </c>
      <c r="K2385" s="1169"/>
      <c r="L2385" s="1156"/>
      <c r="M2385" s="1169"/>
      <c r="N2385" s="1161" t="s">
        <v>2317</v>
      </c>
    </row>
    <row r="2386" spans="1:14" s="1170" customFormat="1" ht="16.5" hidden="1" customHeight="1">
      <c r="A2386" s="1156"/>
      <c r="B2386" s="1331"/>
      <c r="C2386" s="1332"/>
      <c r="D2386" s="1333"/>
      <c r="E2386" s="1334"/>
      <c r="F2386" s="1550"/>
      <c r="G2386" s="1335"/>
      <c r="H2386" s="1335"/>
      <c r="I2386" s="1336"/>
      <c r="J2386" s="1168"/>
      <c r="K2386" s="1169"/>
      <c r="L2386" s="1156"/>
      <c r="M2386" s="1169"/>
      <c r="N2386" s="1161" t="s">
        <v>2317</v>
      </c>
    </row>
    <row r="2387" spans="1:14" ht="15.75" hidden="1">
      <c r="A2387" s="1156"/>
      <c r="B2387" s="1169"/>
      <c r="C2387" s="1337"/>
      <c r="D2387" s="1171"/>
      <c r="E2387" s="1165"/>
      <c r="F2387" s="1166"/>
      <c r="G2387" s="1343"/>
      <c r="H2387" s="1156"/>
      <c r="I2387" s="1336"/>
      <c r="J2387" s="1168" t="s">
        <v>141</v>
      </c>
      <c r="K2387" s="1221">
        <f>data!G2154</f>
        <v>114.65</v>
      </c>
      <c r="L2387" s="1159" t="s">
        <v>2317</v>
      </c>
      <c r="M2387" s="1224">
        <f>ROUND(I2387*K2387,0)</f>
        <v>0</v>
      </c>
      <c r="N2387" s="1161" t="s">
        <v>2317</v>
      </c>
    </row>
    <row r="2388" spans="1:14" ht="132" hidden="1" customHeight="1">
      <c r="A2388" s="1156">
        <v>43</v>
      </c>
      <c r="B2388" s="1826" t="s">
        <v>928</v>
      </c>
      <c r="C2388" s="1826"/>
      <c r="D2388" s="1826"/>
      <c r="E2388" s="1826"/>
      <c r="F2388" s="1826"/>
      <c r="G2388" s="1826"/>
      <c r="H2388" s="1826"/>
      <c r="I2388" s="1157"/>
      <c r="J2388" s="1158"/>
      <c r="K2388" s="1156"/>
      <c r="L2388" s="1156"/>
      <c r="M2388" s="1160"/>
      <c r="N2388" s="1161" t="s">
        <v>2317</v>
      </c>
    </row>
    <row r="2389" spans="1:14" s="1170" customFormat="1" ht="16.5" hidden="1" customHeight="1">
      <c r="A2389" s="1156"/>
      <c r="B2389" s="1163" t="s">
        <v>3730</v>
      </c>
      <c r="C2389" s="1351"/>
      <c r="D2389" s="1548" t="s">
        <v>3744</v>
      </c>
      <c r="E2389" s="1352"/>
      <c r="F2389" s="1234"/>
      <c r="G2389" s="1234"/>
      <c r="H2389" s="1235"/>
      <c r="I2389" s="1353"/>
      <c r="J2389" s="1168"/>
      <c r="K2389" s="1169"/>
      <c r="L2389" s="1156"/>
      <c r="M2389" s="1169"/>
      <c r="N2389" s="1161" t="s">
        <v>2317</v>
      </c>
    </row>
    <row r="2390" spans="1:14" s="1170" customFormat="1" ht="16.5" hidden="1" customHeight="1">
      <c r="A2390" s="1156"/>
      <c r="B2390" s="1359"/>
      <c r="C2390" s="1360">
        <v>1</v>
      </c>
      <c r="D2390" s="1361" t="s">
        <v>273</v>
      </c>
      <c r="E2390" s="1362">
        <v>2</v>
      </c>
      <c r="F2390" s="1401">
        <v>1.1000000000000001</v>
      </c>
      <c r="G2390" s="1363">
        <v>0</v>
      </c>
      <c r="H2390" s="1363">
        <v>0.9</v>
      </c>
      <c r="I2390" s="1336">
        <f>ROUND(IF(AND(F2390:H2390),C2390*E2390*F2390*G2390*H2390,IF(AND(F2390,G2390),C2390*E2390*F2390*G2390,IF(AND(F2390,H2390),C2390*E2390*F2390*H2390,IF(AND(G2390,H2390),C2390*E2390*G2390*H2390,IF(F2390,C2390*E2390*F2390,IF(G2390,C2390*E2390*G2390,IF(H2390,C2390*E2390*H2390,C2390*E2390))))))),2)</f>
        <v>1.98</v>
      </c>
      <c r="J2390" s="1168" t="s">
        <v>102</v>
      </c>
      <c r="K2390" s="1169"/>
      <c r="L2390" s="1156"/>
      <c r="M2390" s="1169"/>
      <c r="N2390" s="1161" t="s">
        <v>2317</v>
      </c>
    </row>
    <row r="2391" spans="1:14" s="1170" customFormat="1" ht="16.5" hidden="1" customHeight="1">
      <c r="A2391" s="1156"/>
      <c r="B2391" s="1359"/>
      <c r="C2391" s="1360">
        <v>1</v>
      </c>
      <c r="D2391" s="1361" t="s">
        <v>273</v>
      </c>
      <c r="E2391" s="1362">
        <v>2</v>
      </c>
      <c r="F2391" s="1401">
        <v>3.9</v>
      </c>
      <c r="G2391" s="1363">
        <v>0</v>
      </c>
      <c r="H2391" s="1363">
        <v>0.9</v>
      </c>
      <c r="I2391" s="1336">
        <f>ROUND(IF(AND(F2391:H2391),C2391*E2391*F2391*G2391*H2391,IF(AND(F2391,G2391),C2391*E2391*F2391*G2391,IF(AND(F2391,H2391),C2391*E2391*F2391*H2391,IF(AND(G2391,H2391),C2391*E2391*G2391*H2391,IF(F2391,C2391*E2391*F2391,IF(G2391,C2391*E2391*G2391,IF(H2391,C2391*E2391*H2391,C2391*E2391))))))),2)</f>
        <v>7.02</v>
      </c>
      <c r="J2391" s="1168" t="s">
        <v>102</v>
      </c>
      <c r="K2391" s="1169"/>
      <c r="L2391" s="1156"/>
      <c r="M2391" s="1169"/>
      <c r="N2391" s="1161" t="s">
        <v>2317</v>
      </c>
    </row>
    <row r="2392" spans="1:14" s="1170" customFormat="1" ht="16.5" hidden="1" customHeight="1">
      <c r="A2392" s="1156"/>
      <c r="B2392" s="1359"/>
      <c r="C2392" s="1360">
        <v>1</v>
      </c>
      <c r="D2392" s="1361" t="s">
        <v>273</v>
      </c>
      <c r="E2392" s="1362">
        <v>2</v>
      </c>
      <c r="F2392" s="1401">
        <v>1.65</v>
      </c>
      <c r="G2392" s="1363">
        <v>0</v>
      </c>
      <c r="H2392" s="1363">
        <v>0.9</v>
      </c>
      <c r="I2392" s="1336">
        <f>ROUND(IF(AND(F2392:H2392),C2392*E2392*F2392*G2392*H2392,IF(AND(F2392,G2392),C2392*E2392*F2392*G2392,IF(AND(F2392,H2392),C2392*E2392*F2392*H2392,IF(AND(G2392,H2392),C2392*E2392*G2392*H2392,IF(F2392,C2392*E2392*F2392,IF(G2392,C2392*E2392*G2392,IF(H2392,C2392*E2392*H2392,C2392*E2392))))))),2)</f>
        <v>2.97</v>
      </c>
      <c r="J2392" s="1168" t="s">
        <v>102</v>
      </c>
      <c r="K2392" s="1169"/>
      <c r="L2392" s="1156"/>
      <c r="M2392" s="1169"/>
      <c r="N2392" s="1161" t="s">
        <v>2317</v>
      </c>
    </row>
    <row r="2393" spans="1:14" s="1170" customFormat="1" ht="16.5" hidden="1" customHeight="1">
      <c r="A2393" s="1156"/>
      <c r="B2393" s="1331"/>
      <c r="C2393" s="1332"/>
      <c r="D2393" s="1333"/>
      <c r="E2393" s="1334"/>
      <c r="F2393" s="1550"/>
      <c r="G2393" s="1335"/>
      <c r="H2393" s="1335"/>
      <c r="I2393" s="1336"/>
      <c r="J2393" s="1168"/>
      <c r="K2393" s="1169"/>
      <c r="L2393" s="1156"/>
      <c r="M2393" s="1169"/>
      <c r="N2393" s="1161" t="s">
        <v>2317</v>
      </c>
    </row>
    <row r="2394" spans="1:14" ht="15.75" hidden="1">
      <c r="A2394" s="1156"/>
      <c r="B2394" s="1169"/>
      <c r="C2394" s="1337"/>
      <c r="D2394" s="1171"/>
      <c r="E2394" s="1165"/>
      <c r="F2394" s="1166"/>
      <c r="G2394" s="1343"/>
      <c r="H2394" s="1156"/>
      <c r="I2394" s="1336"/>
      <c r="J2394" s="1168" t="s">
        <v>102</v>
      </c>
      <c r="K2394" s="1221">
        <f>data!G2168</f>
        <v>3034.69</v>
      </c>
      <c r="L2394" s="1159" t="s">
        <v>2317</v>
      </c>
      <c r="M2394" s="1224">
        <f>ROUND(I2394*K2394,0)</f>
        <v>0</v>
      </c>
      <c r="N2394" s="1161" t="s">
        <v>2317</v>
      </c>
    </row>
    <row r="2395" spans="1:14" ht="96.75" hidden="1" customHeight="1">
      <c r="A2395" s="1156">
        <v>4</v>
      </c>
      <c r="B2395" s="1826" t="s">
        <v>1638</v>
      </c>
      <c r="C2395" s="1826"/>
      <c r="D2395" s="1826"/>
      <c r="E2395" s="1826"/>
      <c r="F2395" s="1826"/>
      <c r="G2395" s="1826"/>
      <c r="H2395" s="1826"/>
      <c r="I2395" s="1157"/>
      <c r="J2395" s="1158"/>
      <c r="K2395" s="1156"/>
      <c r="L2395" s="1156"/>
      <c r="M2395" s="1160"/>
      <c r="N2395" s="1161" t="s">
        <v>2317</v>
      </c>
    </row>
    <row r="2396" spans="1:14" s="1170" customFormat="1" ht="16.5" hidden="1" customHeight="1">
      <c r="A2396" s="1156"/>
      <c r="B2396" s="1169" t="s">
        <v>2346</v>
      </c>
      <c r="C2396" s="1351"/>
      <c r="D2396" s="1418"/>
      <c r="E2396" s="1352"/>
      <c r="F2396" s="1234"/>
      <c r="G2396" s="1234"/>
      <c r="H2396" s="1235"/>
      <c r="I2396" s="1353"/>
      <c r="J2396" s="1168"/>
      <c r="K2396" s="1169"/>
      <c r="L2396" s="1156"/>
      <c r="M2396" s="1169"/>
      <c r="N2396" s="1161" t="s">
        <v>2317</v>
      </c>
    </row>
    <row r="2397" spans="1:14" s="1170" customFormat="1" ht="16.5" hidden="1" customHeight="1">
      <c r="A2397" s="1156"/>
      <c r="B2397" s="1331" t="s">
        <v>578</v>
      </c>
      <c r="C2397" s="1332">
        <v>1</v>
      </c>
      <c r="D2397" s="1333" t="s">
        <v>273</v>
      </c>
      <c r="E2397" s="1334">
        <v>1</v>
      </c>
      <c r="F2397" s="1550">
        <v>3.3</v>
      </c>
      <c r="G2397" s="1335">
        <v>0</v>
      </c>
      <c r="H2397" s="1335">
        <v>0.87</v>
      </c>
      <c r="I2397" s="1336">
        <f>ROUND(IF(AND(F2397:H2397),C2397*E2397*F2397*G2397*H2397,IF(AND(F2397,G2397),C2397*E2397*F2397*G2397,IF(AND(F2397,H2397),C2397*E2397*F2397*H2397,IF(AND(G2397,H2397),C2397*E2397*G2397*H2397,IF(F2397,C2397*E2397*F2397,IF(G2397,C2397*E2397*G2397,IF(H2397,C2397*E2397*H2397,C2397*E2397))))))),2)</f>
        <v>2.87</v>
      </c>
      <c r="J2397" s="1168" t="s">
        <v>102</v>
      </c>
      <c r="K2397" s="1169"/>
      <c r="L2397" s="1156"/>
      <c r="M2397" s="1169"/>
      <c r="N2397" s="1161" t="s">
        <v>2317</v>
      </c>
    </row>
    <row r="2398" spans="1:14" s="1170" customFormat="1" ht="16.5" hidden="1" customHeight="1">
      <c r="A2398" s="1156"/>
      <c r="B2398" s="1331"/>
      <c r="C2398" s="1332">
        <v>1</v>
      </c>
      <c r="D2398" s="1333" t="s">
        <v>273</v>
      </c>
      <c r="E2398" s="1334">
        <v>1</v>
      </c>
      <c r="F2398" s="1550">
        <v>1</v>
      </c>
      <c r="G2398" s="1335">
        <v>0</v>
      </c>
      <c r="H2398" s="1335">
        <v>0.87</v>
      </c>
      <c r="I2398" s="1336">
        <f>ROUND(IF(AND(F2398:H2398),C2398*E2398*F2398*G2398*H2398,IF(AND(F2398,G2398),C2398*E2398*F2398*G2398,IF(AND(F2398,H2398),C2398*E2398*F2398*H2398,IF(AND(G2398,H2398),C2398*E2398*G2398*H2398,IF(F2398,C2398*E2398*F2398,IF(G2398,C2398*E2398*G2398,IF(H2398,C2398*E2398*H2398,C2398*E2398))))))),2)</f>
        <v>0.87</v>
      </c>
      <c r="J2398" s="1168" t="s">
        <v>102</v>
      </c>
      <c r="K2398" s="1169"/>
      <c r="L2398" s="1156"/>
      <c r="M2398" s="1169"/>
      <c r="N2398" s="1161" t="s">
        <v>2317</v>
      </c>
    </row>
    <row r="2399" spans="1:14" s="1170" customFormat="1" ht="16.5" hidden="1" customHeight="1">
      <c r="A2399" s="1156"/>
      <c r="B2399" s="1331" t="s">
        <v>654</v>
      </c>
      <c r="C2399" s="1332">
        <v>1</v>
      </c>
      <c r="D2399" s="1333" t="s">
        <v>273</v>
      </c>
      <c r="E2399" s="1334">
        <v>1</v>
      </c>
      <c r="F2399" s="1550">
        <v>1.45</v>
      </c>
      <c r="G2399" s="1335">
        <v>0</v>
      </c>
      <c r="H2399" s="1335">
        <v>0.87</v>
      </c>
      <c r="I2399" s="1336">
        <f>ROUND(IF(AND(F2399:H2399),C2399*E2399*F2399*G2399*H2399,IF(AND(F2399,G2399),C2399*E2399*F2399*G2399,IF(AND(F2399,H2399),C2399*E2399*F2399*H2399,IF(AND(G2399,H2399),C2399*E2399*G2399*H2399,IF(F2399,C2399*E2399*F2399,IF(G2399,C2399*E2399*G2399,IF(H2399,C2399*E2399*H2399,C2399*E2399))))))),2)</f>
        <v>1.26</v>
      </c>
      <c r="J2399" s="1168" t="s">
        <v>102</v>
      </c>
      <c r="K2399" s="1169"/>
      <c r="L2399" s="1156"/>
      <c r="M2399" s="1169"/>
      <c r="N2399" s="1161" t="s">
        <v>2317</v>
      </c>
    </row>
    <row r="2400" spans="1:14" s="1170" customFormat="1" ht="16.5" hidden="1" customHeight="1">
      <c r="A2400" s="1156"/>
      <c r="B2400" s="1331"/>
      <c r="C2400" s="1332">
        <v>1</v>
      </c>
      <c r="D2400" s="1333" t="s">
        <v>273</v>
      </c>
      <c r="E2400" s="1334">
        <v>1</v>
      </c>
      <c r="F2400" s="1550">
        <v>2.57</v>
      </c>
      <c r="G2400" s="1335">
        <v>0</v>
      </c>
      <c r="H2400" s="1335">
        <v>0.87</v>
      </c>
      <c r="I2400" s="1336">
        <f>ROUND(IF(AND(F2400:H2400),C2400*E2400*F2400*G2400*H2400,IF(AND(F2400,G2400),C2400*E2400*F2400*G2400,IF(AND(F2400,H2400),C2400*E2400*F2400*H2400,IF(AND(G2400,H2400),C2400*E2400*G2400*H2400,IF(F2400,C2400*E2400*F2400,IF(G2400,C2400*E2400*G2400,IF(H2400,C2400*E2400*H2400,C2400*E2400))))))),2)</f>
        <v>2.2400000000000002</v>
      </c>
      <c r="J2400" s="1168" t="s">
        <v>102</v>
      </c>
      <c r="K2400" s="1169"/>
      <c r="L2400" s="1156"/>
      <c r="M2400" s="1169"/>
      <c r="N2400" s="1161" t="s">
        <v>2317</v>
      </c>
    </row>
    <row r="2401" spans="1:14" s="1170" customFormat="1" ht="16.5" hidden="1" customHeight="1">
      <c r="A2401" s="1156"/>
      <c r="B2401" s="1331"/>
      <c r="C2401" s="1332"/>
      <c r="D2401" s="1333"/>
      <c r="E2401" s="1334"/>
      <c r="F2401" s="1550"/>
      <c r="G2401" s="1335"/>
      <c r="H2401" s="1335"/>
      <c r="I2401" s="1336"/>
      <c r="J2401" s="1168"/>
      <c r="K2401" s="1169"/>
      <c r="L2401" s="1156"/>
      <c r="M2401" s="1169"/>
      <c r="N2401" s="1161" t="s">
        <v>2317</v>
      </c>
    </row>
    <row r="2402" spans="1:14" ht="15.75" hidden="1">
      <c r="A2402" s="1156"/>
      <c r="B2402" s="1169"/>
      <c r="C2402" s="1337"/>
      <c r="D2402" s="1171"/>
      <c r="E2402" s="1165"/>
      <c r="F2402" s="1166"/>
      <c r="G2402" s="1343"/>
      <c r="H2402" s="1156"/>
      <c r="I2402" s="1336"/>
      <c r="J2402" s="1168" t="s">
        <v>102</v>
      </c>
      <c r="K2402" s="1221">
        <f>data!G2179</f>
        <v>1357.37</v>
      </c>
      <c r="L2402" s="1159" t="s">
        <v>2317</v>
      </c>
      <c r="M2402" s="1224">
        <f>ROUND(I2402*K2402,0)</f>
        <v>0</v>
      </c>
      <c r="N2402" s="1161" t="s">
        <v>2317</v>
      </c>
    </row>
    <row r="2403" spans="1:14" ht="31.5" hidden="1" customHeight="1">
      <c r="A2403" s="1156">
        <v>4</v>
      </c>
      <c r="B2403" s="1826" t="s">
        <v>2295</v>
      </c>
      <c r="C2403" s="1826"/>
      <c r="D2403" s="1826"/>
      <c r="E2403" s="1826"/>
      <c r="F2403" s="1826"/>
      <c r="G2403" s="1826"/>
      <c r="H2403" s="1826"/>
      <c r="I2403" s="1157"/>
      <c r="J2403" s="1158"/>
      <c r="K2403" s="1156"/>
      <c r="L2403" s="1156"/>
      <c r="M2403" s="1160"/>
      <c r="N2403" s="1161" t="s">
        <v>2317</v>
      </c>
    </row>
    <row r="2404" spans="1:14" s="1170" customFormat="1" ht="16.5" hidden="1" customHeight="1">
      <c r="A2404" s="1156"/>
      <c r="B2404" s="1169" t="s">
        <v>2346</v>
      </c>
      <c r="C2404" s="1351"/>
      <c r="D2404" s="1418"/>
      <c r="E2404" s="1352"/>
      <c r="F2404" s="1234"/>
      <c r="G2404" s="1234"/>
      <c r="H2404" s="1235"/>
      <c r="I2404" s="1353"/>
      <c r="J2404" s="1168"/>
      <c r="K2404" s="1169"/>
      <c r="L2404" s="1156"/>
      <c r="M2404" s="1169"/>
      <c r="N2404" s="1161" t="s">
        <v>2317</v>
      </c>
    </row>
    <row r="2405" spans="1:14" s="1170" customFormat="1" ht="16.5" hidden="1" customHeight="1">
      <c r="A2405" s="1156"/>
      <c r="B2405" s="1331"/>
      <c r="C2405" s="1332">
        <v>1</v>
      </c>
      <c r="D2405" s="1333" t="s">
        <v>273</v>
      </c>
      <c r="E2405" s="1334">
        <v>1</v>
      </c>
      <c r="F2405" s="1550">
        <v>0.5</v>
      </c>
      <c r="G2405" s="1335">
        <v>0</v>
      </c>
      <c r="H2405" s="1335">
        <v>0</v>
      </c>
      <c r="I2405" s="1336">
        <f>ROUND(IF(AND(F2405:H2405),C2405*E2405*F2405*G2405*H2405,IF(AND(F2405,G2405),C2405*E2405*F2405*G2405,IF(AND(F2405,H2405),C2405*E2405*F2405*H2405,IF(AND(G2405,H2405),C2405*E2405*G2405*H2405,IF(F2405,C2405*E2405*F2405,IF(G2405,C2405*E2405*G2405,IF(H2405,C2405*E2405*H2405,C2405*E2405))))))),2)</f>
        <v>0.5</v>
      </c>
      <c r="J2405" s="1168" t="s">
        <v>4</v>
      </c>
      <c r="K2405" s="1169"/>
      <c r="L2405" s="1156"/>
      <c r="M2405" s="1169"/>
      <c r="N2405" s="1161" t="s">
        <v>2317</v>
      </c>
    </row>
    <row r="2406" spans="1:14" s="1170" customFormat="1" ht="16.5" hidden="1" customHeight="1">
      <c r="A2406" s="1156"/>
      <c r="B2406" s="1331"/>
      <c r="C2406" s="1332"/>
      <c r="D2406" s="1333"/>
      <c r="E2406" s="1334"/>
      <c r="F2406" s="1550"/>
      <c r="G2406" s="1335"/>
      <c r="H2406" s="1335"/>
      <c r="I2406" s="1336"/>
      <c r="J2406" s="1168"/>
      <c r="K2406" s="1169"/>
      <c r="L2406" s="1156"/>
      <c r="M2406" s="1169"/>
      <c r="N2406" s="1161" t="s">
        <v>2317</v>
      </c>
    </row>
    <row r="2407" spans="1:14" ht="15.75" hidden="1">
      <c r="A2407" s="1156"/>
      <c r="B2407" s="1169"/>
      <c r="C2407" s="1337"/>
      <c r="D2407" s="1171"/>
      <c r="E2407" s="1165"/>
      <c r="F2407" s="1166"/>
      <c r="G2407" s="1343"/>
      <c r="H2407" s="1156"/>
      <c r="I2407" s="1336"/>
      <c r="J2407" s="1168" t="s">
        <v>4</v>
      </c>
      <c r="K2407" s="1221">
        <f>data!G2183</f>
        <v>508</v>
      </c>
      <c r="L2407" s="1159" t="s">
        <v>2317</v>
      </c>
      <c r="M2407" s="1224">
        <f>ROUND(I2407*K2407,0)</f>
        <v>0</v>
      </c>
      <c r="N2407" s="1161" t="s">
        <v>2317</v>
      </c>
    </row>
    <row r="2408" spans="1:14" ht="30.75" hidden="1" customHeight="1">
      <c r="A2408" s="1156">
        <v>48</v>
      </c>
      <c r="B2408" s="1826" t="s">
        <v>958</v>
      </c>
      <c r="C2408" s="1826"/>
      <c r="D2408" s="1826"/>
      <c r="E2408" s="1826"/>
      <c r="F2408" s="1826"/>
      <c r="G2408" s="1826"/>
      <c r="H2408" s="1826"/>
      <c r="I2408" s="1157"/>
      <c r="J2408" s="1158"/>
      <c r="K2408" s="1156"/>
      <c r="L2408" s="1156"/>
      <c r="M2408" s="1160"/>
      <c r="N2408" s="1161" t="s">
        <v>2317</v>
      </c>
    </row>
    <row r="2409" spans="1:14" s="1170" customFormat="1" ht="16.5" hidden="1" customHeight="1">
      <c r="A2409" s="1156"/>
      <c r="B2409" s="1163" t="s">
        <v>3544</v>
      </c>
      <c r="C2409" s="1351"/>
      <c r="D2409" s="1548" t="s">
        <v>3649</v>
      </c>
      <c r="E2409" s="1352"/>
      <c r="F2409" s="1234"/>
      <c r="G2409" s="1234"/>
      <c r="H2409" s="1235"/>
      <c r="I2409" s="1353"/>
      <c r="J2409" s="1168"/>
      <c r="K2409" s="1169"/>
      <c r="L2409" s="1156"/>
      <c r="M2409" s="1169"/>
      <c r="N2409" s="1161" t="s">
        <v>2317</v>
      </c>
    </row>
    <row r="2410" spans="1:14" s="1170" customFormat="1" ht="16.5" hidden="1" customHeight="1">
      <c r="A2410" s="1156"/>
      <c r="B2410" s="1359" t="s">
        <v>2522</v>
      </c>
      <c r="C2410" s="1360">
        <v>1</v>
      </c>
      <c r="D2410" s="1361" t="s">
        <v>273</v>
      </c>
      <c r="E2410" s="1362">
        <v>5</v>
      </c>
      <c r="F2410" s="1401">
        <v>3.6</v>
      </c>
      <c r="G2410" s="1363">
        <v>0</v>
      </c>
      <c r="H2410" s="1363">
        <v>0</v>
      </c>
      <c r="I2410" s="1336">
        <f>ROUND(IF(AND(F2410:H2410),C2410*E2410*F2410*G2410*H2410,IF(AND(F2410,G2410),C2410*E2410*F2410*G2410,IF(AND(F2410,H2410),C2410*E2410*F2410*H2410,IF(AND(G2410,H2410),C2410*E2410*G2410*H2410,IF(F2410,C2410*E2410*F2410,IF(G2410,C2410*E2410*G2410,IF(H2410,C2410*E2410*H2410,C2410*E2410))))))),2)</f>
        <v>18</v>
      </c>
      <c r="J2410" s="1168" t="s">
        <v>277</v>
      </c>
      <c r="K2410" s="1169"/>
      <c r="L2410" s="1156"/>
      <c r="M2410" s="1169"/>
      <c r="N2410" s="1161" t="s">
        <v>2317</v>
      </c>
    </row>
    <row r="2411" spans="1:14" s="1170" customFormat="1" ht="16.5" hidden="1" customHeight="1">
      <c r="A2411" s="1156"/>
      <c r="B2411" s="1359" t="s">
        <v>578</v>
      </c>
      <c r="C2411" s="1360">
        <v>1</v>
      </c>
      <c r="D2411" s="1361" t="s">
        <v>273</v>
      </c>
      <c r="E2411" s="1362">
        <v>1</v>
      </c>
      <c r="F2411" s="1401">
        <v>4.3499999999999996</v>
      </c>
      <c r="G2411" s="1363">
        <v>0</v>
      </c>
      <c r="H2411" s="1363">
        <v>0</v>
      </c>
      <c r="I2411" s="1336">
        <f>ROUND(IF(AND(F2411:H2411),C2411*E2411*F2411*G2411*H2411,IF(AND(F2411,G2411),C2411*E2411*F2411*G2411,IF(AND(F2411,H2411),C2411*E2411*F2411*H2411,IF(AND(G2411,H2411),C2411*E2411*G2411*H2411,IF(F2411,C2411*E2411*F2411,IF(G2411,C2411*E2411*G2411,IF(H2411,C2411*E2411*H2411,C2411*E2411))))))),2)</f>
        <v>4.3499999999999996</v>
      </c>
      <c r="J2411" s="1168" t="s">
        <v>277</v>
      </c>
      <c r="K2411" s="1169"/>
      <c r="L2411" s="1156"/>
      <c r="M2411" s="1169"/>
      <c r="N2411" s="1161" t="s">
        <v>2317</v>
      </c>
    </row>
    <row r="2412" spans="1:14" s="1170" customFormat="1" ht="16.5" hidden="1" customHeight="1">
      <c r="A2412" s="1156"/>
      <c r="B2412" s="1359"/>
      <c r="C2412" s="1360">
        <v>1</v>
      </c>
      <c r="D2412" s="1361" t="s">
        <v>273</v>
      </c>
      <c r="E2412" s="1362">
        <v>1</v>
      </c>
      <c r="F2412" s="1401">
        <v>4.3</v>
      </c>
      <c r="G2412" s="1363">
        <v>0</v>
      </c>
      <c r="H2412" s="1363">
        <v>0</v>
      </c>
      <c r="I2412" s="1336">
        <f>ROUND(IF(AND(F2412:H2412),C2412*E2412*F2412*G2412*H2412,IF(AND(F2412,G2412),C2412*E2412*F2412*G2412,IF(AND(F2412,H2412),C2412*E2412*F2412*H2412,IF(AND(G2412,H2412),C2412*E2412*G2412*H2412,IF(F2412,C2412*E2412*F2412,IF(G2412,C2412*E2412*G2412,IF(H2412,C2412*E2412*H2412,C2412*E2412))))))),2)</f>
        <v>4.3</v>
      </c>
      <c r="J2412" s="1168" t="s">
        <v>277</v>
      </c>
      <c r="K2412" s="1169"/>
      <c r="L2412" s="1156"/>
      <c r="M2412" s="1169"/>
      <c r="N2412" s="1161" t="s">
        <v>2317</v>
      </c>
    </row>
    <row r="2413" spans="1:14" s="1170" customFormat="1" ht="16.5" hidden="1" customHeight="1">
      <c r="A2413" s="1156"/>
      <c r="B2413" s="1359"/>
      <c r="C2413" s="1360">
        <v>1</v>
      </c>
      <c r="D2413" s="1361" t="s">
        <v>273</v>
      </c>
      <c r="E2413" s="1362">
        <v>2</v>
      </c>
      <c r="F2413" s="1401">
        <v>1.1499999999999999</v>
      </c>
      <c r="G2413" s="1363">
        <v>0</v>
      </c>
      <c r="H2413" s="1363">
        <v>0</v>
      </c>
      <c r="I2413" s="1336">
        <f>ROUND(IF(AND(F2413:H2413),C2413*E2413*F2413*G2413*H2413,IF(AND(F2413,G2413),C2413*E2413*F2413*G2413,IF(AND(F2413,H2413),C2413*E2413*F2413*H2413,IF(AND(G2413,H2413),C2413*E2413*G2413*H2413,IF(F2413,C2413*E2413*F2413,IF(G2413,C2413*E2413*G2413,IF(H2413,C2413*E2413*H2413,C2413*E2413))))))),2)</f>
        <v>2.2999999999999998</v>
      </c>
      <c r="J2413" s="1168" t="s">
        <v>277</v>
      </c>
      <c r="K2413" s="1169"/>
      <c r="L2413" s="1156"/>
      <c r="M2413" s="1169"/>
      <c r="N2413" s="1161" t="s">
        <v>2317</v>
      </c>
    </row>
    <row r="2414" spans="1:14" s="1170" customFormat="1" ht="16.5" hidden="1" customHeight="1">
      <c r="A2414" s="1156"/>
      <c r="B2414" s="1331"/>
      <c r="C2414" s="1332"/>
      <c r="D2414" s="1333"/>
      <c r="E2414" s="1334"/>
      <c r="F2414" s="1550"/>
      <c r="G2414" s="1335"/>
      <c r="H2414" s="1335"/>
      <c r="I2414" s="1336"/>
      <c r="J2414" s="1168"/>
      <c r="K2414" s="1169"/>
      <c r="L2414" s="1156"/>
      <c r="M2414" s="1169"/>
      <c r="N2414" s="1161" t="s">
        <v>2317</v>
      </c>
    </row>
    <row r="2415" spans="1:14" ht="15.75" hidden="1">
      <c r="A2415" s="1156"/>
      <c r="B2415" s="1169"/>
      <c r="C2415" s="1337"/>
      <c r="D2415" s="1171"/>
      <c r="E2415" s="1165"/>
      <c r="F2415" s="1166"/>
      <c r="G2415" s="1343"/>
      <c r="H2415" s="1156"/>
      <c r="I2415" s="1336"/>
      <c r="J2415" s="1168" t="s">
        <v>277</v>
      </c>
      <c r="K2415" s="1221">
        <f>data!G2458</f>
        <v>438</v>
      </c>
      <c r="L2415" s="1159" t="s">
        <v>2317</v>
      </c>
      <c r="M2415" s="1224">
        <f>ROUND(I2415*K2415,0)</f>
        <v>0</v>
      </c>
      <c r="N2415" s="1161" t="s">
        <v>2317</v>
      </c>
    </row>
    <row r="2416" spans="1:14" s="1320" customFormat="1" ht="15.75" hidden="1">
      <c r="A2416" s="1212"/>
      <c r="B2416" s="1212" t="s">
        <v>2222</v>
      </c>
      <c r="C2416" s="1212"/>
      <c r="D2416" s="1212"/>
      <c r="E2416" s="1212"/>
      <c r="F2416" s="1240"/>
      <c r="G2416" s="1240"/>
      <c r="H2416" s="1212"/>
      <c r="I2416" s="1546"/>
      <c r="J2416" s="1547"/>
      <c r="K2416" s="1212"/>
      <c r="L2416" s="1212"/>
      <c r="M2416" s="1212"/>
      <c r="N2416" s="1161" t="s">
        <v>2318</v>
      </c>
    </row>
    <row r="2417" spans="1:14" ht="72" hidden="1" customHeight="1">
      <c r="A2417" s="1156">
        <v>36</v>
      </c>
      <c r="B2417" s="1826" t="s">
        <v>803</v>
      </c>
      <c r="C2417" s="1826"/>
      <c r="D2417" s="1828"/>
      <c r="E2417" s="1826"/>
      <c r="F2417" s="1826"/>
      <c r="G2417" s="1826"/>
      <c r="H2417" s="1826"/>
      <c r="I2417" s="1157"/>
      <c r="J2417" s="1158"/>
      <c r="K2417" s="1156"/>
      <c r="L2417" s="1156"/>
      <c r="M2417" s="1160"/>
      <c r="N2417" s="1161" t="s">
        <v>2318</v>
      </c>
    </row>
    <row r="2418" spans="1:14" s="1170" customFormat="1" ht="15.75" hidden="1">
      <c r="A2418" s="1156"/>
      <c r="B2418" s="1169" t="s">
        <v>3395</v>
      </c>
      <c r="C2418" s="1351" t="s">
        <v>1553</v>
      </c>
      <c r="D2418" s="1418"/>
      <c r="E2418" s="1352"/>
      <c r="F2418" s="1234"/>
      <c r="G2418" s="1234"/>
      <c r="H2418" s="1235"/>
      <c r="I2418" s="1353"/>
      <c r="J2418" s="1168"/>
      <c r="K2418" s="1169"/>
      <c r="L2418" s="1156"/>
      <c r="M2418" s="1169"/>
      <c r="N2418" s="1161" t="s">
        <v>2318</v>
      </c>
    </row>
    <row r="2419" spans="1:14" s="1170" customFormat="1" ht="15.75" hidden="1">
      <c r="A2419" s="1156"/>
      <c r="B2419" s="1359"/>
      <c r="C2419" s="1360">
        <v>1</v>
      </c>
      <c r="D2419" s="1361" t="s">
        <v>273</v>
      </c>
      <c r="E2419" s="1362">
        <v>1</v>
      </c>
      <c r="F2419" s="1363">
        <v>0</v>
      </c>
      <c r="G2419" s="1363">
        <v>0</v>
      </c>
      <c r="H2419" s="1363">
        <v>0</v>
      </c>
      <c r="I2419" s="1421">
        <f>ROUND(IF(AND(F2419:H2419),C2419*E2419*F2419*G2419*H2419,IF(AND(F2419,G2419),C2419*E2419*F2419*G2419,IF(AND(F2419,H2419),C2419*E2419*F2419*H2419,IF(AND(G2419,H2419),C2419*E2419*G2419*H2419,IF(F2419,C2419*E2419*F2419,IF(G2419,C2419*E2419*G2419,IF(H2419,C2419*E2419*H2419,C2419*E2419))))))),2)</f>
        <v>1</v>
      </c>
      <c r="J2419" s="1168" t="s">
        <v>115</v>
      </c>
      <c r="K2419" s="1169"/>
      <c r="L2419" s="1156"/>
      <c r="M2419" s="1169"/>
      <c r="N2419" s="1161" t="s">
        <v>2318</v>
      </c>
    </row>
    <row r="2420" spans="1:14" s="1170" customFormat="1" ht="15.75" hidden="1">
      <c r="A2420" s="1156"/>
      <c r="B2420" s="1331"/>
      <c r="C2420" s="1332"/>
      <c r="D2420" s="1333"/>
      <c r="E2420" s="1334"/>
      <c r="F2420" s="1335"/>
      <c r="G2420" s="1335"/>
      <c r="H2420" s="1335"/>
      <c r="I2420" s="1421"/>
      <c r="J2420" s="1168"/>
      <c r="K2420" s="1169"/>
      <c r="L2420" s="1156"/>
      <c r="M2420" s="1169"/>
      <c r="N2420" s="1161" t="s">
        <v>2318</v>
      </c>
    </row>
    <row r="2421" spans="1:14" ht="15.75" hidden="1">
      <c r="A2421" s="1156"/>
      <c r="B2421" s="1169"/>
      <c r="C2421" s="1337"/>
      <c r="D2421" s="1171"/>
      <c r="E2421" s="1165"/>
      <c r="F2421" s="1166"/>
      <c r="G2421" s="1343"/>
      <c r="H2421" s="1156"/>
      <c r="I2421" s="1421"/>
      <c r="J2421" s="1168" t="s">
        <v>115</v>
      </c>
      <c r="K2421" s="1221">
        <f>'D&amp;W data'!H730</f>
        <v>22903.660000000003</v>
      </c>
      <c r="L2421" s="1159" t="s">
        <v>2318</v>
      </c>
      <c r="M2421" s="1224">
        <f>ROUND(I2421*K2421,0)</f>
        <v>0</v>
      </c>
      <c r="N2421" s="1161" t="s">
        <v>2318</v>
      </c>
    </row>
    <row r="2422" spans="1:14" ht="72" hidden="1" customHeight="1">
      <c r="A2422" s="1156">
        <v>3</v>
      </c>
      <c r="B2422" s="1826" t="s">
        <v>3201</v>
      </c>
      <c r="C2422" s="1826"/>
      <c r="D2422" s="1826"/>
      <c r="E2422" s="1826"/>
      <c r="F2422" s="1826"/>
      <c r="G2422" s="1826"/>
      <c r="H2422" s="1826"/>
      <c r="I2422" s="1157"/>
      <c r="J2422" s="1158"/>
      <c r="K2422" s="1156"/>
      <c r="L2422" s="1156"/>
      <c r="M2422" s="1160"/>
      <c r="N2422" s="1161" t="s">
        <v>2318</v>
      </c>
    </row>
    <row r="2423" spans="1:14" s="1170" customFormat="1" ht="15.75" hidden="1">
      <c r="A2423" s="1156"/>
      <c r="B2423" s="1169" t="s">
        <v>3482</v>
      </c>
      <c r="C2423" s="1351"/>
      <c r="D2423" s="1171" t="s">
        <v>3336</v>
      </c>
      <c r="E2423" s="1352"/>
      <c r="F2423" s="1234"/>
      <c r="G2423" s="1234"/>
      <c r="H2423" s="1235"/>
      <c r="I2423" s="1353"/>
      <c r="J2423" s="1168"/>
      <c r="K2423" s="1169"/>
      <c r="L2423" s="1156"/>
      <c r="M2423" s="1169"/>
      <c r="N2423" s="1161" t="s">
        <v>2318</v>
      </c>
    </row>
    <row r="2424" spans="1:14" s="1170" customFormat="1" ht="15.75" hidden="1">
      <c r="A2424" s="1156"/>
      <c r="B2424" s="1359" t="s">
        <v>584</v>
      </c>
      <c r="C2424" s="1360">
        <v>1</v>
      </c>
      <c r="D2424" s="1361" t="s">
        <v>273</v>
      </c>
      <c r="E2424" s="1362">
        <v>2</v>
      </c>
      <c r="F2424" s="1363">
        <v>0</v>
      </c>
      <c r="G2424" s="1363">
        <v>0</v>
      </c>
      <c r="H2424" s="1363">
        <v>0</v>
      </c>
      <c r="I2424" s="1421">
        <f>ROUND(IF(AND(F2424:H2424),C2424*E2424*F2424*G2424*H2424,IF(AND(F2424,G2424),C2424*E2424*F2424*G2424,IF(AND(F2424,H2424),C2424*E2424*F2424*H2424,IF(AND(G2424,H2424),C2424*E2424*G2424*H2424,IF(F2424,C2424*E2424*F2424,IF(G2424,C2424*E2424*G2424,IF(H2424,C2424*E2424*H2424,C2424*E2424))))))),2)</f>
        <v>2</v>
      </c>
      <c r="J2424" s="1168" t="s">
        <v>115</v>
      </c>
      <c r="K2424" s="1169"/>
      <c r="L2424" s="1156"/>
      <c r="M2424" s="1169"/>
      <c r="N2424" s="1161" t="s">
        <v>2318</v>
      </c>
    </row>
    <row r="2425" spans="1:14" s="1170" customFormat="1" ht="15.75" hidden="1">
      <c r="A2425" s="1156"/>
      <c r="B2425" s="1331"/>
      <c r="C2425" s="1332"/>
      <c r="D2425" s="1333"/>
      <c r="E2425" s="1334"/>
      <c r="F2425" s="1335"/>
      <c r="G2425" s="1335"/>
      <c r="H2425" s="1335"/>
      <c r="I2425" s="1421"/>
      <c r="J2425" s="1168"/>
      <c r="K2425" s="1169"/>
      <c r="L2425" s="1156"/>
      <c r="M2425" s="1169"/>
      <c r="N2425" s="1161" t="s">
        <v>2318</v>
      </c>
    </row>
    <row r="2426" spans="1:14" ht="15.75" hidden="1">
      <c r="A2426" s="1156"/>
      <c r="B2426" s="1169"/>
      <c r="C2426" s="1337"/>
      <c r="D2426" s="1171"/>
      <c r="E2426" s="1165"/>
      <c r="F2426" s="1166"/>
      <c r="G2426" s="1343"/>
      <c r="H2426" s="1156"/>
      <c r="I2426" s="1421"/>
      <c r="J2426" s="1168" t="s">
        <v>115</v>
      </c>
      <c r="K2426" s="1221">
        <f>'D&amp;W data'!H748</f>
        <v>11464.42</v>
      </c>
      <c r="L2426" s="1159" t="s">
        <v>2318</v>
      </c>
      <c r="M2426" s="1224">
        <f>ROUND(I2426*K2426,0)</f>
        <v>0</v>
      </c>
      <c r="N2426" s="1161" t="s">
        <v>2318</v>
      </c>
    </row>
    <row r="2427" spans="1:14" ht="72" hidden="1" customHeight="1">
      <c r="A2427" s="1156">
        <v>3</v>
      </c>
      <c r="B2427" s="1826" t="s">
        <v>2210</v>
      </c>
      <c r="C2427" s="1826"/>
      <c r="D2427" s="1826"/>
      <c r="E2427" s="1826"/>
      <c r="F2427" s="1826"/>
      <c r="G2427" s="1826"/>
      <c r="H2427" s="1826"/>
      <c r="I2427" s="1157"/>
      <c r="J2427" s="1158"/>
      <c r="K2427" s="1156"/>
      <c r="L2427" s="1156"/>
      <c r="M2427" s="1160"/>
      <c r="N2427" s="1161" t="s">
        <v>2318</v>
      </c>
    </row>
    <row r="2428" spans="1:14" s="1170" customFormat="1" ht="15.75" hidden="1">
      <c r="A2428" s="1156"/>
      <c r="B2428" s="1169" t="s">
        <v>2336</v>
      </c>
      <c r="C2428" s="1351"/>
      <c r="D2428" s="1418"/>
      <c r="E2428" s="1352"/>
      <c r="F2428" s="1234"/>
      <c r="G2428" s="1234"/>
      <c r="H2428" s="1235"/>
      <c r="I2428" s="1353"/>
      <c r="J2428" s="1168"/>
      <c r="K2428" s="1169"/>
      <c r="L2428" s="1156"/>
      <c r="M2428" s="1169"/>
      <c r="N2428" s="1161" t="s">
        <v>2318</v>
      </c>
    </row>
    <row r="2429" spans="1:14" s="1170" customFormat="1" ht="15.75" hidden="1">
      <c r="A2429" s="1156"/>
      <c r="B2429" s="1331"/>
      <c r="C2429" s="1332">
        <v>1</v>
      </c>
      <c r="D2429" s="1333" t="s">
        <v>273</v>
      </c>
      <c r="E2429" s="1334">
        <v>1</v>
      </c>
      <c r="F2429" s="1335">
        <v>0</v>
      </c>
      <c r="G2429" s="1335">
        <v>0</v>
      </c>
      <c r="H2429" s="1335">
        <v>0</v>
      </c>
      <c r="I2429" s="1421">
        <f>ROUND(IF(AND(F2429:H2429),C2429*E2429*F2429*G2429*H2429,IF(AND(F2429,G2429),C2429*E2429*F2429*G2429,IF(AND(F2429,H2429),C2429*E2429*F2429*H2429,IF(AND(G2429,H2429),C2429*E2429*G2429*H2429,IF(F2429,C2429*E2429*F2429,IF(G2429,C2429*E2429*G2429,IF(H2429,C2429*E2429*H2429,C2429*E2429))))))),2)</f>
        <v>1</v>
      </c>
      <c r="J2429" s="1168" t="s">
        <v>115</v>
      </c>
      <c r="K2429" s="1169"/>
      <c r="L2429" s="1156"/>
      <c r="M2429" s="1169"/>
      <c r="N2429" s="1161" t="s">
        <v>2318</v>
      </c>
    </row>
    <row r="2430" spans="1:14" s="1170" customFormat="1" ht="15.75" hidden="1">
      <c r="A2430" s="1156"/>
      <c r="B2430" s="1331"/>
      <c r="C2430" s="1332"/>
      <c r="D2430" s="1333"/>
      <c r="E2430" s="1334"/>
      <c r="F2430" s="1335"/>
      <c r="G2430" s="1335"/>
      <c r="H2430" s="1335"/>
      <c r="I2430" s="1421"/>
      <c r="J2430" s="1168"/>
      <c r="K2430" s="1169"/>
      <c r="L2430" s="1156"/>
      <c r="M2430" s="1169"/>
      <c r="N2430" s="1161" t="s">
        <v>2318</v>
      </c>
    </row>
    <row r="2431" spans="1:14" ht="15.75" hidden="1">
      <c r="A2431" s="1156"/>
      <c r="B2431" s="1169"/>
      <c r="C2431" s="1337"/>
      <c r="D2431" s="1171"/>
      <c r="E2431" s="1165"/>
      <c r="F2431" s="1166"/>
      <c r="G2431" s="1343"/>
      <c r="H2431" s="1156"/>
      <c r="I2431" s="1421"/>
      <c r="J2431" s="1168" t="s">
        <v>115</v>
      </c>
      <c r="K2431" s="1221">
        <f>'D&amp;W data'!H766</f>
        <v>11442.58</v>
      </c>
      <c r="L2431" s="1159" t="s">
        <v>2318</v>
      </c>
      <c r="M2431" s="1224">
        <f>ROUND(I2431*K2431,0)</f>
        <v>0</v>
      </c>
      <c r="N2431" s="1161" t="s">
        <v>2318</v>
      </c>
    </row>
    <row r="2432" spans="1:14" ht="71.25" hidden="1" customHeight="1">
      <c r="A2432" s="1156">
        <v>2</v>
      </c>
      <c r="B2432" s="1826" t="s">
        <v>1634</v>
      </c>
      <c r="C2432" s="1826"/>
      <c r="D2432" s="1826"/>
      <c r="E2432" s="1826"/>
      <c r="F2432" s="1826"/>
      <c r="G2432" s="1826"/>
      <c r="H2432" s="1826"/>
      <c r="I2432" s="1157"/>
      <c r="J2432" s="1158"/>
      <c r="K2432" s="1156"/>
      <c r="L2432" s="1156"/>
      <c r="M2432" s="1160"/>
      <c r="N2432" s="1161" t="s">
        <v>2318</v>
      </c>
    </row>
    <row r="2433" spans="1:14" s="1170" customFormat="1" ht="15.75" hidden="1">
      <c r="A2433" s="1156"/>
      <c r="B2433" s="1163" t="s">
        <v>2330</v>
      </c>
      <c r="C2433" s="1351"/>
      <c r="D2433" s="1418"/>
      <c r="E2433" s="1352"/>
      <c r="F2433" s="1234"/>
      <c r="G2433" s="1234"/>
      <c r="H2433" s="1235"/>
      <c r="I2433" s="1353"/>
      <c r="J2433" s="1168"/>
      <c r="K2433" s="1169"/>
      <c r="L2433" s="1156"/>
      <c r="M2433" s="1169"/>
      <c r="N2433" s="1161" t="s">
        <v>2318</v>
      </c>
    </row>
    <row r="2434" spans="1:14" s="1170" customFormat="1" ht="15.75" hidden="1">
      <c r="A2434" s="1156"/>
      <c r="B2434" s="1331" t="s">
        <v>583</v>
      </c>
      <c r="C2434" s="1332">
        <v>1</v>
      </c>
      <c r="D2434" s="1333" t="s">
        <v>273</v>
      </c>
      <c r="E2434" s="1334">
        <v>1</v>
      </c>
      <c r="F2434" s="1335">
        <v>0</v>
      </c>
      <c r="G2434" s="1335">
        <v>0</v>
      </c>
      <c r="H2434" s="1335">
        <v>0</v>
      </c>
      <c r="I2434" s="1336">
        <f>ROUND(IF(AND(F2434:H2434),C2434*E2434*F2434*G2434*H2434,IF(AND(F2434,G2434),C2434*E2434*F2434*G2434,IF(AND(F2434,H2434),C2434*E2434*F2434*H2434,IF(AND(G2434,H2434),C2434*E2434*G2434*H2434,IF(F2434,C2434*E2434*F2434,IF(G2434,C2434*E2434*G2434,IF(H2434,C2434*E2434*H2434,C2434*E2434))))))),2)</f>
        <v>1</v>
      </c>
      <c r="J2434" s="1168" t="s">
        <v>115</v>
      </c>
      <c r="K2434" s="1169"/>
      <c r="L2434" s="1156"/>
      <c r="M2434" s="1169"/>
      <c r="N2434" s="1161" t="s">
        <v>2318</v>
      </c>
    </row>
    <row r="2435" spans="1:14" s="1170" customFormat="1" ht="15.75" hidden="1">
      <c r="A2435" s="1156"/>
      <c r="B2435" s="1331"/>
      <c r="C2435" s="1332"/>
      <c r="D2435" s="1333"/>
      <c r="E2435" s="1334"/>
      <c r="F2435" s="1335"/>
      <c r="G2435" s="1335"/>
      <c r="H2435" s="1335"/>
      <c r="I2435" s="1336"/>
      <c r="J2435" s="1168"/>
      <c r="K2435" s="1169"/>
      <c r="L2435" s="1156"/>
      <c r="M2435" s="1169"/>
      <c r="N2435" s="1161" t="s">
        <v>2318</v>
      </c>
    </row>
    <row r="2436" spans="1:14" ht="15.75" hidden="1">
      <c r="A2436" s="1156"/>
      <c r="B2436" s="1169"/>
      <c r="C2436" s="1337"/>
      <c r="D2436" s="1171"/>
      <c r="E2436" s="1165"/>
      <c r="F2436" s="1166"/>
      <c r="G2436" s="1343"/>
      <c r="H2436" s="1156"/>
      <c r="I2436" s="1336"/>
      <c r="J2436" s="1168" t="s">
        <v>115</v>
      </c>
      <c r="K2436" s="1221">
        <f>'D&amp;W data'!H785</f>
        <v>15875.19</v>
      </c>
      <c r="L2436" s="1159" t="s">
        <v>2318</v>
      </c>
      <c r="M2436" s="1224">
        <f>ROUND(I2436*K2436,0)</f>
        <v>0</v>
      </c>
      <c r="N2436" s="1161" t="s">
        <v>2318</v>
      </c>
    </row>
    <row r="2437" spans="1:14" ht="71.25" hidden="1" customHeight="1">
      <c r="A2437" s="1156">
        <v>3</v>
      </c>
      <c r="B2437" s="1826" t="s">
        <v>1635</v>
      </c>
      <c r="C2437" s="1826"/>
      <c r="D2437" s="1826"/>
      <c r="E2437" s="1826"/>
      <c r="F2437" s="1826"/>
      <c r="G2437" s="1826"/>
      <c r="H2437" s="1826"/>
      <c r="I2437" s="1157"/>
      <c r="J2437" s="1158"/>
      <c r="K2437" s="1156"/>
      <c r="L2437" s="1156"/>
      <c r="M2437" s="1160"/>
      <c r="N2437" s="1161" t="s">
        <v>2318</v>
      </c>
    </row>
    <row r="2438" spans="1:14" s="1170" customFormat="1" ht="15.75" hidden="1">
      <c r="A2438" s="1156"/>
      <c r="B2438" s="1163" t="s">
        <v>2327</v>
      </c>
      <c r="C2438" s="1351"/>
      <c r="D2438" s="1418"/>
      <c r="E2438" s="1352"/>
      <c r="F2438" s="1234"/>
      <c r="G2438" s="1234"/>
      <c r="H2438" s="1235"/>
      <c r="I2438" s="1353"/>
      <c r="J2438" s="1168"/>
      <c r="K2438" s="1169"/>
      <c r="L2438" s="1156"/>
      <c r="M2438" s="1169"/>
      <c r="N2438" s="1161" t="s">
        <v>2318</v>
      </c>
    </row>
    <row r="2439" spans="1:14" s="1170" customFormat="1" ht="15.75" hidden="1">
      <c r="A2439" s="1156"/>
      <c r="B2439" s="1331" t="s">
        <v>583</v>
      </c>
      <c r="C2439" s="1332">
        <v>1</v>
      </c>
      <c r="D2439" s="1333" t="s">
        <v>273</v>
      </c>
      <c r="E2439" s="1334">
        <v>1</v>
      </c>
      <c r="F2439" s="1335">
        <v>0</v>
      </c>
      <c r="G2439" s="1335">
        <v>0</v>
      </c>
      <c r="H2439" s="1335">
        <v>0</v>
      </c>
      <c r="I2439" s="1336">
        <f>ROUND(IF(AND(F2439:H2439),C2439*E2439*F2439*G2439*H2439,IF(AND(F2439,G2439),C2439*E2439*F2439*G2439,IF(AND(F2439,H2439),C2439*E2439*F2439*H2439,IF(AND(G2439,H2439),C2439*E2439*G2439*H2439,IF(F2439,C2439*E2439*F2439,IF(G2439,C2439*E2439*G2439,IF(H2439,C2439*E2439*H2439,C2439*E2439))))))),2)</f>
        <v>1</v>
      </c>
      <c r="J2439" s="1168" t="s">
        <v>115</v>
      </c>
      <c r="K2439" s="1169"/>
      <c r="L2439" s="1156"/>
      <c r="M2439" s="1169"/>
      <c r="N2439" s="1161" t="s">
        <v>2318</v>
      </c>
    </row>
    <row r="2440" spans="1:14" s="1170" customFormat="1" ht="15.75" hidden="1">
      <c r="A2440" s="1156"/>
      <c r="B2440" s="1331"/>
      <c r="C2440" s="1332"/>
      <c r="D2440" s="1333"/>
      <c r="E2440" s="1334"/>
      <c r="F2440" s="1335"/>
      <c r="G2440" s="1335"/>
      <c r="H2440" s="1335"/>
      <c r="I2440" s="1336"/>
      <c r="J2440" s="1168"/>
      <c r="K2440" s="1169"/>
      <c r="L2440" s="1156"/>
      <c r="M2440" s="1169"/>
      <c r="N2440" s="1161" t="s">
        <v>2318</v>
      </c>
    </row>
    <row r="2441" spans="1:14" ht="15.75" hidden="1">
      <c r="A2441" s="1156"/>
      <c r="B2441" s="1169"/>
      <c r="C2441" s="1337"/>
      <c r="D2441" s="1171"/>
      <c r="E2441" s="1165"/>
      <c r="F2441" s="1166"/>
      <c r="G2441" s="1343"/>
      <c r="H2441" s="1156"/>
      <c r="I2441" s="1336"/>
      <c r="J2441" s="1168" t="s">
        <v>115</v>
      </c>
      <c r="K2441" s="1221">
        <f>'D&amp;W data'!H804</f>
        <v>15037.220000000001</v>
      </c>
      <c r="L2441" s="1159" t="s">
        <v>2318</v>
      </c>
      <c r="M2441" s="1224">
        <f>ROUND(I2441*K2441,0)</f>
        <v>0</v>
      </c>
      <c r="N2441" s="1161" t="s">
        <v>2318</v>
      </c>
    </row>
    <row r="2442" spans="1:14" ht="71.25" hidden="1" customHeight="1">
      <c r="A2442" s="1156">
        <v>3</v>
      </c>
      <c r="B2442" s="1826" t="s">
        <v>2144</v>
      </c>
      <c r="C2442" s="1826"/>
      <c r="D2442" s="1826"/>
      <c r="E2442" s="1826"/>
      <c r="F2442" s="1826"/>
      <c r="G2442" s="1826"/>
      <c r="H2442" s="1826"/>
      <c r="I2442" s="1157"/>
      <c r="J2442" s="1158"/>
      <c r="K2442" s="1156"/>
      <c r="L2442" s="1156"/>
      <c r="M2442" s="1160"/>
      <c r="N2442" s="1161" t="s">
        <v>2318</v>
      </c>
    </row>
    <row r="2443" spans="1:14" s="1170" customFormat="1" ht="15.75" hidden="1">
      <c r="A2443" s="1156"/>
      <c r="B2443" s="1169" t="s">
        <v>2192</v>
      </c>
      <c r="C2443" s="1351"/>
      <c r="D2443" s="1418"/>
      <c r="E2443" s="1352"/>
      <c r="F2443" s="1234"/>
      <c r="G2443" s="1234"/>
      <c r="H2443" s="1235"/>
      <c r="I2443" s="1353"/>
      <c r="J2443" s="1168"/>
      <c r="K2443" s="1169"/>
      <c r="L2443" s="1156"/>
      <c r="M2443" s="1169"/>
      <c r="N2443" s="1161" t="s">
        <v>2318</v>
      </c>
    </row>
    <row r="2444" spans="1:14" s="1170" customFormat="1" ht="15.75" hidden="1">
      <c r="A2444" s="1156"/>
      <c r="B2444" s="1331" t="s">
        <v>2193</v>
      </c>
      <c r="C2444" s="1332">
        <v>1</v>
      </c>
      <c r="D2444" s="1333" t="s">
        <v>273</v>
      </c>
      <c r="E2444" s="1334">
        <v>5</v>
      </c>
      <c r="F2444" s="1335">
        <v>0</v>
      </c>
      <c r="G2444" s="1335">
        <v>0</v>
      </c>
      <c r="H2444" s="1335">
        <v>0</v>
      </c>
      <c r="I2444" s="1336">
        <f>ROUND(IF(AND(F2444:H2444),C2444*E2444*F2444*G2444*H2444,IF(AND(F2444,G2444),C2444*E2444*F2444*G2444,IF(AND(F2444,H2444),C2444*E2444*F2444*H2444,IF(AND(G2444,H2444),C2444*E2444*G2444*H2444,IF(F2444,C2444*E2444*F2444,IF(G2444,C2444*E2444*G2444,IF(H2444,C2444*E2444*H2444,C2444*E2444))))))),2)</f>
        <v>5</v>
      </c>
      <c r="J2444" s="1168" t="s">
        <v>115</v>
      </c>
      <c r="K2444" s="1169"/>
      <c r="L2444" s="1156"/>
      <c r="M2444" s="1169"/>
      <c r="N2444" s="1161" t="s">
        <v>2318</v>
      </c>
    </row>
    <row r="2445" spans="1:14" s="1170" customFormat="1" ht="15.75" hidden="1">
      <c r="A2445" s="1156"/>
      <c r="B2445" s="1331"/>
      <c r="C2445" s="1332"/>
      <c r="D2445" s="1333"/>
      <c r="E2445" s="1334"/>
      <c r="F2445" s="1335"/>
      <c r="G2445" s="1335"/>
      <c r="H2445" s="1335"/>
      <c r="I2445" s="1336"/>
      <c r="J2445" s="1168"/>
      <c r="K2445" s="1169"/>
      <c r="L2445" s="1156"/>
      <c r="M2445" s="1169"/>
      <c r="N2445" s="1161" t="s">
        <v>2318</v>
      </c>
    </row>
    <row r="2446" spans="1:14" ht="15.75" hidden="1">
      <c r="A2446" s="1156"/>
      <c r="B2446" s="1169"/>
      <c r="C2446" s="1337"/>
      <c r="D2446" s="1171"/>
      <c r="E2446" s="1165"/>
      <c r="F2446" s="1166"/>
      <c r="G2446" s="1343"/>
      <c r="H2446" s="1156"/>
      <c r="I2446" s="1336"/>
      <c r="J2446" s="1168" t="s">
        <v>115</v>
      </c>
      <c r="K2446" s="1221">
        <f>'D&amp;W data'!H899</f>
        <v>10330.61</v>
      </c>
      <c r="L2446" s="1159" t="s">
        <v>2318</v>
      </c>
      <c r="M2446" s="1224">
        <f>ROUND(I2446*K2446,0)</f>
        <v>0</v>
      </c>
      <c r="N2446" s="1161" t="s">
        <v>2318</v>
      </c>
    </row>
    <row r="2447" spans="1:14" ht="71.25" hidden="1" customHeight="1">
      <c r="A2447" s="1156">
        <v>3</v>
      </c>
      <c r="B2447" s="1826" t="s">
        <v>1636</v>
      </c>
      <c r="C2447" s="1826"/>
      <c r="D2447" s="1826"/>
      <c r="E2447" s="1826"/>
      <c r="F2447" s="1826"/>
      <c r="G2447" s="1826"/>
      <c r="H2447" s="1826"/>
      <c r="I2447" s="1157"/>
      <c r="J2447" s="1158"/>
      <c r="K2447" s="1156"/>
      <c r="L2447" s="1156"/>
      <c r="M2447" s="1160"/>
      <c r="N2447" s="1161" t="s">
        <v>2318</v>
      </c>
    </row>
    <row r="2448" spans="1:14" s="1170" customFormat="1" ht="15.75" hidden="1">
      <c r="A2448" s="1156"/>
      <c r="B2448" s="1169" t="s">
        <v>2337</v>
      </c>
      <c r="C2448" s="1351"/>
      <c r="D2448" s="1418"/>
      <c r="E2448" s="1352"/>
      <c r="F2448" s="1234"/>
      <c r="G2448" s="1234"/>
      <c r="H2448" s="1235"/>
      <c r="I2448" s="1353"/>
      <c r="J2448" s="1168"/>
      <c r="K2448" s="1169"/>
      <c r="L2448" s="1156"/>
      <c r="M2448" s="1169"/>
      <c r="N2448" s="1161" t="s">
        <v>2318</v>
      </c>
    </row>
    <row r="2449" spans="1:14" s="1170" customFormat="1" ht="15.75" hidden="1">
      <c r="A2449" s="1156"/>
      <c r="B2449" s="1331" t="s">
        <v>583</v>
      </c>
      <c r="C2449" s="1332">
        <v>1</v>
      </c>
      <c r="D2449" s="1333" t="s">
        <v>273</v>
      </c>
      <c r="E2449" s="1334">
        <v>1</v>
      </c>
      <c r="F2449" s="1335">
        <v>0</v>
      </c>
      <c r="G2449" s="1335">
        <v>0</v>
      </c>
      <c r="H2449" s="1335">
        <v>0</v>
      </c>
      <c r="I2449" s="1336">
        <f>ROUND(IF(AND(F2449:H2449),C2449*E2449*F2449*G2449*H2449,IF(AND(F2449,G2449),C2449*E2449*F2449*G2449,IF(AND(F2449,H2449),C2449*E2449*F2449*H2449,IF(AND(G2449,H2449),C2449*E2449*G2449*H2449,IF(F2449,C2449*E2449*F2449,IF(G2449,C2449*E2449*G2449,IF(H2449,C2449*E2449*H2449,C2449*E2449))))))),2)</f>
        <v>1</v>
      </c>
      <c r="J2449" s="1168" t="s">
        <v>115</v>
      </c>
      <c r="K2449" s="1169"/>
      <c r="L2449" s="1156"/>
      <c r="M2449" s="1169"/>
      <c r="N2449" s="1161" t="s">
        <v>2318</v>
      </c>
    </row>
    <row r="2450" spans="1:14" s="1170" customFormat="1" ht="15.75" hidden="1">
      <c r="A2450" s="1156"/>
      <c r="B2450" s="1331"/>
      <c r="C2450" s="1332"/>
      <c r="D2450" s="1333"/>
      <c r="E2450" s="1334"/>
      <c r="F2450" s="1335"/>
      <c r="G2450" s="1335"/>
      <c r="H2450" s="1335"/>
      <c r="I2450" s="1336"/>
      <c r="J2450" s="1168"/>
      <c r="K2450" s="1169"/>
      <c r="L2450" s="1156"/>
      <c r="M2450" s="1169"/>
      <c r="N2450" s="1161" t="s">
        <v>2318</v>
      </c>
    </row>
    <row r="2451" spans="1:14" ht="15.75" hidden="1">
      <c r="A2451" s="1156"/>
      <c r="B2451" s="1169"/>
      <c r="C2451" s="1337"/>
      <c r="D2451" s="1171"/>
      <c r="E2451" s="1165"/>
      <c r="F2451" s="1166"/>
      <c r="G2451" s="1343"/>
      <c r="H2451" s="1156"/>
      <c r="I2451" s="1336"/>
      <c r="J2451" s="1168" t="s">
        <v>115</v>
      </c>
      <c r="K2451" s="1221">
        <f>'D&amp;W data'!H842</f>
        <v>7015.49</v>
      </c>
      <c r="L2451" s="1159" t="s">
        <v>2318</v>
      </c>
      <c r="M2451" s="1224">
        <f>ROUND(I2451*K2451,0)</f>
        <v>0</v>
      </c>
      <c r="N2451" s="1161" t="s">
        <v>2318</v>
      </c>
    </row>
    <row r="2452" spans="1:14" ht="71.25" hidden="1" customHeight="1">
      <c r="A2452" s="1156">
        <v>40</v>
      </c>
      <c r="B2452" s="1826" t="s">
        <v>804</v>
      </c>
      <c r="C2452" s="1826"/>
      <c r="D2452" s="1826"/>
      <c r="E2452" s="1826"/>
      <c r="F2452" s="1826"/>
      <c r="G2452" s="1826"/>
      <c r="H2452" s="1826"/>
      <c r="I2452" s="1157"/>
      <c r="J2452" s="1158"/>
      <c r="K2452" s="1156"/>
      <c r="L2452" s="1156"/>
      <c r="M2452" s="1160"/>
      <c r="N2452" s="1161" t="s">
        <v>2318</v>
      </c>
    </row>
    <row r="2453" spans="1:14" s="1170" customFormat="1" ht="15.75" hidden="1">
      <c r="A2453" s="1156"/>
      <c r="B2453" s="1358" t="s">
        <v>2328</v>
      </c>
      <c r="C2453" s="1351"/>
      <c r="D2453" s="1418"/>
      <c r="E2453" s="1352"/>
      <c r="F2453" s="1234"/>
      <c r="G2453" s="1234"/>
      <c r="H2453" s="1235"/>
      <c r="I2453" s="1353"/>
      <c r="J2453" s="1168"/>
      <c r="K2453" s="1169"/>
      <c r="L2453" s="1156"/>
      <c r="M2453" s="1169"/>
      <c r="N2453" s="1161" t="s">
        <v>2318</v>
      </c>
    </row>
    <row r="2454" spans="1:14" s="1170" customFormat="1" ht="15.75" hidden="1">
      <c r="A2454" s="1156"/>
      <c r="B2454" s="1331" t="s">
        <v>583</v>
      </c>
      <c r="C2454" s="1332">
        <v>2</v>
      </c>
      <c r="D2454" s="1333" t="s">
        <v>273</v>
      </c>
      <c r="E2454" s="1334">
        <v>1</v>
      </c>
      <c r="F2454" s="1335">
        <v>0</v>
      </c>
      <c r="G2454" s="1335">
        <v>0</v>
      </c>
      <c r="H2454" s="1335">
        <v>0</v>
      </c>
      <c r="I2454" s="1421">
        <f>ROUND(IF(AND(F2454:H2454),C2454*E2454*F2454*G2454*H2454,IF(AND(F2454,G2454),C2454*E2454*F2454*G2454,IF(AND(F2454,H2454),C2454*E2454*F2454*H2454,IF(AND(G2454,H2454),C2454*E2454*G2454*H2454,IF(F2454,C2454*E2454*F2454,IF(G2454,C2454*E2454*G2454,IF(H2454,C2454*E2454*H2454,C2454*E2454))))))),2)</f>
        <v>2</v>
      </c>
      <c r="J2454" s="1168" t="s">
        <v>115</v>
      </c>
      <c r="K2454" s="1169"/>
      <c r="L2454" s="1156"/>
      <c r="M2454" s="1169"/>
      <c r="N2454" s="1161" t="s">
        <v>2318</v>
      </c>
    </row>
    <row r="2455" spans="1:14" s="1170" customFormat="1" ht="15.75" hidden="1">
      <c r="A2455" s="1156"/>
      <c r="B2455" s="1358" t="s">
        <v>2338</v>
      </c>
      <c r="C2455" s="1351"/>
      <c r="D2455" s="1418"/>
      <c r="E2455" s="1352"/>
      <c r="F2455" s="1234"/>
      <c r="G2455" s="1234"/>
      <c r="H2455" s="1235"/>
      <c r="I2455" s="1425"/>
      <c r="J2455" s="1168"/>
      <c r="K2455" s="1169"/>
      <c r="L2455" s="1156"/>
      <c r="M2455" s="1169"/>
      <c r="N2455" s="1161" t="s">
        <v>2318</v>
      </c>
    </row>
    <row r="2456" spans="1:14" s="1170" customFormat="1" ht="15.75" hidden="1">
      <c r="A2456" s="1156"/>
      <c r="B2456" s="1331" t="s">
        <v>584</v>
      </c>
      <c r="C2456" s="1332">
        <v>3</v>
      </c>
      <c r="D2456" s="1333" t="s">
        <v>273</v>
      </c>
      <c r="E2456" s="1334">
        <v>1</v>
      </c>
      <c r="F2456" s="1335">
        <v>0</v>
      </c>
      <c r="G2456" s="1335">
        <v>0</v>
      </c>
      <c r="H2456" s="1335">
        <v>0</v>
      </c>
      <c r="I2456" s="1421">
        <f>ROUND(IF(AND(F2456:H2456),C2456*E2456*F2456*G2456*H2456,IF(AND(F2456,G2456),C2456*E2456*F2456*G2456,IF(AND(F2456,H2456),C2456*E2456*F2456*H2456,IF(AND(G2456,H2456),C2456*E2456*G2456*H2456,IF(F2456,C2456*E2456*F2456,IF(G2456,C2456*E2456*G2456,IF(H2456,C2456*E2456*H2456,C2456*E2456))))))),2)</f>
        <v>3</v>
      </c>
      <c r="J2456" s="1168" t="s">
        <v>115</v>
      </c>
      <c r="K2456" s="1169"/>
      <c r="L2456" s="1156"/>
      <c r="M2456" s="1169"/>
      <c r="N2456" s="1161" t="s">
        <v>2318</v>
      </c>
    </row>
    <row r="2457" spans="1:14" s="1170" customFormat="1" ht="15.75" hidden="1">
      <c r="A2457" s="1156"/>
      <c r="B2457" s="1331"/>
      <c r="C2457" s="1332"/>
      <c r="D2457" s="1333"/>
      <c r="E2457" s="1334"/>
      <c r="F2457" s="1335"/>
      <c r="G2457" s="1335"/>
      <c r="H2457" s="1335"/>
      <c r="I2457" s="1421"/>
      <c r="J2457" s="1168"/>
      <c r="K2457" s="1169"/>
      <c r="L2457" s="1156"/>
      <c r="M2457" s="1169"/>
      <c r="N2457" s="1161" t="s">
        <v>2318</v>
      </c>
    </row>
    <row r="2458" spans="1:14" ht="15.75" hidden="1">
      <c r="A2458" s="1156"/>
      <c r="B2458" s="1169"/>
      <c r="C2458" s="1337"/>
      <c r="D2458" s="1171"/>
      <c r="E2458" s="1165"/>
      <c r="F2458" s="1166"/>
      <c r="G2458" s="1343"/>
      <c r="H2458" s="1156"/>
      <c r="I2458" s="1421"/>
      <c r="J2458" s="1168" t="s">
        <v>115</v>
      </c>
      <c r="K2458" s="1221">
        <f>'D&amp;W data'!H861</f>
        <v>17517.36</v>
      </c>
      <c r="L2458" s="1159" t="s">
        <v>2318</v>
      </c>
      <c r="M2458" s="1224">
        <f>ROUND(I2458*K2458,0)</f>
        <v>0</v>
      </c>
      <c r="N2458" s="1161" t="s">
        <v>2318</v>
      </c>
    </row>
    <row r="2459" spans="1:14" ht="71.25" hidden="1" customHeight="1">
      <c r="A2459" s="1156">
        <v>4</v>
      </c>
      <c r="B2459" s="1826" t="s">
        <v>2098</v>
      </c>
      <c r="C2459" s="1826"/>
      <c r="D2459" s="1826"/>
      <c r="E2459" s="1826"/>
      <c r="F2459" s="1826"/>
      <c r="G2459" s="1826"/>
      <c r="H2459" s="1826"/>
      <c r="I2459" s="1157"/>
      <c r="J2459" s="1158"/>
      <c r="K2459" s="1156"/>
      <c r="L2459" s="1156"/>
      <c r="M2459" s="1160"/>
      <c r="N2459" s="1161" t="s">
        <v>2318</v>
      </c>
    </row>
    <row r="2460" spans="1:14" s="1170" customFormat="1" ht="15.75" hidden="1">
      <c r="A2460" s="1156"/>
      <c r="B2460" s="1169" t="s">
        <v>2335</v>
      </c>
      <c r="C2460" s="1351"/>
      <c r="D2460" s="1418"/>
      <c r="E2460" s="1352"/>
      <c r="F2460" s="1234"/>
      <c r="G2460" s="1234"/>
      <c r="H2460" s="1235"/>
      <c r="I2460" s="1353"/>
      <c r="J2460" s="1168"/>
      <c r="K2460" s="1169"/>
      <c r="L2460" s="1156"/>
      <c r="M2460" s="1169"/>
      <c r="N2460" s="1161" t="s">
        <v>2318</v>
      </c>
    </row>
    <row r="2461" spans="1:14" s="1170" customFormat="1" ht="15.75" hidden="1">
      <c r="A2461" s="1156"/>
      <c r="B2461" s="1331" t="s">
        <v>583</v>
      </c>
      <c r="C2461" s="1332">
        <v>1</v>
      </c>
      <c r="D2461" s="1333" t="s">
        <v>273</v>
      </c>
      <c r="E2461" s="1334">
        <v>2</v>
      </c>
      <c r="F2461" s="1335">
        <v>0</v>
      </c>
      <c r="G2461" s="1335">
        <v>0</v>
      </c>
      <c r="H2461" s="1335">
        <v>0</v>
      </c>
      <c r="I2461" s="1421">
        <f>ROUND(IF(AND(F2461:H2461),C2461*E2461*F2461*G2461*H2461,IF(AND(F2461,G2461),C2461*E2461*F2461*G2461,IF(AND(F2461,H2461),C2461*E2461*F2461*H2461,IF(AND(G2461,H2461),C2461*E2461*G2461*H2461,IF(F2461,C2461*E2461*F2461,IF(G2461,C2461*E2461*G2461,IF(H2461,C2461*E2461*H2461,C2461*E2461))))))),2)</f>
        <v>2</v>
      </c>
      <c r="J2461" s="1168" t="s">
        <v>115</v>
      </c>
      <c r="K2461" s="1169"/>
      <c r="L2461" s="1156"/>
      <c r="M2461" s="1169"/>
      <c r="N2461" s="1161" t="s">
        <v>2318</v>
      </c>
    </row>
    <row r="2462" spans="1:14" s="1170" customFormat="1" ht="15.75" hidden="1">
      <c r="A2462" s="1156"/>
      <c r="B2462" s="1169" t="s">
        <v>2335</v>
      </c>
      <c r="C2462" s="1351"/>
      <c r="D2462" s="1418"/>
      <c r="E2462" s="1352"/>
      <c r="F2462" s="1234"/>
      <c r="G2462" s="1234"/>
      <c r="H2462" s="1235"/>
      <c r="I2462" s="1353"/>
      <c r="J2462" s="1168"/>
      <c r="K2462" s="1169"/>
      <c r="L2462" s="1156"/>
      <c r="M2462" s="1169"/>
      <c r="N2462" s="1161" t="s">
        <v>2318</v>
      </c>
    </row>
    <row r="2463" spans="1:14" s="1170" customFormat="1" ht="15.75" hidden="1">
      <c r="A2463" s="1156"/>
      <c r="B2463" s="1331" t="s">
        <v>584</v>
      </c>
      <c r="C2463" s="1332">
        <v>1</v>
      </c>
      <c r="D2463" s="1333" t="s">
        <v>273</v>
      </c>
      <c r="E2463" s="1334">
        <v>3</v>
      </c>
      <c r="F2463" s="1335">
        <v>0</v>
      </c>
      <c r="G2463" s="1335">
        <v>0</v>
      </c>
      <c r="H2463" s="1335">
        <v>0</v>
      </c>
      <c r="I2463" s="1421">
        <f>ROUND(IF(AND(F2463:H2463),C2463*E2463*F2463*G2463*H2463,IF(AND(F2463,G2463),C2463*E2463*F2463*G2463,IF(AND(F2463,H2463),C2463*E2463*F2463*H2463,IF(AND(G2463,H2463),C2463*E2463*G2463*H2463,IF(F2463,C2463*E2463*F2463,IF(G2463,C2463*E2463*G2463,IF(H2463,C2463*E2463*H2463,C2463*E2463))))))),2)</f>
        <v>3</v>
      </c>
      <c r="J2463" s="1168" t="s">
        <v>115</v>
      </c>
      <c r="K2463" s="1169"/>
      <c r="L2463" s="1156"/>
      <c r="M2463" s="1169"/>
      <c r="N2463" s="1161" t="s">
        <v>2318</v>
      </c>
    </row>
    <row r="2464" spans="1:14" s="1170" customFormat="1" ht="15.75" hidden="1">
      <c r="A2464" s="1156"/>
      <c r="B2464" s="1331"/>
      <c r="C2464" s="1332"/>
      <c r="D2464" s="1333"/>
      <c r="E2464" s="1334"/>
      <c r="F2464" s="1335"/>
      <c r="G2464" s="1335"/>
      <c r="H2464" s="1335"/>
      <c r="I2464" s="1421"/>
      <c r="J2464" s="1168"/>
      <c r="K2464" s="1169"/>
      <c r="L2464" s="1156"/>
      <c r="M2464" s="1169"/>
      <c r="N2464" s="1161" t="s">
        <v>2318</v>
      </c>
    </row>
    <row r="2465" spans="1:15" ht="15.75" hidden="1">
      <c r="A2465" s="1156"/>
      <c r="B2465" s="1169"/>
      <c r="C2465" s="1337"/>
      <c r="D2465" s="1171"/>
      <c r="E2465" s="1165"/>
      <c r="F2465" s="1166"/>
      <c r="G2465" s="1343"/>
      <c r="H2465" s="1156"/>
      <c r="I2465" s="1421"/>
      <c r="J2465" s="1168" t="s">
        <v>115</v>
      </c>
      <c r="K2465" s="1221">
        <f>'D&amp;W data'!H880</f>
        <v>11186.3</v>
      </c>
      <c r="L2465" s="1159" t="s">
        <v>2318</v>
      </c>
      <c r="M2465" s="1224">
        <f>ROUND(I2465*K2465,0)</f>
        <v>0</v>
      </c>
      <c r="N2465" s="1161" t="s">
        <v>2318</v>
      </c>
    </row>
    <row r="2466" spans="1:15" ht="148.5" hidden="1" customHeight="1">
      <c r="A2466" s="1156">
        <v>44</v>
      </c>
      <c r="B2466" s="1826" t="s">
        <v>910</v>
      </c>
      <c r="C2466" s="1826"/>
      <c r="D2466" s="1828"/>
      <c r="E2466" s="1826"/>
      <c r="F2466" s="1826"/>
      <c r="G2466" s="1826"/>
      <c r="H2466" s="1826"/>
      <c r="I2466" s="1157"/>
      <c r="J2466" s="1158"/>
      <c r="K2466" s="1156"/>
      <c r="L2466" s="1156"/>
      <c r="M2466" s="1160"/>
      <c r="N2466" s="1161" t="s">
        <v>2318</v>
      </c>
    </row>
    <row r="2467" spans="1:15" s="1170" customFormat="1" ht="16.5" hidden="1" customHeight="1">
      <c r="A2467" s="1156"/>
      <c r="B2467" s="1169" t="s">
        <v>3720</v>
      </c>
      <c r="C2467" s="1351"/>
      <c r="D2467" s="1548" t="s">
        <v>3745</v>
      </c>
      <c r="E2467" s="1352"/>
      <c r="F2467" s="1234"/>
      <c r="G2467" s="1234"/>
      <c r="H2467" s="1235"/>
      <c r="I2467" s="1353"/>
      <c r="J2467" s="1168"/>
      <c r="K2467" s="1169"/>
      <c r="L2467" s="1156"/>
      <c r="M2467" s="1169"/>
      <c r="N2467" s="1161" t="s">
        <v>2318</v>
      </c>
    </row>
    <row r="2468" spans="1:15" s="1170" customFormat="1" ht="16.5" hidden="1" customHeight="1">
      <c r="A2468" s="1156"/>
      <c r="B2468" s="1359"/>
      <c r="C2468" s="1360">
        <v>1</v>
      </c>
      <c r="D2468" s="1361" t="s">
        <v>273</v>
      </c>
      <c r="E2468" s="1362">
        <v>2</v>
      </c>
      <c r="F2468" s="1363">
        <v>1.05</v>
      </c>
      <c r="G2468" s="1363">
        <v>0</v>
      </c>
      <c r="H2468" s="1363">
        <v>2.1</v>
      </c>
      <c r="I2468" s="1336">
        <f>ROUND(IF(AND(F2468:H2468),C2468*E2468*F2468*G2468*H2468,IF(AND(F2468,G2468),C2468*E2468*F2468*G2468,IF(AND(F2468,H2468),C2468*E2468*F2468*H2468,IF(AND(G2468,H2468),C2468*E2468*G2468*H2468,IF(F2468,C2468*E2468*F2468,IF(G2468,C2468*E2468*G2468,IF(H2468,C2468*E2468*H2468,C2468*E2468))))))),2)</f>
        <v>4.41</v>
      </c>
      <c r="J2468" s="1168" t="s">
        <v>102</v>
      </c>
      <c r="K2468" s="1169"/>
      <c r="L2468" s="1156"/>
      <c r="M2468" s="1169"/>
      <c r="N2468" s="1161" t="s">
        <v>2318</v>
      </c>
      <c r="O2468" s="1334">
        <v>2</v>
      </c>
    </row>
    <row r="2469" spans="1:15" s="1170" customFormat="1" ht="16.5" hidden="1" customHeight="1">
      <c r="A2469" s="1156"/>
      <c r="B2469" s="1359"/>
      <c r="C2469" s="1360">
        <v>1</v>
      </c>
      <c r="D2469" s="1361" t="s">
        <v>273</v>
      </c>
      <c r="E2469" s="1362">
        <v>1</v>
      </c>
      <c r="F2469" s="1363">
        <v>1.2</v>
      </c>
      <c r="G2469" s="1363">
        <v>0</v>
      </c>
      <c r="H2469" s="1363">
        <v>2.1</v>
      </c>
      <c r="I2469" s="1336">
        <f>ROUND(IF(AND(F2469:H2469),C2469*E2469*F2469*G2469*H2469,IF(AND(F2469,G2469),C2469*E2469*F2469*G2469,IF(AND(F2469,H2469),C2469*E2469*F2469*H2469,IF(AND(G2469,H2469),C2469*E2469*G2469*H2469,IF(F2469,C2469*E2469*F2469,IF(G2469,C2469*E2469*G2469,IF(H2469,C2469*E2469*H2469,C2469*E2469))))))),2)</f>
        <v>2.52</v>
      </c>
      <c r="J2469" s="1168" t="s">
        <v>102</v>
      </c>
      <c r="K2469" s="1169"/>
      <c r="L2469" s="1156"/>
      <c r="M2469" s="1169"/>
      <c r="N2469" s="1161" t="s">
        <v>2318</v>
      </c>
      <c r="O2469" s="1334"/>
    </row>
    <row r="2470" spans="1:15" ht="15.75" hidden="1">
      <c r="A2470" s="1156"/>
      <c r="B2470" s="1169"/>
      <c r="C2470" s="1337"/>
      <c r="D2470" s="1171"/>
      <c r="E2470" s="1165"/>
      <c r="F2470" s="1166"/>
      <c r="G2470" s="1343"/>
      <c r="H2470" s="1156"/>
      <c r="I2470" s="1336"/>
      <c r="J2470" s="1168" t="s">
        <v>102</v>
      </c>
      <c r="K2470" s="1221">
        <f>'D&amp;W data'!H923</f>
        <v>6869.57</v>
      </c>
      <c r="L2470" s="1159" t="s">
        <v>2318</v>
      </c>
      <c r="M2470" s="1224">
        <f>ROUND(I2470*K2470,0)</f>
        <v>0</v>
      </c>
      <c r="N2470" s="1161" t="s">
        <v>2318</v>
      </c>
    </row>
    <row r="2471" spans="1:15" ht="148.5" hidden="1" customHeight="1">
      <c r="A2471" s="1156">
        <v>2</v>
      </c>
      <c r="B2471" s="1826" t="s">
        <v>910</v>
      </c>
      <c r="C2471" s="1826"/>
      <c r="D2471" s="1826"/>
      <c r="E2471" s="1826"/>
      <c r="F2471" s="1826"/>
      <c r="G2471" s="1826"/>
      <c r="H2471" s="1826"/>
      <c r="I2471" s="1157"/>
      <c r="J2471" s="1158"/>
      <c r="K2471" s="1156"/>
      <c r="L2471" s="1156"/>
      <c r="M2471" s="1160"/>
      <c r="N2471" s="1161" t="s">
        <v>2318</v>
      </c>
    </row>
    <row r="2472" spans="1:15" s="1170" customFormat="1" ht="16.5" hidden="1" customHeight="1">
      <c r="A2472" s="1156"/>
      <c r="B2472" s="1365" t="s">
        <v>2339</v>
      </c>
      <c r="C2472" s="1351"/>
      <c r="D2472" s="1418"/>
      <c r="E2472" s="1352"/>
      <c r="F2472" s="1234"/>
      <c r="G2472" s="1234"/>
      <c r="H2472" s="1235"/>
      <c r="I2472" s="1353"/>
      <c r="J2472" s="1168"/>
      <c r="K2472" s="1169"/>
      <c r="L2472" s="1156"/>
      <c r="M2472" s="1169"/>
      <c r="N2472" s="1161" t="s">
        <v>2318</v>
      </c>
    </row>
    <row r="2473" spans="1:15" s="1170" customFormat="1" ht="16.5" hidden="1" customHeight="1">
      <c r="A2473" s="1156"/>
      <c r="B2473" s="1359"/>
      <c r="C2473" s="1360">
        <v>1</v>
      </c>
      <c r="D2473" s="1361" t="s">
        <v>273</v>
      </c>
      <c r="E2473" s="1362">
        <v>2</v>
      </c>
      <c r="F2473" s="1363">
        <v>1.01</v>
      </c>
      <c r="G2473" s="1363">
        <v>0</v>
      </c>
      <c r="H2473" s="1363">
        <v>2.09</v>
      </c>
      <c r="I2473" s="1336">
        <f>ROUND(IF(AND(F2473:H2473),C2473*E2473*F2473*G2473*H2473,IF(AND(F2473,G2473),C2473*E2473*F2473*G2473,IF(AND(F2473,H2473),C2473*E2473*F2473*H2473,IF(AND(G2473,H2473),C2473*E2473*G2473*H2473,IF(F2473,C2473*E2473*F2473,IF(G2473,C2473*E2473*G2473,IF(H2473,C2473*E2473*H2473,C2473*E2473))))))),2)</f>
        <v>4.22</v>
      </c>
      <c r="J2473" s="1168" t="s">
        <v>102</v>
      </c>
      <c r="K2473" s="1169"/>
      <c r="L2473" s="1156"/>
      <c r="M2473" s="1169"/>
      <c r="N2473" s="1161" t="s">
        <v>2318</v>
      </c>
      <c r="O2473" s="1334">
        <v>2</v>
      </c>
    </row>
    <row r="2474" spans="1:15" s="1170" customFormat="1" ht="16.5" hidden="1" customHeight="1">
      <c r="A2474" s="1156"/>
      <c r="B2474" s="1359"/>
      <c r="C2474" s="1360">
        <v>1</v>
      </c>
      <c r="D2474" s="1361" t="s">
        <v>273</v>
      </c>
      <c r="E2474" s="1362">
        <v>2</v>
      </c>
      <c r="F2474" s="1363">
        <v>1.02</v>
      </c>
      <c r="G2474" s="1363">
        <v>0</v>
      </c>
      <c r="H2474" s="1363">
        <v>2.02</v>
      </c>
      <c r="I2474" s="1336">
        <f>ROUND(IF(AND(F2474:H2474),C2474*E2474*F2474*G2474*H2474,IF(AND(F2474,G2474),C2474*E2474*F2474*G2474,IF(AND(F2474,H2474),C2474*E2474*F2474*H2474,IF(AND(G2474,H2474),C2474*E2474*G2474*H2474,IF(F2474,C2474*E2474*F2474,IF(G2474,C2474*E2474*G2474,IF(H2474,C2474*E2474*H2474,C2474*E2474))))))),2)</f>
        <v>4.12</v>
      </c>
      <c r="J2474" s="1168" t="s">
        <v>102</v>
      </c>
      <c r="K2474" s="1169"/>
      <c r="L2474" s="1156"/>
      <c r="M2474" s="1169"/>
      <c r="N2474" s="1161" t="s">
        <v>2318</v>
      </c>
      <c r="O2474" s="1334">
        <v>2</v>
      </c>
    </row>
    <row r="2475" spans="1:15" s="1170" customFormat="1" ht="16.5" hidden="1" customHeight="1">
      <c r="A2475" s="1156"/>
      <c r="B2475" s="1359"/>
      <c r="C2475" s="1360">
        <v>1</v>
      </c>
      <c r="D2475" s="1361" t="s">
        <v>273</v>
      </c>
      <c r="E2475" s="1362">
        <v>1</v>
      </c>
      <c r="F2475" s="1363">
        <v>1</v>
      </c>
      <c r="G2475" s="1363">
        <v>0</v>
      </c>
      <c r="H2475" s="1363">
        <v>2.02</v>
      </c>
      <c r="I2475" s="1336">
        <f>ROUND(IF(AND(F2475:H2475),C2475*E2475*F2475*G2475*H2475,IF(AND(F2475,G2475),C2475*E2475*F2475*G2475,IF(AND(F2475,H2475),C2475*E2475*F2475*H2475,IF(AND(G2475,H2475),C2475*E2475*G2475*H2475,IF(F2475,C2475*E2475*F2475,IF(G2475,C2475*E2475*G2475,IF(H2475,C2475*E2475*H2475,C2475*E2475))))))),2)</f>
        <v>2.02</v>
      </c>
      <c r="J2475" s="1168" t="s">
        <v>102</v>
      </c>
      <c r="K2475" s="1169"/>
      <c r="L2475" s="1156"/>
      <c r="M2475" s="1169"/>
      <c r="N2475" s="1161" t="s">
        <v>2318</v>
      </c>
      <c r="O2475" s="1334">
        <v>2</v>
      </c>
    </row>
    <row r="2476" spans="1:15" s="1170" customFormat="1" ht="16.5" hidden="1" customHeight="1">
      <c r="A2476" s="1156"/>
      <c r="B2476" s="1359"/>
      <c r="C2476" s="1360"/>
      <c r="D2476" s="1361"/>
      <c r="E2476" s="1362"/>
      <c r="F2476" s="1363"/>
      <c r="G2476" s="1363"/>
      <c r="H2476" s="1363"/>
      <c r="I2476" s="1336"/>
      <c r="J2476" s="1168"/>
      <c r="K2476" s="1169"/>
      <c r="L2476" s="1156"/>
      <c r="M2476" s="1169"/>
      <c r="N2476" s="1161" t="s">
        <v>2318</v>
      </c>
      <c r="O2476" s="1551"/>
    </row>
    <row r="2477" spans="1:15" ht="15.75" hidden="1">
      <c r="A2477" s="1156"/>
      <c r="B2477" s="1169"/>
      <c r="C2477" s="1337"/>
      <c r="D2477" s="1171"/>
      <c r="E2477" s="1165"/>
      <c r="F2477" s="1166"/>
      <c r="G2477" s="1343"/>
      <c r="H2477" s="1156"/>
      <c r="I2477" s="1336"/>
      <c r="J2477" s="1168" t="s">
        <v>102</v>
      </c>
      <c r="K2477" s="1221">
        <f>'D&amp;W data'!H935</f>
        <v>6508.85</v>
      </c>
      <c r="L2477" s="1159" t="s">
        <v>2318</v>
      </c>
      <c r="M2477" s="1224">
        <f>ROUND(I2477*K2477,0)</f>
        <v>0</v>
      </c>
      <c r="N2477" s="1161" t="s">
        <v>2318</v>
      </c>
    </row>
    <row r="2478" spans="1:15" ht="120.6" hidden="1" customHeight="1">
      <c r="A2478" s="1156">
        <v>45</v>
      </c>
      <c r="B2478" s="1825" t="s">
        <v>3458</v>
      </c>
      <c r="C2478" s="1825"/>
      <c r="D2478" s="1825"/>
      <c r="E2478" s="1825"/>
      <c r="F2478" s="1825"/>
      <c r="G2478" s="1825"/>
      <c r="H2478" s="1825"/>
      <c r="I2478" s="1157"/>
      <c r="J2478" s="1158"/>
      <c r="K2478" s="1156"/>
      <c r="L2478" s="1156"/>
      <c r="M2478" s="1160"/>
      <c r="N2478" s="1161" t="s">
        <v>2318</v>
      </c>
    </row>
    <row r="2479" spans="1:15" ht="51.75" hidden="1" customHeight="1">
      <c r="A2479" s="1156"/>
      <c r="B2479" s="1825" t="s">
        <v>3439</v>
      </c>
      <c r="C2479" s="1825"/>
      <c r="D2479" s="1825"/>
      <c r="E2479" s="1825"/>
      <c r="F2479" s="1825"/>
      <c r="G2479" s="1825"/>
      <c r="H2479" s="1825"/>
      <c r="I2479" s="1157"/>
      <c r="J2479" s="1158"/>
      <c r="K2479" s="1156"/>
      <c r="L2479" s="1156"/>
      <c r="M2479" s="1160"/>
      <c r="N2479" s="1161"/>
    </row>
    <row r="2480" spans="1:15" s="1170" customFormat="1" ht="16.5" hidden="1" customHeight="1">
      <c r="A2480" s="1156"/>
      <c r="B2480" s="1365" t="s">
        <v>3523</v>
      </c>
      <c r="C2480" s="1351"/>
      <c r="D2480" s="1328" t="s">
        <v>3532</v>
      </c>
      <c r="E2480" s="1352"/>
      <c r="F2480" s="1234"/>
      <c r="G2480" s="1234"/>
      <c r="H2480" s="1235"/>
      <c r="I2480" s="1353"/>
      <c r="J2480" s="1168"/>
      <c r="K2480" s="1169"/>
      <c r="L2480" s="1156"/>
      <c r="M2480" s="1169"/>
      <c r="N2480" s="1161" t="s">
        <v>2318</v>
      </c>
    </row>
    <row r="2481" spans="1:15" s="1170" customFormat="1" ht="16.5" hidden="1" customHeight="1">
      <c r="A2481" s="1156"/>
      <c r="B2481" s="1359" t="s">
        <v>1551</v>
      </c>
      <c r="C2481" s="1360">
        <v>1</v>
      </c>
      <c r="D2481" s="1361" t="s">
        <v>273</v>
      </c>
      <c r="E2481" s="1362">
        <v>5</v>
      </c>
      <c r="F2481" s="1363">
        <v>1.2</v>
      </c>
      <c r="G2481" s="1363">
        <v>0</v>
      </c>
      <c r="H2481" s="1363">
        <v>1.2</v>
      </c>
      <c r="I2481" s="1336">
        <f>ROUND(IF(AND(F2481:H2481),C2481*E2481*F2481*G2481*H2481,IF(AND(F2481,G2481),C2481*E2481*F2481*G2481,IF(AND(F2481,H2481),C2481*E2481*F2481*H2481,IF(AND(G2481,H2481),C2481*E2481*G2481*H2481,IF(F2481,C2481*E2481*F2481,IF(G2481,C2481*E2481*G2481,IF(H2481,C2481*E2481*H2481,C2481*E2481))))))),2)</f>
        <v>7.2</v>
      </c>
      <c r="J2481" s="1168" t="s">
        <v>102</v>
      </c>
      <c r="K2481" s="1169"/>
      <c r="L2481" s="1156"/>
      <c r="M2481" s="1169"/>
      <c r="N2481" s="1161" t="s">
        <v>2318</v>
      </c>
    </row>
    <row r="2482" spans="1:15" s="1170" customFormat="1" ht="16.5" hidden="1" customHeight="1">
      <c r="A2482" s="1156"/>
      <c r="B2482" s="1331"/>
      <c r="C2482" s="1332"/>
      <c r="D2482" s="1333"/>
      <c r="E2482" s="1334"/>
      <c r="F2482" s="1335"/>
      <c r="G2482" s="1335"/>
      <c r="H2482" s="1335"/>
      <c r="I2482" s="1336"/>
      <c r="J2482" s="1168"/>
      <c r="K2482" s="1169"/>
      <c r="L2482" s="1156"/>
      <c r="M2482" s="1169"/>
      <c r="N2482" s="1161" t="s">
        <v>2318</v>
      </c>
    </row>
    <row r="2483" spans="1:15" ht="15.75" hidden="1">
      <c r="A2483" s="1156"/>
      <c r="B2483" s="1169"/>
      <c r="C2483" s="1337"/>
      <c r="D2483" s="1171"/>
      <c r="E2483" s="1165"/>
      <c r="F2483" s="1166"/>
      <c r="G2483" s="1343"/>
      <c r="H2483" s="1156"/>
      <c r="I2483" s="1336"/>
      <c r="J2483" s="1168" t="s">
        <v>102</v>
      </c>
      <c r="K2483" s="1221">
        <f>'D&amp;W data'!H940</f>
        <v>8622</v>
      </c>
      <c r="L2483" s="1159" t="s">
        <v>2318</v>
      </c>
      <c r="M2483" s="1224">
        <f>ROUND(I2483*K2483,0)</f>
        <v>0</v>
      </c>
      <c r="N2483" s="1161" t="s">
        <v>2318</v>
      </c>
    </row>
    <row r="2484" spans="1:15" s="1170" customFormat="1" ht="16.5" hidden="1" customHeight="1">
      <c r="A2484" s="1156"/>
      <c r="B2484" s="1169" t="s">
        <v>3721</v>
      </c>
      <c r="C2484" s="1351"/>
      <c r="D2484" s="1548" t="s">
        <v>3745</v>
      </c>
      <c r="E2484" s="1352"/>
      <c r="F2484" s="1234"/>
      <c r="G2484" s="1234" t="s">
        <v>3722</v>
      </c>
      <c r="H2484" s="1235"/>
      <c r="I2484" s="1353"/>
      <c r="J2484" s="1168"/>
      <c r="K2484" s="1169"/>
      <c r="L2484" s="1156"/>
      <c r="M2484" s="1169"/>
      <c r="N2484" s="1161" t="s">
        <v>2318</v>
      </c>
    </row>
    <row r="2485" spans="1:15" s="1170" customFormat="1" ht="16.5" hidden="1" customHeight="1">
      <c r="A2485" s="1156"/>
      <c r="B2485" s="1359" t="s">
        <v>3126</v>
      </c>
      <c r="C2485" s="1360">
        <v>1</v>
      </c>
      <c r="D2485" s="1361" t="s">
        <v>273</v>
      </c>
      <c r="E2485" s="1362">
        <v>11</v>
      </c>
      <c r="F2485" s="1363">
        <v>1.2</v>
      </c>
      <c r="G2485" s="1363">
        <v>0</v>
      </c>
      <c r="H2485" s="1363">
        <v>1.2</v>
      </c>
      <c r="I2485" s="1336">
        <f>ROUND(IF(AND(F2485:H2485),C2485*E2485*F2485*G2485*H2485,IF(AND(F2485,G2485),C2485*E2485*F2485*G2485,IF(AND(F2485,H2485),C2485*E2485*F2485*H2485,IF(AND(G2485,H2485),C2485*E2485*G2485*H2485,IF(F2485,C2485*E2485*F2485,IF(G2485,C2485*E2485*G2485,IF(H2485,C2485*E2485*H2485,C2485*E2485))))))),2)</f>
        <v>15.84</v>
      </c>
      <c r="J2485" s="1168" t="s">
        <v>102</v>
      </c>
      <c r="K2485" s="1169"/>
      <c r="L2485" s="1156"/>
      <c r="M2485" s="1169"/>
      <c r="N2485" s="1161" t="s">
        <v>2318</v>
      </c>
    </row>
    <row r="2486" spans="1:15" s="1170" customFormat="1" ht="16.5" hidden="1" customHeight="1">
      <c r="A2486" s="1156"/>
      <c r="B2486" s="1331"/>
      <c r="C2486" s="1332"/>
      <c r="D2486" s="1333"/>
      <c r="E2486" s="1334"/>
      <c r="F2486" s="1335"/>
      <c r="G2486" s="1335"/>
      <c r="H2486" s="1335"/>
      <c r="I2486" s="1336"/>
      <c r="J2486" s="1168"/>
      <c r="K2486" s="1169"/>
      <c r="L2486" s="1156"/>
      <c r="M2486" s="1169"/>
      <c r="N2486" s="1161" t="s">
        <v>2318</v>
      </c>
    </row>
    <row r="2487" spans="1:15" ht="15.75" hidden="1">
      <c r="A2487" s="1156"/>
      <c r="B2487" s="1169"/>
      <c r="C2487" s="1337"/>
      <c r="D2487" s="1171"/>
      <c r="E2487" s="1165"/>
      <c r="F2487" s="1166"/>
      <c r="G2487" s="1343"/>
      <c r="H2487" s="1156"/>
      <c r="I2487" s="1336"/>
      <c r="J2487" s="1168" t="s">
        <v>102</v>
      </c>
      <c r="K2487" s="1221">
        <f>'D&amp;W data'!H938</f>
        <v>6460</v>
      </c>
      <c r="L2487" s="1159" t="s">
        <v>2318</v>
      </c>
      <c r="M2487" s="1224">
        <f>ROUND(I2487*K2487,0)</f>
        <v>0</v>
      </c>
      <c r="N2487" s="1161" t="s">
        <v>2318</v>
      </c>
    </row>
    <row r="2488" spans="1:15" s="1170" customFormat="1" ht="16.5" hidden="1" customHeight="1">
      <c r="A2488" s="1156">
        <v>3</v>
      </c>
      <c r="B2488" s="1169" t="s">
        <v>3511</v>
      </c>
      <c r="C2488" s="1351"/>
      <c r="D2488" s="1418"/>
      <c r="E2488" s="1352"/>
      <c r="F2488" s="1234"/>
      <c r="G2488" s="1234"/>
      <c r="H2488" s="1235"/>
      <c r="I2488" s="1353"/>
      <c r="J2488" s="1168"/>
      <c r="K2488" s="1169"/>
      <c r="L2488" s="1156"/>
      <c r="M2488" s="1169"/>
      <c r="N2488" s="1161" t="s">
        <v>2318</v>
      </c>
    </row>
    <row r="2489" spans="1:15" s="1170" customFormat="1" ht="16.5" hidden="1" customHeight="1">
      <c r="A2489" s="1156"/>
      <c r="B2489" s="1359" t="s">
        <v>3126</v>
      </c>
      <c r="C2489" s="1360">
        <v>1</v>
      </c>
      <c r="D2489" s="1361" t="s">
        <v>273</v>
      </c>
      <c r="E2489" s="1362">
        <v>1</v>
      </c>
      <c r="F2489" s="1363">
        <v>1.5</v>
      </c>
      <c r="G2489" s="1363">
        <v>0</v>
      </c>
      <c r="H2489" s="1363">
        <v>1.35</v>
      </c>
      <c r="I2489" s="1336">
        <f>ROUND(IF(AND(F2489:H2489),C2489*E2489*F2489*G2489*H2489,IF(AND(F2489,G2489),C2489*E2489*F2489*G2489,IF(AND(F2489,H2489),C2489*E2489*F2489*H2489,IF(AND(G2489,H2489),C2489*E2489*G2489*H2489,IF(F2489,C2489*E2489*F2489,IF(G2489,C2489*E2489*G2489,IF(H2489,C2489*E2489*H2489,C2489*E2489))))))),2)</f>
        <v>2.0299999999999998</v>
      </c>
      <c r="J2489" s="1168" t="s">
        <v>102</v>
      </c>
      <c r="K2489" s="1169"/>
      <c r="L2489" s="1156"/>
      <c r="M2489" s="1169"/>
      <c r="N2489" s="1161" t="s">
        <v>2318</v>
      </c>
      <c r="O2489" s="1334">
        <v>1</v>
      </c>
    </row>
    <row r="2490" spans="1:15" s="1170" customFormat="1" ht="16.5" hidden="1" customHeight="1">
      <c r="A2490" s="1156"/>
      <c r="B2490" s="1331"/>
      <c r="C2490" s="1332"/>
      <c r="D2490" s="1333"/>
      <c r="E2490" s="1334"/>
      <c r="F2490" s="1335"/>
      <c r="G2490" s="1335"/>
      <c r="H2490" s="1335"/>
      <c r="I2490" s="1336"/>
      <c r="J2490" s="1168"/>
      <c r="K2490" s="1169"/>
      <c r="L2490" s="1156"/>
      <c r="M2490" s="1169"/>
      <c r="N2490" s="1161" t="s">
        <v>2318</v>
      </c>
      <c r="O2490" s="1334"/>
    </row>
    <row r="2491" spans="1:15" ht="15.75" hidden="1">
      <c r="A2491" s="1156"/>
      <c r="B2491" s="1169"/>
      <c r="C2491" s="1337"/>
      <c r="D2491" s="1171"/>
      <c r="E2491" s="1165"/>
      <c r="F2491" s="1166"/>
      <c r="G2491" s="1343"/>
      <c r="H2491" s="1156"/>
      <c r="I2491" s="1336"/>
      <c r="J2491" s="1168" t="s">
        <v>102</v>
      </c>
      <c r="K2491" s="1221">
        <f>'D&amp;W data'!H942</f>
        <v>6238</v>
      </c>
      <c r="L2491" s="1159" t="s">
        <v>2318</v>
      </c>
      <c r="M2491" s="1224">
        <f>ROUND(I2491*K2491,0)</f>
        <v>0</v>
      </c>
      <c r="N2491" s="1161" t="s">
        <v>2318</v>
      </c>
    </row>
    <row r="2492" spans="1:15" ht="27" hidden="1" customHeight="1">
      <c r="A2492" s="1156">
        <v>6</v>
      </c>
      <c r="B2492" s="1826" t="s">
        <v>2293</v>
      </c>
      <c r="C2492" s="1826"/>
      <c r="D2492" s="1826"/>
      <c r="E2492" s="1826"/>
      <c r="F2492" s="1826"/>
      <c r="G2492" s="1826"/>
      <c r="H2492" s="1826"/>
      <c r="I2492" s="1157"/>
      <c r="J2492" s="1158"/>
      <c r="K2492" s="1156"/>
      <c r="L2492" s="1156"/>
      <c r="M2492" s="1160"/>
      <c r="N2492" s="1161" t="s">
        <v>2318</v>
      </c>
    </row>
    <row r="2493" spans="1:15" s="1170" customFormat="1" ht="16.5" hidden="1" customHeight="1">
      <c r="A2493" s="1156"/>
      <c r="B2493" s="1230" t="s">
        <v>2342</v>
      </c>
      <c r="C2493" s="1351"/>
      <c r="D2493" s="1418"/>
      <c r="E2493" s="1352"/>
      <c r="F2493" s="1234"/>
      <c r="G2493" s="1234"/>
      <c r="H2493" s="1235"/>
      <c r="I2493" s="1353"/>
      <c r="J2493" s="1168"/>
      <c r="K2493" s="1169"/>
      <c r="L2493" s="1156"/>
      <c r="M2493" s="1169"/>
      <c r="N2493" s="1161" t="s">
        <v>2318</v>
      </c>
    </row>
    <row r="2494" spans="1:15" s="1170" customFormat="1" ht="16.5" hidden="1" customHeight="1">
      <c r="A2494" s="1156"/>
      <c r="B2494" s="1331"/>
      <c r="C2494" s="1332">
        <v>1</v>
      </c>
      <c r="D2494" s="1333" t="s">
        <v>273</v>
      </c>
      <c r="E2494" s="1334">
        <v>1</v>
      </c>
      <c r="F2494" s="1335">
        <v>1.2</v>
      </c>
      <c r="G2494" s="1335">
        <v>0</v>
      </c>
      <c r="H2494" s="1335">
        <v>0.3</v>
      </c>
      <c r="I2494" s="1336">
        <f>ROUND(IF(AND(F2494:H2494),C2494*E2494*F2494*G2494*H2494,IF(AND(F2494,G2494),C2494*E2494*F2494*G2494,IF(AND(F2494,H2494),C2494*E2494*F2494*H2494,IF(AND(G2494,H2494),C2494*E2494*G2494*H2494,IF(F2494,C2494*E2494*F2494,IF(G2494,C2494*E2494*G2494,IF(H2494,C2494*E2494*H2494,C2494*E2494))))))),2)</f>
        <v>0.36</v>
      </c>
      <c r="J2494" s="1168" t="s">
        <v>102</v>
      </c>
      <c r="K2494" s="1169"/>
      <c r="L2494" s="1156"/>
      <c r="M2494" s="1169"/>
      <c r="N2494" s="1161" t="s">
        <v>2318</v>
      </c>
    </row>
    <row r="2495" spans="1:15" s="1170" customFormat="1" ht="16.5" hidden="1" customHeight="1">
      <c r="A2495" s="1156"/>
      <c r="B2495" s="1331"/>
      <c r="C2495" s="1332"/>
      <c r="D2495" s="1333"/>
      <c r="E2495" s="1334"/>
      <c r="F2495" s="1335"/>
      <c r="G2495" s="1335"/>
      <c r="H2495" s="1335"/>
      <c r="I2495" s="1336"/>
      <c r="J2495" s="1168"/>
      <c r="K2495" s="1169"/>
      <c r="L2495" s="1156"/>
      <c r="M2495" s="1169"/>
      <c r="N2495" s="1161" t="s">
        <v>2318</v>
      </c>
    </row>
    <row r="2496" spans="1:15" ht="15.75" hidden="1">
      <c r="A2496" s="1156"/>
      <c r="B2496" s="1169"/>
      <c r="C2496" s="1337"/>
      <c r="D2496" s="1171"/>
      <c r="E2496" s="1165"/>
      <c r="F2496" s="1166"/>
      <c r="G2496" s="1343"/>
      <c r="H2496" s="1156"/>
      <c r="I2496" s="1336"/>
      <c r="J2496" s="1168" t="s">
        <v>102</v>
      </c>
      <c r="K2496" s="1221">
        <f>'D&amp;W data'!H945</f>
        <v>4062</v>
      </c>
      <c r="L2496" s="1159" t="s">
        <v>2318</v>
      </c>
      <c r="M2496" s="1224">
        <f>ROUND(I2496*K2496,0)</f>
        <v>0</v>
      </c>
      <c r="N2496" s="1161" t="s">
        <v>2318</v>
      </c>
    </row>
    <row r="2497" spans="1:14" ht="27" hidden="1" customHeight="1">
      <c r="A2497" s="1156">
        <v>6</v>
      </c>
      <c r="B2497" s="1826" t="s">
        <v>1200</v>
      </c>
      <c r="C2497" s="1826"/>
      <c r="D2497" s="1826"/>
      <c r="E2497" s="1826"/>
      <c r="F2497" s="1826"/>
      <c r="G2497" s="1826"/>
      <c r="H2497" s="1826"/>
      <c r="I2497" s="1157"/>
      <c r="J2497" s="1158"/>
      <c r="K2497" s="1156"/>
      <c r="L2497" s="1156"/>
      <c r="M2497" s="1160"/>
      <c r="N2497" s="1161" t="s">
        <v>2318</v>
      </c>
    </row>
    <row r="2498" spans="1:14" s="1170" customFormat="1" ht="16.5" hidden="1" customHeight="1">
      <c r="A2498" s="1156"/>
      <c r="B2498" s="1230" t="s">
        <v>2342</v>
      </c>
      <c r="C2498" s="1351"/>
      <c r="D2498" s="1418"/>
      <c r="E2498" s="1352"/>
      <c r="F2498" s="1234"/>
      <c r="G2498" s="1234"/>
      <c r="H2498" s="1235"/>
      <c r="I2498" s="1353"/>
      <c r="J2498" s="1168"/>
      <c r="K2498" s="1169"/>
      <c r="L2498" s="1156"/>
      <c r="M2498" s="1169"/>
      <c r="N2498" s="1161" t="s">
        <v>2318</v>
      </c>
    </row>
    <row r="2499" spans="1:14" s="1170" customFormat="1" ht="16.5" hidden="1" customHeight="1">
      <c r="A2499" s="1156"/>
      <c r="B2499" s="1331"/>
      <c r="C2499" s="1332">
        <v>1</v>
      </c>
      <c r="D2499" s="1333" t="s">
        <v>273</v>
      </c>
      <c r="E2499" s="1334">
        <v>16</v>
      </c>
      <c r="F2499" s="1335">
        <v>0</v>
      </c>
      <c r="G2499" s="1335">
        <v>0</v>
      </c>
      <c r="H2499" s="1335">
        <v>0</v>
      </c>
      <c r="I2499" s="1421">
        <f>ROUND(IF(AND(F2499:H2499),C2499*E2499*F2499*G2499*H2499,IF(AND(F2499,G2499),C2499*E2499*F2499*G2499,IF(AND(F2499,H2499),C2499*E2499*F2499*H2499,IF(AND(G2499,H2499),C2499*E2499*G2499*H2499,IF(F2499,C2499*E2499*F2499,IF(G2499,C2499*E2499*G2499,IF(H2499,C2499*E2499*H2499,C2499*E2499))))))),2)</f>
        <v>16</v>
      </c>
      <c r="J2499" s="1168" t="s">
        <v>115</v>
      </c>
      <c r="K2499" s="1169"/>
      <c r="L2499" s="1156"/>
      <c r="M2499" s="1169"/>
      <c r="N2499" s="1161" t="s">
        <v>2318</v>
      </c>
    </row>
    <row r="2500" spans="1:14" s="1170" customFormat="1" ht="16.5" hidden="1" customHeight="1">
      <c r="A2500" s="1156"/>
      <c r="B2500" s="1331"/>
      <c r="C2500" s="1332"/>
      <c r="D2500" s="1333"/>
      <c r="E2500" s="1334"/>
      <c r="F2500" s="1335"/>
      <c r="G2500" s="1335"/>
      <c r="H2500" s="1335"/>
      <c r="I2500" s="1421"/>
      <c r="J2500" s="1168"/>
      <c r="K2500" s="1169"/>
      <c r="L2500" s="1156"/>
      <c r="M2500" s="1169"/>
      <c r="N2500" s="1161" t="s">
        <v>2318</v>
      </c>
    </row>
    <row r="2501" spans="1:14" ht="15.75" hidden="1">
      <c r="A2501" s="1156"/>
      <c r="B2501" s="1169"/>
      <c r="C2501" s="1337"/>
      <c r="D2501" s="1171"/>
      <c r="E2501" s="1165"/>
      <c r="F2501" s="1166"/>
      <c r="G2501" s="1343"/>
      <c r="H2501" s="1156"/>
      <c r="I2501" s="1421"/>
      <c r="J2501" s="1168" t="s">
        <v>115</v>
      </c>
      <c r="K2501" s="1221">
        <f>'D&amp;W data'!H905</f>
        <v>576.98</v>
      </c>
      <c r="L2501" s="1159" t="s">
        <v>2318</v>
      </c>
      <c r="M2501" s="1224">
        <f>ROUND(I2501*K2501,0)</f>
        <v>0</v>
      </c>
      <c r="N2501" s="1161" t="s">
        <v>2318</v>
      </c>
    </row>
    <row r="2502" spans="1:14" ht="27" hidden="1" customHeight="1">
      <c r="A2502" s="1156">
        <v>30</v>
      </c>
      <c r="B2502" s="1826" t="s">
        <v>932</v>
      </c>
      <c r="C2502" s="1826"/>
      <c r="D2502" s="1828"/>
      <c r="E2502" s="1826"/>
      <c r="F2502" s="1826"/>
      <c r="G2502" s="1826"/>
      <c r="H2502" s="1826"/>
      <c r="I2502" s="1157"/>
      <c r="J2502" s="1158"/>
      <c r="K2502" s="1156"/>
      <c r="L2502" s="1156"/>
      <c r="M2502" s="1160"/>
      <c r="N2502" s="1161" t="s">
        <v>2318</v>
      </c>
    </row>
    <row r="2503" spans="1:14" s="1170" customFormat="1" ht="16.5" hidden="1" customHeight="1">
      <c r="A2503" s="1156"/>
      <c r="B2503" s="1169" t="s">
        <v>3395</v>
      </c>
      <c r="C2503" s="1351"/>
      <c r="D2503" s="1171"/>
      <c r="E2503" s="1352"/>
      <c r="F2503" s="1234"/>
      <c r="G2503" s="1234"/>
      <c r="H2503" s="1235"/>
      <c r="I2503" s="1353"/>
      <c r="J2503" s="1168"/>
      <c r="K2503" s="1169"/>
      <c r="L2503" s="1156"/>
      <c r="M2503" s="1169"/>
      <c r="N2503" s="1161" t="s">
        <v>2318</v>
      </c>
    </row>
    <row r="2504" spans="1:14" s="1170" customFormat="1" ht="16.5" hidden="1" customHeight="1">
      <c r="A2504" s="1156"/>
      <c r="B2504" s="1331"/>
      <c r="C2504" s="1332">
        <v>1</v>
      </c>
      <c r="D2504" s="1333" t="s">
        <v>273</v>
      </c>
      <c r="E2504" s="1334">
        <v>11</v>
      </c>
      <c r="F2504" s="1335">
        <v>0.6</v>
      </c>
      <c r="G2504" s="1335">
        <v>0</v>
      </c>
      <c r="H2504" s="1335">
        <v>0.3</v>
      </c>
      <c r="I2504" s="1336">
        <f>ROUND(IF(AND(F2504:H2504),C2504*E2504*F2504*G2504*H2504,IF(AND(F2504,G2504),C2504*E2504*F2504*G2504,IF(AND(F2504,H2504),C2504*E2504*F2504*H2504,IF(AND(G2504,H2504),C2504*E2504*G2504*H2504,IF(F2504,C2504*E2504*F2504,IF(G2504,C2504*E2504*G2504,IF(H2504,C2504*E2504*H2504,C2504*E2504))))))),2)</f>
        <v>1.98</v>
      </c>
      <c r="J2504" s="1168" t="s">
        <v>102</v>
      </c>
      <c r="K2504" s="1169"/>
      <c r="L2504" s="1156"/>
      <c r="M2504" s="1169"/>
      <c r="N2504" s="1161" t="s">
        <v>2318</v>
      </c>
    </row>
    <row r="2505" spans="1:14" s="1170" customFormat="1" ht="16.5" hidden="1" customHeight="1">
      <c r="A2505" s="1156"/>
      <c r="B2505" s="1331"/>
      <c r="C2505" s="1332"/>
      <c r="D2505" s="1333"/>
      <c r="E2505" s="1334"/>
      <c r="F2505" s="1335"/>
      <c r="G2505" s="1335"/>
      <c r="H2505" s="1335"/>
      <c r="I2505" s="1336"/>
      <c r="J2505" s="1168"/>
      <c r="K2505" s="1169"/>
      <c r="L2505" s="1156"/>
      <c r="M2505" s="1169"/>
      <c r="N2505" s="1161" t="s">
        <v>2318</v>
      </c>
    </row>
    <row r="2506" spans="1:14" ht="15.75" hidden="1">
      <c r="A2506" s="1156"/>
      <c r="B2506" s="1169"/>
      <c r="C2506" s="1337"/>
      <c r="D2506" s="1171"/>
      <c r="E2506" s="1165"/>
      <c r="F2506" s="1166"/>
      <c r="G2506" s="1343"/>
      <c r="H2506" s="1156"/>
      <c r="I2506" s="1336"/>
      <c r="J2506" s="1168" t="s">
        <v>102</v>
      </c>
      <c r="K2506" s="1221">
        <f>'D&amp;W data'!H911</f>
        <v>604.07999999999993</v>
      </c>
      <c r="L2506" s="1159" t="s">
        <v>2318</v>
      </c>
      <c r="M2506" s="1224">
        <f>ROUND(I2506*K2506,0)</f>
        <v>0</v>
      </c>
      <c r="N2506" s="1161" t="s">
        <v>2318</v>
      </c>
    </row>
    <row r="2507" spans="1:14" ht="46.5" hidden="1" customHeight="1">
      <c r="A2507" s="1156">
        <v>31</v>
      </c>
      <c r="B2507" s="1826" t="s">
        <v>185</v>
      </c>
      <c r="C2507" s="1826"/>
      <c r="D2507" s="1828"/>
      <c r="E2507" s="1826"/>
      <c r="F2507" s="1826"/>
      <c r="G2507" s="1826"/>
      <c r="H2507" s="1826"/>
      <c r="I2507" s="1157"/>
      <c r="J2507" s="1158"/>
      <c r="K2507" s="1156"/>
      <c r="L2507" s="1156"/>
      <c r="M2507" s="1160"/>
      <c r="N2507" s="1161" t="s">
        <v>2318</v>
      </c>
    </row>
    <row r="2508" spans="1:14" s="1170" customFormat="1" ht="16.5" hidden="1" customHeight="1">
      <c r="A2508" s="1156"/>
      <c r="B2508" s="1169" t="s">
        <v>3395</v>
      </c>
      <c r="C2508" s="1351"/>
      <c r="D2508" s="1171"/>
      <c r="E2508" s="1352"/>
      <c r="F2508" s="1234"/>
      <c r="G2508" s="1234"/>
      <c r="H2508" s="1235"/>
      <c r="I2508" s="1353"/>
      <c r="J2508" s="1168"/>
      <c r="K2508" s="1169"/>
      <c r="L2508" s="1156"/>
      <c r="M2508" s="1169"/>
      <c r="N2508" s="1161" t="s">
        <v>2318</v>
      </c>
    </row>
    <row r="2509" spans="1:14" s="1170" customFormat="1" ht="16.5" hidden="1" customHeight="1">
      <c r="A2509" s="1156"/>
      <c r="B2509" s="1359"/>
      <c r="C2509" s="1157">
        <v>1</v>
      </c>
      <c r="D2509" s="1171" t="s">
        <v>273</v>
      </c>
      <c r="E2509" s="1165">
        <v>11</v>
      </c>
      <c r="F2509" s="1166">
        <v>32</v>
      </c>
      <c r="G2509" s="1166">
        <v>0</v>
      </c>
      <c r="H2509" s="1166">
        <v>0</v>
      </c>
      <c r="I2509" s="1172">
        <f>ROUND(IF(AND(F2509:H2509),C2509*E2509*F2509*G2509*H2509,IF(AND(F2509,G2509),C2509*E2509*F2509*G2509,IF(AND(F2509,H2509),C2509*E2509*F2509*H2509,IF(AND(G2509,H2509),C2509*E2509*G2509*H2509,IF(F2509,C2509*E2509*F2509,IF(G2509,C2509*E2509*G2509,IF(H2509,C2509*E2509*H2509,C2509*E2509))))))),2)</f>
        <v>352</v>
      </c>
      <c r="J2509" s="1168" t="s">
        <v>141</v>
      </c>
      <c r="K2509" s="1169"/>
      <c r="L2509" s="1156"/>
      <c r="M2509" s="1169"/>
      <c r="N2509" s="1161" t="s">
        <v>2318</v>
      </c>
    </row>
    <row r="2510" spans="1:14" s="1170" customFormat="1" ht="16.5" hidden="1" customHeight="1">
      <c r="A2510" s="1156"/>
      <c r="B2510" s="1331"/>
      <c r="C2510" s="1332"/>
      <c r="D2510" s="1333"/>
      <c r="E2510" s="1334"/>
      <c r="F2510" s="1335"/>
      <c r="G2510" s="1335"/>
      <c r="H2510" s="1335"/>
      <c r="I2510" s="1336"/>
      <c r="J2510" s="1168"/>
      <c r="K2510" s="1169"/>
      <c r="L2510" s="1156"/>
      <c r="M2510" s="1169"/>
      <c r="N2510" s="1161" t="s">
        <v>2318</v>
      </c>
    </row>
    <row r="2511" spans="1:14" ht="15.75" hidden="1">
      <c r="A2511" s="1156"/>
      <c r="B2511" s="1169"/>
      <c r="C2511" s="1337"/>
      <c r="D2511" s="1171"/>
      <c r="E2511" s="1165"/>
      <c r="F2511" s="1166"/>
      <c r="G2511" s="1343"/>
      <c r="H2511" s="1156"/>
      <c r="I2511" s="1336"/>
      <c r="J2511" s="1168" t="s">
        <v>4</v>
      </c>
      <c r="K2511" s="1221">
        <f>data!G3056</f>
        <v>110.99</v>
      </c>
      <c r="L2511" s="1159" t="s">
        <v>2318</v>
      </c>
      <c r="M2511" s="1224">
        <f>ROUND(I2511*K2511,0)</f>
        <v>0</v>
      </c>
      <c r="N2511" s="1161" t="s">
        <v>2318</v>
      </c>
    </row>
    <row r="2512" spans="1:14" ht="65.25" hidden="1" customHeight="1">
      <c r="A2512" s="1156">
        <v>7</v>
      </c>
      <c r="B2512" s="1826" t="s">
        <v>933</v>
      </c>
      <c r="C2512" s="1826"/>
      <c r="D2512" s="1826"/>
      <c r="E2512" s="1826"/>
      <c r="F2512" s="1826"/>
      <c r="G2512" s="1826"/>
      <c r="H2512" s="1826"/>
      <c r="I2512" s="1157"/>
      <c r="J2512" s="1158"/>
      <c r="K2512" s="1156"/>
      <c r="L2512" s="1156"/>
      <c r="M2512" s="1160"/>
      <c r="N2512" s="1161" t="s">
        <v>2318</v>
      </c>
    </row>
    <row r="2513" spans="1:14" s="1170" customFormat="1" ht="16.5" hidden="1" customHeight="1">
      <c r="A2513" s="1156"/>
      <c r="B2513" s="1169" t="s">
        <v>2344</v>
      </c>
      <c r="C2513" s="1351"/>
      <c r="D2513" s="1418"/>
      <c r="E2513" s="1352"/>
      <c r="F2513" s="1234"/>
      <c r="G2513" s="1234"/>
      <c r="H2513" s="1235"/>
      <c r="I2513" s="1353"/>
      <c r="J2513" s="1168"/>
      <c r="K2513" s="1169"/>
      <c r="L2513" s="1156"/>
      <c r="M2513" s="1169"/>
      <c r="N2513" s="1161" t="s">
        <v>2318</v>
      </c>
    </row>
    <row r="2514" spans="1:14" s="1170" customFormat="1" ht="16.5" hidden="1" customHeight="1">
      <c r="A2514" s="1156"/>
      <c r="B2514" s="1359" t="s">
        <v>1537</v>
      </c>
      <c r="C2514" s="1360">
        <v>1</v>
      </c>
      <c r="D2514" s="1361" t="s">
        <v>273</v>
      </c>
      <c r="E2514" s="1362">
        <v>11</v>
      </c>
      <c r="F2514" s="1363">
        <v>1.5</v>
      </c>
      <c r="G2514" s="1363">
        <v>0</v>
      </c>
      <c r="H2514" s="1363">
        <v>1.35</v>
      </c>
      <c r="I2514" s="1336">
        <f>ROUND(IF(AND(F2514:H2514),C2514*E2514*F2514*G2514*H2514,IF(AND(F2514,G2514),C2514*E2514*F2514*G2514,IF(AND(F2514,H2514),C2514*E2514*F2514*H2514,IF(AND(G2514,H2514),C2514*E2514*G2514*H2514,IF(F2514,C2514*E2514*F2514,IF(G2514,C2514*E2514*G2514,IF(H2514,C2514*E2514*H2514,C2514*E2514))))))),2)</f>
        <v>22.28</v>
      </c>
      <c r="J2514" s="1168" t="s">
        <v>102</v>
      </c>
      <c r="K2514" s="1169"/>
      <c r="L2514" s="1156"/>
      <c r="M2514" s="1169"/>
      <c r="N2514" s="1161" t="s">
        <v>2318</v>
      </c>
    </row>
    <row r="2515" spans="1:14" s="1170" customFormat="1" ht="16.5" hidden="1" customHeight="1">
      <c r="A2515" s="1156"/>
      <c r="B2515" s="1359"/>
      <c r="C2515" s="1360">
        <v>1</v>
      </c>
      <c r="D2515" s="1361" t="s">
        <v>273</v>
      </c>
      <c r="E2515" s="1362">
        <v>1</v>
      </c>
      <c r="F2515" s="1363">
        <v>1.59</v>
      </c>
      <c r="G2515" s="1363">
        <v>0</v>
      </c>
      <c r="H2515" s="1363">
        <v>1.35</v>
      </c>
      <c r="I2515" s="1336">
        <f>ROUND(IF(AND(F2515:H2515),C2515*E2515*F2515*G2515*H2515,IF(AND(F2515,G2515),C2515*E2515*F2515*G2515,IF(AND(F2515,H2515),C2515*E2515*F2515*H2515,IF(AND(G2515,H2515),C2515*E2515*G2515*H2515,IF(F2515,C2515*E2515*F2515,IF(G2515,C2515*E2515*G2515,IF(H2515,C2515*E2515*H2515,C2515*E2515))))))),2)</f>
        <v>2.15</v>
      </c>
      <c r="J2515" s="1168" t="s">
        <v>102</v>
      </c>
      <c r="K2515" s="1169"/>
      <c r="L2515" s="1156"/>
      <c r="M2515" s="1169"/>
      <c r="N2515" s="1161" t="s">
        <v>2318</v>
      </c>
    </row>
    <row r="2516" spans="1:14" s="1170" customFormat="1" ht="16.5" hidden="1" customHeight="1">
      <c r="A2516" s="1156"/>
      <c r="B2516" s="1359"/>
      <c r="C2516" s="1360">
        <v>1</v>
      </c>
      <c r="D2516" s="1361" t="s">
        <v>273</v>
      </c>
      <c r="E2516" s="1362">
        <v>2</v>
      </c>
      <c r="F2516" s="1363">
        <v>1.5</v>
      </c>
      <c r="G2516" s="1363">
        <v>0</v>
      </c>
      <c r="H2516" s="1363">
        <v>1.35</v>
      </c>
      <c r="I2516" s="1336">
        <f>ROUND(IF(AND(F2516:H2516),C2516*E2516*F2516*G2516*H2516,IF(AND(F2516,G2516),C2516*E2516*F2516*G2516,IF(AND(F2516,H2516),C2516*E2516*F2516*H2516,IF(AND(G2516,H2516),C2516*E2516*G2516*H2516,IF(F2516,C2516*E2516*F2516,IF(G2516,C2516*E2516*G2516,IF(H2516,C2516*E2516*H2516,C2516*E2516))))))),2)</f>
        <v>4.05</v>
      </c>
      <c r="J2516" s="1168" t="s">
        <v>102</v>
      </c>
      <c r="K2516" s="1169"/>
      <c r="L2516" s="1156"/>
      <c r="M2516" s="1169"/>
      <c r="N2516" s="1161" t="s">
        <v>2318</v>
      </c>
    </row>
    <row r="2517" spans="1:14" s="1170" customFormat="1" ht="16.5" hidden="1" customHeight="1">
      <c r="A2517" s="1156"/>
      <c r="B2517" s="1331"/>
      <c r="C2517" s="1332"/>
      <c r="D2517" s="1333"/>
      <c r="E2517" s="1334"/>
      <c r="F2517" s="1335"/>
      <c r="G2517" s="1335"/>
      <c r="H2517" s="1335"/>
      <c r="I2517" s="1336"/>
      <c r="J2517" s="1168"/>
      <c r="K2517" s="1169"/>
      <c r="L2517" s="1156"/>
      <c r="M2517" s="1169"/>
      <c r="N2517" s="1161" t="s">
        <v>2318</v>
      </c>
    </row>
    <row r="2518" spans="1:14" ht="15.75" hidden="1">
      <c r="A2518" s="1156"/>
      <c r="B2518" s="1169"/>
      <c r="C2518" s="1337"/>
      <c r="D2518" s="1171"/>
      <c r="E2518" s="1165"/>
      <c r="F2518" s="1166"/>
      <c r="G2518" s="1343"/>
      <c r="H2518" s="1156"/>
      <c r="I2518" s="1336"/>
      <c r="J2518" s="1168" t="s">
        <v>102</v>
      </c>
      <c r="K2518" s="1221">
        <f>data!G3064</f>
        <v>3138.49</v>
      </c>
      <c r="L2518" s="1159" t="s">
        <v>2318</v>
      </c>
      <c r="M2518" s="1224">
        <f>ROUND(I2518*K2518,0)</f>
        <v>0</v>
      </c>
      <c r="N2518" s="1161" t="s">
        <v>2318</v>
      </c>
    </row>
    <row r="2519" spans="1:14" ht="42.75" hidden="1" customHeight="1">
      <c r="A2519" s="1156">
        <v>51</v>
      </c>
      <c r="B2519" s="1826" t="s">
        <v>626</v>
      </c>
      <c r="C2519" s="1826"/>
      <c r="D2519" s="1826"/>
      <c r="E2519" s="1826"/>
      <c r="F2519" s="1826"/>
      <c r="G2519" s="1826"/>
      <c r="H2519" s="1826"/>
      <c r="I2519" s="1157"/>
      <c r="J2519" s="1158"/>
      <c r="K2519" s="1156"/>
      <c r="L2519" s="1156"/>
      <c r="M2519" s="1160"/>
      <c r="N2519" s="1161" t="s">
        <v>2318</v>
      </c>
    </row>
    <row r="2520" spans="1:14" s="1170" customFormat="1" ht="16.5" hidden="1" customHeight="1">
      <c r="A2520" s="1156"/>
      <c r="B2520" s="1230" t="s">
        <v>2345</v>
      </c>
      <c r="C2520" s="1351"/>
      <c r="D2520" s="1418"/>
      <c r="E2520" s="1352"/>
      <c r="F2520" s="1234"/>
      <c r="G2520" s="1234"/>
      <c r="H2520" s="1235"/>
      <c r="I2520" s="1353"/>
      <c r="J2520" s="1168"/>
      <c r="K2520" s="1169"/>
      <c r="L2520" s="1156"/>
      <c r="M2520" s="1169"/>
      <c r="N2520" s="1161" t="s">
        <v>2318</v>
      </c>
    </row>
    <row r="2521" spans="1:14" s="1170" customFormat="1" ht="16.5" hidden="1" customHeight="1">
      <c r="A2521" s="1156"/>
      <c r="B2521" s="1331" t="s">
        <v>661</v>
      </c>
      <c r="C2521" s="1332">
        <v>1</v>
      </c>
      <c r="D2521" s="1333" t="s">
        <v>273</v>
      </c>
      <c r="E2521" s="1334">
        <v>1</v>
      </c>
      <c r="F2521" s="1550">
        <v>58.6</v>
      </c>
      <c r="G2521" s="1335">
        <v>0</v>
      </c>
      <c r="H2521" s="1335">
        <v>0</v>
      </c>
      <c r="I2521" s="1336">
        <f>ROUND(IF(AND(F2521:H2521),C2521*E2521*F2521*G2521*H2521,IF(AND(F2521,G2521),C2521*E2521*F2521*G2521,IF(AND(F2521,H2521),C2521*E2521*F2521*H2521,IF(AND(G2521,H2521),C2521*E2521*G2521*H2521,IF(F2521,C2521*E2521*F2521,IF(G2521,C2521*E2521*G2521,IF(H2521,C2521*E2521*H2521,C2521*E2521))))))),2)</f>
        <v>58.6</v>
      </c>
      <c r="J2521" s="1168" t="s">
        <v>141</v>
      </c>
      <c r="K2521" s="1169"/>
      <c r="L2521" s="1156"/>
      <c r="M2521" s="1169"/>
      <c r="N2521" s="1161" t="s">
        <v>2318</v>
      </c>
    </row>
    <row r="2522" spans="1:14" s="1170" customFormat="1" ht="16.5" hidden="1" customHeight="1">
      <c r="A2522" s="1156"/>
      <c r="B2522" s="1331"/>
      <c r="C2522" s="1332"/>
      <c r="D2522" s="1333"/>
      <c r="E2522" s="1334"/>
      <c r="F2522" s="1550"/>
      <c r="G2522" s="1335"/>
      <c r="H2522" s="1335"/>
      <c r="I2522" s="1336"/>
      <c r="J2522" s="1168"/>
      <c r="K2522" s="1169"/>
      <c r="L2522" s="1156"/>
      <c r="M2522" s="1169"/>
      <c r="N2522" s="1161" t="s">
        <v>2318</v>
      </c>
    </row>
    <row r="2523" spans="1:14" ht="15.75" hidden="1">
      <c r="A2523" s="1156"/>
      <c r="B2523" s="1169"/>
      <c r="C2523" s="1337"/>
      <c r="D2523" s="1171"/>
      <c r="E2523" s="1165"/>
      <c r="F2523" s="1166"/>
      <c r="G2523" s="1343"/>
      <c r="H2523" s="1156"/>
      <c r="I2523" s="1336"/>
      <c r="J2523" s="1168" t="s">
        <v>141</v>
      </c>
      <c r="K2523" s="1221">
        <f>data!G3071</f>
        <v>126.9</v>
      </c>
      <c r="L2523" s="1159" t="s">
        <v>2318</v>
      </c>
      <c r="M2523" s="1224">
        <f>ROUND(I2523*K2523,0)</f>
        <v>0</v>
      </c>
      <c r="N2523" s="1161" t="s">
        <v>2318</v>
      </c>
    </row>
    <row r="2524" spans="1:14" ht="132" hidden="1" customHeight="1">
      <c r="A2524" s="1156">
        <v>6</v>
      </c>
      <c r="B2524" s="1826" t="s">
        <v>928</v>
      </c>
      <c r="C2524" s="1826"/>
      <c r="D2524" s="1826"/>
      <c r="E2524" s="1826"/>
      <c r="F2524" s="1826"/>
      <c r="G2524" s="1826"/>
      <c r="H2524" s="1826"/>
      <c r="I2524" s="1157"/>
      <c r="J2524" s="1158"/>
      <c r="K2524" s="1156"/>
      <c r="L2524" s="1156"/>
      <c r="M2524" s="1160"/>
      <c r="N2524" s="1161" t="s">
        <v>2318</v>
      </c>
    </row>
    <row r="2525" spans="1:14" s="1170" customFormat="1" ht="16.5" hidden="1" customHeight="1">
      <c r="A2525" s="1156"/>
      <c r="B2525" s="1169" t="s">
        <v>3512</v>
      </c>
      <c r="C2525" s="1351"/>
      <c r="D2525" s="1171" t="s">
        <v>3338</v>
      </c>
      <c r="E2525" s="1352"/>
      <c r="F2525" s="1234"/>
      <c r="G2525" s="1234"/>
      <c r="H2525" s="1235"/>
      <c r="I2525" s="1353"/>
      <c r="J2525" s="1168"/>
      <c r="K2525" s="1169"/>
      <c r="L2525" s="1156"/>
      <c r="M2525" s="1169"/>
      <c r="N2525" s="1161" t="s">
        <v>2318</v>
      </c>
    </row>
    <row r="2526" spans="1:14" s="1170" customFormat="1" ht="16.5" hidden="1" customHeight="1">
      <c r="A2526" s="1156"/>
      <c r="B2526" s="1331"/>
      <c r="C2526" s="1332">
        <v>1</v>
      </c>
      <c r="D2526" s="1333" t="s">
        <v>273</v>
      </c>
      <c r="E2526" s="1334">
        <v>1</v>
      </c>
      <c r="F2526" s="1550">
        <v>3.8</v>
      </c>
      <c r="G2526" s="1335">
        <v>0</v>
      </c>
      <c r="H2526" s="1335">
        <v>0.9</v>
      </c>
      <c r="I2526" s="1336">
        <f t="shared" ref="I2526:I2531" si="164">ROUND(IF(AND(F2526:H2526),C2526*E2526*F2526*G2526*H2526,IF(AND(F2526,G2526),C2526*E2526*F2526*G2526,IF(AND(F2526,H2526),C2526*E2526*F2526*H2526,IF(AND(G2526,H2526),C2526*E2526*G2526*H2526,IF(F2526,C2526*E2526*F2526,IF(G2526,C2526*E2526*G2526,IF(H2526,C2526*E2526*H2526,C2526*E2526))))))),2)</f>
        <v>3.42</v>
      </c>
      <c r="J2526" s="1168" t="s">
        <v>102</v>
      </c>
      <c r="K2526" s="1169"/>
      <c r="L2526" s="1156"/>
      <c r="M2526" s="1169"/>
      <c r="N2526" s="1161" t="s">
        <v>2318</v>
      </c>
    </row>
    <row r="2527" spans="1:14" s="1170" customFormat="1" ht="16.5" hidden="1" customHeight="1">
      <c r="A2527" s="1156"/>
      <c r="B2527" s="1331"/>
      <c r="C2527" s="1332">
        <v>1</v>
      </c>
      <c r="D2527" s="1333" t="s">
        <v>273</v>
      </c>
      <c r="E2527" s="1334">
        <v>1</v>
      </c>
      <c r="F2527" s="1550">
        <v>3.9</v>
      </c>
      <c r="G2527" s="1335">
        <v>0</v>
      </c>
      <c r="H2527" s="1335">
        <v>0.9</v>
      </c>
      <c r="I2527" s="1336">
        <f t="shared" si="164"/>
        <v>3.51</v>
      </c>
      <c r="J2527" s="1168" t="s">
        <v>102</v>
      </c>
      <c r="K2527" s="1169"/>
      <c r="L2527" s="1156"/>
      <c r="M2527" s="1169"/>
      <c r="N2527" s="1161" t="s">
        <v>2318</v>
      </c>
    </row>
    <row r="2528" spans="1:14" s="1170" customFormat="1" ht="16.5" hidden="1" customHeight="1">
      <c r="A2528" s="1156"/>
      <c r="B2528" s="1331"/>
      <c r="C2528" s="1332">
        <v>1</v>
      </c>
      <c r="D2528" s="1333" t="s">
        <v>273</v>
      </c>
      <c r="E2528" s="1334">
        <v>1</v>
      </c>
      <c r="F2528" s="1550">
        <v>4.25</v>
      </c>
      <c r="G2528" s="1335">
        <v>0</v>
      </c>
      <c r="H2528" s="1335">
        <v>0.9</v>
      </c>
      <c r="I2528" s="1336">
        <f t="shared" si="164"/>
        <v>3.83</v>
      </c>
      <c r="J2528" s="1168" t="s">
        <v>102</v>
      </c>
      <c r="K2528" s="1169"/>
      <c r="L2528" s="1156"/>
      <c r="M2528" s="1169"/>
      <c r="N2528" s="1161" t="s">
        <v>2318</v>
      </c>
    </row>
    <row r="2529" spans="1:14" s="1170" customFormat="1" ht="16.5" hidden="1" customHeight="1">
      <c r="A2529" s="1156"/>
      <c r="B2529" s="1331"/>
      <c r="C2529" s="1332">
        <v>1</v>
      </c>
      <c r="D2529" s="1333" t="s">
        <v>273</v>
      </c>
      <c r="E2529" s="1334">
        <v>1</v>
      </c>
      <c r="F2529" s="1550">
        <v>5</v>
      </c>
      <c r="G2529" s="1335">
        <v>0</v>
      </c>
      <c r="H2529" s="1335">
        <v>0.9</v>
      </c>
      <c r="I2529" s="1336">
        <f t="shared" si="164"/>
        <v>4.5</v>
      </c>
      <c r="J2529" s="1168" t="s">
        <v>102</v>
      </c>
      <c r="K2529" s="1169"/>
      <c r="L2529" s="1156"/>
      <c r="M2529" s="1169"/>
      <c r="N2529" s="1161" t="s">
        <v>2318</v>
      </c>
    </row>
    <row r="2530" spans="1:14" s="1170" customFormat="1" ht="16.5" hidden="1" customHeight="1">
      <c r="A2530" s="1156"/>
      <c r="B2530" s="1331"/>
      <c r="C2530" s="1332">
        <v>1</v>
      </c>
      <c r="D2530" s="1333" t="s">
        <v>273</v>
      </c>
      <c r="E2530" s="1334">
        <v>1</v>
      </c>
      <c r="F2530" s="1550">
        <v>3.85</v>
      </c>
      <c r="G2530" s="1335">
        <v>0</v>
      </c>
      <c r="H2530" s="1335">
        <v>0.9</v>
      </c>
      <c r="I2530" s="1336">
        <f t="shared" si="164"/>
        <v>3.47</v>
      </c>
      <c r="J2530" s="1168" t="s">
        <v>102</v>
      </c>
      <c r="K2530" s="1169"/>
      <c r="L2530" s="1156"/>
      <c r="M2530" s="1169"/>
      <c r="N2530" s="1161" t="s">
        <v>2318</v>
      </c>
    </row>
    <row r="2531" spans="1:14" s="1170" customFormat="1" ht="16.5" hidden="1" customHeight="1">
      <c r="A2531" s="1156"/>
      <c r="B2531" s="1331"/>
      <c r="C2531" s="1332">
        <v>1</v>
      </c>
      <c r="D2531" s="1333" t="s">
        <v>273</v>
      </c>
      <c r="E2531" s="1334">
        <v>1</v>
      </c>
      <c r="F2531" s="1550">
        <v>3.5</v>
      </c>
      <c r="G2531" s="1335">
        <v>0</v>
      </c>
      <c r="H2531" s="1335">
        <v>0.9</v>
      </c>
      <c r="I2531" s="1336">
        <f t="shared" si="164"/>
        <v>3.15</v>
      </c>
      <c r="J2531" s="1168" t="s">
        <v>102</v>
      </c>
      <c r="K2531" s="1169"/>
      <c r="L2531" s="1156"/>
      <c r="M2531" s="1169"/>
      <c r="N2531" s="1161" t="s">
        <v>2318</v>
      </c>
    </row>
    <row r="2532" spans="1:14" s="1170" customFormat="1" ht="16.5" hidden="1" customHeight="1">
      <c r="A2532" s="1156"/>
      <c r="B2532" s="1331"/>
      <c r="C2532" s="1332"/>
      <c r="D2532" s="1333"/>
      <c r="E2532" s="1334"/>
      <c r="F2532" s="1550"/>
      <c r="G2532" s="1335"/>
      <c r="H2532" s="1335"/>
      <c r="I2532" s="1336"/>
      <c r="J2532" s="1168"/>
      <c r="K2532" s="1169"/>
      <c r="L2532" s="1156"/>
      <c r="M2532" s="1169"/>
      <c r="N2532" s="1161" t="s">
        <v>2318</v>
      </c>
    </row>
    <row r="2533" spans="1:14" ht="15.75" hidden="1">
      <c r="A2533" s="1156"/>
      <c r="B2533" s="1169"/>
      <c r="C2533" s="1337"/>
      <c r="D2533" s="1171"/>
      <c r="E2533" s="1165"/>
      <c r="F2533" s="1166"/>
      <c r="G2533" s="1343"/>
      <c r="H2533" s="1156"/>
      <c r="I2533" s="1336"/>
      <c r="J2533" s="1168" t="s">
        <v>102</v>
      </c>
      <c r="K2533" s="1221">
        <f>data!G3085</f>
        <v>3345.94</v>
      </c>
      <c r="L2533" s="1159" t="s">
        <v>2318</v>
      </c>
      <c r="M2533" s="1224">
        <f>ROUND(I2533*K2533,0)</f>
        <v>0</v>
      </c>
      <c r="N2533" s="1161" t="s">
        <v>2318</v>
      </c>
    </row>
    <row r="2534" spans="1:14" ht="96.75" hidden="1" customHeight="1">
      <c r="A2534" s="1156">
        <v>4</v>
      </c>
      <c r="B2534" s="1826" t="s">
        <v>1638</v>
      </c>
      <c r="C2534" s="1826"/>
      <c r="D2534" s="1826"/>
      <c r="E2534" s="1826"/>
      <c r="F2534" s="1826"/>
      <c r="G2534" s="1826"/>
      <c r="H2534" s="1826"/>
      <c r="I2534" s="1157"/>
      <c r="J2534" s="1158"/>
      <c r="K2534" s="1156"/>
      <c r="L2534" s="1156"/>
      <c r="M2534" s="1160"/>
      <c r="N2534" s="1161" t="s">
        <v>2318</v>
      </c>
    </row>
    <row r="2535" spans="1:14" s="1170" customFormat="1" ht="16.5" hidden="1" customHeight="1">
      <c r="A2535" s="1156"/>
      <c r="B2535" s="1169" t="s">
        <v>2346</v>
      </c>
      <c r="C2535" s="1351"/>
      <c r="D2535" s="1418"/>
      <c r="E2535" s="1352"/>
      <c r="F2535" s="1234"/>
      <c r="G2535" s="1234"/>
      <c r="H2535" s="1235"/>
      <c r="I2535" s="1353"/>
      <c r="J2535" s="1168"/>
      <c r="K2535" s="1169"/>
      <c r="L2535" s="1156"/>
      <c r="M2535" s="1169"/>
      <c r="N2535" s="1161" t="s">
        <v>2318</v>
      </c>
    </row>
    <row r="2536" spans="1:14" s="1170" customFormat="1" ht="16.5" hidden="1" customHeight="1">
      <c r="A2536" s="1156"/>
      <c r="B2536" s="1331" t="s">
        <v>578</v>
      </c>
      <c r="C2536" s="1332">
        <v>1</v>
      </c>
      <c r="D2536" s="1333" t="s">
        <v>273</v>
      </c>
      <c r="E2536" s="1334">
        <v>1</v>
      </c>
      <c r="F2536" s="1550">
        <v>3.3</v>
      </c>
      <c r="G2536" s="1335">
        <v>0</v>
      </c>
      <c r="H2536" s="1335">
        <v>0.87</v>
      </c>
      <c r="I2536" s="1336">
        <f>ROUND(IF(AND(F2536:H2536),C2536*E2536*F2536*G2536*H2536,IF(AND(F2536,G2536),C2536*E2536*F2536*G2536,IF(AND(F2536,H2536),C2536*E2536*F2536*H2536,IF(AND(G2536,H2536),C2536*E2536*G2536*H2536,IF(F2536,C2536*E2536*F2536,IF(G2536,C2536*E2536*G2536,IF(H2536,C2536*E2536*H2536,C2536*E2536))))))),2)</f>
        <v>2.87</v>
      </c>
      <c r="J2536" s="1168" t="s">
        <v>102</v>
      </c>
      <c r="K2536" s="1169"/>
      <c r="L2536" s="1156"/>
      <c r="M2536" s="1169"/>
      <c r="N2536" s="1161" t="s">
        <v>2318</v>
      </c>
    </row>
    <row r="2537" spans="1:14" s="1170" customFormat="1" ht="16.5" hidden="1" customHeight="1">
      <c r="A2537" s="1156"/>
      <c r="B2537" s="1331"/>
      <c r="C2537" s="1332">
        <v>1</v>
      </c>
      <c r="D2537" s="1333" t="s">
        <v>273</v>
      </c>
      <c r="E2537" s="1334">
        <v>1</v>
      </c>
      <c r="F2537" s="1550">
        <v>1</v>
      </c>
      <c r="G2537" s="1335">
        <v>0</v>
      </c>
      <c r="H2537" s="1335">
        <v>0.87</v>
      </c>
      <c r="I2537" s="1336">
        <f>ROUND(IF(AND(F2537:H2537),C2537*E2537*F2537*G2537*H2537,IF(AND(F2537,G2537),C2537*E2537*F2537*G2537,IF(AND(F2537,H2537),C2537*E2537*F2537*H2537,IF(AND(G2537,H2537),C2537*E2537*G2537*H2537,IF(F2537,C2537*E2537*F2537,IF(G2537,C2537*E2537*G2537,IF(H2537,C2537*E2537*H2537,C2537*E2537))))))),2)</f>
        <v>0.87</v>
      </c>
      <c r="J2537" s="1168" t="s">
        <v>102</v>
      </c>
      <c r="K2537" s="1169"/>
      <c r="L2537" s="1156"/>
      <c r="M2537" s="1169"/>
      <c r="N2537" s="1161" t="s">
        <v>2318</v>
      </c>
    </row>
    <row r="2538" spans="1:14" s="1170" customFormat="1" ht="16.5" hidden="1" customHeight="1">
      <c r="A2538" s="1156"/>
      <c r="B2538" s="1331" t="s">
        <v>654</v>
      </c>
      <c r="C2538" s="1332">
        <v>1</v>
      </c>
      <c r="D2538" s="1333" t="s">
        <v>273</v>
      </c>
      <c r="E2538" s="1334">
        <v>1</v>
      </c>
      <c r="F2538" s="1550">
        <v>1.45</v>
      </c>
      <c r="G2538" s="1335">
        <v>0</v>
      </c>
      <c r="H2538" s="1335">
        <v>0.87</v>
      </c>
      <c r="I2538" s="1336">
        <f>ROUND(IF(AND(F2538:H2538),C2538*E2538*F2538*G2538*H2538,IF(AND(F2538,G2538),C2538*E2538*F2538*G2538,IF(AND(F2538,H2538),C2538*E2538*F2538*H2538,IF(AND(G2538,H2538),C2538*E2538*G2538*H2538,IF(F2538,C2538*E2538*F2538,IF(G2538,C2538*E2538*G2538,IF(H2538,C2538*E2538*H2538,C2538*E2538))))))),2)</f>
        <v>1.26</v>
      </c>
      <c r="J2538" s="1168" t="s">
        <v>102</v>
      </c>
      <c r="K2538" s="1169"/>
      <c r="L2538" s="1156"/>
      <c r="M2538" s="1169"/>
      <c r="N2538" s="1161" t="s">
        <v>2318</v>
      </c>
    </row>
    <row r="2539" spans="1:14" s="1170" customFormat="1" ht="16.5" hidden="1" customHeight="1">
      <c r="A2539" s="1156"/>
      <c r="B2539" s="1331"/>
      <c r="C2539" s="1332">
        <v>1</v>
      </c>
      <c r="D2539" s="1333" t="s">
        <v>273</v>
      </c>
      <c r="E2539" s="1334">
        <v>1</v>
      </c>
      <c r="F2539" s="1550">
        <v>2.57</v>
      </c>
      <c r="G2539" s="1335">
        <v>0</v>
      </c>
      <c r="H2539" s="1335">
        <v>0.87</v>
      </c>
      <c r="I2539" s="1336">
        <f>ROUND(IF(AND(F2539:H2539),C2539*E2539*F2539*G2539*H2539,IF(AND(F2539,G2539),C2539*E2539*F2539*G2539,IF(AND(F2539,H2539),C2539*E2539*F2539*H2539,IF(AND(G2539,H2539),C2539*E2539*G2539*H2539,IF(F2539,C2539*E2539*F2539,IF(G2539,C2539*E2539*G2539,IF(H2539,C2539*E2539*H2539,C2539*E2539))))))),2)</f>
        <v>2.2400000000000002</v>
      </c>
      <c r="J2539" s="1168" t="s">
        <v>102</v>
      </c>
      <c r="K2539" s="1169"/>
      <c r="L2539" s="1156"/>
      <c r="M2539" s="1169"/>
      <c r="N2539" s="1161" t="s">
        <v>2318</v>
      </c>
    </row>
    <row r="2540" spans="1:14" s="1170" customFormat="1" ht="16.5" hidden="1" customHeight="1">
      <c r="A2540" s="1156"/>
      <c r="B2540" s="1331"/>
      <c r="C2540" s="1332"/>
      <c r="D2540" s="1333"/>
      <c r="E2540" s="1334"/>
      <c r="F2540" s="1550"/>
      <c r="G2540" s="1335"/>
      <c r="H2540" s="1335"/>
      <c r="I2540" s="1336"/>
      <c r="J2540" s="1168"/>
      <c r="K2540" s="1169"/>
      <c r="L2540" s="1156"/>
      <c r="M2540" s="1169"/>
      <c r="N2540" s="1161" t="s">
        <v>2318</v>
      </c>
    </row>
    <row r="2541" spans="1:14" ht="15.75" hidden="1">
      <c r="A2541" s="1156"/>
      <c r="B2541" s="1169"/>
      <c r="C2541" s="1337"/>
      <c r="D2541" s="1171"/>
      <c r="E2541" s="1165"/>
      <c r="F2541" s="1166"/>
      <c r="G2541" s="1343"/>
      <c r="H2541" s="1156"/>
      <c r="I2541" s="1336"/>
      <c r="J2541" s="1168" t="s">
        <v>102</v>
      </c>
      <c r="K2541" s="1221">
        <f>data!G3096</f>
        <v>1514.34</v>
      </c>
      <c r="L2541" s="1159" t="s">
        <v>2318</v>
      </c>
      <c r="M2541" s="1224">
        <f>ROUND(I2541*K2541,0)</f>
        <v>0</v>
      </c>
      <c r="N2541" s="1161" t="s">
        <v>2318</v>
      </c>
    </row>
    <row r="2542" spans="1:14" ht="31.5" hidden="1" customHeight="1">
      <c r="A2542" s="1156">
        <v>4</v>
      </c>
      <c r="B2542" s="1826" t="s">
        <v>2295</v>
      </c>
      <c r="C2542" s="1826"/>
      <c r="D2542" s="1826"/>
      <c r="E2542" s="1826"/>
      <c r="F2542" s="1826"/>
      <c r="G2542" s="1826"/>
      <c r="H2542" s="1826"/>
      <c r="I2542" s="1157"/>
      <c r="J2542" s="1158"/>
      <c r="K2542" s="1156"/>
      <c r="L2542" s="1156"/>
      <c r="M2542" s="1160"/>
      <c r="N2542" s="1161" t="s">
        <v>2318</v>
      </c>
    </row>
    <row r="2543" spans="1:14" s="1170" customFormat="1" ht="16.5" hidden="1" customHeight="1">
      <c r="A2543" s="1156"/>
      <c r="B2543" s="1169" t="s">
        <v>2346</v>
      </c>
      <c r="C2543" s="1351"/>
      <c r="D2543" s="1418"/>
      <c r="E2543" s="1352"/>
      <c r="F2543" s="1234"/>
      <c r="G2543" s="1234"/>
      <c r="H2543" s="1235"/>
      <c r="I2543" s="1353"/>
      <c r="J2543" s="1168"/>
      <c r="K2543" s="1169"/>
      <c r="L2543" s="1156"/>
      <c r="M2543" s="1169"/>
      <c r="N2543" s="1161" t="s">
        <v>2318</v>
      </c>
    </row>
    <row r="2544" spans="1:14" s="1170" customFormat="1" ht="16.5" hidden="1" customHeight="1">
      <c r="A2544" s="1156"/>
      <c r="B2544" s="1331"/>
      <c r="C2544" s="1332">
        <v>1</v>
      </c>
      <c r="D2544" s="1333" t="s">
        <v>273</v>
      </c>
      <c r="E2544" s="1334">
        <v>1</v>
      </c>
      <c r="F2544" s="1550">
        <v>0.5</v>
      </c>
      <c r="G2544" s="1335">
        <v>0</v>
      </c>
      <c r="H2544" s="1335">
        <v>0</v>
      </c>
      <c r="I2544" s="1336">
        <f>ROUND(IF(AND(F2544:H2544),C2544*E2544*F2544*G2544*H2544,IF(AND(F2544,G2544),C2544*E2544*F2544*G2544,IF(AND(F2544,H2544),C2544*E2544*F2544*H2544,IF(AND(G2544,H2544),C2544*E2544*G2544*H2544,IF(F2544,C2544*E2544*F2544,IF(G2544,C2544*E2544*G2544,IF(H2544,C2544*E2544*H2544,C2544*E2544))))))),2)</f>
        <v>0.5</v>
      </c>
      <c r="J2544" s="1168" t="s">
        <v>4</v>
      </c>
      <c r="K2544" s="1169"/>
      <c r="L2544" s="1156"/>
      <c r="M2544" s="1169"/>
      <c r="N2544" s="1161" t="s">
        <v>2318</v>
      </c>
    </row>
    <row r="2545" spans="1:14" s="1170" customFormat="1" ht="16.5" hidden="1" customHeight="1">
      <c r="A2545" s="1156"/>
      <c r="B2545" s="1331"/>
      <c r="C2545" s="1332"/>
      <c r="D2545" s="1333"/>
      <c r="E2545" s="1334"/>
      <c r="F2545" s="1550"/>
      <c r="G2545" s="1335"/>
      <c r="H2545" s="1335"/>
      <c r="I2545" s="1336"/>
      <c r="J2545" s="1168"/>
      <c r="K2545" s="1169"/>
      <c r="L2545" s="1156"/>
      <c r="M2545" s="1169"/>
      <c r="N2545" s="1161" t="s">
        <v>2318</v>
      </c>
    </row>
    <row r="2546" spans="1:14" ht="15.75" hidden="1">
      <c r="A2546" s="1156"/>
      <c r="B2546" s="1169"/>
      <c r="C2546" s="1337"/>
      <c r="D2546" s="1171"/>
      <c r="E2546" s="1165"/>
      <c r="F2546" s="1166"/>
      <c r="G2546" s="1343"/>
      <c r="H2546" s="1156"/>
      <c r="I2546" s="1336"/>
      <c r="J2546" s="1168" t="s">
        <v>4</v>
      </c>
      <c r="K2546" s="1221">
        <f>data!G3100</f>
        <v>568.35</v>
      </c>
      <c r="L2546" s="1159" t="s">
        <v>2318</v>
      </c>
      <c r="M2546" s="1224">
        <f>ROUND(I2546*K2546,0)</f>
        <v>0</v>
      </c>
      <c r="N2546" s="1161" t="s">
        <v>2318</v>
      </c>
    </row>
    <row r="2547" spans="1:14" ht="30.75" hidden="1" customHeight="1">
      <c r="A2547" s="1156">
        <v>7</v>
      </c>
      <c r="B2547" s="1826" t="s">
        <v>958</v>
      </c>
      <c r="C2547" s="1826"/>
      <c r="D2547" s="1826"/>
      <c r="E2547" s="1826"/>
      <c r="F2547" s="1826"/>
      <c r="G2547" s="1826"/>
      <c r="H2547" s="1826"/>
      <c r="I2547" s="1157"/>
      <c r="J2547" s="1158"/>
      <c r="K2547" s="1156"/>
      <c r="L2547" s="1156"/>
      <c r="M2547" s="1160"/>
      <c r="N2547" s="1161" t="s">
        <v>2318</v>
      </c>
    </row>
    <row r="2548" spans="1:14" s="1170" customFormat="1" ht="16.5" hidden="1" customHeight="1">
      <c r="A2548" s="1156"/>
      <c r="B2548" s="1169" t="s">
        <v>2107</v>
      </c>
      <c r="C2548" s="1351"/>
      <c r="D2548" s="1418"/>
      <c r="E2548" s="1352"/>
      <c r="F2548" s="1234"/>
      <c r="G2548" s="1234"/>
      <c r="H2548" s="1235"/>
      <c r="I2548" s="1353"/>
      <c r="J2548" s="1168"/>
      <c r="K2548" s="1169"/>
      <c r="L2548" s="1156"/>
      <c r="M2548" s="1169"/>
      <c r="N2548" s="1161" t="s">
        <v>2318</v>
      </c>
    </row>
    <row r="2549" spans="1:14" s="1170" customFormat="1" ht="16.5" hidden="1" customHeight="1">
      <c r="A2549" s="1156"/>
      <c r="B2549" s="1331" t="s">
        <v>939</v>
      </c>
      <c r="C2549" s="1332">
        <v>1</v>
      </c>
      <c r="D2549" s="1333" t="s">
        <v>273</v>
      </c>
      <c r="E2549" s="1334">
        <v>11</v>
      </c>
      <c r="F2549" s="1550">
        <v>1.25</v>
      </c>
      <c r="G2549" s="1335">
        <v>0</v>
      </c>
      <c r="H2549" s="1335">
        <v>0</v>
      </c>
      <c r="I2549" s="1336">
        <f>ROUND(IF(AND(F2549:H2549),C2549*E2549*F2549*G2549*H2549,IF(AND(F2549,G2549),C2549*E2549*F2549*G2549,IF(AND(F2549,H2549),C2549*E2549*F2549*H2549,IF(AND(G2549,H2549),C2549*E2549*G2549*H2549,IF(F2549,C2549*E2549*F2549,IF(G2549,C2549*E2549*G2549,IF(H2549,C2549*E2549*H2549,C2549*E2549))))))),2)</f>
        <v>13.75</v>
      </c>
      <c r="J2549" s="1168" t="s">
        <v>277</v>
      </c>
      <c r="K2549" s="1169"/>
      <c r="L2549" s="1156"/>
      <c r="M2549" s="1169"/>
      <c r="N2549" s="1161" t="s">
        <v>2318</v>
      </c>
    </row>
    <row r="2550" spans="1:14" s="1170" customFormat="1" ht="16.5" hidden="1" customHeight="1">
      <c r="A2550" s="1156"/>
      <c r="B2550" s="1331" t="s">
        <v>940</v>
      </c>
      <c r="C2550" s="1332">
        <v>1</v>
      </c>
      <c r="D2550" s="1333" t="s">
        <v>273</v>
      </c>
      <c r="E2550" s="1334">
        <v>11</v>
      </c>
      <c r="F2550" s="1550">
        <v>1.25</v>
      </c>
      <c r="G2550" s="1335">
        <v>0</v>
      </c>
      <c r="H2550" s="1335">
        <v>0</v>
      </c>
      <c r="I2550" s="1336">
        <f>ROUND(IF(AND(F2550:H2550),C2550*E2550*F2550*G2550*H2550,IF(AND(F2550,G2550),C2550*E2550*F2550*G2550,IF(AND(F2550,H2550),C2550*E2550*F2550*H2550,IF(AND(G2550,H2550),C2550*E2550*G2550*H2550,IF(F2550,C2550*E2550*F2550,IF(G2550,C2550*E2550*G2550,IF(H2550,C2550*E2550*H2550,C2550*E2550))))))),2)</f>
        <v>13.75</v>
      </c>
      <c r="J2550" s="1168" t="s">
        <v>277</v>
      </c>
      <c r="K2550" s="1169"/>
      <c r="L2550" s="1156"/>
      <c r="M2550" s="1169"/>
      <c r="N2550" s="1161" t="s">
        <v>2318</v>
      </c>
    </row>
    <row r="2551" spans="1:14" s="1170" customFormat="1" ht="16.5" hidden="1" customHeight="1">
      <c r="A2551" s="1156"/>
      <c r="B2551" s="1230" t="s">
        <v>584</v>
      </c>
      <c r="C2551" s="1351"/>
      <c r="D2551" s="1418"/>
      <c r="E2551" s="1352"/>
      <c r="F2551" s="1234"/>
      <c r="G2551" s="1234"/>
      <c r="H2551" s="1235"/>
      <c r="I2551" s="1353"/>
      <c r="J2551" s="1168"/>
      <c r="K2551" s="1169"/>
      <c r="L2551" s="1156"/>
      <c r="M2551" s="1169"/>
      <c r="N2551" s="1161" t="s">
        <v>2318</v>
      </c>
    </row>
    <row r="2552" spans="1:14" s="1170" customFormat="1" ht="16.5" hidden="1" customHeight="1">
      <c r="A2552" s="1156"/>
      <c r="B2552" s="1331" t="s">
        <v>939</v>
      </c>
      <c r="C2552" s="1332">
        <v>1</v>
      </c>
      <c r="D2552" s="1333" t="s">
        <v>273</v>
      </c>
      <c r="E2552" s="1334">
        <v>7</v>
      </c>
      <c r="F2552" s="1550">
        <v>1.25</v>
      </c>
      <c r="G2552" s="1335">
        <v>0</v>
      </c>
      <c r="H2552" s="1335">
        <v>0</v>
      </c>
      <c r="I2552" s="1336">
        <f>ROUND(IF(AND(F2552:H2552),C2552*E2552*F2552*G2552*H2552,IF(AND(F2552,G2552),C2552*E2552*F2552*G2552,IF(AND(F2552,H2552),C2552*E2552*F2552*H2552,IF(AND(G2552,H2552),C2552*E2552*G2552*H2552,IF(F2552,C2552*E2552*F2552,IF(G2552,C2552*E2552*G2552,IF(H2552,C2552*E2552*H2552,C2552*E2552))))))),2)</f>
        <v>8.75</v>
      </c>
      <c r="J2552" s="1168" t="s">
        <v>277</v>
      </c>
      <c r="K2552" s="1169"/>
      <c r="L2552" s="1156"/>
      <c r="M2552" s="1169"/>
      <c r="N2552" s="1161" t="s">
        <v>2318</v>
      </c>
    </row>
    <row r="2553" spans="1:14" s="1170" customFormat="1" ht="16.5" hidden="1" customHeight="1">
      <c r="A2553" s="1156"/>
      <c r="B2553" s="1331"/>
      <c r="C2553" s="1332"/>
      <c r="D2553" s="1333"/>
      <c r="E2553" s="1334"/>
      <c r="F2553" s="1550"/>
      <c r="G2553" s="1335"/>
      <c r="H2553" s="1335"/>
      <c r="I2553" s="1336"/>
      <c r="J2553" s="1168"/>
      <c r="K2553" s="1169"/>
      <c r="L2553" s="1156"/>
      <c r="M2553" s="1169"/>
      <c r="N2553" s="1161" t="s">
        <v>2318</v>
      </c>
    </row>
    <row r="2554" spans="1:14" ht="15.75" hidden="1">
      <c r="A2554" s="1156"/>
      <c r="B2554" s="1169"/>
      <c r="C2554" s="1337"/>
      <c r="D2554" s="1171"/>
      <c r="E2554" s="1165"/>
      <c r="F2554" s="1166"/>
      <c r="G2554" s="1343"/>
      <c r="H2554" s="1156"/>
      <c r="I2554" s="1336"/>
      <c r="J2554" s="1168" t="s">
        <v>277</v>
      </c>
      <c r="K2554" s="1221">
        <f>data!G3375</f>
        <v>453</v>
      </c>
      <c r="L2554" s="1159" t="s">
        <v>2318</v>
      </c>
      <c r="M2554" s="1224">
        <f>ROUND(I2554*K2554,0)</f>
        <v>0</v>
      </c>
      <c r="N2554" s="1161" t="s">
        <v>2318</v>
      </c>
    </row>
    <row r="2555" spans="1:14" s="1320" customFormat="1" ht="15.75" hidden="1">
      <c r="A2555" s="1212"/>
      <c r="B2555" s="1212" t="s">
        <v>2511</v>
      </c>
      <c r="C2555" s="1212"/>
      <c r="D2555" s="1212"/>
      <c r="E2555" s="1212"/>
      <c r="F2555" s="1240"/>
      <c r="G2555" s="1240"/>
      <c r="H2555" s="1212"/>
      <c r="I2555" s="1546"/>
      <c r="J2555" s="1547"/>
      <c r="K2555" s="1212"/>
      <c r="L2555" s="1212"/>
      <c r="M2555" s="1212"/>
      <c r="N2555" s="1161"/>
    </row>
    <row r="2556" spans="1:14" ht="63.75" hidden="1" customHeight="1">
      <c r="A2556" s="1156">
        <v>1</v>
      </c>
      <c r="B2556" s="1826" t="s">
        <v>308</v>
      </c>
      <c r="C2556" s="1826"/>
      <c r="D2556" s="1826"/>
      <c r="E2556" s="1826"/>
      <c r="F2556" s="1826"/>
      <c r="G2556" s="1826"/>
      <c r="H2556" s="1826"/>
      <c r="I2556" s="1157"/>
      <c r="J2556" s="1158"/>
      <c r="K2556" s="1156"/>
      <c r="L2556" s="1156"/>
      <c r="M2556" s="1160"/>
      <c r="N2556" s="1161" t="s">
        <v>2218</v>
      </c>
    </row>
    <row r="2557" spans="1:14" s="1170" customFormat="1" ht="16.5" hidden="1" customHeight="1">
      <c r="A2557" s="1156"/>
      <c r="B2557" s="1169" t="s">
        <v>3512</v>
      </c>
      <c r="C2557" s="1351"/>
      <c r="D2557" s="1418"/>
      <c r="E2557" s="1352"/>
      <c r="F2557" s="1234"/>
      <c r="G2557" s="1234"/>
      <c r="H2557" s="1235"/>
      <c r="I2557" s="1353"/>
      <c r="J2557" s="1357"/>
      <c r="K2557" s="1169"/>
      <c r="L2557" s="1156"/>
      <c r="M2557" s="1169"/>
      <c r="N2557" s="1161" t="s">
        <v>2218</v>
      </c>
    </row>
    <row r="2558" spans="1:14" s="1170" customFormat="1" ht="16.5" hidden="1" customHeight="1">
      <c r="A2558" s="1156"/>
      <c r="B2558" s="1331"/>
      <c r="C2558" s="1332">
        <v>1</v>
      </c>
      <c r="D2558" s="1333" t="s">
        <v>273</v>
      </c>
      <c r="E2558" s="1334">
        <v>1</v>
      </c>
      <c r="F2558" s="1335">
        <v>10</v>
      </c>
      <c r="G2558" s="1335">
        <v>0</v>
      </c>
      <c r="H2558" s="1335">
        <v>0</v>
      </c>
      <c r="I2558" s="1336">
        <f>ROUND(IF(AND(F2558:H2558),C2558*E2558*F2558*G2558*H2558,IF(AND(F2558,G2558),C2558*E2558*F2558*G2558,IF(AND(F2558,H2558),C2558*E2558*F2558*H2558,IF(AND(G2558,H2558),C2558*E2558*G2558*H2558,IF(F2558,C2558*E2558*F2558,IF(G2558,C2558*E2558*G2558,IF(H2558,C2558*E2558*H2558,C2558*E2558))))))),2)</f>
        <v>10</v>
      </c>
      <c r="J2558" s="1357" t="s">
        <v>277</v>
      </c>
      <c r="K2558" s="1169"/>
      <c r="L2558" s="1156"/>
      <c r="M2558" s="1169"/>
      <c r="N2558" s="1161" t="s">
        <v>2218</v>
      </c>
    </row>
    <row r="2559" spans="1:14" s="1170" customFormat="1" ht="16.5" hidden="1" customHeight="1">
      <c r="A2559" s="1156"/>
      <c r="B2559" s="1331"/>
      <c r="C2559" s="1332"/>
      <c r="D2559" s="1333"/>
      <c r="E2559" s="1334"/>
      <c r="F2559" s="1335"/>
      <c r="G2559" s="1335"/>
      <c r="H2559" s="1335"/>
      <c r="I2559" s="1336"/>
      <c r="J2559" s="1357"/>
      <c r="K2559" s="1169"/>
      <c r="L2559" s="1156"/>
      <c r="M2559" s="1169"/>
      <c r="N2559" s="1161" t="s">
        <v>2218</v>
      </c>
    </row>
    <row r="2560" spans="1:14" ht="15.75" hidden="1">
      <c r="A2560" s="1156"/>
      <c r="B2560" s="1169"/>
      <c r="C2560" s="1337"/>
      <c r="D2560" s="1171"/>
      <c r="E2560" s="1165"/>
      <c r="F2560" s="1166"/>
      <c r="G2560" s="1343"/>
      <c r="H2560" s="1156"/>
      <c r="I2560" s="1336"/>
      <c r="J2560" s="1357" t="s">
        <v>277</v>
      </c>
      <c r="K2560" s="1221">
        <f>'SANITATION DTA'!G82</f>
        <v>193</v>
      </c>
      <c r="L2560" s="1159" t="s">
        <v>2218</v>
      </c>
      <c r="M2560" s="1224">
        <f>ROUND(I2560*K2560,0)</f>
        <v>0</v>
      </c>
      <c r="N2560" s="1161" t="s">
        <v>2218</v>
      </c>
    </row>
    <row r="2561" spans="1:14" ht="63.75" hidden="1" customHeight="1">
      <c r="A2561" s="1156">
        <v>1</v>
      </c>
      <c r="B2561" s="1826" t="s">
        <v>309</v>
      </c>
      <c r="C2561" s="1826"/>
      <c r="D2561" s="1826"/>
      <c r="E2561" s="1826"/>
      <c r="F2561" s="1826"/>
      <c r="G2561" s="1826"/>
      <c r="H2561" s="1826"/>
      <c r="I2561" s="1157"/>
      <c r="J2561" s="1158"/>
      <c r="K2561" s="1156"/>
      <c r="L2561" s="1156"/>
      <c r="M2561" s="1160"/>
      <c r="N2561" s="1161" t="s">
        <v>2218</v>
      </c>
    </row>
    <row r="2562" spans="1:14" s="1170" customFormat="1" ht="16.5" hidden="1" customHeight="1">
      <c r="A2562" s="1156"/>
      <c r="B2562" s="1169" t="s">
        <v>2348</v>
      </c>
      <c r="C2562" s="1351"/>
      <c r="D2562" s="1418"/>
      <c r="E2562" s="1352"/>
      <c r="F2562" s="1234"/>
      <c r="G2562" s="1234"/>
      <c r="H2562" s="1235"/>
      <c r="I2562" s="1353"/>
      <c r="J2562" s="1357"/>
      <c r="K2562" s="1169"/>
      <c r="L2562" s="1156"/>
      <c r="M2562" s="1169"/>
      <c r="N2562" s="1161" t="s">
        <v>2218</v>
      </c>
    </row>
    <row r="2563" spans="1:14" s="1170" customFormat="1" ht="16.5" hidden="1" customHeight="1">
      <c r="A2563" s="1156"/>
      <c r="B2563" s="1359"/>
      <c r="C2563" s="1360">
        <v>1</v>
      </c>
      <c r="D2563" s="1361" t="s">
        <v>273</v>
      </c>
      <c r="E2563" s="1362">
        <v>1</v>
      </c>
      <c r="F2563" s="1401">
        <v>45</v>
      </c>
      <c r="G2563" s="1363">
        <v>0</v>
      </c>
      <c r="H2563" s="1363">
        <v>0</v>
      </c>
      <c r="I2563" s="1336">
        <f>ROUND(IF(AND(F2563:H2563),C2563*E2563*F2563*G2563*H2563,IF(AND(F2563,G2563),C2563*E2563*F2563*G2563,IF(AND(F2563,H2563),C2563*E2563*F2563*H2563,IF(AND(G2563,H2563),C2563*E2563*G2563*H2563,IF(F2563,C2563*E2563*F2563,IF(G2563,C2563*E2563*G2563,IF(H2563,C2563*E2563*H2563,C2563*E2563))))))),2)</f>
        <v>45</v>
      </c>
      <c r="J2563" s="1357" t="s">
        <v>277</v>
      </c>
      <c r="K2563" s="1169"/>
      <c r="L2563" s="1156"/>
      <c r="M2563" s="1169"/>
      <c r="N2563" s="1161" t="s">
        <v>2218</v>
      </c>
    </row>
    <row r="2564" spans="1:14" s="1170" customFormat="1" ht="16.5" hidden="1" customHeight="1">
      <c r="A2564" s="1156"/>
      <c r="B2564" s="1331"/>
      <c r="C2564" s="1332"/>
      <c r="D2564" s="1333"/>
      <c r="E2564" s="1334"/>
      <c r="F2564" s="1335"/>
      <c r="G2564" s="1335"/>
      <c r="H2564" s="1335"/>
      <c r="I2564" s="1336"/>
      <c r="J2564" s="1357"/>
      <c r="K2564" s="1169"/>
      <c r="L2564" s="1156"/>
      <c r="M2564" s="1169"/>
      <c r="N2564" s="1161" t="s">
        <v>2218</v>
      </c>
    </row>
    <row r="2565" spans="1:14" ht="15.75" hidden="1">
      <c r="A2565" s="1156"/>
      <c r="B2565" s="1169"/>
      <c r="C2565" s="1337"/>
      <c r="D2565" s="1171"/>
      <c r="E2565" s="1165"/>
      <c r="F2565" s="1166"/>
      <c r="G2565" s="1343"/>
      <c r="H2565" s="1156"/>
      <c r="I2565" s="1336"/>
      <c r="J2565" s="1357" t="s">
        <v>277</v>
      </c>
      <c r="K2565" s="1221">
        <f>'SANITATION DTA'!G79</f>
        <v>123</v>
      </c>
      <c r="L2565" s="1159" t="s">
        <v>2218</v>
      </c>
      <c r="M2565" s="1224">
        <f>ROUND(I2565*K2565,0)</f>
        <v>0</v>
      </c>
      <c r="N2565" s="1161" t="s">
        <v>2218</v>
      </c>
    </row>
    <row r="2566" spans="1:14" ht="63.75" hidden="1" customHeight="1">
      <c r="A2566" s="1156">
        <v>10</v>
      </c>
      <c r="B2566" s="1826" t="s">
        <v>1639</v>
      </c>
      <c r="C2566" s="1826"/>
      <c r="D2566" s="1826"/>
      <c r="E2566" s="1826"/>
      <c r="F2566" s="1826"/>
      <c r="G2566" s="1826"/>
      <c r="H2566" s="1826"/>
      <c r="I2566" s="1157"/>
      <c r="J2566" s="1158"/>
      <c r="K2566" s="1156"/>
      <c r="L2566" s="1156"/>
      <c r="M2566" s="1160"/>
      <c r="N2566" s="1161" t="s">
        <v>2218</v>
      </c>
    </row>
    <row r="2567" spans="1:14" s="1170" customFormat="1" ht="16.5" hidden="1" customHeight="1">
      <c r="A2567" s="1156"/>
      <c r="B2567" s="1365" t="s">
        <v>2334</v>
      </c>
      <c r="C2567" s="1351"/>
      <c r="D2567" s="1418"/>
      <c r="E2567" s="1352"/>
      <c r="F2567" s="1234"/>
      <c r="G2567" s="1234"/>
      <c r="H2567" s="1235"/>
      <c r="I2567" s="1353"/>
      <c r="J2567" s="1357"/>
      <c r="K2567" s="1169"/>
      <c r="L2567" s="1156"/>
      <c r="M2567" s="1169"/>
      <c r="N2567" s="1161" t="s">
        <v>2218</v>
      </c>
    </row>
    <row r="2568" spans="1:14" s="1170" customFormat="1" ht="16.5" hidden="1" customHeight="1">
      <c r="A2568" s="1156"/>
      <c r="B2568" s="1331"/>
      <c r="C2568" s="1332">
        <v>1</v>
      </c>
      <c r="D2568" s="1333" t="s">
        <v>273</v>
      </c>
      <c r="E2568" s="1334">
        <v>1</v>
      </c>
      <c r="F2568" s="1550">
        <v>11</v>
      </c>
      <c r="G2568" s="1335">
        <v>0</v>
      </c>
      <c r="H2568" s="1335">
        <v>0</v>
      </c>
      <c r="I2568" s="1336">
        <f>ROUND(IF(AND(F2568:H2568),C2568*E2568*F2568*G2568*H2568,IF(AND(F2568,G2568),C2568*E2568*F2568*G2568,IF(AND(F2568,H2568),C2568*E2568*F2568*H2568,IF(AND(G2568,H2568),C2568*E2568*G2568*H2568,IF(F2568,C2568*E2568*F2568,IF(G2568,C2568*E2568*G2568,IF(H2568,C2568*E2568*H2568,C2568*E2568))))))),2)</f>
        <v>11</v>
      </c>
      <c r="J2568" s="1357" t="s">
        <v>277</v>
      </c>
      <c r="K2568" s="1169"/>
      <c r="L2568" s="1156"/>
      <c r="M2568" s="1169"/>
      <c r="N2568" s="1161" t="s">
        <v>2218</v>
      </c>
    </row>
    <row r="2569" spans="1:14" s="1170" customFormat="1" ht="16.5" hidden="1" customHeight="1">
      <c r="A2569" s="1156"/>
      <c r="B2569" s="1331"/>
      <c r="C2569" s="1332"/>
      <c r="D2569" s="1333"/>
      <c r="E2569" s="1334"/>
      <c r="F2569" s="1335"/>
      <c r="G2569" s="1335"/>
      <c r="H2569" s="1335"/>
      <c r="I2569" s="1336"/>
      <c r="J2569" s="1357"/>
      <c r="K2569" s="1169"/>
      <c r="L2569" s="1156"/>
      <c r="M2569" s="1169"/>
      <c r="N2569" s="1161" t="s">
        <v>2218</v>
      </c>
    </row>
    <row r="2570" spans="1:14" ht="15.75" hidden="1">
      <c r="A2570" s="1156"/>
      <c r="B2570" s="1169"/>
      <c r="C2570" s="1337"/>
      <c r="D2570" s="1171"/>
      <c r="E2570" s="1165"/>
      <c r="F2570" s="1166"/>
      <c r="G2570" s="1343"/>
      <c r="H2570" s="1156"/>
      <c r="I2570" s="1336"/>
      <c r="J2570" s="1357" t="s">
        <v>277</v>
      </c>
      <c r="K2570" s="1221">
        <f>'SANITATION DTA'!G76</f>
        <v>85</v>
      </c>
      <c r="L2570" s="1159" t="s">
        <v>2218</v>
      </c>
      <c r="M2570" s="1224">
        <f>ROUND(I2570*K2570,0)</f>
        <v>0</v>
      </c>
      <c r="N2570" s="1161" t="s">
        <v>2218</v>
      </c>
    </row>
    <row r="2571" spans="1:14" ht="41.25" hidden="1" customHeight="1">
      <c r="A2571" s="1156">
        <v>2</v>
      </c>
      <c r="B2571" s="1826" t="s">
        <v>1253</v>
      </c>
      <c r="C2571" s="1826"/>
      <c r="D2571" s="1826"/>
      <c r="E2571" s="1826"/>
      <c r="F2571" s="1826"/>
      <c r="G2571" s="1826"/>
      <c r="H2571" s="1826"/>
      <c r="I2571" s="1157"/>
      <c r="J2571" s="1158"/>
      <c r="K2571" s="1156"/>
      <c r="L2571" s="1156"/>
      <c r="M2571" s="1160"/>
      <c r="N2571" s="1161" t="s">
        <v>2218</v>
      </c>
    </row>
    <row r="2572" spans="1:14" s="1170" customFormat="1" ht="16.5" hidden="1" customHeight="1">
      <c r="A2572" s="1156"/>
      <c r="B2572" s="1169" t="s">
        <v>2326</v>
      </c>
      <c r="C2572" s="1351"/>
      <c r="D2572" s="1418"/>
      <c r="E2572" s="1352"/>
      <c r="F2572" s="1234"/>
      <c r="G2572" s="1234"/>
      <c r="H2572" s="1235"/>
      <c r="I2572" s="1353"/>
      <c r="J2572" s="1357"/>
      <c r="K2572" s="1169"/>
      <c r="L2572" s="1156"/>
      <c r="M2572" s="1169"/>
      <c r="N2572" s="1161" t="s">
        <v>2218</v>
      </c>
    </row>
    <row r="2573" spans="1:14" s="1170" customFormat="1" ht="16.5" hidden="1" customHeight="1">
      <c r="A2573" s="1156"/>
      <c r="B2573" s="1331"/>
      <c r="C2573" s="1332">
        <v>1</v>
      </c>
      <c r="D2573" s="1333" t="s">
        <v>273</v>
      </c>
      <c r="E2573" s="1334">
        <v>1</v>
      </c>
      <c r="F2573" s="1335">
        <v>85</v>
      </c>
      <c r="G2573" s="1335">
        <v>0</v>
      </c>
      <c r="H2573" s="1335">
        <v>0</v>
      </c>
      <c r="I2573" s="1336">
        <f>ROUND(IF(AND(F2573:H2573),C2573*E2573*F2573*G2573*H2573,IF(AND(F2573,G2573),C2573*E2573*F2573*G2573,IF(AND(F2573,H2573),C2573*E2573*F2573*H2573,IF(AND(G2573,H2573),C2573*E2573*G2573*H2573,IF(F2573,C2573*E2573*F2573,IF(G2573,C2573*E2573*G2573,IF(H2573,C2573*E2573*H2573,C2573*E2573))))))),2)</f>
        <v>85</v>
      </c>
      <c r="J2573" s="1357" t="s">
        <v>277</v>
      </c>
      <c r="K2573" s="1169"/>
      <c r="L2573" s="1156"/>
      <c r="M2573" s="1169"/>
      <c r="N2573" s="1161" t="s">
        <v>2218</v>
      </c>
    </row>
    <row r="2574" spans="1:14" s="1170" customFormat="1" ht="16.5" hidden="1" customHeight="1">
      <c r="A2574" s="1156"/>
      <c r="B2574" s="1331"/>
      <c r="C2574" s="1332"/>
      <c r="D2574" s="1333"/>
      <c r="E2574" s="1334"/>
      <c r="F2574" s="1335"/>
      <c r="G2574" s="1335"/>
      <c r="H2574" s="1335"/>
      <c r="I2574" s="1336"/>
      <c r="J2574" s="1357"/>
      <c r="K2574" s="1169"/>
      <c r="L2574" s="1156"/>
      <c r="M2574" s="1169"/>
      <c r="N2574" s="1161" t="s">
        <v>2218</v>
      </c>
    </row>
    <row r="2575" spans="1:14" ht="15.75" hidden="1">
      <c r="A2575" s="1156"/>
      <c r="B2575" s="1169"/>
      <c r="C2575" s="1337"/>
      <c r="D2575" s="1171"/>
      <c r="E2575" s="1165"/>
      <c r="F2575" s="1166"/>
      <c r="G2575" s="1343"/>
      <c r="H2575" s="1156"/>
      <c r="I2575" s="1336"/>
      <c r="J2575" s="1357" t="s">
        <v>277</v>
      </c>
      <c r="K2575" s="1221">
        <f>'SANITATION DTA'!G86</f>
        <v>24</v>
      </c>
      <c r="L2575" s="1159" t="s">
        <v>2218</v>
      </c>
      <c r="M2575" s="1224">
        <f>ROUND(I2575*K2575,0)</f>
        <v>0</v>
      </c>
      <c r="N2575" s="1161" t="s">
        <v>2218</v>
      </c>
    </row>
    <row r="2576" spans="1:14" ht="63.75" hidden="1" customHeight="1">
      <c r="A2576" s="1156">
        <v>2</v>
      </c>
      <c r="B2576" s="1826" t="s">
        <v>278</v>
      </c>
      <c r="C2576" s="1826"/>
      <c r="D2576" s="1826"/>
      <c r="E2576" s="1826"/>
      <c r="F2576" s="1826"/>
      <c r="G2576" s="1826"/>
      <c r="H2576" s="1826"/>
      <c r="I2576" s="1157"/>
      <c r="J2576" s="1158"/>
      <c r="K2576" s="1156"/>
      <c r="L2576" s="1156"/>
      <c r="M2576" s="1160"/>
      <c r="N2576" s="1161" t="s">
        <v>2218</v>
      </c>
    </row>
    <row r="2577" spans="1:14" s="1170" customFormat="1" ht="16.5" hidden="1" customHeight="1">
      <c r="A2577" s="1156"/>
      <c r="B2577" s="1169" t="s">
        <v>2348</v>
      </c>
      <c r="C2577" s="1351"/>
      <c r="D2577" s="1418"/>
      <c r="E2577" s="1352"/>
      <c r="F2577" s="1234"/>
      <c r="G2577" s="1234"/>
      <c r="H2577" s="1235"/>
      <c r="I2577" s="1353"/>
      <c r="J2577" s="1357"/>
      <c r="K2577" s="1169"/>
      <c r="L2577" s="1156"/>
      <c r="M2577" s="1169"/>
      <c r="N2577" s="1161" t="s">
        <v>2218</v>
      </c>
    </row>
    <row r="2578" spans="1:14" s="1170" customFormat="1" ht="16.5" hidden="1" customHeight="1">
      <c r="A2578" s="1156"/>
      <c r="B2578" s="1359" t="s">
        <v>419</v>
      </c>
      <c r="C2578" s="1360">
        <v>1</v>
      </c>
      <c r="D2578" s="1361" t="s">
        <v>273</v>
      </c>
      <c r="E2578" s="1362">
        <v>1</v>
      </c>
      <c r="F2578" s="1401">
        <f>I2565</f>
        <v>0</v>
      </c>
      <c r="G2578" s="1363">
        <v>0</v>
      </c>
      <c r="H2578" s="1363">
        <v>0</v>
      </c>
      <c r="I2578" s="1336">
        <f>ROUND(IF(AND(F2578:H2578),C2578*E2578*F2578*G2578*H2578,IF(AND(F2578,G2578),C2578*E2578*F2578*G2578,IF(AND(F2578,H2578),C2578*E2578*F2578*H2578,IF(AND(G2578,H2578),C2578*E2578*G2578*H2578,IF(F2578,C2578*E2578*F2578,IF(G2578,C2578*E2578*G2578,IF(H2578,C2578*E2578*H2578,C2578*E2578))))))),2)</f>
        <v>1</v>
      </c>
      <c r="J2578" s="1357" t="s">
        <v>277</v>
      </c>
      <c r="K2578" s="1169"/>
      <c r="L2578" s="1156"/>
      <c r="M2578" s="1169"/>
      <c r="N2578" s="1161" t="s">
        <v>2218</v>
      </c>
    </row>
    <row r="2579" spans="1:14" s="1170" customFormat="1" ht="16.5" hidden="1" customHeight="1">
      <c r="A2579" s="1156"/>
      <c r="B2579" s="1331"/>
      <c r="C2579" s="1332"/>
      <c r="D2579" s="1333"/>
      <c r="E2579" s="1334"/>
      <c r="F2579" s="1335"/>
      <c r="G2579" s="1335"/>
      <c r="H2579" s="1335"/>
      <c r="I2579" s="1336"/>
      <c r="J2579" s="1357"/>
      <c r="K2579" s="1169"/>
      <c r="L2579" s="1156"/>
      <c r="M2579" s="1169"/>
      <c r="N2579" s="1161" t="s">
        <v>2218</v>
      </c>
    </row>
    <row r="2580" spans="1:14" ht="15.75" hidden="1">
      <c r="A2580" s="1156"/>
      <c r="B2580" s="1169"/>
      <c r="C2580" s="1337"/>
      <c r="D2580" s="1171"/>
      <c r="E2580" s="1165"/>
      <c r="F2580" s="1166"/>
      <c r="G2580" s="1343"/>
      <c r="H2580" s="1156"/>
      <c r="I2580" s="1336"/>
      <c r="J2580" s="1357" t="s">
        <v>277</v>
      </c>
      <c r="K2580" s="1221">
        <f>'SANITATION DTA'!G90</f>
        <v>31</v>
      </c>
      <c r="L2580" s="1159" t="s">
        <v>2218</v>
      </c>
      <c r="M2580" s="1224">
        <f>ROUND(I2580*K2580,0)</f>
        <v>0</v>
      </c>
      <c r="N2580" s="1161" t="s">
        <v>2218</v>
      </c>
    </row>
    <row r="2581" spans="1:14" ht="39.75" hidden="1" customHeight="1">
      <c r="A2581" s="1156">
        <v>3</v>
      </c>
      <c r="B2581" s="1826" t="s">
        <v>352</v>
      </c>
      <c r="C2581" s="1826"/>
      <c r="D2581" s="1826"/>
      <c r="E2581" s="1826"/>
      <c r="F2581" s="1826"/>
      <c r="G2581" s="1826"/>
      <c r="H2581" s="1826"/>
      <c r="I2581" s="1157"/>
      <c r="J2581" s="1158"/>
      <c r="K2581" s="1156"/>
      <c r="L2581" s="1156"/>
      <c r="M2581" s="1160"/>
      <c r="N2581" s="1161" t="s">
        <v>2218</v>
      </c>
    </row>
    <row r="2582" spans="1:14" s="1170" customFormat="1" ht="16.5" hidden="1" customHeight="1">
      <c r="A2582" s="1156"/>
      <c r="B2582" s="1169" t="s">
        <v>2348</v>
      </c>
      <c r="C2582" s="1351"/>
      <c r="D2582" s="1418"/>
      <c r="E2582" s="1352"/>
      <c r="F2582" s="1234"/>
      <c r="G2582" s="1234"/>
      <c r="H2582" s="1235"/>
      <c r="I2582" s="1353"/>
      <c r="J2582" s="1357"/>
      <c r="K2582" s="1169"/>
      <c r="L2582" s="1156"/>
      <c r="M2582" s="1169"/>
      <c r="N2582" s="1161" t="s">
        <v>2218</v>
      </c>
    </row>
    <row r="2583" spans="1:14" s="1170" customFormat="1" ht="16.5" hidden="1" customHeight="1">
      <c r="A2583" s="1156"/>
      <c r="B2583" s="1331"/>
      <c r="C2583" s="1332">
        <v>1</v>
      </c>
      <c r="D2583" s="1333" t="s">
        <v>273</v>
      </c>
      <c r="E2583" s="1334">
        <v>9</v>
      </c>
      <c r="F2583" s="1335">
        <f>I2577</f>
        <v>0</v>
      </c>
      <c r="G2583" s="1335">
        <v>0</v>
      </c>
      <c r="H2583" s="1335">
        <v>0</v>
      </c>
      <c r="I2583" s="1421">
        <f>ROUND(IF(AND(F2583:H2583),C2583*E2583*F2583*G2583*H2583,IF(AND(F2583,G2583),C2583*E2583*F2583*G2583,IF(AND(F2583,H2583),C2583*E2583*F2583*H2583,IF(AND(G2583,H2583),C2583*E2583*G2583*H2583,IF(F2583,C2583*E2583*F2583,IF(G2583,C2583*E2583*G2583,IF(H2583,C2583*E2583*H2583,C2583*E2583))))))),2)</f>
        <v>9</v>
      </c>
      <c r="J2583" s="1357" t="s">
        <v>115</v>
      </c>
      <c r="K2583" s="1169"/>
      <c r="L2583" s="1156"/>
      <c r="M2583" s="1169"/>
      <c r="N2583" s="1161" t="s">
        <v>2218</v>
      </c>
    </row>
    <row r="2584" spans="1:14" s="1170" customFormat="1" ht="16.5" hidden="1" customHeight="1">
      <c r="A2584" s="1156"/>
      <c r="B2584" s="1331"/>
      <c r="C2584" s="1332"/>
      <c r="D2584" s="1333"/>
      <c r="E2584" s="1334"/>
      <c r="F2584" s="1335"/>
      <c r="G2584" s="1335"/>
      <c r="H2584" s="1335"/>
      <c r="I2584" s="1421"/>
      <c r="J2584" s="1357"/>
      <c r="K2584" s="1169"/>
      <c r="L2584" s="1156"/>
      <c r="M2584" s="1169"/>
      <c r="N2584" s="1161" t="s">
        <v>2218</v>
      </c>
    </row>
    <row r="2585" spans="1:14" ht="15.75" hidden="1">
      <c r="A2585" s="1156"/>
      <c r="B2585" s="1169"/>
      <c r="C2585" s="1337"/>
      <c r="D2585" s="1171"/>
      <c r="E2585" s="1165"/>
      <c r="F2585" s="1166"/>
      <c r="G2585" s="1343"/>
      <c r="H2585" s="1156"/>
      <c r="I2585" s="1421"/>
      <c r="J2585" s="1357" t="s">
        <v>115</v>
      </c>
      <c r="K2585" s="1221">
        <f>'SANITATION DTA'!G59</f>
        <v>349</v>
      </c>
      <c r="L2585" s="1159" t="s">
        <v>2218</v>
      </c>
      <c r="M2585" s="1224">
        <f>ROUND(I2585*K2585,0)</f>
        <v>0</v>
      </c>
      <c r="N2585" s="1161" t="s">
        <v>2218</v>
      </c>
    </row>
    <row r="2586" spans="1:14" ht="28.5" hidden="1" customHeight="1">
      <c r="A2586" s="1156">
        <v>4</v>
      </c>
      <c r="B2586" s="1826" t="s">
        <v>685</v>
      </c>
      <c r="C2586" s="1826"/>
      <c r="D2586" s="1826"/>
      <c r="E2586" s="1826"/>
      <c r="F2586" s="1826"/>
      <c r="G2586" s="1826"/>
      <c r="H2586" s="1826"/>
      <c r="I2586" s="1157"/>
      <c r="J2586" s="1158"/>
      <c r="K2586" s="1156"/>
      <c r="L2586" s="1156"/>
      <c r="M2586" s="1160"/>
      <c r="N2586" s="1161" t="s">
        <v>2218</v>
      </c>
    </row>
    <row r="2587" spans="1:14" s="1170" customFormat="1" ht="16.5" hidden="1" customHeight="1">
      <c r="A2587" s="1156"/>
      <c r="B2587" s="1230" t="s">
        <v>607</v>
      </c>
      <c r="C2587" s="1351"/>
      <c r="D2587" s="1418"/>
      <c r="E2587" s="1352"/>
      <c r="F2587" s="1234"/>
      <c r="G2587" s="1234"/>
      <c r="H2587" s="1235"/>
      <c r="I2587" s="1353"/>
      <c r="J2587" s="1357"/>
      <c r="K2587" s="1169"/>
      <c r="L2587" s="1156"/>
      <c r="M2587" s="1169"/>
      <c r="N2587" s="1161" t="s">
        <v>2218</v>
      </c>
    </row>
    <row r="2588" spans="1:14" s="1170" customFormat="1" ht="16.5" hidden="1" customHeight="1">
      <c r="A2588" s="1156"/>
      <c r="B2588" s="1331"/>
      <c r="C2588" s="1332">
        <v>1</v>
      </c>
      <c r="D2588" s="1333" t="s">
        <v>273</v>
      </c>
      <c r="E2588" s="1334">
        <v>2</v>
      </c>
      <c r="F2588" s="1335">
        <f>I2581</f>
        <v>0</v>
      </c>
      <c r="G2588" s="1335">
        <v>0</v>
      </c>
      <c r="H2588" s="1335">
        <v>0</v>
      </c>
      <c r="I2588" s="1421">
        <f>ROUND(IF(AND(F2588:H2588),C2588*E2588*F2588*G2588*H2588,IF(AND(F2588,G2588),C2588*E2588*F2588*G2588,IF(AND(F2588,H2588),C2588*E2588*F2588*H2588,IF(AND(G2588,H2588),C2588*E2588*G2588*H2588,IF(F2588,C2588*E2588*F2588,IF(G2588,C2588*E2588*G2588,IF(H2588,C2588*E2588*H2588,C2588*E2588))))))),2)</f>
        <v>2</v>
      </c>
      <c r="J2588" s="1357" t="s">
        <v>115</v>
      </c>
      <c r="K2588" s="1169"/>
      <c r="L2588" s="1156"/>
      <c r="M2588" s="1169"/>
      <c r="N2588" s="1161" t="s">
        <v>2218</v>
      </c>
    </row>
    <row r="2589" spans="1:14" s="1170" customFormat="1" ht="16.5" hidden="1" customHeight="1">
      <c r="A2589" s="1156"/>
      <c r="B2589" s="1331"/>
      <c r="C2589" s="1332"/>
      <c r="D2589" s="1333"/>
      <c r="E2589" s="1334"/>
      <c r="F2589" s="1335"/>
      <c r="G2589" s="1335"/>
      <c r="H2589" s="1335"/>
      <c r="I2589" s="1421"/>
      <c r="J2589" s="1357"/>
      <c r="K2589" s="1169"/>
      <c r="L2589" s="1156"/>
      <c r="M2589" s="1169"/>
      <c r="N2589" s="1161" t="s">
        <v>2218</v>
      </c>
    </row>
    <row r="2590" spans="1:14" ht="15.75" hidden="1">
      <c r="A2590" s="1156"/>
      <c r="B2590" s="1169"/>
      <c r="C2590" s="1337"/>
      <c r="D2590" s="1171"/>
      <c r="E2590" s="1165"/>
      <c r="F2590" s="1166"/>
      <c r="G2590" s="1343"/>
      <c r="H2590" s="1156"/>
      <c r="I2590" s="1421"/>
      <c r="J2590" s="1357" t="s">
        <v>115</v>
      </c>
      <c r="K2590" s="1221">
        <f>'SANITATION DTA'!G55</f>
        <v>1483</v>
      </c>
      <c r="L2590" s="1159" t="s">
        <v>2218</v>
      </c>
      <c r="M2590" s="1224">
        <f>ROUND(I2590*K2590,0)</f>
        <v>0</v>
      </c>
      <c r="N2590" s="1161" t="s">
        <v>2218</v>
      </c>
    </row>
    <row r="2591" spans="1:14" ht="29.25" hidden="1" customHeight="1">
      <c r="A2591" s="1156">
        <v>4</v>
      </c>
      <c r="B2591" s="1826" t="s">
        <v>341</v>
      </c>
      <c r="C2591" s="1826"/>
      <c r="D2591" s="1826"/>
      <c r="E2591" s="1826"/>
      <c r="F2591" s="1826"/>
      <c r="G2591" s="1826"/>
      <c r="H2591" s="1826"/>
      <c r="I2591" s="1157"/>
      <c r="J2591" s="1158"/>
      <c r="K2591" s="1156"/>
      <c r="L2591" s="1156"/>
      <c r="M2591" s="1160"/>
      <c r="N2591" s="1161" t="s">
        <v>2218</v>
      </c>
    </row>
    <row r="2592" spans="1:14" s="1170" customFormat="1" ht="16.5" hidden="1" customHeight="1">
      <c r="A2592" s="1156"/>
      <c r="B2592" s="1169" t="s">
        <v>2348</v>
      </c>
      <c r="C2592" s="1351"/>
      <c r="D2592" s="1418"/>
      <c r="E2592" s="1352"/>
      <c r="F2592" s="1234"/>
      <c r="G2592" s="1234"/>
      <c r="H2592" s="1235"/>
      <c r="I2592" s="1353"/>
      <c r="J2592" s="1357"/>
      <c r="K2592" s="1169"/>
      <c r="L2592" s="1156"/>
      <c r="M2592" s="1169"/>
      <c r="N2592" s="1161" t="s">
        <v>2218</v>
      </c>
    </row>
    <row r="2593" spans="1:14" s="1170" customFormat="1" ht="16.5" hidden="1" customHeight="1">
      <c r="A2593" s="1156"/>
      <c r="B2593" s="1359"/>
      <c r="C2593" s="1360">
        <v>1</v>
      </c>
      <c r="D2593" s="1361" t="s">
        <v>273</v>
      </c>
      <c r="E2593" s="1362">
        <v>1</v>
      </c>
      <c r="F2593" s="1363">
        <v>17</v>
      </c>
      <c r="G2593" s="1363">
        <v>0</v>
      </c>
      <c r="H2593" s="1363">
        <v>0</v>
      </c>
      <c r="I2593" s="1336">
        <f>ROUND(IF(AND(F2593:H2593),C2593*E2593*F2593*G2593*H2593,IF(AND(F2593,G2593),C2593*E2593*F2593*G2593,IF(AND(F2593,H2593),C2593*E2593*F2593*H2593,IF(AND(G2593,H2593),C2593*E2593*G2593*H2593,IF(F2593,C2593*E2593*F2593,IF(G2593,C2593*E2593*G2593,IF(H2593,C2593*E2593*H2593,C2593*E2593))))))),2)</f>
        <v>17</v>
      </c>
      <c r="J2593" s="1357" t="s">
        <v>277</v>
      </c>
      <c r="K2593" s="1169"/>
      <c r="L2593" s="1156"/>
      <c r="M2593" s="1169"/>
      <c r="N2593" s="1161" t="s">
        <v>2218</v>
      </c>
    </row>
    <row r="2594" spans="1:14" s="1170" customFormat="1" ht="16.5" hidden="1" customHeight="1">
      <c r="A2594" s="1156"/>
      <c r="B2594" s="1331"/>
      <c r="C2594" s="1332"/>
      <c r="D2594" s="1333"/>
      <c r="E2594" s="1334"/>
      <c r="F2594" s="1335"/>
      <c r="G2594" s="1335"/>
      <c r="H2594" s="1335"/>
      <c r="I2594" s="1336"/>
      <c r="J2594" s="1357"/>
      <c r="K2594" s="1169"/>
      <c r="L2594" s="1156"/>
      <c r="M2594" s="1169"/>
      <c r="N2594" s="1161" t="s">
        <v>2218</v>
      </c>
    </row>
    <row r="2595" spans="1:14" ht="15.75" hidden="1">
      <c r="A2595" s="1156"/>
      <c r="B2595" s="1169"/>
      <c r="C2595" s="1337"/>
      <c r="D2595" s="1171"/>
      <c r="E2595" s="1165"/>
      <c r="F2595" s="1166"/>
      <c r="G2595" s="1343"/>
      <c r="H2595" s="1156"/>
      <c r="I2595" s="1336"/>
      <c r="J2595" s="1357" t="s">
        <v>277</v>
      </c>
      <c r="K2595" s="1221">
        <f>'SANITATION DTA'!G35</f>
        <v>136.66666666666666</v>
      </c>
      <c r="L2595" s="1159" t="s">
        <v>2218</v>
      </c>
      <c r="M2595" s="1224">
        <f>ROUND(I2595*K2595,0)</f>
        <v>0</v>
      </c>
      <c r="N2595" s="1161" t="s">
        <v>2218</v>
      </c>
    </row>
    <row r="2596" spans="1:14" ht="29.25" hidden="1" customHeight="1">
      <c r="A2596" s="1156">
        <v>4</v>
      </c>
      <c r="B2596" s="1826" t="s">
        <v>346</v>
      </c>
      <c r="C2596" s="1826"/>
      <c r="D2596" s="1826"/>
      <c r="E2596" s="1826"/>
      <c r="F2596" s="1826"/>
      <c r="G2596" s="1826"/>
      <c r="H2596" s="1826"/>
      <c r="I2596" s="1157"/>
      <c r="J2596" s="1158"/>
      <c r="K2596" s="1156"/>
      <c r="L2596" s="1156"/>
      <c r="M2596" s="1160"/>
      <c r="N2596" s="1161" t="s">
        <v>2218</v>
      </c>
    </row>
    <row r="2597" spans="1:14" s="1170" customFormat="1" ht="16.5" hidden="1" customHeight="1">
      <c r="A2597" s="1156"/>
      <c r="B2597" s="1169" t="s">
        <v>2331</v>
      </c>
      <c r="C2597" s="1351"/>
      <c r="D2597" s="1418"/>
      <c r="E2597" s="1352"/>
      <c r="F2597" s="1234"/>
      <c r="G2597" s="1234"/>
      <c r="H2597" s="1235"/>
      <c r="I2597" s="1353"/>
      <c r="J2597" s="1357"/>
      <c r="K2597" s="1169"/>
      <c r="L2597" s="1156"/>
      <c r="M2597" s="1169"/>
      <c r="N2597" s="1161" t="s">
        <v>2218</v>
      </c>
    </row>
    <row r="2598" spans="1:14" s="1170" customFormat="1" ht="16.5" hidden="1" customHeight="1">
      <c r="A2598" s="1156"/>
      <c r="B2598" s="1359"/>
      <c r="C2598" s="1360">
        <v>1</v>
      </c>
      <c r="D2598" s="1361" t="s">
        <v>273</v>
      </c>
      <c r="E2598" s="1362">
        <v>1</v>
      </c>
      <c r="F2598" s="1363">
        <v>18</v>
      </c>
      <c r="G2598" s="1363">
        <v>0</v>
      </c>
      <c r="H2598" s="1363">
        <v>0</v>
      </c>
      <c r="I2598" s="1336">
        <f>ROUND(IF(AND(F2598:H2598),C2598*E2598*F2598*G2598*H2598,IF(AND(F2598,G2598),C2598*E2598*F2598*G2598,IF(AND(F2598,H2598),C2598*E2598*F2598*H2598,IF(AND(G2598,H2598),C2598*E2598*G2598*H2598,IF(F2598,C2598*E2598*F2598,IF(G2598,C2598*E2598*G2598,IF(H2598,C2598*E2598*H2598,C2598*E2598))))))),2)</f>
        <v>18</v>
      </c>
      <c r="J2598" s="1357" t="s">
        <v>277</v>
      </c>
      <c r="K2598" s="1169"/>
      <c r="L2598" s="1156"/>
      <c r="M2598" s="1169"/>
      <c r="N2598" s="1161" t="s">
        <v>2218</v>
      </c>
    </row>
    <row r="2599" spans="1:14" s="1170" customFormat="1" ht="16.5" hidden="1" customHeight="1">
      <c r="A2599" s="1156"/>
      <c r="B2599" s="1359"/>
      <c r="C2599" s="1360"/>
      <c r="D2599" s="1361"/>
      <c r="E2599" s="1362"/>
      <c r="F2599" s="1363"/>
      <c r="G2599" s="1363"/>
      <c r="H2599" s="1363"/>
      <c r="I2599" s="1336"/>
      <c r="J2599" s="1357"/>
      <c r="K2599" s="1169"/>
      <c r="L2599" s="1156"/>
      <c r="M2599" s="1169"/>
      <c r="N2599" s="1161" t="s">
        <v>2218</v>
      </c>
    </row>
    <row r="2600" spans="1:14" ht="15.75" hidden="1">
      <c r="A2600" s="1156"/>
      <c r="B2600" s="1169"/>
      <c r="C2600" s="1337"/>
      <c r="D2600" s="1171"/>
      <c r="E2600" s="1165"/>
      <c r="F2600" s="1166"/>
      <c r="G2600" s="1343"/>
      <c r="H2600" s="1156"/>
      <c r="I2600" s="1336"/>
      <c r="J2600" s="1357" t="s">
        <v>277</v>
      </c>
      <c r="K2600" s="1221">
        <f>'SANITATION DTA'!G41</f>
        <v>129.66666666666666</v>
      </c>
      <c r="L2600" s="1159" t="s">
        <v>2218</v>
      </c>
      <c r="M2600" s="1224">
        <f>ROUND(I2600*K2600,0)</f>
        <v>0</v>
      </c>
      <c r="N2600" s="1161" t="s">
        <v>2218</v>
      </c>
    </row>
    <row r="2601" spans="1:14" ht="29.25" hidden="1" customHeight="1">
      <c r="A2601" s="1156">
        <v>5</v>
      </c>
      <c r="B2601" s="1826" t="s">
        <v>348</v>
      </c>
      <c r="C2601" s="1826"/>
      <c r="D2601" s="1826"/>
      <c r="E2601" s="1826"/>
      <c r="F2601" s="1826"/>
      <c r="G2601" s="1826"/>
      <c r="H2601" s="1826"/>
      <c r="I2601" s="1157"/>
      <c r="J2601" s="1158"/>
      <c r="K2601" s="1156"/>
      <c r="L2601" s="1156"/>
      <c r="M2601" s="1160"/>
      <c r="N2601" s="1161" t="s">
        <v>2218</v>
      </c>
    </row>
    <row r="2602" spans="1:14" s="1170" customFormat="1" ht="16.5" hidden="1" customHeight="1">
      <c r="A2602" s="1156"/>
      <c r="B2602" s="1169" t="s">
        <v>2348</v>
      </c>
      <c r="C2602" s="1351"/>
      <c r="D2602" s="1418"/>
      <c r="E2602" s="1352"/>
      <c r="F2602" s="1234"/>
      <c r="G2602" s="1234"/>
      <c r="H2602" s="1235"/>
      <c r="I2602" s="1353"/>
      <c r="J2602" s="1357"/>
      <c r="K2602" s="1169"/>
      <c r="L2602" s="1156"/>
      <c r="M2602" s="1169"/>
      <c r="N2602" s="1161" t="s">
        <v>2218</v>
      </c>
    </row>
    <row r="2603" spans="1:14" s="1170" customFormat="1" ht="16.5" hidden="1" customHeight="1">
      <c r="A2603" s="1156"/>
      <c r="B2603" s="1359"/>
      <c r="C2603" s="1360">
        <v>1</v>
      </c>
      <c r="D2603" s="1361" t="s">
        <v>273</v>
      </c>
      <c r="E2603" s="1362">
        <v>1</v>
      </c>
      <c r="F2603" s="1401">
        <v>22</v>
      </c>
      <c r="G2603" s="1363">
        <v>0</v>
      </c>
      <c r="H2603" s="1363">
        <v>0</v>
      </c>
      <c r="I2603" s="1336">
        <f>ROUND(IF(AND(F2603:H2603),C2603*E2603*F2603*G2603*H2603,IF(AND(F2603,G2603),C2603*E2603*F2603*G2603,IF(AND(F2603,H2603),C2603*E2603*F2603*H2603,IF(AND(G2603,H2603),C2603*E2603*G2603*H2603,IF(F2603,C2603*E2603*F2603,IF(G2603,C2603*E2603*G2603,IF(H2603,C2603*E2603*H2603,C2603*E2603))))))),2)</f>
        <v>22</v>
      </c>
      <c r="J2603" s="1357" t="s">
        <v>277</v>
      </c>
      <c r="K2603" s="1169"/>
      <c r="L2603" s="1156"/>
      <c r="M2603" s="1169"/>
      <c r="N2603" s="1161" t="s">
        <v>2218</v>
      </c>
    </row>
    <row r="2604" spans="1:14" s="1170" customFormat="1" ht="16.5" hidden="1" customHeight="1">
      <c r="A2604" s="1156"/>
      <c r="B2604" s="1331"/>
      <c r="C2604" s="1332"/>
      <c r="D2604" s="1333"/>
      <c r="E2604" s="1334"/>
      <c r="F2604" s="1335"/>
      <c r="G2604" s="1335"/>
      <c r="H2604" s="1335"/>
      <c r="I2604" s="1336"/>
      <c r="J2604" s="1357"/>
      <c r="K2604" s="1169"/>
      <c r="L2604" s="1156"/>
      <c r="M2604" s="1169"/>
      <c r="N2604" s="1161" t="s">
        <v>2218</v>
      </c>
    </row>
    <row r="2605" spans="1:14" ht="15.75" hidden="1">
      <c r="A2605" s="1156"/>
      <c r="B2605" s="1169"/>
      <c r="C2605" s="1337"/>
      <c r="D2605" s="1171"/>
      <c r="E2605" s="1165"/>
      <c r="F2605" s="1166"/>
      <c r="G2605" s="1343"/>
      <c r="H2605" s="1156"/>
      <c r="I2605" s="1336"/>
      <c r="J2605" s="1357" t="s">
        <v>277</v>
      </c>
      <c r="K2605" s="1221">
        <f>'SANITATION DTA'!G47</f>
        <v>81.333333333333329</v>
      </c>
      <c r="L2605" s="1159" t="s">
        <v>2218</v>
      </c>
      <c r="M2605" s="1224">
        <f>ROUND(I2605*K2605,0)</f>
        <v>0</v>
      </c>
      <c r="N2605" s="1161" t="s">
        <v>2218</v>
      </c>
    </row>
    <row r="2606" spans="1:14" ht="53.25" hidden="1" customHeight="1">
      <c r="A2606" s="1156">
        <v>6</v>
      </c>
      <c r="B2606" s="1826" t="s">
        <v>350</v>
      </c>
      <c r="C2606" s="1826"/>
      <c r="D2606" s="1826"/>
      <c r="E2606" s="1826"/>
      <c r="F2606" s="1826"/>
      <c r="G2606" s="1826"/>
      <c r="H2606" s="1826"/>
      <c r="I2606" s="1157"/>
      <c r="J2606" s="1158"/>
      <c r="K2606" s="1156"/>
      <c r="L2606" s="1156"/>
      <c r="M2606" s="1160"/>
      <c r="N2606" s="1161" t="s">
        <v>2218</v>
      </c>
    </row>
    <row r="2607" spans="1:14" s="1170" customFormat="1" ht="16.5" hidden="1" customHeight="1">
      <c r="A2607" s="1156"/>
      <c r="B2607" s="1169" t="s">
        <v>2348</v>
      </c>
      <c r="C2607" s="1351"/>
      <c r="D2607" s="1418"/>
      <c r="E2607" s="1352"/>
      <c r="F2607" s="1234"/>
      <c r="G2607" s="1234"/>
      <c r="H2607" s="1235"/>
      <c r="I2607" s="1353"/>
      <c r="J2607" s="1357"/>
      <c r="K2607" s="1169"/>
      <c r="L2607" s="1156"/>
      <c r="M2607" s="1169"/>
      <c r="N2607" s="1161" t="s">
        <v>2218</v>
      </c>
    </row>
    <row r="2608" spans="1:14" s="1170" customFormat="1" ht="16.5" hidden="1" customHeight="1">
      <c r="A2608" s="1156"/>
      <c r="B2608" s="1359" t="s">
        <v>425</v>
      </c>
      <c r="C2608" s="1360">
        <v>1</v>
      </c>
      <c r="D2608" s="1361" t="s">
        <v>273</v>
      </c>
      <c r="E2608" s="1362">
        <v>1</v>
      </c>
      <c r="F2608" s="1363">
        <f>I2595</f>
        <v>0</v>
      </c>
      <c r="G2608" s="1363">
        <v>0</v>
      </c>
      <c r="H2608" s="1363">
        <v>0</v>
      </c>
      <c r="I2608" s="1336">
        <f>ROUND(IF(AND(F2608:H2608),C2608*E2608*F2608*G2608*H2608,IF(AND(F2608,G2608),C2608*E2608*F2608*G2608,IF(AND(F2608,H2608),C2608*E2608*F2608*H2608,IF(AND(G2608,H2608),C2608*E2608*G2608*H2608,IF(F2608,C2608*E2608*F2608,IF(G2608,C2608*E2608*G2608,IF(H2608,C2608*E2608*H2608,C2608*E2608))))))),2)</f>
        <v>1</v>
      </c>
      <c r="J2608" s="1357" t="s">
        <v>277</v>
      </c>
      <c r="K2608" s="1169"/>
      <c r="L2608" s="1156"/>
      <c r="M2608" s="1169"/>
      <c r="N2608" s="1161" t="s">
        <v>2218</v>
      </c>
    </row>
    <row r="2609" spans="1:14" s="1170" customFormat="1" ht="16.5" hidden="1" customHeight="1">
      <c r="A2609" s="1156"/>
      <c r="B2609" s="1359" t="s">
        <v>887</v>
      </c>
      <c r="C2609" s="1360">
        <v>1</v>
      </c>
      <c r="D2609" s="1361" t="s">
        <v>273</v>
      </c>
      <c r="E2609" s="1362">
        <v>1</v>
      </c>
      <c r="F2609" s="1363">
        <f>I2605</f>
        <v>0</v>
      </c>
      <c r="G2609" s="1363">
        <v>0</v>
      </c>
      <c r="H2609" s="1363">
        <v>0</v>
      </c>
      <c r="I2609" s="1336">
        <f>ROUND(IF(AND(F2609:H2609),C2609*E2609*F2609*G2609*H2609,IF(AND(F2609,G2609),C2609*E2609*F2609*G2609,IF(AND(F2609,H2609),C2609*E2609*F2609*H2609,IF(AND(G2609,H2609),C2609*E2609*G2609*H2609,IF(F2609,C2609*E2609*F2609,IF(G2609,C2609*E2609*G2609,IF(H2609,C2609*E2609*H2609,C2609*E2609))))))),2)</f>
        <v>1</v>
      </c>
      <c r="J2609" s="1357" t="s">
        <v>277</v>
      </c>
      <c r="K2609" s="1169"/>
      <c r="L2609" s="1156"/>
      <c r="M2609" s="1169"/>
      <c r="N2609" s="1161" t="s">
        <v>2218</v>
      </c>
    </row>
    <row r="2610" spans="1:14" s="1170" customFormat="1" ht="16.5" hidden="1" customHeight="1">
      <c r="A2610" s="1156"/>
      <c r="B2610" s="1331"/>
      <c r="C2610" s="1332"/>
      <c r="D2610" s="1333"/>
      <c r="E2610" s="1334"/>
      <c r="F2610" s="1335"/>
      <c r="G2610" s="1335"/>
      <c r="H2610" s="1335"/>
      <c r="I2610" s="1336"/>
      <c r="J2610" s="1357"/>
      <c r="K2610" s="1169"/>
      <c r="L2610" s="1156"/>
      <c r="M2610" s="1169"/>
      <c r="N2610" s="1161" t="s">
        <v>2218</v>
      </c>
    </row>
    <row r="2611" spans="1:14" ht="15.75" hidden="1">
      <c r="A2611" s="1156"/>
      <c r="B2611" s="1169"/>
      <c r="C2611" s="1337"/>
      <c r="D2611" s="1171"/>
      <c r="E2611" s="1165"/>
      <c r="F2611" s="1166"/>
      <c r="G2611" s="1343"/>
      <c r="H2611" s="1156"/>
      <c r="I2611" s="1336"/>
      <c r="J2611" s="1357" t="s">
        <v>277</v>
      </c>
      <c r="K2611" s="1221">
        <f>'SANITATION DTA'!G51</f>
        <v>70</v>
      </c>
      <c r="L2611" s="1159" t="s">
        <v>2218</v>
      </c>
      <c r="M2611" s="1224">
        <f>ROUND(I2611*K2611,0)</f>
        <v>0</v>
      </c>
      <c r="N2611" s="1161" t="s">
        <v>2218</v>
      </c>
    </row>
    <row r="2612" spans="1:14" ht="66" hidden="1" customHeight="1">
      <c r="A2612" s="1156">
        <v>7</v>
      </c>
      <c r="B2612" s="1826" t="s">
        <v>328</v>
      </c>
      <c r="C2612" s="1826"/>
      <c r="D2612" s="1826"/>
      <c r="E2612" s="1826"/>
      <c r="F2612" s="1826"/>
      <c r="G2612" s="1826"/>
      <c r="H2612" s="1826"/>
      <c r="I2612" s="1157"/>
      <c r="J2612" s="1158"/>
      <c r="K2612" s="1156"/>
      <c r="L2612" s="1156"/>
      <c r="M2612" s="1160"/>
      <c r="N2612" s="1161" t="s">
        <v>2218</v>
      </c>
    </row>
    <row r="2613" spans="1:14" s="1170" customFormat="1" ht="16.5" hidden="1" customHeight="1">
      <c r="A2613" s="1156"/>
      <c r="B2613" s="1169" t="s">
        <v>2348</v>
      </c>
      <c r="C2613" s="1351"/>
      <c r="D2613" s="1418"/>
      <c r="E2613" s="1352"/>
      <c r="F2613" s="1234"/>
      <c r="G2613" s="1234"/>
      <c r="H2613" s="1235"/>
      <c r="I2613" s="1353"/>
      <c r="J2613" s="1357"/>
      <c r="K2613" s="1169"/>
      <c r="L2613" s="1156"/>
      <c r="M2613" s="1169"/>
      <c r="N2613" s="1161" t="s">
        <v>2218</v>
      </c>
    </row>
    <row r="2614" spans="1:14" s="1170" customFormat="1" ht="16.5" hidden="1" customHeight="1">
      <c r="A2614" s="1156"/>
      <c r="B2614" s="1359" t="s">
        <v>310</v>
      </c>
      <c r="C2614" s="1360">
        <v>1</v>
      </c>
      <c r="D2614" s="1361" t="s">
        <v>273</v>
      </c>
      <c r="E2614" s="1362">
        <v>3</v>
      </c>
      <c r="F2614" s="1363">
        <v>0</v>
      </c>
      <c r="G2614" s="1363">
        <v>0</v>
      </c>
      <c r="H2614" s="1363">
        <v>0</v>
      </c>
      <c r="I2614" s="1421">
        <f>ROUND(IF(AND(F2614:H2614),C2614*E2614*F2614*G2614*H2614,IF(AND(F2614,G2614),C2614*E2614*F2614*G2614,IF(AND(F2614,H2614),C2614*E2614*F2614*H2614,IF(AND(G2614,H2614),C2614*E2614*G2614*H2614,IF(F2614,C2614*E2614*F2614,IF(G2614,C2614*E2614*G2614,IF(H2614,C2614*E2614*H2614,C2614*E2614))))))),2)</f>
        <v>3</v>
      </c>
      <c r="J2614" s="1357" t="s">
        <v>115</v>
      </c>
      <c r="K2614" s="1169"/>
      <c r="L2614" s="1156"/>
      <c r="M2614" s="1169"/>
      <c r="N2614" s="1161" t="s">
        <v>2218</v>
      </c>
    </row>
    <row r="2615" spans="1:14" s="1170" customFormat="1" ht="16.5" hidden="1" customHeight="1">
      <c r="A2615" s="1156"/>
      <c r="B2615" s="1331"/>
      <c r="C2615" s="1332"/>
      <c r="D2615" s="1333"/>
      <c r="E2615" s="1334"/>
      <c r="F2615" s="1335"/>
      <c r="G2615" s="1335"/>
      <c r="H2615" s="1335"/>
      <c r="I2615" s="1421"/>
      <c r="J2615" s="1357"/>
      <c r="K2615" s="1169"/>
      <c r="L2615" s="1156"/>
      <c r="M2615" s="1169"/>
      <c r="N2615" s="1161" t="s">
        <v>2218</v>
      </c>
    </row>
    <row r="2616" spans="1:14" ht="15.75" hidden="1">
      <c r="A2616" s="1156"/>
      <c r="B2616" s="1169"/>
      <c r="C2616" s="1337"/>
      <c r="D2616" s="1171"/>
      <c r="E2616" s="1165"/>
      <c r="F2616" s="1166"/>
      <c r="G2616" s="1343"/>
      <c r="H2616" s="1156"/>
      <c r="I2616" s="1421"/>
      <c r="J2616" s="1357" t="s">
        <v>115</v>
      </c>
      <c r="K2616" s="1221">
        <f>'SANITATION DTA'!G11</f>
        <v>4776</v>
      </c>
      <c r="L2616" s="1159" t="s">
        <v>2218</v>
      </c>
      <c r="M2616" s="1224">
        <f>ROUND(I2616*K2616,0)</f>
        <v>0</v>
      </c>
      <c r="N2616" s="1161" t="s">
        <v>2218</v>
      </c>
    </row>
    <row r="2617" spans="1:14" ht="36" hidden="1" customHeight="1">
      <c r="A2617" s="1156">
        <v>8</v>
      </c>
      <c r="B2617" s="1826" t="s">
        <v>608</v>
      </c>
      <c r="C2617" s="1826"/>
      <c r="D2617" s="1826"/>
      <c r="E2617" s="1826"/>
      <c r="F2617" s="1826"/>
      <c r="G2617" s="1826"/>
      <c r="H2617" s="1826"/>
      <c r="I2617" s="1157"/>
      <c r="J2617" s="1158"/>
      <c r="K2617" s="1156"/>
      <c r="L2617" s="1156"/>
      <c r="M2617" s="1160"/>
      <c r="N2617" s="1161" t="s">
        <v>2218</v>
      </c>
    </row>
    <row r="2618" spans="1:14" s="1170" customFormat="1" ht="16.5" hidden="1" customHeight="1">
      <c r="A2618" s="1156"/>
      <c r="B2618" s="1230" t="s">
        <v>607</v>
      </c>
      <c r="C2618" s="1351"/>
      <c r="D2618" s="1418"/>
      <c r="E2618" s="1352"/>
      <c r="F2618" s="1234"/>
      <c r="G2618" s="1234"/>
      <c r="H2618" s="1235"/>
      <c r="I2618" s="1353"/>
      <c r="J2618" s="1357"/>
      <c r="K2618" s="1169"/>
      <c r="L2618" s="1156"/>
      <c r="M2618" s="1169"/>
      <c r="N2618" s="1161" t="s">
        <v>2218</v>
      </c>
    </row>
    <row r="2619" spans="1:14" s="1170" customFormat="1" ht="16.5" hidden="1" customHeight="1">
      <c r="A2619" s="1156"/>
      <c r="B2619" s="1331" t="s">
        <v>310</v>
      </c>
      <c r="C2619" s="1332">
        <v>1</v>
      </c>
      <c r="D2619" s="1333" t="s">
        <v>273</v>
      </c>
      <c r="E2619" s="1334">
        <v>1</v>
      </c>
      <c r="F2619" s="1335">
        <v>0</v>
      </c>
      <c r="G2619" s="1335">
        <v>0</v>
      </c>
      <c r="H2619" s="1335">
        <v>0</v>
      </c>
      <c r="I2619" s="1421">
        <f>ROUND(IF(AND(F2619:H2619),C2619*E2619*F2619*G2619*H2619,IF(AND(F2619,G2619),C2619*E2619*F2619*G2619,IF(AND(F2619,H2619),C2619*E2619*F2619*H2619,IF(AND(G2619,H2619),C2619*E2619*G2619*H2619,IF(F2619,C2619*E2619*F2619,IF(G2619,C2619*E2619*G2619,IF(H2619,C2619*E2619*H2619,C2619*E2619))))))),2)</f>
        <v>1</v>
      </c>
      <c r="J2619" s="1357" t="s">
        <v>115</v>
      </c>
      <c r="K2619" s="1169"/>
      <c r="L2619" s="1156"/>
      <c r="M2619" s="1169"/>
      <c r="N2619" s="1161" t="s">
        <v>2218</v>
      </c>
    </row>
    <row r="2620" spans="1:14" s="1170" customFormat="1" ht="16.5" hidden="1" customHeight="1">
      <c r="A2620" s="1156"/>
      <c r="B2620" s="1331"/>
      <c r="C2620" s="1332"/>
      <c r="D2620" s="1333"/>
      <c r="E2620" s="1334"/>
      <c r="F2620" s="1335"/>
      <c r="G2620" s="1335"/>
      <c r="H2620" s="1335"/>
      <c r="I2620" s="1421"/>
      <c r="J2620" s="1357"/>
      <c r="K2620" s="1169"/>
      <c r="L2620" s="1156"/>
      <c r="M2620" s="1169"/>
      <c r="N2620" s="1161" t="s">
        <v>2218</v>
      </c>
    </row>
    <row r="2621" spans="1:14" ht="15.75" hidden="1">
      <c r="A2621" s="1156"/>
      <c r="B2621" s="1169"/>
      <c r="C2621" s="1337"/>
      <c r="D2621" s="1171"/>
      <c r="E2621" s="1165"/>
      <c r="F2621" s="1166"/>
      <c r="G2621" s="1343"/>
      <c r="H2621" s="1156"/>
      <c r="I2621" s="1421"/>
      <c r="J2621" s="1357" t="s">
        <v>115</v>
      </c>
      <c r="K2621" s="1221">
        <f>'SANITATION DTA'!G14</f>
        <v>934</v>
      </c>
      <c r="L2621" s="1159" t="s">
        <v>2218</v>
      </c>
      <c r="M2621" s="1224">
        <f>ROUND(I2621*K2621,0)</f>
        <v>0</v>
      </c>
      <c r="N2621" s="1161" t="s">
        <v>2218</v>
      </c>
    </row>
    <row r="2622" spans="1:14" ht="57" hidden="1" customHeight="1">
      <c r="A2622" s="1156">
        <v>8</v>
      </c>
      <c r="B2622" s="1826" t="s">
        <v>1254</v>
      </c>
      <c r="C2622" s="1826"/>
      <c r="D2622" s="1826"/>
      <c r="E2622" s="1826"/>
      <c r="F2622" s="1826"/>
      <c r="G2622" s="1826"/>
      <c r="H2622" s="1826"/>
      <c r="I2622" s="1157"/>
      <c r="J2622" s="1158"/>
      <c r="K2622" s="1156"/>
      <c r="L2622" s="1156"/>
      <c r="M2622" s="1160"/>
      <c r="N2622" s="1161" t="s">
        <v>2218</v>
      </c>
    </row>
    <row r="2623" spans="1:14" s="1170" customFormat="1" ht="16.5" hidden="1" customHeight="1">
      <c r="A2623" s="1156"/>
      <c r="B2623" s="1169" t="s">
        <v>2348</v>
      </c>
      <c r="C2623" s="1351"/>
      <c r="D2623" s="1418"/>
      <c r="E2623" s="1352"/>
      <c r="F2623" s="1234"/>
      <c r="G2623" s="1234"/>
      <c r="H2623" s="1235"/>
      <c r="I2623" s="1353"/>
      <c r="J2623" s="1357"/>
      <c r="K2623" s="1169"/>
      <c r="L2623" s="1156"/>
      <c r="M2623" s="1169"/>
      <c r="N2623" s="1161" t="s">
        <v>2218</v>
      </c>
    </row>
    <row r="2624" spans="1:14" s="1170" customFormat="1" ht="16.5" hidden="1" customHeight="1">
      <c r="A2624" s="1156"/>
      <c r="B2624" s="1331" t="s">
        <v>688</v>
      </c>
      <c r="C2624" s="1332">
        <v>1</v>
      </c>
      <c r="D2624" s="1333" t="s">
        <v>273</v>
      </c>
      <c r="E2624" s="1334">
        <v>1</v>
      </c>
      <c r="F2624" s="1335">
        <v>0</v>
      </c>
      <c r="G2624" s="1335">
        <v>0</v>
      </c>
      <c r="H2624" s="1335">
        <v>0</v>
      </c>
      <c r="I2624" s="1421">
        <f>ROUND(IF(AND(F2624:H2624),C2624*E2624*F2624*G2624*H2624,IF(AND(F2624,G2624),C2624*E2624*F2624*G2624,IF(AND(F2624,H2624),C2624*E2624*F2624*H2624,IF(AND(G2624,H2624),C2624*E2624*G2624*H2624,IF(F2624,C2624*E2624*F2624,IF(G2624,C2624*E2624*G2624,IF(H2624,C2624*E2624*H2624,C2624*E2624))))))),2)</f>
        <v>1</v>
      </c>
      <c r="J2624" s="1357" t="s">
        <v>115</v>
      </c>
      <c r="K2624" s="1169"/>
      <c r="L2624" s="1156"/>
      <c r="M2624" s="1169"/>
      <c r="N2624" s="1161" t="s">
        <v>2218</v>
      </c>
    </row>
    <row r="2625" spans="1:14" s="1170" customFormat="1" ht="16.5" hidden="1" customHeight="1">
      <c r="A2625" s="1156"/>
      <c r="B2625" s="1331"/>
      <c r="C2625" s="1332"/>
      <c r="D2625" s="1333"/>
      <c r="E2625" s="1334"/>
      <c r="F2625" s="1335"/>
      <c r="G2625" s="1335"/>
      <c r="H2625" s="1335"/>
      <c r="I2625" s="1421"/>
      <c r="J2625" s="1357"/>
      <c r="K2625" s="1169"/>
      <c r="L2625" s="1156"/>
      <c r="M2625" s="1169"/>
      <c r="N2625" s="1161" t="s">
        <v>2218</v>
      </c>
    </row>
    <row r="2626" spans="1:14" ht="15.75" hidden="1">
      <c r="A2626" s="1156"/>
      <c r="B2626" s="1169"/>
      <c r="C2626" s="1337"/>
      <c r="D2626" s="1171"/>
      <c r="E2626" s="1165"/>
      <c r="F2626" s="1166"/>
      <c r="G2626" s="1343"/>
      <c r="H2626" s="1156"/>
      <c r="I2626" s="1421"/>
      <c r="J2626" s="1357" t="s">
        <v>115</v>
      </c>
      <c r="K2626" s="1221">
        <f>'SANITATION DTA'!G17</f>
        <v>2385</v>
      </c>
      <c r="L2626" s="1159" t="s">
        <v>2218</v>
      </c>
      <c r="M2626" s="1224">
        <f>ROUND(I2626*K2626,0)</f>
        <v>0</v>
      </c>
      <c r="N2626" s="1161" t="s">
        <v>2218</v>
      </c>
    </row>
    <row r="2627" spans="1:14" ht="132.75" hidden="1" customHeight="1">
      <c r="A2627" s="1156">
        <v>9</v>
      </c>
      <c r="B2627" s="1826" t="s">
        <v>333</v>
      </c>
      <c r="C2627" s="1826"/>
      <c r="D2627" s="1826"/>
      <c r="E2627" s="1826"/>
      <c r="F2627" s="1826"/>
      <c r="G2627" s="1826"/>
      <c r="H2627" s="1826"/>
      <c r="I2627" s="1157"/>
      <c r="J2627" s="1158"/>
      <c r="K2627" s="1156"/>
      <c r="L2627" s="1156"/>
      <c r="M2627" s="1160"/>
      <c r="N2627" s="1161" t="s">
        <v>2218</v>
      </c>
    </row>
    <row r="2628" spans="1:14" s="1170" customFormat="1" ht="16.5" hidden="1" customHeight="1">
      <c r="A2628" s="1156"/>
      <c r="B2628" s="1169" t="s">
        <v>2348</v>
      </c>
      <c r="C2628" s="1351"/>
      <c r="D2628" s="1418"/>
      <c r="E2628" s="1352"/>
      <c r="F2628" s="1234"/>
      <c r="G2628" s="1234"/>
      <c r="H2628" s="1235"/>
      <c r="I2628" s="1353"/>
      <c r="J2628" s="1357"/>
      <c r="K2628" s="1169"/>
      <c r="L2628" s="1156"/>
      <c r="M2628" s="1169"/>
      <c r="N2628" s="1161" t="s">
        <v>2218</v>
      </c>
    </row>
    <row r="2629" spans="1:14" s="1170" customFormat="1" ht="16.5" hidden="1" customHeight="1">
      <c r="A2629" s="1156"/>
      <c r="B2629" s="1359"/>
      <c r="C2629" s="1360">
        <v>1</v>
      </c>
      <c r="D2629" s="1361" t="s">
        <v>273</v>
      </c>
      <c r="E2629" s="1362">
        <v>3</v>
      </c>
      <c r="F2629" s="1363">
        <v>0</v>
      </c>
      <c r="G2629" s="1363">
        <v>0</v>
      </c>
      <c r="H2629" s="1363">
        <v>0</v>
      </c>
      <c r="I2629" s="1421">
        <f>ROUND(IF(AND(F2629:H2629),C2629*E2629*F2629*G2629*H2629,IF(AND(F2629,G2629),C2629*E2629*F2629*G2629,IF(AND(F2629,H2629),C2629*E2629*F2629*H2629,IF(AND(G2629,H2629),C2629*E2629*G2629*H2629,IF(F2629,C2629*E2629*F2629,IF(G2629,C2629*E2629*G2629,IF(H2629,C2629*E2629*H2629,C2629*E2629))))))),2)</f>
        <v>3</v>
      </c>
      <c r="J2629" s="1357" t="s">
        <v>115</v>
      </c>
      <c r="K2629" s="1169"/>
      <c r="L2629" s="1156"/>
      <c r="M2629" s="1169"/>
      <c r="N2629" s="1161" t="s">
        <v>2218</v>
      </c>
    </row>
    <row r="2630" spans="1:14" s="1170" customFormat="1" ht="16.5" hidden="1" customHeight="1">
      <c r="A2630" s="1156"/>
      <c r="B2630" s="1359"/>
      <c r="C2630" s="1360"/>
      <c r="D2630" s="1361"/>
      <c r="E2630" s="1362"/>
      <c r="F2630" s="1363"/>
      <c r="G2630" s="1363"/>
      <c r="H2630" s="1363"/>
      <c r="I2630" s="1421"/>
      <c r="J2630" s="1357"/>
      <c r="K2630" s="1169"/>
      <c r="L2630" s="1156"/>
      <c r="M2630" s="1169"/>
      <c r="N2630" s="1161" t="s">
        <v>2218</v>
      </c>
    </row>
    <row r="2631" spans="1:14" ht="15.75" hidden="1">
      <c r="A2631" s="1156"/>
      <c r="B2631" s="1169"/>
      <c r="C2631" s="1337"/>
      <c r="D2631" s="1171"/>
      <c r="E2631" s="1165"/>
      <c r="F2631" s="1166"/>
      <c r="G2631" s="1343"/>
      <c r="H2631" s="1156"/>
      <c r="I2631" s="1421"/>
      <c r="J2631" s="1357" t="s">
        <v>115</v>
      </c>
      <c r="K2631" s="1221">
        <f>'SANITATION DTA'!G25</f>
        <v>1827</v>
      </c>
      <c r="L2631" s="1159" t="s">
        <v>2218</v>
      </c>
      <c r="M2631" s="1224">
        <f>ROUND(I2631*K2631,0)</f>
        <v>0</v>
      </c>
      <c r="N2631" s="1161" t="s">
        <v>2218</v>
      </c>
    </row>
    <row r="2632" spans="1:14" ht="21.75" hidden="1" customHeight="1">
      <c r="A2632" s="1156">
        <v>10</v>
      </c>
      <c r="B2632" s="1831" t="s">
        <v>718</v>
      </c>
      <c r="C2632" s="1832"/>
      <c r="D2632" s="1832"/>
      <c r="E2632" s="1832"/>
      <c r="F2632" s="1832"/>
      <c r="G2632" s="1832"/>
      <c r="H2632" s="1834"/>
      <c r="I2632" s="1421"/>
      <c r="J2632" s="1158"/>
      <c r="K2632" s="1156"/>
      <c r="L2632" s="1156"/>
      <c r="M2632" s="1160"/>
      <c r="N2632" s="1161" t="s">
        <v>2218</v>
      </c>
    </row>
    <row r="2633" spans="1:14" s="1170" customFormat="1" ht="16.5" hidden="1" customHeight="1">
      <c r="A2633" s="1156"/>
      <c r="B2633" s="1169" t="s">
        <v>2348</v>
      </c>
      <c r="C2633" s="1351"/>
      <c r="D2633" s="1418"/>
      <c r="E2633" s="1352"/>
      <c r="F2633" s="1234"/>
      <c r="G2633" s="1234"/>
      <c r="H2633" s="1235"/>
      <c r="I2633" s="1425"/>
      <c r="J2633" s="1357"/>
      <c r="K2633" s="1169"/>
      <c r="L2633" s="1156"/>
      <c r="M2633" s="1169"/>
      <c r="N2633" s="1161" t="s">
        <v>2218</v>
      </c>
    </row>
    <row r="2634" spans="1:14" s="1170" customFormat="1" ht="16.5" hidden="1" customHeight="1">
      <c r="A2634" s="1156"/>
      <c r="B2634" s="1331"/>
      <c r="C2634" s="1332">
        <v>1</v>
      </c>
      <c r="D2634" s="1333" t="s">
        <v>273</v>
      </c>
      <c r="E2634" s="1334">
        <v>3</v>
      </c>
      <c r="F2634" s="1335">
        <v>0</v>
      </c>
      <c r="G2634" s="1335">
        <v>0</v>
      </c>
      <c r="H2634" s="1335">
        <v>0</v>
      </c>
      <c r="I2634" s="1421">
        <f>ROUND(IF(AND(F2634:H2634),C2634*E2634*F2634*G2634*H2634,IF(AND(F2634,G2634),C2634*E2634*F2634*G2634,IF(AND(F2634,H2634),C2634*E2634*F2634*H2634,IF(AND(G2634,H2634),C2634*E2634*G2634*H2634,IF(F2634,C2634*E2634*F2634,IF(G2634,C2634*E2634*G2634,IF(H2634,C2634*E2634*H2634,C2634*E2634))))))),2)</f>
        <v>3</v>
      </c>
      <c r="J2634" s="1357" t="s">
        <v>115</v>
      </c>
      <c r="K2634" s="1169"/>
      <c r="L2634" s="1156"/>
      <c r="M2634" s="1169"/>
      <c r="N2634" s="1161" t="s">
        <v>2218</v>
      </c>
    </row>
    <row r="2635" spans="1:14" s="1170" customFormat="1" ht="16.5" hidden="1" customHeight="1">
      <c r="A2635" s="1156"/>
      <c r="B2635" s="1331"/>
      <c r="C2635" s="1332"/>
      <c r="D2635" s="1333"/>
      <c r="E2635" s="1334"/>
      <c r="F2635" s="1335"/>
      <c r="G2635" s="1335"/>
      <c r="H2635" s="1335"/>
      <c r="I2635" s="1421"/>
      <c r="J2635" s="1357"/>
      <c r="K2635" s="1169"/>
      <c r="L2635" s="1156"/>
      <c r="M2635" s="1169"/>
      <c r="N2635" s="1161" t="s">
        <v>2218</v>
      </c>
    </row>
    <row r="2636" spans="1:14" ht="15.75" hidden="1">
      <c r="A2636" s="1156"/>
      <c r="B2636" s="1169"/>
      <c r="C2636" s="1337"/>
      <c r="D2636" s="1171"/>
      <c r="E2636" s="1165"/>
      <c r="F2636" s="1166"/>
      <c r="G2636" s="1343"/>
      <c r="H2636" s="1156"/>
      <c r="I2636" s="1421"/>
      <c r="J2636" s="1357" t="s">
        <v>115</v>
      </c>
      <c r="K2636" s="1221">
        <f>'SANITATION DTA'!G152</f>
        <v>122</v>
      </c>
      <c r="L2636" s="1159" t="s">
        <v>2218</v>
      </c>
      <c r="M2636" s="1224">
        <f>ROUND(I2636*K2636,0)</f>
        <v>0</v>
      </c>
      <c r="N2636" s="1161" t="s">
        <v>2218</v>
      </c>
    </row>
    <row r="2637" spans="1:14" ht="58.5" hidden="1" customHeight="1">
      <c r="A2637" s="1156">
        <v>11</v>
      </c>
      <c r="B2637" s="1826" t="s">
        <v>290</v>
      </c>
      <c r="C2637" s="1826"/>
      <c r="D2637" s="1826"/>
      <c r="E2637" s="1826"/>
      <c r="F2637" s="1826"/>
      <c r="G2637" s="1826"/>
      <c r="H2637" s="1826"/>
      <c r="I2637" s="1157"/>
      <c r="J2637" s="1158"/>
      <c r="K2637" s="1156"/>
      <c r="L2637" s="1156"/>
      <c r="M2637" s="1160"/>
      <c r="N2637" s="1161" t="s">
        <v>2218</v>
      </c>
    </row>
    <row r="2638" spans="1:14" s="1170" customFormat="1" ht="16.5" hidden="1" customHeight="1">
      <c r="A2638" s="1156"/>
      <c r="B2638" s="1169" t="s">
        <v>2348</v>
      </c>
      <c r="C2638" s="1351"/>
      <c r="D2638" s="1418"/>
      <c r="E2638" s="1352"/>
      <c r="F2638" s="1234"/>
      <c r="G2638" s="1234"/>
      <c r="H2638" s="1235"/>
      <c r="I2638" s="1353"/>
      <c r="J2638" s="1357"/>
      <c r="K2638" s="1169"/>
      <c r="L2638" s="1156"/>
      <c r="M2638" s="1169"/>
      <c r="N2638" s="1161" t="s">
        <v>2218</v>
      </c>
    </row>
    <row r="2639" spans="1:14" s="1170" customFormat="1" ht="16.5" hidden="1" customHeight="1">
      <c r="A2639" s="1156"/>
      <c r="B2639" s="1359"/>
      <c r="C2639" s="1360">
        <v>1</v>
      </c>
      <c r="D2639" s="1361" t="s">
        <v>273</v>
      </c>
      <c r="E2639" s="1362">
        <v>1</v>
      </c>
      <c r="F2639" s="1552">
        <v>1000</v>
      </c>
      <c r="G2639" s="1363">
        <v>0</v>
      </c>
      <c r="H2639" s="1363">
        <v>0</v>
      </c>
      <c r="I2639" s="1336">
        <f>ROUND(IF(AND(F2639:H2639),C2639*E2639*F2639*G2639*H2639,IF(AND(F2639,G2639),C2639*E2639*F2639*G2639,IF(AND(F2639,H2639),C2639*E2639*F2639*H2639,IF(AND(G2639,H2639),C2639*E2639*G2639*H2639,IF(F2639,C2639*E2639*F2639,IF(G2639,C2639*E2639*G2639,IF(H2639,C2639*E2639*H2639,C2639*E2639))))))),2)</f>
        <v>1000</v>
      </c>
      <c r="J2639" s="1357" t="s">
        <v>291</v>
      </c>
      <c r="K2639" s="1169"/>
      <c r="L2639" s="1156"/>
      <c r="M2639" s="1169"/>
      <c r="N2639" s="1161" t="s">
        <v>2218</v>
      </c>
    </row>
    <row r="2640" spans="1:14" s="1170" customFormat="1" ht="16.5" hidden="1" customHeight="1">
      <c r="A2640" s="1156"/>
      <c r="B2640" s="1359"/>
      <c r="C2640" s="1360"/>
      <c r="D2640" s="1361"/>
      <c r="E2640" s="1362"/>
      <c r="F2640" s="1552"/>
      <c r="G2640" s="1363"/>
      <c r="H2640" s="1363"/>
      <c r="I2640" s="1336"/>
      <c r="J2640" s="1357"/>
      <c r="K2640" s="1169"/>
      <c r="L2640" s="1156"/>
      <c r="M2640" s="1169"/>
      <c r="N2640" s="1161" t="s">
        <v>2218</v>
      </c>
    </row>
    <row r="2641" spans="1:17" ht="15.75" hidden="1">
      <c r="A2641" s="1156"/>
      <c r="B2641" s="1169"/>
      <c r="C2641" s="1337"/>
      <c r="D2641" s="1171"/>
      <c r="E2641" s="1165"/>
      <c r="F2641" s="1166"/>
      <c r="G2641" s="1343"/>
      <c r="H2641" s="1156"/>
      <c r="I2641" s="1336"/>
      <c r="J2641" s="1357" t="s">
        <v>291</v>
      </c>
      <c r="K2641" s="1221">
        <f>'SANITATION DTA'!G69</f>
        <v>6</v>
      </c>
      <c r="L2641" s="1159" t="s">
        <v>2218</v>
      </c>
      <c r="M2641" s="1224">
        <f>ROUND(I2641*K2641,0)</f>
        <v>0</v>
      </c>
      <c r="N2641" s="1161" t="s">
        <v>2218</v>
      </c>
    </row>
    <row r="2642" spans="1:17" ht="146.25" hidden="1" customHeight="1">
      <c r="A2642" s="1156">
        <v>7</v>
      </c>
      <c r="B2642" s="1826" t="s">
        <v>448</v>
      </c>
      <c r="C2642" s="1826"/>
      <c r="D2642" s="1826"/>
      <c r="E2642" s="1826"/>
      <c r="F2642" s="1826"/>
      <c r="G2642" s="1826"/>
      <c r="H2642" s="1826"/>
      <c r="I2642" s="1157"/>
      <c r="J2642" s="1158"/>
      <c r="K2642" s="1156"/>
      <c r="L2642" s="1156"/>
      <c r="M2642" s="1160"/>
      <c r="N2642" s="1161" t="s">
        <v>2218</v>
      </c>
    </row>
    <row r="2643" spans="1:17" s="1170" customFormat="1" ht="16.5" hidden="1" customHeight="1">
      <c r="A2643" s="1156"/>
      <c r="B2643" s="1169" t="s">
        <v>3466</v>
      </c>
      <c r="C2643" s="1351"/>
      <c r="D2643" s="1171" t="s">
        <v>3330</v>
      </c>
      <c r="E2643" s="1352"/>
      <c r="F2643" s="1234"/>
      <c r="G2643" s="1234"/>
      <c r="H2643" s="1235"/>
      <c r="I2643" s="1353"/>
      <c r="J2643" s="1357"/>
      <c r="K2643" s="1169"/>
      <c r="L2643" s="1156"/>
      <c r="M2643" s="1169"/>
      <c r="N2643" s="1161" t="s">
        <v>2218</v>
      </c>
    </row>
    <row r="2644" spans="1:17" s="1170" customFormat="1" ht="16.5" hidden="1" customHeight="1">
      <c r="A2644" s="1156"/>
      <c r="B2644" s="1359" t="s">
        <v>588</v>
      </c>
      <c r="C2644" s="1360">
        <v>1</v>
      </c>
      <c r="D2644" s="1361" t="s">
        <v>273</v>
      </c>
      <c r="E2644" s="1362">
        <v>1</v>
      </c>
      <c r="F2644" s="1552">
        <v>90</v>
      </c>
      <c r="G2644" s="1363">
        <v>0</v>
      </c>
      <c r="H2644" s="1363">
        <v>0</v>
      </c>
      <c r="I2644" s="1336"/>
      <c r="J2644" s="1357" t="s">
        <v>277</v>
      </c>
      <c r="K2644" s="1214">
        <f>'SANITATION DTA'!G108</f>
        <v>446.4</v>
      </c>
      <c r="L2644" s="1159" t="s">
        <v>2218</v>
      </c>
      <c r="M2644" s="1224">
        <f>ROUND(I2644*K2644,0)</f>
        <v>0</v>
      </c>
      <c r="N2644" s="1161" t="s">
        <v>2218</v>
      </c>
    </row>
    <row r="2645" spans="1:17" s="1170" customFormat="1" ht="16.5" hidden="1" customHeight="1">
      <c r="A2645" s="1156"/>
      <c r="B2645" s="1359" t="s">
        <v>589</v>
      </c>
      <c r="C2645" s="1360">
        <v>1</v>
      </c>
      <c r="D2645" s="1361" t="s">
        <v>273</v>
      </c>
      <c r="E2645" s="1362">
        <v>1</v>
      </c>
      <c r="F2645" s="1552">
        <v>30</v>
      </c>
      <c r="G2645" s="1363">
        <v>0</v>
      </c>
      <c r="H2645" s="1363">
        <v>0</v>
      </c>
      <c r="I2645" s="1336"/>
      <c r="J2645" s="1357" t="s">
        <v>277</v>
      </c>
      <c r="K2645" s="1214">
        <f>'SANITATION DTA'!G110</f>
        <v>477.6</v>
      </c>
      <c r="L2645" s="1159" t="s">
        <v>2218</v>
      </c>
      <c r="M2645" s="1224">
        <f>ROUND(I2645*K2645,0)</f>
        <v>0</v>
      </c>
      <c r="N2645" s="1161" t="s">
        <v>2218</v>
      </c>
    </row>
    <row r="2646" spans="1:17" s="1170" customFormat="1" ht="16.5" hidden="1" customHeight="1">
      <c r="A2646" s="1156"/>
      <c r="B2646" s="1331" t="s">
        <v>590</v>
      </c>
      <c r="C2646" s="1332">
        <v>1</v>
      </c>
      <c r="D2646" s="1333" t="s">
        <v>273</v>
      </c>
      <c r="E2646" s="1334">
        <v>1</v>
      </c>
      <c r="F2646" s="1553">
        <v>60</v>
      </c>
      <c r="G2646" s="1335">
        <v>0</v>
      </c>
      <c r="H2646" s="1335">
        <v>0</v>
      </c>
      <c r="I2646" s="1336"/>
      <c r="J2646" s="1357" t="s">
        <v>277</v>
      </c>
      <c r="K2646" s="1214">
        <f>'SANITATION DTA'!G112</f>
        <v>600</v>
      </c>
      <c r="L2646" s="1159" t="s">
        <v>2218</v>
      </c>
      <c r="M2646" s="1224">
        <f>ROUND(I2646*K2646,0)</f>
        <v>0</v>
      </c>
      <c r="N2646" s="1161" t="s">
        <v>2218</v>
      </c>
    </row>
    <row r="2647" spans="1:17" ht="15.75" hidden="1">
      <c r="A2647" s="1156"/>
      <c r="B2647" s="1169"/>
      <c r="C2647" s="1337"/>
      <c r="D2647" s="1171"/>
      <c r="E2647" s="1165"/>
      <c r="F2647" s="1166"/>
      <c r="G2647" s="1343"/>
      <c r="H2647" s="1156"/>
      <c r="I2647" s="1336"/>
      <c r="J2647" s="1357"/>
      <c r="K2647" s="1221"/>
      <c r="L2647" s="1221"/>
      <c r="M2647" s="1224"/>
      <c r="N2647" s="1161" t="s">
        <v>2218</v>
      </c>
    </row>
    <row r="2648" spans="1:17" ht="43.5" hidden="1" customHeight="1">
      <c r="A2648" s="1156">
        <v>8</v>
      </c>
      <c r="B2648" s="1826" t="s">
        <v>449</v>
      </c>
      <c r="C2648" s="1826"/>
      <c r="D2648" s="1826"/>
      <c r="E2648" s="1826"/>
      <c r="F2648" s="1826"/>
      <c r="G2648" s="1826"/>
      <c r="H2648" s="1826"/>
      <c r="I2648" s="1157"/>
      <c r="J2648" s="1158"/>
      <c r="K2648" s="1156"/>
      <c r="L2648" s="1156"/>
      <c r="M2648" s="1160"/>
      <c r="N2648" s="1161" t="s">
        <v>2218</v>
      </c>
    </row>
    <row r="2649" spans="1:17" s="1170" customFormat="1" ht="16.5" hidden="1" customHeight="1">
      <c r="A2649" s="1156"/>
      <c r="B2649" s="1169" t="s">
        <v>3466</v>
      </c>
      <c r="C2649" s="1351"/>
      <c r="D2649" s="1171" t="s">
        <v>3330</v>
      </c>
      <c r="E2649" s="1352"/>
      <c r="F2649" s="1234"/>
      <c r="G2649" s="1234"/>
      <c r="H2649" s="1235"/>
      <c r="I2649" s="1353"/>
      <c r="J2649" s="1357"/>
      <c r="K2649" s="1169"/>
      <c r="L2649" s="1156"/>
      <c r="M2649" s="1169"/>
      <c r="N2649" s="1161" t="s">
        <v>2218</v>
      </c>
    </row>
    <row r="2650" spans="1:17" s="1170" customFormat="1" ht="16.5" hidden="1" customHeight="1">
      <c r="A2650" s="1156"/>
      <c r="B2650" s="1359"/>
      <c r="C2650" s="1360">
        <v>1</v>
      </c>
      <c r="D2650" s="1361" t="s">
        <v>273</v>
      </c>
      <c r="E2650" s="1362">
        <v>1</v>
      </c>
      <c r="F2650" s="1401">
        <v>18</v>
      </c>
      <c r="G2650" s="1363">
        <v>0</v>
      </c>
      <c r="H2650" s="1363">
        <v>0</v>
      </c>
      <c r="I2650" s="1336">
        <f>ROUND(IF(AND(F2650:H2650),C2650*E2650*F2650*G2650*H2650,IF(AND(F2650,G2650),C2650*E2650*F2650*G2650,IF(AND(F2650,H2650),C2650*E2650*F2650*H2650,IF(AND(G2650,H2650),C2650*E2650*G2650*H2650,IF(F2650,C2650*E2650*F2650,IF(G2650,C2650*E2650*G2650,IF(H2650,C2650*E2650*H2650,C2650*E2650))))))),2)</f>
        <v>18</v>
      </c>
      <c r="J2650" s="1357" t="s">
        <v>277</v>
      </c>
      <c r="K2650" s="1169"/>
      <c r="L2650" s="1156"/>
      <c r="M2650" s="1169"/>
      <c r="N2650" s="1161" t="s">
        <v>2218</v>
      </c>
    </row>
    <row r="2651" spans="1:17" s="1170" customFormat="1" ht="16.5" hidden="1" customHeight="1">
      <c r="A2651" s="1156"/>
      <c r="B2651" s="1359"/>
      <c r="C2651" s="1360"/>
      <c r="D2651" s="1361"/>
      <c r="E2651" s="1362"/>
      <c r="F2651" s="1401"/>
      <c r="G2651" s="1363"/>
      <c r="H2651" s="1363"/>
      <c r="I2651" s="1336"/>
      <c r="J2651" s="1357"/>
      <c r="K2651" s="1169"/>
      <c r="L2651" s="1156"/>
      <c r="M2651" s="1169"/>
      <c r="N2651" s="1161" t="s">
        <v>2218</v>
      </c>
    </row>
    <row r="2652" spans="1:17" ht="15.75" hidden="1">
      <c r="A2652" s="1156"/>
      <c r="B2652" s="1169"/>
      <c r="C2652" s="1337"/>
      <c r="D2652" s="1171"/>
      <c r="E2652" s="1165"/>
      <c r="F2652" s="1166"/>
      <c r="G2652" s="1343"/>
      <c r="H2652" s="1156"/>
      <c r="I2652" s="1336"/>
      <c r="J2652" s="1357" t="s">
        <v>277</v>
      </c>
      <c r="K2652" s="1221">
        <f>'SANITATION DTA'!G127</f>
        <v>325</v>
      </c>
      <c r="L2652" s="1159" t="s">
        <v>2218</v>
      </c>
      <c r="M2652" s="1224">
        <f>ROUND(I2652*K2652,0)</f>
        <v>0</v>
      </c>
      <c r="N2652" s="1161" t="s">
        <v>2218</v>
      </c>
    </row>
    <row r="2653" spans="1:17" s="1557" customFormat="1" ht="99.75" hidden="1" customHeight="1">
      <c r="A2653" s="1554">
        <v>9</v>
      </c>
      <c r="B2653" s="1855" t="s">
        <v>2769</v>
      </c>
      <c r="C2653" s="1855"/>
      <c r="D2653" s="1855"/>
      <c r="E2653" s="1855"/>
      <c r="F2653" s="1855"/>
      <c r="G2653" s="1855"/>
      <c r="H2653" s="1855"/>
      <c r="I2653" s="1555"/>
      <c r="J2653" s="1355"/>
      <c r="K2653" s="1554"/>
      <c r="L2653" s="1554"/>
      <c r="M2653" s="1556"/>
      <c r="N2653" s="1161" t="s">
        <v>2218</v>
      </c>
      <c r="O2653" s="1557" t="s">
        <v>0</v>
      </c>
      <c r="Q2653" s="1557" t="s">
        <v>0</v>
      </c>
    </row>
    <row r="2654" spans="1:17" s="1170" customFormat="1" ht="16.5" hidden="1" customHeight="1">
      <c r="A2654" s="1156"/>
      <c r="B2654" s="1169" t="s">
        <v>3466</v>
      </c>
      <c r="C2654" s="1351"/>
      <c r="D2654" s="1171" t="s">
        <v>3330</v>
      </c>
      <c r="E2654" s="1352"/>
      <c r="F2654" s="1234"/>
      <c r="G2654" s="1234"/>
      <c r="H2654" s="1235"/>
      <c r="I2654" s="1353"/>
      <c r="J2654" s="1357"/>
      <c r="K2654" s="1169"/>
      <c r="L2654" s="1156"/>
      <c r="M2654" s="1169"/>
      <c r="N2654" s="1161" t="s">
        <v>2218</v>
      </c>
    </row>
    <row r="2655" spans="1:17" s="1557" customFormat="1" ht="15.75" hidden="1">
      <c r="A2655" s="1554"/>
      <c r="B2655" s="1358"/>
      <c r="C2655" s="1558">
        <v>1</v>
      </c>
      <c r="D2655" s="1346" t="s">
        <v>273</v>
      </c>
      <c r="E2655" s="1355">
        <v>1</v>
      </c>
      <c r="F2655" s="1356">
        <v>0</v>
      </c>
      <c r="G2655" s="1484">
        <v>0</v>
      </c>
      <c r="H2655" s="1356">
        <v>0</v>
      </c>
      <c r="I2655" s="1559">
        <f>ROUND(IF(AND(F2655:H2655),C2655*E2655*F2655*G2655*H2655,IF(AND(F2655,G2655),C2655*E2655*F2655*G2655,IF(AND(F2655,H2655),C2655*E2655*F2655*H2655,IF(AND(G2655,H2655),C2655*E2655*G2655*H2655,IF(F2655,C2655*E2655*F2655,IF(G2655,C2655*E2655*G2655,IF(H2655,C2655*E2655*H2655,C2655*E2655))))))),2)</f>
        <v>1</v>
      </c>
      <c r="J2655" s="1439" t="s">
        <v>115</v>
      </c>
      <c r="K2655" s="1554"/>
      <c r="L2655" s="1554"/>
      <c r="M2655" s="1556"/>
      <c r="N2655" s="1161" t="s">
        <v>2218</v>
      </c>
    </row>
    <row r="2656" spans="1:17" s="1557" customFormat="1" ht="15.75" hidden="1">
      <c r="A2656" s="1554"/>
      <c r="B2656" s="1358"/>
      <c r="C2656" s="1558"/>
      <c r="D2656" s="1346"/>
      <c r="E2656" s="1355"/>
      <c r="F2656" s="1356"/>
      <c r="G2656" s="1484"/>
      <c r="H2656" s="1356"/>
      <c r="I2656" s="1559"/>
      <c r="J2656" s="1439"/>
      <c r="K2656" s="1554"/>
      <c r="L2656" s="1554"/>
      <c r="M2656" s="1556"/>
      <c r="N2656" s="1161" t="s">
        <v>2218</v>
      </c>
    </row>
    <row r="2657" spans="1:17" s="1557" customFormat="1" ht="15.75" hidden="1">
      <c r="A2657" s="1554"/>
      <c r="B2657" s="1756"/>
      <c r="C2657" s="1560"/>
      <c r="D2657" s="1346"/>
      <c r="E2657" s="1355"/>
      <c r="F2657" s="1561"/>
      <c r="G2657" s="1562"/>
      <c r="H2657" s="1561"/>
      <c r="I2657" s="1563"/>
      <c r="J2657" s="1439" t="s">
        <v>115</v>
      </c>
      <c r="K2657" s="1484">
        <f>'SANITATION DTA'!G124</f>
        <v>18409</v>
      </c>
      <c r="L2657" s="1159" t="s">
        <v>2218</v>
      </c>
      <c r="M2657" s="1564">
        <f>ROUND(I2657*K2657,0)</f>
        <v>0</v>
      </c>
      <c r="N2657" s="1161" t="s">
        <v>2218</v>
      </c>
      <c r="O2657" s="1557" t="s">
        <v>0</v>
      </c>
    </row>
    <row r="2658" spans="1:17" s="1557" customFormat="1" ht="30.75" hidden="1" customHeight="1">
      <c r="A2658" s="1554">
        <v>10</v>
      </c>
      <c r="B2658" s="1855" t="s">
        <v>591</v>
      </c>
      <c r="C2658" s="1855"/>
      <c r="D2658" s="1855"/>
      <c r="E2658" s="1855"/>
      <c r="F2658" s="1855"/>
      <c r="G2658" s="1855"/>
      <c r="H2658" s="1855"/>
      <c r="I2658" s="1555"/>
      <c r="J2658" s="1355"/>
      <c r="K2658" s="1554"/>
      <c r="L2658" s="1554"/>
      <c r="M2658" s="1556"/>
      <c r="N2658" s="1161" t="s">
        <v>2218</v>
      </c>
      <c r="O2658" s="1557" t="s">
        <v>0</v>
      </c>
      <c r="Q2658" s="1557" t="s">
        <v>0</v>
      </c>
    </row>
    <row r="2659" spans="1:17" s="1170" customFormat="1" ht="16.5" hidden="1" customHeight="1">
      <c r="A2659" s="1156"/>
      <c r="B2659" s="1169" t="s">
        <v>3473</v>
      </c>
      <c r="C2659" s="1351"/>
      <c r="D2659" s="1171" t="s">
        <v>3330</v>
      </c>
      <c r="E2659" s="1352"/>
      <c r="F2659" s="1234"/>
      <c r="G2659" s="1234"/>
      <c r="H2659" s="1235"/>
      <c r="I2659" s="1353"/>
      <c r="J2659" s="1357"/>
      <c r="K2659" s="1169"/>
      <c r="L2659" s="1156"/>
      <c r="M2659" s="1169"/>
      <c r="N2659" s="1161" t="s">
        <v>2218</v>
      </c>
    </row>
    <row r="2660" spans="1:17" s="1557" customFormat="1" ht="15.75" hidden="1">
      <c r="A2660" s="1554"/>
      <c r="B2660" s="1358"/>
      <c r="C2660" s="1558">
        <v>1</v>
      </c>
      <c r="D2660" s="1346" t="s">
        <v>273</v>
      </c>
      <c r="E2660" s="1355">
        <v>1</v>
      </c>
      <c r="F2660" s="1565">
        <v>85</v>
      </c>
      <c r="G2660" s="1484">
        <v>0</v>
      </c>
      <c r="H2660" s="1356">
        <v>0</v>
      </c>
      <c r="I2660" s="1566">
        <f>ROUND(IF(AND(F2660:H2660),C2660*E2660*F2660*G2660*H2660,IF(AND(F2660,G2660),C2660*E2660*F2660*G2660,IF(AND(F2660,H2660),C2660*E2660*F2660*H2660,IF(AND(G2660,H2660),C2660*E2660*G2660*H2660,IF(F2660,C2660*E2660*F2660,IF(G2660,C2660*E2660*G2660,IF(H2660,C2660*E2660*H2660,C2660*E2660))))))),2)</f>
        <v>85</v>
      </c>
      <c r="J2660" s="1439" t="s">
        <v>277</v>
      </c>
      <c r="K2660" s="1554"/>
      <c r="L2660" s="1554"/>
      <c r="M2660" s="1556"/>
      <c r="N2660" s="1161" t="s">
        <v>2218</v>
      </c>
    </row>
    <row r="2661" spans="1:17" s="1557" customFormat="1" ht="15.75" hidden="1">
      <c r="A2661" s="1554"/>
      <c r="B2661" s="1358"/>
      <c r="C2661" s="1558"/>
      <c r="D2661" s="1346"/>
      <c r="E2661" s="1355"/>
      <c r="F2661" s="1565"/>
      <c r="G2661" s="1484"/>
      <c r="H2661" s="1356"/>
      <c r="I2661" s="1566"/>
      <c r="J2661" s="1439"/>
      <c r="K2661" s="1554"/>
      <c r="L2661" s="1554"/>
      <c r="M2661" s="1556"/>
      <c r="N2661" s="1161" t="s">
        <v>2218</v>
      </c>
    </row>
    <row r="2662" spans="1:17" s="1557" customFormat="1" ht="15.75" hidden="1">
      <c r="A2662" s="1554"/>
      <c r="B2662" s="1756"/>
      <c r="C2662" s="1560"/>
      <c r="D2662" s="1346"/>
      <c r="E2662" s="1355"/>
      <c r="F2662" s="1561"/>
      <c r="G2662" s="1562"/>
      <c r="H2662" s="1561"/>
      <c r="I2662" s="1483"/>
      <c r="J2662" s="1439" t="s">
        <v>277</v>
      </c>
      <c r="K2662" s="1484">
        <f>'SANITATION DTA'!G130</f>
        <v>64</v>
      </c>
      <c r="L2662" s="1159" t="s">
        <v>2218</v>
      </c>
      <c r="M2662" s="1564">
        <f>ROUND(I2662*K2662,0)</f>
        <v>0</v>
      </c>
      <c r="N2662" s="1161" t="s">
        <v>2218</v>
      </c>
      <c r="O2662" s="1557" t="s">
        <v>0</v>
      </c>
    </row>
    <row r="2663" spans="1:17" s="1557" customFormat="1" ht="20.25" hidden="1" customHeight="1">
      <c r="A2663" s="1554">
        <v>11</v>
      </c>
      <c r="B2663" s="1855" t="s">
        <v>284</v>
      </c>
      <c r="C2663" s="1855"/>
      <c r="D2663" s="1855"/>
      <c r="E2663" s="1855"/>
      <c r="F2663" s="1855"/>
      <c r="G2663" s="1855"/>
      <c r="H2663" s="1855"/>
      <c r="I2663" s="1555"/>
      <c r="J2663" s="1355"/>
      <c r="K2663" s="1554"/>
      <c r="L2663" s="1554"/>
      <c r="M2663" s="1556"/>
      <c r="N2663" s="1161" t="s">
        <v>2218</v>
      </c>
      <c r="O2663" s="1557" t="s">
        <v>0</v>
      </c>
      <c r="Q2663" s="1557" t="s">
        <v>0</v>
      </c>
    </row>
    <row r="2664" spans="1:17" s="1170" customFormat="1" ht="16.5" hidden="1" customHeight="1">
      <c r="A2664" s="1156"/>
      <c r="B2664" s="1169" t="s">
        <v>3473</v>
      </c>
      <c r="C2664" s="1351"/>
      <c r="D2664" s="1171" t="s">
        <v>3330</v>
      </c>
      <c r="E2664" s="1352"/>
      <c r="F2664" s="1234"/>
      <c r="G2664" s="1234"/>
      <c r="H2664" s="1235"/>
      <c r="I2664" s="1353"/>
      <c r="J2664" s="1357"/>
      <c r="K2664" s="1169"/>
      <c r="L2664" s="1156"/>
      <c r="M2664" s="1169"/>
      <c r="N2664" s="1161" t="s">
        <v>2218</v>
      </c>
    </row>
    <row r="2665" spans="1:17" s="1557" customFormat="1" ht="15.75" hidden="1">
      <c r="A2665" s="1554"/>
      <c r="B2665" s="1358"/>
      <c r="C2665" s="1558">
        <v>1</v>
      </c>
      <c r="D2665" s="1346" t="s">
        <v>273</v>
      </c>
      <c r="E2665" s="1355">
        <v>1</v>
      </c>
      <c r="F2665" s="1356">
        <v>0</v>
      </c>
      <c r="G2665" s="1484">
        <v>0</v>
      </c>
      <c r="H2665" s="1356">
        <v>0</v>
      </c>
      <c r="I2665" s="1559">
        <f>ROUND(IF(AND(F2665:H2665),C2665*E2665*F2665*G2665*H2665,IF(AND(F2665,G2665),C2665*E2665*F2665*G2665,IF(AND(F2665,H2665),C2665*E2665*F2665*H2665,IF(AND(G2665,H2665),C2665*E2665*G2665*H2665,IF(F2665,C2665*E2665*F2665,IF(G2665,C2665*E2665*G2665,IF(H2665,C2665*E2665*H2665,C2665*E2665))))))),2)</f>
        <v>1</v>
      </c>
      <c r="J2665" s="1439" t="s">
        <v>115</v>
      </c>
      <c r="K2665" s="1554"/>
      <c r="L2665" s="1554"/>
      <c r="M2665" s="1556"/>
      <c r="N2665" s="1161" t="s">
        <v>2218</v>
      </c>
    </row>
    <row r="2666" spans="1:17" s="1557" customFormat="1" ht="15.75" hidden="1">
      <c r="A2666" s="1554"/>
      <c r="B2666" s="1358"/>
      <c r="C2666" s="1558"/>
      <c r="D2666" s="1346"/>
      <c r="E2666" s="1355"/>
      <c r="F2666" s="1356"/>
      <c r="G2666" s="1484"/>
      <c r="H2666" s="1356"/>
      <c r="I2666" s="1559"/>
      <c r="J2666" s="1439"/>
      <c r="K2666" s="1554"/>
      <c r="L2666" s="1554"/>
      <c r="M2666" s="1556"/>
      <c r="N2666" s="1161" t="s">
        <v>2218</v>
      </c>
    </row>
    <row r="2667" spans="1:17" s="1557" customFormat="1" ht="15.75" hidden="1">
      <c r="A2667" s="1554"/>
      <c r="B2667" s="1756"/>
      <c r="C2667" s="1560"/>
      <c r="D2667" s="1346"/>
      <c r="E2667" s="1355"/>
      <c r="F2667" s="1561"/>
      <c r="G2667" s="1562"/>
      <c r="H2667" s="1561"/>
      <c r="I2667" s="1563"/>
      <c r="J2667" s="1439" t="s">
        <v>115</v>
      </c>
      <c r="K2667" s="1484">
        <f>'SANITATION DTA'!G136</f>
        <v>109</v>
      </c>
      <c r="L2667" s="1159" t="s">
        <v>2218</v>
      </c>
      <c r="M2667" s="1564">
        <f>ROUND(I2667*K2667,0)</f>
        <v>0</v>
      </c>
      <c r="N2667" s="1161" t="s">
        <v>2218</v>
      </c>
      <c r="O2667" s="1557" t="s">
        <v>0</v>
      </c>
    </row>
    <row r="2668" spans="1:17" s="1557" customFormat="1" ht="20.25" hidden="1" customHeight="1">
      <c r="A2668" s="1554">
        <v>12</v>
      </c>
      <c r="B2668" s="1855" t="s">
        <v>285</v>
      </c>
      <c r="C2668" s="1855"/>
      <c r="D2668" s="1855"/>
      <c r="E2668" s="1855"/>
      <c r="F2668" s="1855"/>
      <c r="G2668" s="1855"/>
      <c r="H2668" s="1855"/>
      <c r="I2668" s="1555"/>
      <c r="J2668" s="1355"/>
      <c r="K2668" s="1554"/>
      <c r="L2668" s="1554"/>
      <c r="M2668" s="1556"/>
      <c r="N2668" s="1161" t="s">
        <v>2218</v>
      </c>
      <c r="O2668" s="1557" t="s">
        <v>0</v>
      </c>
      <c r="Q2668" s="1557" t="s">
        <v>0</v>
      </c>
    </row>
    <row r="2669" spans="1:17" s="1170" customFormat="1" ht="16.5" hidden="1" customHeight="1">
      <c r="A2669" s="1156"/>
      <c r="B2669" s="1169" t="s">
        <v>3473</v>
      </c>
      <c r="C2669" s="1351"/>
      <c r="D2669" s="1171" t="s">
        <v>3330</v>
      </c>
      <c r="E2669" s="1352"/>
      <c r="F2669" s="1234"/>
      <c r="G2669" s="1234"/>
      <c r="H2669" s="1235"/>
      <c r="I2669" s="1353"/>
      <c r="J2669" s="1357"/>
      <c r="K2669" s="1169"/>
      <c r="L2669" s="1156"/>
      <c r="M2669" s="1169"/>
      <c r="N2669" s="1161" t="s">
        <v>2218</v>
      </c>
    </row>
    <row r="2670" spans="1:17" s="1557" customFormat="1" ht="15.75" hidden="1">
      <c r="A2670" s="1554"/>
      <c r="B2670" s="1358"/>
      <c r="C2670" s="1558">
        <v>1</v>
      </c>
      <c r="D2670" s="1346" t="s">
        <v>273</v>
      </c>
      <c r="E2670" s="1355">
        <v>1</v>
      </c>
      <c r="F2670" s="1356">
        <v>0.5</v>
      </c>
      <c r="G2670" s="1484">
        <v>0</v>
      </c>
      <c r="H2670" s="1356">
        <v>0</v>
      </c>
      <c r="I2670" s="1566">
        <f>ROUND(IF(AND(F2670:H2670),C2670*E2670*F2670*G2670*H2670,IF(AND(F2670,G2670),C2670*E2670*F2670*G2670,IF(AND(F2670,H2670),C2670*E2670*F2670*H2670,IF(AND(G2670,H2670),C2670*E2670*G2670*H2670,IF(F2670,C2670*E2670*F2670,IF(G2670,C2670*E2670*G2670,IF(H2670,C2670*E2670*H2670,C2670*E2670))))))),2)</f>
        <v>0.5</v>
      </c>
      <c r="J2670" s="1439" t="s">
        <v>277</v>
      </c>
      <c r="K2670" s="1554"/>
      <c r="L2670" s="1554"/>
      <c r="M2670" s="1556"/>
      <c r="N2670" s="1161" t="s">
        <v>2218</v>
      </c>
    </row>
    <row r="2671" spans="1:17" s="1557" customFormat="1" ht="15.75" hidden="1">
      <c r="A2671" s="1554"/>
      <c r="B2671" s="1358"/>
      <c r="C2671" s="1558"/>
      <c r="D2671" s="1346"/>
      <c r="E2671" s="1355"/>
      <c r="F2671" s="1356"/>
      <c r="G2671" s="1484"/>
      <c r="H2671" s="1356"/>
      <c r="I2671" s="1566"/>
      <c r="J2671" s="1439"/>
      <c r="K2671" s="1554"/>
      <c r="L2671" s="1554"/>
      <c r="M2671" s="1556"/>
      <c r="N2671" s="1161" t="s">
        <v>2218</v>
      </c>
    </row>
    <row r="2672" spans="1:17" s="1557" customFormat="1" ht="15.75" hidden="1">
      <c r="A2672" s="1554"/>
      <c r="B2672" s="1756"/>
      <c r="C2672" s="1560"/>
      <c r="D2672" s="1346"/>
      <c r="E2672" s="1355"/>
      <c r="F2672" s="1561"/>
      <c r="G2672" s="1562"/>
      <c r="H2672" s="1561"/>
      <c r="I2672" s="1483"/>
      <c r="J2672" s="1439" t="s">
        <v>277</v>
      </c>
      <c r="K2672" s="1484">
        <f>'SANITATION DTA'!G139</f>
        <v>198</v>
      </c>
      <c r="L2672" s="1159" t="s">
        <v>2218</v>
      </c>
      <c r="M2672" s="1564">
        <f>ROUND(I2672*K2672,0)</f>
        <v>0</v>
      </c>
      <c r="N2672" s="1161" t="s">
        <v>2218</v>
      </c>
      <c r="O2672" s="1557" t="s">
        <v>0</v>
      </c>
    </row>
    <row r="2673" spans="1:17" s="1557" customFormat="1" ht="20.25" hidden="1" customHeight="1">
      <c r="A2673" s="1554">
        <v>13</v>
      </c>
      <c r="B2673" s="1855" t="s">
        <v>286</v>
      </c>
      <c r="C2673" s="1855"/>
      <c r="D2673" s="1855"/>
      <c r="E2673" s="1855"/>
      <c r="F2673" s="1855"/>
      <c r="G2673" s="1855"/>
      <c r="H2673" s="1855"/>
      <c r="I2673" s="1555"/>
      <c r="J2673" s="1355"/>
      <c r="K2673" s="1554"/>
      <c r="L2673" s="1554"/>
      <c r="M2673" s="1556"/>
      <c r="N2673" s="1161" t="s">
        <v>2218</v>
      </c>
      <c r="O2673" s="1557" t="s">
        <v>0</v>
      </c>
      <c r="Q2673" s="1557" t="s">
        <v>0</v>
      </c>
    </row>
    <row r="2674" spans="1:17" s="1170" customFormat="1" ht="16.5" hidden="1" customHeight="1">
      <c r="A2674" s="1156"/>
      <c r="B2674" s="1169" t="s">
        <v>3473</v>
      </c>
      <c r="C2674" s="1351"/>
      <c r="D2674" s="1171" t="s">
        <v>3330</v>
      </c>
      <c r="E2674" s="1352"/>
      <c r="F2674" s="1234"/>
      <c r="G2674" s="1234"/>
      <c r="H2674" s="1235"/>
      <c r="I2674" s="1353"/>
      <c r="J2674" s="1357"/>
      <c r="K2674" s="1169"/>
      <c r="L2674" s="1156"/>
      <c r="M2674" s="1169"/>
      <c r="N2674" s="1161" t="s">
        <v>2218</v>
      </c>
    </row>
    <row r="2675" spans="1:17" s="1557" customFormat="1" ht="15.75" hidden="1">
      <c r="A2675" s="1554"/>
      <c r="B2675" s="1358"/>
      <c r="C2675" s="1558">
        <v>1</v>
      </c>
      <c r="D2675" s="1346" t="s">
        <v>273</v>
      </c>
      <c r="E2675" s="1355">
        <v>1</v>
      </c>
      <c r="F2675" s="1356">
        <v>0</v>
      </c>
      <c r="G2675" s="1484">
        <v>0</v>
      </c>
      <c r="H2675" s="1356">
        <v>0</v>
      </c>
      <c r="I2675" s="1559">
        <f>ROUND(IF(AND(F2675:H2675),C2675*E2675*F2675*G2675*H2675,IF(AND(F2675,G2675),C2675*E2675*F2675*G2675,IF(AND(F2675,H2675),C2675*E2675*F2675*H2675,IF(AND(G2675,H2675),C2675*E2675*G2675*H2675,IF(F2675,C2675*E2675*F2675,IF(G2675,C2675*E2675*G2675,IF(H2675,C2675*E2675*H2675,C2675*E2675))))))),2)</f>
        <v>1</v>
      </c>
      <c r="J2675" s="1439" t="s">
        <v>115</v>
      </c>
      <c r="K2675" s="1554"/>
      <c r="L2675" s="1554"/>
      <c r="M2675" s="1556"/>
      <c r="N2675" s="1161" t="s">
        <v>2218</v>
      </c>
    </row>
    <row r="2676" spans="1:17" s="1557" customFormat="1" ht="15.75" hidden="1">
      <c r="A2676" s="1554"/>
      <c r="B2676" s="1358"/>
      <c r="C2676" s="1558"/>
      <c r="D2676" s="1346"/>
      <c r="E2676" s="1355"/>
      <c r="F2676" s="1356"/>
      <c r="G2676" s="1484"/>
      <c r="H2676" s="1356"/>
      <c r="I2676" s="1559"/>
      <c r="J2676" s="1439"/>
      <c r="K2676" s="1554"/>
      <c r="L2676" s="1554"/>
      <c r="M2676" s="1556"/>
      <c r="N2676" s="1161" t="s">
        <v>2218</v>
      </c>
    </row>
    <row r="2677" spans="1:17" s="1557" customFormat="1" ht="15.75" hidden="1">
      <c r="A2677" s="1554"/>
      <c r="B2677" s="1756"/>
      <c r="C2677" s="1560"/>
      <c r="D2677" s="1346"/>
      <c r="E2677" s="1355"/>
      <c r="F2677" s="1561"/>
      <c r="G2677" s="1562"/>
      <c r="H2677" s="1561"/>
      <c r="I2677" s="1563"/>
      <c r="J2677" s="1439" t="s">
        <v>115</v>
      </c>
      <c r="K2677" s="1484">
        <f>'SANITATION DTA'!G142</f>
        <v>22</v>
      </c>
      <c r="L2677" s="1159" t="s">
        <v>2218</v>
      </c>
      <c r="M2677" s="1564">
        <f>ROUND(I2677*K2677,0)</f>
        <v>0</v>
      </c>
      <c r="N2677" s="1161" t="s">
        <v>2218</v>
      </c>
      <c r="O2677" s="1557" t="s">
        <v>0</v>
      </c>
    </row>
    <row r="2678" spans="1:17" s="1557" customFormat="1" ht="20.25" hidden="1" customHeight="1">
      <c r="A2678" s="1554">
        <v>14</v>
      </c>
      <c r="B2678" s="1855" t="s">
        <v>287</v>
      </c>
      <c r="C2678" s="1855"/>
      <c r="D2678" s="1855"/>
      <c r="E2678" s="1855"/>
      <c r="F2678" s="1855"/>
      <c r="G2678" s="1855"/>
      <c r="H2678" s="1855"/>
      <c r="I2678" s="1555"/>
      <c r="J2678" s="1355"/>
      <c r="K2678" s="1554"/>
      <c r="L2678" s="1554"/>
      <c r="M2678" s="1556"/>
      <c r="N2678" s="1161" t="s">
        <v>2218</v>
      </c>
      <c r="O2678" s="1557" t="s">
        <v>0</v>
      </c>
      <c r="Q2678" s="1557" t="s">
        <v>0</v>
      </c>
    </row>
    <row r="2679" spans="1:17" s="1170" customFormat="1" ht="16.5" hidden="1" customHeight="1">
      <c r="A2679" s="1156"/>
      <c r="B2679" s="1169" t="s">
        <v>3473</v>
      </c>
      <c r="C2679" s="1351"/>
      <c r="D2679" s="1171" t="s">
        <v>3330</v>
      </c>
      <c r="E2679" s="1352"/>
      <c r="F2679" s="1234"/>
      <c r="G2679" s="1234"/>
      <c r="H2679" s="1235"/>
      <c r="I2679" s="1353"/>
      <c r="J2679" s="1357"/>
      <c r="K2679" s="1169"/>
      <c r="L2679" s="1156"/>
      <c r="M2679" s="1169"/>
      <c r="N2679" s="1161" t="s">
        <v>2218</v>
      </c>
    </row>
    <row r="2680" spans="1:17" s="1557" customFormat="1" ht="15.75" hidden="1">
      <c r="A2680" s="1554"/>
      <c r="B2680" s="1358"/>
      <c r="C2680" s="1558">
        <v>1</v>
      </c>
      <c r="D2680" s="1346" t="s">
        <v>273</v>
      </c>
      <c r="E2680" s="1355">
        <v>1</v>
      </c>
      <c r="F2680" s="1356">
        <v>0</v>
      </c>
      <c r="G2680" s="1484">
        <v>0</v>
      </c>
      <c r="H2680" s="1356">
        <v>0</v>
      </c>
      <c r="I2680" s="1559">
        <f>ROUND(IF(AND(F2680:H2680),C2680*E2680*F2680*G2680*H2680,IF(AND(F2680,G2680),C2680*E2680*F2680*G2680,IF(AND(F2680,H2680),C2680*E2680*F2680*H2680,IF(AND(G2680,H2680),C2680*E2680*G2680*H2680,IF(F2680,C2680*E2680*F2680,IF(G2680,C2680*E2680*G2680,IF(H2680,C2680*E2680*H2680,C2680*E2680))))))),2)</f>
        <v>1</v>
      </c>
      <c r="J2680" s="1439" t="s">
        <v>115</v>
      </c>
      <c r="K2680" s="1554"/>
      <c r="L2680" s="1554"/>
      <c r="M2680" s="1556"/>
      <c r="N2680" s="1161" t="s">
        <v>2218</v>
      </c>
    </row>
    <row r="2681" spans="1:17" s="1557" customFormat="1" ht="15.75" hidden="1">
      <c r="A2681" s="1554"/>
      <c r="B2681" s="1358"/>
      <c r="C2681" s="1558"/>
      <c r="D2681" s="1346"/>
      <c r="E2681" s="1355"/>
      <c r="F2681" s="1356"/>
      <c r="G2681" s="1484"/>
      <c r="H2681" s="1356"/>
      <c r="I2681" s="1559"/>
      <c r="J2681" s="1439"/>
      <c r="K2681" s="1554"/>
      <c r="L2681" s="1554"/>
      <c r="M2681" s="1556"/>
      <c r="N2681" s="1161" t="s">
        <v>2218</v>
      </c>
    </row>
    <row r="2682" spans="1:17" s="1557" customFormat="1" ht="15.75" hidden="1">
      <c r="A2682" s="1554"/>
      <c r="B2682" s="1756"/>
      <c r="C2682" s="1560"/>
      <c r="D2682" s="1346"/>
      <c r="E2682" s="1355"/>
      <c r="F2682" s="1561"/>
      <c r="G2682" s="1562"/>
      <c r="H2682" s="1561"/>
      <c r="I2682" s="1563"/>
      <c r="J2682" s="1439" t="s">
        <v>115</v>
      </c>
      <c r="K2682" s="1484">
        <f>'SANITATION DTA'!G133</f>
        <v>145.19999999999999</v>
      </c>
      <c r="L2682" s="1159" t="s">
        <v>2218</v>
      </c>
      <c r="M2682" s="1564">
        <f>ROUND(I2682*K2682,0)</f>
        <v>0</v>
      </c>
      <c r="N2682" s="1161" t="s">
        <v>2218</v>
      </c>
      <c r="O2682" s="1557" t="s">
        <v>0</v>
      </c>
    </row>
    <row r="2683" spans="1:17" s="1557" customFormat="1" ht="48" hidden="1" customHeight="1">
      <c r="A2683" s="1554">
        <v>15</v>
      </c>
      <c r="B2683" s="1855" t="s">
        <v>288</v>
      </c>
      <c r="C2683" s="1855"/>
      <c r="D2683" s="1855"/>
      <c r="E2683" s="1855"/>
      <c r="F2683" s="1855"/>
      <c r="G2683" s="1855"/>
      <c r="H2683" s="1855"/>
      <c r="I2683" s="1555"/>
      <c r="J2683" s="1355"/>
      <c r="K2683" s="1554"/>
      <c r="L2683" s="1554"/>
      <c r="M2683" s="1556"/>
      <c r="N2683" s="1161" t="s">
        <v>2218</v>
      </c>
      <c r="O2683" s="1557" t="s">
        <v>0</v>
      </c>
      <c r="Q2683" s="1557" t="s">
        <v>0</v>
      </c>
    </row>
    <row r="2684" spans="1:17" s="1170" customFormat="1" ht="16.5" hidden="1" customHeight="1">
      <c r="A2684" s="1156"/>
      <c r="B2684" s="1169" t="s">
        <v>3508</v>
      </c>
      <c r="C2684" s="1351"/>
      <c r="D2684" s="1171" t="s">
        <v>3330</v>
      </c>
      <c r="E2684" s="1352"/>
      <c r="F2684" s="1234"/>
      <c r="G2684" s="1234"/>
      <c r="H2684" s="1235"/>
      <c r="I2684" s="1353"/>
      <c r="J2684" s="1357"/>
      <c r="K2684" s="1169"/>
      <c r="L2684" s="1156"/>
      <c r="M2684" s="1169"/>
      <c r="N2684" s="1161" t="s">
        <v>2218</v>
      </c>
    </row>
    <row r="2685" spans="1:17" s="1557" customFormat="1" ht="15.75" hidden="1">
      <c r="A2685" s="1554"/>
      <c r="B2685" s="1358"/>
      <c r="C2685" s="1558">
        <v>1</v>
      </c>
      <c r="D2685" s="1346" t="s">
        <v>273</v>
      </c>
      <c r="E2685" s="1355">
        <v>1</v>
      </c>
      <c r="F2685" s="1484">
        <v>90</v>
      </c>
      <c r="G2685" s="1484">
        <v>0</v>
      </c>
      <c r="H2685" s="1356">
        <v>0</v>
      </c>
      <c r="I2685" s="1566">
        <f>ROUND(IF(AND(F2685:H2685),C2685*E2685*F2685*G2685*H2685,IF(AND(F2685,G2685),C2685*E2685*F2685*G2685,IF(AND(F2685,H2685),C2685*E2685*F2685*H2685,IF(AND(G2685,H2685),C2685*E2685*G2685*H2685,IF(F2685,C2685*E2685*F2685,IF(G2685,C2685*E2685*G2685,IF(H2685,C2685*E2685*H2685,C2685*E2685))))))),2)</f>
        <v>90</v>
      </c>
      <c r="J2685" s="1439" t="s">
        <v>277</v>
      </c>
      <c r="K2685" s="1554"/>
      <c r="L2685" s="1554"/>
      <c r="M2685" s="1556"/>
      <c r="N2685" s="1161" t="s">
        <v>2218</v>
      </c>
    </row>
    <row r="2686" spans="1:17" s="1557" customFormat="1" ht="15.75" hidden="1">
      <c r="A2686" s="1554"/>
      <c r="B2686" s="1358"/>
      <c r="C2686" s="1558"/>
      <c r="D2686" s="1346"/>
      <c r="E2686" s="1355"/>
      <c r="F2686" s="1484"/>
      <c r="G2686" s="1484"/>
      <c r="H2686" s="1356"/>
      <c r="I2686" s="1566"/>
      <c r="J2686" s="1439"/>
      <c r="K2686" s="1554"/>
      <c r="L2686" s="1554"/>
      <c r="M2686" s="1556"/>
      <c r="N2686" s="1161" t="s">
        <v>2218</v>
      </c>
    </row>
    <row r="2687" spans="1:17" s="1557" customFormat="1" ht="17.25" hidden="1" customHeight="1">
      <c r="A2687" s="1554"/>
      <c r="B2687" s="1756"/>
      <c r="C2687" s="1560"/>
      <c r="D2687" s="1346"/>
      <c r="E2687" s="1355"/>
      <c r="F2687" s="1561"/>
      <c r="G2687" s="1562"/>
      <c r="H2687" s="1561"/>
      <c r="I2687" s="1483"/>
      <c r="J2687" s="1439" t="s">
        <v>277</v>
      </c>
      <c r="K2687" s="1484">
        <f>'SANITATION DTA'!G145</f>
        <v>80</v>
      </c>
      <c r="L2687" s="1159" t="s">
        <v>2218</v>
      </c>
      <c r="M2687" s="1564">
        <f>ROUND(I2687*K2687,0)</f>
        <v>0</v>
      </c>
      <c r="N2687" s="1161" t="s">
        <v>2218</v>
      </c>
      <c r="O2687" s="1557" t="s">
        <v>0</v>
      </c>
    </row>
    <row r="2688" spans="1:17" s="1557" customFormat="1" ht="81" hidden="1" customHeight="1">
      <c r="A2688" s="1554">
        <v>16</v>
      </c>
      <c r="B2688" s="1856" t="s">
        <v>381</v>
      </c>
      <c r="C2688" s="1855"/>
      <c r="D2688" s="1855"/>
      <c r="E2688" s="1855"/>
      <c r="F2688" s="1855"/>
      <c r="G2688" s="1855"/>
      <c r="H2688" s="1855"/>
      <c r="I2688" s="1555"/>
      <c r="J2688" s="1355"/>
      <c r="K2688" s="1554"/>
      <c r="L2688" s="1554"/>
      <c r="M2688" s="1556"/>
      <c r="N2688" s="1161" t="s">
        <v>2218</v>
      </c>
      <c r="O2688" s="1557" t="s">
        <v>0</v>
      </c>
      <c r="Q2688" s="1557" t="s">
        <v>0</v>
      </c>
    </row>
    <row r="2689" spans="1:15" s="1170" customFormat="1" ht="16.5" hidden="1" customHeight="1">
      <c r="A2689" s="1156"/>
      <c r="B2689" s="1169" t="s">
        <v>3508</v>
      </c>
      <c r="C2689" s="1351"/>
      <c r="D2689" s="1171" t="s">
        <v>3330</v>
      </c>
      <c r="E2689" s="1352"/>
      <c r="F2689" s="1234"/>
      <c r="G2689" s="1234"/>
      <c r="H2689" s="1235"/>
      <c r="I2689" s="1353"/>
      <c r="J2689" s="1357"/>
      <c r="K2689" s="1169"/>
      <c r="L2689" s="1156"/>
      <c r="M2689" s="1169"/>
      <c r="N2689" s="1161" t="s">
        <v>2218</v>
      </c>
    </row>
    <row r="2690" spans="1:15" s="1557" customFormat="1" ht="15.75" hidden="1">
      <c r="A2690" s="1554"/>
      <c r="B2690" s="1358"/>
      <c r="C2690" s="1558">
        <v>1</v>
      </c>
      <c r="D2690" s="1346" t="s">
        <v>273</v>
      </c>
      <c r="E2690" s="1355">
        <v>1</v>
      </c>
      <c r="F2690" s="1356">
        <v>0</v>
      </c>
      <c r="G2690" s="1484">
        <v>0</v>
      </c>
      <c r="H2690" s="1356">
        <v>0</v>
      </c>
      <c r="I2690" s="1559">
        <f>ROUND(IF(AND(F2690:H2690),C2690*E2690*F2690*G2690*H2690,IF(AND(F2690,G2690),C2690*E2690*F2690*G2690,IF(AND(F2690,H2690),C2690*E2690*F2690*H2690,IF(AND(G2690,H2690),C2690*E2690*G2690*H2690,IF(F2690,C2690*E2690*F2690,IF(G2690,C2690*E2690*G2690,IF(H2690,C2690*E2690*H2690,C2690*E2690))))))),2)</f>
        <v>1</v>
      </c>
      <c r="J2690" s="1439" t="s">
        <v>115</v>
      </c>
      <c r="K2690" s="1554"/>
      <c r="L2690" s="1554"/>
      <c r="M2690" s="1556"/>
      <c r="N2690" s="1161" t="s">
        <v>2218</v>
      </c>
    </row>
    <row r="2691" spans="1:15" s="1557" customFormat="1" ht="15.75" hidden="1">
      <c r="A2691" s="1554"/>
      <c r="B2691" s="1358"/>
      <c r="C2691" s="1558"/>
      <c r="D2691" s="1346"/>
      <c r="E2691" s="1355"/>
      <c r="F2691" s="1356"/>
      <c r="G2691" s="1484"/>
      <c r="H2691" s="1356"/>
      <c r="I2691" s="1559"/>
      <c r="J2691" s="1439"/>
      <c r="K2691" s="1554"/>
      <c r="L2691" s="1554"/>
      <c r="M2691" s="1556"/>
      <c r="N2691" s="1161" t="s">
        <v>2218</v>
      </c>
    </row>
    <row r="2692" spans="1:15" s="1557" customFormat="1" ht="17.25" hidden="1" customHeight="1">
      <c r="A2692" s="1554"/>
      <c r="B2692" s="1756"/>
      <c r="C2692" s="1560"/>
      <c r="D2692" s="1346"/>
      <c r="E2692" s="1355"/>
      <c r="F2692" s="1561"/>
      <c r="G2692" s="1562"/>
      <c r="H2692" s="1561"/>
      <c r="I2692" s="1563"/>
      <c r="J2692" s="1439" t="s">
        <v>115</v>
      </c>
      <c r="K2692" s="1484">
        <f>'SANITATION DTA'!G148</f>
        <v>4500</v>
      </c>
      <c r="L2692" s="1159" t="s">
        <v>2218</v>
      </c>
      <c r="M2692" s="1564">
        <f>ROUND(I2692*K2692,0)</f>
        <v>0</v>
      </c>
      <c r="N2692" s="1161" t="s">
        <v>2218</v>
      </c>
      <c r="O2692" s="1557" t="s">
        <v>0</v>
      </c>
    </row>
    <row r="2693" spans="1:15" s="1320" customFormat="1" ht="15.75" hidden="1">
      <c r="A2693" s="1212"/>
      <c r="B2693" s="1212" t="s">
        <v>2220</v>
      </c>
      <c r="C2693" s="1212"/>
      <c r="D2693" s="1212"/>
      <c r="E2693" s="1212"/>
      <c r="F2693" s="1240"/>
      <c r="G2693" s="1240"/>
      <c r="H2693" s="1212"/>
      <c r="I2693" s="1546"/>
      <c r="J2693" s="1547"/>
      <c r="K2693" s="1212"/>
      <c r="L2693" s="1212"/>
      <c r="M2693" s="1212"/>
      <c r="N2693" s="1161" t="s">
        <v>2306</v>
      </c>
    </row>
    <row r="2694" spans="1:15" ht="63.75" hidden="1" customHeight="1">
      <c r="A2694" s="1156">
        <v>1</v>
      </c>
      <c r="B2694" s="1826" t="s">
        <v>308</v>
      </c>
      <c r="C2694" s="1826"/>
      <c r="D2694" s="1826"/>
      <c r="E2694" s="1826"/>
      <c r="F2694" s="1826"/>
      <c r="G2694" s="1826"/>
      <c r="H2694" s="1826"/>
      <c r="I2694" s="1157"/>
      <c r="J2694" s="1158"/>
      <c r="K2694" s="1156"/>
      <c r="L2694" s="1156"/>
      <c r="M2694" s="1160"/>
      <c r="N2694" s="1161" t="s">
        <v>2306</v>
      </c>
    </row>
    <row r="2695" spans="1:15" s="1170" customFormat="1" ht="16.5" hidden="1" customHeight="1">
      <c r="A2695" s="1156"/>
      <c r="B2695" s="1169" t="s">
        <v>2347</v>
      </c>
      <c r="C2695" s="1351"/>
      <c r="D2695" s="1418"/>
      <c r="E2695" s="1352"/>
      <c r="F2695" s="1234"/>
      <c r="G2695" s="1234"/>
      <c r="H2695" s="1235"/>
      <c r="I2695" s="1353"/>
      <c r="J2695" s="1357"/>
      <c r="K2695" s="1169"/>
      <c r="L2695" s="1156"/>
      <c r="M2695" s="1169"/>
      <c r="N2695" s="1161" t="s">
        <v>2306</v>
      </c>
    </row>
    <row r="2696" spans="1:15" s="1170" customFormat="1" ht="16.5" hidden="1" customHeight="1">
      <c r="A2696" s="1156"/>
      <c r="B2696" s="1331"/>
      <c r="C2696" s="1332">
        <v>1</v>
      </c>
      <c r="D2696" s="1333" t="s">
        <v>273</v>
      </c>
      <c r="E2696" s="1334">
        <v>1</v>
      </c>
      <c r="F2696" s="1335">
        <v>28</v>
      </c>
      <c r="G2696" s="1335">
        <v>0</v>
      </c>
      <c r="H2696" s="1335">
        <v>0</v>
      </c>
      <c r="I2696" s="1336">
        <f>ROUND(IF(AND(F2696:H2696),C2696*E2696*F2696*G2696*H2696,IF(AND(F2696,G2696),C2696*E2696*F2696*G2696,IF(AND(F2696,H2696),C2696*E2696*F2696*H2696,IF(AND(G2696,H2696),C2696*E2696*G2696*H2696,IF(F2696,C2696*E2696*F2696,IF(G2696,C2696*E2696*G2696,IF(H2696,C2696*E2696*H2696,C2696*E2696))))))),2)</f>
        <v>28</v>
      </c>
      <c r="J2696" s="1357" t="s">
        <v>277</v>
      </c>
      <c r="K2696" s="1169"/>
      <c r="L2696" s="1156"/>
      <c r="M2696" s="1169"/>
      <c r="N2696" s="1161" t="s">
        <v>2306</v>
      </c>
    </row>
    <row r="2697" spans="1:15" s="1170" customFormat="1" ht="16.5" hidden="1" customHeight="1">
      <c r="A2697" s="1156"/>
      <c r="B2697" s="1331"/>
      <c r="C2697" s="1332"/>
      <c r="D2697" s="1333"/>
      <c r="E2697" s="1334"/>
      <c r="F2697" s="1335"/>
      <c r="G2697" s="1335"/>
      <c r="H2697" s="1335"/>
      <c r="I2697" s="1336"/>
      <c r="J2697" s="1357"/>
      <c r="K2697" s="1169"/>
      <c r="L2697" s="1156"/>
      <c r="M2697" s="1169"/>
      <c r="N2697" s="1161" t="s">
        <v>2306</v>
      </c>
    </row>
    <row r="2698" spans="1:15" ht="15.75" hidden="1">
      <c r="A2698" s="1156"/>
      <c r="B2698" s="1169"/>
      <c r="C2698" s="1337"/>
      <c r="D2698" s="1171"/>
      <c r="E2698" s="1165"/>
      <c r="F2698" s="1166"/>
      <c r="G2698" s="1343"/>
      <c r="H2698" s="1156"/>
      <c r="I2698" s="1336"/>
      <c r="J2698" s="1357" t="s">
        <v>277</v>
      </c>
      <c r="K2698" s="1221">
        <f>'SANITATION DTA'!G231</f>
        <v>193</v>
      </c>
      <c r="L2698" s="1159" t="s">
        <v>2306</v>
      </c>
      <c r="M2698" s="1224">
        <f>ROUND(I2698*K2698,0)</f>
        <v>0</v>
      </c>
      <c r="N2698" s="1161" t="s">
        <v>2306</v>
      </c>
    </row>
    <row r="2699" spans="1:15" ht="63.75" hidden="1" customHeight="1">
      <c r="A2699" s="1156">
        <v>9</v>
      </c>
      <c r="B2699" s="1826" t="s">
        <v>309</v>
      </c>
      <c r="C2699" s="1826"/>
      <c r="D2699" s="1826"/>
      <c r="E2699" s="1826"/>
      <c r="F2699" s="1826"/>
      <c r="G2699" s="1826"/>
      <c r="H2699" s="1826"/>
      <c r="I2699" s="1157"/>
      <c r="J2699" s="1158"/>
      <c r="K2699" s="1156"/>
      <c r="L2699" s="1156"/>
      <c r="M2699" s="1160"/>
      <c r="N2699" s="1161" t="s">
        <v>2306</v>
      </c>
    </row>
    <row r="2700" spans="1:15" s="1170" customFormat="1" ht="16.5" hidden="1" customHeight="1">
      <c r="A2700" s="1156"/>
      <c r="B2700" s="1169" t="s">
        <v>2576</v>
      </c>
      <c r="C2700" s="1351"/>
      <c r="D2700" s="1418"/>
      <c r="E2700" s="1352"/>
      <c r="F2700" s="1234"/>
      <c r="G2700" s="1234"/>
      <c r="H2700" s="1235"/>
      <c r="I2700" s="1353"/>
      <c r="J2700" s="1357"/>
      <c r="K2700" s="1169"/>
      <c r="L2700" s="1156"/>
      <c r="M2700" s="1169"/>
      <c r="N2700" s="1161" t="s">
        <v>2306</v>
      </c>
    </row>
    <row r="2701" spans="1:15" s="1170" customFormat="1" ht="16.5" hidden="1" customHeight="1">
      <c r="A2701" s="1156"/>
      <c r="B2701" s="1359"/>
      <c r="C2701" s="1360">
        <v>1</v>
      </c>
      <c r="D2701" s="1361" t="s">
        <v>273</v>
      </c>
      <c r="E2701" s="1362">
        <v>1</v>
      </c>
      <c r="F2701" s="1401">
        <v>45</v>
      </c>
      <c r="G2701" s="1363">
        <v>0</v>
      </c>
      <c r="H2701" s="1363">
        <v>0</v>
      </c>
      <c r="I2701" s="1336">
        <f>ROUND(IF(AND(F2701:H2701),C2701*E2701*F2701*G2701*H2701,IF(AND(F2701,G2701),C2701*E2701*F2701*G2701,IF(AND(F2701,H2701),C2701*E2701*F2701*H2701,IF(AND(G2701,H2701),C2701*E2701*G2701*H2701,IF(F2701,C2701*E2701*F2701,IF(G2701,C2701*E2701*G2701,IF(H2701,C2701*E2701*H2701,C2701*E2701))))))),2)</f>
        <v>45</v>
      </c>
      <c r="J2701" s="1357" t="s">
        <v>277</v>
      </c>
      <c r="K2701" s="1169"/>
      <c r="L2701" s="1156"/>
      <c r="M2701" s="1169"/>
      <c r="N2701" s="1161" t="s">
        <v>2306</v>
      </c>
    </row>
    <row r="2702" spans="1:15" s="1170" customFormat="1" ht="16.5" hidden="1" customHeight="1">
      <c r="A2702" s="1156"/>
      <c r="B2702" s="1331"/>
      <c r="C2702" s="1332"/>
      <c r="D2702" s="1333"/>
      <c r="E2702" s="1334"/>
      <c r="F2702" s="1335"/>
      <c r="G2702" s="1335"/>
      <c r="H2702" s="1335"/>
      <c r="I2702" s="1336"/>
      <c r="J2702" s="1357"/>
      <c r="K2702" s="1169"/>
      <c r="L2702" s="1156"/>
      <c r="M2702" s="1169"/>
      <c r="N2702" s="1161" t="s">
        <v>2306</v>
      </c>
    </row>
    <row r="2703" spans="1:15" ht="15.75" hidden="1">
      <c r="A2703" s="1156"/>
      <c r="B2703" s="1169"/>
      <c r="C2703" s="1337"/>
      <c r="D2703" s="1171"/>
      <c r="E2703" s="1165"/>
      <c r="F2703" s="1166"/>
      <c r="G2703" s="1343"/>
      <c r="H2703" s="1156"/>
      <c r="I2703" s="1336"/>
      <c r="J2703" s="1357" t="s">
        <v>277</v>
      </c>
      <c r="K2703" s="1221">
        <f>'SANITATION DTA'!G228</f>
        <v>123</v>
      </c>
      <c r="L2703" s="1159" t="s">
        <v>2306</v>
      </c>
      <c r="M2703" s="1224">
        <f>ROUND(I2703*K2703,0)</f>
        <v>0</v>
      </c>
      <c r="N2703" s="1161" t="s">
        <v>2306</v>
      </c>
    </row>
    <row r="2704" spans="1:15" ht="63.75" hidden="1" customHeight="1">
      <c r="A2704" s="1156">
        <v>7</v>
      </c>
      <c r="B2704" s="1826" t="s">
        <v>1639</v>
      </c>
      <c r="C2704" s="1826"/>
      <c r="D2704" s="1826"/>
      <c r="E2704" s="1826"/>
      <c r="F2704" s="1826"/>
      <c r="G2704" s="1826"/>
      <c r="H2704" s="1826"/>
      <c r="I2704" s="1157"/>
      <c r="J2704" s="1158"/>
      <c r="K2704" s="1156"/>
      <c r="L2704" s="1156"/>
      <c r="M2704" s="1160"/>
      <c r="N2704" s="1161" t="s">
        <v>2306</v>
      </c>
    </row>
    <row r="2705" spans="1:14" s="1170" customFormat="1" ht="16.5" hidden="1" customHeight="1">
      <c r="A2705" s="1156"/>
      <c r="B2705" s="1169" t="s">
        <v>2786</v>
      </c>
      <c r="C2705" s="1351"/>
      <c r="D2705" s="1418"/>
      <c r="E2705" s="1352"/>
      <c r="F2705" s="1234"/>
      <c r="G2705" s="1234"/>
      <c r="H2705" s="1235"/>
      <c r="I2705" s="1353"/>
      <c r="J2705" s="1357"/>
      <c r="K2705" s="1169"/>
      <c r="L2705" s="1156"/>
      <c r="M2705" s="1169"/>
      <c r="N2705" s="1161" t="s">
        <v>2306</v>
      </c>
    </row>
    <row r="2706" spans="1:14" s="1170" customFormat="1" ht="16.5" hidden="1" customHeight="1">
      <c r="A2706" s="1156"/>
      <c r="B2706" s="1331"/>
      <c r="C2706" s="1332">
        <v>1</v>
      </c>
      <c r="D2706" s="1333" t="s">
        <v>273</v>
      </c>
      <c r="E2706" s="1334">
        <v>1</v>
      </c>
      <c r="F2706" s="1550">
        <v>44</v>
      </c>
      <c r="G2706" s="1335">
        <v>0</v>
      </c>
      <c r="H2706" s="1335">
        <v>0</v>
      </c>
      <c r="I2706" s="1336">
        <f>ROUND(IF(AND(F2706:H2706),C2706*E2706*F2706*G2706*H2706,IF(AND(F2706,G2706),C2706*E2706*F2706*G2706,IF(AND(F2706,H2706),C2706*E2706*F2706*H2706,IF(AND(G2706,H2706),C2706*E2706*G2706*H2706,IF(F2706,C2706*E2706*F2706,IF(G2706,C2706*E2706*G2706,IF(H2706,C2706*E2706*H2706,C2706*E2706))))))),2)</f>
        <v>44</v>
      </c>
      <c r="J2706" s="1357" t="s">
        <v>277</v>
      </c>
      <c r="K2706" s="1169"/>
      <c r="L2706" s="1156"/>
      <c r="M2706" s="1169"/>
      <c r="N2706" s="1161" t="s">
        <v>2306</v>
      </c>
    </row>
    <row r="2707" spans="1:14" s="1170" customFormat="1" ht="16.5" hidden="1" customHeight="1">
      <c r="A2707" s="1156"/>
      <c r="B2707" s="1331"/>
      <c r="C2707" s="1332"/>
      <c r="D2707" s="1333"/>
      <c r="E2707" s="1334"/>
      <c r="F2707" s="1335"/>
      <c r="G2707" s="1335"/>
      <c r="H2707" s="1335"/>
      <c r="I2707" s="1336"/>
      <c r="J2707" s="1357"/>
      <c r="K2707" s="1169"/>
      <c r="L2707" s="1156"/>
      <c r="M2707" s="1169"/>
      <c r="N2707" s="1161" t="s">
        <v>2306</v>
      </c>
    </row>
    <row r="2708" spans="1:14" ht="15.75" hidden="1">
      <c r="A2708" s="1156"/>
      <c r="B2708" s="1169"/>
      <c r="C2708" s="1337"/>
      <c r="D2708" s="1171"/>
      <c r="E2708" s="1165"/>
      <c r="F2708" s="1166"/>
      <c r="G2708" s="1343"/>
      <c r="H2708" s="1156"/>
      <c r="I2708" s="1336"/>
      <c r="J2708" s="1357" t="s">
        <v>277</v>
      </c>
      <c r="K2708" s="1221">
        <f>'SANITATION DTA'!G225</f>
        <v>85</v>
      </c>
      <c r="L2708" s="1159" t="s">
        <v>2306</v>
      </c>
      <c r="M2708" s="1224">
        <f>ROUND(I2708*K2708,0)</f>
        <v>0</v>
      </c>
      <c r="N2708" s="1161" t="s">
        <v>2306</v>
      </c>
    </row>
    <row r="2709" spans="1:14" ht="41.25" hidden="1" customHeight="1">
      <c r="A2709" s="1156">
        <v>2</v>
      </c>
      <c r="B2709" s="1826" t="s">
        <v>1253</v>
      </c>
      <c r="C2709" s="1826"/>
      <c r="D2709" s="1826"/>
      <c r="E2709" s="1826"/>
      <c r="F2709" s="1826"/>
      <c r="G2709" s="1826"/>
      <c r="H2709" s="1826"/>
      <c r="I2709" s="1157"/>
      <c r="J2709" s="1158"/>
      <c r="K2709" s="1156"/>
      <c r="L2709" s="1156"/>
      <c r="M2709" s="1160"/>
      <c r="N2709" s="1161" t="s">
        <v>2306</v>
      </c>
    </row>
    <row r="2710" spans="1:14" s="1170" customFormat="1" ht="16.5" hidden="1" customHeight="1">
      <c r="A2710" s="1156"/>
      <c r="B2710" s="1169" t="s">
        <v>2326</v>
      </c>
      <c r="C2710" s="1351"/>
      <c r="D2710" s="1418"/>
      <c r="E2710" s="1352"/>
      <c r="F2710" s="1234"/>
      <c r="G2710" s="1234"/>
      <c r="H2710" s="1235"/>
      <c r="I2710" s="1353"/>
      <c r="J2710" s="1357"/>
      <c r="K2710" s="1169"/>
      <c r="L2710" s="1156"/>
      <c r="M2710" s="1169"/>
      <c r="N2710" s="1161" t="s">
        <v>2306</v>
      </c>
    </row>
    <row r="2711" spans="1:14" s="1170" customFormat="1" ht="16.5" hidden="1" customHeight="1">
      <c r="A2711" s="1156"/>
      <c r="B2711" s="1331"/>
      <c r="C2711" s="1332">
        <v>1</v>
      </c>
      <c r="D2711" s="1333" t="s">
        <v>273</v>
      </c>
      <c r="E2711" s="1334">
        <v>1</v>
      </c>
      <c r="F2711" s="1335">
        <v>85</v>
      </c>
      <c r="G2711" s="1335">
        <v>0</v>
      </c>
      <c r="H2711" s="1335">
        <v>0</v>
      </c>
      <c r="I2711" s="1336">
        <f>ROUND(IF(AND(F2711:H2711),C2711*E2711*F2711*G2711*H2711,IF(AND(F2711,G2711),C2711*E2711*F2711*G2711,IF(AND(F2711,H2711),C2711*E2711*F2711*H2711,IF(AND(G2711,H2711),C2711*E2711*G2711*H2711,IF(F2711,C2711*E2711*F2711,IF(G2711,C2711*E2711*G2711,IF(H2711,C2711*E2711*H2711,C2711*E2711))))))),2)</f>
        <v>85</v>
      </c>
      <c r="J2711" s="1357" t="s">
        <v>277</v>
      </c>
      <c r="K2711" s="1169"/>
      <c r="L2711" s="1156"/>
      <c r="M2711" s="1169"/>
      <c r="N2711" s="1161" t="s">
        <v>2306</v>
      </c>
    </row>
    <row r="2712" spans="1:14" s="1170" customFormat="1" ht="16.5" hidden="1" customHeight="1">
      <c r="A2712" s="1156"/>
      <c r="B2712" s="1331"/>
      <c r="C2712" s="1332"/>
      <c r="D2712" s="1333"/>
      <c r="E2712" s="1334"/>
      <c r="F2712" s="1335"/>
      <c r="G2712" s="1335"/>
      <c r="H2712" s="1335"/>
      <c r="I2712" s="1336"/>
      <c r="J2712" s="1357"/>
      <c r="K2712" s="1169"/>
      <c r="L2712" s="1156"/>
      <c r="M2712" s="1169"/>
      <c r="N2712" s="1161" t="s">
        <v>2306</v>
      </c>
    </row>
    <row r="2713" spans="1:14" ht="15.75" hidden="1">
      <c r="A2713" s="1156"/>
      <c r="B2713" s="1169"/>
      <c r="C2713" s="1337"/>
      <c r="D2713" s="1171"/>
      <c r="E2713" s="1165"/>
      <c r="F2713" s="1166"/>
      <c r="G2713" s="1343"/>
      <c r="H2713" s="1156"/>
      <c r="I2713" s="1336"/>
      <c r="J2713" s="1357" t="s">
        <v>277</v>
      </c>
      <c r="K2713" s="1221">
        <f>'SANITATION DTA'!G235</f>
        <v>24</v>
      </c>
      <c r="L2713" s="1159" t="s">
        <v>2306</v>
      </c>
      <c r="M2713" s="1224">
        <f>ROUND(I2713*K2713,0)</f>
        <v>0</v>
      </c>
      <c r="N2713" s="1161" t="s">
        <v>2306</v>
      </c>
    </row>
    <row r="2714" spans="1:14" ht="63.75" hidden="1" customHeight="1">
      <c r="A2714" s="1156">
        <v>8</v>
      </c>
      <c r="B2714" s="1826" t="s">
        <v>278</v>
      </c>
      <c r="C2714" s="1826"/>
      <c r="D2714" s="1826"/>
      <c r="E2714" s="1826"/>
      <c r="F2714" s="1826"/>
      <c r="G2714" s="1826"/>
      <c r="H2714" s="1826"/>
      <c r="I2714" s="1157"/>
      <c r="J2714" s="1158"/>
      <c r="K2714" s="1156"/>
      <c r="L2714" s="1156"/>
      <c r="M2714" s="1160"/>
      <c r="N2714" s="1161" t="s">
        <v>2306</v>
      </c>
    </row>
    <row r="2715" spans="1:14" s="1170" customFormat="1" ht="16.5" hidden="1" customHeight="1">
      <c r="A2715" s="1156"/>
      <c r="B2715" s="1169" t="s">
        <v>2787</v>
      </c>
      <c r="C2715" s="1351"/>
      <c r="D2715" s="1418"/>
      <c r="E2715" s="1352"/>
      <c r="F2715" s="1234"/>
      <c r="G2715" s="1234"/>
      <c r="H2715" s="1235"/>
      <c r="I2715" s="1353"/>
      <c r="J2715" s="1357"/>
      <c r="K2715" s="1169"/>
      <c r="L2715" s="1156"/>
      <c r="M2715" s="1169"/>
      <c r="N2715" s="1161" t="s">
        <v>2306</v>
      </c>
    </row>
    <row r="2716" spans="1:14" s="1170" customFormat="1" ht="16.5" hidden="1" customHeight="1">
      <c r="A2716" s="1156"/>
      <c r="B2716" s="1359"/>
      <c r="C2716" s="1360">
        <v>1</v>
      </c>
      <c r="D2716" s="1361" t="s">
        <v>273</v>
      </c>
      <c r="E2716" s="1362">
        <v>1</v>
      </c>
      <c r="F2716" s="1401">
        <v>44</v>
      </c>
      <c r="G2716" s="1363">
        <v>0</v>
      </c>
      <c r="H2716" s="1363">
        <v>0</v>
      </c>
      <c r="I2716" s="1336">
        <f>ROUND(IF(AND(F2716:H2716),C2716*E2716*F2716*G2716*H2716,IF(AND(F2716,G2716),C2716*E2716*F2716*G2716,IF(AND(F2716,H2716),C2716*E2716*F2716*H2716,IF(AND(G2716,H2716),C2716*E2716*G2716*H2716,IF(F2716,C2716*E2716*F2716,IF(G2716,C2716*E2716*G2716,IF(H2716,C2716*E2716*H2716,C2716*E2716))))))),2)</f>
        <v>44</v>
      </c>
      <c r="J2716" s="1357" t="s">
        <v>277</v>
      </c>
      <c r="K2716" s="1169"/>
      <c r="L2716" s="1156"/>
      <c r="M2716" s="1169"/>
      <c r="N2716" s="1161" t="s">
        <v>2306</v>
      </c>
    </row>
    <row r="2717" spans="1:14" s="1170" customFormat="1" ht="16.5" hidden="1" customHeight="1">
      <c r="A2717" s="1156"/>
      <c r="B2717" s="1331"/>
      <c r="C2717" s="1332"/>
      <c r="D2717" s="1333"/>
      <c r="E2717" s="1334"/>
      <c r="F2717" s="1335"/>
      <c r="G2717" s="1335"/>
      <c r="H2717" s="1335"/>
      <c r="I2717" s="1336"/>
      <c r="J2717" s="1357"/>
      <c r="K2717" s="1169"/>
      <c r="L2717" s="1156"/>
      <c r="M2717" s="1169"/>
      <c r="N2717" s="1161" t="s">
        <v>2306</v>
      </c>
    </row>
    <row r="2718" spans="1:14" ht="15.75" hidden="1">
      <c r="A2718" s="1156"/>
      <c r="B2718" s="1169"/>
      <c r="C2718" s="1337"/>
      <c r="D2718" s="1171"/>
      <c r="E2718" s="1165"/>
      <c r="F2718" s="1166"/>
      <c r="G2718" s="1343"/>
      <c r="H2718" s="1156"/>
      <c r="I2718" s="1336"/>
      <c r="J2718" s="1357" t="s">
        <v>277</v>
      </c>
      <c r="K2718" s="1221">
        <f>'SANITATION DTA'!G239</f>
        <v>31</v>
      </c>
      <c r="L2718" s="1159" t="s">
        <v>2306</v>
      </c>
      <c r="M2718" s="1224">
        <f>ROUND(I2718*K2718,0)</f>
        <v>0</v>
      </c>
      <c r="N2718" s="1161" t="s">
        <v>2306</v>
      </c>
    </row>
    <row r="2719" spans="1:14" ht="39.75" hidden="1" customHeight="1">
      <c r="A2719" s="1156">
        <v>9</v>
      </c>
      <c r="B2719" s="1826" t="s">
        <v>352</v>
      </c>
      <c r="C2719" s="1826"/>
      <c r="D2719" s="1826"/>
      <c r="E2719" s="1826"/>
      <c r="F2719" s="1826"/>
      <c r="G2719" s="1826"/>
      <c r="H2719" s="1826"/>
      <c r="I2719" s="1157"/>
      <c r="J2719" s="1158"/>
      <c r="K2719" s="1156"/>
      <c r="L2719" s="1156"/>
      <c r="M2719" s="1160"/>
      <c r="N2719" s="1161" t="s">
        <v>2306</v>
      </c>
    </row>
    <row r="2720" spans="1:14" s="1170" customFormat="1" ht="16.5" hidden="1" customHeight="1">
      <c r="A2720" s="1156"/>
      <c r="B2720" s="1169" t="s">
        <v>2794</v>
      </c>
      <c r="C2720" s="1351"/>
      <c r="D2720" s="1418"/>
      <c r="E2720" s="1352"/>
      <c r="F2720" s="1234"/>
      <c r="G2720" s="1234"/>
      <c r="H2720" s="1235"/>
      <c r="I2720" s="1353"/>
      <c r="J2720" s="1357"/>
      <c r="K2720" s="1169"/>
      <c r="L2720" s="1156"/>
      <c r="M2720" s="1169"/>
      <c r="N2720" s="1161" t="s">
        <v>2306</v>
      </c>
    </row>
    <row r="2721" spans="1:14" s="1170" customFormat="1" ht="16.5" hidden="1" customHeight="1">
      <c r="A2721" s="1156"/>
      <c r="B2721" s="1331"/>
      <c r="C2721" s="1332">
        <v>1</v>
      </c>
      <c r="D2721" s="1333" t="s">
        <v>273</v>
      </c>
      <c r="E2721" s="1334">
        <v>6</v>
      </c>
      <c r="F2721" s="1335">
        <f>I2715</f>
        <v>0</v>
      </c>
      <c r="G2721" s="1335">
        <v>0</v>
      </c>
      <c r="H2721" s="1335">
        <v>0</v>
      </c>
      <c r="I2721" s="1421">
        <f>ROUND(IF(AND(F2721:H2721),C2721*E2721*F2721*G2721*H2721,IF(AND(F2721,G2721),C2721*E2721*F2721*G2721,IF(AND(F2721,H2721),C2721*E2721*F2721*H2721,IF(AND(G2721,H2721),C2721*E2721*G2721*H2721,IF(F2721,C2721*E2721*F2721,IF(G2721,C2721*E2721*G2721,IF(H2721,C2721*E2721*H2721,C2721*E2721))))))),2)</f>
        <v>6</v>
      </c>
      <c r="J2721" s="1357" t="s">
        <v>115</v>
      </c>
      <c r="K2721" s="1169"/>
      <c r="L2721" s="1156"/>
      <c r="M2721" s="1169"/>
      <c r="N2721" s="1161" t="s">
        <v>2306</v>
      </c>
    </row>
    <row r="2722" spans="1:14" s="1170" customFormat="1" ht="16.5" hidden="1" customHeight="1">
      <c r="A2722" s="1156"/>
      <c r="B2722" s="1331"/>
      <c r="C2722" s="1332"/>
      <c r="D2722" s="1333"/>
      <c r="E2722" s="1334"/>
      <c r="F2722" s="1335"/>
      <c r="G2722" s="1335"/>
      <c r="H2722" s="1335"/>
      <c r="I2722" s="1421"/>
      <c r="J2722" s="1357"/>
      <c r="K2722" s="1169"/>
      <c r="L2722" s="1156"/>
      <c r="M2722" s="1169"/>
      <c r="N2722" s="1161" t="s">
        <v>2306</v>
      </c>
    </row>
    <row r="2723" spans="1:14" ht="15.75" hidden="1">
      <c r="A2723" s="1156"/>
      <c r="B2723" s="1169"/>
      <c r="C2723" s="1337"/>
      <c r="D2723" s="1171"/>
      <c r="E2723" s="1165"/>
      <c r="F2723" s="1166"/>
      <c r="G2723" s="1343"/>
      <c r="H2723" s="1156"/>
      <c r="I2723" s="1421"/>
      <c r="J2723" s="1357" t="s">
        <v>115</v>
      </c>
      <c r="K2723" s="1221">
        <f>'SANITATION DTA'!G208</f>
        <v>349</v>
      </c>
      <c r="L2723" s="1159" t="s">
        <v>2306</v>
      </c>
      <c r="M2723" s="1224">
        <f>ROUND(I2723*K2723,0)</f>
        <v>0</v>
      </c>
      <c r="N2723" s="1161" t="s">
        <v>2306</v>
      </c>
    </row>
    <row r="2724" spans="1:14" ht="28.5" hidden="1" customHeight="1">
      <c r="A2724" s="1156">
        <v>12</v>
      </c>
      <c r="B2724" s="1826" t="s">
        <v>2577</v>
      </c>
      <c r="C2724" s="1826"/>
      <c r="D2724" s="1826"/>
      <c r="E2724" s="1826"/>
      <c r="F2724" s="1826"/>
      <c r="G2724" s="1826"/>
      <c r="H2724" s="1826"/>
      <c r="I2724" s="1157"/>
      <c r="J2724" s="1158"/>
      <c r="K2724" s="1156"/>
      <c r="L2724" s="1156"/>
      <c r="M2724" s="1160"/>
      <c r="N2724" s="1161" t="s">
        <v>2306</v>
      </c>
    </row>
    <row r="2725" spans="1:14" s="1170" customFormat="1" ht="16.5" hidden="1" customHeight="1">
      <c r="A2725" s="1156"/>
      <c r="B2725" s="1169" t="s">
        <v>2576</v>
      </c>
      <c r="C2725" s="1351"/>
      <c r="D2725" s="1418"/>
      <c r="E2725" s="1352"/>
      <c r="F2725" s="1234"/>
      <c r="G2725" s="1234"/>
      <c r="H2725" s="1235"/>
      <c r="I2725" s="1353"/>
      <c r="J2725" s="1357"/>
      <c r="K2725" s="1169"/>
      <c r="L2725" s="1156"/>
      <c r="M2725" s="1169"/>
      <c r="N2725" s="1161" t="s">
        <v>2306</v>
      </c>
    </row>
    <row r="2726" spans="1:14" s="1170" customFormat="1" ht="16.5" hidden="1" customHeight="1">
      <c r="A2726" s="1156"/>
      <c r="B2726" s="1331"/>
      <c r="C2726" s="1332">
        <v>1</v>
      </c>
      <c r="D2726" s="1333" t="s">
        <v>273</v>
      </c>
      <c r="E2726" s="1334">
        <v>3</v>
      </c>
      <c r="F2726" s="1335">
        <f>I2719</f>
        <v>0</v>
      </c>
      <c r="G2726" s="1335">
        <v>0</v>
      </c>
      <c r="H2726" s="1335">
        <v>0</v>
      </c>
      <c r="I2726" s="1421">
        <f>ROUND(IF(AND(F2726:H2726),C2726*E2726*F2726*G2726*H2726,IF(AND(F2726,G2726),C2726*E2726*F2726*G2726,IF(AND(F2726,H2726),C2726*E2726*F2726*H2726,IF(AND(G2726,H2726),C2726*E2726*G2726*H2726,IF(F2726,C2726*E2726*F2726,IF(G2726,C2726*E2726*G2726,IF(H2726,C2726*E2726*H2726,C2726*E2726))))))),2)</f>
        <v>3</v>
      </c>
      <c r="J2726" s="1357" t="s">
        <v>115</v>
      </c>
      <c r="K2726" s="1169"/>
      <c r="L2726" s="1156"/>
      <c r="M2726" s="1169"/>
      <c r="N2726" s="1161" t="s">
        <v>2306</v>
      </c>
    </row>
    <row r="2727" spans="1:14" s="1170" customFormat="1" ht="16.5" hidden="1" customHeight="1">
      <c r="A2727" s="1156"/>
      <c r="B2727" s="1331"/>
      <c r="C2727" s="1332"/>
      <c r="D2727" s="1333"/>
      <c r="E2727" s="1334"/>
      <c r="F2727" s="1335"/>
      <c r="G2727" s="1335"/>
      <c r="H2727" s="1335"/>
      <c r="I2727" s="1421"/>
      <c r="J2727" s="1357"/>
      <c r="K2727" s="1169"/>
      <c r="L2727" s="1156"/>
      <c r="M2727" s="1169"/>
      <c r="N2727" s="1161" t="s">
        <v>2306</v>
      </c>
    </row>
    <row r="2728" spans="1:14" ht="15.75" hidden="1">
      <c r="A2728" s="1156"/>
      <c r="B2728" s="1169"/>
      <c r="C2728" s="1337"/>
      <c r="D2728" s="1171"/>
      <c r="E2728" s="1165"/>
      <c r="F2728" s="1166"/>
      <c r="G2728" s="1343"/>
      <c r="H2728" s="1156"/>
      <c r="I2728" s="1421"/>
      <c r="J2728" s="1357" t="s">
        <v>115</v>
      </c>
      <c r="K2728" s="1221">
        <f>'SANITATION DTA'!G204</f>
        <v>2769</v>
      </c>
      <c r="L2728" s="1159" t="s">
        <v>2306</v>
      </c>
      <c r="M2728" s="1224">
        <f>ROUND(I2728*K2728,0)</f>
        <v>0</v>
      </c>
      <c r="N2728" s="1161" t="s">
        <v>2306</v>
      </c>
    </row>
    <row r="2729" spans="1:14" ht="29.25" hidden="1" customHeight="1">
      <c r="A2729" s="1156">
        <v>10</v>
      </c>
      <c r="B2729" s="1826" t="s">
        <v>341</v>
      </c>
      <c r="C2729" s="1826"/>
      <c r="D2729" s="1826"/>
      <c r="E2729" s="1826"/>
      <c r="F2729" s="1826"/>
      <c r="G2729" s="1826"/>
      <c r="H2729" s="1826"/>
      <c r="I2729" s="1157"/>
      <c r="J2729" s="1158"/>
      <c r="K2729" s="1156"/>
      <c r="L2729" s="1156"/>
      <c r="M2729" s="1160"/>
      <c r="N2729" s="1161" t="s">
        <v>2306</v>
      </c>
    </row>
    <row r="2730" spans="1:14" s="1170" customFormat="1" ht="16.5" hidden="1" customHeight="1">
      <c r="A2730" s="1156"/>
      <c r="B2730" s="1169" t="s">
        <v>2788</v>
      </c>
      <c r="C2730" s="1351"/>
      <c r="D2730" s="1418"/>
      <c r="E2730" s="1352"/>
      <c r="F2730" s="1234"/>
      <c r="G2730" s="1234"/>
      <c r="H2730" s="1235"/>
      <c r="I2730" s="1353"/>
      <c r="J2730" s="1357"/>
      <c r="K2730" s="1169"/>
      <c r="L2730" s="1156"/>
      <c r="M2730" s="1169"/>
      <c r="N2730" s="1161" t="s">
        <v>2306</v>
      </c>
    </row>
    <row r="2731" spans="1:14" s="1170" customFormat="1" ht="16.5" hidden="1" customHeight="1">
      <c r="A2731" s="1156"/>
      <c r="B2731" s="1359"/>
      <c r="C2731" s="1360">
        <v>1</v>
      </c>
      <c r="D2731" s="1361" t="s">
        <v>273</v>
      </c>
      <c r="E2731" s="1362">
        <v>1</v>
      </c>
      <c r="F2731" s="1363">
        <v>11.5</v>
      </c>
      <c r="G2731" s="1363">
        <v>0</v>
      </c>
      <c r="H2731" s="1363">
        <v>0</v>
      </c>
      <c r="I2731" s="1336">
        <f>ROUND(IF(AND(F2731:H2731),C2731*E2731*F2731*G2731*H2731,IF(AND(F2731,G2731),C2731*E2731*F2731*G2731,IF(AND(F2731,H2731),C2731*E2731*F2731*H2731,IF(AND(G2731,H2731),C2731*E2731*G2731*H2731,IF(F2731,C2731*E2731*F2731,IF(G2731,C2731*E2731*G2731,IF(H2731,C2731*E2731*H2731,C2731*E2731))))))),2)</f>
        <v>11.5</v>
      </c>
      <c r="J2731" s="1357" t="s">
        <v>277</v>
      </c>
      <c r="K2731" s="1169"/>
      <c r="L2731" s="1156"/>
      <c r="M2731" s="1169"/>
      <c r="N2731" s="1161" t="s">
        <v>2306</v>
      </c>
    </row>
    <row r="2732" spans="1:14" s="1170" customFormat="1" ht="16.5" hidden="1" customHeight="1">
      <c r="A2732" s="1156"/>
      <c r="B2732" s="1331"/>
      <c r="C2732" s="1332"/>
      <c r="D2732" s="1333"/>
      <c r="E2732" s="1334"/>
      <c r="F2732" s="1335"/>
      <c r="G2732" s="1335"/>
      <c r="H2732" s="1335"/>
      <c r="I2732" s="1336"/>
      <c r="J2732" s="1357"/>
      <c r="K2732" s="1169"/>
      <c r="L2732" s="1156"/>
      <c r="M2732" s="1169"/>
      <c r="N2732" s="1161" t="s">
        <v>2306</v>
      </c>
    </row>
    <row r="2733" spans="1:14" ht="15.75" hidden="1">
      <c r="A2733" s="1156"/>
      <c r="B2733" s="1169"/>
      <c r="C2733" s="1337"/>
      <c r="D2733" s="1171"/>
      <c r="E2733" s="1165"/>
      <c r="F2733" s="1166"/>
      <c r="G2733" s="1343"/>
      <c r="H2733" s="1156"/>
      <c r="I2733" s="1336"/>
      <c r="J2733" s="1357" t="s">
        <v>277</v>
      </c>
      <c r="K2733" s="1221">
        <f>'SANITATION DTA'!G184</f>
        <v>136.66666666666666</v>
      </c>
      <c r="L2733" s="1159" t="s">
        <v>2306</v>
      </c>
      <c r="M2733" s="1224">
        <f>ROUND(I2733*K2733,0)</f>
        <v>0</v>
      </c>
      <c r="N2733" s="1161" t="s">
        <v>2306</v>
      </c>
    </row>
    <row r="2734" spans="1:14" ht="29.25" hidden="1" customHeight="1">
      <c r="A2734" s="1156">
        <v>4</v>
      </c>
      <c r="B2734" s="1826" t="s">
        <v>346</v>
      </c>
      <c r="C2734" s="1826"/>
      <c r="D2734" s="1826"/>
      <c r="E2734" s="1826"/>
      <c r="F2734" s="1826"/>
      <c r="G2734" s="1826"/>
      <c r="H2734" s="1826"/>
      <c r="I2734" s="1157"/>
      <c r="J2734" s="1158"/>
      <c r="K2734" s="1156"/>
      <c r="L2734" s="1156"/>
      <c r="M2734" s="1160"/>
      <c r="N2734" s="1161" t="s">
        <v>2306</v>
      </c>
    </row>
    <row r="2735" spans="1:14" s="1170" customFormat="1" ht="16.5" hidden="1" customHeight="1">
      <c r="A2735" s="1156"/>
      <c r="B2735" s="1169" t="s">
        <v>2331</v>
      </c>
      <c r="C2735" s="1351"/>
      <c r="D2735" s="1418"/>
      <c r="E2735" s="1352"/>
      <c r="F2735" s="1234"/>
      <c r="G2735" s="1234"/>
      <c r="H2735" s="1235"/>
      <c r="I2735" s="1353"/>
      <c r="J2735" s="1357"/>
      <c r="K2735" s="1169"/>
      <c r="L2735" s="1156"/>
      <c r="M2735" s="1169"/>
      <c r="N2735" s="1161" t="s">
        <v>2306</v>
      </c>
    </row>
    <row r="2736" spans="1:14" s="1170" customFormat="1" ht="16.5" hidden="1" customHeight="1">
      <c r="A2736" s="1156"/>
      <c r="B2736" s="1359"/>
      <c r="C2736" s="1360">
        <v>1</v>
      </c>
      <c r="D2736" s="1361" t="s">
        <v>273</v>
      </c>
      <c r="E2736" s="1362">
        <v>1</v>
      </c>
      <c r="F2736" s="1363">
        <v>18</v>
      </c>
      <c r="G2736" s="1363">
        <v>0</v>
      </c>
      <c r="H2736" s="1363">
        <v>0</v>
      </c>
      <c r="I2736" s="1336">
        <f>ROUND(IF(AND(F2736:H2736),C2736*E2736*F2736*G2736*H2736,IF(AND(F2736,G2736),C2736*E2736*F2736*G2736,IF(AND(F2736,H2736),C2736*E2736*F2736*H2736,IF(AND(G2736,H2736),C2736*E2736*G2736*H2736,IF(F2736,C2736*E2736*F2736,IF(G2736,C2736*E2736*G2736,IF(H2736,C2736*E2736*H2736,C2736*E2736))))))),2)</f>
        <v>18</v>
      </c>
      <c r="J2736" s="1357" t="s">
        <v>277</v>
      </c>
      <c r="K2736" s="1169"/>
      <c r="L2736" s="1156"/>
      <c r="M2736" s="1169"/>
      <c r="N2736" s="1161" t="s">
        <v>2306</v>
      </c>
    </row>
    <row r="2737" spans="1:14" s="1170" customFormat="1" ht="16.5" hidden="1" customHeight="1">
      <c r="A2737" s="1156"/>
      <c r="B2737" s="1359"/>
      <c r="C2737" s="1360"/>
      <c r="D2737" s="1361"/>
      <c r="E2737" s="1362"/>
      <c r="F2737" s="1363"/>
      <c r="G2737" s="1363"/>
      <c r="H2737" s="1363"/>
      <c r="I2737" s="1336"/>
      <c r="J2737" s="1357"/>
      <c r="K2737" s="1169"/>
      <c r="L2737" s="1156"/>
      <c r="M2737" s="1169"/>
      <c r="N2737" s="1161" t="s">
        <v>2306</v>
      </c>
    </row>
    <row r="2738" spans="1:14" ht="15.75" hidden="1">
      <c r="A2738" s="1156"/>
      <c r="B2738" s="1169"/>
      <c r="C2738" s="1337"/>
      <c r="D2738" s="1171"/>
      <c r="E2738" s="1165"/>
      <c r="F2738" s="1166"/>
      <c r="G2738" s="1343"/>
      <c r="H2738" s="1156"/>
      <c r="I2738" s="1336"/>
      <c r="J2738" s="1357" t="s">
        <v>277</v>
      </c>
      <c r="K2738" s="1221">
        <f>'SANITATION DTA'!G190</f>
        <v>129.66666666666666</v>
      </c>
      <c r="L2738" s="1159" t="s">
        <v>2306</v>
      </c>
      <c r="M2738" s="1224">
        <f>ROUND(I2738*K2738,0)</f>
        <v>0</v>
      </c>
      <c r="N2738" s="1161" t="s">
        <v>2306</v>
      </c>
    </row>
    <row r="2739" spans="1:14" ht="29.25" hidden="1" customHeight="1">
      <c r="A2739" s="1156">
        <v>11</v>
      </c>
      <c r="B2739" s="1826" t="s">
        <v>348</v>
      </c>
      <c r="C2739" s="1826"/>
      <c r="D2739" s="1826"/>
      <c r="E2739" s="1826"/>
      <c r="F2739" s="1826"/>
      <c r="G2739" s="1826"/>
      <c r="H2739" s="1826"/>
      <c r="I2739" s="1157"/>
      <c r="J2739" s="1158"/>
      <c r="K2739" s="1156"/>
      <c r="L2739" s="1156"/>
      <c r="M2739" s="1160"/>
      <c r="N2739" s="1161" t="s">
        <v>2306</v>
      </c>
    </row>
    <row r="2740" spans="1:14" s="1170" customFormat="1" ht="16.5" hidden="1" customHeight="1">
      <c r="A2740" s="1156"/>
      <c r="B2740" s="1169" t="s">
        <v>2788</v>
      </c>
      <c r="C2740" s="1351"/>
      <c r="D2740" s="1418"/>
      <c r="E2740" s="1352"/>
      <c r="F2740" s="1234"/>
      <c r="G2740" s="1234"/>
      <c r="H2740" s="1235"/>
      <c r="I2740" s="1353"/>
      <c r="J2740" s="1357"/>
      <c r="K2740" s="1169"/>
      <c r="L2740" s="1156"/>
      <c r="M2740" s="1169"/>
      <c r="N2740" s="1161" t="s">
        <v>2306</v>
      </c>
    </row>
    <row r="2741" spans="1:14" s="1170" customFormat="1" ht="16.5" hidden="1" customHeight="1">
      <c r="A2741" s="1156"/>
      <c r="B2741" s="1359"/>
      <c r="C2741" s="1360">
        <v>1</v>
      </c>
      <c r="D2741" s="1361" t="s">
        <v>273</v>
      </c>
      <c r="E2741" s="1362">
        <v>1</v>
      </c>
      <c r="F2741" s="1401">
        <v>18</v>
      </c>
      <c r="G2741" s="1363">
        <v>0</v>
      </c>
      <c r="H2741" s="1363">
        <v>0</v>
      </c>
      <c r="I2741" s="1336">
        <f>ROUND(IF(AND(F2741:H2741),C2741*E2741*F2741*G2741*H2741,IF(AND(F2741,G2741),C2741*E2741*F2741*G2741,IF(AND(F2741,H2741),C2741*E2741*F2741*H2741,IF(AND(G2741,H2741),C2741*E2741*G2741*H2741,IF(F2741,C2741*E2741*F2741,IF(G2741,C2741*E2741*G2741,IF(H2741,C2741*E2741*H2741,C2741*E2741))))))),2)</f>
        <v>18</v>
      </c>
      <c r="J2741" s="1357" t="s">
        <v>277</v>
      </c>
      <c r="K2741" s="1169"/>
      <c r="L2741" s="1156"/>
      <c r="M2741" s="1169"/>
      <c r="N2741" s="1161" t="s">
        <v>2306</v>
      </c>
    </row>
    <row r="2742" spans="1:14" s="1170" customFormat="1" ht="16.5" hidden="1" customHeight="1">
      <c r="A2742" s="1156"/>
      <c r="B2742" s="1331"/>
      <c r="C2742" s="1332"/>
      <c r="D2742" s="1333"/>
      <c r="E2742" s="1334"/>
      <c r="F2742" s="1335"/>
      <c r="G2742" s="1335"/>
      <c r="H2742" s="1335"/>
      <c r="I2742" s="1336"/>
      <c r="J2742" s="1357"/>
      <c r="K2742" s="1169"/>
      <c r="L2742" s="1156"/>
      <c r="M2742" s="1169"/>
      <c r="N2742" s="1161" t="s">
        <v>2306</v>
      </c>
    </row>
    <row r="2743" spans="1:14" ht="15.75" hidden="1">
      <c r="A2743" s="1156"/>
      <c r="B2743" s="1169"/>
      <c r="C2743" s="1337"/>
      <c r="D2743" s="1171"/>
      <c r="E2743" s="1165"/>
      <c r="F2743" s="1166"/>
      <c r="G2743" s="1343"/>
      <c r="H2743" s="1156"/>
      <c r="I2743" s="1336"/>
      <c r="J2743" s="1357" t="s">
        <v>277</v>
      </c>
      <c r="K2743" s="1221">
        <f>'SANITATION DTA'!G196</f>
        <v>81.333333333333329</v>
      </c>
      <c r="L2743" s="1159" t="s">
        <v>2306</v>
      </c>
      <c r="M2743" s="1224">
        <f>ROUND(I2743*K2743,0)</f>
        <v>0</v>
      </c>
      <c r="N2743" s="1161" t="s">
        <v>2306</v>
      </c>
    </row>
    <row r="2744" spans="1:14" ht="53.25" hidden="1" customHeight="1">
      <c r="A2744" s="1156">
        <v>12</v>
      </c>
      <c r="B2744" s="1826" t="s">
        <v>350</v>
      </c>
      <c r="C2744" s="1826"/>
      <c r="D2744" s="1826"/>
      <c r="E2744" s="1826"/>
      <c r="F2744" s="1826"/>
      <c r="G2744" s="1826"/>
      <c r="H2744" s="1826"/>
      <c r="I2744" s="1157"/>
      <c r="J2744" s="1158"/>
      <c r="K2744" s="1156"/>
      <c r="L2744" s="1156"/>
      <c r="M2744" s="1160"/>
      <c r="N2744" s="1161" t="s">
        <v>2306</v>
      </c>
    </row>
    <row r="2745" spans="1:14" s="1170" customFormat="1" ht="16.5" hidden="1" customHeight="1">
      <c r="A2745" s="1156"/>
      <c r="B2745" s="1169" t="s">
        <v>2789</v>
      </c>
      <c r="C2745" s="1351"/>
      <c r="D2745" s="1418"/>
      <c r="E2745" s="1352"/>
      <c r="F2745" s="1234"/>
      <c r="G2745" s="1234"/>
      <c r="H2745" s="1235"/>
      <c r="I2745" s="1353"/>
      <c r="J2745" s="1357"/>
      <c r="K2745" s="1169"/>
      <c r="L2745" s="1156"/>
      <c r="M2745" s="1169"/>
      <c r="N2745" s="1161" t="s">
        <v>2306</v>
      </c>
    </row>
    <row r="2746" spans="1:14" s="1170" customFormat="1" ht="16.5" hidden="1" customHeight="1">
      <c r="A2746" s="1156"/>
      <c r="B2746" s="1359" t="s">
        <v>425</v>
      </c>
      <c r="C2746" s="1360">
        <v>1</v>
      </c>
      <c r="D2746" s="1361" t="s">
        <v>273</v>
      </c>
      <c r="E2746" s="1362">
        <v>1</v>
      </c>
      <c r="F2746" s="1363">
        <v>11.5</v>
      </c>
      <c r="G2746" s="1363">
        <v>0</v>
      </c>
      <c r="H2746" s="1363">
        <v>0</v>
      </c>
      <c r="I2746" s="1336">
        <f>ROUND(IF(AND(F2746:H2746),C2746*E2746*F2746*G2746*H2746,IF(AND(F2746,G2746),C2746*E2746*F2746*G2746,IF(AND(F2746,H2746),C2746*E2746*F2746*H2746,IF(AND(G2746,H2746),C2746*E2746*G2746*H2746,IF(F2746,C2746*E2746*F2746,IF(G2746,C2746*E2746*G2746,IF(H2746,C2746*E2746*H2746,C2746*E2746))))))),2)</f>
        <v>11.5</v>
      </c>
      <c r="J2746" s="1357" t="s">
        <v>277</v>
      </c>
      <c r="K2746" s="1169"/>
      <c r="L2746" s="1156"/>
      <c r="M2746" s="1169"/>
      <c r="N2746" s="1161" t="s">
        <v>2306</v>
      </c>
    </row>
    <row r="2747" spans="1:14" s="1170" customFormat="1" ht="16.5" hidden="1" customHeight="1">
      <c r="A2747" s="1156"/>
      <c r="B2747" s="1359" t="s">
        <v>887</v>
      </c>
      <c r="C2747" s="1360">
        <v>1</v>
      </c>
      <c r="D2747" s="1361" t="s">
        <v>273</v>
      </c>
      <c r="E2747" s="1362">
        <v>1</v>
      </c>
      <c r="F2747" s="1363">
        <v>18</v>
      </c>
      <c r="G2747" s="1363">
        <v>0</v>
      </c>
      <c r="H2747" s="1363">
        <v>0</v>
      </c>
      <c r="I2747" s="1336">
        <f>ROUND(IF(AND(F2747:H2747),C2747*E2747*F2747*G2747*H2747,IF(AND(F2747,G2747),C2747*E2747*F2747*G2747,IF(AND(F2747,H2747),C2747*E2747*F2747*H2747,IF(AND(G2747,H2747),C2747*E2747*G2747*H2747,IF(F2747,C2747*E2747*F2747,IF(G2747,C2747*E2747*G2747,IF(H2747,C2747*E2747*H2747,C2747*E2747))))))),2)</f>
        <v>18</v>
      </c>
      <c r="J2747" s="1357" t="s">
        <v>277</v>
      </c>
      <c r="K2747" s="1169"/>
      <c r="L2747" s="1156"/>
      <c r="M2747" s="1169"/>
      <c r="N2747" s="1161" t="s">
        <v>2306</v>
      </c>
    </row>
    <row r="2748" spans="1:14" s="1170" customFormat="1" ht="16.5" hidden="1" customHeight="1">
      <c r="A2748" s="1156"/>
      <c r="B2748" s="1331"/>
      <c r="C2748" s="1332"/>
      <c r="D2748" s="1333"/>
      <c r="E2748" s="1334"/>
      <c r="F2748" s="1335"/>
      <c r="G2748" s="1335"/>
      <c r="H2748" s="1335"/>
      <c r="I2748" s="1336"/>
      <c r="J2748" s="1357"/>
      <c r="K2748" s="1169"/>
      <c r="L2748" s="1156"/>
      <c r="M2748" s="1169"/>
      <c r="N2748" s="1161" t="s">
        <v>2306</v>
      </c>
    </row>
    <row r="2749" spans="1:14" ht="15.75" hidden="1">
      <c r="A2749" s="1156"/>
      <c r="B2749" s="1169"/>
      <c r="C2749" s="1337"/>
      <c r="D2749" s="1171"/>
      <c r="E2749" s="1165"/>
      <c r="F2749" s="1166"/>
      <c r="G2749" s="1343"/>
      <c r="H2749" s="1156"/>
      <c r="I2749" s="1336"/>
      <c r="J2749" s="1357" t="s">
        <v>277</v>
      </c>
      <c r="K2749" s="1221">
        <f>'SANITATION DTA'!G200</f>
        <v>70</v>
      </c>
      <c r="L2749" s="1159" t="s">
        <v>2306</v>
      </c>
      <c r="M2749" s="1224">
        <f>ROUND(I2749*K2749,0)</f>
        <v>0</v>
      </c>
      <c r="N2749" s="1161" t="s">
        <v>2306</v>
      </c>
    </row>
    <row r="2750" spans="1:14" ht="66" hidden="1" customHeight="1">
      <c r="A2750" s="1156">
        <v>13</v>
      </c>
      <c r="B2750" s="1826" t="s">
        <v>328</v>
      </c>
      <c r="C2750" s="1826"/>
      <c r="D2750" s="1826"/>
      <c r="E2750" s="1826"/>
      <c r="F2750" s="1826"/>
      <c r="G2750" s="1826"/>
      <c r="H2750" s="1826"/>
      <c r="I2750" s="1157"/>
      <c r="J2750" s="1158"/>
      <c r="K2750" s="1156"/>
      <c r="L2750" s="1156"/>
      <c r="M2750" s="1160"/>
      <c r="N2750" s="1161" t="s">
        <v>2306</v>
      </c>
    </row>
    <row r="2751" spans="1:14" s="1170" customFormat="1" ht="16.5" hidden="1" customHeight="1">
      <c r="A2751" s="1156"/>
      <c r="B2751" s="1169" t="s">
        <v>2790</v>
      </c>
      <c r="C2751" s="1351"/>
      <c r="D2751" s="1418"/>
      <c r="E2751" s="1352"/>
      <c r="F2751" s="1234"/>
      <c r="G2751" s="1234"/>
      <c r="H2751" s="1235"/>
      <c r="I2751" s="1353"/>
      <c r="J2751" s="1357"/>
      <c r="K2751" s="1169"/>
      <c r="L2751" s="1156"/>
      <c r="M2751" s="1169"/>
      <c r="N2751" s="1161" t="s">
        <v>2306</v>
      </c>
    </row>
    <row r="2752" spans="1:14" s="1170" customFormat="1" ht="16.5" hidden="1" customHeight="1">
      <c r="A2752" s="1156"/>
      <c r="B2752" s="1359" t="s">
        <v>310</v>
      </c>
      <c r="C2752" s="1360">
        <v>1</v>
      </c>
      <c r="D2752" s="1361" t="s">
        <v>273</v>
      </c>
      <c r="E2752" s="1362">
        <v>3</v>
      </c>
      <c r="F2752" s="1363">
        <v>0</v>
      </c>
      <c r="G2752" s="1363">
        <v>0</v>
      </c>
      <c r="H2752" s="1363">
        <v>0</v>
      </c>
      <c r="I2752" s="1421">
        <f>ROUND(IF(AND(F2752:H2752),C2752*E2752*F2752*G2752*H2752,IF(AND(F2752,G2752),C2752*E2752*F2752*G2752,IF(AND(F2752,H2752),C2752*E2752*F2752*H2752,IF(AND(G2752,H2752),C2752*E2752*G2752*H2752,IF(F2752,C2752*E2752*F2752,IF(G2752,C2752*E2752*G2752,IF(H2752,C2752*E2752*H2752,C2752*E2752))))))),2)</f>
        <v>3</v>
      </c>
      <c r="J2752" s="1357" t="s">
        <v>115</v>
      </c>
      <c r="K2752" s="1169"/>
      <c r="L2752" s="1156"/>
      <c r="M2752" s="1169"/>
      <c r="N2752" s="1161" t="s">
        <v>2306</v>
      </c>
    </row>
    <row r="2753" spans="1:14" s="1170" customFormat="1" ht="16.5" hidden="1" customHeight="1">
      <c r="A2753" s="1156"/>
      <c r="B2753" s="1331"/>
      <c r="C2753" s="1332"/>
      <c r="D2753" s="1333"/>
      <c r="E2753" s="1334"/>
      <c r="F2753" s="1335"/>
      <c r="G2753" s="1335"/>
      <c r="H2753" s="1335"/>
      <c r="I2753" s="1421"/>
      <c r="J2753" s="1357"/>
      <c r="K2753" s="1169"/>
      <c r="L2753" s="1156"/>
      <c r="M2753" s="1169"/>
      <c r="N2753" s="1161" t="s">
        <v>2306</v>
      </c>
    </row>
    <row r="2754" spans="1:14" ht="15.75" hidden="1">
      <c r="A2754" s="1156"/>
      <c r="B2754" s="1169"/>
      <c r="C2754" s="1337"/>
      <c r="D2754" s="1171"/>
      <c r="E2754" s="1165"/>
      <c r="F2754" s="1166"/>
      <c r="G2754" s="1343"/>
      <c r="H2754" s="1156"/>
      <c r="I2754" s="1421"/>
      <c r="J2754" s="1357" t="s">
        <v>115</v>
      </c>
      <c r="K2754" s="1221">
        <f>'SANITATION DTA'!G160</f>
        <v>4776</v>
      </c>
      <c r="L2754" s="1159" t="s">
        <v>2306</v>
      </c>
      <c r="M2754" s="1224">
        <f>ROUND(I2754*K2754,0)</f>
        <v>0</v>
      </c>
      <c r="N2754" s="1161" t="s">
        <v>2306</v>
      </c>
    </row>
    <row r="2755" spans="1:14" ht="36" hidden="1" customHeight="1">
      <c r="A2755" s="1156">
        <v>8</v>
      </c>
      <c r="B2755" s="1826" t="s">
        <v>608</v>
      </c>
      <c r="C2755" s="1826"/>
      <c r="D2755" s="1826"/>
      <c r="E2755" s="1826"/>
      <c r="F2755" s="1826"/>
      <c r="G2755" s="1826"/>
      <c r="H2755" s="1826"/>
      <c r="I2755" s="1157"/>
      <c r="J2755" s="1158"/>
      <c r="K2755" s="1156"/>
      <c r="L2755" s="1156"/>
      <c r="M2755" s="1160"/>
      <c r="N2755" s="1161" t="s">
        <v>2306</v>
      </c>
    </row>
    <row r="2756" spans="1:14" s="1170" customFormat="1" ht="16.5" hidden="1" customHeight="1">
      <c r="A2756" s="1156"/>
      <c r="B2756" s="1230" t="s">
        <v>607</v>
      </c>
      <c r="C2756" s="1351"/>
      <c r="D2756" s="1418"/>
      <c r="E2756" s="1352"/>
      <c r="F2756" s="1234"/>
      <c r="G2756" s="1234"/>
      <c r="H2756" s="1235"/>
      <c r="I2756" s="1353"/>
      <c r="J2756" s="1357"/>
      <c r="K2756" s="1169"/>
      <c r="L2756" s="1156"/>
      <c r="M2756" s="1169"/>
      <c r="N2756" s="1161" t="s">
        <v>2306</v>
      </c>
    </row>
    <row r="2757" spans="1:14" s="1170" customFormat="1" ht="16.5" hidden="1" customHeight="1">
      <c r="A2757" s="1156"/>
      <c r="B2757" s="1331" t="s">
        <v>310</v>
      </c>
      <c r="C2757" s="1332">
        <v>1</v>
      </c>
      <c r="D2757" s="1333" t="s">
        <v>273</v>
      </c>
      <c r="E2757" s="1334">
        <v>1</v>
      </c>
      <c r="F2757" s="1335">
        <v>0</v>
      </c>
      <c r="G2757" s="1335">
        <v>0</v>
      </c>
      <c r="H2757" s="1335">
        <v>0</v>
      </c>
      <c r="I2757" s="1421">
        <f>ROUND(IF(AND(F2757:H2757),C2757*E2757*F2757*G2757*H2757,IF(AND(F2757,G2757),C2757*E2757*F2757*G2757,IF(AND(F2757,H2757),C2757*E2757*F2757*H2757,IF(AND(G2757,H2757),C2757*E2757*G2757*H2757,IF(F2757,C2757*E2757*F2757,IF(G2757,C2757*E2757*G2757,IF(H2757,C2757*E2757*H2757,C2757*E2757))))))),2)</f>
        <v>1</v>
      </c>
      <c r="J2757" s="1357" t="s">
        <v>115</v>
      </c>
      <c r="K2757" s="1169"/>
      <c r="L2757" s="1156"/>
      <c r="M2757" s="1169"/>
      <c r="N2757" s="1161" t="s">
        <v>2306</v>
      </c>
    </row>
    <row r="2758" spans="1:14" s="1170" customFormat="1" ht="16.5" hidden="1" customHeight="1">
      <c r="A2758" s="1156"/>
      <c r="B2758" s="1331"/>
      <c r="C2758" s="1332"/>
      <c r="D2758" s="1333"/>
      <c r="E2758" s="1334"/>
      <c r="F2758" s="1335"/>
      <c r="G2758" s="1335"/>
      <c r="H2758" s="1335"/>
      <c r="I2758" s="1421"/>
      <c r="J2758" s="1357"/>
      <c r="K2758" s="1169"/>
      <c r="L2758" s="1156"/>
      <c r="M2758" s="1169"/>
      <c r="N2758" s="1161" t="s">
        <v>2306</v>
      </c>
    </row>
    <row r="2759" spans="1:14" ht="15.75" hidden="1">
      <c r="A2759" s="1156"/>
      <c r="B2759" s="1169"/>
      <c r="C2759" s="1337"/>
      <c r="D2759" s="1171"/>
      <c r="E2759" s="1165"/>
      <c r="F2759" s="1166"/>
      <c r="G2759" s="1343"/>
      <c r="H2759" s="1156"/>
      <c r="I2759" s="1421"/>
      <c r="J2759" s="1357" t="s">
        <v>115</v>
      </c>
      <c r="K2759" s="1221">
        <f>'SANITATION DTA'!G163</f>
        <v>934</v>
      </c>
      <c r="L2759" s="1159" t="s">
        <v>2306</v>
      </c>
      <c r="M2759" s="1224">
        <f>ROUND(I2759*K2759,0)</f>
        <v>0</v>
      </c>
      <c r="N2759" s="1161" t="s">
        <v>2306</v>
      </c>
    </row>
    <row r="2760" spans="1:14" ht="57" hidden="1" customHeight="1">
      <c r="A2760" s="1156">
        <v>17</v>
      </c>
      <c r="B2760" s="1826" t="s">
        <v>1254</v>
      </c>
      <c r="C2760" s="1826"/>
      <c r="D2760" s="1826"/>
      <c r="E2760" s="1826"/>
      <c r="F2760" s="1826"/>
      <c r="G2760" s="1826"/>
      <c r="H2760" s="1826"/>
      <c r="I2760" s="1157"/>
      <c r="J2760" s="1158"/>
      <c r="K2760" s="1156"/>
      <c r="L2760" s="1156"/>
      <c r="M2760" s="1160"/>
      <c r="N2760" s="1161" t="s">
        <v>2306</v>
      </c>
    </row>
    <row r="2761" spans="1:14" s="1170" customFormat="1" ht="16.5" hidden="1" customHeight="1">
      <c r="A2761" s="1156"/>
      <c r="B2761" s="1169" t="s">
        <v>2576</v>
      </c>
      <c r="C2761" s="1351"/>
      <c r="D2761" s="1418"/>
      <c r="E2761" s="1352"/>
      <c r="F2761" s="1234"/>
      <c r="G2761" s="1234"/>
      <c r="H2761" s="1235"/>
      <c r="I2761" s="1353"/>
      <c r="J2761" s="1357"/>
      <c r="K2761" s="1169"/>
      <c r="L2761" s="1156"/>
      <c r="M2761" s="1169"/>
      <c r="N2761" s="1161" t="s">
        <v>2306</v>
      </c>
    </row>
    <row r="2762" spans="1:14" s="1170" customFormat="1" ht="16.5" hidden="1" customHeight="1">
      <c r="A2762" s="1156"/>
      <c r="B2762" s="1331" t="s">
        <v>688</v>
      </c>
      <c r="C2762" s="1332">
        <v>1</v>
      </c>
      <c r="D2762" s="1333" t="s">
        <v>273</v>
      </c>
      <c r="E2762" s="1334">
        <v>1</v>
      </c>
      <c r="F2762" s="1335">
        <v>0</v>
      </c>
      <c r="G2762" s="1335">
        <v>0</v>
      </c>
      <c r="H2762" s="1335">
        <v>0</v>
      </c>
      <c r="I2762" s="1336">
        <f>ROUND(IF(AND(F2762:H2762),C2762*E2762*F2762*G2762*H2762,IF(AND(F2762,G2762),C2762*E2762*F2762*G2762,IF(AND(F2762,H2762),C2762*E2762*F2762*H2762,IF(AND(G2762,H2762),C2762*E2762*G2762*H2762,IF(F2762,C2762*E2762*F2762,IF(G2762,C2762*E2762*G2762,IF(H2762,C2762*E2762*H2762,C2762*E2762))))))),2)</f>
        <v>1</v>
      </c>
      <c r="J2762" s="1357" t="s">
        <v>115</v>
      </c>
      <c r="K2762" s="1169"/>
      <c r="L2762" s="1156"/>
      <c r="M2762" s="1169"/>
      <c r="N2762" s="1161" t="s">
        <v>2306</v>
      </c>
    </row>
    <row r="2763" spans="1:14" s="1170" customFormat="1" ht="16.5" hidden="1" customHeight="1">
      <c r="A2763" s="1156"/>
      <c r="B2763" s="1331"/>
      <c r="C2763" s="1332"/>
      <c r="D2763" s="1333"/>
      <c r="E2763" s="1334"/>
      <c r="F2763" s="1335"/>
      <c r="G2763" s="1335"/>
      <c r="H2763" s="1335"/>
      <c r="I2763" s="1421"/>
      <c r="J2763" s="1357"/>
      <c r="K2763" s="1169"/>
      <c r="L2763" s="1156"/>
      <c r="M2763" s="1169"/>
      <c r="N2763" s="1161" t="s">
        <v>2306</v>
      </c>
    </row>
    <row r="2764" spans="1:14" ht="15.75" hidden="1">
      <c r="A2764" s="1156"/>
      <c r="B2764" s="1169"/>
      <c r="C2764" s="1337"/>
      <c r="D2764" s="1171"/>
      <c r="E2764" s="1165"/>
      <c r="F2764" s="1166"/>
      <c r="G2764" s="1343"/>
      <c r="H2764" s="1156"/>
      <c r="I2764" s="1421"/>
      <c r="J2764" s="1357" t="s">
        <v>115</v>
      </c>
      <c r="K2764" s="1221">
        <f>'SANITATION DTA'!G166</f>
        <v>2385</v>
      </c>
      <c r="L2764" s="1159" t="s">
        <v>2306</v>
      </c>
      <c r="M2764" s="1224">
        <f>ROUND(I2764*K2764,0)</f>
        <v>0</v>
      </c>
      <c r="N2764" s="1161" t="s">
        <v>2306</v>
      </c>
    </row>
    <row r="2765" spans="1:14" ht="132.75" hidden="1" customHeight="1">
      <c r="A2765" s="1156">
        <v>14</v>
      </c>
      <c r="B2765" s="1826" t="s">
        <v>333</v>
      </c>
      <c r="C2765" s="1826"/>
      <c r="D2765" s="1826"/>
      <c r="E2765" s="1826"/>
      <c r="F2765" s="1826"/>
      <c r="G2765" s="1826"/>
      <c r="H2765" s="1826"/>
      <c r="I2765" s="1157"/>
      <c r="J2765" s="1158"/>
      <c r="K2765" s="1156"/>
      <c r="L2765" s="1156"/>
      <c r="M2765" s="1160"/>
      <c r="N2765" s="1161" t="s">
        <v>2306</v>
      </c>
    </row>
    <row r="2766" spans="1:14" s="1170" customFormat="1" ht="16.5" hidden="1" customHeight="1">
      <c r="A2766" s="1156"/>
      <c r="B2766" s="1169" t="s">
        <v>2791</v>
      </c>
      <c r="C2766" s="1351"/>
      <c r="D2766" s="1418"/>
      <c r="E2766" s="1352"/>
      <c r="F2766" s="1234"/>
      <c r="G2766" s="1234"/>
      <c r="H2766" s="1235"/>
      <c r="I2766" s="1353"/>
      <c r="J2766" s="1357"/>
      <c r="K2766" s="1169"/>
      <c r="L2766" s="1156"/>
      <c r="M2766" s="1169"/>
      <c r="N2766" s="1161" t="s">
        <v>2306</v>
      </c>
    </row>
    <row r="2767" spans="1:14" s="1170" customFormat="1" ht="16.5" hidden="1" customHeight="1">
      <c r="A2767" s="1156"/>
      <c r="B2767" s="1359"/>
      <c r="C2767" s="1360">
        <v>1</v>
      </c>
      <c r="D2767" s="1361" t="s">
        <v>273</v>
      </c>
      <c r="E2767" s="1362">
        <v>3</v>
      </c>
      <c r="F2767" s="1363">
        <v>0</v>
      </c>
      <c r="G2767" s="1363">
        <v>0</v>
      </c>
      <c r="H2767" s="1363">
        <v>0</v>
      </c>
      <c r="I2767" s="1421">
        <f>ROUND(IF(AND(F2767:H2767),C2767*E2767*F2767*G2767*H2767,IF(AND(F2767,G2767),C2767*E2767*F2767*G2767,IF(AND(F2767,H2767),C2767*E2767*F2767*H2767,IF(AND(G2767,H2767),C2767*E2767*G2767*H2767,IF(F2767,C2767*E2767*F2767,IF(G2767,C2767*E2767*G2767,IF(H2767,C2767*E2767*H2767,C2767*E2767))))))),2)</f>
        <v>3</v>
      </c>
      <c r="J2767" s="1357" t="s">
        <v>115</v>
      </c>
      <c r="K2767" s="1169"/>
      <c r="L2767" s="1156"/>
      <c r="M2767" s="1169"/>
      <c r="N2767" s="1161" t="s">
        <v>2306</v>
      </c>
    </row>
    <row r="2768" spans="1:14" s="1170" customFormat="1" ht="16.5" hidden="1" customHeight="1">
      <c r="A2768" s="1156"/>
      <c r="B2768" s="1359"/>
      <c r="C2768" s="1360"/>
      <c r="D2768" s="1361"/>
      <c r="E2768" s="1362"/>
      <c r="F2768" s="1363"/>
      <c r="G2768" s="1363"/>
      <c r="H2768" s="1363"/>
      <c r="I2768" s="1421"/>
      <c r="J2768" s="1357"/>
      <c r="K2768" s="1169"/>
      <c r="L2768" s="1156"/>
      <c r="M2768" s="1169"/>
      <c r="N2768" s="1161" t="s">
        <v>2306</v>
      </c>
    </row>
    <row r="2769" spans="1:14" ht="15.75" hidden="1">
      <c r="A2769" s="1156"/>
      <c r="B2769" s="1169"/>
      <c r="C2769" s="1337"/>
      <c r="D2769" s="1171"/>
      <c r="E2769" s="1165"/>
      <c r="F2769" s="1166"/>
      <c r="G2769" s="1343"/>
      <c r="H2769" s="1156"/>
      <c r="I2769" s="1421"/>
      <c r="J2769" s="1357" t="s">
        <v>115</v>
      </c>
      <c r="K2769" s="1221">
        <f>'SANITATION DTA'!G174</f>
        <v>1827</v>
      </c>
      <c r="L2769" s="1159" t="s">
        <v>2306</v>
      </c>
      <c r="M2769" s="1224">
        <f>ROUND(I2769*K2769,0)</f>
        <v>0</v>
      </c>
      <c r="N2769" s="1161" t="s">
        <v>2306</v>
      </c>
    </row>
    <row r="2770" spans="1:14" ht="21.75" hidden="1" customHeight="1">
      <c r="A2770" s="1156">
        <v>15</v>
      </c>
      <c r="B2770" s="1831" t="s">
        <v>718</v>
      </c>
      <c r="C2770" s="1832"/>
      <c r="D2770" s="1832"/>
      <c r="E2770" s="1832"/>
      <c r="F2770" s="1832"/>
      <c r="G2770" s="1832"/>
      <c r="H2770" s="1834"/>
      <c r="I2770" s="1421"/>
      <c r="J2770" s="1158"/>
      <c r="K2770" s="1156"/>
      <c r="L2770" s="1156"/>
      <c r="M2770" s="1160"/>
      <c r="N2770" s="1161" t="s">
        <v>2306</v>
      </c>
    </row>
    <row r="2771" spans="1:14" s="1170" customFormat="1" ht="16.5" hidden="1" customHeight="1">
      <c r="A2771" s="1156"/>
      <c r="B2771" s="1169" t="s">
        <v>2794</v>
      </c>
      <c r="C2771" s="1351"/>
      <c r="D2771" s="1418"/>
      <c r="E2771" s="1352"/>
      <c r="F2771" s="1234"/>
      <c r="G2771" s="1234"/>
      <c r="H2771" s="1235"/>
      <c r="I2771" s="1425"/>
      <c r="J2771" s="1357"/>
      <c r="K2771" s="1169"/>
      <c r="L2771" s="1156"/>
      <c r="M2771" s="1169"/>
      <c r="N2771" s="1161" t="s">
        <v>2306</v>
      </c>
    </row>
    <row r="2772" spans="1:14" s="1170" customFormat="1" ht="16.5" hidden="1" customHeight="1">
      <c r="A2772" s="1156"/>
      <c r="B2772" s="1331"/>
      <c r="C2772" s="1332">
        <v>1</v>
      </c>
      <c r="D2772" s="1333" t="s">
        <v>273</v>
      </c>
      <c r="E2772" s="1334">
        <v>4</v>
      </c>
      <c r="F2772" s="1335">
        <v>0</v>
      </c>
      <c r="G2772" s="1335">
        <v>0</v>
      </c>
      <c r="H2772" s="1335">
        <v>0</v>
      </c>
      <c r="I2772" s="1421">
        <f>ROUND(IF(AND(F2772:H2772),C2772*E2772*F2772*G2772*H2772,IF(AND(F2772,G2772),C2772*E2772*F2772*G2772,IF(AND(F2772,H2772),C2772*E2772*F2772*H2772,IF(AND(G2772,H2772),C2772*E2772*G2772*H2772,IF(F2772,C2772*E2772*F2772,IF(G2772,C2772*E2772*G2772,IF(H2772,C2772*E2772*H2772,C2772*E2772))))))),2)</f>
        <v>4</v>
      </c>
      <c r="J2772" s="1357" t="s">
        <v>115</v>
      </c>
      <c r="K2772" s="1169"/>
      <c r="L2772" s="1156"/>
      <c r="M2772" s="1169"/>
      <c r="N2772" s="1161" t="s">
        <v>2306</v>
      </c>
    </row>
    <row r="2773" spans="1:14" s="1170" customFormat="1" ht="16.5" hidden="1" customHeight="1">
      <c r="A2773" s="1156"/>
      <c r="B2773" s="1331"/>
      <c r="C2773" s="1332"/>
      <c r="D2773" s="1333"/>
      <c r="E2773" s="1334"/>
      <c r="F2773" s="1335"/>
      <c r="G2773" s="1335"/>
      <c r="H2773" s="1335"/>
      <c r="I2773" s="1421"/>
      <c r="J2773" s="1357"/>
      <c r="K2773" s="1169"/>
      <c r="L2773" s="1156"/>
      <c r="M2773" s="1169"/>
      <c r="N2773" s="1161" t="s">
        <v>2306</v>
      </c>
    </row>
    <row r="2774" spans="1:14" ht="15.75" hidden="1">
      <c r="A2774" s="1156"/>
      <c r="B2774" s="1169"/>
      <c r="C2774" s="1337"/>
      <c r="D2774" s="1171"/>
      <c r="E2774" s="1165"/>
      <c r="F2774" s="1166"/>
      <c r="G2774" s="1343"/>
      <c r="H2774" s="1156"/>
      <c r="I2774" s="1421"/>
      <c r="J2774" s="1357" t="s">
        <v>115</v>
      </c>
      <c r="K2774" s="1221">
        <f>'SANITATION DTA'!G302</f>
        <v>86</v>
      </c>
      <c r="L2774" s="1159" t="s">
        <v>2306</v>
      </c>
      <c r="M2774" s="1224">
        <f>ROUND(I2774*K2774,0)</f>
        <v>0</v>
      </c>
      <c r="N2774" s="1161" t="s">
        <v>2306</v>
      </c>
    </row>
    <row r="2775" spans="1:14" ht="58.5" hidden="1" customHeight="1">
      <c r="A2775" s="1156">
        <v>16</v>
      </c>
      <c r="B2775" s="1826" t="s">
        <v>290</v>
      </c>
      <c r="C2775" s="1826"/>
      <c r="D2775" s="1826"/>
      <c r="E2775" s="1826"/>
      <c r="F2775" s="1826"/>
      <c r="G2775" s="1826"/>
      <c r="H2775" s="1826"/>
      <c r="I2775" s="1157"/>
      <c r="J2775" s="1158"/>
      <c r="K2775" s="1156"/>
      <c r="L2775" s="1156"/>
      <c r="M2775" s="1160"/>
      <c r="N2775" s="1161" t="s">
        <v>2306</v>
      </c>
    </row>
    <row r="2776" spans="1:14" s="1170" customFormat="1" ht="16.5" hidden="1" customHeight="1">
      <c r="A2776" s="1156"/>
      <c r="B2776" s="1169" t="s">
        <v>2786</v>
      </c>
      <c r="C2776" s="1351"/>
      <c r="D2776" s="1418"/>
      <c r="E2776" s="1352"/>
      <c r="F2776" s="1234"/>
      <c r="G2776" s="1234"/>
      <c r="H2776" s="1235"/>
      <c r="I2776" s="1353"/>
      <c r="J2776" s="1357"/>
      <c r="K2776" s="1169"/>
      <c r="L2776" s="1156"/>
      <c r="M2776" s="1169"/>
      <c r="N2776" s="1161" t="s">
        <v>2306</v>
      </c>
    </row>
    <row r="2777" spans="1:14" s="1170" customFormat="1" ht="16.5" hidden="1" customHeight="1">
      <c r="A2777" s="1156"/>
      <c r="B2777" s="1359"/>
      <c r="C2777" s="1360">
        <v>1</v>
      </c>
      <c r="D2777" s="1361" t="s">
        <v>273</v>
      </c>
      <c r="E2777" s="1362">
        <v>1</v>
      </c>
      <c r="F2777" s="1552">
        <v>1000</v>
      </c>
      <c r="G2777" s="1363">
        <v>0</v>
      </c>
      <c r="H2777" s="1363">
        <v>0</v>
      </c>
      <c r="I2777" s="1336">
        <f>ROUND(IF(AND(F2777:H2777),C2777*E2777*F2777*G2777*H2777,IF(AND(F2777,G2777),C2777*E2777*F2777*G2777,IF(AND(F2777,H2777),C2777*E2777*F2777*H2777,IF(AND(G2777,H2777),C2777*E2777*G2777*H2777,IF(F2777,C2777*E2777*F2777,IF(G2777,C2777*E2777*G2777,IF(H2777,C2777*E2777*H2777,C2777*E2777))))))),2)</f>
        <v>1000</v>
      </c>
      <c r="J2777" s="1357" t="s">
        <v>291</v>
      </c>
      <c r="K2777" s="1169"/>
      <c r="L2777" s="1156"/>
      <c r="M2777" s="1169"/>
      <c r="N2777" s="1161" t="s">
        <v>2306</v>
      </c>
    </row>
    <row r="2778" spans="1:14" s="1170" customFormat="1" ht="16.5" hidden="1" customHeight="1">
      <c r="A2778" s="1156"/>
      <c r="B2778" s="1359"/>
      <c r="C2778" s="1360"/>
      <c r="D2778" s="1361"/>
      <c r="E2778" s="1362"/>
      <c r="F2778" s="1552"/>
      <c r="G2778" s="1363"/>
      <c r="H2778" s="1363"/>
      <c r="I2778" s="1336"/>
      <c r="J2778" s="1357"/>
      <c r="K2778" s="1169"/>
      <c r="L2778" s="1156"/>
      <c r="M2778" s="1169"/>
      <c r="N2778" s="1161" t="s">
        <v>2306</v>
      </c>
    </row>
    <row r="2779" spans="1:14" ht="15.75" hidden="1">
      <c r="A2779" s="1156"/>
      <c r="B2779" s="1169"/>
      <c r="C2779" s="1337"/>
      <c r="D2779" s="1171"/>
      <c r="E2779" s="1165"/>
      <c r="F2779" s="1166"/>
      <c r="G2779" s="1343"/>
      <c r="H2779" s="1156"/>
      <c r="I2779" s="1336"/>
      <c r="J2779" s="1357" t="s">
        <v>291</v>
      </c>
      <c r="K2779" s="1221">
        <f>'SANITATION DTA'!G218</f>
        <v>6</v>
      </c>
      <c r="L2779" s="1159" t="s">
        <v>2306</v>
      </c>
      <c r="M2779" s="1224">
        <f>ROUND(I2779*K2779,0)</f>
        <v>0</v>
      </c>
      <c r="N2779" s="1161" t="s">
        <v>2306</v>
      </c>
    </row>
    <row r="2780" spans="1:14" ht="146.25" hidden="1" customHeight="1">
      <c r="A2780" s="1156">
        <v>17</v>
      </c>
      <c r="B2780" s="1826" t="s">
        <v>448</v>
      </c>
      <c r="C2780" s="1826"/>
      <c r="D2780" s="1826"/>
      <c r="E2780" s="1826"/>
      <c r="F2780" s="1826"/>
      <c r="G2780" s="1826"/>
      <c r="H2780" s="1826"/>
      <c r="I2780" s="1157"/>
      <c r="J2780" s="1158"/>
      <c r="K2780" s="1156"/>
      <c r="L2780" s="1156"/>
      <c r="M2780" s="1160"/>
      <c r="N2780" s="1161" t="s">
        <v>2306</v>
      </c>
    </row>
    <row r="2781" spans="1:14" s="1170" customFormat="1" ht="16.5" hidden="1" customHeight="1">
      <c r="A2781" s="1156"/>
      <c r="B2781" s="1169" t="s">
        <v>3466</v>
      </c>
      <c r="C2781" s="1351"/>
      <c r="D2781" s="1418"/>
      <c r="E2781" s="1352"/>
      <c r="F2781" s="1234"/>
      <c r="G2781" s="1234"/>
      <c r="H2781" s="1235"/>
      <c r="I2781" s="1353"/>
      <c r="J2781" s="1357"/>
      <c r="K2781" s="1169"/>
      <c r="L2781" s="1156"/>
      <c r="M2781" s="1169"/>
      <c r="N2781" s="1161" t="s">
        <v>2306</v>
      </c>
    </row>
    <row r="2782" spans="1:14" s="1170" customFormat="1" ht="16.5" hidden="1" customHeight="1">
      <c r="A2782" s="1156"/>
      <c r="B2782" s="1359" t="s">
        <v>588</v>
      </c>
      <c r="C2782" s="1360"/>
      <c r="D2782" s="1361" t="s">
        <v>273</v>
      </c>
      <c r="E2782" s="1362">
        <v>1</v>
      </c>
      <c r="F2782" s="1552">
        <v>90</v>
      </c>
      <c r="G2782" s="1363">
        <v>0</v>
      </c>
      <c r="H2782" s="1363">
        <v>0</v>
      </c>
      <c r="I2782" s="1336">
        <f>ROUND(IF(AND(F2782:H2782),C2782*E2782*F2782*G2782*H2782,IF(AND(F2782,G2782),C2782*E2782*F2782*G2782,IF(AND(F2782,H2782),C2782*E2782*F2782*H2782,IF(AND(G2782,H2782),C2782*E2782*G2782*H2782,IF(F2782,C2782*E2782*F2782,IF(G2782,C2782*E2782*G2782,IF(H2782,C2782*E2782*H2782,C2782*E2782))))))),2)</f>
        <v>0</v>
      </c>
      <c r="J2782" s="1357" t="s">
        <v>277</v>
      </c>
      <c r="K2782" s="1214">
        <f>'SANITATION DTA'!G257</f>
        <v>446.4</v>
      </c>
      <c r="L2782" s="1159" t="s">
        <v>2306</v>
      </c>
      <c r="M2782" s="1224">
        <f>ROUND(I2782*K2782,0)</f>
        <v>0</v>
      </c>
      <c r="N2782" s="1161" t="s">
        <v>2306</v>
      </c>
    </row>
    <row r="2783" spans="1:14" s="1170" customFormat="1" ht="16.5" hidden="1" customHeight="1">
      <c r="A2783" s="1156"/>
      <c r="B2783" s="1359" t="s">
        <v>589</v>
      </c>
      <c r="C2783" s="1360"/>
      <c r="D2783" s="1361" t="s">
        <v>273</v>
      </c>
      <c r="E2783" s="1362">
        <v>1</v>
      </c>
      <c r="F2783" s="1552">
        <v>30</v>
      </c>
      <c r="G2783" s="1363">
        <v>0</v>
      </c>
      <c r="H2783" s="1363">
        <v>0</v>
      </c>
      <c r="I2783" s="1336">
        <f>ROUND(IF(AND(F2783:H2783),C2783*E2783*F2783*G2783*H2783,IF(AND(F2783,G2783),C2783*E2783*F2783*G2783,IF(AND(F2783,H2783),C2783*E2783*F2783*H2783,IF(AND(G2783,H2783),C2783*E2783*G2783*H2783,IF(F2783,C2783*E2783*F2783,IF(G2783,C2783*E2783*G2783,IF(H2783,C2783*E2783*H2783,C2783*E2783))))))),2)</f>
        <v>0</v>
      </c>
      <c r="J2783" s="1357" t="s">
        <v>277</v>
      </c>
      <c r="K2783" s="1214">
        <f>'SANITATION DTA'!G259</f>
        <v>477.6</v>
      </c>
      <c r="L2783" s="1159" t="s">
        <v>2306</v>
      </c>
      <c r="M2783" s="1224">
        <f>ROUND(I2783*K2783,0)</f>
        <v>0</v>
      </c>
      <c r="N2783" s="1161" t="s">
        <v>2306</v>
      </c>
    </row>
    <row r="2784" spans="1:14" s="1170" customFormat="1" ht="16.5" hidden="1" customHeight="1">
      <c r="A2784" s="1156"/>
      <c r="B2784" s="1331" t="s">
        <v>590</v>
      </c>
      <c r="C2784" s="1332">
        <v>1</v>
      </c>
      <c r="D2784" s="1333" t="s">
        <v>273</v>
      </c>
      <c r="E2784" s="1334">
        <v>1</v>
      </c>
      <c r="F2784" s="1553">
        <v>60</v>
      </c>
      <c r="G2784" s="1335">
        <v>0</v>
      </c>
      <c r="H2784" s="1335">
        <v>0</v>
      </c>
      <c r="I2784" s="1336"/>
      <c r="J2784" s="1357" t="s">
        <v>277</v>
      </c>
      <c r="K2784" s="1214">
        <f>'SANITATION DTA'!G261</f>
        <v>535.70000000000005</v>
      </c>
      <c r="L2784" s="1159" t="s">
        <v>2306</v>
      </c>
      <c r="M2784" s="1224">
        <f>ROUND(I2784*K2784,0)</f>
        <v>0</v>
      </c>
      <c r="N2784" s="1161" t="s">
        <v>2306</v>
      </c>
    </row>
    <row r="2785" spans="1:17" ht="15.75" hidden="1">
      <c r="A2785" s="1156"/>
      <c r="B2785" s="1169"/>
      <c r="C2785" s="1337"/>
      <c r="D2785" s="1171"/>
      <c r="E2785" s="1165"/>
      <c r="F2785" s="1166"/>
      <c r="G2785" s="1343"/>
      <c r="H2785" s="1156"/>
      <c r="I2785" s="1336"/>
      <c r="J2785" s="1357"/>
      <c r="K2785" s="1221"/>
      <c r="L2785" s="1221"/>
      <c r="M2785" s="1224"/>
      <c r="N2785" s="1161" t="s">
        <v>2306</v>
      </c>
    </row>
    <row r="2786" spans="1:17" ht="43.5" hidden="1" customHeight="1">
      <c r="A2786" s="1156">
        <v>18</v>
      </c>
      <c r="B2786" s="1826" t="s">
        <v>449</v>
      </c>
      <c r="C2786" s="1826"/>
      <c r="D2786" s="1826"/>
      <c r="E2786" s="1826"/>
      <c r="F2786" s="1826"/>
      <c r="G2786" s="1826"/>
      <c r="H2786" s="1826"/>
      <c r="I2786" s="1157"/>
      <c r="J2786" s="1158"/>
      <c r="K2786" s="1156"/>
      <c r="L2786" s="1156"/>
      <c r="M2786" s="1160"/>
      <c r="N2786" s="1161" t="s">
        <v>2306</v>
      </c>
    </row>
    <row r="2787" spans="1:17" s="1170" customFormat="1" ht="16.5" hidden="1" customHeight="1">
      <c r="A2787" s="1156"/>
      <c r="B2787" s="1169" t="s">
        <v>3466</v>
      </c>
      <c r="C2787" s="1351"/>
      <c r="D2787" s="1418"/>
      <c r="E2787" s="1352"/>
      <c r="F2787" s="1234"/>
      <c r="G2787" s="1234"/>
      <c r="H2787" s="1235"/>
      <c r="I2787" s="1353"/>
      <c r="J2787" s="1357"/>
      <c r="K2787" s="1169"/>
      <c r="L2787" s="1156"/>
      <c r="M2787" s="1169"/>
      <c r="N2787" s="1161" t="s">
        <v>2306</v>
      </c>
    </row>
    <row r="2788" spans="1:17" s="1170" customFormat="1" ht="16.5" hidden="1" customHeight="1">
      <c r="A2788" s="1156"/>
      <c r="B2788" s="1359"/>
      <c r="C2788" s="1360"/>
      <c r="D2788" s="1361" t="s">
        <v>273</v>
      </c>
      <c r="E2788" s="1362">
        <v>1</v>
      </c>
      <c r="F2788" s="1401">
        <v>18</v>
      </c>
      <c r="G2788" s="1363">
        <v>0</v>
      </c>
      <c r="H2788" s="1363">
        <v>0</v>
      </c>
      <c r="I2788" s="1336">
        <f>ROUND(IF(AND(F2788:H2788),C2788*E2788*F2788*G2788*H2788,IF(AND(F2788,G2788),C2788*E2788*F2788*G2788,IF(AND(F2788,H2788),C2788*E2788*F2788*H2788,IF(AND(G2788,H2788),C2788*E2788*G2788*H2788,IF(F2788,C2788*E2788*F2788,IF(G2788,C2788*E2788*G2788,IF(H2788,C2788*E2788*H2788,C2788*E2788))))))),2)</f>
        <v>0</v>
      </c>
      <c r="J2788" s="1357" t="s">
        <v>277</v>
      </c>
      <c r="K2788" s="1169"/>
      <c r="L2788" s="1156"/>
      <c r="M2788" s="1169"/>
      <c r="N2788" s="1161" t="s">
        <v>2306</v>
      </c>
    </row>
    <row r="2789" spans="1:17" s="1170" customFormat="1" ht="16.5" hidden="1" customHeight="1">
      <c r="A2789" s="1156"/>
      <c r="B2789" s="1359"/>
      <c r="C2789" s="1360"/>
      <c r="D2789" s="1361"/>
      <c r="E2789" s="1362"/>
      <c r="F2789" s="1401"/>
      <c r="G2789" s="1363"/>
      <c r="H2789" s="1363"/>
      <c r="I2789" s="1336"/>
      <c r="J2789" s="1357"/>
      <c r="K2789" s="1169"/>
      <c r="L2789" s="1156"/>
      <c r="M2789" s="1169"/>
      <c r="N2789" s="1161" t="s">
        <v>2306</v>
      </c>
    </row>
    <row r="2790" spans="1:17" ht="15.75" hidden="1">
      <c r="A2790" s="1156"/>
      <c r="B2790" s="1169"/>
      <c r="C2790" s="1337"/>
      <c r="D2790" s="1171"/>
      <c r="E2790" s="1165"/>
      <c r="F2790" s="1166"/>
      <c r="G2790" s="1343"/>
      <c r="H2790" s="1156"/>
      <c r="I2790" s="1336">
        <f>SUM(I2788:I2789)</f>
        <v>0</v>
      </c>
      <c r="J2790" s="1357" t="s">
        <v>277</v>
      </c>
      <c r="K2790" s="1221">
        <f>'SANITATION DTA'!G277</f>
        <v>325</v>
      </c>
      <c r="L2790" s="1159" t="s">
        <v>2306</v>
      </c>
      <c r="M2790" s="1224">
        <f>ROUND(I2790*K2790,0)</f>
        <v>0</v>
      </c>
      <c r="N2790" s="1161" t="s">
        <v>2306</v>
      </c>
    </row>
    <row r="2791" spans="1:17" s="1557" customFormat="1" ht="99.75" hidden="1" customHeight="1">
      <c r="A2791" s="1554">
        <v>19</v>
      </c>
      <c r="B2791" s="1855" t="s">
        <v>2769</v>
      </c>
      <c r="C2791" s="1855"/>
      <c r="D2791" s="1855"/>
      <c r="E2791" s="1855"/>
      <c r="F2791" s="1855"/>
      <c r="G2791" s="1855"/>
      <c r="H2791" s="1855"/>
      <c r="I2791" s="1555"/>
      <c r="J2791" s="1355"/>
      <c r="K2791" s="1554"/>
      <c r="L2791" s="1554"/>
      <c r="M2791" s="1556"/>
      <c r="N2791" s="1161" t="s">
        <v>2306</v>
      </c>
      <c r="O2791" s="1557" t="s">
        <v>0</v>
      </c>
      <c r="Q2791" s="1557" t="s">
        <v>0</v>
      </c>
    </row>
    <row r="2792" spans="1:17" s="1170" customFormat="1" ht="16.5" hidden="1" customHeight="1">
      <c r="A2792" s="1156"/>
      <c r="B2792" s="1169" t="s">
        <v>3466</v>
      </c>
      <c r="C2792" s="1351"/>
      <c r="D2792" s="1418"/>
      <c r="E2792" s="1352"/>
      <c r="F2792" s="1234"/>
      <c r="G2792" s="1234"/>
      <c r="H2792" s="1235"/>
      <c r="I2792" s="1353"/>
      <c r="J2792" s="1357"/>
      <c r="K2792" s="1169"/>
      <c r="L2792" s="1156"/>
      <c r="M2792" s="1169"/>
      <c r="N2792" s="1161" t="s">
        <v>2306</v>
      </c>
    </row>
    <row r="2793" spans="1:17" s="1557" customFormat="1" ht="15.75" hidden="1">
      <c r="A2793" s="1554"/>
      <c r="B2793" s="1358"/>
      <c r="C2793" s="1558"/>
      <c r="D2793" s="1346" t="s">
        <v>273</v>
      </c>
      <c r="E2793" s="1355">
        <v>1</v>
      </c>
      <c r="F2793" s="1356">
        <v>0</v>
      </c>
      <c r="G2793" s="1484">
        <v>0</v>
      </c>
      <c r="H2793" s="1356">
        <v>0</v>
      </c>
      <c r="I2793" s="1559">
        <f>ROUND(IF(AND(F2793:H2793),C2793*E2793*F2793*G2793*H2793,IF(AND(F2793,G2793),C2793*E2793*F2793*G2793,IF(AND(F2793,H2793),C2793*E2793*F2793*H2793,IF(AND(G2793,H2793),C2793*E2793*G2793*H2793,IF(F2793,C2793*E2793*F2793,IF(G2793,C2793*E2793*G2793,IF(H2793,C2793*E2793*H2793,C2793*E2793))))))),2)</f>
        <v>0</v>
      </c>
      <c r="J2793" s="1439" t="s">
        <v>115</v>
      </c>
      <c r="K2793" s="1554"/>
      <c r="L2793" s="1554"/>
      <c r="M2793" s="1556"/>
      <c r="N2793" s="1161" t="s">
        <v>2306</v>
      </c>
    </row>
    <row r="2794" spans="1:17" s="1557" customFormat="1" ht="15.75" hidden="1">
      <c r="A2794" s="1554"/>
      <c r="B2794" s="1358"/>
      <c r="C2794" s="1558"/>
      <c r="D2794" s="1346"/>
      <c r="E2794" s="1355"/>
      <c r="F2794" s="1356"/>
      <c r="G2794" s="1484"/>
      <c r="H2794" s="1356"/>
      <c r="I2794" s="1559"/>
      <c r="J2794" s="1439"/>
      <c r="K2794" s="1554"/>
      <c r="L2794" s="1554"/>
      <c r="M2794" s="1556"/>
      <c r="N2794" s="1161" t="s">
        <v>2306</v>
      </c>
    </row>
    <row r="2795" spans="1:17" s="1557" customFormat="1" ht="15.75" hidden="1">
      <c r="A2795" s="1554"/>
      <c r="B2795" s="1756"/>
      <c r="C2795" s="1560"/>
      <c r="D2795" s="1346"/>
      <c r="E2795" s="1355"/>
      <c r="F2795" s="1561"/>
      <c r="G2795" s="1562"/>
      <c r="H2795" s="1561"/>
      <c r="I2795" s="1563">
        <f>SUM(I2793:I2794)</f>
        <v>0</v>
      </c>
      <c r="J2795" s="1439" t="s">
        <v>115</v>
      </c>
      <c r="K2795" s="1484">
        <f>'SANITATION DTA'!G274</f>
        <v>18526</v>
      </c>
      <c r="L2795" s="1159" t="s">
        <v>2306</v>
      </c>
      <c r="M2795" s="1564">
        <f>ROUND(I2795*K2795,0)</f>
        <v>0</v>
      </c>
      <c r="N2795" s="1161" t="s">
        <v>2306</v>
      </c>
      <c r="O2795" s="1557" t="s">
        <v>0</v>
      </c>
    </row>
    <row r="2796" spans="1:17" s="1557" customFormat="1" ht="30.75" hidden="1" customHeight="1">
      <c r="A2796" s="1554">
        <v>20</v>
      </c>
      <c r="B2796" s="1855" t="s">
        <v>591</v>
      </c>
      <c r="C2796" s="1855"/>
      <c r="D2796" s="1855"/>
      <c r="E2796" s="1855"/>
      <c r="F2796" s="1855"/>
      <c r="G2796" s="1855"/>
      <c r="H2796" s="1855"/>
      <c r="I2796" s="1555"/>
      <c r="J2796" s="1355"/>
      <c r="K2796" s="1554"/>
      <c r="L2796" s="1554"/>
      <c r="M2796" s="1556"/>
      <c r="N2796" s="1161" t="s">
        <v>2306</v>
      </c>
      <c r="O2796" s="1557" t="s">
        <v>0</v>
      </c>
      <c r="Q2796" s="1557" t="s">
        <v>0</v>
      </c>
    </row>
    <row r="2797" spans="1:17" s="1170" customFormat="1" ht="16.5" hidden="1" customHeight="1">
      <c r="A2797" s="1156"/>
      <c r="B2797" s="1169" t="s">
        <v>3473</v>
      </c>
      <c r="C2797" s="1351"/>
      <c r="D2797" s="1418"/>
      <c r="E2797" s="1352"/>
      <c r="F2797" s="1234"/>
      <c r="G2797" s="1234"/>
      <c r="H2797" s="1235"/>
      <c r="I2797" s="1353"/>
      <c r="J2797" s="1357"/>
      <c r="K2797" s="1169"/>
      <c r="L2797" s="1156"/>
      <c r="M2797" s="1169"/>
      <c r="N2797" s="1161" t="s">
        <v>2306</v>
      </c>
    </row>
    <row r="2798" spans="1:17" s="1557" customFormat="1" ht="15.75" hidden="1">
      <c r="A2798" s="1554"/>
      <c r="B2798" s="1358"/>
      <c r="C2798" s="1558"/>
      <c r="D2798" s="1346" t="s">
        <v>273</v>
      </c>
      <c r="E2798" s="1355">
        <v>1</v>
      </c>
      <c r="F2798" s="1565">
        <v>85</v>
      </c>
      <c r="G2798" s="1484">
        <v>0</v>
      </c>
      <c r="H2798" s="1356">
        <v>0</v>
      </c>
      <c r="I2798" s="1566">
        <f>ROUND(IF(AND(F2798:H2798),C2798*E2798*F2798*G2798*H2798,IF(AND(F2798,G2798),C2798*E2798*F2798*G2798,IF(AND(F2798,H2798),C2798*E2798*F2798*H2798,IF(AND(G2798,H2798),C2798*E2798*G2798*H2798,IF(F2798,C2798*E2798*F2798,IF(G2798,C2798*E2798*G2798,IF(H2798,C2798*E2798*H2798,C2798*E2798))))))),2)</f>
        <v>0</v>
      </c>
      <c r="J2798" s="1439" t="s">
        <v>277</v>
      </c>
      <c r="K2798" s="1554"/>
      <c r="L2798" s="1554"/>
      <c r="M2798" s="1556"/>
      <c r="N2798" s="1161" t="s">
        <v>2306</v>
      </c>
    </row>
    <row r="2799" spans="1:17" s="1557" customFormat="1" ht="15.75" hidden="1">
      <c r="A2799" s="1554"/>
      <c r="B2799" s="1358"/>
      <c r="C2799" s="1558"/>
      <c r="D2799" s="1346"/>
      <c r="E2799" s="1355"/>
      <c r="F2799" s="1565"/>
      <c r="G2799" s="1484"/>
      <c r="H2799" s="1356"/>
      <c r="I2799" s="1566"/>
      <c r="J2799" s="1439"/>
      <c r="K2799" s="1554"/>
      <c r="L2799" s="1554"/>
      <c r="M2799" s="1556"/>
      <c r="N2799" s="1161" t="s">
        <v>2306</v>
      </c>
    </row>
    <row r="2800" spans="1:17" s="1557" customFormat="1" ht="15.75" hidden="1">
      <c r="A2800" s="1554"/>
      <c r="B2800" s="1756"/>
      <c r="C2800" s="1560"/>
      <c r="D2800" s="1346"/>
      <c r="E2800" s="1355"/>
      <c r="F2800" s="1561"/>
      <c r="G2800" s="1562"/>
      <c r="H2800" s="1561"/>
      <c r="I2800" s="1483">
        <f>SUM(I2798:I2799)</f>
        <v>0</v>
      </c>
      <c r="J2800" s="1439" t="s">
        <v>277</v>
      </c>
      <c r="K2800" s="1484">
        <f>'SANITATION DTA'!G280</f>
        <v>59</v>
      </c>
      <c r="L2800" s="1159" t="s">
        <v>2306</v>
      </c>
      <c r="M2800" s="1564">
        <f>ROUND(I2800*K2800,0)</f>
        <v>0</v>
      </c>
      <c r="N2800" s="1161" t="s">
        <v>2306</v>
      </c>
      <c r="O2800" s="1557" t="s">
        <v>0</v>
      </c>
    </row>
    <row r="2801" spans="1:17" s="1557" customFormat="1" ht="20.25" hidden="1" customHeight="1">
      <c r="A2801" s="1554">
        <v>21</v>
      </c>
      <c r="B2801" s="1855" t="s">
        <v>284</v>
      </c>
      <c r="C2801" s="1855"/>
      <c r="D2801" s="1855"/>
      <c r="E2801" s="1855"/>
      <c r="F2801" s="1855"/>
      <c r="G2801" s="1855"/>
      <c r="H2801" s="1855"/>
      <c r="I2801" s="1555"/>
      <c r="J2801" s="1355"/>
      <c r="K2801" s="1554"/>
      <c r="L2801" s="1554"/>
      <c r="M2801" s="1556"/>
      <c r="N2801" s="1161" t="s">
        <v>2306</v>
      </c>
      <c r="O2801" s="1557" t="s">
        <v>0</v>
      </c>
      <c r="Q2801" s="1557" t="s">
        <v>0</v>
      </c>
    </row>
    <row r="2802" spans="1:17" s="1170" customFormat="1" ht="16.5" hidden="1" customHeight="1">
      <c r="A2802" s="1156"/>
      <c r="B2802" s="1169" t="s">
        <v>3473</v>
      </c>
      <c r="C2802" s="1351"/>
      <c r="D2802" s="1418"/>
      <c r="E2802" s="1352"/>
      <c r="F2802" s="1234"/>
      <c r="G2802" s="1234"/>
      <c r="H2802" s="1235"/>
      <c r="I2802" s="1353"/>
      <c r="J2802" s="1357"/>
      <c r="K2802" s="1169"/>
      <c r="L2802" s="1156"/>
      <c r="M2802" s="1169"/>
      <c r="N2802" s="1161" t="s">
        <v>2306</v>
      </c>
    </row>
    <row r="2803" spans="1:17" s="1557" customFormat="1" ht="15.75" hidden="1">
      <c r="A2803" s="1554"/>
      <c r="B2803" s="1358"/>
      <c r="C2803" s="1558"/>
      <c r="D2803" s="1346" t="s">
        <v>273</v>
      </c>
      <c r="E2803" s="1355">
        <v>1</v>
      </c>
      <c r="F2803" s="1356">
        <v>0</v>
      </c>
      <c r="G2803" s="1484">
        <v>0</v>
      </c>
      <c r="H2803" s="1356">
        <v>0</v>
      </c>
      <c r="I2803" s="1559">
        <f>ROUND(IF(AND(F2803:H2803),C2803*E2803*F2803*G2803*H2803,IF(AND(F2803,G2803),C2803*E2803*F2803*G2803,IF(AND(F2803,H2803),C2803*E2803*F2803*H2803,IF(AND(G2803,H2803),C2803*E2803*G2803*H2803,IF(F2803,C2803*E2803*F2803,IF(G2803,C2803*E2803*G2803,IF(H2803,C2803*E2803*H2803,C2803*E2803))))))),2)</f>
        <v>0</v>
      </c>
      <c r="J2803" s="1439" t="s">
        <v>115</v>
      </c>
      <c r="K2803" s="1554"/>
      <c r="L2803" s="1554"/>
      <c r="M2803" s="1556"/>
      <c r="N2803" s="1161" t="s">
        <v>2306</v>
      </c>
    </row>
    <row r="2804" spans="1:17" s="1557" customFormat="1" ht="15.75" hidden="1">
      <c r="A2804" s="1554"/>
      <c r="B2804" s="1358"/>
      <c r="C2804" s="1558"/>
      <c r="D2804" s="1346"/>
      <c r="E2804" s="1355"/>
      <c r="F2804" s="1356"/>
      <c r="G2804" s="1484"/>
      <c r="H2804" s="1356"/>
      <c r="I2804" s="1559"/>
      <c r="J2804" s="1439"/>
      <c r="K2804" s="1554"/>
      <c r="L2804" s="1554"/>
      <c r="M2804" s="1556"/>
      <c r="N2804" s="1161" t="s">
        <v>2306</v>
      </c>
    </row>
    <row r="2805" spans="1:17" s="1557" customFormat="1" ht="15.75" hidden="1">
      <c r="A2805" s="1554"/>
      <c r="B2805" s="1756"/>
      <c r="C2805" s="1560"/>
      <c r="D2805" s="1346"/>
      <c r="E2805" s="1355"/>
      <c r="F2805" s="1561"/>
      <c r="G2805" s="1562"/>
      <c r="H2805" s="1561"/>
      <c r="I2805" s="1563">
        <f>SUM(I2803:I2804)</f>
        <v>0</v>
      </c>
      <c r="J2805" s="1439" t="s">
        <v>115</v>
      </c>
      <c r="K2805" s="1484">
        <f>'SANITATION DTA'!G286</f>
        <v>300</v>
      </c>
      <c r="L2805" s="1159" t="s">
        <v>2306</v>
      </c>
      <c r="M2805" s="1564">
        <f>ROUND(I2805*K2805,0)</f>
        <v>0</v>
      </c>
      <c r="N2805" s="1161" t="s">
        <v>2306</v>
      </c>
      <c r="O2805" s="1557" t="s">
        <v>0</v>
      </c>
    </row>
    <row r="2806" spans="1:17" s="1557" customFormat="1" ht="20.25" hidden="1" customHeight="1">
      <c r="A2806" s="1554">
        <v>22</v>
      </c>
      <c r="B2806" s="1855" t="s">
        <v>285</v>
      </c>
      <c r="C2806" s="1855"/>
      <c r="D2806" s="1855"/>
      <c r="E2806" s="1855"/>
      <c r="F2806" s="1855"/>
      <c r="G2806" s="1855"/>
      <c r="H2806" s="1855"/>
      <c r="I2806" s="1555"/>
      <c r="J2806" s="1355"/>
      <c r="K2806" s="1554"/>
      <c r="L2806" s="1554"/>
      <c r="M2806" s="1556"/>
      <c r="N2806" s="1161" t="s">
        <v>2306</v>
      </c>
      <c r="O2806" s="1557" t="s">
        <v>0</v>
      </c>
      <c r="Q2806" s="1557" t="s">
        <v>0</v>
      </c>
    </row>
    <row r="2807" spans="1:17" s="1170" customFormat="1" ht="16.5" hidden="1" customHeight="1">
      <c r="A2807" s="1156"/>
      <c r="B2807" s="1169" t="s">
        <v>3473</v>
      </c>
      <c r="C2807" s="1351"/>
      <c r="D2807" s="1418"/>
      <c r="E2807" s="1352"/>
      <c r="F2807" s="1234"/>
      <c r="G2807" s="1234"/>
      <c r="H2807" s="1235"/>
      <c r="I2807" s="1353"/>
      <c r="J2807" s="1357"/>
      <c r="K2807" s="1169"/>
      <c r="L2807" s="1156"/>
      <c r="M2807" s="1169"/>
      <c r="N2807" s="1161" t="s">
        <v>2306</v>
      </c>
    </row>
    <row r="2808" spans="1:17" s="1557" customFormat="1" ht="15.75" hidden="1">
      <c r="A2808" s="1554"/>
      <c r="B2808" s="1358"/>
      <c r="C2808" s="1558"/>
      <c r="D2808" s="1346" t="s">
        <v>273</v>
      </c>
      <c r="E2808" s="1355">
        <v>1</v>
      </c>
      <c r="F2808" s="1356">
        <v>0.5</v>
      </c>
      <c r="G2808" s="1484">
        <v>0</v>
      </c>
      <c r="H2808" s="1356">
        <v>0</v>
      </c>
      <c r="I2808" s="1566">
        <f>ROUND(IF(AND(F2808:H2808),C2808*E2808*F2808*G2808*H2808,IF(AND(F2808,G2808),C2808*E2808*F2808*G2808,IF(AND(F2808,H2808),C2808*E2808*F2808*H2808,IF(AND(G2808,H2808),C2808*E2808*G2808*H2808,IF(F2808,C2808*E2808*F2808,IF(G2808,C2808*E2808*G2808,IF(H2808,C2808*E2808*H2808,C2808*E2808))))))),2)</f>
        <v>0</v>
      </c>
      <c r="J2808" s="1439" t="s">
        <v>277</v>
      </c>
      <c r="K2808" s="1554"/>
      <c r="L2808" s="1554"/>
      <c r="M2808" s="1556"/>
      <c r="N2808" s="1161" t="s">
        <v>2306</v>
      </c>
    </row>
    <row r="2809" spans="1:17" s="1557" customFormat="1" ht="15.75" hidden="1">
      <c r="A2809" s="1554"/>
      <c r="B2809" s="1358"/>
      <c r="C2809" s="1558"/>
      <c r="D2809" s="1346"/>
      <c r="E2809" s="1355"/>
      <c r="F2809" s="1356"/>
      <c r="G2809" s="1484"/>
      <c r="H2809" s="1356"/>
      <c r="I2809" s="1566"/>
      <c r="J2809" s="1439"/>
      <c r="K2809" s="1554"/>
      <c r="L2809" s="1554"/>
      <c r="M2809" s="1556"/>
      <c r="N2809" s="1161" t="s">
        <v>2306</v>
      </c>
    </row>
    <row r="2810" spans="1:17" s="1557" customFormat="1" ht="15.75" hidden="1">
      <c r="A2810" s="1554"/>
      <c r="B2810" s="1756"/>
      <c r="C2810" s="1560"/>
      <c r="D2810" s="1346"/>
      <c r="E2810" s="1355"/>
      <c r="F2810" s="1561"/>
      <c r="G2810" s="1562"/>
      <c r="H2810" s="1561"/>
      <c r="I2810" s="1483">
        <f>SUM(I2808:I2809)</f>
        <v>0</v>
      </c>
      <c r="J2810" s="1439" t="s">
        <v>277</v>
      </c>
      <c r="K2810" s="1484">
        <f>'SANITATION DTA'!G289</f>
        <v>400</v>
      </c>
      <c r="L2810" s="1159" t="s">
        <v>2306</v>
      </c>
      <c r="M2810" s="1564">
        <f>ROUND(I2810*K2810,0)</f>
        <v>0</v>
      </c>
      <c r="N2810" s="1161" t="s">
        <v>2306</v>
      </c>
      <c r="O2810" s="1557" t="s">
        <v>0</v>
      </c>
    </row>
    <row r="2811" spans="1:17" s="1557" customFormat="1" ht="20.25" hidden="1" customHeight="1">
      <c r="A2811" s="1554">
        <v>23</v>
      </c>
      <c r="B2811" s="1855" t="s">
        <v>286</v>
      </c>
      <c r="C2811" s="1855"/>
      <c r="D2811" s="1855"/>
      <c r="E2811" s="1855"/>
      <c r="F2811" s="1855"/>
      <c r="G2811" s="1855"/>
      <c r="H2811" s="1855"/>
      <c r="I2811" s="1555"/>
      <c r="J2811" s="1355"/>
      <c r="K2811" s="1554"/>
      <c r="L2811" s="1554"/>
      <c r="M2811" s="1556"/>
      <c r="N2811" s="1161" t="s">
        <v>2306</v>
      </c>
      <c r="O2811" s="1557" t="s">
        <v>0</v>
      </c>
      <c r="Q2811" s="1557" t="s">
        <v>0</v>
      </c>
    </row>
    <row r="2812" spans="1:17" s="1170" customFormat="1" ht="16.5" hidden="1" customHeight="1">
      <c r="A2812" s="1156"/>
      <c r="B2812" s="1169" t="s">
        <v>3473</v>
      </c>
      <c r="C2812" s="1351"/>
      <c r="D2812" s="1418"/>
      <c r="E2812" s="1352"/>
      <c r="F2812" s="1234"/>
      <c r="G2812" s="1234"/>
      <c r="H2812" s="1235"/>
      <c r="I2812" s="1353"/>
      <c r="J2812" s="1357"/>
      <c r="K2812" s="1169"/>
      <c r="L2812" s="1156"/>
      <c r="M2812" s="1169"/>
      <c r="N2812" s="1161" t="s">
        <v>2306</v>
      </c>
    </row>
    <row r="2813" spans="1:17" s="1557" customFormat="1" ht="15.75" hidden="1">
      <c r="A2813" s="1554"/>
      <c r="B2813" s="1358"/>
      <c r="C2813" s="1558"/>
      <c r="D2813" s="1346" t="s">
        <v>273</v>
      </c>
      <c r="E2813" s="1355">
        <v>1</v>
      </c>
      <c r="F2813" s="1356">
        <v>0</v>
      </c>
      <c r="G2813" s="1484">
        <v>0</v>
      </c>
      <c r="H2813" s="1356">
        <v>0</v>
      </c>
      <c r="I2813" s="1559">
        <f>ROUND(IF(AND(F2813:H2813),C2813*E2813*F2813*G2813*H2813,IF(AND(F2813,G2813),C2813*E2813*F2813*G2813,IF(AND(F2813,H2813),C2813*E2813*F2813*H2813,IF(AND(G2813,H2813),C2813*E2813*G2813*H2813,IF(F2813,C2813*E2813*F2813,IF(G2813,C2813*E2813*G2813,IF(H2813,C2813*E2813*H2813,C2813*E2813))))))),2)</f>
        <v>0</v>
      </c>
      <c r="J2813" s="1439" t="s">
        <v>115</v>
      </c>
      <c r="K2813" s="1554"/>
      <c r="L2813" s="1554"/>
      <c r="M2813" s="1556"/>
      <c r="N2813" s="1161" t="s">
        <v>2306</v>
      </c>
    </row>
    <row r="2814" spans="1:17" s="1557" customFormat="1" ht="15.75" hidden="1">
      <c r="A2814" s="1554"/>
      <c r="B2814" s="1358"/>
      <c r="C2814" s="1558"/>
      <c r="D2814" s="1346"/>
      <c r="E2814" s="1355"/>
      <c r="F2814" s="1356"/>
      <c r="G2814" s="1484"/>
      <c r="H2814" s="1356"/>
      <c r="I2814" s="1559"/>
      <c r="J2814" s="1439"/>
      <c r="K2814" s="1554"/>
      <c r="L2814" s="1554"/>
      <c r="M2814" s="1556"/>
      <c r="N2814" s="1161" t="s">
        <v>2306</v>
      </c>
    </row>
    <row r="2815" spans="1:17" s="1557" customFormat="1" ht="15.75" hidden="1">
      <c r="A2815" s="1554"/>
      <c r="B2815" s="1756"/>
      <c r="C2815" s="1560"/>
      <c r="D2815" s="1346"/>
      <c r="E2815" s="1355"/>
      <c r="F2815" s="1561"/>
      <c r="G2815" s="1562"/>
      <c r="H2815" s="1561"/>
      <c r="I2815" s="1563">
        <f>SUM(I2813:I2814)</f>
        <v>0</v>
      </c>
      <c r="J2815" s="1439" t="s">
        <v>115</v>
      </c>
      <c r="K2815" s="1484">
        <f>'SANITATION DTA'!G292</f>
        <v>70</v>
      </c>
      <c r="L2815" s="1159" t="s">
        <v>2306</v>
      </c>
      <c r="M2815" s="1564">
        <f>ROUND(I2815*K2815,0)</f>
        <v>0</v>
      </c>
      <c r="N2815" s="1161" t="s">
        <v>2306</v>
      </c>
      <c r="O2815" s="1557" t="s">
        <v>0</v>
      </c>
    </row>
    <row r="2816" spans="1:17" s="1557" customFormat="1" ht="20.25" hidden="1" customHeight="1">
      <c r="A2816" s="1554">
        <v>24</v>
      </c>
      <c r="B2816" s="1855" t="s">
        <v>287</v>
      </c>
      <c r="C2816" s="1855"/>
      <c r="D2816" s="1855"/>
      <c r="E2816" s="1855"/>
      <c r="F2816" s="1855"/>
      <c r="G2816" s="1855"/>
      <c r="H2816" s="1855"/>
      <c r="I2816" s="1555"/>
      <c r="J2816" s="1355"/>
      <c r="K2816" s="1554"/>
      <c r="L2816" s="1554"/>
      <c r="M2816" s="1556"/>
      <c r="N2816" s="1161" t="s">
        <v>2306</v>
      </c>
      <c r="O2816" s="1557" t="s">
        <v>0</v>
      </c>
      <c r="Q2816" s="1557" t="s">
        <v>0</v>
      </c>
    </row>
    <row r="2817" spans="1:17" s="1170" customFormat="1" ht="16.5" hidden="1" customHeight="1">
      <c r="A2817" s="1156"/>
      <c r="B2817" s="1169" t="s">
        <v>3473</v>
      </c>
      <c r="C2817" s="1351"/>
      <c r="D2817" s="1418"/>
      <c r="E2817" s="1352"/>
      <c r="F2817" s="1234"/>
      <c r="G2817" s="1234"/>
      <c r="H2817" s="1235"/>
      <c r="I2817" s="1353"/>
      <c r="J2817" s="1357"/>
      <c r="K2817" s="1169"/>
      <c r="L2817" s="1156"/>
      <c r="M2817" s="1169"/>
      <c r="N2817" s="1161" t="s">
        <v>2306</v>
      </c>
    </row>
    <row r="2818" spans="1:17" s="1557" customFormat="1" ht="15.75" hidden="1">
      <c r="A2818" s="1554"/>
      <c r="B2818" s="1358"/>
      <c r="C2818" s="1558"/>
      <c r="D2818" s="1346" t="s">
        <v>273</v>
      </c>
      <c r="E2818" s="1355">
        <v>1</v>
      </c>
      <c r="F2818" s="1356">
        <v>0</v>
      </c>
      <c r="G2818" s="1484">
        <v>0</v>
      </c>
      <c r="H2818" s="1356">
        <v>0</v>
      </c>
      <c r="I2818" s="1559">
        <f>ROUND(IF(AND(F2818:H2818),C2818*E2818*F2818*G2818*H2818,IF(AND(F2818,G2818),C2818*E2818*F2818*G2818,IF(AND(F2818,H2818),C2818*E2818*F2818*H2818,IF(AND(G2818,H2818),C2818*E2818*G2818*H2818,IF(F2818,C2818*E2818*F2818,IF(G2818,C2818*E2818*G2818,IF(H2818,C2818*E2818*H2818,C2818*E2818))))))),2)</f>
        <v>0</v>
      </c>
      <c r="J2818" s="1439" t="s">
        <v>115</v>
      </c>
      <c r="K2818" s="1554"/>
      <c r="L2818" s="1554"/>
      <c r="M2818" s="1556"/>
      <c r="N2818" s="1161" t="s">
        <v>2306</v>
      </c>
    </row>
    <row r="2819" spans="1:17" s="1557" customFormat="1" ht="15.75" hidden="1">
      <c r="A2819" s="1554"/>
      <c r="B2819" s="1358"/>
      <c r="C2819" s="1558"/>
      <c r="D2819" s="1346"/>
      <c r="E2819" s="1355"/>
      <c r="F2819" s="1356"/>
      <c r="G2819" s="1484"/>
      <c r="H2819" s="1356"/>
      <c r="I2819" s="1559"/>
      <c r="J2819" s="1439"/>
      <c r="K2819" s="1554"/>
      <c r="L2819" s="1554"/>
      <c r="M2819" s="1556"/>
      <c r="N2819" s="1161" t="s">
        <v>2306</v>
      </c>
    </row>
    <row r="2820" spans="1:17" s="1557" customFormat="1" ht="15.75" hidden="1">
      <c r="A2820" s="1554"/>
      <c r="B2820" s="1756"/>
      <c r="C2820" s="1560"/>
      <c r="D2820" s="1346"/>
      <c r="E2820" s="1355"/>
      <c r="F2820" s="1561"/>
      <c r="G2820" s="1562"/>
      <c r="H2820" s="1561"/>
      <c r="I2820" s="1563">
        <f>SUM(I2818:I2819)</f>
        <v>0</v>
      </c>
      <c r="J2820" s="1439" t="s">
        <v>115</v>
      </c>
      <c r="K2820" s="1484">
        <f>'SANITATION DTA'!G283</f>
        <v>175</v>
      </c>
      <c r="L2820" s="1159" t="s">
        <v>2306</v>
      </c>
      <c r="M2820" s="1564">
        <f>ROUND(I2820*K2820,0)</f>
        <v>0</v>
      </c>
      <c r="N2820" s="1161" t="s">
        <v>2306</v>
      </c>
      <c r="O2820" s="1557" t="s">
        <v>0</v>
      </c>
    </row>
    <row r="2821" spans="1:17" s="1557" customFormat="1" ht="48" hidden="1" customHeight="1">
      <c r="A2821" s="1554">
        <v>25</v>
      </c>
      <c r="B2821" s="1855" t="s">
        <v>288</v>
      </c>
      <c r="C2821" s="1855"/>
      <c r="D2821" s="1855"/>
      <c r="E2821" s="1855"/>
      <c r="F2821" s="1855"/>
      <c r="G2821" s="1855"/>
      <c r="H2821" s="1855"/>
      <c r="I2821" s="1555"/>
      <c r="J2821" s="1355"/>
      <c r="K2821" s="1554"/>
      <c r="L2821" s="1554"/>
      <c r="M2821" s="1556"/>
      <c r="N2821" s="1161" t="s">
        <v>2306</v>
      </c>
      <c r="O2821" s="1557" t="s">
        <v>0</v>
      </c>
      <c r="Q2821" s="1557" t="s">
        <v>0</v>
      </c>
    </row>
    <row r="2822" spans="1:17" s="1170" customFormat="1" ht="16.5" hidden="1" customHeight="1">
      <c r="A2822" s="1156"/>
      <c r="B2822" s="1169" t="s">
        <v>3508</v>
      </c>
      <c r="C2822" s="1351"/>
      <c r="D2822" s="1418"/>
      <c r="E2822" s="1352"/>
      <c r="F2822" s="1234"/>
      <c r="G2822" s="1234"/>
      <c r="H2822" s="1235"/>
      <c r="I2822" s="1353"/>
      <c r="J2822" s="1357"/>
      <c r="K2822" s="1169"/>
      <c r="L2822" s="1156"/>
      <c r="M2822" s="1169"/>
      <c r="N2822" s="1161" t="s">
        <v>2306</v>
      </c>
    </row>
    <row r="2823" spans="1:17" s="1557" customFormat="1" ht="15.75" hidden="1">
      <c r="A2823" s="1554"/>
      <c r="B2823" s="1358"/>
      <c r="C2823" s="1558"/>
      <c r="D2823" s="1346" t="s">
        <v>273</v>
      </c>
      <c r="E2823" s="1355">
        <v>1</v>
      </c>
      <c r="F2823" s="1484">
        <v>90</v>
      </c>
      <c r="G2823" s="1484">
        <v>0</v>
      </c>
      <c r="H2823" s="1356">
        <v>0</v>
      </c>
      <c r="I2823" s="1566">
        <f>ROUND(IF(AND(F2823:H2823),C2823*E2823*F2823*G2823*H2823,IF(AND(F2823,G2823),C2823*E2823*F2823*G2823,IF(AND(F2823,H2823),C2823*E2823*F2823*H2823,IF(AND(G2823,H2823),C2823*E2823*G2823*H2823,IF(F2823,C2823*E2823*F2823,IF(G2823,C2823*E2823*G2823,IF(H2823,C2823*E2823*H2823,C2823*E2823))))))),2)</f>
        <v>0</v>
      </c>
      <c r="J2823" s="1439" t="s">
        <v>277</v>
      </c>
      <c r="K2823" s="1554"/>
      <c r="L2823" s="1554"/>
      <c r="M2823" s="1556"/>
      <c r="N2823" s="1161" t="s">
        <v>2306</v>
      </c>
    </row>
    <row r="2824" spans="1:17" s="1557" customFormat="1" ht="15.75" hidden="1">
      <c r="A2824" s="1554"/>
      <c r="B2824" s="1358"/>
      <c r="C2824" s="1558"/>
      <c r="D2824" s="1346"/>
      <c r="E2824" s="1355"/>
      <c r="F2824" s="1484"/>
      <c r="G2824" s="1484"/>
      <c r="H2824" s="1356"/>
      <c r="I2824" s="1566"/>
      <c r="J2824" s="1439"/>
      <c r="K2824" s="1554"/>
      <c r="L2824" s="1554"/>
      <c r="M2824" s="1556"/>
      <c r="N2824" s="1161" t="s">
        <v>2306</v>
      </c>
    </row>
    <row r="2825" spans="1:17" s="1557" customFormat="1" ht="17.25" hidden="1" customHeight="1">
      <c r="A2825" s="1554"/>
      <c r="B2825" s="1756"/>
      <c r="C2825" s="1560"/>
      <c r="D2825" s="1346"/>
      <c r="E2825" s="1355"/>
      <c r="F2825" s="1561"/>
      <c r="G2825" s="1562"/>
      <c r="H2825" s="1561"/>
      <c r="I2825" s="1483">
        <f>SUM(I2823:I2824)</f>
        <v>0</v>
      </c>
      <c r="J2825" s="1439" t="s">
        <v>277</v>
      </c>
      <c r="K2825" s="1484">
        <f>'SANITATION DTA'!G295</f>
        <v>80</v>
      </c>
      <c r="L2825" s="1159" t="s">
        <v>2306</v>
      </c>
      <c r="M2825" s="1564">
        <f>ROUND(I2825*K2825,0)</f>
        <v>0</v>
      </c>
      <c r="N2825" s="1161" t="s">
        <v>2306</v>
      </c>
      <c r="O2825" s="1557" t="s">
        <v>0</v>
      </c>
    </row>
    <row r="2826" spans="1:17" s="1557" customFormat="1" ht="81" hidden="1" customHeight="1">
      <c r="A2826" s="1554">
        <v>26</v>
      </c>
      <c r="B2826" s="1856" t="s">
        <v>381</v>
      </c>
      <c r="C2826" s="1855"/>
      <c r="D2826" s="1855"/>
      <c r="E2826" s="1855"/>
      <c r="F2826" s="1855"/>
      <c r="G2826" s="1855"/>
      <c r="H2826" s="1855"/>
      <c r="I2826" s="1555"/>
      <c r="J2826" s="1355"/>
      <c r="K2826" s="1554"/>
      <c r="L2826" s="1554"/>
      <c r="M2826" s="1556"/>
      <c r="N2826" s="1161" t="s">
        <v>2306</v>
      </c>
      <c r="O2826" s="1557" t="s">
        <v>0</v>
      </c>
      <c r="Q2826" s="1557" t="s">
        <v>0</v>
      </c>
    </row>
    <row r="2827" spans="1:17" s="1170" customFormat="1" ht="16.5" hidden="1" customHeight="1">
      <c r="A2827" s="1156"/>
      <c r="B2827" s="1169" t="s">
        <v>3508</v>
      </c>
      <c r="C2827" s="1351"/>
      <c r="D2827" s="1418"/>
      <c r="E2827" s="1352"/>
      <c r="F2827" s="1234"/>
      <c r="G2827" s="1234"/>
      <c r="H2827" s="1235"/>
      <c r="I2827" s="1353"/>
      <c r="J2827" s="1357"/>
      <c r="K2827" s="1169"/>
      <c r="L2827" s="1156"/>
      <c r="M2827" s="1169"/>
      <c r="N2827" s="1161" t="s">
        <v>2306</v>
      </c>
    </row>
    <row r="2828" spans="1:17" s="1557" customFormat="1" ht="15.75" hidden="1">
      <c r="A2828" s="1554"/>
      <c r="B2828" s="1358"/>
      <c r="C2828" s="1558"/>
      <c r="D2828" s="1346" t="s">
        <v>273</v>
      </c>
      <c r="E2828" s="1355">
        <v>1</v>
      </c>
      <c r="F2828" s="1356">
        <v>0</v>
      </c>
      <c r="G2828" s="1484">
        <v>0</v>
      </c>
      <c r="H2828" s="1356">
        <v>0</v>
      </c>
      <c r="I2828" s="1559">
        <f>ROUND(IF(AND(F2828:H2828),C2828*E2828*F2828*G2828*H2828,IF(AND(F2828,G2828),C2828*E2828*F2828*G2828,IF(AND(F2828,H2828),C2828*E2828*F2828*H2828,IF(AND(G2828,H2828),C2828*E2828*G2828*H2828,IF(F2828,C2828*E2828*F2828,IF(G2828,C2828*E2828*G2828,IF(H2828,C2828*E2828*H2828,C2828*E2828))))))),2)</f>
        <v>0</v>
      </c>
      <c r="J2828" s="1439" t="s">
        <v>115</v>
      </c>
      <c r="K2828" s="1554"/>
      <c r="L2828" s="1554"/>
      <c r="M2828" s="1556"/>
      <c r="N2828" s="1161" t="s">
        <v>2306</v>
      </c>
    </row>
    <row r="2829" spans="1:17" s="1557" customFormat="1" ht="15.75" hidden="1">
      <c r="A2829" s="1554"/>
      <c r="B2829" s="1358"/>
      <c r="C2829" s="1558"/>
      <c r="D2829" s="1346"/>
      <c r="E2829" s="1355"/>
      <c r="F2829" s="1356"/>
      <c r="G2829" s="1484"/>
      <c r="H2829" s="1356"/>
      <c r="I2829" s="1559"/>
      <c r="J2829" s="1439"/>
      <c r="K2829" s="1554"/>
      <c r="L2829" s="1554"/>
      <c r="M2829" s="1556"/>
      <c r="N2829" s="1161" t="s">
        <v>2306</v>
      </c>
    </row>
    <row r="2830" spans="1:17" s="1557" customFormat="1" ht="17.25" hidden="1" customHeight="1">
      <c r="A2830" s="1554"/>
      <c r="B2830" s="1756"/>
      <c r="C2830" s="1560"/>
      <c r="D2830" s="1346"/>
      <c r="E2830" s="1355"/>
      <c r="F2830" s="1561"/>
      <c r="G2830" s="1562"/>
      <c r="H2830" s="1561"/>
      <c r="I2830" s="1563">
        <f>SUM(I2828:I2829)</f>
        <v>0</v>
      </c>
      <c r="J2830" s="1439" t="s">
        <v>115</v>
      </c>
      <c r="K2830" s="1484">
        <f>'SANITATION DTA'!G298</f>
        <v>4500</v>
      </c>
      <c r="L2830" s="1159" t="s">
        <v>2306</v>
      </c>
      <c r="M2830" s="1564">
        <f>ROUND(I2830*K2830,0)</f>
        <v>0</v>
      </c>
      <c r="N2830" s="1161" t="s">
        <v>2306</v>
      </c>
      <c r="O2830" s="1557" t="s">
        <v>0</v>
      </c>
    </row>
    <row r="2831" spans="1:17" s="1320" customFormat="1" ht="15.75" hidden="1">
      <c r="A2831" s="1212"/>
      <c r="B2831" s="1212" t="s">
        <v>2221</v>
      </c>
      <c r="C2831" s="1212"/>
      <c r="D2831" s="1212"/>
      <c r="E2831" s="1212"/>
      <c r="F2831" s="1240"/>
      <c r="G2831" s="1240"/>
      <c r="H2831" s="1212"/>
      <c r="I2831" s="1546"/>
      <c r="J2831" s="1547"/>
      <c r="K2831" s="1212"/>
      <c r="L2831" s="1212"/>
      <c r="M2831" s="1212"/>
      <c r="N2831" s="1161" t="s">
        <v>2317</v>
      </c>
    </row>
    <row r="2832" spans="1:17" ht="63.75" hidden="1" customHeight="1">
      <c r="A2832" s="1156">
        <v>1</v>
      </c>
      <c r="B2832" s="1826" t="s">
        <v>308</v>
      </c>
      <c r="C2832" s="1826"/>
      <c r="D2832" s="1826"/>
      <c r="E2832" s="1826"/>
      <c r="F2832" s="1826"/>
      <c r="G2832" s="1826"/>
      <c r="H2832" s="1826"/>
      <c r="I2832" s="1157"/>
      <c r="J2832" s="1158"/>
      <c r="K2832" s="1156"/>
      <c r="L2832" s="1156"/>
      <c r="M2832" s="1160"/>
      <c r="N2832" s="1161" t="s">
        <v>2317</v>
      </c>
    </row>
    <row r="2833" spans="1:14" s="1170" customFormat="1" ht="16.5" hidden="1" customHeight="1">
      <c r="A2833" s="1156"/>
      <c r="B2833" s="1169" t="s">
        <v>2347</v>
      </c>
      <c r="C2833" s="1351"/>
      <c r="D2833" s="1418"/>
      <c r="E2833" s="1352"/>
      <c r="F2833" s="1234"/>
      <c r="G2833" s="1234"/>
      <c r="H2833" s="1235"/>
      <c r="I2833" s="1353"/>
      <c r="J2833" s="1357"/>
      <c r="K2833" s="1169"/>
      <c r="L2833" s="1156"/>
      <c r="M2833" s="1169"/>
      <c r="N2833" s="1161" t="s">
        <v>2317</v>
      </c>
    </row>
    <row r="2834" spans="1:14" s="1170" customFormat="1" ht="16.5" hidden="1" customHeight="1">
      <c r="A2834" s="1156"/>
      <c r="B2834" s="1331"/>
      <c r="C2834" s="1332">
        <v>1</v>
      </c>
      <c r="D2834" s="1333" t="s">
        <v>273</v>
      </c>
      <c r="E2834" s="1334">
        <v>1</v>
      </c>
      <c r="F2834" s="1335">
        <v>28</v>
      </c>
      <c r="G2834" s="1335">
        <v>0</v>
      </c>
      <c r="H2834" s="1335">
        <v>0</v>
      </c>
      <c r="I2834" s="1336">
        <f>ROUND(IF(AND(F2834:H2834),C2834*E2834*F2834*G2834*H2834,IF(AND(F2834,G2834),C2834*E2834*F2834*G2834,IF(AND(F2834,H2834),C2834*E2834*F2834*H2834,IF(AND(G2834,H2834),C2834*E2834*G2834*H2834,IF(F2834,C2834*E2834*F2834,IF(G2834,C2834*E2834*G2834,IF(H2834,C2834*E2834*H2834,C2834*E2834))))))),2)</f>
        <v>28</v>
      </c>
      <c r="J2834" s="1357" t="s">
        <v>277</v>
      </c>
      <c r="K2834" s="1169"/>
      <c r="L2834" s="1156"/>
      <c r="M2834" s="1169"/>
      <c r="N2834" s="1161" t="s">
        <v>2317</v>
      </c>
    </row>
    <row r="2835" spans="1:14" s="1170" customFormat="1" ht="16.5" hidden="1" customHeight="1">
      <c r="A2835" s="1156"/>
      <c r="B2835" s="1331"/>
      <c r="C2835" s="1332"/>
      <c r="D2835" s="1333"/>
      <c r="E2835" s="1334"/>
      <c r="F2835" s="1335"/>
      <c r="G2835" s="1335"/>
      <c r="H2835" s="1335"/>
      <c r="I2835" s="1336"/>
      <c r="J2835" s="1357"/>
      <c r="K2835" s="1169"/>
      <c r="L2835" s="1156"/>
      <c r="M2835" s="1169"/>
      <c r="N2835" s="1161" t="s">
        <v>2317</v>
      </c>
    </row>
    <row r="2836" spans="1:14" ht="15.75" hidden="1">
      <c r="A2836" s="1156"/>
      <c r="B2836" s="1169"/>
      <c r="C2836" s="1337"/>
      <c r="D2836" s="1171"/>
      <c r="E2836" s="1165"/>
      <c r="F2836" s="1166"/>
      <c r="G2836" s="1343"/>
      <c r="H2836" s="1156"/>
      <c r="I2836" s="1336"/>
      <c r="J2836" s="1357" t="s">
        <v>277</v>
      </c>
      <c r="K2836" s="1221">
        <f>'SANITATION DTA'!G381</f>
        <v>202</v>
      </c>
      <c r="L2836" s="1159" t="s">
        <v>2317</v>
      </c>
      <c r="M2836" s="1224">
        <f>ROUND(I2836*K2836,0)</f>
        <v>0</v>
      </c>
      <c r="N2836" s="1161" t="s">
        <v>2317</v>
      </c>
    </row>
    <row r="2837" spans="1:14" ht="63.75" hidden="1" customHeight="1">
      <c r="A2837" s="1156">
        <v>1</v>
      </c>
      <c r="B2837" s="1826" t="s">
        <v>309</v>
      </c>
      <c r="C2837" s="1826"/>
      <c r="D2837" s="1826"/>
      <c r="E2837" s="1826"/>
      <c r="F2837" s="1826"/>
      <c r="G2837" s="1826"/>
      <c r="H2837" s="1826"/>
      <c r="I2837" s="1157"/>
      <c r="J2837" s="1158"/>
      <c r="K2837" s="1156"/>
      <c r="L2837" s="1156"/>
      <c r="M2837" s="1160"/>
      <c r="N2837" s="1161" t="s">
        <v>2317</v>
      </c>
    </row>
    <row r="2838" spans="1:14" s="1170" customFormat="1" ht="16.5" hidden="1" customHeight="1">
      <c r="A2838" s="1156"/>
      <c r="B2838" s="1169" t="s">
        <v>2348</v>
      </c>
      <c r="C2838" s="1351"/>
      <c r="D2838" s="1418"/>
      <c r="E2838" s="1352"/>
      <c r="F2838" s="1234"/>
      <c r="G2838" s="1234"/>
      <c r="H2838" s="1235"/>
      <c r="I2838" s="1353"/>
      <c r="J2838" s="1357"/>
      <c r="K2838" s="1169"/>
      <c r="L2838" s="1156"/>
      <c r="M2838" s="1169"/>
      <c r="N2838" s="1161" t="s">
        <v>2317</v>
      </c>
    </row>
    <row r="2839" spans="1:14" s="1170" customFormat="1" ht="16.5" hidden="1" customHeight="1">
      <c r="A2839" s="1156"/>
      <c r="B2839" s="1359"/>
      <c r="C2839" s="1360">
        <v>1</v>
      </c>
      <c r="D2839" s="1361" t="s">
        <v>273</v>
      </c>
      <c r="E2839" s="1362">
        <v>1</v>
      </c>
      <c r="F2839" s="1401">
        <v>45</v>
      </c>
      <c r="G2839" s="1363">
        <v>0</v>
      </c>
      <c r="H2839" s="1363">
        <v>0</v>
      </c>
      <c r="I2839" s="1336">
        <f>ROUND(IF(AND(F2839:H2839),C2839*E2839*F2839*G2839*H2839,IF(AND(F2839,G2839),C2839*E2839*F2839*G2839,IF(AND(F2839,H2839),C2839*E2839*F2839*H2839,IF(AND(G2839,H2839),C2839*E2839*G2839*H2839,IF(F2839,C2839*E2839*F2839,IF(G2839,C2839*E2839*G2839,IF(H2839,C2839*E2839*H2839,C2839*E2839))))))),2)</f>
        <v>45</v>
      </c>
      <c r="J2839" s="1357" t="s">
        <v>277</v>
      </c>
      <c r="K2839" s="1169"/>
      <c r="L2839" s="1156"/>
      <c r="M2839" s="1169"/>
      <c r="N2839" s="1161" t="s">
        <v>2317</v>
      </c>
    </row>
    <row r="2840" spans="1:14" s="1170" customFormat="1" ht="16.5" hidden="1" customHeight="1">
      <c r="A2840" s="1156"/>
      <c r="B2840" s="1331"/>
      <c r="C2840" s="1332"/>
      <c r="D2840" s="1333"/>
      <c r="E2840" s="1334"/>
      <c r="F2840" s="1335"/>
      <c r="G2840" s="1335"/>
      <c r="H2840" s="1335"/>
      <c r="I2840" s="1336"/>
      <c r="J2840" s="1357"/>
      <c r="K2840" s="1169"/>
      <c r="L2840" s="1156"/>
      <c r="M2840" s="1169"/>
      <c r="N2840" s="1161" t="s">
        <v>2317</v>
      </c>
    </row>
    <row r="2841" spans="1:14" ht="15.75" hidden="1">
      <c r="A2841" s="1156"/>
      <c r="B2841" s="1169"/>
      <c r="C2841" s="1337"/>
      <c r="D2841" s="1171"/>
      <c r="E2841" s="1165"/>
      <c r="F2841" s="1166"/>
      <c r="G2841" s="1343"/>
      <c r="H2841" s="1156"/>
      <c r="I2841" s="1336"/>
      <c r="J2841" s="1357" t="s">
        <v>277</v>
      </c>
      <c r="K2841" s="1221">
        <f>'SANITATION DTA'!G378</f>
        <v>129</v>
      </c>
      <c r="L2841" s="1159" t="s">
        <v>2317</v>
      </c>
      <c r="M2841" s="1224">
        <f>ROUND(I2841*K2841,0)</f>
        <v>0</v>
      </c>
      <c r="N2841" s="1161" t="s">
        <v>2317</v>
      </c>
    </row>
    <row r="2842" spans="1:14" ht="63.75" hidden="1" customHeight="1">
      <c r="A2842" s="1156">
        <v>1</v>
      </c>
      <c r="B2842" s="1826" t="s">
        <v>1639</v>
      </c>
      <c r="C2842" s="1826"/>
      <c r="D2842" s="1826"/>
      <c r="E2842" s="1826"/>
      <c r="F2842" s="1826"/>
      <c r="G2842" s="1826"/>
      <c r="H2842" s="1826"/>
      <c r="I2842" s="1157"/>
      <c r="J2842" s="1158"/>
      <c r="K2842" s="1156"/>
      <c r="L2842" s="1156"/>
      <c r="M2842" s="1160"/>
      <c r="N2842" s="1161" t="s">
        <v>2317</v>
      </c>
    </row>
    <row r="2843" spans="1:14" s="1170" customFormat="1" ht="16.5" hidden="1" customHeight="1">
      <c r="A2843" s="1156"/>
      <c r="B2843" s="1365" t="s">
        <v>2328</v>
      </c>
      <c r="C2843" s="1351"/>
      <c r="D2843" s="1418"/>
      <c r="E2843" s="1352"/>
      <c r="F2843" s="1234"/>
      <c r="G2843" s="1234"/>
      <c r="H2843" s="1235"/>
      <c r="I2843" s="1353"/>
      <c r="J2843" s="1357"/>
      <c r="K2843" s="1169"/>
      <c r="L2843" s="1156"/>
      <c r="M2843" s="1169"/>
      <c r="N2843" s="1161" t="s">
        <v>2317</v>
      </c>
    </row>
    <row r="2844" spans="1:14" s="1170" customFormat="1" ht="16.5" hidden="1" customHeight="1">
      <c r="A2844" s="1156"/>
      <c r="B2844" s="1331" t="s">
        <v>2365</v>
      </c>
      <c r="C2844" s="1332">
        <v>1</v>
      </c>
      <c r="D2844" s="1333" t="s">
        <v>273</v>
      </c>
      <c r="E2844" s="1334">
        <v>1</v>
      </c>
      <c r="F2844" s="1550">
        <v>9.1</v>
      </c>
      <c r="G2844" s="1335">
        <v>0</v>
      </c>
      <c r="H2844" s="1335">
        <v>0</v>
      </c>
      <c r="I2844" s="1336">
        <f>ROUND(IF(AND(F2844:H2844),C2844*E2844*F2844*G2844*H2844,IF(AND(F2844,G2844),C2844*E2844*F2844*G2844,IF(AND(F2844,H2844),C2844*E2844*F2844*H2844,IF(AND(G2844,H2844),C2844*E2844*G2844*H2844,IF(F2844,C2844*E2844*F2844,IF(G2844,C2844*E2844*G2844,IF(H2844,C2844*E2844*H2844,C2844*E2844))))))),2)</f>
        <v>9.1</v>
      </c>
      <c r="J2844" s="1357" t="s">
        <v>277</v>
      </c>
      <c r="K2844" s="1169"/>
      <c r="L2844" s="1156"/>
      <c r="M2844" s="1169"/>
      <c r="N2844" s="1161" t="s">
        <v>2317</v>
      </c>
    </row>
    <row r="2845" spans="1:14" s="1170" customFormat="1" ht="16.5" hidden="1" customHeight="1">
      <c r="A2845" s="1156"/>
      <c r="B2845" s="1331" t="s">
        <v>2366</v>
      </c>
      <c r="C2845" s="1332">
        <v>1</v>
      </c>
      <c r="D2845" s="1333" t="s">
        <v>273</v>
      </c>
      <c r="E2845" s="1334">
        <v>1</v>
      </c>
      <c r="F2845" s="1550">
        <v>5.5</v>
      </c>
      <c r="G2845" s="1335">
        <v>0</v>
      </c>
      <c r="H2845" s="1335">
        <v>0</v>
      </c>
      <c r="I2845" s="1336">
        <f>ROUND(IF(AND(F2845:H2845),C2845*E2845*F2845*G2845*H2845,IF(AND(F2845,G2845),C2845*E2845*F2845*G2845,IF(AND(F2845,H2845),C2845*E2845*F2845*H2845,IF(AND(G2845,H2845),C2845*E2845*G2845*H2845,IF(F2845,C2845*E2845*F2845,IF(G2845,C2845*E2845*G2845,IF(H2845,C2845*E2845*H2845,C2845*E2845))))))),2)</f>
        <v>5.5</v>
      </c>
      <c r="J2845" s="1357" t="s">
        <v>277</v>
      </c>
      <c r="K2845" s="1169"/>
      <c r="L2845" s="1156"/>
      <c r="M2845" s="1169"/>
      <c r="N2845" s="1161" t="s">
        <v>2317</v>
      </c>
    </row>
    <row r="2846" spans="1:14" s="1170" customFormat="1" ht="16.5" hidden="1" customHeight="1">
      <c r="A2846" s="1156"/>
      <c r="B2846" s="1331"/>
      <c r="C2846" s="1332"/>
      <c r="D2846" s="1333"/>
      <c r="E2846" s="1334"/>
      <c r="F2846" s="1335"/>
      <c r="G2846" s="1335"/>
      <c r="H2846" s="1335"/>
      <c r="I2846" s="1336"/>
      <c r="J2846" s="1357"/>
      <c r="K2846" s="1169"/>
      <c r="L2846" s="1156"/>
      <c r="M2846" s="1169"/>
      <c r="N2846" s="1161" t="s">
        <v>2317</v>
      </c>
    </row>
    <row r="2847" spans="1:14" ht="15.75" hidden="1">
      <c r="A2847" s="1156"/>
      <c r="B2847" s="1169"/>
      <c r="C2847" s="1337"/>
      <c r="D2847" s="1171"/>
      <c r="E2847" s="1165"/>
      <c r="F2847" s="1166"/>
      <c r="G2847" s="1343"/>
      <c r="H2847" s="1156"/>
      <c r="I2847" s="1336"/>
      <c r="J2847" s="1357" t="s">
        <v>277</v>
      </c>
      <c r="K2847" s="1221">
        <f>'SANITATION DTA'!G375</f>
        <v>89</v>
      </c>
      <c r="L2847" s="1159" t="s">
        <v>2317</v>
      </c>
      <c r="M2847" s="1224">
        <f>ROUND(I2847*K2847,0)</f>
        <v>0</v>
      </c>
      <c r="N2847" s="1161" t="s">
        <v>2317</v>
      </c>
    </row>
    <row r="2848" spans="1:14" ht="41.25" hidden="1" customHeight="1">
      <c r="A2848" s="1156">
        <v>2</v>
      </c>
      <c r="B2848" s="1826" t="s">
        <v>1253</v>
      </c>
      <c r="C2848" s="1826"/>
      <c r="D2848" s="1826"/>
      <c r="E2848" s="1826"/>
      <c r="F2848" s="1826"/>
      <c r="G2848" s="1826"/>
      <c r="H2848" s="1826"/>
      <c r="I2848" s="1157"/>
      <c r="J2848" s="1158"/>
      <c r="K2848" s="1156"/>
      <c r="L2848" s="1156"/>
      <c r="M2848" s="1160"/>
      <c r="N2848" s="1161" t="s">
        <v>2317</v>
      </c>
    </row>
    <row r="2849" spans="1:14" s="1170" customFormat="1" ht="16.5" hidden="1" customHeight="1">
      <c r="A2849" s="1156"/>
      <c r="B2849" s="1169" t="s">
        <v>2326</v>
      </c>
      <c r="C2849" s="1351"/>
      <c r="D2849" s="1418"/>
      <c r="E2849" s="1352"/>
      <c r="F2849" s="1234"/>
      <c r="G2849" s="1234"/>
      <c r="H2849" s="1235"/>
      <c r="I2849" s="1353"/>
      <c r="J2849" s="1357"/>
      <c r="K2849" s="1169"/>
      <c r="L2849" s="1156"/>
      <c r="M2849" s="1169"/>
      <c r="N2849" s="1161" t="s">
        <v>2317</v>
      </c>
    </row>
    <row r="2850" spans="1:14" s="1170" customFormat="1" ht="16.5" hidden="1" customHeight="1">
      <c r="A2850" s="1156"/>
      <c r="B2850" s="1331"/>
      <c r="C2850" s="1332">
        <v>1</v>
      </c>
      <c r="D2850" s="1333" t="s">
        <v>273</v>
      </c>
      <c r="E2850" s="1334">
        <v>1</v>
      </c>
      <c r="F2850" s="1335">
        <v>85</v>
      </c>
      <c r="G2850" s="1335">
        <v>0</v>
      </c>
      <c r="H2850" s="1335">
        <v>0</v>
      </c>
      <c r="I2850" s="1336">
        <f>ROUND(IF(AND(F2850:H2850),C2850*E2850*F2850*G2850*H2850,IF(AND(F2850,G2850),C2850*E2850*F2850*G2850,IF(AND(F2850,H2850),C2850*E2850*F2850*H2850,IF(AND(G2850,H2850),C2850*E2850*G2850*H2850,IF(F2850,C2850*E2850*F2850,IF(G2850,C2850*E2850*G2850,IF(H2850,C2850*E2850*H2850,C2850*E2850))))))),2)</f>
        <v>85</v>
      </c>
      <c r="J2850" s="1357" t="s">
        <v>277</v>
      </c>
      <c r="K2850" s="1169"/>
      <c r="L2850" s="1156"/>
      <c r="M2850" s="1169"/>
      <c r="N2850" s="1161" t="s">
        <v>2317</v>
      </c>
    </row>
    <row r="2851" spans="1:14" s="1170" customFormat="1" ht="16.5" hidden="1" customHeight="1">
      <c r="A2851" s="1156"/>
      <c r="B2851" s="1331"/>
      <c r="C2851" s="1332"/>
      <c r="D2851" s="1333"/>
      <c r="E2851" s="1334"/>
      <c r="F2851" s="1335"/>
      <c r="G2851" s="1335"/>
      <c r="H2851" s="1335"/>
      <c r="I2851" s="1336"/>
      <c r="J2851" s="1357"/>
      <c r="K2851" s="1169"/>
      <c r="L2851" s="1156"/>
      <c r="M2851" s="1169"/>
      <c r="N2851" s="1161" t="s">
        <v>2317</v>
      </c>
    </row>
    <row r="2852" spans="1:14" ht="15.75" hidden="1">
      <c r="A2852" s="1156"/>
      <c r="B2852" s="1169"/>
      <c r="C2852" s="1337"/>
      <c r="D2852" s="1171"/>
      <c r="E2852" s="1165"/>
      <c r="F2852" s="1166"/>
      <c r="G2852" s="1343"/>
      <c r="H2852" s="1156"/>
      <c r="I2852" s="1336"/>
      <c r="J2852" s="1357" t="s">
        <v>277</v>
      </c>
      <c r="K2852" s="1221">
        <f>'SANITATION DTA'!G385</f>
        <v>33</v>
      </c>
      <c r="L2852" s="1159" t="s">
        <v>2317</v>
      </c>
      <c r="M2852" s="1224">
        <f>ROUND(I2852*K2852,0)</f>
        <v>0</v>
      </c>
      <c r="N2852" s="1161" t="s">
        <v>2317</v>
      </c>
    </row>
    <row r="2853" spans="1:14" ht="63.75" hidden="1" customHeight="1">
      <c r="A2853" s="1156">
        <v>2</v>
      </c>
      <c r="B2853" s="1826" t="s">
        <v>278</v>
      </c>
      <c r="C2853" s="1826"/>
      <c r="D2853" s="1826"/>
      <c r="E2853" s="1826"/>
      <c r="F2853" s="1826"/>
      <c r="G2853" s="1826"/>
      <c r="H2853" s="1826"/>
      <c r="I2853" s="1157"/>
      <c r="J2853" s="1158"/>
      <c r="K2853" s="1156"/>
      <c r="L2853" s="1156"/>
      <c r="M2853" s="1160"/>
      <c r="N2853" s="1161" t="s">
        <v>2317</v>
      </c>
    </row>
    <row r="2854" spans="1:14" s="1170" customFormat="1" ht="16.5" hidden="1" customHeight="1">
      <c r="A2854" s="1156"/>
      <c r="B2854" s="1365" t="s">
        <v>2328</v>
      </c>
      <c r="C2854" s="1351"/>
      <c r="D2854" s="1418"/>
      <c r="E2854" s="1352"/>
      <c r="F2854" s="1234"/>
      <c r="G2854" s="1234"/>
      <c r="H2854" s="1235"/>
      <c r="I2854" s="1353"/>
      <c r="J2854" s="1357"/>
      <c r="K2854" s="1169"/>
      <c r="L2854" s="1156"/>
      <c r="M2854" s="1169"/>
      <c r="N2854" s="1161" t="s">
        <v>2317</v>
      </c>
    </row>
    <row r="2855" spans="1:14" s="1170" customFormat="1" ht="16.5" hidden="1" customHeight="1">
      <c r="A2855" s="1156"/>
      <c r="B2855" s="1359" t="s">
        <v>2368</v>
      </c>
      <c r="C2855" s="1360">
        <v>1</v>
      </c>
      <c r="D2855" s="1361" t="s">
        <v>273</v>
      </c>
      <c r="E2855" s="1362">
        <v>1</v>
      </c>
      <c r="F2855" s="1401">
        <v>9.1</v>
      </c>
      <c r="G2855" s="1363">
        <v>0</v>
      </c>
      <c r="H2855" s="1363">
        <v>0</v>
      </c>
      <c r="I2855" s="1336">
        <f>ROUND(IF(AND(F2855:H2855),C2855*E2855*F2855*G2855*H2855,IF(AND(F2855,G2855),C2855*E2855*F2855*G2855,IF(AND(F2855,H2855),C2855*E2855*F2855*H2855,IF(AND(G2855,H2855),C2855*E2855*G2855*H2855,IF(F2855,C2855*E2855*F2855,IF(G2855,C2855*E2855*G2855,IF(H2855,C2855*E2855*H2855,C2855*E2855))))))),2)</f>
        <v>9.1</v>
      </c>
      <c r="J2855" s="1357" t="s">
        <v>277</v>
      </c>
      <c r="K2855" s="1169"/>
      <c r="L2855" s="1156"/>
      <c r="M2855" s="1169"/>
      <c r="N2855" s="1161" t="s">
        <v>2317</v>
      </c>
    </row>
    <row r="2856" spans="1:14" s="1170" customFormat="1" ht="16.5" hidden="1" customHeight="1">
      <c r="A2856" s="1156"/>
      <c r="B2856" s="1359"/>
      <c r="C2856" s="1360">
        <v>1</v>
      </c>
      <c r="D2856" s="1361" t="s">
        <v>273</v>
      </c>
      <c r="E2856" s="1362">
        <v>1</v>
      </c>
      <c r="F2856" s="1401">
        <v>5.5</v>
      </c>
      <c r="G2856" s="1363">
        <v>0</v>
      </c>
      <c r="H2856" s="1363">
        <v>0</v>
      </c>
      <c r="I2856" s="1336">
        <f>ROUND(IF(AND(F2856:H2856),C2856*E2856*F2856*G2856*H2856,IF(AND(F2856,G2856),C2856*E2856*F2856*G2856,IF(AND(F2856,H2856),C2856*E2856*F2856*H2856,IF(AND(G2856,H2856),C2856*E2856*G2856*H2856,IF(F2856,C2856*E2856*F2856,IF(G2856,C2856*E2856*G2856,IF(H2856,C2856*E2856*H2856,C2856*E2856))))))),2)</f>
        <v>5.5</v>
      </c>
      <c r="J2856" s="1357" t="s">
        <v>277</v>
      </c>
      <c r="K2856" s="1169"/>
      <c r="L2856" s="1156"/>
      <c r="M2856" s="1169"/>
      <c r="N2856" s="1161"/>
    </row>
    <row r="2857" spans="1:14" s="1170" customFormat="1" ht="16.5" hidden="1" customHeight="1">
      <c r="A2857" s="1156"/>
      <c r="B2857" s="1331"/>
      <c r="C2857" s="1332"/>
      <c r="D2857" s="1333"/>
      <c r="E2857" s="1334"/>
      <c r="F2857" s="1335"/>
      <c r="G2857" s="1335"/>
      <c r="H2857" s="1335"/>
      <c r="I2857" s="1336"/>
      <c r="J2857" s="1357"/>
      <c r="K2857" s="1169"/>
      <c r="L2857" s="1156"/>
      <c r="M2857" s="1169"/>
      <c r="N2857" s="1161" t="s">
        <v>2317</v>
      </c>
    </row>
    <row r="2858" spans="1:14" ht="15.75" hidden="1">
      <c r="A2858" s="1156"/>
      <c r="B2858" s="1169"/>
      <c r="C2858" s="1337"/>
      <c r="D2858" s="1171"/>
      <c r="E2858" s="1165"/>
      <c r="F2858" s="1166"/>
      <c r="G2858" s="1343"/>
      <c r="H2858" s="1156"/>
      <c r="I2858" s="1336"/>
      <c r="J2858" s="1357" t="s">
        <v>277</v>
      </c>
      <c r="K2858" s="1221">
        <f>'SANITATION DTA'!G389</f>
        <v>33</v>
      </c>
      <c r="L2858" s="1159" t="s">
        <v>2317</v>
      </c>
      <c r="M2858" s="1224">
        <f>ROUND(I2858*K2858,0)</f>
        <v>0</v>
      </c>
      <c r="N2858" s="1161" t="s">
        <v>2317</v>
      </c>
    </row>
    <row r="2859" spans="1:14" ht="39.75" hidden="1" customHeight="1">
      <c r="A2859" s="1156">
        <v>3</v>
      </c>
      <c r="B2859" s="1826" t="s">
        <v>352</v>
      </c>
      <c r="C2859" s="1826"/>
      <c r="D2859" s="1826"/>
      <c r="E2859" s="1826"/>
      <c r="F2859" s="1826"/>
      <c r="G2859" s="1826"/>
      <c r="H2859" s="1826"/>
      <c r="I2859" s="1157"/>
      <c r="J2859" s="1158"/>
      <c r="K2859" s="1156"/>
      <c r="L2859" s="1156"/>
      <c r="M2859" s="1160"/>
      <c r="N2859" s="1161" t="s">
        <v>2317</v>
      </c>
    </row>
    <row r="2860" spans="1:14" s="1170" customFormat="1" ht="16.5" hidden="1" customHeight="1">
      <c r="A2860" s="1156"/>
      <c r="B2860" s="1169" t="s">
        <v>2348</v>
      </c>
      <c r="C2860" s="1351"/>
      <c r="D2860" s="1418"/>
      <c r="E2860" s="1352"/>
      <c r="F2860" s="1234"/>
      <c r="G2860" s="1234"/>
      <c r="H2860" s="1235"/>
      <c r="I2860" s="1353"/>
      <c r="J2860" s="1357"/>
      <c r="K2860" s="1169"/>
      <c r="L2860" s="1156"/>
      <c r="M2860" s="1169"/>
      <c r="N2860" s="1161" t="s">
        <v>2317</v>
      </c>
    </row>
    <row r="2861" spans="1:14" s="1170" customFormat="1" ht="16.5" hidden="1" customHeight="1">
      <c r="A2861" s="1156"/>
      <c r="B2861" s="1331"/>
      <c r="C2861" s="1332">
        <v>1</v>
      </c>
      <c r="D2861" s="1333" t="s">
        <v>273</v>
      </c>
      <c r="E2861" s="1334">
        <v>9</v>
      </c>
      <c r="F2861" s="1335">
        <f>I2854</f>
        <v>0</v>
      </c>
      <c r="G2861" s="1335">
        <v>0</v>
      </c>
      <c r="H2861" s="1335">
        <v>0</v>
      </c>
      <c r="I2861" s="1421">
        <f>ROUND(IF(AND(F2861:H2861),C2861*E2861*F2861*G2861*H2861,IF(AND(F2861,G2861),C2861*E2861*F2861*G2861,IF(AND(F2861,H2861),C2861*E2861*F2861*H2861,IF(AND(G2861,H2861),C2861*E2861*G2861*H2861,IF(F2861,C2861*E2861*F2861,IF(G2861,C2861*E2861*G2861,IF(H2861,C2861*E2861*H2861,C2861*E2861))))))),2)</f>
        <v>9</v>
      </c>
      <c r="J2861" s="1357" t="s">
        <v>115</v>
      </c>
      <c r="K2861" s="1169"/>
      <c r="L2861" s="1156"/>
      <c r="M2861" s="1169"/>
      <c r="N2861" s="1161" t="s">
        <v>2317</v>
      </c>
    </row>
    <row r="2862" spans="1:14" s="1170" customFormat="1" ht="16.5" hidden="1" customHeight="1">
      <c r="A2862" s="1156"/>
      <c r="B2862" s="1331"/>
      <c r="C2862" s="1332"/>
      <c r="D2862" s="1333"/>
      <c r="E2862" s="1334"/>
      <c r="F2862" s="1335"/>
      <c r="G2862" s="1335"/>
      <c r="H2862" s="1335"/>
      <c r="I2862" s="1421"/>
      <c r="J2862" s="1357"/>
      <c r="K2862" s="1169"/>
      <c r="L2862" s="1156"/>
      <c r="M2862" s="1169"/>
      <c r="N2862" s="1161" t="s">
        <v>2317</v>
      </c>
    </row>
    <row r="2863" spans="1:14" ht="15.75" hidden="1">
      <c r="A2863" s="1156"/>
      <c r="B2863" s="1169"/>
      <c r="C2863" s="1337"/>
      <c r="D2863" s="1171"/>
      <c r="E2863" s="1165"/>
      <c r="F2863" s="1166"/>
      <c r="G2863" s="1343"/>
      <c r="H2863" s="1156"/>
      <c r="I2863" s="1421"/>
      <c r="J2863" s="1357" t="s">
        <v>115</v>
      </c>
      <c r="K2863" s="1221">
        <f>'SANITATION DTA'!G358</f>
        <v>366</v>
      </c>
      <c r="L2863" s="1159" t="s">
        <v>2317</v>
      </c>
      <c r="M2863" s="1224">
        <f>ROUND(I2863*K2863,0)</f>
        <v>0</v>
      </c>
      <c r="N2863" s="1161" t="s">
        <v>2317</v>
      </c>
    </row>
    <row r="2864" spans="1:14" ht="28.5" hidden="1" customHeight="1">
      <c r="A2864" s="1156">
        <v>4</v>
      </c>
      <c r="B2864" s="1826" t="s">
        <v>685</v>
      </c>
      <c r="C2864" s="1826"/>
      <c r="D2864" s="1826"/>
      <c r="E2864" s="1826"/>
      <c r="F2864" s="1826"/>
      <c r="G2864" s="1826"/>
      <c r="H2864" s="1826"/>
      <c r="I2864" s="1157"/>
      <c r="J2864" s="1158"/>
      <c r="K2864" s="1156"/>
      <c r="L2864" s="1156"/>
      <c r="M2864" s="1160"/>
      <c r="N2864" s="1161" t="s">
        <v>2317</v>
      </c>
    </row>
    <row r="2865" spans="1:14" s="1170" customFormat="1" ht="16.5" hidden="1" customHeight="1">
      <c r="A2865" s="1156"/>
      <c r="B2865" s="1230" t="s">
        <v>607</v>
      </c>
      <c r="C2865" s="1351"/>
      <c r="D2865" s="1418"/>
      <c r="E2865" s="1352"/>
      <c r="F2865" s="1234"/>
      <c r="G2865" s="1234"/>
      <c r="H2865" s="1235"/>
      <c r="I2865" s="1353"/>
      <c r="J2865" s="1357"/>
      <c r="K2865" s="1169"/>
      <c r="L2865" s="1156"/>
      <c r="M2865" s="1169"/>
      <c r="N2865" s="1161" t="s">
        <v>2317</v>
      </c>
    </row>
    <row r="2866" spans="1:14" s="1170" customFormat="1" ht="16.5" hidden="1" customHeight="1">
      <c r="A2866" s="1156"/>
      <c r="B2866" s="1331"/>
      <c r="C2866" s="1332">
        <v>1</v>
      </c>
      <c r="D2866" s="1333" t="s">
        <v>273</v>
      </c>
      <c r="E2866" s="1334">
        <v>2</v>
      </c>
      <c r="F2866" s="1335">
        <f>I2859</f>
        <v>0</v>
      </c>
      <c r="G2866" s="1335">
        <v>0</v>
      </c>
      <c r="H2866" s="1335">
        <v>0</v>
      </c>
      <c r="I2866" s="1421">
        <f>ROUND(IF(AND(F2866:H2866),C2866*E2866*F2866*G2866*H2866,IF(AND(F2866,G2866),C2866*E2866*F2866*G2866,IF(AND(F2866,H2866),C2866*E2866*F2866*H2866,IF(AND(G2866,H2866),C2866*E2866*G2866*H2866,IF(F2866,C2866*E2866*F2866,IF(G2866,C2866*E2866*G2866,IF(H2866,C2866*E2866*H2866,C2866*E2866))))))),2)</f>
        <v>2</v>
      </c>
      <c r="J2866" s="1357" t="s">
        <v>115</v>
      </c>
      <c r="K2866" s="1169"/>
      <c r="L2866" s="1156"/>
      <c r="M2866" s="1169"/>
      <c r="N2866" s="1161" t="s">
        <v>2317</v>
      </c>
    </row>
    <row r="2867" spans="1:14" s="1170" customFormat="1" ht="16.5" hidden="1" customHeight="1">
      <c r="A2867" s="1156"/>
      <c r="B2867" s="1331"/>
      <c r="C2867" s="1332"/>
      <c r="D2867" s="1333"/>
      <c r="E2867" s="1334"/>
      <c r="F2867" s="1335"/>
      <c r="G2867" s="1335"/>
      <c r="H2867" s="1335"/>
      <c r="I2867" s="1421"/>
      <c r="J2867" s="1357"/>
      <c r="K2867" s="1169"/>
      <c r="L2867" s="1156"/>
      <c r="M2867" s="1169"/>
      <c r="N2867" s="1161" t="s">
        <v>2317</v>
      </c>
    </row>
    <row r="2868" spans="1:14" ht="15.75" hidden="1">
      <c r="A2868" s="1156"/>
      <c r="B2868" s="1169"/>
      <c r="C2868" s="1337"/>
      <c r="D2868" s="1171"/>
      <c r="E2868" s="1165"/>
      <c r="F2868" s="1166"/>
      <c r="G2868" s="1343"/>
      <c r="H2868" s="1156"/>
      <c r="I2868" s="1421"/>
      <c r="J2868" s="1357" t="s">
        <v>115</v>
      </c>
      <c r="K2868" s="1221">
        <f>'SANITATION DTA'!G354</f>
        <v>1554</v>
      </c>
      <c r="L2868" s="1159" t="s">
        <v>2317</v>
      </c>
      <c r="M2868" s="1224">
        <f>ROUND(I2868*K2868,0)</f>
        <v>0</v>
      </c>
      <c r="N2868" s="1161" t="s">
        <v>2317</v>
      </c>
    </row>
    <row r="2869" spans="1:14" ht="29.25" hidden="1" customHeight="1">
      <c r="A2869" s="1156">
        <v>3</v>
      </c>
      <c r="B2869" s="1826" t="s">
        <v>341</v>
      </c>
      <c r="C2869" s="1826"/>
      <c r="D2869" s="1826"/>
      <c r="E2869" s="1826"/>
      <c r="F2869" s="1826"/>
      <c r="G2869" s="1826"/>
      <c r="H2869" s="1826"/>
      <c r="I2869" s="1157"/>
      <c r="J2869" s="1158"/>
      <c r="K2869" s="1156"/>
      <c r="L2869" s="1156"/>
      <c r="M2869" s="1160"/>
      <c r="N2869" s="1161" t="s">
        <v>2317</v>
      </c>
    </row>
    <row r="2870" spans="1:14" s="1170" customFormat="1" ht="16.5" hidden="1" customHeight="1">
      <c r="A2870" s="1156"/>
      <c r="B2870" s="1169" t="s">
        <v>2343</v>
      </c>
      <c r="C2870" s="1351"/>
      <c r="D2870" s="1418"/>
      <c r="E2870" s="1352"/>
      <c r="F2870" s="1234"/>
      <c r="G2870" s="1234"/>
      <c r="H2870" s="1235"/>
      <c r="I2870" s="1353"/>
      <c r="J2870" s="1357"/>
      <c r="K2870" s="1169"/>
      <c r="L2870" s="1156"/>
      <c r="M2870" s="1169"/>
      <c r="N2870" s="1161" t="s">
        <v>2317</v>
      </c>
    </row>
    <row r="2871" spans="1:14" s="1170" customFormat="1" ht="16.5" hidden="1" customHeight="1">
      <c r="A2871" s="1156"/>
      <c r="B2871" s="1359" t="s">
        <v>2365</v>
      </c>
      <c r="C2871" s="1360">
        <v>1</v>
      </c>
      <c r="D2871" s="1361" t="s">
        <v>273</v>
      </c>
      <c r="E2871" s="1362">
        <v>1</v>
      </c>
      <c r="F2871" s="1363">
        <v>2.1</v>
      </c>
      <c r="G2871" s="1363">
        <v>0</v>
      </c>
      <c r="H2871" s="1363">
        <v>0</v>
      </c>
      <c r="I2871" s="1336">
        <f>ROUND(IF(AND(F2871:H2871),C2871*E2871*F2871*G2871*H2871,IF(AND(F2871,G2871),C2871*E2871*F2871*G2871,IF(AND(F2871,H2871),C2871*E2871*F2871*H2871,IF(AND(G2871,H2871),C2871*E2871*G2871*H2871,IF(F2871,C2871*E2871*F2871,IF(G2871,C2871*E2871*G2871,IF(H2871,C2871*E2871*H2871,C2871*E2871))))))),2)</f>
        <v>2.1</v>
      </c>
      <c r="J2871" s="1357" t="s">
        <v>277</v>
      </c>
      <c r="K2871" s="1169"/>
      <c r="L2871" s="1156"/>
      <c r="M2871" s="1169"/>
      <c r="N2871" s="1161" t="s">
        <v>2317</v>
      </c>
    </row>
    <row r="2872" spans="1:14" s="1170" customFormat="1" ht="16.5" hidden="1" customHeight="1">
      <c r="A2872" s="1156"/>
      <c r="B2872" s="1359" t="s">
        <v>2366</v>
      </c>
      <c r="C2872" s="1360">
        <v>1</v>
      </c>
      <c r="D2872" s="1361" t="s">
        <v>273</v>
      </c>
      <c r="E2872" s="1362">
        <v>1</v>
      </c>
      <c r="F2872" s="1363">
        <v>2.1</v>
      </c>
      <c r="G2872" s="1363">
        <v>0</v>
      </c>
      <c r="H2872" s="1363">
        <v>0</v>
      </c>
      <c r="I2872" s="1336">
        <f>ROUND(IF(AND(F2872:H2872),C2872*E2872*F2872*G2872*H2872,IF(AND(F2872,G2872),C2872*E2872*F2872*G2872,IF(AND(F2872,H2872),C2872*E2872*F2872*H2872,IF(AND(G2872,H2872),C2872*E2872*G2872*H2872,IF(F2872,C2872*E2872*F2872,IF(G2872,C2872*E2872*G2872,IF(H2872,C2872*E2872*H2872,C2872*E2872))))))),2)</f>
        <v>2.1</v>
      </c>
      <c r="J2872" s="1357" t="s">
        <v>277</v>
      </c>
      <c r="K2872" s="1169"/>
      <c r="L2872" s="1156"/>
      <c r="M2872" s="1169"/>
      <c r="N2872" s="1161" t="s">
        <v>2317</v>
      </c>
    </row>
    <row r="2873" spans="1:14" s="1170" customFormat="1" ht="16.5" hidden="1" customHeight="1">
      <c r="A2873" s="1156"/>
      <c r="B2873" s="1331"/>
      <c r="C2873" s="1332"/>
      <c r="D2873" s="1333"/>
      <c r="E2873" s="1334"/>
      <c r="F2873" s="1335"/>
      <c r="G2873" s="1335"/>
      <c r="H2873" s="1335"/>
      <c r="I2873" s="1336"/>
      <c r="J2873" s="1357"/>
      <c r="K2873" s="1169"/>
      <c r="L2873" s="1156"/>
      <c r="M2873" s="1169"/>
      <c r="N2873" s="1161" t="s">
        <v>2317</v>
      </c>
    </row>
    <row r="2874" spans="1:14" ht="15.75" hidden="1">
      <c r="A2874" s="1156"/>
      <c r="B2874" s="1169"/>
      <c r="C2874" s="1337"/>
      <c r="D2874" s="1171"/>
      <c r="E2874" s="1165"/>
      <c r="F2874" s="1166"/>
      <c r="G2874" s="1343"/>
      <c r="H2874" s="1156"/>
      <c r="I2874" s="1336"/>
      <c r="J2874" s="1357" t="s">
        <v>277</v>
      </c>
      <c r="K2874" s="1221">
        <f>'SANITATION DTA'!G334</f>
        <v>142</v>
      </c>
      <c r="L2874" s="1159" t="s">
        <v>2317</v>
      </c>
      <c r="M2874" s="1224">
        <f>ROUND(I2874*K2874,0)</f>
        <v>0</v>
      </c>
      <c r="N2874" s="1161" t="s">
        <v>2317</v>
      </c>
    </row>
    <row r="2875" spans="1:14" ht="29.25" hidden="1" customHeight="1">
      <c r="A2875" s="1156">
        <v>4</v>
      </c>
      <c r="B2875" s="1826" t="s">
        <v>346</v>
      </c>
      <c r="C2875" s="1826"/>
      <c r="D2875" s="1826"/>
      <c r="E2875" s="1826"/>
      <c r="F2875" s="1826"/>
      <c r="G2875" s="1826"/>
      <c r="H2875" s="1826"/>
      <c r="I2875" s="1157"/>
      <c r="J2875" s="1158"/>
      <c r="K2875" s="1156"/>
      <c r="L2875" s="1156"/>
      <c r="M2875" s="1160"/>
      <c r="N2875" s="1161" t="s">
        <v>2317</v>
      </c>
    </row>
    <row r="2876" spans="1:14" s="1170" customFormat="1" ht="16.5" hidden="1" customHeight="1">
      <c r="A2876" s="1156"/>
      <c r="B2876" s="1169" t="s">
        <v>2331</v>
      </c>
      <c r="C2876" s="1351"/>
      <c r="D2876" s="1418"/>
      <c r="E2876" s="1352"/>
      <c r="F2876" s="1234"/>
      <c r="G2876" s="1234"/>
      <c r="H2876" s="1235"/>
      <c r="I2876" s="1353"/>
      <c r="J2876" s="1357"/>
      <c r="K2876" s="1169"/>
      <c r="L2876" s="1156"/>
      <c r="M2876" s="1169"/>
      <c r="N2876" s="1161" t="s">
        <v>2317</v>
      </c>
    </row>
    <row r="2877" spans="1:14" s="1170" customFormat="1" ht="16.5" hidden="1" customHeight="1">
      <c r="A2877" s="1156"/>
      <c r="B2877" s="1359"/>
      <c r="C2877" s="1360">
        <v>1</v>
      </c>
      <c r="D2877" s="1361" t="s">
        <v>273</v>
      </c>
      <c r="E2877" s="1362">
        <v>1</v>
      </c>
      <c r="F2877" s="1363">
        <v>18</v>
      </c>
      <c r="G2877" s="1363">
        <v>0</v>
      </c>
      <c r="H2877" s="1363">
        <v>0</v>
      </c>
      <c r="I2877" s="1336">
        <f>ROUND(IF(AND(F2877:H2877),C2877*E2877*F2877*G2877*H2877,IF(AND(F2877,G2877),C2877*E2877*F2877*G2877,IF(AND(F2877,H2877),C2877*E2877*F2877*H2877,IF(AND(G2877,H2877),C2877*E2877*G2877*H2877,IF(F2877,C2877*E2877*F2877,IF(G2877,C2877*E2877*G2877,IF(H2877,C2877*E2877*H2877,C2877*E2877))))))),2)</f>
        <v>18</v>
      </c>
      <c r="J2877" s="1357" t="s">
        <v>277</v>
      </c>
      <c r="K2877" s="1169"/>
      <c r="L2877" s="1156"/>
      <c r="M2877" s="1169"/>
      <c r="N2877" s="1161" t="s">
        <v>2317</v>
      </c>
    </row>
    <row r="2878" spans="1:14" s="1170" customFormat="1" ht="16.5" hidden="1" customHeight="1">
      <c r="A2878" s="1156"/>
      <c r="B2878" s="1359"/>
      <c r="C2878" s="1360"/>
      <c r="D2878" s="1361"/>
      <c r="E2878" s="1362"/>
      <c r="F2878" s="1363"/>
      <c r="G2878" s="1363"/>
      <c r="H2878" s="1363"/>
      <c r="I2878" s="1336"/>
      <c r="J2878" s="1357"/>
      <c r="K2878" s="1169"/>
      <c r="L2878" s="1156"/>
      <c r="M2878" s="1169"/>
      <c r="N2878" s="1161" t="s">
        <v>2317</v>
      </c>
    </row>
    <row r="2879" spans="1:14" ht="15.75" hidden="1">
      <c r="A2879" s="1156"/>
      <c r="B2879" s="1169"/>
      <c r="C2879" s="1337"/>
      <c r="D2879" s="1171"/>
      <c r="E2879" s="1165"/>
      <c r="F2879" s="1166"/>
      <c r="G2879" s="1343"/>
      <c r="H2879" s="1156"/>
      <c r="I2879" s="1336"/>
      <c r="J2879" s="1357" t="s">
        <v>277</v>
      </c>
      <c r="K2879" s="1221">
        <f>'SANITATION DTA'!G340</f>
        <v>135</v>
      </c>
      <c r="L2879" s="1159" t="s">
        <v>2317</v>
      </c>
      <c r="M2879" s="1224">
        <f>ROUND(I2879*K2879,0)</f>
        <v>0</v>
      </c>
      <c r="N2879" s="1161" t="s">
        <v>2317</v>
      </c>
    </row>
    <row r="2880" spans="1:14" ht="29.25" hidden="1" customHeight="1">
      <c r="A2880" s="1156">
        <v>4</v>
      </c>
      <c r="B2880" s="1826" t="s">
        <v>348</v>
      </c>
      <c r="C2880" s="1826"/>
      <c r="D2880" s="1826"/>
      <c r="E2880" s="1826"/>
      <c r="F2880" s="1826"/>
      <c r="G2880" s="1826"/>
      <c r="H2880" s="1826"/>
      <c r="I2880" s="1157"/>
      <c r="J2880" s="1158"/>
      <c r="K2880" s="1156"/>
      <c r="L2880" s="1156"/>
      <c r="M2880" s="1160"/>
      <c r="N2880" s="1161" t="s">
        <v>2317</v>
      </c>
    </row>
    <row r="2881" spans="1:14" s="1170" customFormat="1" ht="16.5" hidden="1" customHeight="1">
      <c r="A2881" s="1156"/>
      <c r="B2881" s="1169" t="s">
        <v>2343</v>
      </c>
      <c r="C2881" s="1351"/>
      <c r="D2881" s="1418"/>
      <c r="E2881" s="1352"/>
      <c r="F2881" s="1234"/>
      <c r="G2881" s="1234"/>
      <c r="H2881" s="1235"/>
      <c r="I2881" s="1353"/>
      <c r="J2881" s="1357"/>
      <c r="K2881" s="1169"/>
      <c r="L2881" s="1156"/>
      <c r="M2881" s="1169"/>
      <c r="N2881" s="1161" t="s">
        <v>2317</v>
      </c>
    </row>
    <row r="2882" spans="1:14" s="1170" customFormat="1" ht="16.5" hidden="1" customHeight="1">
      <c r="A2882" s="1156"/>
      <c r="B2882" s="1359" t="s">
        <v>2365</v>
      </c>
      <c r="C2882" s="1360">
        <v>1</v>
      </c>
      <c r="D2882" s="1361" t="s">
        <v>273</v>
      </c>
      <c r="E2882" s="1362">
        <v>1</v>
      </c>
      <c r="F2882" s="1401">
        <v>3.9</v>
      </c>
      <c r="G2882" s="1363">
        <v>0</v>
      </c>
      <c r="H2882" s="1363">
        <v>0</v>
      </c>
      <c r="I2882" s="1336">
        <f>ROUND(IF(AND(F2882:H2882),C2882*E2882*F2882*G2882*H2882,IF(AND(F2882,G2882),C2882*E2882*F2882*G2882,IF(AND(F2882,H2882),C2882*E2882*F2882*H2882,IF(AND(G2882,H2882),C2882*E2882*G2882*H2882,IF(F2882,C2882*E2882*F2882,IF(G2882,C2882*E2882*G2882,IF(H2882,C2882*E2882*H2882,C2882*E2882))))))),2)</f>
        <v>3.9</v>
      </c>
      <c r="J2882" s="1357" t="s">
        <v>277</v>
      </c>
      <c r="K2882" s="1169"/>
      <c r="L2882" s="1156"/>
      <c r="M2882" s="1169"/>
      <c r="N2882" s="1161" t="s">
        <v>2317</v>
      </c>
    </row>
    <row r="2883" spans="1:14" s="1170" customFormat="1" ht="16.5" hidden="1" customHeight="1">
      <c r="A2883" s="1156"/>
      <c r="B2883" s="1359" t="s">
        <v>2366</v>
      </c>
      <c r="C2883" s="1360">
        <v>1</v>
      </c>
      <c r="D2883" s="1361" t="s">
        <v>273</v>
      </c>
      <c r="E2883" s="1362">
        <v>1</v>
      </c>
      <c r="F2883" s="1401">
        <v>3.6</v>
      </c>
      <c r="G2883" s="1363">
        <v>0</v>
      </c>
      <c r="H2883" s="1363">
        <v>0</v>
      </c>
      <c r="I2883" s="1336">
        <f>ROUND(IF(AND(F2883:H2883),C2883*E2883*F2883*G2883*H2883,IF(AND(F2883,G2883),C2883*E2883*F2883*G2883,IF(AND(F2883,H2883),C2883*E2883*F2883*H2883,IF(AND(G2883,H2883),C2883*E2883*G2883*H2883,IF(F2883,C2883*E2883*F2883,IF(G2883,C2883*E2883*G2883,IF(H2883,C2883*E2883*H2883,C2883*E2883))))))),2)</f>
        <v>3.6</v>
      </c>
      <c r="J2883" s="1357" t="s">
        <v>277</v>
      </c>
      <c r="K2883" s="1169"/>
      <c r="L2883" s="1156"/>
      <c r="M2883" s="1169"/>
      <c r="N2883" s="1161" t="s">
        <v>2317</v>
      </c>
    </row>
    <row r="2884" spans="1:14" s="1170" customFormat="1" ht="16.5" hidden="1" customHeight="1">
      <c r="A2884" s="1156"/>
      <c r="B2884" s="1331"/>
      <c r="C2884" s="1332"/>
      <c r="D2884" s="1333"/>
      <c r="E2884" s="1334"/>
      <c r="F2884" s="1335"/>
      <c r="G2884" s="1335"/>
      <c r="H2884" s="1335"/>
      <c r="I2884" s="1336"/>
      <c r="J2884" s="1357"/>
      <c r="K2884" s="1169"/>
      <c r="L2884" s="1156"/>
      <c r="M2884" s="1169"/>
      <c r="N2884" s="1161" t="s">
        <v>2317</v>
      </c>
    </row>
    <row r="2885" spans="1:14" ht="15.75" hidden="1">
      <c r="A2885" s="1156"/>
      <c r="B2885" s="1169"/>
      <c r="C2885" s="1337"/>
      <c r="D2885" s="1171"/>
      <c r="E2885" s="1165"/>
      <c r="F2885" s="1166"/>
      <c r="G2885" s="1343"/>
      <c r="H2885" s="1156"/>
      <c r="I2885" s="1336"/>
      <c r="J2885" s="1357" t="s">
        <v>277</v>
      </c>
      <c r="K2885" s="1221">
        <f>'SANITATION DTA'!G346</f>
        <v>84.666666666666671</v>
      </c>
      <c r="L2885" s="1159" t="s">
        <v>2317</v>
      </c>
      <c r="M2885" s="1224">
        <f>ROUND(I2885*K2885,0)</f>
        <v>0</v>
      </c>
      <c r="N2885" s="1161" t="s">
        <v>2317</v>
      </c>
    </row>
    <row r="2886" spans="1:14" ht="53.25" hidden="1" customHeight="1">
      <c r="A2886" s="1156">
        <v>5</v>
      </c>
      <c r="B2886" s="1826" t="s">
        <v>350</v>
      </c>
      <c r="C2886" s="1826"/>
      <c r="D2886" s="1826"/>
      <c r="E2886" s="1826"/>
      <c r="F2886" s="1826"/>
      <c r="G2886" s="1826"/>
      <c r="H2886" s="1826"/>
      <c r="I2886" s="1157"/>
      <c r="J2886" s="1158"/>
      <c r="K2886" s="1156"/>
      <c r="L2886" s="1156"/>
      <c r="M2886" s="1160"/>
      <c r="N2886" s="1161" t="s">
        <v>2317</v>
      </c>
    </row>
    <row r="2887" spans="1:14" s="1170" customFormat="1" ht="16.5" hidden="1" customHeight="1">
      <c r="A2887" s="1156"/>
      <c r="B2887" s="1169" t="s">
        <v>2367</v>
      </c>
      <c r="C2887" s="1351"/>
      <c r="D2887" s="1418"/>
      <c r="E2887" s="1352"/>
      <c r="F2887" s="1234"/>
      <c r="G2887" s="1234"/>
      <c r="H2887" s="1235"/>
      <c r="I2887" s="1353"/>
      <c r="J2887" s="1357"/>
      <c r="K2887" s="1169"/>
      <c r="L2887" s="1156"/>
      <c r="M2887" s="1169"/>
      <c r="N2887" s="1161" t="s">
        <v>2317</v>
      </c>
    </row>
    <row r="2888" spans="1:14" s="1170" customFormat="1" ht="16.5" hidden="1" customHeight="1">
      <c r="A2888" s="1156"/>
      <c r="B2888" s="1359" t="s">
        <v>425</v>
      </c>
      <c r="C2888" s="1360">
        <v>1</v>
      </c>
      <c r="D2888" s="1361" t="s">
        <v>273</v>
      </c>
      <c r="E2888" s="1362">
        <v>1</v>
      </c>
      <c r="F2888" s="1363">
        <f>I2874</f>
        <v>0</v>
      </c>
      <c r="G2888" s="1363">
        <v>0</v>
      </c>
      <c r="H2888" s="1363">
        <v>0</v>
      </c>
      <c r="I2888" s="1336">
        <f>ROUND(IF(AND(F2888:H2888),C2888*E2888*F2888*G2888*H2888,IF(AND(F2888,G2888),C2888*E2888*F2888*G2888,IF(AND(F2888,H2888),C2888*E2888*F2888*H2888,IF(AND(G2888,H2888),C2888*E2888*G2888*H2888,IF(F2888,C2888*E2888*F2888,IF(G2888,C2888*E2888*G2888,IF(H2888,C2888*E2888*H2888,C2888*E2888))))))),2)</f>
        <v>1</v>
      </c>
      <c r="J2888" s="1357" t="s">
        <v>277</v>
      </c>
      <c r="K2888" s="1169"/>
      <c r="L2888" s="1156"/>
      <c r="M2888" s="1169"/>
      <c r="N2888" s="1161" t="s">
        <v>2317</v>
      </c>
    </row>
    <row r="2889" spans="1:14" s="1170" customFormat="1" ht="16.5" hidden="1" customHeight="1">
      <c r="A2889" s="1156"/>
      <c r="B2889" s="1359" t="s">
        <v>887</v>
      </c>
      <c r="C2889" s="1360">
        <v>1</v>
      </c>
      <c r="D2889" s="1361" t="s">
        <v>273</v>
      </c>
      <c r="E2889" s="1362">
        <v>1</v>
      </c>
      <c r="F2889" s="1363">
        <f>I2885</f>
        <v>0</v>
      </c>
      <c r="G2889" s="1363">
        <v>0</v>
      </c>
      <c r="H2889" s="1363">
        <v>0</v>
      </c>
      <c r="I2889" s="1336">
        <f>ROUND(IF(AND(F2889:H2889),C2889*E2889*F2889*G2889*H2889,IF(AND(F2889,G2889),C2889*E2889*F2889*G2889,IF(AND(F2889,H2889),C2889*E2889*F2889*H2889,IF(AND(G2889,H2889),C2889*E2889*G2889*H2889,IF(F2889,C2889*E2889*F2889,IF(G2889,C2889*E2889*G2889,IF(H2889,C2889*E2889*H2889,C2889*E2889))))))),2)</f>
        <v>1</v>
      </c>
      <c r="J2889" s="1357" t="s">
        <v>277</v>
      </c>
      <c r="K2889" s="1169"/>
      <c r="L2889" s="1156"/>
      <c r="M2889" s="1169"/>
      <c r="N2889" s="1161" t="s">
        <v>2317</v>
      </c>
    </row>
    <row r="2890" spans="1:14" s="1170" customFormat="1" ht="16.5" hidden="1" customHeight="1">
      <c r="A2890" s="1156"/>
      <c r="B2890" s="1331"/>
      <c r="C2890" s="1332"/>
      <c r="D2890" s="1333"/>
      <c r="E2890" s="1334"/>
      <c r="F2890" s="1335"/>
      <c r="G2890" s="1335"/>
      <c r="H2890" s="1335"/>
      <c r="I2890" s="1336"/>
      <c r="J2890" s="1357"/>
      <c r="K2890" s="1169"/>
      <c r="L2890" s="1156"/>
      <c r="M2890" s="1169"/>
      <c r="N2890" s="1161" t="s">
        <v>2317</v>
      </c>
    </row>
    <row r="2891" spans="1:14" ht="15.75" hidden="1">
      <c r="A2891" s="1156"/>
      <c r="B2891" s="1169"/>
      <c r="C2891" s="1337"/>
      <c r="D2891" s="1171"/>
      <c r="E2891" s="1165"/>
      <c r="F2891" s="1166"/>
      <c r="G2891" s="1343"/>
      <c r="H2891" s="1156"/>
      <c r="I2891" s="1336"/>
      <c r="J2891" s="1357" t="s">
        <v>277</v>
      </c>
      <c r="K2891" s="1221">
        <f>'SANITATION DTA'!G350</f>
        <v>74</v>
      </c>
      <c r="L2891" s="1159" t="s">
        <v>2317</v>
      </c>
      <c r="M2891" s="1224">
        <f>ROUND(I2891*K2891,0)</f>
        <v>0</v>
      </c>
      <c r="N2891" s="1161" t="s">
        <v>2317</v>
      </c>
    </row>
    <row r="2892" spans="1:14" ht="66" hidden="1" customHeight="1">
      <c r="A2892" s="1156">
        <v>7</v>
      </c>
      <c r="B2892" s="1826" t="s">
        <v>328</v>
      </c>
      <c r="C2892" s="1826"/>
      <c r="D2892" s="1826"/>
      <c r="E2892" s="1826"/>
      <c r="F2892" s="1826"/>
      <c r="G2892" s="1826"/>
      <c r="H2892" s="1826"/>
      <c r="I2892" s="1157"/>
      <c r="J2892" s="1158"/>
      <c r="K2892" s="1156"/>
      <c r="L2892" s="1156"/>
      <c r="M2892" s="1160"/>
      <c r="N2892" s="1161" t="s">
        <v>2317</v>
      </c>
    </row>
    <row r="2893" spans="1:14" s="1170" customFormat="1" ht="16.5" hidden="1" customHeight="1">
      <c r="A2893" s="1156"/>
      <c r="B2893" s="1169" t="s">
        <v>2348</v>
      </c>
      <c r="C2893" s="1351"/>
      <c r="D2893" s="1418"/>
      <c r="E2893" s="1352"/>
      <c r="F2893" s="1234"/>
      <c r="G2893" s="1234"/>
      <c r="H2893" s="1235"/>
      <c r="I2893" s="1353"/>
      <c r="J2893" s="1357"/>
      <c r="K2893" s="1169"/>
      <c r="L2893" s="1156"/>
      <c r="M2893" s="1169"/>
      <c r="N2893" s="1161" t="s">
        <v>2317</v>
      </c>
    </row>
    <row r="2894" spans="1:14" s="1170" customFormat="1" ht="16.5" hidden="1" customHeight="1">
      <c r="A2894" s="1156"/>
      <c r="B2894" s="1359" t="s">
        <v>310</v>
      </c>
      <c r="C2894" s="1360">
        <v>1</v>
      </c>
      <c r="D2894" s="1361" t="s">
        <v>273</v>
      </c>
      <c r="E2894" s="1362">
        <v>3</v>
      </c>
      <c r="F2894" s="1363">
        <v>0</v>
      </c>
      <c r="G2894" s="1363">
        <v>0</v>
      </c>
      <c r="H2894" s="1363">
        <v>0</v>
      </c>
      <c r="I2894" s="1421">
        <f>ROUND(IF(AND(F2894:H2894),C2894*E2894*F2894*G2894*H2894,IF(AND(F2894,G2894),C2894*E2894*F2894*G2894,IF(AND(F2894,H2894),C2894*E2894*F2894*H2894,IF(AND(G2894,H2894),C2894*E2894*G2894*H2894,IF(F2894,C2894*E2894*F2894,IF(G2894,C2894*E2894*G2894,IF(H2894,C2894*E2894*H2894,C2894*E2894))))))),2)</f>
        <v>3</v>
      </c>
      <c r="J2894" s="1357" t="s">
        <v>115</v>
      </c>
      <c r="K2894" s="1169"/>
      <c r="L2894" s="1156"/>
      <c r="M2894" s="1169"/>
      <c r="N2894" s="1161" t="s">
        <v>2317</v>
      </c>
    </row>
    <row r="2895" spans="1:14" s="1170" customFormat="1" ht="16.5" hidden="1" customHeight="1">
      <c r="A2895" s="1156"/>
      <c r="B2895" s="1331"/>
      <c r="C2895" s="1332"/>
      <c r="D2895" s="1333"/>
      <c r="E2895" s="1334"/>
      <c r="F2895" s="1335"/>
      <c r="G2895" s="1335"/>
      <c r="H2895" s="1335"/>
      <c r="I2895" s="1421"/>
      <c r="J2895" s="1357"/>
      <c r="K2895" s="1169"/>
      <c r="L2895" s="1156"/>
      <c r="M2895" s="1169"/>
      <c r="N2895" s="1161" t="s">
        <v>2317</v>
      </c>
    </row>
    <row r="2896" spans="1:14" ht="15.75" hidden="1">
      <c r="A2896" s="1156"/>
      <c r="B2896" s="1169"/>
      <c r="C2896" s="1337"/>
      <c r="D2896" s="1171"/>
      <c r="E2896" s="1165"/>
      <c r="F2896" s="1166"/>
      <c r="G2896" s="1343"/>
      <c r="H2896" s="1156"/>
      <c r="I2896" s="1421"/>
      <c r="J2896" s="1357" t="s">
        <v>115</v>
      </c>
      <c r="K2896" s="1221">
        <f>'SANITATION DTA'!G310</f>
        <v>5006</v>
      </c>
      <c r="L2896" s="1159" t="s">
        <v>2317</v>
      </c>
      <c r="M2896" s="1224">
        <f>ROUND(I2896*K2896,0)</f>
        <v>0</v>
      </c>
      <c r="N2896" s="1161" t="s">
        <v>2317</v>
      </c>
    </row>
    <row r="2897" spans="1:14" ht="36" hidden="1" customHeight="1">
      <c r="A2897" s="1156">
        <v>8</v>
      </c>
      <c r="B2897" s="1826" t="s">
        <v>608</v>
      </c>
      <c r="C2897" s="1826"/>
      <c r="D2897" s="1826"/>
      <c r="E2897" s="1826"/>
      <c r="F2897" s="1826"/>
      <c r="G2897" s="1826"/>
      <c r="H2897" s="1826"/>
      <c r="I2897" s="1157"/>
      <c r="J2897" s="1158"/>
      <c r="K2897" s="1156"/>
      <c r="L2897" s="1156"/>
      <c r="M2897" s="1160"/>
      <c r="N2897" s="1161" t="s">
        <v>2317</v>
      </c>
    </row>
    <row r="2898" spans="1:14" s="1170" customFormat="1" ht="16.5" hidden="1" customHeight="1">
      <c r="A2898" s="1156"/>
      <c r="B2898" s="1230" t="s">
        <v>607</v>
      </c>
      <c r="C2898" s="1351"/>
      <c r="D2898" s="1418"/>
      <c r="E2898" s="1352"/>
      <c r="F2898" s="1234"/>
      <c r="G2898" s="1234"/>
      <c r="H2898" s="1235"/>
      <c r="I2898" s="1353"/>
      <c r="J2898" s="1357"/>
      <c r="K2898" s="1169"/>
      <c r="L2898" s="1156"/>
      <c r="M2898" s="1169"/>
      <c r="N2898" s="1161" t="s">
        <v>2317</v>
      </c>
    </row>
    <row r="2899" spans="1:14" s="1170" customFormat="1" ht="16.5" hidden="1" customHeight="1">
      <c r="A2899" s="1156"/>
      <c r="B2899" s="1331" t="s">
        <v>310</v>
      </c>
      <c r="C2899" s="1332">
        <v>1</v>
      </c>
      <c r="D2899" s="1333" t="s">
        <v>273</v>
      </c>
      <c r="E2899" s="1334">
        <v>1</v>
      </c>
      <c r="F2899" s="1335">
        <v>0</v>
      </c>
      <c r="G2899" s="1335">
        <v>0</v>
      </c>
      <c r="H2899" s="1335">
        <v>0</v>
      </c>
      <c r="I2899" s="1421">
        <f>ROUND(IF(AND(F2899:H2899),C2899*E2899*F2899*G2899*H2899,IF(AND(F2899,G2899),C2899*E2899*F2899*G2899,IF(AND(F2899,H2899),C2899*E2899*F2899*H2899,IF(AND(G2899,H2899),C2899*E2899*G2899*H2899,IF(F2899,C2899*E2899*F2899,IF(G2899,C2899*E2899*G2899,IF(H2899,C2899*E2899*H2899,C2899*E2899))))))),2)</f>
        <v>1</v>
      </c>
      <c r="J2899" s="1357" t="s">
        <v>115</v>
      </c>
      <c r="K2899" s="1169"/>
      <c r="L2899" s="1156"/>
      <c r="M2899" s="1169"/>
      <c r="N2899" s="1161" t="s">
        <v>2317</v>
      </c>
    </row>
    <row r="2900" spans="1:14" s="1170" customFormat="1" ht="16.5" hidden="1" customHeight="1">
      <c r="A2900" s="1156"/>
      <c r="B2900" s="1331"/>
      <c r="C2900" s="1332"/>
      <c r="D2900" s="1333"/>
      <c r="E2900" s="1334"/>
      <c r="F2900" s="1335"/>
      <c r="G2900" s="1335"/>
      <c r="H2900" s="1335"/>
      <c r="I2900" s="1421"/>
      <c r="J2900" s="1357"/>
      <c r="K2900" s="1169"/>
      <c r="L2900" s="1156"/>
      <c r="M2900" s="1169"/>
      <c r="N2900" s="1161" t="s">
        <v>2317</v>
      </c>
    </row>
    <row r="2901" spans="1:14" ht="15.75" hidden="1">
      <c r="A2901" s="1156"/>
      <c r="B2901" s="1169"/>
      <c r="C2901" s="1337"/>
      <c r="D2901" s="1171"/>
      <c r="E2901" s="1165"/>
      <c r="F2901" s="1166"/>
      <c r="G2901" s="1343"/>
      <c r="H2901" s="1156"/>
      <c r="I2901" s="1421"/>
      <c r="J2901" s="1357" t="s">
        <v>115</v>
      </c>
      <c r="K2901" s="1221">
        <f>'SANITATION DTA'!G313</f>
        <v>979</v>
      </c>
      <c r="L2901" s="1159" t="s">
        <v>2317</v>
      </c>
      <c r="M2901" s="1224">
        <f>ROUND(I2901*K2901,0)</f>
        <v>0</v>
      </c>
      <c r="N2901" s="1161" t="s">
        <v>2317</v>
      </c>
    </row>
    <row r="2902" spans="1:14" ht="57" hidden="1" customHeight="1">
      <c r="A2902" s="1156">
        <v>8</v>
      </c>
      <c r="B2902" s="1826" t="s">
        <v>1254</v>
      </c>
      <c r="C2902" s="1826"/>
      <c r="D2902" s="1826"/>
      <c r="E2902" s="1826"/>
      <c r="F2902" s="1826"/>
      <c r="G2902" s="1826"/>
      <c r="H2902" s="1826"/>
      <c r="I2902" s="1157"/>
      <c r="J2902" s="1158"/>
      <c r="K2902" s="1156"/>
      <c r="L2902" s="1156"/>
      <c r="M2902" s="1160"/>
      <c r="N2902" s="1161" t="s">
        <v>2317</v>
      </c>
    </row>
    <row r="2903" spans="1:14" s="1170" customFormat="1" ht="16.5" hidden="1" customHeight="1">
      <c r="A2903" s="1156"/>
      <c r="B2903" s="1169" t="s">
        <v>2348</v>
      </c>
      <c r="C2903" s="1351"/>
      <c r="D2903" s="1418"/>
      <c r="E2903" s="1352"/>
      <c r="F2903" s="1234"/>
      <c r="G2903" s="1234"/>
      <c r="H2903" s="1235"/>
      <c r="I2903" s="1353"/>
      <c r="J2903" s="1357"/>
      <c r="K2903" s="1169"/>
      <c r="L2903" s="1156"/>
      <c r="M2903" s="1169"/>
      <c r="N2903" s="1161" t="s">
        <v>2317</v>
      </c>
    </row>
    <row r="2904" spans="1:14" s="1170" customFormat="1" ht="16.5" hidden="1" customHeight="1">
      <c r="A2904" s="1156"/>
      <c r="B2904" s="1331" t="s">
        <v>688</v>
      </c>
      <c r="C2904" s="1332">
        <v>1</v>
      </c>
      <c r="D2904" s="1333" t="s">
        <v>273</v>
      </c>
      <c r="E2904" s="1334">
        <v>1</v>
      </c>
      <c r="F2904" s="1335">
        <v>0</v>
      </c>
      <c r="G2904" s="1335">
        <v>0</v>
      </c>
      <c r="H2904" s="1335">
        <v>0</v>
      </c>
      <c r="I2904" s="1421">
        <f>ROUND(IF(AND(F2904:H2904),C2904*E2904*F2904*G2904*H2904,IF(AND(F2904,G2904),C2904*E2904*F2904*G2904,IF(AND(F2904,H2904),C2904*E2904*F2904*H2904,IF(AND(G2904,H2904),C2904*E2904*G2904*H2904,IF(F2904,C2904*E2904*F2904,IF(G2904,C2904*E2904*G2904,IF(H2904,C2904*E2904*H2904,C2904*E2904))))))),2)</f>
        <v>1</v>
      </c>
      <c r="J2904" s="1357" t="s">
        <v>115</v>
      </c>
      <c r="K2904" s="1169"/>
      <c r="L2904" s="1156"/>
      <c r="M2904" s="1169"/>
      <c r="N2904" s="1161" t="s">
        <v>2317</v>
      </c>
    </row>
    <row r="2905" spans="1:14" s="1170" customFormat="1" ht="16.5" hidden="1" customHeight="1">
      <c r="A2905" s="1156"/>
      <c r="B2905" s="1331"/>
      <c r="C2905" s="1332"/>
      <c r="D2905" s="1333"/>
      <c r="E2905" s="1334"/>
      <c r="F2905" s="1335"/>
      <c r="G2905" s="1335"/>
      <c r="H2905" s="1335"/>
      <c r="I2905" s="1421"/>
      <c r="J2905" s="1357"/>
      <c r="K2905" s="1169"/>
      <c r="L2905" s="1156"/>
      <c r="M2905" s="1169"/>
      <c r="N2905" s="1161" t="s">
        <v>2317</v>
      </c>
    </row>
    <row r="2906" spans="1:14" ht="15.75" hidden="1">
      <c r="A2906" s="1156"/>
      <c r="B2906" s="1169"/>
      <c r="C2906" s="1337"/>
      <c r="D2906" s="1171"/>
      <c r="E2906" s="1165"/>
      <c r="F2906" s="1166"/>
      <c r="G2906" s="1343"/>
      <c r="H2906" s="1156"/>
      <c r="I2906" s="1421"/>
      <c r="J2906" s="1357" t="s">
        <v>115</v>
      </c>
      <c r="K2906" s="1221">
        <f>'SANITATION DTA'!G316</f>
        <v>2499</v>
      </c>
      <c r="L2906" s="1159" t="s">
        <v>2317</v>
      </c>
      <c r="M2906" s="1224">
        <f>ROUND(I2906*K2906,0)</f>
        <v>0</v>
      </c>
      <c r="N2906" s="1161" t="s">
        <v>2317</v>
      </c>
    </row>
    <row r="2907" spans="1:14" ht="132.75" hidden="1" customHeight="1">
      <c r="A2907" s="1156">
        <v>9</v>
      </c>
      <c r="B2907" s="1826" t="s">
        <v>333</v>
      </c>
      <c r="C2907" s="1826"/>
      <c r="D2907" s="1826"/>
      <c r="E2907" s="1826"/>
      <c r="F2907" s="1826"/>
      <c r="G2907" s="1826"/>
      <c r="H2907" s="1826"/>
      <c r="I2907" s="1157"/>
      <c r="J2907" s="1158"/>
      <c r="K2907" s="1156"/>
      <c r="L2907" s="1156"/>
      <c r="M2907" s="1160"/>
      <c r="N2907" s="1161" t="s">
        <v>2317</v>
      </c>
    </row>
    <row r="2908" spans="1:14" s="1170" customFormat="1" ht="16.5" hidden="1" customHeight="1">
      <c r="A2908" s="1156"/>
      <c r="B2908" s="1169" t="s">
        <v>2348</v>
      </c>
      <c r="C2908" s="1351"/>
      <c r="D2908" s="1418"/>
      <c r="E2908" s="1352"/>
      <c r="F2908" s="1234"/>
      <c r="G2908" s="1234"/>
      <c r="H2908" s="1235"/>
      <c r="I2908" s="1353"/>
      <c r="J2908" s="1357"/>
      <c r="K2908" s="1169"/>
      <c r="L2908" s="1156"/>
      <c r="M2908" s="1169"/>
      <c r="N2908" s="1161" t="s">
        <v>2317</v>
      </c>
    </row>
    <row r="2909" spans="1:14" s="1170" customFormat="1" ht="16.5" hidden="1" customHeight="1">
      <c r="A2909" s="1156"/>
      <c r="B2909" s="1359"/>
      <c r="C2909" s="1360">
        <v>1</v>
      </c>
      <c r="D2909" s="1361" t="s">
        <v>273</v>
      </c>
      <c r="E2909" s="1362">
        <v>3</v>
      </c>
      <c r="F2909" s="1363">
        <v>0</v>
      </c>
      <c r="G2909" s="1363">
        <v>0</v>
      </c>
      <c r="H2909" s="1363">
        <v>0</v>
      </c>
      <c r="I2909" s="1421">
        <f>ROUND(IF(AND(F2909:H2909),C2909*E2909*F2909*G2909*H2909,IF(AND(F2909,G2909),C2909*E2909*F2909*G2909,IF(AND(F2909,H2909),C2909*E2909*F2909*H2909,IF(AND(G2909,H2909),C2909*E2909*G2909*H2909,IF(F2909,C2909*E2909*F2909,IF(G2909,C2909*E2909*G2909,IF(H2909,C2909*E2909*H2909,C2909*E2909))))))),2)</f>
        <v>3</v>
      </c>
      <c r="J2909" s="1357" t="s">
        <v>115</v>
      </c>
      <c r="K2909" s="1169"/>
      <c r="L2909" s="1156"/>
      <c r="M2909" s="1169"/>
      <c r="N2909" s="1161" t="s">
        <v>2317</v>
      </c>
    </row>
    <row r="2910" spans="1:14" s="1170" customFormat="1" ht="16.5" hidden="1" customHeight="1">
      <c r="A2910" s="1156"/>
      <c r="B2910" s="1359"/>
      <c r="C2910" s="1360"/>
      <c r="D2910" s="1361"/>
      <c r="E2910" s="1362"/>
      <c r="F2910" s="1363"/>
      <c r="G2910" s="1363"/>
      <c r="H2910" s="1363"/>
      <c r="I2910" s="1421"/>
      <c r="J2910" s="1357"/>
      <c r="K2910" s="1169"/>
      <c r="L2910" s="1156"/>
      <c r="M2910" s="1169"/>
      <c r="N2910" s="1161" t="s">
        <v>2317</v>
      </c>
    </row>
    <row r="2911" spans="1:14" ht="15.75" hidden="1">
      <c r="A2911" s="1156"/>
      <c r="B2911" s="1169"/>
      <c r="C2911" s="1337"/>
      <c r="D2911" s="1171"/>
      <c r="E2911" s="1165"/>
      <c r="F2911" s="1166"/>
      <c r="G2911" s="1343"/>
      <c r="H2911" s="1156"/>
      <c r="I2911" s="1421"/>
      <c r="J2911" s="1357" t="s">
        <v>115</v>
      </c>
      <c r="K2911" s="1221">
        <f>'SANITATION DTA'!G324</f>
        <v>1915</v>
      </c>
      <c r="L2911" s="1159" t="s">
        <v>2317</v>
      </c>
      <c r="M2911" s="1224">
        <f>ROUND(I2911*K2911,0)</f>
        <v>0</v>
      </c>
      <c r="N2911" s="1161" t="s">
        <v>2317</v>
      </c>
    </row>
    <row r="2912" spans="1:14" ht="21.75" hidden="1" customHeight="1">
      <c r="A2912" s="1156">
        <v>10</v>
      </c>
      <c r="B2912" s="1831" t="s">
        <v>718</v>
      </c>
      <c r="C2912" s="1832"/>
      <c r="D2912" s="1832"/>
      <c r="E2912" s="1832"/>
      <c r="F2912" s="1832"/>
      <c r="G2912" s="1832"/>
      <c r="H2912" s="1834"/>
      <c r="I2912" s="1421"/>
      <c r="J2912" s="1158"/>
      <c r="K2912" s="1156"/>
      <c r="L2912" s="1156"/>
      <c r="M2912" s="1160"/>
      <c r="N2912" s="1161" t="s">
        <v>2317</v>
      </c>
    </row>
    <row r="2913" spans="1:14" s="1170" customFormat="1" ht="16.5" hidden="1" customHeight="1">
      <c r="A2913" s="1156"/>
      <c r="B2913" s="1169" t="s">
        <v>2348</v>
      </c>
      <c r="C2913" s="1351"/>
      <c r="D2913" s="1418"/>
      <c r="E2913" s="1352"/>
      <c r="F2913" s="1234"/>
      <c r="G2913" s="1234"/>
      <c r="H2913" s="1235"/>
      <c r="I2913" s="1425"/>
      <c r="J2913" s="1357"/>
      <c r="K2913" s="1169"/>
      <c r="L2913" s="1156"/>
      <c r="M2913" s="1169"/>
      <c r="N2913" s="1161" t="s">
        <v>2317</v>
      </c>
    </row>
    <row r="2914" spans="1:14" s="1170" customFormat="1" ht="16.5" hidden="1" customHeight="1">
      <c r="A2914" s="1156"/>
      <c r="B2914" s="1331"/>
      <c r="C2914" s="1332">
        <v>1</v>
      </c>
      <c r="D2914" s="1333" t="s">
        <v>273</v>
      </c>
      <c r="E2914" s="1334">
        <v>3</v>
      </c>
      <c r="F2914" s="1335">
        <v>0</v>
      </c>
      <c r="G2914" s="1335">
        <v>0</v>
      </c>
      <c r="H2914" s="1335">
        <v>0</v>
      </c>
      <c r="I2914" s="1421">
        <f>ROUND(IF(AND(F2914:H2914),C2914*E2914*F2914*G2914*H2914,IF(AND(F2914,G2914),C2914*E2914*F2914*G2914,IF(AND(F2914,H2914),C2914*E2914*F2914*H2914,IF(AND(G2914,H2914),C2914*E2914*G2914*H2914,IF(F2914,C2914*E2914*F2914,IF(G2914,C2914*E2914*G2914,IF(H2914,C2914*E2914*H2914,C2914*E2914))))))),2)</f>
        <v>3</v>
      </c>
      <c r="J2914" s="1357" t="s">
        <v>115</v>
      </c>
      <c r="K2914" s="1169"/>
      <c r="L2914" s="1156"/>
      <c r="M2914" s="1169"/>
      <c r="N2914" s="1161" t="s">
        <v>2317</v>
      </c>
    </row>
    <row r="2915" spans="1:14" s="1170" customFormat="1" ht="16.5" hidden="1" customHeight="1">
      <c r="A2915" s="1156"/>
      <c r="B2915" s="1331"/>
      <c r="C2915" s="1332"/>
      <c r="D2915" s="1333"/>
      <c r="E2915" s="1334"/>
      <c r="F2915" s="1335"/>
      <c r="G2915" s="1335"/>
      <c r="H2915" s="1335"/>
      <c r="I2915" s="1421"/>
      <c r="J2915" s="1357"/>
      <c r="K2915" s="1169"/>
      <c r="L2915" s="1156"/>
      <c r="M2915" s="1169"/>
      <c r="N2915" s="1161" t="s">
        <v>2317</v>
      </c>
    </row>
    <row r="2916" spans="1:14" ht="15.75" hidden="1">
      <c r="A2916" s="1156"/>
      <c r="B2916" s="1169"/>
      <c r="C2916" s="1337"/>
      <c r="D2916" s="1171"/>
      <c r="E2916" s="1165"/>
      <c r="F2916" s="1166"/>
      <c r="G2916" s="1343"/>
      <c r="H2916" s="1156"/>
      <c r="I2916" s="1421"/>
      <c r="J2916" s="1357" t="s">
        <v>115</v>
      </c>
      <c r="K2916" s="1221">
        <f>'SANITATION DTA'!G446</f>
        <v>89</v>
      </c>
      <c r="L2916" s="1159" t="s">
        <v>2317</v>
      </c>
      <c r="M2916" s="1224">
        <f>ROUND(I2916*K2916,0)</f>
        <v>0</v>
      </c>
      <c r="N2916" s="1161" t="s">
        <v>2317</v>
      </c>
    </row>
    <row r="2917" spans="1:14" ht="58.5" hidden="1" customHeight="1">
      <c r="A2917" s="1156">
        <v>11</v>
      </c>
      <c r="B2917" s="1826" t="s">
        <v>290</v>
      </c>
      <c r="C2917" s="1826"/>
      <c r="D2917" s="1826"/>
      <c r="E2917" s="1826"/>
      <c r="F2917" s="1826"/>
      <c r="G2917" s="1826"/>
      <c r="H2917" s="1826"/>
      <c r="I2917" s="1157"/>
      <c r="J2917" s="1158"/>
      <c r="K2917" s="1156"/>
      <c r="L2917" s="1156"/>
      <c r="M2917" s="1160"/>
      <c r="N2917" s="1161" t="s">
        <v>2317</v>
      </c>
    </row>
    <row r="2918" spans="1:14" s="1170" customFormat="1" ht="16.5" hidden="1" customHeight="1">
      <c r="A2918" s="1156"/>
      <c r="B2918" s="1169" t="s">
        <v>2348</v>
      </c>
      <c r="C2918" s="1351"/>
      <c r="D2918" s="1418"/>
      <c r="E2918" s="1352"/>
      <c r="F2918" s="1234"/>
      <c r="G2918" s="1234"/>
      <c r="H2918" s="1235"/>
      <c r="I2918" s="1353"/>
      <c r="J2918" s="1357"/>
      <c r="K2918" s="1169"/>
      <c r="L2918" s="1156"/>
      <c r="M2918" s="1169"/>
      <c r="N2918" s="1161" t="s">
        <v>2317</v>
      </c>
    </row>
    <row r="2919" spans="1:14" s="1170" customFormat="1" ht="16.5" hidden="1" customHeight="1">
      <c r="A2919" s="1156"/>
      <c r="B2919" s="1359"/>
      <c r="C2919" s="1360">
        <v>1</v>
      </c>
      <c r="D2919" s="1361" t="s">
        <v>273</v>
      </c>
      <c r="E2919" s="1362">
        <v>1</v>
      </c>
      <c r="F2919" s="1552">
        <v>1000</v>
      </c>
      <c r="G2919" s="1363">
        <v>0</v>
      </c>
      <c r="H2919" s="1363">
        <v>0</v>
      </c>
      <c r="I2919" s="1336">
        <f>ROUND(IF(AND(F2919:H2919),C2919*E2919*F2919*G2919*H2919,IF(AND(F2919,G2919),C2919*E2919*F2919*G2919,IF(AND(F2919,H2919),C2919*E2919*F2919*H2919,IF(AND(G2919,H2919),C2919*E2919*G2919*H2919,IF(F2919,C2919*E2919*F2919,IF(G2919,C2919*E2919*G2919,IF(H2919,C2919*E2919*H2919,C2919*E2919))))))),2)</f>
        <v>1000</v>
      </c>
      <c r="J2919" s="1357" t="s">
        <v>291</v>
      </c>
      <c r="K2919" s="1169"/>
      <c r="L2919" s="1156"/>
      <c r="M2919" s="1169"/>
      <c r="N2919" s="1161" t="s">
        <v>2317</v>
      </c>
    </row>
    <row r="2920" spans="1:14" s="1170" customFormat="1" ht="16.5" hidden="1" customHeight="1">
      <c r="A2920" s="1156"/>
      <c r="B2920" s="1359"/>
      <c r="C2920" s="1360"/>
      <c r="D2920" s="1361"/>
      <c r="E2920" s="1362"/>
      <c r="F2920" s="1552"/>
      <c r="G2920" s="1363"/>
      <c r="H2920" s="1363"/>
      <c r="I2920" s="1336"/>
      <c r="J2920" s="1357"/>
      <c r="K2920" s="1169"/>
      <c r="L2920" s="1156"/>
      <c r="M2920" s="1169"/>
      <c r="N2920" s="1161" t="s">
        <v>2317</v>
      </c>
    </row>
    <row r="2921" spans="1:14" ht="15.75" hidden="1">
      <c r="A2921" s="1156"/>
      <c r="B2921" s="1169"/>
      <c r="C2921" s="1337"/>
      <c r="D2921" s="1171"/>
      <c r="E2921" s="1165"/>
      <c r="F2921" s="1166"/>
      <c r="G2921" s="1343"/>
      <c r="H2921" s="1156"/>
      <c r="I2921" s="1336"/>
      <c r="J2921" s="1357" t="s">
        <v>291</v>
      </c>
      <c r="K2921" s="1221">
        <f>'SANITATION DTA'!G368</f>
        <v>6</v>
      </c>
      <c r="L2921" s="1159" t="s">
        <v>2317</v>
      </c>
      <c r="M2921" s="1224">
        <f>ROUND(I2921*K2921,0)</f>
        <v>0</v>
      </c>
      <c r="N2921" s="1161" t="s">
        <v>2317</v>
      </c>
    </row>
    <row r="2922" spans="1:14" ht="146.25" hidden="1" customHeight="1">
      <c r="A2922" s="1156">
        <v>10</v>
      </c>
      <c r="B2922" s="1826" t="s">
        <v>448</v>
      </c>
      <c r="C2922" s="1826"/>
      <c r="D2922" s="1826"/>
      <c r="E2922" s="1826"/>
      <c r="F2922" s="1826"/>
      <c r="G2922" s="1826"/>
      <c r="H2922" s="1826"/>
      <c r="I2922" s="1157"/>
      <c r="J2922" s="1158"/>
      <c r="K2922" s="1156"/>
      <c r="L2922" s="1156"/>
      <c r="M2922" s="1160"/>
      <c r="N2922" s="1161" t="s">
        <v>2317</v>
      </c>
    </row>
    <row r="2923" spans="1:14" s="1170" customFormat="1" ht="16.5" hidden="1" customHeight="1">
      <c r="A2923" s="1156"/>
      <c r="B2923" s="1365" t="s">
        <v>2349</v>
      </c>
      <c r="C2923" s="1351"/>
      <c r="D2923" s="1418"/>
      <c r="E2923" s="1352"/>
      <c r="F2923" s="1234"/>
      <c r="G2923" s="1234"/>
      <c r="H2923" s="1235"/>
      <c r="I2923" s="1353"/>
      <c r="J2923" s="1357"/>
      <c r="K2923" s="1169"/>
      <c r="L2923" s="1156"/>
      <c r="M2923" s="1169"/>
      <c r="N2923" s="1161" t="s">
        <v>2317</v>
      </c>
    </row>
    <row r="2924" spans="1:14" s="1170" customFormat="1" ht="16.5" hidden="1" customHeight="1">
      <c r="A2924" s="1156"/>
      <c r="B2924" s="1359" t="s">
        <v>588</v>
      </c>
      <c r="C2924" s="1360">
        <v>1</v>
      </c>
      <c r="D2924" s="1361" t="s">
        <v>273</v>
      </c>
      <c r="E2924" s="1362">
        <v>1</v>
      </c>
      <c r="F2924" s="1401">
        <v>58.85</v>
      </c>
      <c r="G2924" s="1363">
        <v>0</v>
      </c>
      <c r="H2924" s="1363">
        <v>0</v>
      </c>
      <c r="I2924" s="1336"/>
      <c r="J2924" s="1357" t="s">
        <v>277</v>
      </c>
      <c r="K2924" s="1214">
        <f>'SANITATION DTA'!G407</f>
        <v>470</v>
      </c>
      <c r="L2924" s="1159" t="s">
        <v>2317</v>
      </c>
      <c r="M2924" s="1224">
        <f>ROUND(I2924*K2924,0)</f>
        <v>0</v>
      </c>
      <c r="N2924" s="1161" t="s">
        <v>2317</v>
      </c>
    </row>
    <row r="2925" spans="1:14" s="1170" customFormat="1" ht="16.5" hidden="1" customHeight="1">
      <c r="A2925" s="1156"/>
      <c r="B2925" s="1331" t="s">
        <v>589</v>
      </c>
      <c r="C2925" s="1332">
        <v>1</v>
      </c>
      <c r="D2925" s="1333" t="s">
        <v>273</v>
      </c>
      <c r="E2925" s="1334">
        <v>1</v>
      </c>
      <c r="F2925" s="1553">
        <v>60</v>
      </c>
      <c r="G2925" s="1335">
        <v>0</v>
      </c>
      <c r="H2925" s="1335">
        <v>0</v>
      </c>
      <c r="I2925" s="1336"/>
      <c r="J2925" s="1357" t="s">
        <v>277</v>
      </c>
      <c r="K2925" s="1214">
        <f>'SANITATION DTA'!G409</f>
        <v>502</v>
      </c>
      <c r="L2925" s="1159" t="s">
        <v>2317</v>
      </c>
      <c r="M2925" s="1224">
        <f>ROUND(I2925*K2925,0)</f>
        <v>0</v>
      </c>
      <c r="N2925" s="1161" t="s">
        <v>2317</v>
      </c>
    </row>
    <row r="2926" spans="1:14" s="1170" customFormat="1" ht="16.5" hidden="1" customHeight="1">
      <c r="A2926" s="1156"/>
      <c r="B2926" s="1331" t="s">
        <v>590</v>
      </c>
      <c r="C2926" s="1332">
        <v>1</v>
      </c>
      <c r="D2926" s="1333" t="s">
        <v>273</v>
      </c>
      <c r="E2926" s="1334">
        <v>1</v>
      </c>
      <c r="F2926" s="1553">
        <v>60</v>
      </c>
      <c r="G2926" s="1335">
        <v>0</v>
      </c>
      <c r="H2926" s="1335">
        <v>0</v>
      </c>
      <c r="I2926" s="1336"/>
      <c r="J2926" s="1357" t="s">
        <v>277</v>
      </c>
      <c r="K2926" s="1214">
        <f>'SANITATION DTA'!G411</f>
        <v>563</v>
      </c>
      <c r="L2926" s="1159" t="s">
        <v>2317</v>
      </c>
      <c r="M2926" s="1224">
        <f>ROUND(I2926*K2926,0)</f>
        <v>0</v>
      </c>
      <c r="N2926" s="1161" t="s">
        <v>2317</v>
      </c>
    </row>
    <row r="2927" spans="1:14" ht="15.75" hidden="1">
      <c r="A2927" s="1156"/>
      <c r="B2927" s="1169"/>
      <c r="C2927" s="1337"/>
      <c r="D2927" s="1171"/>
      <c r="E2927" s="1165"/>
      <c r="F2927" s="1166"/>
      <c r="G2927" s="1343"/>
      <c r="H2927" s="1156"/>
      <c r="I2927" s="1336"/>
      <c r="J2927" s="1357"/>
      <c r="K2927" s="1221"/>
      <c r="L2927" s="1221"/>
      <c r="M2927" s="1224"/>
      <c r="N2927" s="1161" t="s">
        <v>2317</v>
      </c>
    </row>
    <row r="2928" spans="1:14" ht="43.5" hidden="1" customHeight="1">
      <c r="A2928" s="1156">
        <v>11</v>
      </c>
      <c r="B2928" s="1826" t="s">
        <v>449</v>
      </c>
      <c r="C2928" s="1826"/>
      <c r="D2928" s="1826"/>
      <c r="E2928" s="1826"/>
      <c r="F2928" s="1826"/>
      <c r="G2928" s="1826"/>
      <c r="H2928" s="1826"/>
      <c r="I2928" s="1157"/>
      <c r="J2928" s="1158"/>
      <c r="K2928" s="1156"/>
      <c r="L2928" s="1156"/>
      <c r="M2928" s="1160"/>
      <c r="N2928" s="1161" t="s">
        <v>2317</v>
      </c>
    </row>
    <row r="2929" spans="1:17" s="1170" customFormat="1" ht="16.5" hidden="1" customHeight="1">
      <c r="A2929" s="1156"/>
      <c r="B2929" s="1365" t="s">
        <v>2349</v>
      </c>
      <c r="C2929" s="1351"/>
      <c r="D2929" s="1418"/>
      <c r="E2929" s="1352"/>
      <c r="F2929" s="1234"/>
      <c r="G2929" s="1234"/>
      <c r="H2929" s="1235"/>
      <c r="I2929" s="1353"/>
      <c r="J2929" s="1357"/>
      <c r="K2929" s="1169"/>
      <c r="L2929" s="1156"/>
      <c r="M2929" s="1169"/>
      <c r="N2929" s="1161" t="s">
        <v>2317</v>
      </c>
    </row>
    <row r="2930" spans="1:17" s="1170" customFormat="1" ht="16.5" hidden="1" customHeight="1">
      <c r="A2930" s="1156"/>
      <c r="B2930" s="1359"/>
      <c r="C2930" s="1360">
        <v>1</v>
      </c>
      <c r="D2930" s="1361" t="s">
        <v>273</v>
      </c>
      <c r="E2930" s="1362">
        <v>1</v>
      </c>
      <c r="F2930" s="1401">
        <v>6</v>
      </c>
      <c r="G2930" s="1363">
        <v>0</v>
      </c>
      <c r="H2930" s="1363">
        <v>0</v>
      </c>
      <c r="I2930" s="1336">
        <f>ROUND(IF(AND(F2930:H2930),C2930*E2930*F2930*G2930*H2930,IF(AND(F2930,G2930),C2930*E2930*F2930*G2930,IF(AND(F2930,H2930),C2930*E2930*F2930*H2930,IF(AND(G2930,H2930),C2930*E2930*G2930*H2930,IF(F2930,C2930*E2930*F2930,IF(G2930,C2930*E2930*G2930,IF(H2930,C2930*E2930*H2930,C2930*E2930))))))),2)</f>
        <v>6</v>
      </c>
      <c r="J2930" s="1357" t="s">
        <v>277</v>
      </c>
      <c r="K2930" s="1169"/>
      <c r="L2930" s="1156"/>
      <c r="M2930" s="1169"/>
      <c r="N2930" s="1161" t="s">
        <v>2317</v>
      </c>
    </row>
    <row r="2931" spans="1:17" s="1170" customFormat="1" ht="16.5" hidden="1" customHeight="1">
      <c r="A2931" s="1156"/>
      <c r="B2931" s="1359"/>
      <c r="C2931" s="1360"/>
      <c r="D2931" s="1361"/>
      <c r="E2931" s="1362"/>
      <c r="F2931" s="1401"/>
      <c r="G2931" s="1363"/>
      <c r="H2931" s="1363"/>
      <c r="I2931" s="1336"/>
      <c r="J2931" s="1357"/>
      <c r="K2931" s="1169"/>
      <c r="L2931" s="1156"/>
      <c r="M2931" s="1169"/>
      <c r="N2931" s="1161" t="s">
        <v>2317</v>
      </c>
    </row>
    <row r="2932" spans="1:17" ht="15.75" hidden="1">
      <c r="A2932" s="1156"/>
      <c r="B2932" s="1169"/>
      <c r="C2932" s="1337"/>
      <c r="D2932" s="1171"/>
      <c r="E2932" s="1165"/>
      <c r="F2932" s="1166"/>
      <c r="G2932" s="1343"/>
      <c r="H2932" s="1156"/>
      <c r="I2932" s="1336"/>
      <c r="J2932" s="1357" t="s">
        <v>277</v>
      </c>
      <c r="K2932" s="1221">
        <f>'SANITATION DTA'!G421</f>
        <v>342</v>
      </c>
      <c r="L2932" s="1159" t="s">
        <v>2317</v>
      </c>
      <c r="M2932" s="1224">
        <f>ROUND(I2932*K2932,0)</f>
        <v>0</v>
      </c>
      <c r="N2932" s="1161" t="s">
        <v>2317</v>
      </c>
    </row>
    <row r="2933" spans="1:17" s="1557" customFormat="1" ht="44.25" hidden="1" customHeight="1">
      <c r="A2933" s="1554">
        <v>12</v>
      </c>
      <c r="B2933" s="1855" t="s">
        <v>1536</v>
      </c>
      <c r="C2933" s="1855"/>
      <c r="D2933" s="1855"/>
      <c r="E2933" s="1855"/>
      <c r="F2933" s="1855"/>
      <c r="G2933" s="1855"/>
      <c r="H2933" s="1855"/>
      <c r="I2933" s="1555"/>
      <c r="J2933" s="1355"/>
      <c r="K2933" s="1554"/>
      <c r="L2933" s="1554"/>
      <c r="M2933" s="1556"/>
      <c r="N2933" s="1161" t="s">
        <v>2317</v>
      </c>
      <c r="O2933" s="1557" t="s">
        <v>0</v>
      </c>
      <c r="Q2933" s="1557" t="s">
        <v>0</v>
      </c>
    </row>
    <row r="2934" spans="1:17" s="1170" customFormat="1" ht="16.5" hidden="1" customHeight="1">
      <c r="A2934" s="1156"/>
      <c r="B2934" s="1365" t="s">
        <v>2350</v>
      </c>
      <c r="C2934" s="1351"/>
      <c r="D2934" s="1418"/>
      <c r="E2934" s="1352"/>
      <c r="F2934" s="1234"/>
      <c r="G2934" s="1234"/>
      <c r="H2934" s="1235"/>
      <c r="I2934" s="1353"/>
      <c r="J2934" s="1357"/>
      <c r="K2934" s="1169"/>
      <c r="L2934" s="1156"/>
      <c r="M2934" s="1169"/>
      <c r="N2934" s="1161" t="s">
        <v>2317</v>
      </c>
    </row>
    <row r="2935" spans="1:17" s="1557" customFormat="1" ht="15.75" hidden="1">
      <c r="A2935" s="1554"/>
      <c r="B2935" s="1358"/>
      <c r="C2935" s="1558">
        <v>1</v>
      </c>
      <c r="D2935" s="1346" t="s">
        <v>273</v>
      </c>
      <c r="E2935" s="1355">
        <v>1</v>
      </c>
      <c r="F2935" s="1356">
        <v>0</v>
      </c>
      <c r="G2935" s="1484">
        <v>0</v>
      </c>
      <c r="H2935" s="1356">
        <v>0</v>
      </c>
      <c r="I2935" s="1559">
        <f>ROUND(IF(AND(F2935:H2935),C2935*E2935*F2935*G2935*H2935,IF(AND(F2935,G2935),C2935*E2935*F2935*G2935,IF(AND(F2935,H2935),C2935*E2935*F2935*H2935,IF(AND(G2935,H2935),C2935*E2935*G2935*H2935,IF(F2935,C2935*E2935*F2935,IF(G2935,C2935*E2935*G2935,IF(H2935,C2935*E2935*H2935,C2935*E2935))))))),2)</f>
        <v>1</v>
      </c>
      <c r="J2935" s="1439" t="s">
        <v>115</v>
      </c>
      <c r="K2935" s="1554"/>
      <c r="L2935" s="1554"/>
      <c r="M2935" s="1556"/>
      <c r="N2935" s="1161" t="s">
        <v>2317</v>
      </c>
    </row>
    <row r="2936" spans="1:17" s="1557" customFormat="1" ht="15.75" hidden="1">
      <c r="A2936" s="1554"/>
      <c r="B2936" s="1358"/>
      <c r="C2936" s="1558"/>
      <c r="D2936" s="1346"/>
      <c r="E2936" s="1355"/>
      <c r="F2936" s="1356"/>
      <c r="G2936" s="1484"/>
      <c r="H2936" s="1356"/>
      <c r="I2936" s="1559"/>
      <c r="J2936" s="1439"/>
      <c r="K2936" s="1554"/>
      <c r="L2936" s="1554"/>
      <c r="M2936" s="1556"/>
      <c r="N2936" s="1161" t="s">
        <v>2317</v>
      </c>
    </row>
    <row r="2937" spans="1:17" s="1557" customFormat="1" ht="15.75" hidden="1">
      <c r="A2937" s="1554"/>
      <c r="B2937" s="1756"/>
      <c r="C2937" s="1560"/>
      <c r="D2937" s="1346"/>
      <c r="E2937" s="1355"/>
      <c r="F2937" s="1561"/>
      <c r="G2937" s="1562"/>
      <c r="H2937" s="1561"/>
      <c r="I2937" s="1563"/>
      <c r="J2937" s="1439" t="s">
        <v>115</v>
      </c>
      <c r="K2937" s="1484">
        <f>'SANITATION DTA'!G418</f>
        <v>18370</v>
      </c>
      <c r="L2937" s="1159" t="s">
        <v>2317</v>
      </c>
      <c r="M2937" s="1564">
        <f>ROUND(I2937*K2937,0)</f>
        <v>0</v>
      </c>
      <c r="N2937" s="1161" t="s">
        <v>2317</v>
      </c>
      <c r="O2937" s="1557" t="s">
        <v>0</v>
      </c>
    </row>
    <row r="2938" spans="1:17" s="1557" customFormat="1" ht="30.75" hidden="1" customHeight="1">
      <c r="A2938" s="1554">
        <v>13</v>
      </c>
      <c r="B2938" s="1855" t="s">
        <v>591</v>
      </c>
      <c r="C2938" s="1855"/>
      <c r="D2938" s="1855"/>
      <c r="E2938" s="1855"/>
      <c r="F2938" s="1855"/>
      <c r="G2938" s="1855"/>
      <c r="H2938" s="1855"/>
      <c r="I2938" s="1555"/>
      <c r="J2938" s="1355"/>
      <c r="K2938" s="1554"/>
      <c r="L2938" s="1554"/>
      <c r="M2938" s="1556"/>
      <c r="N2938" s="1161" t="s">
        <v>2317</v>
      </c>
      <c r="O2938" s="1557" t="s">
        <v>0</v>
      </c>
      <c r="Q2938" s="1557" t="s">
        <v>0</v>
      </c>
    </row>
    <row r="2939" spans="1:17" s="1170" customFormat="1" ht="16.5" hidden="1" customHeight="1">
      <c r="A2939" s="1156"/>
      <c r="B2939" s="1365" t="s">
        <v>2350</v>
      </c>
      <c r="C2939" s="1351"/>
      <c r="D2939" s="1418"/>
      <c r="E2939" s="1352"/>
      <c r="F2939" s="1234"/>
      <c r="G2939" s="1234"/>
      <c r="H2939" s="1235"/>
      <c r="I2939" s="1353"/>
      <c r="J2939" s="1357"/>
      <c r="K2939" s="1169"/>
      <c r="L2939" s="1156"/>
      <c r="M2939" s="1169"/>
      <c r="N2939" s="1161" t="s">
        <v>2317</v>
      </c>
    </row>
    <row r="2940" spans="1:17" s="1557" customFormat="1" ht="15.75" hidden="1">
      <c r="A2940" s="1554"/>
      <c r="B2940" s="1358"/>
      <c r="C2940" s="1558">
        <v>1</v>
      </c>
      <c r="D2940" s="1346" t="s">
        <v>273</v>
      </c>
      <c r="E2940" s="1355">
        <v>1</v>
      </c>
      <c r="F2940" s="1565">
        <v>58</v>
      </c>
      <c r="G2940" s="1484">
        <v>0</v>
      </c>
      <c r="H2940" s="1356">
        <v>0</v>
      </c>
      <c r="I2940" s="1566">
        <f>ROUND(IF(AND(F2940:H2940),C2940*E2940*F2940*G2940*H2940,IF(AND(F2940,G2940),C2940*E2940*F2940*G2940,IF(AND(F2940,H2940),C2940*E2940*F2940*H2940,IF(AND(G2940,H2940),C2940*E2940*G2940*H2940,IF(F2940,C2940*E2940*F2940,IF(G2940,C2940*E2940*G2940,IF(H2940,C2940*E2940*H2940,C2940*E2940))))))),2)</f>
        <v>58</v>
      </c>
      <c r="J2940" s="1439" t="s">
        <v>277</v>
      </c>
      <c r="K2940" s="1554"/>
      <c r="L2940" s="1554"/>
      <c r="M2940" s="1556"/>
      <c r="N2940" s="1161" t="s">
        <v>2317</v>
      </c>
    </row>
    <row r="2941" spans="1:17" s="1557" customFormat="1" ht="15.75" hidden="1">
      <c r="A2941" s="1554"/>
      <c r="B2941" s="1358"/>
      <c r="C2941" s="1558"/>
      <c r="D2941" s="1346"/>
      <c r="E2941" s="1355"/>
      <c r="F2941" s="1565"/>
      <c r="G2941" s="1484"/>
      <c r="H2941" s="1356"/>
      <c r="I2941" s="1566"/>
      <c r="J2941" s="1439"/>
      <c r="K2941" s="1554"/>
      <c r="L2941" s="1554"/>
      <c r="M2941" s="1556"/>
      <c r="N2941" s="1161" t="s">
        <v>2317</v>
      </c>
    </row>
    <row r="2942" spans="1:17" s="1557" customFormat="1" ht="15.75" hidden="1">
      <c r="A2942" s="1554"/>
      <c r="B2942" s="1756"/>
      <c r="C2942" s="1560"/>
      <c r="D2942" s="1346"/>
      <c r="E2942" s="1355"/>
      <c r="F2942" s="1561"/>
      <c r="G2942" s="1562"/>
      <c r="H2942" s="1561"/>
      <c r="I2942" s="1483"/>
      <c r="J2942" s="1439" t="s">
        <v>277</v>
      </c>
      <c r="K2942" s="1484">
        <f>'SANITATION DTA'!G424</f>
        <v>73</v>
      </c>
      <c r="L2942" s="1159" t="s">
        <v>2317</v>
      </c>
      <c r="M2942" s="1564">
        <f>ROUND(I2942*K2942,0)</f>
        <v>0</v>
      </c>
      <c r="N2942" s="1161" t="s">
        <v>2317</v>
      </c>
      <c r="O2942" s="1557" t="s">
        <v>0</v>
      </c>
    </row>
    <row r="2943" spans="1:17" s="1557" customFormat="1" ht="20.25" hidden="1" customHeight="1">
      <c r="A2943" s="1554">
        <v>14</v>
      </c>
      <c r="B2943" s="1855" t="s">
        <v>284</v>
      </c>
      <c r="C2943" s="1855"/>
      <c r="D2943" s="1855"/>
      <c r="E2943" s="1855"/>
      <c r="F2943" s="1855"/>
      <c r="G2943" s="1855"/>
      <c r="H2943" s="1855"/>
      <c r="I2943" s="1555"/>
      <c r="J2943" s="1355"/>
      <c r="K2943" s="1554"/>
      <c r="L2943" s="1554"/>
      <c r="M2943" s="1556"/>
      <c r="N2943" s="1161" t="s">
        <v>2317</v>
      </c>
      <c r="O2943" s="1557" t="s">
        <v>0</v>
      </c>
      <c r="Q2943" s="1557" t="s">
        <v>0</v>
      </c>
    </row>
    <row r="2944" spans="1:17" s="1170" customFormat="1" ht="16.5" hidden="1" customHeight="1">
      <c r="A2944" s="1156"/>
      <c r="B2944" s="1365" t="s">
        <v>2350</v>
      </c>
      <c r="C2944" s="1351"/>
      <c r="D2944" s="1418"/>
      <c r="E2944" s="1352"/>
      <c r="F2944" s="1234"/>
      <c r="G2944" s="1234"/>
      <c r="H2944" s="1235"/>
      <c r="I2944" s="1353"/>
      <c r="J2944" s="1357"/>
      <c r="K2944" s="1169"/>
      <c r="L2944" s="1156"/>
      <c r="M2944" s="1169"/>
      <c r="N2944" s="1161" t="s">
        <v>2317</v>
      </c>
    </row>
    <row r="2945" spans="1:17" s="1557" customFormat="1" ht="15.75" hidden="1">
      <c r="A2945" s="1554"/>
      <c r="B2945" s="1358"/>
      <c r="C2945" s="1558">
        <v>1</v>
      </c>
      <c r="D2945" s="1346" t="s">
        <v>273</v>
      </c>
      <c r="E2945" s="1355">
        <v>1</v>
      </c>
      <c r="F2945" s="1356">
        <v>0</v>
      </c>
      <c r="G2945" s="1484">
        <v>0</v>
      </c>
      <c r="H2945" s="1356">
        <v>0</v>
      </c>
      <c r="I2945" s="1559">
        <f>ROUND(IF(AND(F2945:H2945),C2945*E2945*F2945*G2945*H2945,IF(AND(F2945,G2945),C2945*E2945*F2945*G2945,IF(AND(F2945,H2945),C2945*E2945*F2945*H2945,IF(AND(G2945,H2945),C2945*E2945*G2945*H2945,IF(F2945,C2945*E2945*F2945,IF(G2945,C2945*E2945*G2945,IF(H2945,C2945*E2945*H2945,C2945*E2945))))))),2)</f>
        <v>1</v>
      </c>
      <c r="J2945" s="1439" t="s">
        <v>115</v>
      </c>
      <c r="K2945" s="1554"/>
      <c r="L2945" s="1554"/>
      <c r="M2945" s="1556"/>
      <c r="N2945" s="1161" t="s">
        <v>2317</v>
      </c>
    </row>
    <row r="2946" spans="1:17" s="1557" customFormat="1" ht="15.75" hidden="1">
      <c r="A2946" s="1554"/>
      <c r="B2946" s="1358"/>
      <c r="C2946" s="1558"/>
      <c r="D2946" s="1346"/>
      <c r="E2946" s="1355"/>
      <c r="F2946" s="1356"/>
      <c r="G2946" s="1484"/>
      <c r="H2946" s="1356"/>
      <c r="I2946" s="1559"/>
      <c r="J2946" s="1439"/>
      <c r="K2946" s="1554"/>
      <c r="L2946" s="1554"/>
      <c r="M2946" s="1556"/>
      <c r="N2946" s="1161" t="s">
        <v>2317</v>
      </c>
    </row>
    <row r="2947" spans="1:17" s="1557" customFormat="1" ht="15.75" hidden="1">
      <c r="A2947" s="1554"/>
      <c r="B2947" s="1756"/>
      <c r="C2947" s="1560"/>
      <c r="D2947" s="1346"/>
      <c r="E2947" s="1355"/>
      <c r="F2947" s="1561"/>
      <c r="G2947" s="1562"/>
      <c r="H2947" s="1561"/>
      <c r="I2947" s="1563"/>
      <c r="J2947" s="1439" t="s">
        <v>115</v>
      </c>
      <c r="K2947" s="1484">
        <f>'SANITATION DTA'!G430</f>
        <v>315</v>
      </c>
      <c r="L2947" s="1159" t="s">
        <v>2317</v>
      </c>
      <c r="M2947" s="1564">
        <f>ROUND(I2947*K2947,0)</f>
        <v>0</v>
      </c>
      <c r="N2947" s="1161" t="s">
        <v>2317</v>
      </c>
      <c r="O2947" s="1557" t="s">
        <v>0</v>
      </c>
    </row>
    <row r="2948" spans="1:17" s="1557" customFormat="1" ht="20.25" hidden="1" customHeight="1">
      <c r="A2948" s="1554">
        <v>15</v>
      </c>
      <c r="B2948" s="1855" t="s">
        <v>285</v>
      </c>
      <c r="C2948" s="1855"/>
      <c r="D2948" s="1855"/>
      <c r="E2948" s="1855"/>
      <c r="F2948" s="1855"/>
      <c r="G2948" s="1855"/>
      <c r="H2948" s="1855"/>
      <c r="I2948" s="1555"/>
      <c r="J2948" s="1355"/>
      <c r="K2948" s="1554"/>
      <c r="L2948" s="1554"/>
      <c r="M2948" s="1556"/>
      <c r="N2948" s="1161" t="s">
        <v>2317</v>
      </c>
      <c r="O2948" s="1557" t="s">
        <v>0</v>
      </c>
      <c r="Q2948" s="1557" t="s">
        <v>0</v>
      </c>
    </row>
    <row r="2949" spans="1:17" s="1170" customFormat="1" ht="16.5" hidden="1" customHeight="1">
      <c r="A2949" s="1156"/>
      <c r="B2949" s="1169" t="s">
        <v>2142</v>
      </c>
      <c r="C2949" s="1351"/>
      <c r="D2949" s="1418"/>
      <c r="E2949" s="1352"/>
      <c r="F2949" s="1234"/>
      <c r="G2949" s="1234"/>
      <c r="H2949" s="1235"/>
      <c r="I2949" s="1353"/>
      <c r="J2949" s="1357"/>
      <c r="K2949" s="1169"/>
      <c r="L2949" s="1156"/>
      <c r="M2949" s="1169"/>
      <c r="N2949" s="1161" t="s">
        <v>2317</v>
      </c>
    </row>
    <row r="2950" spans="1:17" s="1557" customFormat="1" ht="15.75" hidden="1">
      <c r="A2950" s="1554"/>
      <c r="B2950" s="1358"/>
      <c r="C2950" s="1558">
        <v>1</v>
      </c>
      <c r="D2950" s="1346" t="s">
        <v>273</v>
      </c>
      <c r="E2950" s="1355">
        <v>1</v>
      </c>
      <c r="F2950" s="1356">
        <v>0.5</v>
      </c>
      <c r="G2950" s="1484">
        <v>0</v>
      </c>
      <c r="H2950" s="1356">
        <v>0</v>
      </c>
      <c r="I2950" s="1566">
        <f>ROUND(IF(AND(F2950:H2950),C2950*E2950*F2950*G2950*H2950,IF(AND(F2950,G2950),C2950*E2950*F2950*G2950,IF(AND(F2950,H2950),C2950*E2950*F2950*H2950,IF(AND(G2950,H2950),C2950*E2950*G2950*H2950,IF(F2950,C2950*E2950*F2950,IF(G2950,C2950*E2950*G2950,IF(H2950,C2950*E2950*H2950,C2950*E2950))))))),2)</f>
        <v>0.5</v>
      </c>
      <c r="J2950" s="1439" t="s">
        <v>277</v>
      </c>
      <c r="K2950" s="1554"/>
      <c r="L2950" s="1554"/>
      <c r="M2950" s="1556"/>
      <c r="N2950" s="1161" t="s">
        <v>2317</v>
      </c>
    </row>
    <row r="2951" spans="1:17" s="1557" customFormat="1" ht="15.75" hidden="1">
      <c r="A2951" s="1554"/>
      <c r="B2951" s="1358"/>
      <c r="C2951" s="1558"/>
      <c r="D2951" s="1346"/>
      <c r="E2951" s="1355"/>
      <c r="F2951" s="1356"/>
      <c r="G2951" s="1484"/>
      <c r="H2951" s="1356"/>
      <c r="I2951" s="1566"/>
      <c r="J2951" s="1439"/>
      <c r="K2951" s="1554"/>
      <c r="L2951" s="1554"/>
      <c r="M2951" s="1556"/>
      <c r="N2951" s="1161" t="s">
        <v>2317</v>
      </c>
    </row>
    <row r="2952" spans="1:17" s="1557" customFormat="1" ht="15.75" hidden="1">
      <c r="A2952" s="1554"/>
      <c r="B2952" s="1756"/>
      <c r="C2952" s="1560"/>
      <c r="D2952" s="1346"/>
      <c r="E2952" s="1355"/>
      <c r="F2952" s="1561"/>
      <c r="G2952" s="1562"/>
      <c r="H2952" s="1561"/>
      <c r="I2952" s="1483"/>
      <c r="J2952" s="1439" t="s">
        <v>277</v>
      </c>
      <c r="K2952" s="1484">
        <f>'SANITATION DTA'!G433</f>
        <v>420</v>
      </c>
      <c r="L2952" s="1159" t="s">
        <v>2317</v>
      </c>
      <c r="M2952" s="1564">
        <f>ROUND(I2952*K2952,0)</f>
        <v>0</v>
      </c>
      <c r="N2952" s="1161" t="s">
        <v>2317</v>
      </c>
      <c r="O2952" s="1557" t="s">
        <v>0</v>
      </c>
    </row>
    <row r="2953" spans="1:17" s="1557" customFormat="1" ht="20.25" hidden="1" customHeight="1">
      <c r="A2953" s="1554">
        <v>17</v>
      </c>
      <c r="B2953" s="1855" t="s">
        <v>286</v>
      </c>
      <c r="C2953" s="1855"/>
      <c r="D2953" s="1855"/>
      <c r="E2953" s="1855"/>
      <c r="F2953" s="1855"/>
      <c r="G2953" s="1855"/>
      <c r="H2953" s="1855"/>
      <c r="I2953" s="1555"/>
      <c r="J2953" s="1355"/>
      <c r="K2953" s="1554"/>
      <c r="L2953" s="1554"/>
      <c r="M2953" s="1556"/>
      <c r="N2953" s="1161" t="s">
        <v>2317</v>
      </c>
      <c r="O2953" s="1557" t="s">
        <v>0</v>
      </c>
      <c r="Q2953" s="1557" t="s">
        <v>0</v>
      </c>
    </row>
    <row r="2954" spans="1:17" s="1170" customFormat="1" ht="16.5" hidden="1" customHeight="1">
      <c r="A2954" s="1156"/>
      <c r="B2954" s="1169" t="s">
        <v>2351</v>
      </c>
      <c r="C2954" s="1351"/>
      <c r="D2954" s="1418"/>
      <c r="E2954" s="1352"/>
      <c r="F2954" s="1234"/>
      <c r="G2954" s="1234"/>
      <c r="H2954" s="1235"/>
      <c r="I2954" s="1353"/>
      <c r="J2954" s="1357"/>
      <c r="K2954" s="1169"/>
      <c r="L2954" s="1156"/>
      <c r="M2954" s="1169"/>
      <c r="N2954" s="1161" t="s">
        <v>2317</v>
      </c>
    </row>
    <row r="2955" spans="1:17" s="1557" customFormat="1" ht="15.75" hidden="1">
      <c r="A2955" s="1554"/>
      <c r="B2955" s="1358"/>
      <c r="C2955" s="1558">
        <v>1</v>
      </c>
      <c r="D2955" s="1346" t="s">
        <v>273</v>
      </c>
      <c r="E2955" s="1355">
        <v>1</v>
      </c>
      <c r="F2955" s="1356">
        <v>0</v>
      </c>
      <c r="G2955" s="1484">
        <v>0</v>
      </c>
      <c r="H2955" s="1356">
        <v>0</v>
      </c>
      <c r="I2955" s="1559">
        <f>ROUND(IF(AND(F2955:H2955),C2955*E2955*F2955*G2955*H2955,IF(AND(F2955,G2955),C2955*E2955*F2955*G2955,IF(AND(F2955,H2955),C2955*E2955*F2955*H2955,IF(AND(G2955,H2955),C2955*E2955*G2955*H2955,IF(F2955,C2955*E2955*F2955,IF(G2955,C2955*E2955*G2955,IF(H2955,C2955*E2955*H2955,C2955*E2955))))))),2)</f>
        <v>1</v>
      </c>
      <c r="J2955" s="1439" t="s">
        <v>115</v>
      </c>
      <c r="K2955" s="1554"/>
      <c r="L2955" s="1554"/>
      <c r="M2955" s="1556"/>
      <c r="N2955" s="1161" t="s">
        <v>2317</v>
      </c>
    </row>
    <row r="2956" spans="1:17" s="1557" customFormat="1" ht="15.75" hidden="1">
      <c r="A2956" s="1554"/>
      <c r="B2956" s="1358"/>
      <c r="C2956" s="1558"/>
      <c r="D2956" s="1346"/>
      <c r="E2956" s="1355"/>
      <c r="F2956" s="1356"/>
      <c r="G2956" s="1484"/>
      <c r="H2956" s="1356"/>
      <c r="I2956" s="1559"/>
      <c r="J2956" s="1439"/>
      <c r="K2956" s="1554"/>
      <c r="L2956" s="1554"/>
      <c r="M2956" s="1556"/>
      <c r="N2956" s="1161" t="s">
        <v>2317</v>
      </c>
    </row>
    <row r="2957" spans="1:17" s="1557" customFormat="1" ht="15.75" hidden="1">
      <c r="A2957" s="1554"/>
      <c r="B2957" s="1756"/>
      <c r="C2957" s="1560"/>
      <c r="D2957" s="1346"/>
      <c r="E2957" s="1355"/>
      <c r="F2957" s="1561"/>
      <c r="G2957" s="1562"/>
      <c r="H2957" s="1561"/>
      <c r="I2957" s="1563"/>
      <c r="J2957" s="1439" t="s">
        <v>115</v>
      </c>
      <c r="K2957" s="1484">
        <f>'SANITATION DTA'!G436</f>
        <v>73</v>
      </c>
      <c r="L2957" s="1159" t="s">
        <v>2317</v>
      </c>
      <c r="M2957" s="1564">
        <f>ROUND(I2957*K2957,0)</f>
        <v>0</v>
      </c>
      <c r="N2957" s="1161" t="s">
        <v>2317</v>
      </c>
      <c r="O2957" s="1557" t="s">
        <v>0</v>
      </c>
    </row>
    <row r="2958" spans="1:17" s="1557" customFormat="1" ht="20.25" hidden="1" customHeight="1">
      <c r="A2958" s="1554">
        <v>18</v>
      </c>
      <c r="B2958" s="1855" t="s">
        <v>287</v>
      </c>
      <c r="C2958" s="1855"/>
      <c r="D2958" s="1855"/>
      <c r="E2958" s="1855"/>
      <c r="F2958" s="1855"/>
      <c r="G2958" s="1855"/>
      <c r="H2958" s="1855"/>
      <c r="I2958" s="1555"/>
      <c r="J2958" s="1355"/>
      <c r="K2958" s="1554"/>
      <c r="L2958" s="1554"/>
      <c r="M2958" s="1556"/>
      <c r="N2958" s="1161" t="s">
        <v>2317</v>
      </c>
      <c r="O2958" s="1557" t="s">
        <v>0</v>
      </c>
      <c r="Q2958" s="1557" t="s">
        <v>0</v>
      </c>
    </row>
    <row r="2959" spans="1:17" s="1170" customFormat="1" ht="16.5" hidden="1" customHeight="1">
      <c r="A2959" s="1156"/>
      <c r="B2959" s="1365" t="s">
        <v>2352</v>
      </c>
      <c r="C2959" s="1351"/>
      <c r="D2959" s="1418"/>
      <c r="E2959" s="1352"/>
      <c r="F2959" s="1234"/>
      <c r="G2959" s="1234"/>
      <c r="H2959" s="1235"/>
      <c r="I2959" s="1353"/>
      <c r="J2959" s="1357"/>
      <c r="K2959" s="1169"/>
      <c r="L2959" s="1156"/>
      <c r="M2959" s="1169"/>
      <c r="N2959" s="1161" t="s">
        <v>2317</v>
      </c>
    </row>
    <row r="2960" spans="1:17" s="1557" customFormat="1" ht="15.75" hidden="1">
      <c r="A2960" s="1554"/>
      <c r="B2960" s="1358"/>
      <c r="C2960" s="1558">
        <v>1</v>
      </c>
      <c r="D2960" s="1346" t="s">
        <v>273</v>
      </c>
      <c r="E2960" s="1355">
        <v>1</v>
      </c>
      <c r="F2960" s="1356">
        <v>0</v>
      </c>
      <c r="G2960" s="1484">
        <v>0</v>
      </c>
      <c r="H2960" s="1356">
        <v>0</v>
      </c>
      <c r="I2960" s="1559">
        <f>ROUND(IF(AND(F2960:H2960),C2960*E2960*F2960*G2960*H2960,IF(AND(F2960,G2960),C2960*E2960*F2960*G2960,IF(AND(F2960,H2960),C2960*E2960*F2960*H2960,IF(AND(G2960,H2960),C2960*E2960*G2960*H2960,IF(F2960,C2960*E2960*F2960,IF(G2960,C2960*E2960*G2960,IF(H2960,C2960*E2960*H2960,C2960*E2960))))))),2)</f>
        <v>1</v>
      </c>
      <c r="J2960" s="1439" t="s">
        <v>115</v>
      </c>
      <c r="K2960" s="1554"/>
      <c r="L2960" s="1554"/>
      <c r="M2960" s="1556"/>
      <c r="N2960" s="1161" t="s">
        <v>2317</v>
      </c>
    </row>
    <row r="2961" spans="1:17" s="1557" customFormat="1" ht="15.75" hidden="1">
      <c r="A2961" s="1554"/>
      <c r="B2961" s="1358"/>
      <c r="C2961" s="1558"/>
      <c r="D2961" s="1346"/>
      <c r="E2961" s="1355"/>
      <c r="F2961" s="1356"/>
      <c r="G2961" s="1484"/>
      <c r="H2961" s="1356"/>
      <c r="I2961" s="1559"/>
      <c r="J2961" s="1439"/>
      <c r="K2961" s="1554"/>
      <c r="L2961" s="1554"/>
      <c r="M2961" s="1556"/>
      <c r="N2961" s="1161" t="s">
        <v>2317</v>
      </c>
    </row>
    <row r="2962" spans="1:17" s="1557" customFormat="1" ht="15.75" hidden="1">
      <c r="A2962" s="1554"/>
      <c r="B2962" s="1756"/>
      <c r="C2962" s="1560"/>
      <c r="D2962" s="1346"/>
      <c r="E2962" s="1355"/>
      <c r="F2962" s="1561"/>
      <c r="G2962" s="1562"/>
      <c r="H2962" s="1561"/>
      <c r="I2962" s="1563"/>
      <c r="J2962" s="1439" t="s">
        <v>115</v>
      </c>
      <c r="K2962" s="1484">
        <f>'SANITATION DTA'!G427</f>
        <v>177</v>
      </c>
      <c r="L2962" s="1159" t="s">
        <v>2317</v>
      </c>
      <c r="M2962" s="1564">
        <f>ROUND(I2962*K2962,0)</f>
        <v>0</v>
      </c>
      <c r="N2962" s="1161" t="s">
        <v>2317</v>
      </c>
      <c r="O2962" s="1557" t="s">
        <v>0</v>
      </c>
    </row>
    <row r="2963" spans="1:17" s="1557" customFormat="1" ht="48" hidden="1" customHeight="1">
      <c r="A2963" s="1554">
        <v>16</v>
      </c>
      <c r="B2963" s="1855" t="s">
        <v>288</v>
      </c>
      <c r="C2963" s="1855"/>
      <c r="D2963" s="1855"/>
      <c r="E2963" s="1855"/>
      <c r="F2963" s="1855"/>
      <c r="G2963" s="1855"/>
      <c r="H2963" s="1855"/>
      <c r="I2963" s="1555"/>
      <c r="J2963" s="1355"/>
      <c r="K2963" s="1554"/>
      <c r="L2963" s="1554"/>
      <c r="M2963" s="1556"/>
      <c r="N2963" s="1161" t="s">
        <v>2317</v>
      </c>
      <c r="O2963" s="1557" t="s">
        <v>0</v>
      </c>
      <c r="Q2963" s="1557" t="s">
        <v>0</v>
      </c>
    </row>
    <row r="2964" spans="1:17" s="1170" customFormat="1" ht="16.5" hidden="1" customHeight="1">
      <c r="A2964" s="1156"/>
      <c r="B2964" s="1365" t="s">
        <v>2350</v>
      </c>
      <c r="C2964" s="1351"/>
      <c r="D2964" s="1418"/>
      <c r="E2964" s="1352"/>
      <c r="F2964" s="1234"/>
      <c r="G2964" s="1234"/>
      <c r="H2964" s="1235"/>
      <c r="I2964" s="1353"/>
      <c r="J2964" s="1357"/>
      <c r="K2964" s="1169"/>
      <c r="L2964" s="1156"/>
      <c r="M2964" s="1169"/>
      <c r="N2964" s="1161" t="s">
        <v>2317</v>
      </c>
    </row>
    <row r="2965" spans="1:17" s="1557" customFormat="1" ht="15.75" hidden="1">
      <c r="A2965" s="1554"/>
      <c r="B2965" s="1358"/>
      <c r="C2965" s="1558">
        <v>1</v>
      </c>
      <c r="D2965" s="1346" t="s">
        <v>273</v>
      </c>
      <c r="E2965" s="1355">
        <v>1</v>
      </c>
      <c r="F2965" s="1484">
        <v>96</v>
      </c>
      <c r="G2965" s="1484">
        <v>0</v>
      </c>
      <c r="H2965" s="1356">
        <v>0</v>
      </c>
      <c r="I2965" s="1566">
        <f>ROUND(IF(AND(F2965:H2965),C2965*E2965*F2965*G2965*H2965,IF(AND(F2965,G2965),C2965*E2965*F2965*G2965,IF(AND(F2965,H2965),C2965*E2965*F2965*H2965,IF(AND(G2965,H2965),C2965*E2965*G2965*H2965,IF(F2965,C2965*E2965*F2965,IF(G2965,C2965*E2965*G2965,IF(H2965,C2965*E2965*H2965,C2965*E2965))))))),2)</f>
        <v>96</v>
      </c>
      <c r="J2965" s="1439" t="s">
        <v>277</v>
      </c>
      <c r="K2965" s="1554"/>
      <c r="L2965" s="1554"/>
      <c r="M2965" s="1556"/>
      <c r="N2965" s="1161" t="s">
        <v>2317</v>
      </c>
    </row>
    <row r="2966" spans="1:17" s="1557" customFormat="1" ht="15.75" hidden="1">
      <c r="A2966" s="1554"/>
      <c r="B2966" s="1358"/>
      <c r="C2966" s="1558"/>
      <c r="D2966" s="1346"/>
      <c r="E2966" s="1355"/>
      <c r="F2966" s="1484"/>
      <c r="G2966" s="1484"/>
      <c r="H2966" s="1356"/>
      <c r="I2966" s="1566"/>
      <c r="J2966" s="1439"/>
      <c r="K2966" s="1554"/>
      <c r="L2966" s="1554"/>
      <c r="M2966" s="1556"/>
      <c r="N2966" s="1161" t="s">
        <v>2317</v>
      </c>
    </row>
    <row r="2967" spans="1:17" s="1557" customFormat="1" ht="17.25" hidden="1" customHeight="1">
      <c r="A2967" s="1554"/>
      <c r="B2967" s="1756"/>
      <c r="C2967" s="1560"/>
      <c r="D2967" s="1346"/>
      <c r="E2967" s="1355"/>
      <c r="F2967" s="1561"/>
      <c r="G2967" s="1562"/>
      <c r="H2967" s="1561"/>
      <c r="I2967" s="1483"/>
      <c r="J2967" s="1439" t="s">
        <v>277</v>
      </c>
      <c r="K2967" s="1484">
        <f>'SANITATION DTA'!G439</f>
        <v>92</v>
      </c>
      <c r="L2967" s="1159" t="s">
        <v>2317</v>
      </c>
      <c r="M2967" s="1564">
        <f>ROUND(I2967*K2967,0)</f>
        <v>0</v>
      </c>
      <c r="N2967" s="1161" t="s">
        <v>2317</v>
      </c>
      <c r="O2967" s="1557" t="s">
        <v>0</v>
      </c>
    </row>
    <row r="2968" spans="1:17" s="1557" customFormat="1" ht="81" hidden="1" customHeight="1">
      <c r="A2968" s="1554">
        <v>17</v>
      </c>
      <c r="B2968" s="1856" t="s">
        <v>381</v>
      </c>
      <c r="C2968" s="1855"/>
      <c r="D2968" s="1855"/>
      <c r="E2968" s="1855"/>
      <c r="F2968" s="1855"/>
      <c r="G2968" s="1855"/>
      <c r="H2968" s="1855"/>
      <c r="I2968" s="1555"/>
      <c r="J2968" s="1355"/>
      <c r="K2968" s="1554"/>
      <c r="L2968" s="1554"/>
      <c r="M2968" s="1556"/>
      <c r="N2968" s="1161" t="s">
        <v>2317</v>
      </c>
      <c r="O2968" s="1557" t="s">
        <v>0</v>
      </c>
      <c r="Q2968" s="1557" t="s">
        <v>0</v>
      </c>
    </row>
    <row r="2969" spans="1:17" s="1170" customFormat="1" ht="16.5" hidden="1" customHeight="1">
      <c r="A2969" s="1156"/>
      <c r="B2969" s="1365" t="s">
        <v>2352</v>
      </c>
      <c r="C2969" s="1351"/>
      <c r="D2969" s="1418"/>
      <c r="E2969" s="1352"/>
      <c r="F2969" s="1234"/>
      <c r="G2969" s="1234"/>
      <c r="H2969" s="1235"/>
      <c r="I2969" s="1353"/>
      <c r="J2969" s="1357"/>
      <c r="K2969" s="1169"/>
      <c r="L2969" s="1156"/>
      <c r="M2969" s="1169"/>
      <c r="N2969" s="1161" t="s">
        <v>2317</v>
      </c>
    </row>
    <row r="2970" spans="1:17" s="1557" customFormat="1" ht="15.75" hidden="1">
      <c r="A2970" s="1554"/>
      <c r="B2970" s="1358"/>
      <c r="C2970" s="1558">
        <v>1</v>
      </c>
      <c r="D2970" s="1346" t="s">
        <v>273</v>
      </c>
      <c r="E2970" s="1355">
        <v>1</v>
      </c>
      <c r="F2970" s="1356">
        <v>0</v>
      </c>
      <c r="G2970" s="1484">
        <v>0</v>
      </c>
      <c r="H2970" s="1356">
        <v>0</v>
      </c>
      <c r="I2970" s="1559">
        <f>ROUND(IF(AND(F2970:H2970),C2970*E2970*F2970*G2970*H2970,IF(AND(F2970,G2970),C2970*E2970*F2970*G2970,IF(AND(F2970,H2970),C2970*E2970*F2970*H2970,IF(AND(G2970,H2970),C2970*E2970*G2970*H2970,IF(F2970,C2970*E2970*F2970,IF(G2970,C2970*E2970*G2970,IF(H2970,C2970*E2970*H2970,C2970*E2970))))))),2)</f>
        <v>1</v>
      </c>
      <c r="J2970" s="1439" t="s">
        <v>115</v>
      </c>
      <c r="K2970" s="1554"/>
      <c r="L2970" s="1554"/>
      <c r="M2970" s="1556"/>
      <c r="N2970" s="1161" t="s">
        <v>2317</v>
      </c>
    </row>
    <row r="2971" spans="1:17" s="1557" customFormat="1" ht="15.75" hidden="1">
      <c r="A2971" s="1554"/>
      <c r="B2971" s="1358"/>
      <c r="C2971" s="1558"/>
      <c r="D2971" s="1346"/>
      <c r="E2971" s="1355"/>
      <c r="F2971" s="1356"/>
      <c r="G2971" s="1484"/>
      <c r="H2971" s="1356"/>
      <c r="I2971" s="1559"/>
      <c r="J2971" s="1439"/>
      <c r="K2971" s="1554"/>
      <c r="L2971" s="1554"/>
      <c r="M2971" s="1556"/>
      <c r="N2971" s="1161" t="s">
        <v>2317</v>
      </c>
    </row>
    <row r="2972" spans="1:17" s="1557" customFormat="1" ht="17.25" hidden="1" customHeight="1">
      <c r="A2972" s="1554"/>
      <c r="B2972" s="1756"/>
      <c r="C2972" s="1560"/>
      <c r="D2972" s="1346"/>
      <c r="E2972" s="1355"/>
      <c r="F2972" s="1561"/>
      <c r="G2972" s="1562"/>
      <c r="H2972" s="1561"/>
      <c r="I2972" s="1563"/>
      <c r="J2972" s="1439" t="s">
        <v>115</v>
      </c>
      <c r="K2972" s="1484">
        <f>'SANITATION DTA'!G442</f>
        <v>4950</v>
      </c>
      <c r="L2972" s="1159" t="s">
        <v>2317</v>
      </c>
      <c r="M2972" s="1564">
        <f>ROUND(I2972*K2972,0)</f>
        <v>0</v>
      </c>
      <c r="N2972" s="1161" t="s">
        <v>2317</v>
      </c>
      <c r="O2972" s="1557" t="s">
        <v>0</v>
      </c>
    </row>
    <row r="2973" spans="1:17" s="1320" customFormat="1" ht="15.75" hidden="1">
      <c r="A2973" s="1212"/>
      <c r="B2973" s="1212" t="s">
        <v>2222</v>
      </c>
      <c r="C2973" s="1212"/>
      <c r="D2973" s="1212"/>
      <c r="E2973" s="1212"/>
      <c r="F2973" s="1240"/>
      <c r="G2973" s="1240"/>
      <c r="H2973" s="1212"/>
      <c r="I2973" s="1546"/>
      <c r="J2973" s="1547"/>
      <c r="K2973" s="1212"/>
      <c r="L2973" s="1212"/>
      <c r="M2973" s="1212"/>
      <c r="N2973" s="1161" t="s">
        <v>2318</v>
      </c>
    </row>
    <row r="2974" spans="1:17" ht="63.75" hidden="1" customHeight="1">
      <c r="A2974" s="1156">
        <v>17</v>
      </c>
      <c r="B2974" s="1826" t="s">
        <v>308</v>
      </c>
      <c r="C2974" s="1826"/>
      <c r="D2974" s="1826"/>
      <c r="E2974" s="1826"/>
      <c r="F2974" s="1826"/>
      <c r="G2974" s="1826"/>
      <c r="H2974" s="1826"/>
      <c r="I2974" s="1157"/>
      <c r="J2974" s="1158"/>
      <c r="K2974" s="1156"/>
      <c r="L2974" s="1156"/>
      <c r="M2974" s="1160"/>
      <c r="N2974" s="1161" t="s">
        <v>2318</v>
      </c>
    </row>
    <row r="2975" spans="1:17" s="1170" customFormat="1" ht="16.5" hidden="1" customHeight="1">
      <c r="A2975" s="1156"/>
      <c r="B2975" s="1169" t="s">
        <v>3512</v>
      </c>
      <c r="C2975" s="1351"/>
      <c r="D2975" s="1171" t="s">
        <v>3339</v>
      </c>
      <c r="E2975" s="1352"/>
      <c r="F2975" s="1234"/>
      <c r="G2975" s="1234"/>
      <c r="H2975" s="1235"/>
      <c r="I2975" s="1353"/>
      <c r="J2975" s="1357"/>
      <c r="K2975" s="1169"/>
      <c r="L2975" s="1156"/>
      <c r="M2975" s="1169"/>
      <c r="N2975" s="1161" t="s">
        <v>2318</v>
      </c>
    </row>
    <row r="2976" spans="1:17" s="1170" customFormat="1" ht="16.5" hidden="1" customHeight="1">
      <c r="A2976" s="1156"/>
      <c r="B2976" s="1331"/>
      <c r="C2976" s="1332">
        <v>1</v>
      </c>
      <c r="D2976" s="1333" t="s">
        <v>273</v>
      </c>
      <c r="E2976" s="1334">
        <v>1</v>
      </c>
      <c r="F2976" s="1335">
        <v>10</v>
      </c>
      <c r="G2976" s="1335">
        <v>0</v>
      </c>
      <c r="H2976" s="1335">
        <v>0</v>
      </c>
      <c r="I2976" s="1336">
        <f>ROUND(IF(AND(F2976:H2976),C2976*E2976*F2976*G2976*H2976,IF(AND(F2976,G2976),C2976*E2976*F2976*G2976,IF(AND(F2976,H2976),C2976*E2976*F2976*H2976,IF(AND(G2976,H2976),C2976*E2976*G2976*H2976,IF(F2976,C2976*E2976*F2976,IF(G2976,C2976*E2976*G2976,IF(H2976,C2976*E2976*H2976,C2976*E2976))))))),2)</f>
        <v>10</v>
      </c>
      <c r="J2976" s="1357" t="s">
        <v>277</v>
      </c>
      <c r="K2976" s="1169"/>
      <c r="L2976" s="1156"/>
      <c r="M2976" s="1169"/>
      <c r="N2976" s="1161" t="s">
        <v>2318</v>
      </c>
    </row>
    <row r="2977" spans="1:14" s="1170" customFormat="1" ht="16.5" hidden="1" customHeight="1">
      <c r="A2977" s="1156"/>
      <c r="B2977" s="1331"/>
      <c r="C2977" s="1332"/>
      <c r="D2977" s="1333"/>
      <c r="E2977" s="1334"/>
      <c r="F2977" s="1335"/>
      <c r="G2977" s="1335"/>
      <c r="H2977" s="1335"/>
      <c r="I2977" s="1336"/>
      <c r="J2977" s="1357"/>
      <c r="K2977" s="1169"/>
      <c r="L2977" s="1156"/>
      <c r="M2977" s="1169"/>
      <c r="N2977" s="1161" t="s">
        <v>2318</v>
      </c>
    </row>
    <row r="2978" spans="1:14" ht="15.75" hidden="1">
      <c r="A2978" s="1156"/>
      <c r="B2978" s="1169"/>
      <c r="C2978" s="1337"/>
      <c r="D2978" s="1171"/>
      <c r="E2978" s="1165"/>
      <c r="F2978" s="1166"/>
      <c r="G2978" s="1343"/>
      <c r="H2978" s="1156"/>
      <c r="I2978" s="1336"/>
      <c r="J2978" s="1357" t="s">
        <v>277</v>
      </c>
      <c r="K2978" s="1221">
        <f>'SANITATION DTA'!G525</f>
        <v>214</v>
      </c>
      <c r="L2978" s="1159" t="s">
        <v>2318</v>
      </c>
      <c r="M2978" s="1224">
        <f>ROUND(I2978*K2978,0)</f>
        <v>0</v>
      </c>
      <c r="N2978" s="1161" t="s">
        <v>2318</v>
      </c>
    </row>
    <row r="2979" spans="1:14" ht="63.75" hidden="1" customHeight="1">
      <c r="A2979" s="1156">
        <v>18</v>
      </c>
      <c r="B2979" s="1826" t="s">
        <v>309</v>
      </c>
      <c r="C2979" s="1826"/>
      <c r="D2979" s="1826"/>
      <c r="E2979" s="1826"/>
      <c r="F2979" s="1826"/>
      <c r="G2979" s="1826"/>
      <c r="H2979" s="1826"/>
      <c r="I2979" s="1157"/>
      <c r="J2979" s="1158"/>
      <c r="K2979" s="1156"/>
      <c r="L2979" s="1156"/>
      <c r="M2979" s="1160"/>
      <c r="N2979" s="1161" t="s">
        <v>2318</v>
      </c>
    </row>
    <row r="2980" spans="1:14" s="1170" customFormat="1" ht="16.5" hidden="1" customHeight="1">
      <c r="A2980" s="1156"/>
      <c r="B2980" s="1169" t="s">
        <v>3513</v>
      </c>
      <c r="C2980" s="1351"/>
      <c r="D2980" s="1171" t="s">
        <v>3339</v>
      </c>
      <c r="E2980" s="1352"/>
      <c r="F2980" s="1234"/>
      <c r="G2980" s="1234"/>
      <c r="H2980" s="1235"/>
      <c r="I2980" s="1353"/>
      <c r="J2980" s="1357"/>
      <c r="K2980" s="1169"/>
      <c r="L2980" s="1156"/>
      <c r="M2980" s="1169"/>
      <c r="N2980" s="1161" t="s">
        <v>2318</v>
      </c>
    </row>
    <row r="2981" spans="1:14" s="1170" customFormat="1" ht="16.5" hidden="1" customHeight="1">
      <c r="A2981" s="1156"/>
      <c r="B2981" s="1359"/>
      <c r="C2981" s="1360">
        <v>1</v>
      </c>
      <c r="D2981" s="1361" t="s">
        <v>273</v>
      </c>
      <c r="E2981" s="1362">
        <v>1</v>
      </c>
      <c r="F2981" s="1401">
        <v>10</v>
      </c>
      <c r="G2981" s="1363">
        <v>0</v>
      </c>
      <c r="H2981" s="1363">
        <v>0</v>
      </c>
      <c r="I2981" s="1336">
        <f>ROUND(IF(AND(F2981:H2981),C2981*E2981*F2981*G2981*H2981,IF(AND(F2981,G2981),C2981*E2981*F2981*G2981,IF(AND(F2981,H2981),C2981*E2981*F2981*H2981,IF(AND(G2981,H2981),C2981*E2981*G2981*H2981,IF(F2981,C2981*E2981*F2981,IF(G2981,C2981*E2981*G2981,IF(H2981,C2981*E2981*H2981,C2981*E2981))))))),2)</f>
        <v>10</v>
      </c>
      <c r="J2981" s="1357" t="s">
        <v>277</v>
      </c>
      <c r="K2981" s="1169"/>
      <c r="L2981" s="1156"/>
      <c r="M2981" s="1169"/>
      <c r="N2981" s="1161" t="s">
        <v>2318</v>
      </c>
    </row>
    <row r="2982" spans="1:14" s="1170" customFormat="1" ht="16.5" hidden="1" customHeight="1">
      <c r="A2982" s="1156"/>
      <c r="B2982" s="1331"/>
      <c r="C2982" s="1332"/>
      <c r="D2982" s="1333"/>
      <c r="E2982" s="1334"/>
      <c r="F2982" s="1335"/>
      <c r="G2982" s="1335"/>
      <c r="H2982" s="1335"/>
      <c r="I2982" s="1336"/>
      <c r="J2982" s="1357"/>
      <c r="K2982" s="1169"/>
      <c r="L2982" s="1156"/>
      <c r="M2982" s="1169"/>
      <c r="N2982" s="1161" t="s">
        <v>2318</v>
      </c>
    </row>
    <row r="2983" spans="1:14" ht="15.75" hidden="1">
      <c r="A2983" s="1156"/>
      <c r="B2983" s="1169"/>
      <c r="C2983" s="1337"/>
      <c r="D2983" s="1171"/>
      <c r="E2983" s="1165"/>
      <c r="F2983" s="1166"/>
      <c r="G2983" s="1343"/>
      <c r="H2983" s="1156"/>
      <c r="I2983" s="1336"/>
      <c r="J2983" s="1357" t="s">
        <v>277</v>
      </c>
      <c r="K2983" s="1221">
        <f>'SANITATION DTA'!G522</f>
        <v>136</v>
      </c>
      <c r="L2983" s="1159" t="s">
        <v>2318</v>
      </c>
      <c r="M2983" s="1224">
        <f>ROUND(I2983*K2983,0)</f>
        <v>0</v>
      </c>
      <c r="N2983" s="1161" t="s">
        <v>2318</v>
      </c>
    </row>
    <row r="2984" spans="1:14" ht="63.75" hidden="1" customHeight="1">
      <c r="A2984" s="1156">
        <v>10</v>
      </c>
      <c r="B2984" s="1826" t="s">
        <v>1639</v>
      </c>
      <c r="C2984" s="1826"/>
      <c r="D2984" s="1826"/>
      <c r="E2984" s="1826"/>
      <c r="F2984" s="1826"/>
      <c r="G2984" s="1826"/>
      <c r="H2984" s="1826"/>
      <c r="I2984" s="1157"/>
      <c r="J2984" s="1158"/>
      <c r="K2984" s="1156"/>
      <c r="L2984" s="1156"/>
      <c r="M2984" s="1160"/>
      <c r="N2984" s="1161" t="s">
        <v>2318</v>
      </c>
    </row>
    <row r="2985" spans="1:14" s="1170" customFormat="1" ht="16.5" hidden="1" customHeight="1">
      <c r="A2985" s="1156"/>
      <c r="B2985" s="1365" t="s">
        <v>2334</v>
      </c>
      <c r="C2985" s="1351"/>
      <c r="D2985" s="1418"/>
      <c r="E2985" s="1352"/>
      <c r="F2985" s="1234"/>
      <c r="G2985" s="1234"/>
      <c r="H2985" s="1235"/>
      <c r="I2985" s="1353"/>
      <c r="J2985" s="1357"/>
      <c r="K2985" s="1169"/>
      <c r="L2985" s="1156"/>
      <c r="M2985" s="1169"/>
      <c r="N2985" s="1161" t="s">
        <v>2318</v>
      </c>
    </row>
    <row r="2986" spans="1:14" s="1170" customFormat="1" ht="16.5" hidden="1" customHeight="1">
      <c r="A2986" s="1156"/>
      <c r="B2986" s="1331"/>
      <c r="C2986" s="1332">
        <v>1</v>
      </c>
      <c r="D2986" s="1333" t="s">
        <v>273</v>
      </c>
      <c r="E2986" s="1334">
        <v>1</v>
      </c>
      <c r="F2986" s="1550">
        <v>11</v>
      </c>
      <c r="G2986" s="1335">
        <v>0</v>
      </c>
      <c r="H2986" s="1335">
        <v>0</v>
      </c>
      <c r="I2986" s="1336">
        <f>ROUND(IF(AND(F2986:H2986),C2986*E2986*F2986*G2986*H2986,IF(AND(F2986,G2986),C2986*E2986*F2986*G2986,IF(AND(F2986,H2986),C2986*E2986*F2986*H2986,IF(AND(G2986,H2986),C2986*E2986*G2986*H2986,IF(F2986,C2986*E2986*F2986,IF(G2986,C2986*E2986*G2986,IF(H2986,C2986*E2986*H2986,C2986*E2986))))))),2)</f>
        <v>11</v>
      </c>
      <c r="J2986" s="1357" t="s">
        <v>277</v>
      </c>
      <c r="K2986" s="1169"/>
      <c r="L2986" s="1156"/>
      <c r="M2986" s="1169"/>
      <c r="N2986" s="1161" t="s">
        <v>2318</v>
      </c>
    </row>
    <row r="2987" spans="1:14" s="1170" customFormat="1" ht="16.5" hidden="1" customHeight="1">
      <c r="A2987" s="1156"/>
      <c r="B2987" s="1331"/>
      <c r="C2987" s="1332"/>
      <c r="D2987" s="1333"/>
      <c r="E2987" s="1334"/>
      <c r="F2987" s="1335"/>
      <c r="G2987" s="1335"/>
      <c r="H2987" s="1335"/>
      <c r="I2987" s="1336"/>
      <c r="J2987" s="1357"/>
      <c r="K2987" s="1169"/>
      <c r="L2987" s="1156"/>
      <c r="M2987" s="1169"/>
      <c r="N2987" s="1161" t="s">
        <v>2318</v>
      </c>
    </row>
    <row r="2988" spans="1:14" ht="15.75" hidden="1">
      <c r="A2988" s="1156"/>
      <c r="B2988" s="1169"/>
      <c r="C2988" s="1337"/>
      <c r="D2988" s="1171"/>
      <c r="E2988" s="1165"/>
      <c r="F2988" s="1166"/>
      <c r="G2988" s="1343"/>
      <c r="H2988" s="1156"/>
      <c r="I2988" s="1336"/>
      <c r="J2988" s="1357" t="s">
        <v>277</v>
      </c>
      <c r="K2988" s="1221">
        <f>'SANITATION DTA'!G519</f>
        <v>94</v>
      </c>
      <c r="L2988" s="1159" t="s">
        <v>2318</v>
      </c>
      <c r="M2988" s="1224">
        <f>ROUND(I2988*K2988,0)</f>
        <v>0</v>
      </c>
      <c r="N2988" s="1161" t="s">
        <v>2318</v>
      </c>
    </row>
    <row r="2989" spans="1:14" ht="41.25" hidden="1" customHeight="1">
      <c r="A2989" s="1156">
        <v>2</v>
      </c>
      <c r="B2989" s="1826" t="s">
        <v>1253</v>
      </c>
      <c r="C2989" s="1826"/>
      <c r="D2989" s="1826"/>
      <c r="E2989" s="1826"/>
      <c r="F2989" s="1826"/>
      <c r="G2989" s="1826"/>
      <c r="H2989" s="1826"/>
      <c r="I2989" s="1157"/>
      <c r="J2989" s="1158"/>
      <c r="K2989" s="1156"/>
      <c r="L2989" s="1156"/>
      <c r="M2989" s="1160"/>
      <c r="N2989" s="1161" t="s">
        <v>2318</v>
      </c>
    </row>
    <row r="2990" spans="1:14" s="1170" customFormat="1" ht="16.5" hidden="1" customHeight="1">
      <c r="A2990" s="1156"/>
      <c r="B2990" s="1169" t="s">
        <v>2326</v>
      </c>
      <c r="C2990" s="1351"/>
      <c r="D2990" s="1418"/>
      <c r="E2990" s="1352"/>
      <c r="F2990" s="1234"/>
      <c r="G2990" s="1234"/>
      <c r="H2990" s="1235"/>
      <c r="I2990" s="1353"/>
      <c r="J2990" s="1357"/>
      <c r="K2990" s="1169"/>
      <c r="L2990" s="1156"/>
      <c r="M2990" s="1169"/>
      <c r="N2990" s="1161" t="s">
        <v>2318</v>
      </c>
    </row>
    <row r="2991" spans="1:14" s="1170" customFormat="1" ht="16.5" hidden="1" customHeight="1">
      <c r="A2991" s="1156"/>
      <c r="B2991" s="1331"/>
      <c r="C2991" s="1332">
        <v>1</v>
      </c>
      <c r="D2991" s="1333" t="s">
        <v>273</v>
      </c>
      <c r="E2991" s="1334">
        <v>1</v>
      </c>
      <c r="F2991" s="1335">
        <v>85</v>
      </c>
      <c r="G2991" s="1335">
        <v>0</v>
      </c>
      <c r="H2991" s="1335">
        <v>0</v>
      </c>
      <c r="I2991" s="1336">
        <f>ROUND(IF(AND(F2991:H2991),C2991*E2991*F2991*G2991*H2991,IF(AND(F2991,G2991),C2991*E2991*F2991*G2991,IF(AND(F2991,H2991),C2991*E2991*F2991*H2991,IF(AND(G2991,H2991),C2991*E2991*G2991*H2991,IF(F2991,C2991*E2991*F2991,IF(G2991,C2991*E2991*G2991,IF(H2991,C2991*E2991*H2991,C2991*E2991))))))),2)</f>
        <v>85</v>
      </c>
      <c r="J2991" s="1357" t="s">
        <v>277</v>
      </c>
      <c r="K2991" s="1169"/>
      <c r="L2991" s="1156"/>
      <c r="M2991" s="1169"/>
      <c r="N2991" s="1161" t="s">
        <v>2318</v>
      </c>
    </row>
    <row r="2992" spans="1:14" s="1170" customFormat="1" ht="16.5" hidden="1" customHeight="1">
      <c r="A2992" s="1156"/>
      <c r="B2992" s="1331"/>
      <c r="C2992" s="1332"/>
      <c r="D2992" s="1333"/>
      <c r="E2992" s="1334"/>
      <c r="F2992" s="1335"/>
      <c r="G2992" s="1335"/>
      <c r="H2992" s="1335"/>
      <c r="I2992" s="1336"/>
      <c r="J2992" s="1357"/>
      <c r="K2992" s="1169"/>
      <c r="L2992" s="1156"/>
      <c r="M2992" s="1169"/>
      <c r="N2992" s="1161" t="s">
        <v>2318</v>
      </c>
    </row>
    <row r="2993" spans="1:14" ht="15.75" hidden="1">
      <c r="A2993" s="1156"/>
      <c r="B2993" s="1169"/>
      <c r="C2993" s="1337"/>
      <c r="D2993" s="1171"/>
      <c r="E2993" s="1165"/>
      <c r="F2993" s="1166"/>
      <c r="G2993" s="1343"/>
      <c r="H2993" s="1156"/>
      <c r="I2993" s="1336"/>
      <c r="J2993" s="1357" t="s">
        <v>277</v>
      </c>
      <c r="K2993" s="1221">
        <f>'SANITATION DTA'!G529</f>
        <v>35</v>
      </c>
      <c r="L2993" s="1159" t="s">
        <v>2318</v>
      </c>
      <c r="M2993" s="1224">
        <f>ROUND(I2993*K2993,0)</f>
        <v>0</v>
      </c>
      <c r="N2993" s="1161" t="s">
        <v>2318</v>
      </c>
    </row>
    <row r="2994" spans="1:14" ht="63.75" hidden="1" customHeight="1">
      <c r="A2994" s="1156">
        <v>19</v>
      </c>
      <c r="B2994" s="1826" t="s">
        <v>278</v>
      </c>
      <c r="C2994" s="1826"/>
      <c r="D2994" s="1826"/>
      <c r="E2994" s="1826"/>
      <c r="F2994" s="1826"/>
      <c r="G2994" s="1826"/>
      <c r="H2994" s="1826"/>
      <c r="I2994" s="1157"/>
      <c r="J2994" s="1158"/>
      <c r="K2994" s="1156"/>
      <c r="L2994" s="1156"/>
      <c r="M2994" s="1160"/>
      <c r="N2994" s="1161" t="s">
        <v>2318</v>
      </c>
    </row>
    <row r="2995" spans="1:14" s="1170" customFormat="1" ht="16.5" hidden="1" customHeight="1">
      <c r="A2995" s="1156"/>
      <c r="B2995" s="1169" t="s">
        <v>3514</v>
      </c>
      <c r="C2995" s="1351"/>
      <c r="D2995" s="1171" t="s">
        <v>3339</v>
      </c>
      <c r="E2995" s="1352"/>
      <c r="F2995" s="1234"/>
      <c r="G2995" s="1234"/>
      <c r="H2995" s="1235"/>
      <c r="I2995" s="1353"/>
      <c r="J2995" s="1357"/>
      <c r="K2995" s="1169"/>
      <c r="L2995" s="1156"/>
      <c r="M2995" s="1169"/>
      <c r="N2995" s="1161" t="s">
        <v>2318</v>
      </c>
    </row>
    <row r="2996" spans="1:14" s="1170" customFormat="1" ht="16.5" hidden="1" customHeight="1">
      <c r="A2996" s="1156"/>
      <c r="B2996" s="1359" t="s">
        <v>3088</v>
      </c>
      <c r="C2996" s="1360">
        <v>1</v>
      </c>
      <c r="D2996" s="1361" t="s">
        <v>273</v>
      </c>
      <c r="E2996" s="1362">
        <v>1</v>
      </c>
      <c r="F2996" s="1401">
        <v>10</v>
      </c>
      <c r="G2996" s="1363">
        <v>0</v>
      </c>
      <c r="H2996" s="1363">
        <v>0</v>
      </c>
      <c r="I2996" s="1336">
        <f>ROUND(IF(AND(F2996:H2996),C2996*E2996*F2996*G2996*H2996,IF(AND(F2996,G2996),C2996*E2996*F2996*G2996,IF(AND(F2996,H2996),C2996*E2996*F2996*H2996,IF(AND(G2996,H2996),C2996*E2996*G2996*H2996,IF(F2996,C2996*E2996*F2996,IF(G2996,C2996*E2996*G2996,IF(H2996,C2996*E2996*H2996,C2996*E2996))))))),2)</f>
        <v>10</v>
      </c>
      <c r="J2996" s="1357" t="s">
        <v>277</v>
      </c>
      <c r="K2996" s="1169"/>
      <c r="L2996" s="1156"/>
      <c r="M2996" s="1169"/>
      <c r="N2996" s="1161" t="s">
        <v>2318</v>
      </c>
    </row>
    <row r="2997" spans="1:14" s="1170" customFormat="1" ht="16.5" hidden="1" customHeight="1">
      <c r="A2997" s="1156"/>
      <c r="B2997" s="1359" t="s">
        <v>3089</v>
      </c>
      <c r="C2997" s="1360">
        <v>1</v>
      </c>
      <c r="D2997" s="1361" t="s">
        <v>273</v>
      </c>
      <c r="E2997" s="1362">
        <v>1</v>
      </c>
      <c r="F2997" s="1401">
        <v>10</v>
      </c>
      <c r="G2997" s="1363">
        <v>0</v>
      </c>
      <c r="H2997" s="1363">
        <v>0</v>
      </c>
      <c r="I2997" s="1336">
        <f>ROUND(IF(AND(F2997:H2997),C2997*E2997*F2997*G2997*H2997,IF(AND(F2997,G2997),C2997*E2997*F2997*G2997,IF(AND(F2997,H2997),C2997*E2997*F2997*H2997,IF(AND(G2997,H2997),C2997*E2997*G2997*H2997,IF(F2997,C2997*E2997*F2997,IF(G2997,C2997*E2997*G2997,IF(H2997,C2997*E2997*H2997,C2997*E2997))))))),2)</f>
        <v>10</v>
      </c>
      <c r="J2997" s="1357" t="s">
        <v>277</v>
      </c>
      <c r="K2997" s="1169"/>
      <c r="L2997" s="1156"/>
      <c r="M2997" s="1169"/>
      <c r="N2997" s="1161" t="s">
        <v>2318</v>
      </c>
    </row>
    <row r="2998" spans="1:14" ht="15.75" hidden="1">
      <c r="A2998" s="1156"/>
      <c r="B2998" s="1169"/>
      <c r="C2998" s="1337"/>
      <c r="D2998" s="1171"/>
      <c r="E2998" s="1165"/>
      <c r="F2998" s="1166"/>
      <c r="G2998" s="1343"/>
      <c r="H2998" s="1156"/>
      <c r="I2998" s="1336"/>
      <c r="J2998" s="1357" t="s">
        <v>277</v>
      </c>
      <c r="K2998" s="1221">
        <f>'SANITATION DTA'!G533</f>
        <v>33</v>
      </c>
      <c r="L2998" s="1159" t="s">
        <v>2318</v>
      </c>
      <c r="M2998" s="1224">
        <f>ROUND(I2998*K2998,0)</f>
        <v>0</v>
      </c>
      <c r="N2998" s="1161" t="s">
        <v>2318</v>
      </c>
    </row>
    <row r="2999" spans="1:14" ht="39.75" hidden="1" customHeight="1">
      <c r="A2999" s="1156">
        <v>3</v>
      </c>
      <c r="B2999" s="1826" t="s">
        <v>352</v>
      </c>
      <c r="C2999" s="1826"/>
      <c r="D2999" s="1826"/>
      <c r="E2999" s="1826"/>
      <c r="F2999" s="1826"/>
      <c r="G2999" s="1826"/>
      <c r="H2999" s="1826"/>
      <c r="I2999" s="1157"/>
      <c r="J2999" s="1158"/>
      <c r="K2999" s="1156"/>
      <c r="L2999" s="1156"/>
      <c r="M2999" s="1160"/>
      <c r="N2999" s="1161" t="s">
        <v>2318</v>
      </c>
    </row>
    <row r="3000" spans="1:14" s="1170" customFormat="1" ht="16.5" hidden="1" customHeight="1">
      <c r="A3000" s="1156"/>
      <c r="B3000" s="1169" t="s">
        <v>2348</v>
      </c>
      <c r="C3000" s="1351"/>
      <c r="D3000" s="1418"/>
      <c r="E3000" s="1352"/>
      <c r="F3000" s="1234"/>
      <c r="G3000" s="1234"/>
      <c r="H3000" s="1235"/>
      <c r="I3000" s="1353"/>
      <c r="J3000" s="1357"/>
      <c r="K3000" s="1169"/>
      <c r="L3000" s="1156"/>
      <c r="M3000" s="1169"/>
      <c r="N3000" s="1161" t="s">
        <v>2318</v>
      </c>
    </row>
    <row r="3001" spans="1:14" s="1170" customFormat="1" ht="16.5" hidden="1" customHeight="1">
      <c r="A3001" s="1156"/>
      <c r="B3001" s="1331"/>
      <c r="C3001" s="1332">
        <v>1</v>
      </c>
      <c r="D3001" s="1333" t="s">
        <v>273</v>
      </c>
      <c r="E3001" s="1334">
        <v>9</v>
      </c>
      <c r="F3001" s="1335">
        <f>I2995</f>
        <v>0</v>
      </c>
      <c r="G3001" s="1335">
        <v>0</v>
      </c>
      <c r="H3001" s="1335">
        <v>0</v>
      </c>
      <c r="I3001" s="1421">
        <f>ROUND(IF(AND(F3001:H3001),C3001*E3001*F3001*G3001*H3001,IF(AND(F3001,G3001),C3001*E3001*F3001*G3001,IF(AND(F3001,H3001),C3001*E3001*F3001*H3001,IF(AND(G3001,H3001),C3001*E3001*G3001*H3001,IF(F3001,C3001*E3001*F3001,IF(G3001,C3001*E3001*G3001,IF(H3001,C3001*E3001*H3001,C3001*E3001))))))),2)</f>
        <v>9</v>
      </c>
      <c r="J3001" s="1357" t="s">
        <v>115</v>
      </c>
      <c r="K3001" s="1169"/>
      <c r="L3001" s="1156"/>
      <c r="M3001" s="1169"/>
      <c r="N3001" s="1161" t="s">
        <v>2318</v>
      </c>
    </row>
    <row r="3002" spans="1:14" s="1170" customFormat="1" ht="16.5" hidden="1" customHeight="1">
      <c r="A3002" s="1156"/>
      <c r="B3002" s="1331"/>
      <c r="C3002" s="1332"/>
      <c r="D3002" s="1333"/>
      <c r="E3002" s="1334"/>
      <c r="F3002" s="1335"/>
      <c r="G3002" s="1335"/>
      <c r="H3002" s="1335"/>
      <c r="I3002" s="1421"/>
      <c r="J3002" s="1357"/>
      <c r="K3002" s="1169"/>
      <c r="L3002" s="1156"/>
      <c r="M3002" s="1169"/>
      <c r="N3002" s="1161" t="s">
        <v>2318</v>
      </c>
    </row>
    <row r="3003" spans="1:14" ht="15.75" hidden="1">
      <c r="A3003" s="1156"/>
      <c r="B3003" s="1169"/>
      <c r="C3003" s="1337"/>
      <c r="D3003" s="1171"/>
      <c r="E3003" s="1165"/>
      <c r="F3003" s="1166"/>
      <c r="G3003" s="1343"/>
      <c r="H3003" s="1156"/>
      <c r="I3003" s="1421"/>
      <c r="J3003" s="1357" t="s">
        <v>115</v>
      </c>
      <c r="K3003" s="1221">
        <f>'SANITATION DTA'!G502</f>
        <v>387</v>
      </c>
      <c r="L3003" s="1159" t="s">
        <v>2318</v>
      </c>
      <c r="M3003" s="1224">
        <f>ROUND(I3003*K3003,0)</f>
        <v>0</v>
      </c>
      <c r="N3003" s="1161" t="s">
        <v>2318</v>
      </c>
    </row>
    <row r="3004" spans="1:14" ht="28.5" hidden="1" customHeight="1">
      <c r="A3004" s="1156">
        <v>4</v>
      </c>
      <c r="B3004" s="1826" t="s">
        <v>685</v>
      </c>
      <c r="C3004" s="1826"/>
      <c r="D3004" s="1826"/>
      <c r="E3004" s="1826"/>
      <c r="F3004" s="1826"/>
      <c r="G3004" s="1826"/>
      <c r="H3004" s="1826"/>
      <c r="I3004" s="1157"/>
      <c r="J3004" s="1158"/>
      <c r="K3004" s="1156"/>
      <c r="L3004" s="1156"/>
      <c r="M3004" s="1160"/>
      <c r="N3004" s="1161" t="s">
        <v>2318</v>
      </c>
    </row>
    <row r="3005" spans="1:14" s="1170" customFormat="1" ht="16.5" hidden="1" customHeight="1">
      <c r="A3005" s="1156"/>
      <c r="B3005" s="1230" t="s">
        <v>607</v>
      </c>
      <c r="C3005" s="1351"/>
      <c r="D3005" s="1418"/>
      <c r="E3005" s="1352"/>
      <c r="F3005" s="1234"/>
      <c r="G3005" s="1234"/>
      <c r="H3005" s="1235"/>
      <c r="I3005" s="1353"/>
      <c r="J3005" s="1357"/>
      <c r="K3005" s="1169"/>
      <c r="L3005" s="1156"/>
      <c r="M3005" s="1169"/>
      <c r="N3005" s="1161" t="s">
        <v>2318</v>
      </c>
    </row>
    <row r="3006" spans="1:14" s="1170" customFormat="1" ht="16.5" hidden="1" customHeight="1">
      <c r="A3006" s="1156"/>
      <c r="B3006" s="1331"/>
      <c r="C3006" s="1332">
        <v>1</v>
      </c>
      <c r="D3006" s="1333" t="s">
        <v>273</v>
      </c>
      <c r="E3006" s="1334">
        <v>2</v>
      </c>
      <c r="F3006" s="1335">
        <f>I2999</f>
        <v>0</v>
      </c>
      <c r="G3006" s="1335">
        <v>0</v>
      </c>
      <c r="H3006" s="1335">
        <v>0</v>
      </c>
      <c r="I3006" s="1421">
        <f>ROUND(IF(AND(F3006:H3006),C3006*E3006*F3006*G3006*H3006,IF(AND(F3006,G3006),C3006*E3006*F3006*G3006,IF(AND(F3006,H3006),C3006*E3006*F3006*H3006,IF(AND(G3006,H3006),C3006*E3006*G3006*H3006,IF(F3006,C3006*E3006*F3006,IF(G3006,C3006*E3006*G3006,IF(H3006,C3006*E3006*H3006,C3006*E3006))))))),2)</f>
        <v>2</v>
      </c>
      <c r="J3006" s="1357" t="s">
        <v>115</v>
      </c>
      <c r="K3006" s="1169"/>
      <c r="L3006" s="1156"/>
      <c r="M3006" s="1169"/>
      <c r="N3006" s="1161" t="s">
        <v>2318</v>
      </c>
    </row>
    <row r="3007" spans="1:14" s="1170" customFormat="1" ht="16.5" hidden="1" customHeight="1">
      <c r="A3007" s="1156"/>
      <c r="B3007" s="1331"/>
      <c r="C3007" s="1332"/>
      <c r="D3007" s="1333"/>
      <c r="E3007" s="1334"/>
      <c r="F3007" s="1335"/>
      <c r="G3007" s="1335"/>
      <c r="H3007" s="1335"/>
      <c r="I3007" s="1421"/>
      <c r="J3007" s="1357"/>
      <c r="K3007" s="1169"/>
      <c r="L3007" s="1156"/>
      <c r="M3007" s="1169"/>
      <c r="N3007" s="1161" t="s">
        <v>2318</v>
      </c>
    </row>
    <row r="3008" spans="1:14" ht="15.75" hidden="1">
      <c r="A3008" s="1156"/>
      <c r="B3008" s="1169"/>
      <c r="C3008" s="1337"/>
      <c r="D3008" s="1171"/>
      <c r="E3008" s="1165"/>
      <c r="F3008" s="1166"/>
      <c r="G3008" s="1343"/>
      <c r="H3008" s="1156"/>
      <c r="I3008" s="1421"/>
      <c r="J3008" s="1357" t="s">
        <v>115</v>
      </c>
      <c r="K3008" s="1221">
        <f>'SANITATION DTA'!G498</f>
        <v>1644</v>
      </c>
      <c r="L3008" s="1159" t="s">
        <v>2318</v>
      </c>
      <c r="M3008" s="1224">
        <f>ROUND(I3008*K3008,0)</f>
        <v>0</v>
      </c>
      <c r="N3008" s="1161" t="s">
        <v>2318</v>
      </c>
    </row>
    <row r="3009" spans="1:14" ht="29.25" hidden="1" customHeight="1">
      <c r="A3009" s="1156">
        <v>20</v>
      </c>
      <c r="B3009" s="1826" t="s">
        <v>341</v>
      </c>
      <c r="C3009" s="1826"/>
      <c r="D3009" s="1826"/>
      <c r="E3009" s="1826"/>
      <c r="F3009" s="1826"/>
      <c r="G3009" s="1826"/>
      <c r="H3009" s="1826"/>
      <c r="I3009" s="1157"/>
      <c r="J3009" s="1158"/>
      <c r="K3009" s="1156"/>
      <c r="L3009" s="1156"/>
      <c r="M3009" s="1160"/>
      <c r="N3009" s="1161" t="s">
        <v>2318</v>
      </c>
    </row>
    <row r="3010" spans="1:14" s="1170" customFormat="1" ht="16.5" hidden="1" customHeight="1">
      <c r="A3010" s="1156"/>
      <c r="B3010" s="1169" t="s">
        <v>3514</v>
      </c>
      <c r="C3010" s="1351"/>
      <c r="D3010" s="1171" t="s">
        <v>3339</v>
      </c>
      <c r="E3010" s="1352"/>
      <c r="F3010" s="1234"/>
      <c r="G3010" s="1234"/>
      <c r="H3010" s="1235"/>
      <c r="I3010" s="1353"/>
      <c r="J3010" s="1357"/>
      <c r="K3010" s="1169"/>
      <c r="L3010" s="1156"/>
      <c r="M3010" s="1169"/>
      <c r="N3010" s="1161" t="s">
        <v>2318</v>
      </c>
    </row>
    <row r="3011" spans="1:14" s="1170" customFormat="1" ht="16.5" hidden="1" customHeight="1">
      <c r="A3011" s="1156"/>
      <c r="B3011" s="1359"/>
      <c r="C3011" s="1360">
        <v>1</v>
      </c>
      <c r="D3011" s="1361" t="s">
        <v>273</v>
      </c>
      <c r="E3011" s="1362">
        <v>1</v>
      </c>
      <c r="F3011" s="1363">
        <v>20</v>
      </c>
      <c r="G3011" s="1363">
        <v>0</v>
      </c>
      <c r="H3011" s="1363">
        <v>0</v>
      </c>
      <c r="I3011" s="1336">
        <f>ROUND(IF(AND(F3011:H3011),C3011*E3011*F3011*G3011*H3011,IF(AND(F3011,G3011),C3011*E3011*F3011*G3011,IF(AND(F3011,H3011),C3011*E3011*F3011*H3011,IF(AND(G3011,H3011),C3011*E3011*G3011*H3011,IF(F3011,C3011*E3011*F3011,IF(G3011,C3011*E3011*G3011,IF(H3011,C3011*E3011*H3011,C3011*E3011))))))),2)</f>
        <v>20</v>
      </c>
      <c r="J3011" s="1357" t="s">
        <v>277</v>
      </c>
      <c r="K3011" s="1169"/>
      <c r="L3011" s="1156"/>
      <c r="M3011" s="1169"/>
      <c r="N3011" s="1161" t="s">
        <v>2318</v>
      </c>
    </row>
    <row r="3012" spans="1:14" s="1170" customFormat="1" ht="16.5" hidden="1" customHeight="1">
      <c r="A3012" s="1156"/>
      <c r="B3012" s="1331"/>
      <c r="C3012" s="1332"/>
      <c r="D3012" s="1333"/>
      <c r="E3012" s="1334"/>
      <c r="F3012" s="1335"/>
      <c r="G3012" s="1335"/>
      <c r="H3012" s="1335"/>
      <c r="I3012" s="1336"/>
      <c r="J3012" s="1357"/>
      <c r="K3012" s="1169"/>
      <c r="L3012" s="1156"/>
      <c r="M3012" s="1169"/>
      <c r="N3012" s="1161" t="s">
        <v>2318</v>
      </c>
    </row>
    <row r="3013" spans="1:14" ht="15.75" hidden="1">
      <c r="A3013" s="1156"/>
      <c r="B3013" s="1169"/>
      <c r="C3013" s="1337"/>
      <c r="D3013" s="1171"/>
      <c r="E3013" s="1165"/>
      <c r="F3013" s="1166"/>
      <c r="G3013" s="1343"/>
      <c r="H3013" s="1156"/>
      <c r="I3013" s="1336"/>
      <c r="J3013" s="1357" t="s">
        <v>277</v>
      </c>
      <c r="K3013" s="1221">
        <f>'SANITATION DTA'!G478</f>
        <v>149</v>
      </c>
      <c r="L3013" s="1159" t="s">
        <v>2318</v>
      </c>
      <c r="M3013" s="1224">
        <f>ROUND(I3013*K3013,0)</f>
        <v>0</v>
      </c>
      <c r="N3013" s="1161" t="s">
        <v>2318</v>
      </c>
    </row>
    <row r="3014" spans="1:14" ht="29.25" hidden="1" customHeight="1">
      <c r="A3014" s="1156">
        <v>61</v>
      </c>
      <c r="B3014" s="1826" t="s">
        <v>346</v>
      </c>
      <c r="C3014" s="1826"/>
      <c r="D3014" s="1826"/>
      <c r="E3014" s="1826"/>
      <c r="F3014" s="1826"/>
      <c r="G3014" s="1826"/>
      <c r="H3014" s="1826"/>
      <c r="I3014" s="1157"/>
      <c r="J3014" s="1158"/>
      <c r="K3014" s="1156"/>
      <c r="L3014" s="1156"/>
      <c r="M3014" s="1160"/>
      <c r="N3014" s="1161" t="s">
        <v>2318</v>
      </c>
    </row>
    <row r="3015" spans="1:14" s="1170" customFormat="1" ht="16.5" hidden="1" customHeight="1">
      <c r="A3015" s="1156"/>
      <c r="B3015" s="1169" t="s">
        <v>3631</v>
      </c>
      <c r="C3015" s="1351"/>
      <c r="D3015" s="1418"/>
      <c r="E3015" s="1352"/>
      <c r="F3015" s="1234"/>
      <c r="G3015" s="1234"/>
      <c r="H3015" s="1235"/>
      <c r="I3015" s="1353"/>
      <c r="J3015" s="1357"/>
      <c r="K3015" s="1169"/>
      <c r="L3015" s="1156"/>
      <c r="M3015" s="1169"/>
      <c r="N3015" s="1161" t="s">
        <v>2318</v>
      </c>
    </row>
    <row r="3016" spans="1:14" s="1170" customFormat="1" ht="16.5" hidden="1" customHeight="1">
      <c r="A3016" s="1156"/>
      <c r="B3016" s="1359"/>
      <c r="C3016" s="1360">
        <v>1</v>
      </c>
      <c r="D3016" s="1361" t="s">
        <v>273</v>
      </c>
      <c r="E3016" s="1362">
        <v>1</v>
      </c>
      <c r="F3016" s="1401">
        <v>6</v>
      </c>
      <c r="G3016" s="1363">
        <v>0</v>
      </c>
      <c r="H3016" s="1363">
        <v>0</v>
      </c>
      <c r="I3016" s="1421">
        <f>ROUND(IF(AND(F3016:H3016),C3016*E3016*F3016*G3016*H3016,IF(AND(F3016,G3016),C3016*E3016*F3016*G3016,IF(AND(F3016,H3016),C3016*E3016*F3016*H3016,IF(AND(G3016,H3016),C3016*E3016*G3016*H3016,IF(F3016,C3016*E3016*F3016,IF(G3016,C3016*E3016*G3016,IF(H3016,C3016*E3016*H3016,C3016*E3016))))))),2)</f>
        <v>6</v>
      </c>
      <c r="J3016" s="1357" t="s">
        <v>277</v>
      </c>
      <c r="K3016" s="1169"/>
      <c r="L3016" s="1156"/>
      <c r="M3016" s="1169"/>
      <c r="N3016" s="1161" t="s">
        <v>2318</v>
      </c>
    </row>
    <row r="3017" spans="1:14" s="1170" customFormat="1" ht="16.5" hidden="1" customHeight="1">
      <c r="A3017" s="1156"/>
      <c r="B3017" s="1359"/>
      <c r="C3017" s="1360"/>
      <c r="D3017" s="1361"/>
      <c r="E3017" s="1362"/>
      <c r="F3017" s="1363"/>
      <c r="G3017" s="1363"/>
      <c r="H3017" s="1363"/>
      <c r="I3017" s="1421"/>
      <c r="J3017" s="1357"/>
      <c r="K3017" s="1169"/>
      <c r="L3017" s="1156"/>
      <c r="M3017" s="1169"/>
      <c r="N3017" s="1161" t="s">
        <v>2318</v>
      </c>
    </row>
    <row r="3018" spans="1:14" ht="15.75" hidden="1">
      <c r="A3018" s="1156"/>
      <c r="B3018" s="1169"/>
      <c r="C3018" s="1337"/>
      <c r="D3018" s="1171"/>
      <c r="E3018" s="1165"/>
      <c r="F3018" s="1166"/>
      <c r="G3018" s="1343"/>
      <c r="H3018" s="1156"/>
      <c r="I3018" s="1421"/>
      <c r="J3018" s="1357" t="s">
        <v>277</v>
      </c>
      <c r="K3018" s="1221">
        <f>'SANITATION DTA'!G484</f>
        <v>141.66666666666666</v>
      </c>
      <c r="L3018" s="1159" t="s">
        <v>2318</v>
      </c>
      <c r="M3018" s="1224">
        <f>ROUND(I3018*K3018,0)</f>
        <v>0</v>
      </c>
      <c r="N3018" s="1161" t="s">
        <v>2318</v>
      </c>
    </row>
    <row r="3019" spans="1:14" ht="29.25" hidden="1" customHeight="1">
      <c r="A3019" s="1156">
        <v>62</v>
      </c>
      <c r="B3019" s="1826" t="s">
        <v>348</v>
      </c>
      <c r="C3019" s="1826"/>
      <c r="D3019" s="1826"/>
      <c r="E3019" s="1826"/>
      <c r="F3019" s="1826"/>
      <c r="G3019" s="1826"/>
      <c r="H3019" s="1826"/>
      <c r="I3019" s="1421"/>
      <c r="J3019" s="1158"/>
      <c r="K3019" s="1156"/>
      <c r="L3019" s="1156"/>
      <c r="M3019" s="1160"/>
      <c r="N3019" s="1161" t="s">
        <v>2318</v>
      </c>
    </row>
    <row r="3020" spans="1:14" s="1170" customFormat="1" ht="16.5" hidden="1" customHeight="1">
      <c r="A3020" s="1156"/>
      <c r="B3020" s="1169" t="s">
        <v>3631</v>
      </c>
      <c r="C3020" s="1351"/>
      <c r="D3020" s="1171"/>
      <c r="E3020" s="1352"/>
      <c r="F3020" s="1234"/>
      <c r="G3020" s="1234"/>
      <c r="H3020" s="1235"/>
      <c r="I3020" s="1425"/>
      <c r="J3020" s="1357"/>
      <c r="K3020" s="1169"/>
      <c r="L3020" s="1156"/>
      <c r="M3020" s="1169"/>
      <c r="N3020" s="1161" t="s">
        <v>2318</v>
      </c>
    </row>
    <row r="3021" spans="1:14" s="1170" customFormat="1" ht="16.5" hidden="1" customHeight="1">
      <c r="A3021" s="1156"/>
      <c r="B3021" s="1359"/>
      <c r="C3021" s="1360">
        <v>1</v>
      </c>
      <c r="D3021" s="1361" t="s">
        <v>273</v>
      </c>
      <c r="E3021" s="1362">
        <v>1</v>
      </c>
      <c r="F3021" s="1401">
        <v>3</v>
      </c>
      <c r="G3021" s="1363">
        <v>0</v>
      </c>
      <c r="H3021" s="1363">
        <v>0</v>
      </c>
      <c r="I3021" s="1421">
        <f>ROUND(IF(AND(F3021:H3021),C3021*E3021*F3021*G3021*H3021,IF(AND(F3021,G3021),C3021*E3021*F3021*G3021,IF(AND(F3021,H3021),C3021*E3021*F3021*H3021,IF(AND(G3021,H3021),C3021*E3021*G3021*H3021,IF(F3021,C3021*E3021*F3021,IF(G3021,C3021*E3021*G3021,IF(H3021,C3021*E3021*H3021,C3021*E3021))))))),2)</f>
        <v>3</v>
      </c>
      <c r="J3021" s="1357" t="s">
        <v>277</v>
      </c>
      <c r="K3021" s="1169"/>
      <c r="L3021" s="1156"/>
      <c r="M3021" s="1169"/>
      <c r="N3021" s="1161" t="s">
        <v>2318</v>
      </c>
    </row>
    <row r="3022" spans="1:14" s="1170" customFormat="1" ht="16.5" hidden="1" customHeight="1">
      <c r="A3022" s="1156"/>
      <c r="B3022" s="1331"/>
      <c r="C3022" s="1332"/>
      <c r="D3022" s="1333"/>
      <c r="E3022" s="1334"/>
      <c r="F3022" s="1335"/>
      <c r="G3022" s="1335"/>
      <c r="H3022" s="1335"/>
      <c r="I3022" s="1421"/>
      <c r="J3022" s="1357"/>
      <c r="K3022" s="1169"/>
      <c r="L3022" s="1156"/>
      <c r="M3022" s="1169"/>
      <c r="N3022" s="1161" t="s">
        <v>2318</v>
      </c>
    </row>
    <row r="3023" spans="1:14" ht="15.75" hidden="1">
      <c r="A3023" s="1156"/>
      <c r="B3023" s="1169"/>
      <c r="C3023" s="1337"/>
      <c r="D3023" s="1171"/>
      <c r="E3023" s="1165"/>
      <c r="F3023" s="1166"/>
      <c r="G3023" s="1343"/>
      <c r="H3023" s="1156"/>
      <c r="I3023" s="1421"/>
      <c r="J3023" s="1357" t="s">
        <v>277</v>
      </c>
      <c r="K3023" s="1221">
        <f>'SANITATION DTA'!G490</f>
        <v>89</v>
      </c>
      <c r="L3023" s="1159" t="s">
        <v>2318</v>
      </c>
      <c r="M3023" s="1224">
        <f>ROUND(I3023*K3023,0)</f>
        <v>0</v>
      </c>
      <c r="N3023" s="1161" t="s">
        <v>2318</v>
      </c>
    </row>
    <row r="3024" spans="1:14" ht="53.25" hidden="1" customHeight="1">
      <c r="A3024" s="1156">
        <v>63</v>
      </c>
      <c r="B3024" s="1826" t="s">
        <v>350</v>
      </c>
      <c r="C3024" s="1826"/>
      <c r="D3024" s="1826"/>
      <c r="E3024" s="1826"/>
      <c r="F3024" s="1826"/>
      <c r="G3024" s="1826"/>
      <c r="H3024" s="1826"/>
      <c r="I3024" s="1157"/>
      <c r="J3024" s="1158"/>
      <c r="K3024" s="1156"/>
      <c r="L3024" s="1156"/>
      <c r="M3024" s="1160"/>
      <c r="N3024" s="1161" t="s">
        <v>2318</v>
      </c>
    </row>
    <row r="3025" spans="1:14" s="1170" customFormat="1" ht="16.5" hidden="1" customHeight="1">
      <c r="A3025" s="1156"/>
      <c r="B3025" s="1169" t="s">
        <v>3631</v>
      </c>
      <c r="C3025" s="1351"/>
      <c r="D3025" s="1171"/>
      <c r="E3025" s="1352"/>
      <c r="F3025" s="1234"/>
      <c r="G3025" s="1234"/>
      <c r="H3025" s="1235"/>
      <c r="I3025" s="1353"/>
      <c r="J3025" s="1357"/>
      <c r="K3025" s="1169"/>
      <c r="L3025" s="1156"/>
      <c r="M3025" s="1169"/>
      <c r="N3025" s="1161" t="s">
        <v>2318</v>
      </c>
    </row>
    <row r="3026" spans="1:14" s="1170" customFormat="1" ht="16.5" hidden="1" customHeight="1">
      <c r="A3026" s="1156"/>
      <c r="B3026" s="1359" t="s">
        <v>425</v>
      </c>
      <c r="C3026" s="1360">
        <v>1</v>
      </c>
      <c r="D3026" s="1361" t="s">
        <v>273</v>
      </c>
      <c r="E3026" s="1362">
        <v>1</v>
      </c>
      <c r="F3026" s="1363">
        <v>6</v>
      </c>
      <c r="G3026" s="1363">
        <v>0</v>
      </c>
      <c r="H3026" s="1363">
        <v>0</v>
      </c>
      <c r="I3026" s="1336">
        <f>ROUND(IF(AND(F3026:H3026),C3026*E3026*F3026*G3026*H3026,IF(AND(F3026,G3026),C3026*E3026*F3026*G3026,IF(AND(F3026,H3026),C3026*E3026*F3026*H3026,IF(AND(G3026,H3026),C3026*E3026*G3026*H3026,IF(F3026,C3026*E3026*F3026,IF(G3026,C3026*E3026*G3026,IF(H3026,C3026*E3026*H3026,C3026*E3026))))))),2)</f>
        <v>6</v>
      </c>
      <c r="J3026" s="1357" t="s">
        <v>277</v>
      </c>
      <c r="K3026" s="1169"/>
      <c r="L3026" s="1156"/>
      <c r="M3026" s="1169"/>
      <c r="N3026" s="1161" t="s">
        <v>2318</v>
      </c>
    </row>
    <row r="3027" spans="1:14" s="1170" customFormat="1" ht="16.5" hidden="1" customHeight="1">
      <c r="A3027" s="1156"/>
      <c r="B3027" s="1359" t="s">
        <v>887</v>
      </c>
      <c r="C3027" s="1360">
        <v>1</v>
      </c>
      <c r="D3027" s="1361" t="s">
        <v>273</v>
      </c>
      <c r="E3027" s="1362">
        <v>1</v>
      </c>
      <c r="F3027" s="1363">
        <v>3</v>
      </c>
      <c r="G3027" s="1363">
        <v>0</v>
      </c>
      <c r="H3027" s="1363">
        <v>0</v>
      </c>
      <c r="I3027" s="1336">
        <f>ROUND(IF(AND(F3027:H3027),C3027*E3027*F3027*G3027*H3027,IF(AND(F3027,G3027),C3027*E3027*F3027*G3027,IF(AND(F3027,H3027),C3027*E3027*F3027*H3027,IF(AND(G3027,H3027),C3027*E3027*G3027*H3027,IF(F3027,C3027*E3027*F3027,IF(G3027,C3027*E3027*G3027,IF(H3027,C3027*E3027*H3027,C3027*E3027))))))),2)</f>
        <v>3</v>
      </c>
      <c r="J3027" s="1357" t="s">
        <v>277</v>
      </c>
      <c r="K3027" s="1169"/>
      <c r="L3027" s="1156"/>
      <c r="M3027" s="1169"/>
      <c r="N3027" s="1161" t="s">
        <v>2318</v>
      </c>
    </row>
    <row r="3028" spans="1:14" s="1170" customFormat="1" ht="16.5" hidden="1" customHeight="1">
      <c r="A3028" s="1156"/>
      <c r="B3028" s="1331"/>
      <c r="C3028" s="1332"/>
      <c r="D3028" s="1333"/>
      <c r="E3028" s="1334"/>
      <c r="F3028" s="1335"/>
      <c r="G3028" s="1335"/>
      <c r="H3028" s="1335"/>
      <c r="I3028" s="1336"/>
      <c r="J3028" s="1357"/>
      <c r="K3028" s="1169"/>
      <c r="L3028" s="1156"/>
      <c r="M3028" s="1169"/>
      <c r="N3028" s="1161" t="s">
        <v>2318</v>
      </c>
    </row>
    <row r="3029" spans="1:14" ht="15.75" hidden="1">
      <c r="A3029" s="1156"/>
      <c r="B3029" s="1169"/>
      <c r="C3029" s="1337"/>
      <c r="D3029" s="1171"/>
      <c r="E3029" s="1165"/>
      <c r="F3029" s="1166"/>
      <c r="G3029" s="1343"/>
      <c r="H3029" s="1156"/>
      <c r="I3029" s="1336"/>
      <c r="J3029" s="1357" t="s">
        <v>277</v>
      </c>
      <c r="K3029" s="1221">
        <f>'SANITATION DTA'!G494</f>
        <v>79</v>
      </c>
      <c r="L3029" s="1159" t="s">
        <v>2318</v>
      </c>
      <c r="M3029" s="1224">
        <f>ROUND(I3029*K3029,0)</f>
        <v>0</v>
      </c>
      <c r="N3029" s="1161" t="s">
        <v>2318</v>
      </c>
    </row>
    <row r="3030" spans="1:14" ht="66" hidden="1" customHeight="1">
      <c r="A3030" s="1156">
        <v>64</v>
      </c>
      <c r="B3030" s="1826" t="s">
        <v>328</v>
      </c>
      <c r="C3030" s="1826"/>
      <c r="D3030" s="1826"/>
      <c r="E3030" s="1826"/>
      <c r="F3030" s="1826"/>
      <c r="G3030" s="1826"/>
      <c r="H3030" s="1826"/>
      <c r="I3030" s="1157"/>
      <c r="J3030" s="1158"/>
      <c r="K3030" s="1156"/>
      <c r="L3030" s="1156"/>
      <c r="M3030" s="1160"/>
      <c r="N3030" s="1161" t="s">
        <v>2318</v>
      </c>
    </row>
    <row r="3031" spans="1:14" s="1170" customFormat="1" ht="16.5" hidden="1" customHeight="1">
      <c r="A3031" s="1156"/>
      <c r="B3031" s="1169" t="s">
        <v>3631</v>
      </c>
      <c r="C3031" s="1351"/>
      <c r="D3031" s="1171"/>
      <c r="E3031" s="1352"/>
      <c r="F3031" s="1234"/>
      <c r="G3031" s="1234"/>
      <c r="H3031" s="1235"/>
      <c r="I3031" s="1353"/>
      <c r="J3031" s="1357"/>
      <c r="K3031" s="1169"/>
      <c r="L3031" s="1156"/>
      <c r="M3031" s="1169"/>
      <c r="N3031" s="1161" t="s">
        <v>2318</v>
      </c>
    </row>
    <row r="3032" spans="1:14" s="1170" customFormat="1" ht="16.5" hidden="1" customHeight="1">
      <c r="A3032" s="1156"/>
      <c r="B3032" s="1359" t="s">
        <v>310</v>
      </c>
      <c r="C3032" s="1360">
        <v>1</v>
      </c>
      <c r="D3032" s="1361" t="s">
        <v>273</v>
      </c>
      <c r="E3032" s="1362">
        <v>1</v>
      </c>
      <c r="F3032" s="1363">
        <v>0</v>
      </c>
      <c r="G3032" s="1363">
        <v>0</v>
      </c>
      <c r="H3032" s="1363">
        <v>0</v>
      </c>
      <c r="I3032" s="1421">
        <f>ROUND(IF(AND(F3032:H3032),C3032*E3032*F3032*G3032*H3032,IF(AND(F3032,G3032),C3032*E3032*F3032*G3032,IF(AND(F3032,H3032),C3032*E3032*F3032*H3032,IF(AND(G3032,H3032),C3032*E3032*G3032*H3032,IF(F3032,C3032*E3032*F3032,IF(G3032,C3032*E3032*G3032,IF(H3032,C3032*E3032*H3032,C3032*E3032))))))),2)</f>
        <v>1</v>
      </c>
      <c r="J3032" s="1357" t="s">
        <v>115</v>
      </c>
      <c r="K3032" s="1169"/>
      <c r="L3032" s="1156"/>
      <c r="M3032" s="1169"/>
      <c r="N3032" s="1161" t="s">
        <v>2318</v>
      </c>
    </row>
    <row r="3033" spans="1:14" s="1170" customFormat="1" ht="16.5" hidden="1" customHeight="1">
      <c r="A3033" s="1156"/>
      <c r="B3033" s="1331"/>
      <c r="C3033" s="1332"/>
      <c r="D3033" s="1333"/>
      <c r="E3033" s="1334"/>
      <c r="F3033" s="1335"/>
      <c r="G3033" s="1335"/>
      <c r="H3033" s="1335"/>
      <c r="I3033" s="1421"/>
      <c r="J3033" s="1357"/>
      <c r="K3033" s="1169"/>
      <c r="L3033" s="1156"/>
      <c r="M3033" s="1169"/>
      <c r="N3033" s="1161" t="s">
        <v>2318</v>
      </c>
    </row>
    <row r="3034" spans="1:14" ht="15.75" hidden="1">
      <c r="A3034" s="1156"/>
      <c r="B3034" s="1169"/>
      <c r="C3034" s="1337"/>
      <c r="D3034" s="1171"/>
      <c r="E3034" s="1165"/>
      <c r="F3034" s="1166"/>
      <c r="G3034" s="1343"/>
      <c r="H3034" s="1156"/>
      <c r="I3034" s="1421"/>
      <c r="J3034" s="1357" t="s">
        <v>115</v>
      </c>
      <c r="K3034" s="1221">
        <f>'SANITATION DTA'!G454</f>
        <v>5297</v>
      </c>
      <c r="L3034" s="1159" t="s">
        <v>2318</v>
      </c>
      <c r="M3034" s="1224">
        <f>ROUND(I3034*K3034,0)</f>
        <v>0</v>
      </c>
      <c r="N3034" s="1161" t="s">
        <v>2318</v>
      </c>
    </row>
    <row r="3035" spans="1:14" ht="36" hidden="1" customHeight="1">
      <c r="A3035" s="1156">
        <v>8</v>
      </c>
      <c r="B3035" s="1826" t="s">
        <v>608</v>
      </c>
      <c r="C3035" s="1826"/>
      <c r="D3035" s="1826"/>
      <c r="E3035" s="1826"/>
      <c r="F3035" s="1826"/>
      <c r="G3035" s="1826"/>
      <c r="H3035" s="1826"/>
      <c r="I3035" s="1157"/>
      <c r="J3035" s="1158"/>
      <c r="K3035" s="1156"/>
      <c r="L3035" s="1156"/>
      <c r="M3035" s="1160"/>
      <c r="N3035" s="1161" t="s">
        <v>2318</v>
      </c>
    </row>
    <row r="3036" spans="1:14" s="1170" customFormat="1" ht="16.5" hidden="1" customHeight="1">
      <c r="A3036" s="1156"/>
      <c r="B3036" s="1230" t="s">
        <v>607</v>
      </c>
      <c r="C3036" s="1351"/>
      <c r="D3036" s="1418"/>
      <c r="E3036" s="1352"/>
      <c r="F3036" s="1234"/>
      <c r="G3036" s="1234"/>
      <c r="H3036" s="1235"/>
      <c r="I3036" s="1353"/>
      <c r="J3036" s="1357"/>
      <c r="K3036" s="1169"/>
      <c r="L3036" s="1156"/>
      <c r="M3036" s="1169"/>
      <c r="N3036" s="1161" t="s">
        <v>2318</v>
      </c>
    </row>
    <row r="3037" spans="1:14" s="1170" customFormat="1" ht="16.5" hidden="1" customHeight="1">
      <c r="A3037" s="1156"/>
      <c r="B3037" s="1331" t="s">
        <v>310</v>
      </c>
      <c r="C3037" s="1332">
        <v>1</v>
      </c>
      <c r="D3037" s="1333" t="s">
        <v>273</v>
      </c>
      <c r="E3037" s="1334">
        <v>1</v>
      </c>
      <c r="F3037" s="1335">
        <v>0</v>
      </c>
      <c r="G3037" s="1335">
        <v>0</v>
      </c>
      <c r="H3037" s="1335">
        <v>0</v>
      </c>
      <c r="I3037" s="1421">
        <f>ROUND(IF(AND(F3037:H3037),C3037*E3037*F3037*G3037*H3037,IF(AND(F3037,G3037),C3037*E3037*F3037*G3037,IF(AND(F3037,H3037),C3037*E3037*F3037*H3037,IF(AND(G3037,H3037),C3037*E3037*G3037*H3037,IF(F3037,C3037*E3037*F3037,IF(G3037,C3037*E3037*G3037,IF(H3037,C3037*E3037*H3037,C3037*E3037))))))),2)</f>
        <v>1</v>
      </c>
      <c r="J3037" s="1357" t="s">
        <v>115</v>
      </c>
      <c r="K3037" s="1169"/>
      <c r="L3037" s="1156"/>
      <c r="M3037" s="1169"/>
      <c r="N3037" s="1161" t="s">
        <v>2318</v>
      </c>
    </row>
    <row r="3038" spans="1:14" s="1170" customFormat="1" ht="16.5" hidden="1" customHeight="1">
      <c r="A3038" s="1156"/>
      <c r="B3038" s="1331"/>
      <c r="C3038" s="1332"/>
      <c r="D3038" s="1333"/>
      <c r="E3038" s="1334"/>
      <c r="F3038" s="1335"/>
      <c r="G3038" s="1335"/>
      <c r="H3038" s="1335"/>
      <c r="I3038" s="1421"/>
      <c r="J3038" s="1357"/>
      <c r="K3038" s="1169"/>
      <c r="L3038" s="1156"/>
      <c r="M3038" s="1169"/>
      <c r="N3038" s="1161" t="s">
        <v>2318</v>
      </c>
    </row>
    <row r="3039" spans="1:14" ht="15.75" hidden="1">
      <c r="A3039" s="1156"/>
      <c r="B3039" s="1169"/>
      <c r="C3039" s="1337"/>
      <c r="D3039" s="1171"/>
      <c r="E3039" s="1165"/>
      <c r="F3039" s="1166"/>
      <c r="G3039" s="1343"/>
      <c r="H3039" s="1156"/>
      <c r="I3039" s="1421"/>
      <c r="J3039" s="1357" t="s">
        <v>115</v>
      </c>
      <c r="K3039" s="1221">
        <f>'SANITATION DTA'!G457</f>
        <v>1036</v>
      </c>
      <c r="L3039" s="1159" t="s">
        <v>2318</v>
      </c>
      <c r="M3039" s="1224">
        <f>ROUND(I3039*K3039,0)</f>
        <v>0</v>
      </c>
      <c r="N3039" s="1161" t="s">
        <v>2318</v>
      </c>
    </row>
    <row r="3040" spans="1:14" ht="57" hidden="1" customHeight="1">
      <c r="A3040" s="1156">
        <v>8</v>
      </c>
      <c r="B3040" s="1826" t="s">
        <v>1254</v>
      </c>
      <c r="C3040" s="1826"/>
      <c r="D3040" s="1826"/>
      <c r="E3040" s="1826"/>
      <c r="F3040" s="1826"/>
      <c r="G3040" s="1826"/>
      <c r="H3040" s="1826"/>
      <c r="I3040" s="1157"/>
      <c r="J3040" s="1158"/>
      <c r="K3040" s="1156"/>
      <c r="L3040" s="1156"/>
      <c r="M3040" s="1160"/>
      <c r="N3040" s="1161" t="s">
        <v>2318</v>
      </c>
    </row>
    <row r="3041" spans="1:14" s="1170" customFormat="1" ht="16.5" hidden="1" customHeight="1">
      <c r="A3041" s="1156"/>
      <c r="B3041" s="1169" t="s">
        <v>2348</v>
      </c>
      <c r="C3041" s="1351"/>
      <c r="D3041" s="1418"/>
      <c r="E3041" s="1352"/>
      <c r="F3041" s="1234"/>
      <c r="G3041" s="1234"/>
      <c r="H3041" s="1235"/>
      <c r="I3041" s="1353"/>
      <c r="J3041" s="1357"/>
      <c r="K3041" s="1169"/>
      <c r="L3041" s="1156"/>
      <c r="M3041" s="1169"/>
      <c r="N3041" s="1161" t="s">
        <v>2318</v>
      </c>
    </row>
    <row r="3042" spans="1:14" s="1170" customFormat="1" ht="16.5" hidden="1" customHeight="1">
      <c r="A3042" s="1156"/>
      <c r="B3042" s="1331" t="s">
        <v>688</v>
      </c>
      <c r="C3042" s="1332">
        <v>1</v>
      </c>
      <c r="D3042" s="1333" t="s">
        <v>273</v>
      </c>
      <c r="E3042" s="1334">
        <v>1</v>
      </c>
      <c r="F3042" s="1335">
        <v>0</v>
      </c>
      <c r="G3042" s="1335">
        <v>0</v>
      </c>
      <c r="H3042" s="1335">
        <v>0</v>
      </c>
      <c r="I3042" s="1421">
        <f>ROUND(IF(AND(F3042:H3042),C3042*E3042*F3042*G3042*H3042,IF(AND(F3042,G3042),C3042*E3042*F3042*G3042,IF(AND(F3042,H3042),C3042*E3042*F3042*H3042,IF(AND(G3042,H3042),C3042*E3042*G3042*H3042,IF(F3042,C3042*E3042*F3042,IF(G3042,C3042*E3042*G3042,IF(H3042,C3042*E3042*H3042,C3042*E3042))))))),2)</f>
        <v>1</v>
      </c>
      <c r="J3042" s="1357" t="s">
        <v>115</v>
      </c>
      <c r="K3042" s="1169"/>
      <c r="L3042" s="1156"/>
      <c r="M3042" s="1169"/>
      <c r="N3042" s="1161" t="s">
        <v>2318</v>
      </c>
    </row>
    <row r="3043" spans="1:14" s="1170" customFormat="1" ht="16.5" hidden="1" customHeight="1">
      <c r="A3043" s="1156"/>
      <c r="B3043" s="1331"/>
      <c r="C3043" s="1332"/>
      <c r="D3043" s="1333"/>
      <c r="E3043" s="1334"/>
      <c r="F3043" s="1335"/>
      <c r="G3043" s="1335"/>
      <c r="H3043" s="1335"/>
      <c r="I3043" s="1421"/>
      <c r="J3043" s="1357"/>
      <c r="K3043" s="1169"/>
      <c r="L3043" s="1156"/>
      <c r="M3043" s="1169"/>
      <c r="N3043" s="1161" t="s">
        <v>2318</v>
      </c>
    </row>
    <row r="3044" spans="1:14" ht="15.75" hidden="1">
      <c r="A3044" s="1156"/>
      <c r="B3044" s="1169"/>
      <c r="C3044" s="1337"/>
      <c r="D3044" s="1171"/>
      <c r="E3044" s="1165"/>
      <c r="F3044" s="1166"/>
      <c r="G3044" s="1343"/>
      <c r="H3044" s="1156"/>
      <c r="I3044" s="1421"/>
      <c r="J3044" s="1357" t="s">
        <v>115</v>
      </c>
      <c r="K3044" s="1221">
        <f>'SANITATION DTA'!G460</f>
        <v>2644</v>
      </c>
      <c r="L3044" s="1159" t="s">
        <v>2318</v>
      </c>
      <c r="M3044" s="1224">
        <f>ROUND(I3044*K3044,0)</f>
        <v>0</v>
      </c>
      <c r="N3044" s="1161" t="s">
        <v>2318</v>
      </c>
    </row>
    <row r="3045" spans="1:14" ht="132.75" hidden="1" customHeight="1">
      <c r="A3045" s="1156">
        <v>9</v>
      </c>
      <c r="B3045" s="1826" t="s">
        <v>333</v>
      </c>
      <c r="C3045" s="1826"/>
      <c r="D3045" s="1826"/>
      <c r="E3045" s="1826"/>
      <c r="F3045" s="1826"/>
      <c r="G3045" s="1826"/>
      <c r="H3045" s="1826"/>
      <c r="I3045" s="1157"/>
      <c r="J3045" s="1158"/>
      <c r="K3045" s="1156"/>
      <c r="L3045" s="1156"/>
      <c r="M3045" s="1160"/>
      <c r="N3045" s="1161" t="s">
        <v>2318</v>
      </c>
    </row>
    <row r="3046" spans="1:14" s="1170" customFormat="1" ht="16.5" hidden="1" customHeight="1">
      <c r="A3046" s="1156"/>
      <c r="B3046" s="1169" t="s">
        <v>2348</v>
      </c>
      <c r="C3046" s="1351"/>
      <c r="D3046" s="1418"/>
      <c r="E3046" s="1352"/>
      <c r="F3046" s="1234"/>
      <c r="G3046" s="1234"/>
      <c r="H3046" s="1235"/>
      <c r="I3046" s="1353"/>
      <c r="J3046" s="1357"/>
      <c r="K3046" s="1169"/>
      <c r="L3046" s="1156"/>
      <c r="M3046" s="1169"/>
      <c r="N3046" s="1161" t="s">
        <v>2318</v>
      </c>
    </row>
    <row r="3047" spans="1:14" s="1170" customFormat="1" ht="16.5" hidden="1" customHeight="1">
      <c r="A3047" s="1156"/>
      <c r="B3047" s="1359"/>
      <c r="C3047" s="1360">
        <v>1</v>
      </c>
      <c r="D3047" s="1361" t="s">
        <v>273</v>
      </c>
      <c r="E3047" s="1362">
        <v>3</v>
      </c>
      <c r="F3047" s="1363">
        <v>0</v>
      </c>
      <c r="G3047" s="1363">
        <v>0</v>
      </c>
      <c r="H3047" s="1363">
        <v>0</v>
      </c>
      <c r="I3047" s="1421">
        <f>ROUND(IF(AND(F3047:H3047),C3047*E3047*F3047*G3047*H3047,IF(AND(F3047,G3047),C3047*E3047*F3047*G3047,IF(AND(F3047,H3047),C3047*E3047*F3047*H3047,IF(AND(G3047,H3047),C3047*E3047*G3047*H3047,IF(F3047,C3047*E3047*F3047,IF(G3047,C3047*E3047*G3047,IF(H3047,C3047*E3047*H3047,C3047*E3047))))))),2)</f>
        <v>3</v>
      </c>
      <c r="J3047" s="1357" t="s">
        <v>115</v>
      </c>
      <c r="K3047" s="1169"/>
      <c r="L3047" s="1156"/>
      <c r="M3047" s="1169"/>
      <c r="N3047" s="1161" t="s">
        <v>2318</v>
      </c>
    </row>
    <row r="3048" spans="1:14" s="1170" customFormat="1" ht="16.5" hidden="1" customHeight="1">
      <c r="A3048" s="1156"/>
      <c r="B3048" s="1359"/>
      <c r="C3048" s="1360"/>
      <c r="D3048" s="1361"/>
      <c r="E3048" s="1362"/>
      <c r="F3048" s="1363"/>
      <c r="G3048" s="1363"/>
      <c r="H3048" s="1363"/>
      <c r="I3048" s="1421"/>
      <c r="J3048" s="1357"/>
      <c r="K3048" s="1169"/>
      <c r="L3048" s="1156"/>
      <c r="M3048" s="1169"/>
      <c r="N3048" s="1161" t="s">
        <v>2318</v>
      </c>
    </row>
    <row r="3049" spans="1:14" ht="15.75" hidden="1">
      <c r="A3049" s="1156"/>
      <c r="B3049" s="1169"/>
      <c r="C3049" s="1337"/>
      <c r="D3049" s="1171"/>
      <c r="E3049" s="1165"/>
      <c r="F3049" s="1166"/>
      <c r="G3049" s="1343"/>
      <c r="H3049" s="1156"/>
      <c r="I3049" s="1421"/>
      <c r="J3049" s="1357" t="s">
        <v>115</v>
      </c>
      <c r="K3049" s="1221">
        <f>'SANITATION DTA'!G468</f>
        <v>2025</v>
      </c>
      <c r="L3049" s="1159" t="s">
        <v>2318</v>
      </c>
      <c r="M3049" s="1224">
        <f>ROUND(I3049*K3049,0)</f>
        <v>0</v>
      </c>
      <c r="N3049" s="1161" t="s">
        <v>2318</v>
      </c>
    </row>
    <row r="3050" spans="1:14" ht="21.75" hidden="1" customHeight="1">
      <c r="A3050" s="1156">
        <v>24</v>
      </c>
      <c r="B3050" s="1831" t="s">
        <v>718</v>
      </c>
      <c r="C3050" s="1832"/>
      <c r="D3050" s="1832"/>
      <c r="E3050" s="1832"/>
      <c r="F3050" s="1832"/>
      <c r="G3050" s="1832"/>
      <c r="H3050" s="1834"/>
      <c r="I3050" s="1421"/>
      <c r="J3050" s="1158"/>
      <c r="K3050" s="1156"/>
      <c r="L3050" s="1156"/>
      <c r="M3050" s="1160"/>
      <c r="N3050" s="1161" t="s">
        <v>2318</v>
      </c>
    </row>
    <row r="3051" spans="1:14" s="1170" customFormat="1" ht="16.5" hidden="1" customHeight="1">
      <c r="A3051" s="1156"/>
      <c r="B3051" s="1169" t="s">
        <v>3515</v>
      </c>
      <c r="C3051" s="1351"/>
      <c r="D3051" s="1171" t="s">
        <v>3339</v>
      </c>
      <c r="E3051" s="1352"/>
      <c r="F3051" s="1234"/>
      <c r="G3051" s="1234"/>
      <c r="H3051" s="1235"/>
      <c r="I3051" s="1425"/>
      <c r="J3051" s="1357"/>
      <c r="K3051" s="1169"/>
      <c r="L3051" s="1156"/>
      <c r="M3051" s="1169"/>
      <c r="N3051" s="1161" t="s">
        <v>2318</v>
      </c>
    </row>
    <row r="3052" spans="1:14" s="1170" customFormat="1" ht="16.5" hidden="1" customHeight="1">
      <c r="A3052" s="1156"/>
      <c r="B3052" s="1331"/>
      <c r="C3052" s="1332">
        <v>1</v>
      </c>
      <c r="D3052" s="1333" t="s">
        <v>273</v>
      </c>
      <c r="E3052" s="1334">
        <v>3</v>
      </c>
      <c r="F3052" s="1335">
        <v>0</v>
      </c>
      <c r="G3052" s="1335">
        <v>0</v>
      </c>
      <c r="H3052" s="1335">
        <v>0</v>
      </c>
      <c r="I3052" s="1421">
        <f>ROUND(IF(AND(F3052:H3052),C3052*E3052*F3052*G3052*H3052,IF(AND(F3052,G3052),C3052*E3052*F3052*G3052,IF(AND(F3052,H3052),C3052*E3052*F3052*H3052,IF(AND(G3052,H3052),C3052*E3052*G3052*H3052,IF(F3052,C3052*E3052*F3052,IF(G3052,C3052*E3052*G3052,IF(H3052,C3052*E3052*H3052,C3052*E3052))))))),2)</f>
        <v>3</v>
      </c>
      <c r="J3052" s="1357" t="s">
        <v>115</v>
      </c>
      <c r="K3052" s="1169"/>
      <c r="L3052" s="1156"/>
      <c r="M3052" s="1169"/>
      <c r="N3052" s="1161" t="s">
        <v>2318</v>
      </c>
    </row>
    <row r="3053" spans="1:14" s="1170" customFormat="1" ht="16.5" hidden="1" customHeight="1">
      <c r="A3053" s="1156"/>
      <c r="B3053" s="1331"/>
      <c r="C3053" s="1332"/>
      <c r="D3053" s="1333"/>
      <c r="E3053" s="1334"/>
      <c r="F3053" s="1335"/>
      <c r="G3053" s="1335"/>
      <c r="H3053" s="1335"/>
      <c r="I3053" s="1421"/>
      <c r="J3053" s="1357"/>
      <c r="K3053" s="1169"/>
      <c r="L3053" s="1156"/>
      <c r="M3053" s="1169"/>
      <c r="N3053" s="1161" t="s">
        <v>2318</v>
      </c>
    </row>
    <row r="3054" spans="1:14" ht="15.75" hidden="1">
      <c r="A3054" s="1156"/>
      <c r="B3054" s="1169"/>
      <c r="C3054" s="1337"/>
      <c r="D3054" s="1171"/>
      <c r="E3054" s="1165"/>
      <c r="F3054" s="1166"/>
      <c r="G3054" s="1343"/>
      <c r="H3054" s="1156"/>
      <c r="I3054" s="1421"/>
      <c r="J3054" s="1357" t="s">
        <v>115</v>
      </c>
      <c r="K3054" s="1221">
        <f>'SANITATION DTA'!G590</f>
        <v>93</v>
      </c>
      <c r="L3054" s="1159" t="s">
        <v>2318</v>
      </c>
      <c r="M3054" s="1224">
        <f>ROUND(I3054*K3054,0)</f>
        <v>0</v>
      </c>
      <c r="N3054" s="1161" t="s">
        <v>2318</v>
      </c>
    </row>
    <row r="3055" spans="1:14" ht="58.5" hidden="1" customHeight="1">
      <c r="A3055" s="1156">
        <v>25</v>
      </c>
      <c r="B3055" s="1826" t="s">
        <v>290</v>
      </c>
      <c r="C3055" s="1826"/>
      <c r="D3055" s="1826"/>
      <c r="E3055" s="1826"/>
      <c r="F3055" s="1826"/>
      <c r="G3055" s="1826"/>
      <c r="H3055" s="1826"/>
      <c r="I3055" s="1157"/>
      <c r="J3055" s="1158"/>
      <c r="K3055" s="1156"/>
      <c r="L3055" s="1156"/>
      <c r="M3055" s="1160"/>
      <c r="N3055" s="1161" t="s">
        <v>2318</v>
      </c>
    </row>
    <row r="3056" spans="1:14" s="1170" customFormat="1" ht="16.5" hidden="1" customHeight="1">
      <c r="A3056" s="1156"/>
      <c r="B3056" s="1169" t="s">
        <v>3515</v>
      </c>
      <c r="C3056" s="1351"/>
      <c r="D3056" s="1171" t="s">
        <v>3339</v>
      </c>
      <c r="E3056" s="1352"/>
      <c r="F3056" s="1234"/>
      <c r="G3056" s="1234"/>
      <c r="H3056" s="1235"/>
      <c r="I3056" s="1353"/>
      <c r="J3056" s="1357"/>
      <c r="K3056" s="1169"/>
      <c r="L3056" s="1156"/>
      <c r="M3056" s="1169"/>
      <c r="N3056" s="1161" t="s">
        <v>2318</v>
      </c>
    </row>
    <row r="3057" spans="1:17" s="1170" customFormat="1" ht="16.5" hidden="1" customHeight="1">
      <c r="A3057" s="1156"/>
      <c r="B3057" s="1359"/>
      <c r="C3057" s="1360">
        <v>1</v>
      </c>
      <c r="D3057" s="1361" t="s">
        <v>273</v>
      </c>
      <c r="E3057" s="1362">
        <v>1</v>
      </c>
      <c r="F3057" s="1552">
        <v>500</v>
      </c>
      <c r="G3057" s="1363">
        <v>0</v>
      </c>
      <c r="H3057" s="1363">
        <v>0</v>
      </c>
      <c r="I3057" s="1336">
        <f>ROUND(IF(AND(F3057:H3057),C3057*E3057*F3057*G3057*H3057,IF(AND(F3057,G3057),C3057*E3057*F3057*G3057,IF(AND(F3057,H3057),C3057*E3057*F3057*H3057,IF(AND(G3057,H3057),C3057*E3057*G3057*H3057,IF(F3057,C3057*E3057*F3057,IF(G3057,C3057*E3057*G3057,IF(H3057,C3057*E3057*H3057,C3057*E3057))))))),2)</f>
        <v>500</v>
      </c>
      <c r="J3057" s="1357" t="s">
        <v>291</v>
      </c>
      <c r="K3057" s="1169"/>
      <c r="L3057" s="1156"/>
      <c r="M3057" s="1169"/>
      <c r="N3057" s="1161" t="s">
        <v>2318</v>
      </c>
    </row>
    <row r="3058" spans="1:17" s="1170" customFormat="1" ht="16.5" hidden="1" customHeight="1">
      <c r="A3058" s="1156"/>
      <c r="B3058" s="1359"/>
      <c r="C3058" s="1360"/>
      <c r="D3058" s="1361"/>
      <c r="E3058" s="1362"/>
      <c r="F3058" s="1552"/>
      <c r="G3058" s="1363"/>
      <c r="H3058" s="1363"/>
      <c r="I3058" s="1336"/>
      <c r="J3058" s="1357"/>
      <c r="K3058" s="1169"/>
      <c r="L3058" s="1156"/>
      <c r="M3058" s="1169"/>
      <c r="N3058" s="1161" t="s">
        <v>2318</v>
      </c>
    </row>
    <row r="3059" spans="1:17" ht="15.75" hidden="1">
      <c r="A3059" s="1156"/>
      <c r="B3059" s="1169"/>
      <c r="C3059" s="1337"/>
      <c r="D3059" s="1171"/>
      <c r="E3059" s="1165"/>
      <c r="F3059" s="1166"/>
      <c r="G3059" s="1343"/>
      <c r="H3059" s="1156"/>
      <c r="I3059" s="1336"/>
      <c r="J3059" s="1357" t="s">
        <v>291</v>
      </c>
      <c r="K3059" s="1221">
        <f>'SANITATION DTA'!G512</f>
        <v>9.5</v>
      </c>
      <c r="L3059" s="1159" t="s">
        <v>2318</v>
      </c>
      <c r="M3059" s="1224">
        <f>ROUND(I3059*K3059,0)</f>
        <v>0</v>
      </c>
      <c r="N3059" s="1161" t="s">
        <v>2318</v>
      </c>
    </row>
    <row r="3060" spans="1:17" ht="146.25" hidden="1" customHeight="1">
      <c r="A3060" s="1156">
        <v>10</v>
      </c>
      <c r="B3060" s="1826" t="s">
        <v>448</v>
      </c>
      <c r="C3060" s="1826"/>
      <c r="D3060" s="1826"/>
      <c r="E3060" s="1826"/>
      <c r="F3060" s="1826"/>
      <c r="G3060" s="1826"/>
      <c r="H3060" s="1826"/>
      <c r="I3060" s="1157"/>
      <c r="J3060" s="1158"/>
      <c r="K3060" s="1156"/>
      <c r="L3060" s="1156"/>
      <c r="M3060" s="1160"/>
      <c r="N3060" s="1161" t="s">
        <v>2318</v>
      </c>
    </row>
    <row r="3061" spans="1:17" s="1170" customFormat="1" ht="16.5" hidden="1" customHeight="1">
      <c r="A3061" s="1156"/>
      <c r="B3061" s="1365" t="s">
        <v>2349</v>
      </c>
      <c r="C3061" s="1351"/>
      <c r="D3061" s="1418"/>
      <c r="E3061" s="1352"/>
      <c r="F3061" s="1234"/>
      <c r="G3061" s="1234"/>
      <c r="H3061" s="1235"/>
      <c r="I3061" s="1353"/>
      <c r="J3061" s="1357"/>
      <c r="K3061" s="1169"/>
      <c r="L3061" s="1156"/>
      <c r="M3061" s="1169"/>
      <c r="N3061" s="1161" t="s">
        <v>2318</v>
      </c>
    </row>
    <row r="3062" spans="1:17" s="1170" customFormat="1" ht="16.5" hidden="1" customHeight="1">
      <c r="A3062" s="1156"/>
      <c r="B3062" s="1359" t="s">
        <v>588</v>
      </c>
      <c r="C3062" s="1360">
        <v>1</v>
      </c>
      <c r="D3062" s="1361" t="s">
        <v>273</v>
      </c>
      <c r="E3062" s="1362">
        <v>1</v>
      </c>
      <c r="F3062" s="1401">
        <v>58.85</v>
      </c>
      <c r="G3062" s="1363">
        <v>0</v>
      </c>
      <c r="H3062" s="1363">
        <v>0</v>
      </c>
      <c r="I3062" s="1336"/>
      <c r="J3062" s="1357" t="s">
        <v>277</v>
      </c>
      <c r="K3062" s="1214">
        <f>'SANITATION DTA'!G551</f>
        <v>446.4</v>
      </c>
      <c r="L3062" s="1159" t="s">
        <v>2318</v>
      </c>
      <c r="M3062" s="1224">
        <f>ROUND(I3062*K3062,0)</f>
        <v>0</v>
      </c>
      <c r="N3062" s="1161" t="s">
        <v>2318</v>
      </c>
    </row>
    <row r="3063" spans="1:17" s="1170" customFormat="1" ht="16.5" hidden="1" customHeight="1">
      <c r="A3063" s="1156"/>
      <c r="B3063" s="1331" t="s">
        <v>589</v>
      </c>
      <c r="C3063" s="1332">
        <v>1</v>
      </c>
      <c r="D3063" s="1333" t="s">
        <v>273</v>
      </c>
      <c r="E3063" s="1334">
        <v>1</v>
      </c>
      <c r="F3063" s="1553">
        <v>60</v>
      </c>
      <c r="G3063" s="1335">
        <v>0</v>
      </c>
      <c r="H3063" s="1335">
        <v>0</v>
      </c>
      <c r="I3063" s="1336"/>
      <c r="J3063" s="1357" t="s">
        <v>277</v>
      </c>
      <c r="K3063" s="1214">
        <f>'SANITATION DTA'!G553</f>
        <v>477.6</v>
      </c>
      <c r="L3063" s="1159" t="s">
        <v>2318</v>
      </c>
      <c r="M3063" s="1224">
        <f>ROUND(I3063*K3063,0)</f>
        <v>0</v>
      </c>
      <c r="N3063" s="1161" t="s">
        <v>2318</v>
      </c>
    </row>
    <row r="3064" spans="1:17" s="1170" customFormat="1" ht="16.5" hidden="1" customHeight="1">
      <c r="A3064" s="1156"/>
      <c r="B3064" s="1331" t="s">
        <v>590</v>
      </c>
      <c r="C3064" s="1332">
        <v>1</v>
      </c>
      <c r="D3064" s="1333" t="s">
        <v>273</v>
      </c>
      <c r="E3064" s="1334">
        <v>1</v>
      </c>
      <c r="F3064" s="1553">
        <v>60</v>
      </c>
      <c r="G3064" s="1335">
        <v>0</v>
      </c>
      <c r="H3064" s="1335">
        <v>0</v>
      </c>
      <c r="I3064" s="1336"/>
      <c r="J3064" s="1357" t="s">
        <v>277</v>
      </c>
      <c r="K3064" s="1214">
        <f>'SANITATION DTA'!G555</f>
        <v>535.70000000000005</v>
      </c>
      <c r="L3064" s="1159" t="s">
        <v>2318</v>
      </c>
      <c r="M3064" s="1224">
        <f>ROUND(I3064*K3064,0)</f>
        <v>0</v>
      </c>
      <c r="N3064" s="1161" t="s">
        <v>2318</v>
      </c>
    </row>
    <row r="3065" spans="1:17" ht="15.75" hidden="1">
      <c r="A3065" s="1156"/>
      <c r="B3065" s="1169"/>
      <c r="C3065" s="1337"/>
      <c r="D3065" s="1171"/>
      <c r="E3065" s="1165"/>
      <c r="F3065" s="1166"/>
      <c r="G3065" s="1343"/>
      <c r="H3065" s="1156"/>
      <c r="I3065" s="1336"/>
      <c r="J3065" s="1357"/>
      <c r="K3065" s="1221"/>
      <c r="L3065" s="1221"/>
      <c r="M3065" s="1224"/>
      <c r="N3065" s="1161" t="s">
        <v>2318</v>
      </c>
    </row>
    <row r="3066" spans="1:17" ht="43.5" hidden="1" customHeight="1">
      <c r="A3066" s="1156">
        <v>11</v>
      </c>
      <c r="B3066" s="1826" t="s">
        <v>449</v>
      </c>
      <c r="C3066" s="1826"/>
      <c r="D3066" s="1826"/>
      <c r="E3066" s="1826"/>
      <c r="F3066" s="1826"/>
      <c r="G3066" s="1826"/>
      <c r="H3066" s="1826"/>
      <c r="I3066" s="1157"/>
      <c r="J3066" s="1158"/>
      <c r="K3066" s="1156"/>
      <c r="L3066" s="1156"/>
      <c r="M3066" s="1160"/>
      <c r="N3066" s="1161" t="s">
        <v>2318</v>
      </c>
    </row>
    <row r="3067" spans="1:17" s="1170" customFormat="1" ht="16.5" hidden="1" customHeight="1">
      <c r="A3067" s="1156"/>
      <c r="B3067" s="1365" t="s">
        <v>2349</v>
      </c>
      <c r="C3067" s="1351"/>
      <c r="D3067" s="1418"/>
      <c r="E3067" s="1352"/>
      <c r="F3067" s="1234"/>
      <c r="G3067" s="1234"/>
      <c r="H3067" s="1235"/>
      <c r="I3067" s="1353"/>
      <c r="J3067" s="1357"/>
      <c r="K3067" s="1169"/>
      <c r="L3067" s="1156"/>
      <c r="M3067" s="1169"/>
      <c r="N3067" s="1161" t="s">
        <v>2318</v>
      </c>
    </row>
    <row r="3068" spans="1:17" s="1170" customFormat="1" ht="16.5" hidden="1" customHeight="1">
      <c r="A3068" s="1156"/>
      <c r="B3068" s="1359"/>
      <c r="C3068" s="1360">
        <v>1</v>
      </c>
      <c r="D3068" s="1361" t="s">
        <v>273</v>
      </c>
      <c r="E3068" s="1362">
        <v>1</v>
      </c>
      <c r="F3068" s="1401">
        <v>6</v>
      </c>
      <c r="G3068" s="1363">
        <v>0</v>
      </c>
      <c r="H3068" s="1363">
        <v>0</v>
      </c>
      <c r="I3068" s="1336">
        <f>ROUND(IF(AND(F3068:H3068),C3068*E3068*F3068*G3068*H3068,IF(AND(F3068,G3068),C3068*E3068*F3068*G3068,IF(AND(F3068,H3068),C3068*E3068*F3068*H3068,IF(AND(G3068,H3068),C3068*E3068*G3068*H3068,IF(F3068,C3068*E3068*F3068,IF(G3068,C3068*E3068*G3068,IF(H3068,C3068*E3068*H3068,C3068*E3068))))))),2)</f>
        <v>6</v>
      </c>
      <c r="J3068" s="1357" t="s">
        <v>277</v>
      </c>
      <c r="K3068" s="1169"/>
      <c r="L3068" s="1156"/>
      <c r="M3068" s="1169"/>
      <c r="N3068" s="1161" t="s">
        <v>2318</v>
      </c>
    </row>
    <row r="3069" spans="1:17" s="1170" customFormat="1" ht="16.5" hidden="1" customHeight="1">
      <c r="A3069" s="1156"/>
      <c r="B3069" s="1359"/>
      <c r="C3069" s="1360"/>
      <c r="D3069" s="1361"/>
      <c r="E3069" s="1362"/>
      <c r="F3069" s="1401"/>
      <c r="G3069" s="1363"/>
      <c r="H3069" s="1363"/>
      <c r="I3069" s="1336"/>
      <c r="J3069" s="1357"/>
      <c r="K3069" s="1169"/>
      <c r="L3069" s="1156"/>
      <c r="M3069" s="1169"/>
      <c r="N3069" s="1161" t="s">
        <v>2318</v>
      </c>
    </row>
    <row r="3070" spans="1:17" ht="15.75" hidden="1">
      <c r="A3070" s="1156"/>
      <c r="B3070" s="1169"/>
      <c r="C3070" s="1337"/>
      <c r="D3070" s="1171"/>
      <c r="E3070" s="1165"/>
      <c r="F3070" s="1166"/>
      <c r="G3070" s="1343"/>
      <c r="H3070" s="1156"/>
      <c r="I3070" s="1336"/>
      <c r="J3070" s="1357" t="s">
        <v>277</v>
      </c>
      <c r="K3070" s="1221">
        <f>'SANITATION DTA'!G565</f>
        <v>325</v>
      </c>
      <c r="L3070" s="1159" t="s">
        <v>2318</v>
      </c>
      <c r="M3070" s="1224">
        <f>ROUND(I3070*K3070,0)</f>
        <v>0</v>
      </c>
      <c r="N3070" s="1161" t="s">
        <v>2318</v>
      </c>
    </row>
    <row r="3071" spans="1:17" s="1557" customFormat="1" ht="44.25" hidden="1" customHeight="1">
      <c r="A3071" s="1554">
        <v>12</v>
      </c>
      <c r="B3071" s="1855" t="s">
        <v>1536</v>
      </c>
      <c r="C3071" s="1855"/>
      <c r="D3071" s="1855"/>
      <c r="E3071" s="1855"/>
      <c r="F3071" s="1855"/>
      <c r="G3071" s="1855"/>
      <c r="H3071" s="1855"/>
      <c r="I3071" s="1555"/>
      <c r="J3071" s="1355"/>
      <c r="K3071" s="1554"/>
      <c r="L3071" s="1554"/>
      <c r="M3071" s="1556"/>
      <c r="N3071" s="1161" t="s">
        <v>2318</v>
      </c>
      <c r="O3071" s="1557" t="s">
        <v>0</v>
      </c>
      <c r="Q3071" s="1557" t="s">
        <v>0</v>
      </c>
    </row>
    <row r="3072" spans="1:17" s="1170" customFormat="1" ht="16.5" hidden="1" customHeight="1">
      <c r="A3072" s="1156"/>
      <c r="B3072" s="1365" t="s">
        <v>2350</v>
      </c>
      <c r="C3072" s="1351"/>
      <c r="D3072" s="1418"/>
      <c r="E3072" s="1352"/>
      <c r="F3072" s="1234"/>
      <c r="G3072" s="1234"/>
      <c r="H3072" s="1235"/>
      <c r="I3072" s="1353"/>
      <c r="J3072" s="1357"/>
      <c r="K3072" s="1169"/>
      <c r="L3072" s="1156"/>
      <c r="M3072" s="1169"/>
      <c r="N3072" s="1161" t="s">
        <v>2318</v>
      </c>
    </row>
    <row r="3073" spans="1:17" s="1557" customFormat="1" ht="15.75" hidden="1">
      <c r="A3073" s="1554"/>
      <c r="B3073" s="1358"/>
      <c r="C3073" s="1558">
        <v>1</v>
      </c>
      <c r="D3073" s="1346" t="s">
        <v>273</v>
      </c>
      <c r="E3073" s="1355">
        <v>1</v>
      </c>
      <c r="F3073" s="1356">
        <v>0</v>
      </c>
      <c r="G3073" s="1484">
        <v>0</v>
      </c>
      <c r="H3073" s="1356">
        <v>0</v>
      </c>
      <c r="I3073" s="1559">
        <f>ROUND(IF(AND(F3073:H3073),C3073*E3073*F3073*G3073*H3073,IF(AND(F3073,G3073),C3073*E3073*F3073*G3073,IF(AND(F3073,H3073),C3073*E3073*F3073*H3073,IF(AND(G3073,H3073),C3073*E3073*G3073*H3073,IF(F3073,C3073*E3073*F3073,IF(G3073,C3073*E3073*G3073,IF(H3073,C3073*E3073*H3073,C3073*E3073))))))),2)</f>
        <v>1</v>
      </c>
      <c r="J3073" s="1439" t="s">
        <v>115</v>
      </c>
      <c r="K3073" s="1554"/>
      <c r="L3073" s="1554"/>
      <c r="M3073" s="1556"/>
      <c r="N3073" s="1161" t="s">
        <v>2318</v>
      </c>
    </row>
    <row r="3074" spans="1:17" s="1557" customFormat="1" ht="15.75" hidden="1">
      <c r="A3074" s="1554"/>
      <c r="B3074" s="1358"/>
      <c r="C3074" s="1558"/>
      <c r="D3074" s="1346"/>
      <c r="E3074" s="1355"/>
      <c r="F3074" s="1356"/>
      <c r="G3074" s="1484"/>
      <c r="H3074" s="1356"/>
      <c r="I3074" s="1559"/>
      <c r="J3074" s="1439"/>
      <c r="K3074" s="1554"/>
      <c r="L3074" s="1554"/>
      <c r="M3074" s="1556"/>
      <c r="N3074" s="1161" t="s">
        <v>2318</v>
      </c>
    </row>
    <row r="3075" spans="1:17" s="1557" customFormat="1" ht="15.75" hidden="1">
      <c r="A3075" s="1554"/>
      <c r="B3075" s="1756"/>
      <c r="C3075" s="1560"/>
      <c r="D3075" s="1346"/>
      <c r="E3075" s="1355"/>
      <c r="F3075" s="1561"/>
      <c r="G3075" s="1562"/>
      <c r="H3075" s="1561"/>
      <c r="I3075" s="1563"/>
      <c r="J3075" s="1439" t="s">
        <v>115</v>
      </c>
      <c r="K3075" s="1484">
        <f>'SANITATION DTA'!G562</f>
        <v>18370</v>
      </c>
      <c r="L3075" s="1159" t="s">
        <v>2318</v>
      </c>
      <c r="M3075" s="1564">
        <f>ROUND(I3075*K3075,0)</f>
        <v>0</v>
      </c>
      <c r="N3075" s="1161" t="s">
        <v>2318</v>
      </c>
      <c r="O3075" s="1557" t="s">
        <v>0</v>
      </c>
    </row>
    <row r="3076" spans="1:17" s="1557" customFormat="1" ht="30.75" hidden="1" customHeight="1">
      <c r="A3076" s="1554">
        <v>13</v>
      </c>
      <c r="B3076" s="1855" t="s">
        <v>591</v>
      </c>
      <c r="C3076" s="1855"/>
      <c r="D3076" s="1855"/>
      <c r="E3076" s="1855"/>
      <c r="F3076" s="1855"/>
      <c r="G3076" s="1855"/>
      <c r="H3076" s="1855"/>
      <c r="I3076" s="1555"/>
      <c r="J3076" s="1355"/>
      <c r="K3076" s="1554"/>
      <c r="L3076" s="1554"/>
      <c r="M3076" s="1556"/>
      <c r="N3076" s="1161" t="s">
        <v>2318</v>
      </c>
      <c r="O3076" s="1557" t="s">
        <v>0</v>
      </c>
      <c r="Q3076" s="1557" t="s">
        <v>0</v>
      </c>
    </row>
    <row r="3077" spans="1:17" s="1170" customFormat="1" ht="16.5" hidden="1" customHeight="1">
      <c r="A3077" s="1156"/>
      <c r="B3077" s="1365" t="s">
        <v>2350</v>
      </c>
      <c r="C3077" s="1351"/>
      <c r="D3077" s="1418"/>
      <c r="E3077" s="1352"/>
      <c r="F3077" s="1234"/>
      <c r="G3077" s="1234"/>
      <c r="H3077" s="1235"/>
      <c r="I3077" s="1353"/>
      <c r="J3077" s="1357"/>
      <c r="K3077" s="1169"/>
      <c r="L3077" s="1156"/>
      <c r="M3077" s="1169"/>
      <c r="N3077" s="1161" t="s">
        <v>2318</v>
      </c>
    </row>
    <row r="3078" spans="1:17" s="1557" customFormat="1" ht="15.75" hidden="1">
      <c r="A3078" s="1554"/>
      <c r="B3078" s="1358"/>
      <c r="C3078" s="1558">
        <v>1</v>
      </c>
      <c r="D3078" s="1346" t="s">
        <v>273</v>
      </c>
      <c r="E3078" s="1355">
        <v>1</v>
      </c>
      <c r="F3078" s="1565">
        <v>58</v>
      </c>
      <c r="G3078" s="1484">
        <v>0</v>
      </c>
      <c r="H3078" s="1356">
        <v>0</v>
      </c>
      <c r="I3078" s="1566">
        <f>ROUND(IF(AND(F3078:H3078),C3078*E3078*F3078*G3078*H3078,IF(AND(F3078,G3078),C3078*E3078*F3078*G3078,IF(AND(F3078,H3078),C3078*E3078*F3078*H3078,IF(AND(G3078,H3078),C3078*E3078*G3078*H3078,IF(F3078,C3078*E3078*F3078,IF(G3078,C3078*E3078*G3078,IF(H3078,C3078*E3078*H3078,C3078*E3078))))))),2)</f>
        <v>58</v>
      </c>
      <c r="J3078" s="1439" t="s">
        <v>277</v>
      </c>
      <c r="K3078" s="1554"/>
      <c r="L3078" s="1554"/>
      <c r="M3078" s="1556"/>
      <c r="N3078" s="1161" t="s">
        <v>2318</v>
      </c>
    </row>
    <row r="3079" spans="1:17" s="1557" customFormat="1" ht="15.75" hidden="1">
      <c r="A3079" s="1554"/>
      <c r="B3079" s="1358"/>
      <c r="C3079" s="1558"/>
      <c r="D3079" s="1346"/>
      <c r="E3079" s="1355"/>
      <c r="F3079" s="1565"/>
      <c r="G3079" s="1484"/>
      <c r="H3079" s="1356"/>
      <c r="I3079" s="1566"/>
      <c r="J3079" s="1439"/>
      <c r="K3079" s="1554"/>
      <c r="L3079" s="1554"/>
      <c r="M3079" s="1556"/>
      <c r="N3079" s="1161" t="s">
        <v>2318</v>
      </c>
    </row>
    <row r="3080" spans="1:17" s="1557" customFormat="1" ht="15.75" hidden="1">
      <c r="A3080" s="1554"/>
      <c r="B3080" s="1756"/>
      <c r="C3080" s="1560"/>
      <c r="D3080" s="1346"/>
      <c r="E3080" s="1355"/>
      <c r="F3080" s="1561"/>
      <c r="G3080" s="1562"/>
      <c r="H3080" s="1561"/>
      <c r="I3080" s="1483"/>
      <c r="J3080" s="1439" t="s">
        <v>277</v>
      </c>
      <c r="K3080" s="1484">
        <f>'SANITATION DTA'!G568</f>
        <v>85</v>
      </c>
      <c r="L3080" s="1159" t="s">
        <v>2318</v>
      </c>
      <c r="M3080" s="1564">
        <f>ROUND(I3080*K3080,0)</f>
        <v>0</v>
      </c>
      <c r="N3080" s="1161" t="s">
        <v>2318</v>
      </c>
      <c r="O3080" s="1557" t="s">
        <v>0</v>
      </c>
    </row>
    <row r="3081" spans="1:17" s="1557" customFormat="1" ht="20.25" hidden="1" customHeight="1">
      <c r="A3081" s="1554">
        <v>14</v>
      </c>
      <c r="B3081" s="1855" t="s">
        <v>284</v>
      </c>
      <c r="C3081" s="1855"/>
      <c r="D3081" s="1855"/>
      <c r="E3081" s="1855"/>
      <c r="F3081" s="1855"/>
      <c r="G3081" s="1855"/>
      <c r="H3081" s="1855"/>
      <c r="I3081" s="1555"/>
      <c r="J3081" s="1355"/>
      <c r="K3081" s="1554"/>
      <c r="L3081" s="1554"/>
      <c r="M3081" s="1556"/>
      <c r="N3081" s="1161" t="s">
        <v>2318</v>
      </c>
      <c r="O3081" s="1557" t="s">
        <v>0</v>
      </c>
      <c r="Q3081" s="1557" t="s">
        <v>0</v>
      </c>
    </row>
    <row r="3082" spans="1:17" s="1170" customFormat="1" ht="16.5" hidden="1" customHeight="1">
      <c r="A3082" s="1156"/>
      <c r="B3082" s="1365" t="s">
        <v>2350</v>
      </c>
      <c r="C3082" s="1351"/>
      <c r="D3082" s="1418"/>
      <c r="E3082" s="1352"/>
      <c r="F3082" s="1234"/>
      <c r="G3082" s="1234"/>
      <c r="H3082" s="1235"/>
      <c r="I3082" s="1353"/>
      <c r="J3082" s="1357"/>
      <c r="K3082" s="1169"/>
      <c r="L3082" s="1156"/>
      <c r="M3082" s="1169"/>
      <c r="N3082" s="1161" t="s">
        <v>2318</v>
      </c>
    </row>
    <row r="3083" spans="1:17" s="1557" customFormat="1" ht="15.75" hidden="1">
      <c r="A3083" s="1554"/>
      <c r="B3083" s="1358"/>
      <c r="C3083" s="1558">
        <v>1</v>
      </c>
      <c r="D3083" s="1346" t="s">
        <v>273</v>
      </c>
      <c r="E3083" s="1355">
        <v>1</v>
      </c>
      <c r="F3083" s="1356">
        <v>0</v>
      </c>
      <c r="G3083" s="1484">
        <v>0</v>
      </c>
      <c r="H3083" s="1356">
        <v>0</v>
      </c>
      <c r="I3083" s="1559">
        <f>ROUND(IF(AND(F3083:H3083),C3083*E3083*F3083*G3083*H3083,IF(AND(F3083,G3083),C3083*E3083*F3083*G3083,IF(AND(F3083,H3083),C3083*E3083*F3083*H3083,IF(AND(G3083,H3083),C3083*E3083*G3083*H3083,IF(F3083,C3083*E3083*F3083,IF(G3083,C3083*E3083*G3083,IF(H3083,C3083*E3083*H3083,C3083*E3083))))))),2)</f>
        <v>1</v>
      </c>
      <c r="J3083" s="1439" t="s">
        <v>115</v>
      </c>
      <c r="K3083" s="1554"/>
      <c r="L3083" s="1554"/>
      <c r="M3083" s="1556"/>
      <c r="N3083" s="1161" t="s">
        <v>2318</v>
      </c>
    </row>
    <row r="3084" spans="1:17" s="1557" customFormat="1" ht="15.75" hidden="1">
      <c r="A3084" s="1554"/>
      <c r="B3084" s="1358"/>
      <c r="C3084" s="1558"/>
      <c r="D3084" s="1346"/>
      <c r="E3084" s="1355"/>
      <c r="F3084" s="1356"/>
      <c r="G3084" s="1484"/>
      <c r="H3084" s="1356"/>
      <c r="I3084" s="1559"/>
      <c r="J3084" s="1439"/>
      <c r="K3084" s="1554"/>
      <c r="L3084" s="1554"/>
      <c r="M3084" s="1556"/>
      <c r="N3084" s="1161" t="s">
        <v>2318</v>
      </c>
    </row>
    <row r="3085" spans="1:17" s="1557" customFormat="1" ht="15.75" hidden="1">
      <c r="A3085" s="1554"/>
      <c r="B3085" s="1756"/>
      <c r="C3085" s="1560"/>
      <c r="D3085" s="1346"/>
      <c r="E3085" s="1355"/>
      <c r="F3085" s="1561"/>
      <c r="G3085" s="1562"/>
      <c r="H3085" s="1561"/>
      <c r="I3085" s="1563"/>
      <c r="J3085" s="1439" t="s">
        <v>115</v>
      </c>
      <c r="K3085" s="1484">
        <f>'SANITATION DTA'!G574</f>
        <v>300</v>
      </c>
      <c r="L3085" s="1159" t="s">
        <v>2318</v>
      </c>
      <c r="M3085" s="1564">
        <f>ROUND(I3085*K3085,0)</f>
        <v>0</v>
      </c>
      <c r="N3085" s="1161" t="s">
        <v>2318</v>
      </c>
      <c r="O3085" s="1557" t="s">
        <v>0</v>
      </c>
    </row>
    <row r="3086" spans="1:17" s="1557" customFormat="1" ht="20.25" hidden="1" customHeight="1">
      <c r="A3086" s="1554">
        <v>15</v>
      </c>
      <c r="B3086" s="1855" t="s">
        <v>285</v>
      </c>
      <c r="C3086" s="1855"/>
      <c r="D3086" s="1855"/>
      <c r="E3086" s="1855"/>
      <c r="F3086" s="1855"/>
      <c r="G3086" s="1855"/>
      <c r="H3086" s="1855"/>
      <c r="I3086" s="1555"/>
      <c r="J3086" s="1355"/>
      <c r="K3086" s="1554"/>
      <c r="L3086" s="1554"/>
      <c r="M3086" s="1556"/>
      <c r="N3086" s="1161" t="s">
        <v>2318</v>
      </c>
      <c r="O3086" s="1557" t="s">
        <v>0</v>
      </c>
      <c r="Q3086" s="1557" t="s">
        <v>0</v>
      </c>
    </row>
    <row r="3087" spans="1:17" s="1170" customFormat="1" ht="16.5" hidden="1" customHeight="1">
      <c r="A3087" s="1156"/>
      <c r="B3087" s="1169" t="s">
        <v>2142</v>
      </c>
      <c r="C3087" s="1351"/>
      <c r="D3087" s="1418"/>
      <c r="E3087" s="1352"/>
      <c r="F3087" s="1234"/>
      <c r="G3087" s="1234"/>
      <c r="H3087" s="1235"/>
      <c r="I3087" s="1353"/>
      <c r="J3087" s="1357"/>
      <c r="K3087" s="1169"/>
      <c r="L3087" s="1156"/>
      <c r="M3087" s="1169"/>
      <c r="N3087" s="1161" t="s">
        <v>2318</v>
      </c>
    </row>
    <row r="3088" spans="1:17" s="1557" customFormat="1" ht="15.75" hidden="1">
      <c r="A3088" s="1554"/>
      <c r="B3088" s="1358"/>
      <c r="C3088" s="1558">
        <v>1</v>
      </c>
      <c r="D3088" s="1346" t="s">
        <v>273</v>
      </c>
      <c r="E3088" s="1355">
        <v>1</v>
      </c>
      <c r="F3088" s="1356">
        <v>0.5</v>
      </c>
      <c r="G3088" s="1484">
        <v>0</v>
      </c>
      <c r="H3088" s="1356">
        <v>0</v>
      </c>
      <c r="I3088" s="1566">
        <f>ROUND(IF(AND(F3088:H3088),C3088*E3088*F3088*G3088*H3088,IF(AND(F3088,G3088),C3088*E3088*F3088*G3088,IF(AND(F3088,H3088),C3088*E3088*F3088*H3088,IF(AND(G3088,H3088),C3088*E3088*G3088*H3088,IF(F3088,C3088*E3088*F3088,IF(G3088,C3088*E3088*G3088,IF(H3088,C3088*E3088*H3088,C3088*E3088))))))),2)</f>
        <v>0.5</v>
      </c>
      <c r="J3088" s="1439" t="s">
        <v>277</v>
      </c>
      <c r="K3088" s="1554"/>
      <c r="L3088" s="1554"/>
      <c r="M3088" s="1556"/>
      <c r="N3088" s="1161" t="s">
        <v>2318</v>
      </c>
    </row>
    <row r="3089" spans="1:17" s="1557" customFormat="1" ht="15.75" hidden="1">
      <c r="A3089" s="1554"/>
      <c r="B3089" s="1358"/>
      <c r="C3089" s="1558"/>
      <c r="D3089" s="1346"/>
      <c r="E3089" s="1355"/>
      <c r="F3089" s="1356"/>
      <c r="G3089" s="1484"/>
      <c r="H3089" s="1356"/>
      <c r="I3089" s="1566"/>
      <c r="J3089" s="1439"/>
      <c r="K3089" s="1554"/>
      <c r="L3089" s="1554"/>
      <c r="M3089" s="1556"/>
      <c r="N3089" s="1161" t="s">
        <v>2318</v>
      </c>
    </row>
    <row r="3090" spans="1:17" s="1557" customFormat="1" ht="15.75" hidden="1">
      <c r="A3090" s="1554"/>
      <c r="B3090" s="1756"/>
      <c r="C3090" s="1560"/>
      <c r="D3090" s="1346"/>
      <c r="E3090" s="1355"/>
      <c r="F3090" s="1561"/>
      <c r="G3090" s="1562"/>
      <c r="H3090" s="1561"/>
      <c r="I3090" s="1483"/>
      <c r="J3090" s="1439" t="s">
        <v>277</v>
      </c>
      <c r="K3090" s="1484">
        <f>'SANITATION DTA'!G577</f>
        <v>400</v>
      </c>
      <c r="L3090" s="1159" t="s">
        <v>2318</v>
      </c>
      <c r="M3090" s="1564">
        <f>ROUND(I3090*K3090,0)</f>
        <v>0</v>
      </c>
      <c r="N3090" s="1161" t="s">
        <v>2318</v>
      </c>
      <c r="O3090" s="1557" t="s">
        <v>0</v>
      </c>
    </row>
    <row r="3091" spans="1:17" s="1557" customFormat="1" ht="20.25" hidden="1" customHeight="1">
      <c r="A3091" s="1554">
        <v>17</v>
      </c>
      <c r="B3091" s="1855" t="s">
        <v>286</v>
      </c>
      <c r="C3091" s="1855"/>
      <c r="D3091" s="1855"/>
      <c r="E3091" s="1855"/>
      <c r="F3091" s="1855"/>
      <c r="G3091" s="1855"/>
      <c r="H3091" s="1855"/>
      <c r="I3091" s="1555"/>
      <c r="J3091" s="1355"/>
      <c r="K3091" s="1554"/>
      <c r="L3091" s="1554"/>
      <c r="M3091" s="1556"/>
      <c r="N3091" s="1161" t="s">
        <v>2318</v>
      </c>
      <c r="O3091" s="1557" t="s">
        <v>0</v>
      </c>
      <c r="Q3091" s="1557" t="s">
        <v>0</v>
      </c>
    </row>
    <row r="3092" spans="1:17" s="1170" customFormat="1" ht="16.5" hidden="1" customHeight="1">
      <c r="A3092" s="1156"/>
      <c r="B3092" s="1169" t="s">
        <v>2351</v>
      </c>
      <c r="C3092" s="1351"/>
      <c r="D3092" s="1418"/>
      <c r="E3092" s="1352"/>
      <c r="F3092" s="1234"/>
      <c r="G3092" s="1234"/>
      <c r="H3092" s="1235"/>
      <c r="I3092" s="1353"/>
      <c r="J3092" s="1357"/>
      <c r="K3092" s="1169"/>
      <c r="L3092" s="1156"/>
      <c r="M3092" s="1169"/>
      <c r="N3092" s="1161" t="s">
        <v>2318</v>
      </c>
    </row>
    <row r="3093" spans="1:17" s="1557" customFormat="1" ht="15.75" hidden="1">
      <c r="A3093" s="1554"/>
      <c r="B3093" s="1358"/>
      <c r="C3093" s="1558">
        <v>1</v>
      </c>
      <c r="D3093" s="1346" t="s">
        <v>273</v>
      </c>
      <c r="E3093" s="1355">
        <v>1</v>
      </c>
      <c r="F3093" s="1356">
        <v>0</v>
      </c>
      <c r="G3093" s="1484">
        <v>0</v>
      </c>
      <c r="H3093" s="1356">
        <v>0</v>
      </c>
      <c r="I3093" s="1559">
        <f>ROUND(IF(AND(F3093:H3093),C3093*E3093*F3093*G3093*H3093,IF(AND(F3093,G3093),C3093*E3093*F3093*G3093,IF(AND(F3093,H3093),C3093*E3093*F3093*H3093,IF(AND(G3093,H3093),C3093*E3093*G3093*H3093,IF(F3093,C3093*E3093*F3093,IF(G3093,C3093*E3093*G3093,IF(H3093,C3093*E3093*H3093,C3093*E3093))))))),2)</f>
        <v>1</v>
      </c>
      <c r="J3093" s="1439" t="s">
        <v>115</v>
      </c>
      <c r="K3093" s="1554"/>
      <c r="L3093" s="1554"/>
      <c r="M3093" s="1556"/>
      <c r="N3093" s="1161" t="s">
        <v>2318</v>
      </c>
    </row>
    <row r="3094" spans="1:17" s="1557" customFormat="1" ht="15.75" hidden="1">
      <c r="A3094" s="1554"/>
      <c r="B3094" s="1358"/>
      <c r="C3094" s="1558"/>
      <c r="D3094" s="1346"/>
      <c r="E3094" s="1355"/>
      <c r="F3094" s="1356"/>
      <c r="G3094" s="1484"/>
      <c r="H3094" s="1356"/>
      <c r="I3094" s="1559"/>
      <c r="J3094" s="1439"/>
      <c r="K3094" s="1554"/>
      <c r="L3094" s="1554"/>
      <c r="M3094" s="1556"/>
      <c r="N3094" s="1161" t="s">
        <v>2318</v>
      </c>
    </row>
    <row r="3095" spans="1:17" s="1557" customFormat="1" ht="15.75" hidden="1">
      <c r="A3095" s="1554"/>
      <c r="B3095" s="1756"/>
      <c r="C3095" s="1560"/>
      <c r="D3095" s="1346"/>
      <c r="E3095" s="1355"/>
      <c r="F3095" s="1561"/>
      <c r="G3095" s="1562"/>
      <c r="H3095" s="1561"/>
      <c r="I3095" s="1563"/>
      <c r="J3095" s="1439" t="s">
        <v>115</v>
      </c>
      <c r="K3095" s="1484">
        <f>'SANITATION DTA'!G580</f>
        <v>77</v>
      </c>
      <c r="L3095" s="1159" t="s">
        <v>2318</v>
      </c>
      <c r="M3095" s="1564">
        <f>ROUND(I3095*K3095,0)</f>
        <v>0</v>
      </c>
      <c r="N3095" s="1161" t="s">
        <v>2318</v>
      </c>
      <c r="O3095" s="1557" t="s">
        <v>0</v>
      </c>
    </row>
    <row r="3096" spans="1:17" s="1557" customFormat="1" ht="20.25" hidden="1" customHeight="1">
      <c r="A3096" s="1554">
        <v>18</v>
      </c>
      <c r="B3096" s="1855" t="s">
        <v>287</v>
      </c>
      <c r="C3096" s="1855"/>
      <c r="D3096" s="1855"/>
      <c r="E3096" s="1855"/>
      <c r="F3096" s="1855"/>
      <c r="G3096" s="1855"/>
      <c r="H3096" s="1855"/>
      <c r="I3096" s="1555"/>
      <c r="J3096" s="1355"/>
      <c r="K3096" s="1554"/>
      <c r="L3096" s="1554"/>
      <c r="M3096" s="1556"/>
      <c r="N3096" s="1161" t="s">
        <v>2318</v>
      </c>
      <c r="O3096" s="1557" t="s">
        <v>0</v>
      </c>
      <c r="Q3096" s="1557" t="s">
        <v>0</v>
      </c>
    </row>
    <row r="3097" spans="1:17" s="1170" customFormat="1" ht="16.5" hidden="1" customHeight="1">
      <c r="A3097" s="1156"/>
      <c r="B3097" s="1365" t="s">
        <v>2352</v>
      </c>
      <c r="C3097" s="1351"/>
      <c r="D3097" s="1418"/>
      <c r="E3097" s="1352"/>
      <c r="F3097" s="1234"/>
      <c r="G3097" s="1234"/>
      <c r="H3097" s="1235"/>
      <c r="I3097" s="1353"/>
      <c r="J3097" s="1357"/>
      <c r="K3097" s="1169"/>
      <c r="L3097" s="1156"/>
      <c r="M3097" s="1169"/>
      <c r="N3097" s="1161" t="s">
        <v>2318</v>
      </c>
    </row>
    <row r="3098" spans="1:17" s="1557" customFormat="1" ht="15.75" hidden="1">
      <c r="A3098" s="1554"/>
      <c r="B3098" s="1358"/>
      <c r="C3098" s="1558">
        <v>1</v>
      </c>
      <c r="D3098" s="1346" t="s">
        <v>273</v>
      </c>
      <c r="E3098" s="1355">
        <v>1</v>
      </c>
      <c r="F3098" s="1356">
        <v>0</v>
      </c>
      <c r="G3098" s="1484">
        <v>0</v>
      </c>
      <c r="H3098" s="1356">
        <v>0</v>
      </c>
      <c r="I3098" s="1559">
        <f>ROUND(IF(AND(F3098:H3098),C3098*E3098*F3098*G3098*H3098,IF(AND(F3098,G3098),C3098*E3098*F3098*G3098,IF(AND(F3098,H3098),C3098*E3098*F3098*H3098,IF(AND(G3098,H3098),C3098*E3098*G3098*H3098,IF(F3098,C3098*E3098*F3098,IF(G3098,C3098*E3098*G3098,IF(H3098,C3098*E3098*H3098,C3098*E3098))))))),2)</f>
        <v>1</v>
      </c>
      <c r="J3098" s="1439" t="s">
        <v>115</v>
      </c>
      <c r="K3098" s="1554"/>
      <c r="L3098" s="1554"/>
      <c r="M3098" s="1556"/>
      <c r="N3098" s="1161" t="s">
        <v>2318</v>
      </c>
    </row>
    <row r="3099" spans="1:17" s="1557" customFormat="1" ht="15.75" hidden="1">
      <c r="A3099" s="1554"/>
      <c r="B3099" s="1358"/>
      <c r="C3099" s="1558"/>
      <c r="D3099" s="1346"/>
      <c r="E3099" s="1355"/>
      <c r="F3099" s="1356"/>
      <c r="G3099" s="1484"/>
      <c r="H3099" s="1356"/>
      <c r="I3099" s="1559"/>
      <c r="J3099" s="1439"/>
      <c r="K3099" s="1554"/>
      <c r="L3099" s="1554"/>
      <c r="M3099" s="1556"/>
      <c r="N3099" s="1161" t="s">
        <v>2318</v>
      </c>
    </row>
    <row r="3100" spans="1:17" s="1557" customFormat="1" ht="15.75" hidden="1">
      <c r="A3100" s="1554"/>
      <c r="B3100" s="1756"/>
      <c r="C3100" s="1560"/>
      <c r="D3100" s="1346"/>
      <c r="E3100" s="1355"/>
      <c r="F3100" s="1561"/>
      <c r="G3100" s="1562"/>
      <c r="H3100" s="1561"/>
      <c r="I3100" s="1563"/>
      <c r="J3100" s="1439" t="s">
        <v>115</v>
      </c>
      <c r="K3100" s="1484">
        <f>'SANITATION DTA'!G571</f>
        <v>194</v>
      </c>
      <c r="L3100" s="1159" t="s">
        <v>2318</v>
      </c>
      <c r="M3100" s="1564">
        <f>ROUND(I3100*K3100,0)</f>
        <v>0</v>
      </c>
      <c r="N3100" s="1161" t="s">
        <v>2318</v>
      </c>
      <c r="O3100" s="1557" t="s">
        <v>0</v>
      </c>
    </row>
    <row r="3101" spans="1:17" s="1557" customFormat="1" ht="48" hidden="1" customHeight="1">
      <c r="A3101" s="1554">
        <v>16</v>
      </c>
      <c r="B3101" s="1855" t="s">
        <v>288</v>
      </c>
      <c r="C3101" s="1855"/>
      <c r="D3101" s="1855"/>
      <c r="E3101" s="1855"/>
      <c r="F3101" s="1855"/>
      <c r="G3101" s="1855"/>
      <c r="H3101" s="1855"/>
      <c r="I3101" s="1555"/>
      <c r="J3101" s="1355"/>
      <c r="K3101" s="1554"/>
      <c r="L3101" s="1554"/>
      <c r="M3101" s="1556"/>
      <c r="N3101" s="1161" t="s">
        <v>2318</v>
      </c>
      <c r="O3101" s="1557" t="s">
        <v>0</v>
      </c>
      <c r="Q3101" s="1557" t="s">
        <v>0</v>
      </c>
    </row>
    <row r="3102" spans="1:17" s="1170" customFormat="1" ht="16.5" hidden="1" customHeight="1">
      <c r="A3102" s="1156"/>
      <c r="B3102" s="1365" t="s">
        <v>2350</v>
      </c>
      <c r="C3102" s="1351"/>
      <c r="D3102" s="1418"/>
      <c r="E3102" s="1352"/>
      <c r="F3102" s="1234"/>
      <c r="G3102" s="1234"/>
      <c r="H3102" s="1235"/>
      <c r="I3102" s="1353"/>
      <c r="J3102" s="1357"/>
      <c r="K3102" s="1169"/>
      <c r="L3102" s="1156"/>
      <c r="M3102" s="1169"/>
      <c r="N3102" s="1161" t="s">
        <v>2318</v>
      </c>
    </row>
    <row r="3103" spans="1:17" s="1557" customFormat="1" ht="15.75" hidden="1">
      <c r="A3103" s="1554"/>
      <c r="B3103" s="1358"/>
      <c r="C3103" s="1558">
        <v>1</v>
      </c>
      <c r="D3103" s="1346" t="s">
        <v>273</v>
      </c>
      <c r="E3103" s="1355">
        <v>1</v>
      </c>
      <c r="F3103" s="1484">
        <v>96</v>
      </c>
      <c r="G3103" s="1484">
        <v>0</v>
      </c>
      <c r="H3103" s="1356">
        <v>0</v>
      </c>
      <c r="I3103" s="1566">
        <f>ROUND(IF(AND(F3103:H3103),C3103*E3103*F3103*G3103*H3103,IF(AND(F3103,G3103),C3103*E3103*F3103*G3103,IF(AND(F3103,H3103),C3103*E3103*F3103*H3103,IF(AND(G3103,H3103),C3103*E3103*G3103*H3103,IF(F3103,C3103*E3103*F3103,IF(G3103,C3103*E3103*G3103,IF(H3103,C3103*E3103*H3103,C3103*E3103))))))),2)</f>
        <v>96</v>
      </c>
      <c r="J3103" s="1439" t="s">
        <v>277</v>
      </c>
      <c r="K3103" s="1554"/>
      <c r="L3103" s="1554"/>
      <c r="M3103" s="1556"/>
      <c r="N3103" s="1161" t="s">
        <v>2318</v>
      </c>
    </row>
    <row r="3104" spans="1:17" s="1557" customFormat="1" ht="15.75" hidden="1">
      <c r="A3104" s="1554"/>
      <c r="B3104" s="1358"/>
      <c r="C3104" s="1558"/>
      <c r="D3104" s="1346"/>
      <c r="E3104" s="1355"/>
      <c r="F3104" s="1484"/>
      <c r="G3104" s="1484"/>
      <c r="H3104" s="1356"/>
      <c r="I3104" s="1566"/>
      <c r="J3104" s="1439"/>
      <c r="K3104" s="1554"/>
      <c r="L3104" s="1554"/>
      <c r="M3104" s="1556"/>
      <c r="N3104" s="1161" t="s">
        <v>2318</v>
      </c>
    </row>
    <row r="3105" spans="1:17" s="1557" customFormat="1" ht="17.25" hidden="1" customHeight="1">
      <c r="A3105" s="1554"/>
      <c r="B3105" s="1756"/>
      <c r="C3105" s="1560"/>
      <c r="D3105" s="1346"/>
      <c r="E3105" s="1355"/>
      <c r="F3105" s="1561"/>
      <c r="G3105" s="1562"/>
      <c r="H3105" s="1561"/>
      <c r="I3105" s="1483"/>
      <c r="J3105" s="1439" t="s">
        <v>277</v>
      </c>
      <c r="K3105" s="1484">
        <f>'SANITATION DTA'!G583</f>
        <v>105</v>
      </c>
      <c r="L3105" s="1159" t="s">
        <v>2318</v>
      </c>
      <c r="M3105" s="1564">
        <f>ROUND(I3105*K3105,0)</f>
        <v>0</v>
      </c>
      <c r="N3105" s="1161" t="s">
        <v>2318</v>
      </c>
      <c r="O3105" s="1557" t="s">
        <v>0</v>
      </c>
    </row>
    <row r="3106" spans="1:17" s="1557" customFormat="1" ht="81" hidden="1" customHeight="1">
      <c r="A3106" s="1554">
        <v>17</v>
      </c>
      <c r="B3106" s="1856" t="s">
        <v>381</v>
      </c>
      <c r="C3106" s="1855"/>
      <c r="D3106" s="1855"/>
      <c r="E3106" s="1855"/>
      <c r="F3106" s="1855"/>
      <c r="G3106" s="1855"/>
      <c r="H3106" s="1855"/>
      <c r="I3106" s="1555"/>
      <c r="J3106" s="1355"/>
      <c r="K3106" s="1554"/>
      <c r="L3106" s="1554"/>
      <c r="M3106" s="1556"/>
      <c r="N3106" s="1161" t="s">
        <v>2318</v>
      </c>
      <c r="O3106" s="1557" t="s">
        <v>0</v>
      </c>
      <c r="Q3106" s="1557" t="s">
        <v>0</v>
      </c>
    </row>
    <row r="3107" spans="1:17" s="1170" customFormat="1" ht="16.5" hidden="1" customHeight="1">
      <c r="A3107" s="1156"/>
      <c r="B3107" s="1365" t="s">
        <v>2352</v>
      </c>
      <c r="C3107" s="1351"/>
      <c r="D3107" s="1418"/>
      <c r="E3107" s="1352"/>
      <c r="F3107" s="1234"/>
      <c r="G3107" s="1234"/>
      <c r="H3107" s="1235"/>
      <c r="I3107" s="1353"/>
      <c r="J3107" s="1357"/>
      <c r="K3107" s="1169"/>
      <c r="L3107" s="1156"/>
      <c r="M3107" s="1169"/>
      <c r="N3107" s="1161" t="s">
        <v>2318</v>
      </c>
    </row>
    <row r="3108" spans="1:17" s="1557" customFormat="1" ht="15.75" hidden="1">
      <c r="A3108" s="1554"/>
      <c r="B3108" s="1358"/>
      <c r="C3108" s="1558">
        <v>1</v>
      </c>
      <c r="D3108" s="1346" t="s">
        <v>273</v>
      </c>
      <c r="E3108" s="1355">
        <v>1</v>
      </c>
      <c r="F3108" s="1356">
        <v>0</v>
      </c>
      <c r="G3108" s="1484">
        <v>0</v>
      </c>
      <c r="H3108" s="1356">
        <v>0</v>
      </c>
      <c r="I3108" s="1559">
        <f>ROUND(IF(AND(F3108:H3108),C3108*E3108*F3108*G3108*H3108,IF(AND(F3108,G3108),C3108*E3108*F3108*G3108,IF(AND(F3108,H3108),C3108*E3108*F3108*H3108,IF(AND(G3108,H3108),C3108*E3108*G3108*H3108,IF(F3108,C3108*E3108*F3108,IF(G3108,C3108*E3108*G3108,IF(H3108,C3108*E3108*H3108,C3108*E3108))))))),2)</f>
        <v>1</v>
      </c>
      <c r="J3108" s="1439" t="s">
        <v>115</v>
      </c>
      <c r="K3108" s="1554"/>
      <c r="L3108" s="1554"/>
      <c r="M3108" s="1556"/>
      <c r="N3108" s="1161" t="s">
        <v>2318</v>
      </c>
    </row>
    <row r="3109" spans="1:17" s="1557" customFormat="1" ht="15.75" hidden="1">
      <c r="A3109" s="1554"/>
      <c r="B3109" s="1358"/>
      <c r="C3109" s="1558"/>
      <c r="D3109" s="1346"/>
      <c r="E3109" s="1355"/>
      <c r="F3109" s="1356"/>
      <c r="G3109" s="1484"/>
      <c r="H3109" s="1356"/>
      <c r="I3109" s="1559"/>
      <c r="J3109" s="1439"/>
      <c r="K3109" s="1554"/>
      <c r="L3109" s="1554"/>
      <c r="M3109" s="1556"/>
      <c r="N3109" s="1161" t="s">
        <v>2318</v>
      </c>
    </row>
    <row r="3110" spans="1:17" s="1557" customFormat="1" ht="17.25" hidden="1" customHeight="1">
      <c r="A3110" s="1554"/>
      <c r="B3110" s="1756"/>
      <c r="C3110" s="1560"/>
      <c r="D3110" s="1346"/>
      <c r="E3110" s="1355"/>
      <c r="F3110" s="1561"/>
      <c r="G3110" s="1562"/>
      <c r="H3110" s="1561"/>
      <c r="I3110" s="1563"/>
      <c r="J3110" s="1439" t="s">
        <v>115</v>
      </c>
      <c r="K3110" s="1484">
        <f>'SANITATION DTA'!G586</f>
        <v>5445</v>
      </c>
      <c r="L3110" s="1159" t="s">
        <v>2318</v>
      </c>
      <c r="M3110" s="1564">
        <f>ROUND(I3110*K3110,0)</f>
        <v>0</v>
      </c>
      <c r="N3110" s="1161" t="s">
        <v>2318</v>
      </c>
      <c r="O3110" s="1557" t="s">
        <v>0</v>
      </c>
    </row>
    <row r="3111" spans="1:17" s="1320" customFormat="1" ht="15.75" hidden="1">
      <c r="A3111" s="1212"/>
      <c r="B3111" s="1212" t="s">
        <v>2433</v>
      </c>
      <c r="C3111" s="1212"/>
      <c r="D3111" s="1212"/>
      <c r="E3111" s="1212"/>
      <c r="F3111" s="1240"/>
      <c r="G3111" s="1240"/>
      <c r="H3111" s="1212"/>
      <c r="I3111" s="1546"/>
      <c r="J3111" s="1547"/>
      <c r="K3111" s="1212"/>
      <c r="L3111" s="1212"/>
      <c r="M3111" s="1212"/>
      <c r="N3111" s="1161" t="s">
        <v>2218</v>
      </c>
    </row>
    <row r="3112" spans="1:17" s="1575" customFormat="1" ht="56.25" customHeight="1">
      <c r="A3112" s="1570">
        <v>35</v>
      </c>
      <c r="B3112" s="1827" t="s">
        <v>585</v>
      </c>
      <c r="C3112" s="1827"/>
      <c r="D3112" s="1827"/>
      <c r="E3112" s="1827"/>
      <c r="F3112" s="1827"/>
      <c r="G3112" s="1827"/>
      <c r="H3112" s="1827"/>
      <c r="I3112" s="1571"/>
      <c r="J3112" s="1572"/>
      <c r="K3112" s="1570"/>
      <c r="L3112" s="1570"/>
      <c r="M3112" s="1577"/>
      <c r="N3112" s="1578" t="s">
        <v>2218</v>
      </c>
    </row>
    <row r="3113" spans="1:17" s="1586" customFormat="1" ht="16.5" customHeight="1">
      <c r="A3113" s="1570"/>
      <c r="B3113" s="1579" t="s">
        <v>3764</v>
      </c>
      <c r="C3113" s="1613"/>
      <c r="D3113" s="1790" t="s">
        <v>3879</v>
      </c>
      <c r="E3113" s="1614"/>
      <c r="F3113" s="1615"/>
      <c r="G3113" s="1595"/>
      <c r="H3113" s="1596"/>
      <c r="I3113" s="1597"/>
      <c r="J3113" s="1616"/>
      <c r="K3113" s="1585"/>
      <c r="L3113" s="1570"/>
      <c r="M3113" s="1585"/>
      <c r="N3113" s="1578" t="s">
        <v>2218</v>
      </c>
    </row>
    <row r="3114" spans="1:17" s="1586" customFormat="1" ht="16.5" customHeight="1">
      <c r="A3114" s="1570"/>
      <c r="B3114" s="1617" t="s">
        <v>583</v>
      </c>
      <c r="C3114" s="1618">
        <v>1</v>
      </c>
      <c r="D3114" s="1619" t="s">
        <v>273</v>
      </c>
      <c r="E3114" s="1620">
        <v>2</v>
      </c>
      <c r="F3114" s="1621">
        <v>15</v>
      </c>
      <c r="G3114" s="1622">
        <v>0</v>
      </c>
      <c r="H3114" s="1622">
        <v>0</v>
      </c>
      <c r="I3114" s="1605">
        <f t="shared" ref="I3114:I3116" si="165">ROUND(IF(AND(F3114:H3114),C3114*E3114*F3114*G3114*H3114,IF(AND(F3114,G3114),C3114*E3114*F3114*G3114,IF(AND(F3114,H3114),C3114*E3114*F3114*H3114,IF(AND(G3114,H3114),C3114*E3114*G3114*H3114,IF(F3114,C3114*E3114*F3114,IF(G3114,C3114*E3114*G3114,IF(H3114,C3114*E3114*H3114,C3114*E3114))))))),2)</f>
        <v>30</v>
      </c>
      <c r="J3114" s="1616" t="s">
        <v>277</v>
      </c>
      <c r="K3114" s="1585"/>
      <c r="L3114" s="1570"/>
      <c r="M3114" s="1585"/>
      <c r="N3114" s="1578" t="s">
        <v>2218</v>
      </c>
    </row>
    <row r="3115" spans="1:17" s="1586" customFormat="1" ht="16.5" customHeight="1">
      <c r="A3115" s="1570"/>
      <c r="B3115" s="1617"/>
      <c r="C3115" s="1618">
        <v>1</v>
      </c>
      <c r="D3115" s="1619" t="s">
        <v>273</v>
      </c>
      <c r="E3115" s="1620">
        <v>5</v>
      </c>
      <c r="F3115" s="1621">
        <v>4</v>
      </c>
      <c r="G3115" s="1622">
        <v>0</v>
      </c>
      <c r="H3115" s="1622">
        <v>0</v>
      </c>
      <c r="I3115" s="1605">
        <f t="shared" si="165"/>
        <v>20</v>
      </c>
      <c r="J3115" s="1616" t="s">
        <v>277</v>
      </c>
      <c r="K3115" s="1585"/>
      <c r="L3115" s="1570"/>
      <c r="M3115" s="1585"/>
      <c r="N3115" s="1578" t="s">
        <v>2218</v>
      </c>
    </row>
    <row r="3116" spans="1:17" s="1586" customFormat="1" ht="16.5" customHeight="1">
      <c r="A3116" s="1570"/>
      <c r="B3116" s="1617"/>
      <c r="C3116" s="1618">
        <v>1</v>
      </c>
      <c r="D3116" s="1619" t="s">
        <v>273</v>
      </c>
      <c r="E3116" s="1620">
        <v>2</v>
      </c>
      <c r="F3116" s="1621">
        <v>5</v>
      </c>
      <c r="G3116" s="1622">
        <v>0</v>
      </c>
      <c r="H3116" s="1622">
        <v>0</v>
      </c>
      <c r="I3116" s="1605">
        <f t="shared" si="165"/>
        <v>10</v>
      </c>
      <c r="J3116" s="1616" t="s">
        <v>277</v>
      </c>
      <c r="K3116" s="1585"/>
      <c r="L3116" s="1570"/>
      <c r="M3116" s="1585"/>
      <c r="N3116" s="1578" t="s">
        <v>2218</v>
      </c>
    </row>
    <row r="3117" spans="1:17" s="1586" customFormat="1" ht="16.5" customHeight="1">
      <c r="A3117" s="1570"/>
      <c r="B3117" s="1617"/>
      <c r="C3117" s="1618"/>
      <c r="D3117" s="1619"/>
      <c r="E3117" s="1620"/>
      <c r="F3117" s="1621"/>
      <c r="G3117" s="1622"/>
      <c r="H3117" s="1622"/>
      <c r="I3117" s="1605"/>
      <c r="J3117" s="1616"/>
      <c r="K3117" s="1585"/>
      <c r="L3117" s="1570"/>
      <c r="M3117" s="1585"/>
      <c r="N3117" s="1578" t="s">
        <v>2218</v>
      </c>
    </row>
    <row r="3118" spans="1:17" s="1575" customFormat="1" ht="15.75">
      <c r="A3118" s="1570"/>
      <c r="B3118" s="1585"/>
      <c r="C3118" s="1606"/>
      <c r="D3118" s="1587"/>
      <c r="E3118" s="1588"/>
      <c r="F3118" s="1589"/>
      <c r="G3118" s="1607"/>
      <c r="H3118" s="1570"/>
      <c r="I3118" s="1605">
        <f>SUM(I3114:I3117)</f>
        <v>60</v>
      </c>
      <c r="J3118" s="1616" t="s">
        <v>277</v>
      </c>
      <c r="K3118" s="1608">
        <f>'Ele Data'!I16</f>
        <v>71.040000000000006</v>
      </c>
      <c r="L3118" s="1573" t="s">
        <v>2218</v>
      </c>
      <c r="M3118" s="1609">
        <f>ROUND(I3118*K3118,0)</f>
        <v>4262</v>
      </c>
      <c r="N3118" s="1578" t="s">
        <v>2218</v>
      </c>
    </row>
    <row r="3119" spans="1:17" s="1575" customFormat="1" ht="56.25" customHeight="1">
      <c r="A3119" s="1570">
        <v>36</v>
      </c>
      <c r="B3119" s="1827" t="s">
        <v>307</v>
      </c>
      <c r="C3119" s="1827"/>
      <c r="D3119" s="1827"/>
      <c r="E3119" s="1827"/>
      <c r="F3119" s="1827"/>
      <c r="G3119" s="1827"/>
      <c r="H3119" s="1827"/>
      <c r="I3119" s="1571"/>
      <c r="J3119" s="1572"/>
      <c r="K3119" s="1570"/>
      <c r="L3119" s="1570"/>
      <c r="M3119" s="1577"/>
      <c r="N3119" s="1578" t="s">
        <v>2218</v>
      </c>
    </row>
    <row r="3120" spans="1:17" s="1586" customFormat="1" ht="16.5" customHeight="1">
      <c r="A3120" s="1570"/>
      <c r="B3120" s="1585" t="s">
        <v>3767</v>
      </c>
      <c r="C3120" s="1592"/>
      <c r="D3120" s="1790" t="s">
        <v>3878</v>
      </c>
      <c r="E3120" s="1594"/>
      <c r="F3120" s="1595"/>
      <c r="G3120" s="1595"/>
      <c r="H3120" s="1596"/>
      <c r="I3120" s="1597"/>
      <c r="J3120" s="1616"/>
      <c r="K3120" s="1585"/>
      <c r="L3120" s="1570"/>
      <c r="M3120" s="1585"/>
      <c r="N3120" s="1578" t="s">
        <v>2218</v>
      </c>
    </row>
    <row r="3121" spans="1:14" s="1586" customFormat="1" ht="16.5" customHeight="1">
      <c r="A3121" s="1570"/>
      <c r="B3121" s="1638" t="s">
        <v>3839</v>
      </c>
      <c r="C3121" s="1639">
        <v>1</v>
      </c>
      <c r="D3121" s="1640" t="s">
        <v>273</v>
      </c>
      <c r="E3121" s="1641">
        <v>1</v>
      </c>
      <c r="F3121" s="1622">
        <v>30</v>
      </c>
      <c r="G3121" s="1622">
        <v>0</v>
      </c>
      <c r="H3121" s="1622">
        <v>0</v>
      </c>
      <c r="I3121" s="1605">
        <f t="shared" ref="I3121:I3123" si="166">ROUND(IF(AND(F3121:H3121),C3121*E3121*F3121*G3121*H3121,IF(AND(F3121,G3121),C3121*E3121*F3121*G3121,IF(AND(F3121,H3121),C3121*E3121*F3121*H3121,IF(AND(G3121,H3121),C3121*E3121*G3121*H3121,IF(F3121,C3121*E3121*F3121,IF(G3121,C3121*E3121*G3121,IF(H3121,C3121*E3121*H3121,C3121*E3121))))))),2)</f>
        <v>30</v>
      </c>
      <c r="J3121" s="1616" t="s">
        <v>277</v>
      </c>
      <c r="K3121" s="1585"/>
      <c r="L3121" s="1570"/>
      <c r="M3121" s="1585"/>
      <c r="N3121" s="1578" t="s">
        <v>2218</v>
      </c>
    </row>
    <row r="3122" spans="1:14" s="1586" customFormat="1" ht="16.5" customHeight="1">
      <c r="A3122" s="1570"/>
      <c r="B3122" s="1638" t="s">
        <v>3422</v>
      </c>
      <c r="C3122" s="1639">
        <v>1</v>
      </c>
      <c r="D3122" s="1640" t="s">
        <v>273</v>
      </c>
      <c r="E3122" s="1641">
        <v>1</v>
      </c>
      <c r="F3122" s="1622">
        <v>15</v>
      </c>
      <c r="G3122" s="1622">
        <v>0</v>
      </c>
      <c r="H3122" s="1622">
        <v>0</v>
      </c>
      <c r="I3122" s="1605">
        <f t="shared" si="166"/>
        <v>15</v>
      </c>
      <c r="J3122" s="1616" t="s">
        <v>277</v>
      </c>
      <c r="K3122" s="1585"/>
      <c r="L3122" s="1570"/>
      <c r="M3122" s="1585"/>
      <c r="N3122" s="1578" t="s">
        <v>2218</v>
      </c>
    </row>
    <row r="3123" spans="1:14" s="1586" customFormat="1" ht="16.5" customHeight="1">
      <c r="A3123" s="1570"/>
      <c r="B3123" s="1638" t="s">
        <v>3353</v>
      </c>
      <c r="C3123" s="1639">
        <v>1</v>
      </c>
      <c r="D3123" s="1640" t="s">
        <v>273</v>
      </c>
      <c r="E3123" s="1641">
        <v>1</v>
      </c>
      <c r="F3123" s="1622">
        <v>15</v>
      </c>
      <c r="G3123" s="1622">
        <v>0</v>
      </c>
      <c r="H3123" s="1622">
        <v>0</v>
      </c>
      <c r="I3123" s="1605">
        <f t="shared" si="166"/>
        <v>15</v>
      </c>
      <c r="J3123" s="1616" t="s">
        <v>277</v>
      </c>
      <c r="K3123" s="1585"/>
      <c r="L3123" s="1570"/>
      <c r="M3123" s="1585"/>
      <c r="N3123" s="1578" t="s">
        <v>2218</v>
      </c>
    </row>
    <row r="3124" spans="1:14" s="1586" customFormat="1" ht="16.5" customHeight="1">
      <c r="A3124" s="1570"/>
      <c r="B3124" s="1600"/>
      <c r="C3124" s="1601"/>
      <c r="D3124" s="1602"/>
      <c r="E3124" s="1603"/>
      <c r="F3124" s="1604"/>
      <c r="G3124" s="1604"/>
      <c r="H3124" s="1604"/>
      <c r="I3124" s="1605"/>
      <c r="J3124" s="1616"/>
      <c r="K3124" s="1585"/>
      <c r="L3124" s="1570"/>
      <c r="M3124" s="1585"/>
      <c r="N3124" s="1578" t="s">
        <v>2218</v>
      </c>
    </row>
    <row r="3125" spans="1:14" s="1575" customFormat="1" ht="15.75">
      <c r="A3125" s="1570"/>
      <c r="B3125" s="1585"/>
      <c r="C3125" s="1606"/>
      <c r="D3125" s="1587"/>
      <c r="E3125" s="1588"/>
      <c r="F3125" s="1589"/>
      <c r="G3125" s="1607"/>
      <c r="H3125" s="1570"/>
      <c r="I3125" s="1605">
        <f>SUM(I3121:I3124)</f>
        <v>60</v>
      </c>
      <c r="J3125" s="1616" t="s">
        <v>277</v>
      </c>
      <c r="K3125" s="1608">
        <f>'Ele Data'!I31</f>
        <v>79.19</v>
      </c>
      <c r="L3125" s="1573" t="s">
        <v>2218</v>
      </c>
      <c r="M3125" s="1609">
        <f>ROUND(I3125*K3125,0)</f>
        <v>4751</v>
      </c>
      <c r="N3125" s="1578" t="s">
        <v>2218</v>
      </c>
    </row>
    <row r="3126" spans="1:14" ht="17.25" hidden="1" customHeight="1">
      <c r="A3126" s="1156">
        <v>3</v>
      </c>
      <c r="B3126" s="1826" t="s">
        <v>389</v>
      </c>
      <c r="C3126" s="1826"/>
      <c r="D3126" s="1826"/>
      <c r="E3126" s="1826"/>
      <c r="F3126" s="1826"/>
      <c r="G3126" s="1826"/>
      <c r="H3126" s="1826"/>
      <c r="I3126" s="1157"/>
      <c r="J3126" s="1158"/>
      <c r="K3126" s="1156"/>
      <c r="L3126" s="1156"/>
      <c r="M3126" s="1160"/>
      <c r="N3126" s="1161" t="s">
        <v>2218</v>
      </c>
    </row>
    <row r="3127" spans="1:14" s="1170" customFormat="1" ht="16.5" hidden="1" customHeight="1">
      <c r="A3127" s="1156"/>
      <c r="B3127" s="1358" t="s">
        <v>740</v>
      </c>
      <c r="C3127" s="1351"/>
      <c r="D3127" s="1418"/>
      <c r="E3127" s="1352"/>
      <c r="F3127" s="1234"/>
      <c r="G3127" s="1234"/>
      <c r="H3127" s="1235"/>
      <c r="I3127" s="1353"/>
      <c r="J3127" s="1357"/>
      <c r="K3127" s="1169"/>
      <c r="L3127" s="1156"/>
      <c r="M3127" s="1169"/>
      <c r="N3127" s="1161" t="s">
        <v>2218</v>
      </c>
    </row>
    <row r="3128" spans="1:14" s="1170" customFormat="1" ht="16.5" hidden="1" customHeight="1">
      <c r="A3128" s="1156"/>
      <c r="B3128" s="1331" t="s">
        <v>687</v>
      </c>
      <c r="C3128" s="1332"/>
      <c r="D3128" s="1333"/>
      <c r="E3128" s="1334"/>
      <c r="F3128" s="1335"/>
      <c r="G3128" s="1335"/>
      <c r="H3128" s="1335"/>
      <c r="I3128" s="1336"/>
      <c r="J3128" s="1357"/>
      <c r="K3128" s="1169"/>
      <c r="L3128" s="1156"/>
      <c r="M3128" s="1169"/>
      <c r="N3128" s="1161" t="s">
        <v>2218</v>
      </c>
    </row>
    <row r="3129" spans="1:14" s="1170" customFormat="1" ht="16.5" hidden="1" customHeight="1">
      <c r="A3129" s="1156"/>
      <c r="B3129" s="1331" t="s">
        <v>659</v>
      </c>
      <c r="C3129" s="1332">
        <v>1</v>
      </c>
      <c r="D3129" s="1333" t="s">
        <v>273</v>
      </c>
      <c r="E3129" s="1334">
        <v>1</v>
      </c>
      <c r="F3129" s="1335">
        <v>4</v>
      </c>
      <c r="G3129" s="1335">
        <v>0</v>
      </c>
      <c r="H3129" s="1335">
        <v>0</v>
      </c>
      <c r="I3129" s="1336">
        <f>ROUND(IF(AND(F3129:H3129),C3129*E3129*F3129*G3129*H3129,IF(AND(F3129,G3129),C3129*E3129*F3129*G3129,IF(AND(F3129,H3129),C3129*E3129*F3129*H3129,IF(AND(G3129,H3129),C3129*E3129*G3129*H3129,IF(F3129,C3129*E3129*F3129,IF(G3129,C3129*E3129*G3129,IF(H3129,C3129*E3129*H3129,C3129*E3129))))))),2)</f>
        <v>4</v>
      </c>
      <c r="J3129" s="1357" t="s">
        <v>277</v>
      </c>
      <c r="K3129" s="1169"/>
      <c r="L3129" s="1156"/>
      <c r="M3129" s="1169"/>
      <c r="N3129" s="1161" t="s">
        <v>2218</v>
      </c>
    </row>
    <row r="3130" spans="1:14" s="1170" customFormat="1" ht="16.5" hidden="1" customHeight="1">
      <c r="A3130" s="1156"/>
      <c r="B3130" s="1230" t="s">
        <v>688</v>
      </c>
      <c r="C3130" s="1332">
        <v>1</v>
      </c>
      <c r="D3130" s="1333" t="s">
        <v>273</v>
      </c>
      <c r="E3130" s="1334">
        <v>1</v>
      </c>
      <c r="F3130" s="1335">
        <v>1.8</v>
      </c>
      <c r="G3130" s="1335">
        <v>0</v>
      </c>
      <c r="H3130" s="1335">
        <v>0</v>
      </c>
      <c r="I3130" s="1336">
        <f>ROUND(IF(AND(F3130:H3130),C3130*E3130*F3130*G3130*H3130,IF(AND(F3130,G3130),C3130*E3130*F3130*G3130,IF(AND(F3130,H3130),C3130*E3130*F3130*H3130,IF(AND(G3130,H3130),C3130*E3130*G3130*H3130,IF(F3130,C3130*E3130*F3130,IF(G3130,C3130*E3130*G3130,IF(H3130,C3130*E3130*H3130,C3130*E3130))))))),2)</f>
        <v>1.8</v>
      </c>
      <c r="J3130" s="1357" t="s">
        <v>277</v>
      </c>
      <c r="K3130" s="1169"/>
      <c r="L3130" s="1156"/>
      <c r="M3130" s="1169"/>
      <c r="N3130" s="1161" t="s">
        <v>2218</v>
      </c>
    </row>
    <row r="3131" spans="1:14" s="1170" customFormat="1" ht="16.5" hidden="1" customHeight="1">
      <c r="A3131" s="1156"/>
      <c r="B3131" s="1331" t="s">
        <v>689</v>
      </c>
      <c r="C3131" s="1332">
        <v>1</v>
      </c>
      <c r="D3131" s="1333" t="s">
        <v>273</v>
      </c>
      <c r="E3131" s="1334">
        <v>1</v>
      </c>
      <c r="F3131" s="1335">
        <v>2</v>
      </c>
      <c r="G3131" s="1335">
        <v>0</v>
      </c>
      <c r="H3131" s="1335">
        <v>0</v>
      </c>
      <c r="I3131" s="1336">
        <f>ROUND(IF(AND(F3131:H3131),C3131*E3131*F3131*G3131*H3131,IF(AND(F3131,G3131),C3131*E3131*F3131*G3131,IF(AND(F3131,H3131),C3131*E3131*F3131*H3131,IF(AND(G3131,H3131),C3131*E3131*G3131*H3131,IF(F3131,C3131*E3131*F3131,IF(G3131,C3131*E3131*G3131,IF(H3131,C3131*E3131*H3131,C3131*E3131))))))),2)</f>
        <v>2</v>
      </c>
      <c r="J3131" s="1357" t="s">
        <v>277</v>
      </c>
      <c r="K3131" s="1169"/>
      <c r="L3131" s="1156"/>
      <c r="M3131" s="1169"/>
      <c r="N3131" s="1161" t="s">
        <v>2218</v>
      </c>
    </row>
    <row r="3132" spans="1:14" s="1170" customFormat="1" ht="16.5" hidden="1" customHeight="1">
      <c r="A3132" s="1156"/>
      <c r="B3132" s="1331"/>
      <c r="C3132" s="1332"/>
      <c r="D3132" s="1333"/>
      <c r="E3132" s="1334"/>
      <c r="F3132" s="1335"/>
      <c r="G3132" s="1335"/>
      <c r="H3132" s="1335"/>
      <c r="I3132" s="1336"/>
      <c r="J3132" s="1357"/>
      <c r="K3132" s="1169"/>
      <c r="L3132" s="1156"/>
      <c r="M3132" s="1169"/>
      <c r="N3132" s="1161" t="s">
        <v>2218</v>
      </c>
    </row>
    <row r="3133" spans="1:14" ht="15.75" hidden="1">
      <c r="A3133" s="1156"/>
      <c r="B3133" s="1169"/>
      <c r="C3133" s="1337"/>
      <c r="D3133" s="1171"/>
      <c r="E3133" s="1165"/>
      <c r="F3133" s="1166"/>
      <c r="G3133" s="1343"/>
      <c r="H3133" s="1156"/>
      <c r="I3133" s="1336"/>
      <c r="J3133" s="1357" t="s">
        <v>277</v>
      </c>
      <c r="K3133" s="1221">
        <f>'Ele Data'!I35</f>
        <v>55</v>
      </c>
      <c r="L3133" s="1159" t="s">
        <v>2218</v>
      </c>
      <c r="M3133" s="1224">
        <f>ROUND(I3133*K3133,0)</f>
        <v>0</v>
      </c>
      <c r="N3133" s="1161" t="s">
        <v>2218</v>
      </c>
    </row>
    <row r="3134" spans="1:14" s="1575" customFormat="1" ht="27" customHeight="1">
      <c r="A3134" s="1570">
        <v>37</v>
      </c>
      <c r="B3134" s="1827" t="s">
        <v>427</v>
      </c>
      <c r="C3134" s="1827"/>
      <c r="D3134" s="1827"/>
      <c r="E3134" s="1827"/>
      <c r="F3134" s="1827"/>
      <c r="G3134" s="1827"/>
      <c r="H3134" s="1827"/>
      <c r="I3134" s="1571"/>
      <c r="J3134" s="1572"/>
      <c r="K3134" s="1570"/>
      <c r="L3134" s="1570"/>
      <c r="M3134" s="1577"/>
      <c r="N3134" s="1578" t="s">
        <v>2218</v>
      </c>
    </row>
    <row r="3135" spans="1:14" s="1586" customFormat="1" ht="16.5" customHeight="1">
      <c r="A3135" s="1570"/>
      <c r="B3135" s="1585" t="s">
        <v>3836</v>
      </c>
      <c r="C3135" s="1592"/>
      <c r="D3135" s="1790" t="s">
        <v>3878</v>
      </c>
      <c r="E3135" s="1594"/>
      <c r="F3135" s="1595"/>
      <c r="G3135" s="1595"/>
      <c r="H3135" s="1596"/>
      <c r="I3135" s="1597"/>
      <c r="J3135" s="1616"/>
      <c r="K3135" s="1585"/>
      <c r="L3135" s="1570"/>
      <c r="M3135" s="1585"/>
      <c r="N3135" s="1578" t="s">
        <v>2218</v>
      </c>
    </row>
    <row r="3136" spans="1:14" s="1586" customFormat="1" ht="16.5" customHeight="1">
      <c r="A3136" s="1570"/>
      <c r="B3136" s="1644"/>
      <c r="C3136" s="1639">
        <v>1</v>
      </c>
      <c r="D3136" s="1640" t="s">
        <v>273</v>
      </c>
      <c r="E3136" s="1641">
        <v>1</v>
      </c>
      <c r="F3136" s="1622">
        <v>0</v>
      </c>
      <c r="G3136" s="1622">
        <v>0</v>
      </c>
      <c r="H3136" s="1622">
        <v>0</v>
      </c>
      <c r="I3136" s="1642">
        <f t="shared" ref="I3136" si="167">ROUND(IF(AND(F3136:H3136),C3136*E3136*F3136*G3136*H3136,IF(AND(F3136,G3136),C3136*E3136*F3136*G3136,IF(AND(F3136,H3136),C3136*E3136*F3136*H3136,IF(AND(G3136,H3136),C3136*E3136*G3136*H3136,IF(F3136,C3136*E3136*F3136,IF(G3136,C3136*E3136*G3136,IF(H3136,C3136*E3136*H3136,C3136*E3136))))))),2)</f>
        <v>1</v>
      </c>
      <c r="J3136" s="1616" t="s">
        <v>115</v>
      </c>
      <c r="K3136" s="1585"/>
      <c r="L3136" s="1570"/>
      <c r="M3136" s="1585"/>
      <c r="N3136" s="1578" t="s">
        <v>2218</v>
      </c>
    </row>
    <row r="3137" spans="1:14" s="1586" customFormat="1" ht="16.5" customHeight="1">
      <c r="A3137" s="1570"/>
      <c r="B3137" s="1644"/>
      <c r="C3137" s="1601"/>
      <c r="D3137" s="1602"/>
      <c r="E3137" s="1603"/>
      <c r="F3137" s="1604"/>
      <c r="G3137" s="1604"/>
      <c r="H3137" s="1604"/>
      <c r="I3137" s="1642"/>
      <c r="J3137" s="1616"/>
      <c r="K3137" s="1585"/>
      <c r="L3137" s="1570"/>
      <c r="M3137" s="1585"/>
      <c r="N3137" s="1578" t="s">
        <v>2218</v>
      </c>
    </row>
    <row r="3138" spans="1:14" s="1575" customFormat="1" ht="15.75">
      <c r="A3138" s="1570"/>
      <c r="B3138" s="1585"/>
      <c r="C3138" s="1606"/>
      <c r="D3138" s="1587"/>
      <c r="E3138" s="1588"/>
      <c r="F3138" s="1589"/>
      <c r="G3138" s="1607"/>
      <c r="H3138" s="1570"/>
      <c r="I3138" s="1642">
        <f>SUM(I3136:I3137)</f>
        <v>1</v>
      </c>
      <c r="J3138" s="1616" t="s">
        <v>115</v>
      </c>
      <c r="K3138" s="1608">
        <f>'Ele Data'!I38</f>
        <v>205</v>
      </c>
      <c r="L3138" s="1573" t="s">
        <v>2218</v>
      </c>
      <c r="M3138" s="1609">
        <f>ROUND(I3138*K3138,0)</f>
        <v>205</v>
      </c>
      <c r="N3138" s="1578" t="s">
        <v>2218</v>
      </c>
    </row>
    <row r="3139" spans="1:14" s="1575" customFormat="1" ht="27" customHeight="1">
      <c r="A3139" s="1570">
        <v>38</v>
      </c>
      <c r="B3139" s="1827" t="s">
        <v>610</v>
      </c>
      <c r="C3139" s="1827"/>
      <c r="D3139" s="1827"/>
      <c r="E3139" s="1827"/>
      <c r="F3139" s="1827"/>
      <c r="G3139" s="1827"/>
      <c r="H3139" s="1827"/>
      <c r="I3139" s="1571"/>
      <c r="J3139" s="1572"/>
      <c r="K3139" s="1570"/>
      <c r="L3139" s="1570"/>
      <c r="M3139" s="1577"/>
      <c r="N3139" s="1578" t="s">
        <v>2218</v>
      </c>
    </row>
    <row r="3140" spans="1:14" s="1586" customFormat="1" ht="16.5" customHeight="1">
      <c r="A3140" s="1570"/>
      <c r="B3140" s="1585" t="s">
        <v>3767</v>
      </c>
      <c r="C3140" s="1592"/>
      <c r="D3140" s="1790" t="s">
        <v>3878</v>
      </c>
      <c r="E3140" s="1594"/>
      <c r="F3140" s="1595"/>
      <c r="G3140" s="1595"/>
      <c r="H3140" s="1596"/>
      <c r="I3140" s="1597"/>
      <c r="J3140" s="1616"/>
      <c r="K3140" s="1585"/>
      <c r="L3140" s="1570"/>
      <c r="M3140" s="1585"/>
      <c r="N3140" s="1578" t="s">
        <v>2218</v>
      </c>
    </row>
    <row r="3141" spans="1:14" s="1586" customFormat="1" ht="16.5" customHeight="1">
      <c r="A3141" s="1570"/>
      <c r="B3141" s="1644"/>
      <c r="C3141" s="1639">
        <v>1</v>
      </c>
      <c r="D3141" s="1640" t="s">
        <v>273</v>
      </c>
      <c r="E3141" s="1641">
        <v>10</v>
      </c>
      <c r="F3141" s="1622">
        <v>0</v>
      </c>
      <c r="G3141" s="1622">
        <v>0</v>
      </c>
      <c r="H3141" s="1622">
        <v>0</v>
      </c>
      <c r="I3141" s="1642">
        <f t="shared" ref="I3141" si="168">ROUND(IF(AND(F3141:H3141),C3141*E3141*F3141*G3141*H3141,IF(AND(F3141,G3141),C3141*E3141*F3141*G3141,IF(AND(F3141,H3141),C3141*E3141*F3141*H3141,IF(AND(G3141,H3141),C3141*E3141*G3141*H3141,IF(F3141,C3141*E3141*F3141,IF(G3141,C3141*E3141*G3141,IF(H3141,C3141*E3141*H3141,C3141*E3141))))))),2)</f>
        <v>10</v>
      </c>
      <c r="J3141" s="1616" t="s">
        <v>115</v>
      </c>
      <c r="K3141" s="1585"/>
      <c r="L3141" s="1570"/>
      <c r="M3141" s="1585"/>
      <c r="N3141" s="1578" t="s">
        <v>2218</v>
      </c>
    </row>
    <row r="3142" spans="1:14" s="1586" customFormat="1" ht="16.5" customHeight="1">
      <c r="A3142" s="1570"/>
      <c r="B3142" s="1644"/>
      <c r="C3142" s="1601"/>
      <c r="D3142" s="1602"/>
      <c r="E3142" s="1603"/>
      <c r="F3142" s="1604"/>
      <c r="G3142" s="1604"/>
      <c r="H3142" s="1604"/>
      <c r="I3142" s="1605"/>
      <c r="J3142" s="1616"/>
      <c r="K3142" s="1585"/>
      <c r="L3142" s="1570"/>
      <c r="M3142" s="1585"/>
      <c r="N3142" s="1578" t="s">
        <v>2218</v>
      </c>
    </row>
    <row r="3143" spans="1:14" s="1575" customFormat="1" ht="15.75">
      <c r="A3143" s="1570"/>
      <c r="B3143" s="1585"/>
      <c r="C3143" s="1606"/>
      <c r="D3143" s="1587"/>
      <c r="E3143" s="1588"/>
      <c r="F3143" s="1589"/>
      <c r="G3143" s="1607"/>
      <c r="H3143" s="1570"/>
      <c r="I3143" s="1642">
        <f>SUM(I3141:I3142)</f>
        <v>10</v>
      </c>
      <c r="J3143" s="1616" t="s">
        <v>115</v>
      </c>
      <c r="K3143" s="1608">
        <f>'Ele Data'!I41</f>
        <v>170</v>
      </c>
      <c r="L3143" s="1573" t="s">
        <v>2218</v>
      </c>
      <c r="M3143" s="1609">
        <f>ROUND(I3143*K3143,0)</f>
        <v>1700</v>
      </c>
      <c r="N3143" s="1578" t="s">
        <v>2218</v>
      </c>
    </row>
    <row r="3144" spans="1:14" ht="27" hidden="1" customHeight="1">
      <c r="A3144" s="1156">
        <v>5</v>
      </c>
      <c r="B3144" s="1826" t="s">
        <v>690</v>
      </c>
      <c r="C3144" s="1826"/>
      <c r="D3144" s="1826"/>
      <c r="E3144" s="1826"/>
      <c r="F3144" s="1826"/>
      <c r="G3144" s="1826"/>
      <c r="H3144" s="1826"/>
      <c r="I3144" s="1157"/>
      <c r="J3144" s="1158"/>
      <c r="K3144" s="1156"/>
      <c r="L3144" s="1156"/>
      <c r="M3144" s="1160"/>
      <c r="N3144" s="1161" t="s">
        <v>2218</v>
      </c>
    </row>
    <row r="3145" spans="1:14" s="1170" customFormat="1" ht="16.5" hidden="1" customHeight="1">
      <c r="A3145" s="1156"/>
      <c r="B3145" s="1169" t="s">
        <v>2353</v>
      </c>
      <c r="C3145" s="1351"/>
      <c r="D3145" s="1418"/>
      <c r="E3145" s="1352"/>
      <c r="F3145" s="1234"/>
      <c r="G3145" s="1234"/>
      <c r="H3145" s="1235"/>
      <c r="I3145" s="1353"/>
      <c r="J3145" s="1357"/>
      <c r="K3145" s="1169"/>
      <c r="L3145" s="1156"/>
      <c r="M3145" s="1169"/>
      <c r="N3145" s="1161" t="s">
        <v>2218</v>
      </c>
    </row>
    <row r="3146" spans="1:14" s="1170" customFormat="1" ht="16.5" hidden="1" customHeight="1">
      <c r="A3146" s="1156"/>
      <c r="B3146" s="1230" t="s">
        <v>2087</v>
      </c>
      <c r="C3146" s="1332">
        <v>1</v>
      </c>
      <c r="D3146" s="1333" t="s">
        <v>273</v>
      </c>
      <c r="E3146" s="1334">
        <v>14</v>
      </c>
      <c r="F3146" s="1335">
        <v>0</v>
      </c>
      <c r="G3146" s="1335">
        <v>0</v>
      </c>
      <c r="H3146" s="1335">
        <v>0</v>
      </c>
      <c r="I3146" s="1421">
        <f>ROUND(IF(AND(F3146:H3146),C3146*E3146*F3146*G3146*H3146,IF(AND(F3146,G3146),C3146*E3146*F3146*G3146,IF(AND(F3146,H3146),C3146*E3146*F3146*H3146,IF(AND(G3146,H3146),C3146*E3146*G3146*H3146,IF(F3146,C3146*E3146*F3146,IF(G3146,C3146*E3146*G3146,IF(H3146,C3146*E3146*H3146,C3146*E3146))))))),2)</f>
        <v>14</v>
      </c>
      <c r="J3146" s="1357" t="s">
        <v>115</v>
      </c>
      <c r="K3146" s="1169"/>
      <c r="L3146" s="1156"/>
      <c r="M3146" s="1169"/>
      <c r="N3146" s="1161" t="s">
        <v>2218</v>
      </c>
    </row>
    <row r="3147" spans="1:14" s="1170" customFormat="1" ht="16.5" hidden="1" customHeight="1">
      <c r="A3147" s="1156"/>
      <c r="B3147" s="1230"/>
      <c r="C3147" s="1332"/>
      <c r="D3147" s="1333"/>
      <c r="E3147" s="1334"/>
      <c r="F3147" s="1335"/>
      <c r="G3147" s="1335"/>
      <c r="H3147" s="1335"/>
      <c r="I3147" s="1336"/>
      <c r="J3147" s="1357"/>
      <c r="K3147" s="1169"/>
      <c r="L3147" s="1156"/>
      <c r="M3147" s="1169"/>
      <c r="N3147" s="1161" t="s">
        <v>2218</v>
      </c>
    </row>
    <row r="3148" spans="1:14" ht="15.75" hidden="1">
      <c r="A3148" s="1156"/>
      <c r="B3148" s="1169"/>
      <c r="C3148" s="1337"/>
      <c r="D3148" s="1171"/>
      <c r="E3148" s="1165"/>
      <c r="F3148" s="1166"/>
      <c r="G3148" s="1343"/>
      <c r="H3148" s="1156"/>
      <c r="I3148" s="1421"/>
      <c r="J3148" s="1357" t="s">
        <v>115</v>
      </c>
      <c r="K3148" s="1221">
        <f>'Ele Data'!I44</f>
        <v>130</v>
      </c>
      <c r="L3148" s="1159" t="s">
        <v>2218</v>
      </c>
      <c r="M3148" s="1224">
        <f>ROUND(I3148*K3148,0)</f>
        <v>0</v>
      </c>
      <c r="N3148" s="1161" t="s">
        <v>2218</v>
      </c>
    </row>
    <row r="3149" spans="1:14" ht="27" hidden="1" customHeight="1">
      <c r="A3149" s="1156">
        <v>4</v>
      </c>
      <c r="B3149" s="1826" t="s">
        <v>1512</v>
      </c>
      <c r="C3149" s="1826"/>
      <c r="D3149" s="1826"/>
      <c r="E3149" s="1826"/>
      <c r="F3149" s="1826"/>
      <c r="G3149" s="1826"/>
      <c r="H3149" s="1826"/>
      <c r="I3149" s="1157"/>
      <c r="J3149" s="1158"/>
      <c r="K3149" s="1156"/>
      <c r="L3149" s="1156"/>
      <c r="M3149" s="1160"/>
      <c r="N3149" s="1161" t="s">
        <v>2218</v>
      </c>
    </row>
    <row r="3150" spans="1:14" s="1170" customFormat="1" ht="16.5" hidden="1" customHeight="1">
      <c r="A3150" s="1156"/>
      <c r="B3150" s="1169" t="s">
        <v>2354</v>
      </c>
      <c r="C3150" s="1351"/>
      <c r="D3150" s="1418"/>
      <c r="E3150" s="1352"/>
      <c r="F3150" s="1234"/>
      <c r="G3150" s="1234"/>
      <c r="H3150" s="1235"/>
      <c r="I3150" s="1353"/>
      <c r="J3150" s="1357"/>
      <c r="K3150" s="1169"/>
      <c r="L3150" s="1156"/>
      <c r="M3150" s="1169"/>
      <c r="N3150" s="1161" t="s">
        <v>2218</v>
      </c>
    </row>
    <row r="3151" spans="1:14" s="1170" customFormat="1" ht="16.5" hidden="1" customHeight="1">
      <c r="A3151" s="1156"/>
      <c r="B3151" s="1230" t="s">
        <v>586</v>
      </c>
      <c r="C3151" s="1332">
        <v>1</v>
      </c>
      <c r="D3151" s="1333" t="s">
        <v>273</v>
      </c>
      <c r="E3151" s="1334">
        <v>1</v>
      </c>
      <c r="F3151" s="1335">
        <v>0</v>
      </c>
      <c r="G3151" s="1335">
        <v>0</v>
      </c>
      <c r="H3151" s="1335">
        <v>0</v>
      </c>
      <c r="I3151" s="1421">
        <f>ROUND(IF(AND(F3151:H3151),C3151*E3151*F3151*G3151*H3151,IF(AND(F3151,G3151),C3151*E3151*F3151*G3151,IF(AND(F3151,H3151),C3151*E3151*F3151*H3151,IF(AND(G3151,H3151),C3151*E3151*G3151*H3151,IF(F3151,C3151*E3151*F3151,IF(G3151,C3151*E3151*G3151,IF(H3151,C3151*E3151*H3151,C3151*E3151))))))),2)</f>
        <v>1</v>
      </c>
      <c r="J3151" s="1357" t="s">
        <v>115</v>
      </c>
      <c r="K3151" s="1169"/>
      <c r="L3151" s="1156"/>
      <c r="M3151" s="1169"/>
      <c r="N3151" s="1161" t="s">
        <v>2218</v>
      </c>
    </row>
    <row r="3152" spans="1:14" s="1170" customFormat="1" ht="16.5" hidden="1" customHeight="1">
      <c r="A3152" s="1156"/>
      <c r="B3152" s="1230" t="s">
        <v>1495</v>
      </c>
      <c r="C3152" s="1332">
        <v>1</v>
      </c>
      <c r="D3152" s="1333" t="s">
        <v>273</v>
      </c>
      <c r="E3152" s="1334">
        <v>1</v>
      </c>
      <c r="F3152" s="1335">
        <v>0</v>
      </c>
      <c r="G3152" s="1335">
        <v>0</v>
      </c>
      <c r="H3152" s="1335">
        <v>0</v>
      </c>
      <c r="I3152" s="1421">
        <f>ROUND(IF(AND(F3152:H3152),C3152*E3152*F3152*G3152*H3152,IF(AND(F3152,G3152),C3152*E3152*F3152*G3152,IF(AND(F3152,H3152),C3152*E3152*F3152*H3152,IF(AND(G3152,H3152),C3152*E3152*G3152*H3152,IF(F3152,C3152*E3152*F3152,IF(G3152,C3152*E3152*G3152,IF(H3152,C3152*E3152*H3152,C3152*E3152))))))),2)</f>
        <v>1</v>
      </c>
      <c r="J3152" s="1357" t="s">
        <v>115</v>
      </c>
      <c r="K3152" s="1169"/>
      <c r="L3152" s="1156"/>
      <c r="M3152" s="1169"/>
      <c r="N3152" s="1161" t="s">
        <v>2218</v>
      </c>
    </row>
    <row r="3153" spans="1:14" s="1170" customFormat="1" ht="16.5" hidden="1" customHeight="1">
      <c r="A3153" s="1156"/>
      <c r="B3153" s="1230" t="s">
        <v>1494</v>
      </c>
      <c r="C3153" s="1332">
        <v>1</v>
      </c>
      <c r="D3153" s="1333" t="s">
        <v>273</v>
      </c>
      <c r="E3153" s="1334">
        <v>1</v>
      </c>
      <c r="F3153" s="1335">
        <v>0</v>
      </c>
      <c r="G3153" s="1335">
        <v>0</v>
      </c>
      <c r="H3153" s="1335">
        <v>0</v>
      </c>
      <c r="I3153" s="1421">
        <f>ROUND(IF(AND(F3153:H3153),C3153*E3153*F3153*G3153*H3153,IF(AND(F3153,G3153),C3153*E3153*F3153*G3153,IF(AND(F3153,H3153),C3153*E3153*F3153*H3153,IF(AND(G3153,H3153),C3153*E3153*G3153*H3153,IF(F3153,C3153*E3153*F3153,IF(G3153,C3153*E3153*G3153,IF(H3153,C3153*E3153*H3153,C3153*E3153))))))),2)</f>
        <v>1</v>
      </c>
      <c r="J3153" s="1357" t="s">
        <v>115</v>
      </c>
      <c r="K3153" s="1169"/>
      <c r="L3153" s="1156"/>
      <c r="M3153" s="1169"/>
      <c r="N3153" s="1161" t="s">
        <v>2218</v>
      </c>
    </row>
    <row r="3154" spans="1:14" s="1170" customFormat="1" ht="16.5" hidden="1" customHeight="1">
      <c r="A3154" s="1156"/>
      <c r="B3154" s="1230" t="s">
        <v>223</v>
      </c>
      <c r="C3154" s="1332">
        <v>1</v>
      </c>
      <c r="D3154" s="1333" t="s">
        <v>273</v>
      </c>
      <c r="E3154" s="1334">
        <v>2</v>
      </c>
      <c r="F3154" s="1335">
        <v>0</v>
      </c>
      <c r="G3154" s="1335">
        <v>0</v>
      </c>
      <c r="H3154" s="1335">
        <v>0</v>
      </c>
      <c r="I3154" s="1421">
        <f>ROUND(IF(AND(F3154:H3154),C3154*E3154*F3154*G3154*H3154,IF(AND(F3154,G3154),C3154*E3154*F3154*G3154,IF(AND(F3154,H3154),C3154*E3154*F3154*H3154,IF(AND(G3154,H3154),C3154*E3154*G3154*H3154,IF(F3154,C3154*E3154*F3154,IF(G3154,C3154*E3154*G3154,IF(H3154,C3154*E3154*H3154,C3154*E3154))))))),2)</f>
        <v>2</v>
      </c>
      <c r="J3154" s="1357" t="s">
        <v>115</v>
      </c>
      <c r="K3154" s="1169"/>
      <c r="L3154" s="1156"/>
      <c r="M3154" s="1169"/>
      <c r="N3154" s="1161" t="s">
        <v>2218</v>
      </c>
    </row>
    <row r="3155" spans="1:14" s="1170" customFormat="1" ht="16.5" hidden="1" customHeight="1">
      <c r="A3155" s="1156"/>
      <c r="B3155" s="1230"/>
      <c r="C3155" s="1332"/>
      <c r="D3155" s="1333"/>
      <c r="E3155" s="1334"/>
      <c r="F3155" s="1335"/>
      <c r="G3155" s="1335"/>
      <c r="H3155" s="1335"/>
      <c r="I3155" s="1421"/>
      <c r="J3155" s="1357"/>
      <c r="K3155" s="1169"/>
      <c r="L3155" s="1156"/>
      <c r="M3155" s="1169"/>
      <c r="N3155" s="1161" t="s">
        <v>2218</v>
      </c>
    </row>
    <row r="3156" spans="1:14" ht="15.75" hidden="1">
      <c r="A3156" s="1156"/>
      <c r="B3156" s="1169"/>
      <c r="C3156" s="1337"/>
      <c r="D3156" s="1171"/>
      <c r="E3156" s="1165"/>
      <c r="F3156" s="1166"/>
      <c r="G3156" s="1343"/>
      <c r="H3156" s="1156"/>
      <c r="I3156" s="1421"/>
      <c r="J3156" s="1357" t="s">
        <v>115</v>
      </c>
      <c r="K3156" s="1221">
        <f>'Ele Data'!I55</f>
        <v>300</v>
      </c>
      <c r="L3156" s="1159" t="s">
        <v>2218</v>
      </c>
      <c r="M3156" s="1224">
        <f>ROUND(I3156*K3156,0)</f>
        <v>0</v>
      </c>
      <c r="N3156" s="1161" t="s">
        <v>2218</v>
      </c>
    </row>
    <row r="3157" spans="1:14" ht="27" hidden="1" customHeight="1">
      <c r="A3157" s="1156">
        <v>6</v>
      </c>
      <c r="B3157" s="1826" t="s">
        <v>612</v>
      </c>
      <c r="C3157" s="1826"/>
      <c r="D3157" s="1826"/>
      <c r="E3157" s="1826"/>
      <c r="F3157" s="1826"/>
      <c r="G3157" s="1826"/>
      <c r="H3157" s="1826"/>
      <c r="I3157" s="1157"/>
      <c r="J3157" s="1158"/>
      <c r="K3157" s="1156"/>
      <c r="L3157" s="1156"/>
      <c r="M3157" s="1160"/>
      <c r="N3157" s="1161" t="s">
        <v>2218</v>
      </c>
    </row>
    <row r="3158" spans="1:14" s="1170" customFormat="1" ht="16.5" hidden="1" customHeight="1">
      <c r="A3158" s="1156"/>
      <c r="B3158" s="1230" t="s">
        <v>607</v>
      </c>
      <c r="C3158" s="1351"/>
      <c r="D3158" s="1418"/>
      <c r="E3158" s="1352"/>
      <c r="F3158" s="1234"/>
      <c r="G3158" s="1234"/>
      <c r="H3158" s="1235"/>
      <c r="I3158" s="1353"/>
      <c r="J3158" s="1357"/>
      <c r="K3158" s="1169"/>
      <c r="L3158" s="1156"/>
      <c r="M3158" s="1169"/>
      <c r="N3158" s="1161" t="s">
        <v>2218</v>
      </c>
    </row>
    <row r="3159" spans="1:14" s="1170" customFormat="1" ht="16.5" hidden="1" customHeight="1">
      <c r="A3159" s="1156"/>
      <c r="B3159" s="1230" t="s">
        <v>1217</v>
      </c>
      <c r="C3159" s="1332">
        <v>2</v>
      </c>
      <c r="D3159" s="1333" t="s">
        <v>273</v>
      </c>
      <c r="E3159" s="1334">
        <v>1</v>
      </c>
      <c r="F3159" s="1335">
        <v>0</v>
      </c>
      <c r="G3159" s="1335">
        <v>0</v>
      </c>
      <c r="H3159" s="1335">
        <v>0</v>
      </c>
      <c r="I3159" s="1421">
        <f>ROUND(IF(AND(F3159:H3159),C3159*E3159*F3159*G3159*H3159,IF(AND(F3159,G3159),C3159*E3159*F3159*G3159,IF(AND(F3159,H3159),C3159*E3159*F3159*H3159,IF(AND(G3159,H3159),C3159*E3159*G3159*H3159,IF(F3159,C3159*E3159*F3159,IF(G3159,C3159*E3159*G3159,IF(H3159,C3159*E3159*H3159,C3159*E3159))))))),2)</f>
        <v>2</v>
      </c>
      <c r="J3159" s="1357" t="s">
        <v>115</v>
      </c>
      <c r="K3159" s="1169"/>
      <c r="L3159" s="1156"/>
      <c r="M3159" s="1169"/>
      <c r="N3159" s="1161" t="s">
        <v>2218</v>
      </c>
    </row>
    <row r="3160" spans="1:14" s="1170" customFormat="1" ht="16.5" hidden="1" customHeight="1">
      <c r="A3160" s="1156"/>
      <c r="B3160" s="1230"/>
      <c r="C3160" s="1332"/>
      <c r="D3160" s="1333"/>
      <c r="E3160" s="1334"/>
      <c r="F3160" s="1335"/>
      <c r="G3160" s="1335"/>
      <c r="H3160" s="1335"/>
      <c r="I3160" s="1421"/>
      <c r="J3160" s="1357"/>
      <c r="K3160" s="1169"/>
      <c r="L3160" s="1156"/>
      <c r="M3160" s="1169"/>
      <c r="N3160" s="1161" t="s">
        <v>2218</v>
      </c>
    </row>
    <row r="3161" spans="1:14" ht="15.75" hidden="1">
      <c r="A3161" s="1156"/>
      <c r="B3161" s="1169"/>
      <c r="C3161" s="1337"/>
      <c r="D3161" s="1171"/>
      <c r="E3161" s="1165"/>
      <c r="F3161" s="1166"/>
      <c r="G3161" s="1343"/>
      <c r="H3161" s="1156"/>
      <c r="I3161" s="1421"/>
      <c r="J3161" s="1357" t="s">
        <v>115</v>
      </c>
      <c r="K3161" s="1221">
        <f>'Ele Data'!I51</f>
        <v>335</v>
      </c>
      <c r="L3161" s="1159" t="s">
        <v>2218</v>
      </c>
      <c r="M3161" s="1224">
        <f>ROUND(I3161*K3161,0)</f>
        <v>0</v>
      </c>
      <c r="N3161" s="1161" t="s">
        <v>2218</v>
      </c>
    </row>
    <row r="3162" spans="1:14" ht="27" hidden="1" customHeight="1">
      <c r="A3162" s="1156">
        <v>6</v>
      </c>
      <c r="B3162" s="1826" t="s">
        <v>790</v>
      </c>
      <c r="C3162" s="1826"/>
      <c r="D3162" s="1826"/>
      <c r="E3162" s="1826"/>
      <c r="F3162" s="1826"/>
      <c r="G3162" s="1826"/>
      <c r="H3162" s="1826"/>
      <c r="I3162" s="1157"/>
      <c r="J3162" s="1158"/>
      <c r="K3162" s="1156"/>
      <c r="L3162" s="1156"/>
      <c r="M3162" s="1160"/>
      <c r="N3162" s="1161" t="s">
        <v>2218</v>
      </c>
    </row>
    <row r="3163" spans="1:14" s="1170" customFormat="1" ht="16.5" hidden="1" customHeight="1">
      <c r="A3163" s="1156"/>
      <c r="B3163" s="1169" t="s">
        <v>2353</v>
      </c>
      <c r="C3163" s="1351"/>
      <c r="D3163" s="1418"/>
      <c r="E3163" s="1352"/>
      <c r="F3163" s="1234"/>
      <c r="G3163" s="1234"/>
      <c r="H3163" s="1235"/>
      <c r="I3163" s="1353"/>
      <c r="J3163" s="1357"/>
      <c r="K3163" s="1169"/>
      <c r="L3163" s="1156"/>
      <c r="M3163" s="1169"/>
      <c r="N3163" s="1161" t="s">
        <v>2218</v>
      </c>
    </row>
    <row r="3164" spans="1:14" s="1170" customFormat="1" ht="16.5" hidden="1" customHeight="1">
      <c r="A3164" s="1156"/>
      <c r="B3164" s="1230" t="s">
        <v>2087</v>
      </c>
      <c r="C3164" s="1332">
        <v>1</v>
      </c>
      <c r="D3164" s="1333" t="s">
        <v>273</v>
      </c>
      <c r="E3164" s="1334">
        <v>3</v>
      </c>
      <c r="F3164" s="1335">
        <v>0</v>
      </c>
      <c r="G3164" s="1335">
        <v>0</v>
      </c>
      <c r="H3164" s="1335">
        <v>0</v>
      </c>
      <c r="I3164" s="1421">
        <f>ROUND(IF(AND(F3164:H3164),C3164*E3164*F3164*G3164*H3164,IF(AND(F3164,G3164),C3164*E3164*F3164*G3164,IF(AND(F3164,H3164),C3164*E3164*F3164*H3164,IF(AND(G3164,H3164),C3164*E3164*G3164*H3164,IF(F3164,C3164*E3164*F3164,IF(G3164,C3164*E3164*G3164,IF(H3164,C3164*E3164*H3164,C3164*E3164))))))),2)</f>
        <v>3</v>
      </c>
      <c r="J3164" s="1357" t="s">
        <v>115</v>
      </c>
      <c r="K3164" s="1169"/>
      <c r="L3164" s="1156"/>
      <c r="M3164" s="1169"/>
      <c r="N3164" s="1161" t="s">
        <v>2218</v>
      </c>
    </row>
    <row r="3165" spans="1:14" s="1170" customFormat="1" ht="16.5" hidden="1" customHeight="1">
      <c r="A3165" s="1156"/>
      <c r="B3165" s="1230"/>
      <c r="C3165" s="1332"/>
      <c r="D3165" s="1333"/>
      <c r="E3165" s="1334"/>
      <c r="F3165" s="1335"/>
      <c r="G3165" s="1335"/>
      <c r="H3165" s="1335"/>
      <c r="I3165" s="1421"/>
      <c r="J3165" s="1357"/>
      <c r="K3165" s="1169"/>
      <c r="L3165" s="1156"/>
      <c r="M3165" s="1169"/>
      <c r="N3165" s="1161" t="s">
        <v>2218</v>
      </c>
    </row>
    <row r="3166" spans="1:14" ht="15.75" hidden="1">
      <c r="A3166" s="1156"/>
      <c r="B3166" s="1169"/>
      <c r="C3166" s="1337"/>
      <c r="D3166" s="1171"/>
      <c r="E3166" s="1165"/>
      <c r="F3166" s="1166"/>
      <c r="G3166" s="1343"/>
      <c r="H3166" s="1156"/>
      <c r="I3166" s="1421"/>
      <c r="J3166" s="1357" t="s">
        <v>115</v>
      </c>
      <c r="K3166" s="1221">
        <f>'Ele Data'!I47</f>
        <v>95</v>
      </c>
      <c r="L3166" s="1159" t="s">
        <v>2218</v>
      </c>
      <c r="M3166" s="1224">
        <f>ROUND(I3166*K3166,0)</f>
        <v>0</v>
      </c>
      <c r="N3166" s="1161" t="s">
        <v>2218</v>
      </c>
    </row>
    <row r="3167" spans="1:14" ht="27" hidden="1" customHeight="1">
      <c r="A3167" s="1156">
        <v>7</v>
      </c>
      <c r="B3167" s="1826" t="s">
        <v>428</v>
      </c>
      <c r="C3167" s="1826"/>
      <c r="D3167" s="1826"/>
      <c r="E3167" s="1826"/>
      <c r="F3167" s="1826"/>
      <c r="G3167" s="1826"/>
      <c r="H3167" s="1826"/>
      <c r="I3167" s="1157"/>
      <c r="J3167" s="1158"/>
      <c r="K3167" s="1156"/>
      <c r="L3167" s="1156"/>
      <c r="M3167" s="1160"/>
      <c r="N3167" s="1161" t="s">
        <v>2218</v>
      </c>
    </row>
    <row r="3168" spans="1:14" s="1170" customFormat="1" ht="16.5" hidden="1" customHeight="1">
      <c r="A3168" s="1156"/>
      <c r="B3168" s="1169" t="s">
        <v>2107</v>
      </c>
      <c r="C3168" s="1351"/>
      <c r="D3168" s="1418"/>
      <c r="E3168" s="1352"/>
      <c r="F3168" s="1234"/>
      <c r="G3168" s="1234"/>
      <c r="H3168" s="1235"/>
      <c r="I3168" s="1353"/>
      <c r="J3168" s="1357"/>
      <c r="K3168" s="1169"/>
      <c r="L3168" s="1156"/>
      <c r="M3168" s="1169"/>
      <c r="N3168" s="1161" t="s">
        <v>2218</v>
      </c>
    </row>
    <row r="3169" spans="1:14" s="1170" customFormat="1" ht="16.5" hidden="1" customHeight="1">
      <c r="A3169" s="1156"/>
      <c r="B3169" s="1230" t="s">
        <v>2087</v>
      </c>
      <c r="C3169" s="1332">
        <v>1</v>
      </c>
      <c r="D3169" s="1333" t="s">
        <v>273</v>
      </c>
      <c r="E3169" s="1334">
        <v>12</v>
      </c>
      <c r="F3169" s="1335">
        <v>0</v>
      </c>
      <c r="G3169" s="1335">
        <v>0</v>
      </c>
      <c r="H3169" s="1335">
        <v>0</v>
      </c>
      <c r="I3169" s="1421">
        <f>ROUND(IF(AND(F3169:H3169),C3169*E3169*F3169*G3169*H3169,IF(AND(F3169,G3169),C3169*E3169*F3169*G3169,IF(AND(F3169,H3169),C3169*E3169*F3169*H3169,IF(AND(G3169,H3169),C3169*E3169*G3169*H3169,IF(F3169,C3169*E3169*F3169,IF(G3169,C3169*E3169*G3169,IF(H3169,C3169*E3169*H3169,C3169*E3169))))))),2)</f>
        <v>12</v>
      </c>
      <c r="J3169" s="1357" t="s">
        <v>115</v>
      </c>
      <c r="K3169" s="1169"/>
      <c r="L3169" s="1156"/>
      <c r="M3169" s="1169"/>
      <c r="N3169" s="1161" t="s">
        <v>2218</v>
      </c>
    </row>
    <row r="3170" spans="1:14" s="1170" customFormat="1" ht="16.5" hidden="1" customHeight="1">
      <c r="A3170" s="1156"/>
      <c r="B3170" s="1230"/>
      <c r="C3170" s="1332"/>
      <c r="D3170" s="1333"/>
      <c r="E3170" s="1334"/>
      <c r="F3170" s="1335"/>
      <c r="G3170" s="1335"/>
      <c r="H3170" s="1335"/>
      <c r="I3170" s="1421"/>
      <c r="J3170" s="1357"/>
      <c r="K3170" s="1169"/>
      <c r="L3170" s="1156"/>
      <c r="M3170" s="1169"/>
      <c r="N3170" s="1161" t="s">
        <v>2218</v>
      </c>
    </row>
    <row r="3171" spans="1:14" ht="15.75" hidden="1">
      <c r="A3171" s="1156"/>
      <c r="B3171" s="1169"/>
      <c r="C3171" s="1337"/>
      <c r="D3171" s="1171"/>
      <c r="E3171" s="1165"/>
      <c r="F3171" s="1166"/>
      <c r="G3171" s="1343"/>
      <c r="H3171" s="1156"/>
      <c r="I3171" s="1421"/>
      <c r="J3171" s="1357" t="s">
        <v>115</v>
      </c>
      <c r="K3171" s="1221">
        <f>'Ele Data'!I58</f>
        <v>57</v>
      </c>
      <c r="L3171" s="1159" t="s">
        <v>2218</v>
      </c>
      <c r="M3171" s="1224">
        <f>ROUND(I3171*K3171,0)</f>
        <v>0</v>
      </c>
      <c r="N3171" s="1161" t="s">
        <v>2218</v>
      </c>
    </row>
    <row r="3172" spans="1:14" s="1575" customFormat="1" ht="64.5" customHeight="1">
      <c r="A3172" s="1570">
        <v>39</v>
      </c>
      <c r="B3172" s="1827" t="s">
        <v>692</v>
      </c>
      <c r="C3172" s="1827"/>
      <c r="D3172" s="1827"/>
      <c r="E3172" s="1827"/>
      <c r="F3172" s="1827"/>
      <c r="G3172" s="1827"/>
      <c r="H3172" s="1827"/>
      <c r="I3172" s="1571"/>
      <c r="J3172" s="1572"/>
      <c r="K3172" s="1570"/>
      <c r="L3172" s="1570"/>
      <c r="M3172" s="1577"/>
      <c r="N3172" s="1578" t="s">
        <v>2218</v>
      </c>
    </row>
    <row r="3173" spans="1:14" s="1586" customFormat="1" ht="16.5" customHeight="1">
      <c r="A3173" s="1570"/>
      <c r="B3173" s="1585" t="s">
        <v>3768</v>
      </c>
      <c r="C3173" s="1592"/>
      <c r="D3173" s="1790" t="s">
        <v>3878</v>
      </c>
      <c r="E3173" s="1594"/>
      <c r="F3173" s="1595"/>
      <c r="G3173" s="1595"/>
      <c r="H3173" s="1596"/>
      <c r="I3173" s="1597"/>
      <c r="J3173" s="1616"/>
      <c r="K3173" s="1585"/>
      <c r="L3173" s="1570"/>
      <c r="M3173" s="1585"/>
      <c r="N3173" s="1578" t="s">
        <v>2218</v>
      </c>
    </row>
    <row r="3174" spans="1:14" s="1586" customFormat="1" ht="16.5" customHeight="1">
      <c r="A3174" s="1570"/>
      <c r="B3174" s="1644" t="s">
        <v>3548</v>
      </c>
      <c r="C3174" s="1639">
        <v>8</v>
      </c>
      <c r="D3174" s="1640" t="s">
        <v>273</v>
      </c>
      <c r="E3174" s="1641">
        <v>1</v>
      </c>
      <c r="F3174" s="1622">
        <v>0</v>
      </c>
      <c r="G3174" s="1622">
        <v>0</v>
      </c>
      <c r="H3174" s="1622">
        <v>0</v>
      </c>
      <c r="I3174" s="1642">
        <f t="shared" ref="I3174:I3175" si="169">ROUND(IF(AND(F3174:H3174),C3174*E3174*F3174*G3174*H3174,IF(AND(F3174,G3174),C3174*E3174*F3174*G3174,IF(AND(F3174,H3174),C3174*E3174*F3174*H3174,IF(AND(G3174,H3174),C3174*E3174*G3174*H3174,IF(F3174,C3174*E3174*F3174,IF(G3174,C3174*E3174*G3174,IF(H3174,C3174*E3174*H3174,C3174*E3174))))))),2)</f>
        <v>8</v>
      </c>
      <c r="J3174" s="1616" t="s">
        <v>431</v>
      </c>
      <c r="K3174" s="1585"/>
      <c r="L3174" s="1570"/>
      <c r="M3174" s="1585"/>
      <c r="N3174" s="1578" t="s">
        <v>2218</v>
      </c>
    </row>
    <row r="3175" spans="1:14" s="1586" customFormat="1" ht="16.5" customHeight="1">
      <c r="A3175" s="1570"/>
      <c r="B3175" s="1644" t="s">
        <v>3549</v>
      </c>
      <c r="C3175" s="1639">
        <v>2</v>
      </c>
      <c r="D3175" s="1640" t="s">
        <v>273</v>
      </c>
      <c r="E3175" s="1641">
        <v>1</v>
      </c>
      <c r="F3175" s="1622">
        <v>0</v>
      </c>
      <c r="G3175" s="1622">
        <v>0</v>
      </c>
      <c r="H3175" s="1622">
        <v>0</v>
      </c>
      <c r="I3175" s="1642">
        <f t="shared" si="169"/>
        <v>2</v>
      </c>
      <c r="J3175" s="1616" t="s">
        <v>431</v>
      </c>
      <c r="K3175" s="1585"/>
      <c r="L3175" s="1570"/>
      <c r="M3175" s="1585"/>
      <c r="N3175" s="1578" t="s">
        <v>2218</v>
      </c>
    </row>
    <row r="3176" spans="1:14" s="1586" customFormat="1" ht="16.5" customHeight="1">
      <c r="A3176" s="1570"/>
      <c r="B3176" s="1644"/>
      <c r="C3176" s="1601"/>
      <c r="D3176" s="1602"/>
      <c r="E3176" s="1603"/>
      <c r="F3176" s="1604"/>
      <c r="G3176" s="1604"/>
      <c r="H3176" s="1604"/>
      <c r="I3176" s="1642"/>
      <c r="J3176" s="1616"/>
      <c r="K3176" s="1585"/>
      <c r="L3176" s="1570"/>
      <c r="M3176" s="1585"/>
      <c r="N3176" s="1578" t="s">
        <v>2218</v>
      </c>
    </row>
    <row r="3177" spans="1:14" s="1575" customFormat="1" ht="15.75">
      <c r="A3177" s="1570"/>
      <c r="B3177" s="1585"/>
      <c r="C3177" s="1606"/>
      <c r="D3177" s="1587"/>
      <c r="E3177" s="1588"/>
      <c r="F3177" s="1589"/>
      <c r="G3177" s="1607"/>
      <c r="H3177" s="1570"/>
      <c r="I3177" s="1642">
        <f>SUM(I3174:I3176)</f>
        <v>10</v>
      </c>
      <c r="J3177" s="1616" t="s">
        <v>431</v>
      </c>
      <c r="K3177" s="1608">
        <f>'Ele Data'!I96</f>
        <v>383.5</v>
      </c>
      <c r="L3177" s="1573" t="s">
        <v>2218</v>
      </c>
      <c r="M3177" s="1609">
        <f>ROUND(I3177*K3177,0)</f>
        <v>3835</v>
      </c>
      <c r="N3177" s="1578" t="s">
        <v>2218</v>
      </c>
    </row>
    <row r="3178" spans="1:14" s="1575" customFormat="1" ht="67.5" customHeight="1">
      <c r="A3178" s="1570">
        <v>40</v>
      </c>
      <c r="B3178" s="1827" t="s">
        <v>693</v>
      </c>
      <c r="C3178" s="1827"/>
      <c r="D3178" s="1827"/>
      <c r="E3178" s="1827"/>
      <c r="F3178" s="1827"/>
      <c r="G3178" s="1827"/>
      <c r="H3178" s="1827"/>
      <c r="I3178" s="1571"/>
      <c r="J3178" s="1572"/>
      <c r="K3178" s="1570"/>
      <c r="L3178" s="1570"/>
      <c r="M3178" s="1577"/>
      <c r="N3178" s="1578" t="s">
        <v>2218</v>
      </c>
    </row>
    <row r="3179" spans="1:14" s="1586" customFormat="1" ht="16.5" customHeight="1">
      <c r="A3179" s="1570"/>
      <c r="B3179" s="1585" t="s">
        <v>3837</v>
      </c>
      <c r="C3179" s="1592"/>
      <c r="D3179" s="1790" t="s">
        <v>3878</v>
      </c>
      <c r="E3179" s="1594"/>
      <c r="F3179" s="1595"/>
      <c r="G3179" s="1595"/>
      <c r="H3179" s="1596"/>
      <c r="I3179" s="1597"/>
      <c r="J3179" s="1616"/>
      <c r="K3179" s="1585"/>
      <c r="L3179" s="1570"/>
      <c r="M3179" s="1585"/>
      <c r="N3179" s="1578" t="s">
        <v>2218</v>
      </c>
    </row>
    <row r="3180" spans="1:14" s="1586" customFormat="1" ht="16.5" customHeight="1">
      <c r="A3180" s="1570"/>
      <c r="B3180" s="1644" t="s">
        <v>3769</v>
      </c>
      <c r="C3180" s="1639">
        <v>1</v>
      </c>
      <c r="D3180" s="1640" t="s">
        <v>273</v>
      </c>
      <c r="E3180" s="1641">
        <v>8</v>
      </c>
      <c r="F3180" s="1622">
        <v>0</v>
      </c>
      <c r="G3180" s="1622">
        <v>0</v>
      </c>
      <c r="H3180" s="1622">
        <v>0</v>
      </c>
      <c r="I3180" s="1642">
        <f t="shared" ref="I3180" si="170">ROUND(IF(AND(F3180:H3180),C3180*E3180*F3180*G3180*H3180,IF(AND(F3180,G3180),C3180*E3180*F3180*G3180,IF(AND(F3180,H3180),C3180*E3180*F3180*H3180,IF(AND(G3180,H3180),C3180*E3180*G3180*H3180,IF(F3180,C3180*E3180*F3180,IF(G3180,C3180*E3180*G3180,IF(H3180,C3180*E3180*H3180,C3180*E3180))))))),2)</f>
        <v>8</v>
      </c>
      <c r="J3180" s="1616" t="s">
        <v>431</v>
      </c>
      <c r="K3180" s="1585"/>
      <c r="L3180" s="1570"/>
      <c r="M3180" s="1585"/>
      <c r="N3180" s="1578" t="s">
        <v>2218</v>
      </c>
    </row>
    <row r="3181" spans="1:14" s="1586" customFormat="1" ht="16.5" customHeight="1">
      <c r="A3181" s="1570"/>
      <c r="B3181" s="1644"/>
      <c r="C3181" s="1601"/>
      <c r="D3181" s="1602"/>
      <c r="E3181" s="1603"/>
      <c r="F3181" s="1604"/>
      <c r="G3181" s="1604"/>
      <c r="H3181" s="1604"/>
      <c r="I3181" s="1605"/>
      <c r="J3181" s="1616"/>
      <c r="K3181" s="1585"/>
      <c r="L3181" s="1570"/>
      <c r="M3181" s="1585"/>
      <c r="N3181" s="1578" t="s">
        <v>2218</v>
      </c>
    </row>
    <row r="3182" spans="1:14" s="1575" customFormat="1" ht="15.75">
      <c r="A3182" s="1570"/>
      <c r="B3182" s="1585"/>
      <c r="C3182" s="1606"/>
      <c r="D3182" s="1587"/>
      <c r="E3182" s="1588"/>
      <c r="F3182" s="1589"/>
      <c r="G3182" s="1607"/>
      <c r="H3182" s="1570"/>
      <c r="I3182" s="1642">
        <f>SUM(I3180:I3181)</f>
        <v>8</v>
      </c>
      <c r="J3182" s="1616" t="s">
        <v>431</v>
      </c>
      <c r="K3182" s="1608">
        <f>'Ele Data'!I109</f>
        <v>402.5</v>
      </c>
      <c r="L3182" s="1573" t="s">
        <v>2218</v>
      </c>
      <c r="M3182" s="1609">
        <f>ROUND(I3182*K3182,0)</f>
        <v>3220</v>
      </c>
      <c r="N3182" s="1578" t="s">
        <v>2218</v>
      </c>
    </row>
    <row r="3183" spans="1:14" ht="44.25" hidden="1" customHeight="1">
      <c r="A3183" s="1156">
        <v>8</v>
      </c>
      <c r="B3183" s="1826" t="s">
        <v>2093</v>
      </c>
      <c r="C3183" s="1826"/>
      <c r="D3183" s="1826"/>
      <c r="E3183" s="1826"/>
      <c r="F3183" s="1826"/>
      <c r="G3183" s="1826"/>
      <c r="H3183" s="1826"/>
      <c r="I3183" s="1157"/>
      <c r="J3183" s="1158"/>
      <c r="K3183" s="1156"/>
      <c r="L3183" s="1156"/>
      <c r="M3183" s="1160"/>
      <c r="N3183" s="1161" t="s">
        <v>2218</v>
      </c>
    </row>
    <row r="3184" spans="1:14" s="1170" customFormat="1" ht="16.5" hidden="1" customHeight="1">
      <c r="A3184" s="1156"/>
      <c r="B3184" s="1169" t="s">
        <v>2355</v>
      </c>
      <c r="C3184" s="1351"/>
      <c r="D3184" s="1418"/>
      <c r="E3184" s="1352"/>
      <c r="F3184" s="1234"/>
      <c r="G3184" s="1234"/>
      <c r="H3184" s="1235"/>
      <c r="I3184" s="1353"/>
      <c r="J3184" s="1357"/>
      <c r="K3184" s="1169"/>
      <c r="L3184" s="1156"/>
      <c r="M3184" s="1169"/>
      <c r="N3184" s="1161" t="s">
        <v>2218</v>
      </c>
    </row>
    <row r="3185" spans="1:14" s="1170" customFormat="1" ht="16.5" hidden="1" customHeight="1">
      <c r="A3185" s="1156"/>
      <c r="B3185" s="1169" t="s">
        <v>2094</v>
      </c>
      <c r="C3185" s="1351"/>
      <c r="D3185" s="1418"/>
      <c r="E3185" s="1352"/>
      <c r="F3185" s="1234"/>
      <c r="G3185" s="1234"/>
      <c r="H3185" s="1235"/>
      <c r="I3185" s="1353"/>
      <c r="J3185" s="1357"/>
      <c r="K3185" s="1169"/>
      <c r="L3185" s="1156"/>
      <c r="M3185" s="1169"/>
      <c r="N3185" s="1161" t="s">
        <v>2218</v>
      </c>
    </row>
    <row r="3186" spans="1:14" s="1170" customFormat="1" ht="16.5" hidden="1" customHeight="1">
      <c r="A3186" s="1156"/>
      <c r="B3186" s="1230"/>
      <c r="C3186" s="1360">
        <v>1</v>
      </c>
      <c r="D3186" s="1361" t="s">
        <v>273</v>
      </c>
      <c r="E3186" s="1362">
        <v>1</v>
      </c>
      <c r="F3186" s="1401">
        <v>55</v>
      </c>
      <c r="G3186" s="1363">
        <v>0</v>
      </c>
      <c r="H3186" s="1363">
        <v>0</v>
      </c>
      <c r="I3186" s="1336">
        <f>ROUND(IF(AND(F3186:H3186),C3186*E3186*F3186*G3186*H3186,IF(AND(F3186,G3186),C3186*E3186*F3186*G3186,IF(AND(F3186,H3186),C3186*E3186*F3186*H3186,IF(AND(G3186,H3186),C3186*E3186*G3186*H3186,IF(F3186,C3186*E3186*F3186,IF(G3186,C3186*E3186*G3186,IF(H3186,C3186*E3186*H3186,C3186*E3186))))))),2)</f>
        <v>55</v>
      </c>
      <c r="J3186" s="1357" t="s">
        <v>277</v>
      </c>
      <c r="K3186" s="1169"/>
      <c r="L3186" s="1156"/>
      <c r="M3186" s="1169"/>
      <c r="N3186" s="1161" t="s">
        <v>2218</v>
      </c>
    </row>
    <row r="3187" spans="1:14" s="1170" customFormat="1" ht="16.5" hidden="1" customHeight="1">
      <c r="A3187" s="1156"/>
      <c r="B3187" s="1230"/>
      <c r="C3187" s="1332"/>
      <c r="D3187" s="1333"/>
      <c r="E3187" s="1334"/>
      <c r="F3187" s="1550"/>
      <c r="G3187" s="1335"/>
      <c r="H3187" s="1335"/>
      <c r="I3187" s="1336"/>
      <c r="J3187" s="1357"/>
      <c r="K3187" s="1169"/>
      <c r="L3187" s="1156"/>
      <c r="M3187" s="1169"/>
      <c r="N3187" s="1161" t="s">
        <v>2218</v>
      </c>
    </row>
    <row r="3188" spans="1:14" ht="15.75" hidden="1">
      <c r="A3188" s="1156"/>
      <c r="B3188" s="1169"/>
      <c r="C3188" s="1337"/>
      <c r="D3188" s="1171"/>
      <c r="E3188" s="1165"/>
      <c r="F3188" s="1166"/>
      <c r="G3188" s="1343"/>
      <c r="H3188" s="1156"/>
      <c r="I3188" s="1336"/>
      <c r="J3188" s="1357" t="s">
        <v>277</v>
      </c>
      <c r="K3188" s="1221">
        <f>'Ele Data'!I154</f>
        <v>18.59</v>
      </c>
      <c r="L3188" s="1159" t="s">
        <v>2218</v>
      </c>
      <c r="M3188" s="1224">
        <f>ROUND(I3188*K3188,0)</f>
        <v>0</v>
      </c>
      <c r="N3188" s="1161" t="s">
        <v>2218</v>
      </c>
    </row>
    <row r="3189" spans="1:14" ht="44.25" hidden="1" customHeight="1">
      <c r="A3189" s="1156">
        <v>9</v>
      </c>
      <c r="B3189" s="1826" t="s">
        <v>2264</v>
      </c>
      <c r="C3189" s="1826"/>
      <c r="D3189" s="1826"/>
      <c r="E3189" s="1826"/>
      <c r="F3189" s="1826"/>
      <c r="G3189" s="1826"/>
      <c r="H3189" s="1826"/>
      <c r="I3189" s="1157"/>
      <c r="J3189" s="1158"/>
      <c r="K3189" s="1156"/>
      <c r="L3189" s="1156"/>
      <c r="M3189" s="1160"/>
      <c r="N3189" s="1161" t="s">
        <v>2218</v>
      </c>
    </row>
    <row r="3190" spans="1:14" s="1170" customFormat="1" ht="16.5" hidden="1" customHeight="1">
      <c r="A3190" s="1156"/>
      <c r="B3190" s="1169" t="s">
        <v>2355</v>
      </c>
      <c r="C3190" s="1351"/>
      <c r="D3190" s="1418"/>
      <c r="E3190" s="1352"/>
      <c r="F3190" s="1234"/>
      <c r="G3190" s="1234"/>
      <c r="H3190" s="1235"/>
      <c r="I3190" s="1353"/>
      <c r="J3190" s="1357"/>
      <c r="K3190" s="1169"/>
      <c r="L3190" s="1156"/>
      <c r="M3190" s="1169"/>
      <c r="N3190" s="1161" t="s">
        <v>2218</v>
      </c>
    </row>
    <row r="3191" spans="1:14" s="1170" customFormat="1" ht="16.5" hidden="1" customHeight="1">
      <c r="A3191" s="1156"/>
      <c r="B3191" s="1230"/>
      <c r="C3191" s="1360">
        <v>1</v>
      </c>
      <c r="D3191" s="1361" t="s">
        <v>273</v>
      </c>
      <c r="E3191" s="1362">
        <v>1</v>
      </c>
      <c r="F3191" s="1401">
        <v>150</v>
      </c>
      <c r="G3191" s="1363">
        <v>0</v>
      </c>
      <c r="H3191" s="1363">
        <v>0</v>
      </c>
      <c r="I3191" s="1336">
        <f>ROUND(IF(AND(F3191:H3191),C3191*E3191*F3191*G3191*H3191,IF(AND(F3191,G3191),C3191*E3191*F3191*G3191,IF(AND(F3191,H3191),C3191*E3191*F3191*H3191,IF(AND(G3191,H3191),C3191*E3191*G3191*H3191,IF(F3191,C3191*E3191*F3191,IF(G3191,C3191*E3191*G3191,IF(H3191,C3191*E3191*H3191,C3191*E3191))))))),2)</f>
        <v>150</v>
      </c>
      <c r="J3191" s="1357" t="s">
        <v>277</v>
      </c>
      <c r="K3191" s="1169"/>
      <c r="L3191" s="1156"/>
      <c r="M3191" s="1169"/>
      <c r="N3191" s="1161" t="s">
        <v>2218</v>
      </c>
    </row>
    <row r="3192" spans="1:14" s="1170" customFormat="1" ht="16.5" hidden="1" customHeight="1">
      <c r="A3192" s="1156"/>
      <c r="B3192" s="1230"/>
      <c r="C3192" s="1332"/>
      <c r="D3192" s="1333"/>
      <c r="E3192" s="1334"/>
      <c r="F3192" s="1550"/>
      <c r="G3192" s="1335"/>
      <c r="H3192" s="1335"/>
      <c r="I3192" s="1336"/>
      <c r="J3192" s="1357"/>
      <c r="K3192" s="1169"/>
      <c r="L3192" s="1156"/>
      <c r="M3192" s="1169"/>
      <c r="N3192" s="1161" t="s">
        <v>2218</v>
      </c>
    </row>
    <row r="3193" spans="1:14" ht="15.75" hidden="1">
      <c r="A3193" s="1156"/>
      <c r="B3193" s="1169"/>
      <c r="C3193" s="1337"/>
      <c r="D3193" s="1171"/>
      <c r="E3193" s="1165"/>
      <c r="F3193" s="1166"/>
      <c r="G3193" s="1343"/>
      <c r="H3193" s="1156"/>
      <c r="I3193" s="1336"/>
      <c r="J3193" s="1357" t="s">
        <v>277</v>
      </c>
      <c r="K3193" s="1221">
        <f>'Ele Data'!I146</f>
        <v>60.7</v>
      </c>
      <c r="L3193" s="1159" t="s">
        <v>2218</v>
      </c>
      <c r="M3193" s="1224">
        <f>ROUND(I3193*K3193,0)</f>
        <v>0</v>
      </c>
      <c r="N3193" s="1161" t="s">
        <v>2218</v>
      </c>
    </row>
    <row r="3194" spans="1:14" s="1575" customFormat="1" ht="44.25" customHeight="1">
      <c r="A3194" s="1570">
        <v>41</v>
      </c>
      <c r="B3194" s="1827" t="s">
        <v>429</v>
      </c>
      <c r="C3194" s="1827"/>
      <c r="D3194" s="1827"/>
      <c r="E3194" s="1827"/>
      <c r="F3194" s="1827"/>
      <c r="G3194" s="1827"/>
      <c r="H3194" s="1827"/>
      <c r="I3194" s="1571"/>
      <c r="J3194" s="1572"/>
      <c r="K3194" s="1570"/>
      <c r="L3194" s="1570"/>
      <c r="M3194" s="1577"/>
      <c r="N3194" s="1578" t="s">
        <v>2218</v>
      </c>
    </row>
    <row r="3195" spans="1:14" s="1586" customFormat="1" ht="16.5" customHeight="1">
      <c r="A3195" s="1570"/>
      <c r="B3195" s="1585" t="s">
        <v>3838</v>
      </c>
      <c r="C3195" s="1592"/>
      <c r="D3195" s="1790" t="s">
        <v>3878</v>
      </c>
      <c r="E3195" s="1594"/>
      <c r="F3195" s="1595"/>
      <c r="G3195" s="1595"/>
      <c r="H3195" s="1596"/>
      <c r="I3195" s="1597"/>
      <c r="J3195" s="1616"/>
      <c r="K3195" s="1585"/>
      <c r="L3195" s="1570"/>
      <c r="M3195" s="1585"/>
      <c r="N3195" s="1578" t="s">
        <v>2218</v>
      </c>
    </row>
    <row r="3196" spans="1:14" s="1586" customFormat="1" ht="16.5" customHeight="1">
      <c r="A3196" s="1570"/>
      <c r="B3196" s="1638" t="s">
        <v>3839</v>
      </c>
      <c r="C3196" s="1639">
        <v>1</v>
      </c>
      <c r="D3196" s="1640" t="s">
        <v>273</v>
      </c>
      <c r="E3196" s="1641">
        <v>1</v>
      </c>
      <c r="F3196" s="1643">
        <v>30</v>
      </c>
      <c r="G3196" s="1622">
        <v>0</v>
      </c>
      <c r="H3196" s="1622">
        <v>0</v>
      </c>
      <c r="I3196" s="1605">
        <f t="shared" ref="I3196:I3198" si="171">ROUND(IF(AND(F3196:H3196),C3196*E3196*F3196*G3196*H3196,IF(AND(F3196,G3196),C3196*E3196*F3196*G3196,IF(AND(F3196,H3196),C3196*E3196*F3196*H3196,IF(AND(G3196,H3196),C3196*E3196*G3196*H3196,IF(F3196,C3196*E3196*F3196,IF(G3196,C3196*E3196*G3196,IF(H3196,C3196*E3196*H3196,C3196*E3196))))))),2)</f>
        <v>30</v>
      </c>
      <c r="J3196" s="1616" t="s">
        <v>277</v>
      </c>
      <c r="K3196" s="1585"/>
      <c r="L3196" s="1570"/>
      <c r="M3196" s="1585"/>
      <c r="N3196" s="1578" t="s">
        <v>2218</v>
      </c>
    </row>
    <row r="3197" spans="1:14" s="1586" customFormat="1" ht="16.5" customHeight="1">
      <c r="A3197" s="1570"/>
      <c r="B3197" s="1638" t="s">
        <v>3422</v>
      </c>
      <c r="C3197" s="1639">
        <v>1</v>
      </c>
      <c r="D3197" s="1640" t="s">
        <v>273</v>
      </c>
      <c r="E3197" s="1641">
        <v>1</v>
      </c>
      <c r="F3197" s="1643">
        <v>15</v>
      </c>
      <c r="G3197" s="1622">
        <v>0</v>
      </c>
      <c r="H3197" s="1622">
        <v>0</v>
      </c>
      <c r="I3197" s="1605">
        <f t="shared" si="171"/>
        <v>15</v>
      </c>
      <c r="J3197" s="1616" t="s">
        <v>277</v>
      </c>
      <c r="K3197" s="1585"/>
      <c r="L3197" s="1570"/>
      <c r="M3197" s="1585"/>
      <c r="N3197" s="1578" t="s">
        <v>2218</v>
      </c>
    </row>
    <row r="3198" spans="1:14" s="1586" customFormat="1" ht="16.5" customHeight="1">
      <c r="A3198" s="1570"/>
      <c r="B3198" s="1638" t="s">
        <v>3353</v>
      </c>
      <c r="C3198" s="1639">
        <v>1</v>
      </c>
      <c r="D3198" s="1640" t="s">
        <v>273</v>
      </c>
      <c r="E3198" s="1641">
        <v>1</v>
      </c>
      <c r="F3198" s="1643">
        <v>15</v>
      </c>
      <c r="G3198" s="1622">
        <v>0</v>
      </c>
      <c r="H3198" s="1622">
        <v>0</v>
      </c>
      <c r="I3198" s="1605">
        <f t="shared" si="171"/>
        <v>15</v>
      </c>
      <c r="J3198" s="1616" t="s">
        <v>277</v>
      </c>
      <c r="K3198" s="1585"/>
      <c r="L3198" s="1570"/>
      <c r="M3198" s="1585"/>
      <c r="N3198" s="1578" t="s">
        <v>2218</v>
      </c>
    </row>
    <row r="3199" spans="1:14" s="1586" customFormat="1" ht="16.5" customHeight="1">
      <c r="A3199" s="1570"/>
      <c r="B3199" s="1644"/>
      <c r="C3199" s="1601"/>
      <c r="D3199" s="1602"/>
      <c r="E3199" s="1603"/>
      <c r="F3199" s="1645"/>
      <c r="G3199" s="1604"/>
      <c r="H3199" s="1604"/>
      <c r="I3199" s="1605"/>
      <c r="J3199" s="1616"/>
      <c r="K3199" s="1585"/>
      <c r="L3199" s="1570"/>
      <c r="M3199" s="1585"/>
      <c r="N3199" s="1578" t="s">
        <v>2218</v>
      </c>
    </row>
    <row r="3200" spans="1:14" s="1575" customFormat="1" ht="15.75">
      <c r="A3200" s="1570"/>
      <c r="B3200" s="1585"/>
      <c r="C3200" s="1606"/>
      <c r="D3200" s="1587"/>
      <c r="E3200" s="1588"/>
      <c r="F3200" s="1589"/>
      <c r="G3200" s="1607"/>
      <c r="H3200" s="1570"/>
      <c r="I3200" s="1605">
        <f>SUM(I3196:I3199)</f>
        <v>60</v>
      </c>
      <c r="J3200" s="1616" t="s">
        <v>277</v>
      </c>
      <c r="K3200" s="1608">
        <f>'Ele Data'!I164</f>
        <v>64.873099999999994</v>
      </c>
      <c r="L3200" s="1573" t="s">
        <v>2218</v>
      </c>
      <c r="M3200" s="1609">
        <f>ROUND(I3200*K3200,0)</f>
        <v>3892</v>
      </c>
      <c r="N3200" s="1578" t="s">
        <v>2218</v>
      </c>
    </row>
    <row r="3201" spans="1:14" ht="44.25" hidden="1" customHeight="1">
      <c r="A3201" s="1156">
        <v>10</v>
      </c>
      <c r="B3201" s="1826" t="s">
        <v>430</v>
      </c>
      <c r="C3201" s="1826"/>
      <c r="D3201" s="1826"/>
      <c r="E3201" s="1826"/>
      <c r="F3201" s="1826"/>
      <c r="G3201" s="1826"/>
      <c r="H3201" s="1826"/>
      <c r="I3201" s="1157"/>
      <c r="J3201" s="1158"/>
      <c r="K3201" s="1156"/>
      <c r="L3201" s="1156"/>
      <c r="M3201" s="1160"/>
      <c r="N3201" s="1161" t="s">
        <v>2218</v>
      </c>
    </row>
    <row r="3202" spans="1:14" s="1170" customFormat="1" ht="16.5" hidden="1" customHeight="1">
      <c r="A3202" s="1156"/>
      <c r="B3202" s="1169" t="s">
        <v>2107</v>
      </c>
      <c r="C3202" s="1351"/>
      <c r="D3202" s="1418"/>
      <c r="E3202" s="1352"/>
      <c r="F3202" s="1234"/>
      <c r="G3202" s="1234"/>
      <c r="H3202" s="1235"/>
      <c r="I3202" s="1353"/>
      <c r="J3202" s="1357"/>
      <c r="K3202" s="1169"/>
      <c r="L3202" s="1156"/>
      <c r="M3202" s="1169"/>
      <c r="N3202" s="1161" t="s">
        <v>2218</v>
      </c>
    </row>
    <row r="3203" spans="1:14" s="1170" customFormat="1" ht="16.5" hidden="1" customHeight="1">
      <c r="A3203" s="1156"/>
      <c r="B3203" s="1230"/>
      <c r="C3203" s="1332">
        <v>1</v>
      </c>
      <c r="D3203" s="1333" t="s">
        <v>273</v>
      </c>
      <c r="E3203" s="1334">
        <v>1</v>
      </c>
      <c r="F3203" s="1550">
        <v>25</v>
      </c>
      <c r="G3203" s="1335">
        <v>0</v>
      </c>
      <c r="H3203" s="1335">
        <v>0</v>
      </c>
      <c r="I3203" s="1336">
        <f>ROUND(IF(AND(F3203:H3203),C3203*E3203*F3203*G3203*H3203,IF(AND(F3203,G3203),C3203*E3203*F3203*G3203,IF(AND(F3203,H3203),C3203*E3203*F3203*H3203,IF(AND(G3203,H3203),C3203*E3203*G3203*H3203,IF(F3203,C3203*E3203*F3203,IF(G3203,C3203*E3203*G3203,IF(H3203,C3203*E3203*H3203,C3203*E3203))))))),2)</f>
        <v>25</v>
      </c>
      <c r="J3203" s="1357" t="s">
        <v>277</v>
      </c>
      <c r="K3203" s="1169"/>
      <c r="L3203" s="1156"/>
      <c r="M3203" s="1169"/>
      <c r="N3203" s="1161" t="s">
        <v>2218</v>
      </c>
    </row>
    <row r="3204" spans="1:14" s="1170" customFormat="1" ht="16.5" hidden="1" customHeight="1">
      <c r="A3204" s="1156"/>
      <c r="B3204" s="1230"/>
      <c r="C3204" s="1332"/>
      <c r="D3204" s="1333"/>
      <c r="E3204" s="1334"/>
      <c r="F3204" s="1550"/>
      <c r="G3204" s="1335"/>
      <c r="H3204" s="1335"/>
      <c r="I3204" s="1336"/>
      <c r="J3204" s="1357"/>
      <c r="K3204" s="1169"/>
      <c r="L3204" s="1156"/>
      <c r="M3204" s="1169"/>
      <c r="N3204" s="1161" t="s">
        <v>2218</v>
      </c>
    </row>
    <row r="3205" spans="1:14" ht="15.75" hidden="1">
      <c r="A3205" s="1156"/>
      <c r="B3205" s="1169"/>
      <c r="C3205" s="1337"/>
      <c r="D3205" s="1171"/>
      <c r="E3205" s="1165"/>
      <c r="F3205" s="1166"/>
      <c r="G3205" s="1343"/>
      <c r="H3205" s="1156"/>
      <c r="I3205" s="1336"/>
      <c r="J3205" s="1357" t="s">
        <v>277</v>
      </c>
      <c r="K3205" s="1221">
        <f>'Ele Data'!I174</f>
        <v>98.56</v>
      </c>
      <c r="L3205" s="1159" t="s">
        <v>2218</v>
      </c>
      <c r="M3205" s="1224">
        <f>ROUND(I3205*K3205,0)</f>
        <v>0</v>
      </c>
      <c r="N3205" s="1161" t="s">
        <v>2218</v>
      </c>
    </row>
    <row r="3206" spans="1:14" ht="44.25" hidden="1" customHeight="1">
      <c r="A3206" s="1156">
        <v>10</v>
      </c>
      <c r="B3206" s="1826" t="s">
        <v>882</v>
      </c>
      <c r="C3206" s="1826"/>
      <c r="D3206" s="1826"/>
      <c r="E3206" s="1826"/>
      <c r="F3206" s="1826"/>
      <c r="G3206" s="1826"/>
      <c r="H3206" s="1826"/>
      <c r="I3206" s="1157"/>
      <c r="J3206" s="1158"/>
      <c r="K3206" s="1156"/>
      <c r="L3206" s="1156"/>
      <c r="M3206" s="1160"/>
      <c r="N3206" s="1161" t="s">
        <v>2218</v>
      </c>
    </row>
    <row r="3207" spans="1:14" s="1170" customFormat="1" ht="16.5" hidden="1" customHeight="1">
      <c r="A3207" s="1156"/>
      <c r="B3207" s="1169" t="s">
        <v>2353</v>
      </c>
      <c r="C3207" s="1351"/>
      <c r="D3207" s="1418"/>
      <c r="E3207" s="1352"/>
      <c r="F3207" s="1234"/>
      <c r="G3207" s="1234"/>
      <c r="H3207" s="1235"/>
      <c r="I3207" s="1353"/>
      <c r="J3207" s="1357"/>
      <c r="K3207" s="1169"/>
      <c r="L3207" s="1156"/>
      <c r="M3207" s="1169"/>
      <c r="N3207" s="1161" t="s">
        <v>2218</v>
      </c>
    </row>
    <row r="3208" spans="1:14" s="1170" customFormat="1" ht="16.5" hidden="1" customHeight="1">
      <c r="A3208" s="1156"/>
      <c r="B3208" s="1230"/>
      <c r="C3208" s="1360">
        <v>1</v>
      </c>
      <c r="D3208" s="1361" t="s">
        <v>273</v>
      </c>
      <c r="E3208" s="1362">
        <v>1</v>
      </c>
      <c r="F3208" s="1401">
        <v>30</v>
      </c>
      <c r="G3208" s="1363">
        <v>0</v>
      </c>
      <c r="H3208" s="1363">
        <v>0</v>
      </c>
      <c r="I3208" s="1336">
        <f>ROUND(IF(AND(F3208:H3208),C3208*E3208*F3208*G3208*H3208,IF(AND(F3208,G3208),C3208*E3208*F3208*G3208,IF(AND(F3208,H3208),C3208*E3208*F3208*H3208,IF(AND(G3208,H3208),C3208*E3208*G3208*H3208,IF(F3208,C3208*E3208*F3208,IF(G3208,C3208*E3208*G3208,IF(H3208,C3208*E3208*H3208,C3208*E3208))))))),2)</f>
        <v>30</v>
      </c>
      <c r="J3208" s="1357" t="s">
        <v>277</v>
      </c>
      <c r="K3208" s="1169"/>
      <c r="L3208" s="1156"/>
      <c r="M3208" s="1169"/>
      <c r="N3208" s="1161" t="s">
        <v>2218</v>
      </c>
    </row>
    <row r="3209" spans="1:14" s="1170" customFormat="1" ht="16.5" hidden="1" customHeight="1">
      <c r="A3209" s="1156"/>
      <c r="B3209" s="1230"/>
      <c r="C3209" s="1360"/>
      <c r="D3209" s="1361"/>
      <c r="E3209" s="1362"/>
      <c r="F3209" s="1401"/>
      <c r="G3209" s="1363"/>
      <c r="H3209" s="1363"/>
      <c r="I3209" s="1336"/>
      <c r="J3209" s="1357"/>
      <c r="K3209" s="1169"/>
      <c r="L3209" s="1156"/>
      <c r="M3209" s="1169"/>
      <c r="N3209" s="1161" t="s">
        <v>2218</v>
      </c>
    </row>
    <row r="3210" spans="1:14" ht="15.75" hidden="1">
      <c r="A3210" s="1156"/>
      <c r="B3210" s="1169"/>
      <c r="C3210" s="1337"/>
      <c r="D3210" s="1171"/>
      <c r="E3210" s="1165"/>
      <c r="F3210" s="1166"/>
      <c r="G3210" s="1343"/>
      <c r="H3210" s="1156"/>
      <c r="I3210" s="1336"/>
      <c r="J3210" s="1357" t="s">
        <v>277</v>
      </c>
      <c r="K3210" s="1221">
        <f>'Ele Data'!I185</f>
        <v>50.795000000000002</v>
      </c>
      <c r="L3210" s="1159" t="s">
        <v>2218</v>
      </c>
      <c r="M3210" s="1224">
        <f>ROUND(I3210*K3210,0)</f>
        <v>0</v>
      </c>
      <c r="N3210" s="1161" t="s">
        <v>2218</v>
      </c>
    </row>
    <row r="3211" spans="1:14" s="1575" customFormat="1" ht="22.5" customHeight="1">
      <c r="A3211" s="1570">
        <v>42</v>
      </c>
      <c r="B3211" s="1827" t="s">
        <v>437</v>
      </c>
      <c r="C3211" s="1827"/>
      <c r="D3211" s="1827"/>
      <c r="E3211" s="1827"/>
      <c r="F3211" s="1827"/>
      <c r="G3211" s="1827"/>
      <c r="H3211" s="1827"/>
      <c r="I3211" s="1571"/>
      <c r="J3211" s="1572"/>
      <c r="K3211" s="1570"/>
      <c r="L3211" s="1570"/>
      <c r="M3211" s="1577"/>
      <c r="N3211" s="1578" t="s">
        <v>2218</v>
      </c>
    </row>
    <row r="3212" spans="1:14" s="1586" customFormat="1" ht="16.5" customHeight="1">
      <c r="A3212" s="1570"/>
      <c r="B3212" s="1585" t="s">
        <v>3770</v>
      </c>
      <c r="C3212" s="1592"/>
      <c r="D3212" s="1790" t="s">
        <v>3878</v>
      </c>
      <c r="E3212" s="1594"/>
      <c r="F3212" s="1595"/>
      <c r="G3212" s="1595"/>
      <c r="H3212" s="1596"/>
      <c r="I3212" s="1597"/>
      <c r="J3212" s="1616"/>
      <c r="K3212" s="1585"/>
      <c r="L3212" s="1570"/>
      <c r="M3212" s="1585"/>
      <c r="N3212" s="1578" t="s">
        <v>2218</v>
      </c>
    </row>
    <row r="3213" spans="1:14" s="1586" customFormat="1" ht="16.5" customHeight="1">
      <c r="A3213" s="1570"/>
      <c r="B3213" s="1644"/>
      <c r="C3213" s="1639">
        <v>1</v>
      </c>
      <c r="D3213" s="1640" t="s">
        <v>273</v>
      </c>
      <c r="E3213" s="1641">
        <v>1</v>
      </c>
      <c r="F3213" s="1622">
        <v>0</v>
      </c>
      <c r="G3213" s="1622">
        <v>0</v>
      </c>
      <c r="H3213" s="1622">
        <v>0</v>
      </c>
      <c r="I3213" s="1642">
        <f t="shared" ref="I3213" si="172">ROUND(IF(AND(F3213:H3213),C3213*E3213*F3213*G3213*H3213,IF(AND(F3213,G3213),C3213*E3213*F3213*G3213,IF(AND(F3213,H3213),C3213*E3213*F3213*H3213,IF(AND(G3213,H3213),C3213*E3213*G3213*H3213,IF(F3213,C3213*E3213*F3213,IF(G3213,C3213*E3213*G3213,IF(H3213,C3213*E3213*H3213,C3213*E3213))))))),2)</f>
        <v>1</v>
      </c>
      <c r="J3213" s="1616" t="s">
        <v>115</v>
      </c>
      <c r="K3213" s="1585"/>
      <c r="L3213" s="1570"/>
      <c r="M3213" s="1585"/>
      <c r="N3213" s="1578" t="s">
        <v>2218</v>
      </c>
    </row>
    <row r="3214" spans="1:14" s="1586" customFormat="1" ht="16.5" customHeight="1">
      <c r="A3214" s="1570"/>
      <c r="B3214" s="1644"/>
      <c r="C3214" s="1601"/>
      <c r="D3214" s="1602"/>
      <c r="E3214" s="1603"/>
      <c r="F3214" s="1604"/>
      <c r="G3214" s="1604"/>
      <c r="H3214" s="1604"/>
      <c r="I3214" s="1605"/>
      <c r="J3214" s="1616"/>
      <c r="K3214" s="1585"/>
      <c r="L3214" s="1570"/>
      <c r="M3214" s="1585"/>
      <c r="N3214" s="1578" t="s">
        <v>2218</v>
      </c>
    </row>
    <row r="3215" spans="1:14" s="1575" customFormat="1" ht="15.75">
      <c r="A3215" s="1570"/>
      <c r="B3215" s="1585"/>
      <c r="C3215" s="1606"/>
      <c r="D3215" s="1587"/>
      <c r="E3215" s="1588"/>
      <c r="F3215" s="1589"/>
      <c r="G3215" s="1607"/>
      <c r="H3215" s="1570"/>
      <c r="I3215" s="1642">
        <f>SUM(I3213:I3214)</f>
        <v>1</v>
      </c>
      <c r="J3215" s="1616" t="s">
        <v>115</v>
      </c>
      <c r="K3215" s="1608">
        <f>'Ele Data'!I61</f>
        <v>190</v>
      </c>
      <c r="L3215" s="1573" t="s">
        <v>2218</v>
      </c>
      <c r="M3215" s="1609">
        <f>ROUND(I3215*K3215,0)</f>
        <v>190</v>
      </c>
      <c r="N3215" s="1578" t="s">
        <v>2218</v>
      </c>
    </row>
    <row r="3216" spans="1:14" s="1575" customFormat="1" ht="22.5" customHeight="1">
      <c r="A3216" s="1570">
        <v>43</v>
      </c>
      <c r="B3216" s="1827" t="s">
        <v>615</v>
      </c>
      <c r="C3216" s="1827"/>
      <c r="D3216" s="1827"/>
      <c r="E3216" s="1827"/>
      <c r="F3216" s="1827"/>
      <c r="G3216" s="1827"/>
      <c r="H3216" s="1827"/>
      <c r="I3216" s="1571"/>
      <c r="J3216" s="1572"/>
      <c r="K3216" s="1570"/>
      <c r="L3216" s="1570"/>
      <c r="M3216" s="1577"/>
      <c r="N3216" s="1578" t="s">
        <v>2218</v>
      </c>
    </row>
    <row r="3217" spans="1:14" s="1586" customFormat="1" ht="16.5" customHeight="1">
      <c r="A3217" s="1570"/>
      <c r="B3217" s="1585" t="s">
        <v>3770</v>
      </c>
      <c r="C3217" s="1592"/>
      <c r="D3217" s="1790" t="s">
        <v>3878</v>
      </c>
      <c r="E3217" s="1594"/>
      <c r="F3217" s="1595"/>
      <c r="G3217" s="1595"/>
      <c r="H3217" s="1596"/>
      <c r="I3217" s="1597"/>
      <c r="J3217" s="1616"/>
      <c r="K3217" s="1585"/>
      <c r="L3217" s="1570"/>
      <c r="M3217" s="1585"/>
      <c r="N3217" s="1578" t="s">
        <v>2218</v>
      </c>
    </row>
    <row r="3218" spans="1:14" s="1586" customFormat="1" ht="16.5" customHeight="1">
      <c r="A3218" s="1570"/>
      <c r="B3218" s="1644"/>
      <c r="C3218" s="1639">
        <v>10</v>
      </c>
      <c r="D3218" s="1640" t="s">
        <v>273</v>
      </c>
      <c r="E3218" s="1641">
        <v>1</v>
      </c>
      <c r="F3218" s="1622">
        <v>0</v>
      </c>
      <c r="G3218" s="1622">
        <v>0</v>
      </c>
      <c r="H3218" s="1622">
        <v>0</v>
      </c>
      <c r="I3218" s="1642">
        <f t="shared" ref="I3218" si="173">ROUND(IF(AND(F3218:H3218),C3218*E3218*F3218*G3218*H3218,IF(AND(F3218,G3218),C3218*E3218*F3218*G3218,IF(AND(F3218,H3218),C3218*E3218*F3218*H3218,IF(AND(G3218,H3218),C3218*E3218*G3218*H3218,IF(F3218,C3218*E3218*F3218,IF(G3218,C3218*E3218*G3218,IF(H3218,C3218*E3218*H3218,C3218*E3218))))))),2)</f>
        <v>10</v>
      </c>
      <c r="J3218" s="1616" t="s">
        <v>115</v>
      </c>
      <c r="K3218" s="1585"/>
      <c r="L3218" s="1570"/>
      <c r="M3218" s="1585"/>
      <c r="N3218" s="1578" t="s">
        <v>2218</v>
      </c>
    </row>
    <row r="3219" spans="1:14" s="1586" customFormat="1" ht="16.5" customHeight="1">
      <c r="A3219" s="1570"/>
      <c r="B3219" s="1644"/>
      <c r="C3219" s="1601"/>
      <c r="D3219" s="1602"/>
      <c r="E3219" s="1603"/>
      <c r="F3219" s="1604"/>
      <c r="G3219" s="1604"/>
      <c r="H3219" s="1604"/>
      <c r="I3219" s="1605"/>
      <c r="J3219" s="1616"/>
      <c r="K3219" s="1585"/>
      <c r="L3219" s="1570"/>
      <c r="M3219" s="1585"/>
      <c r="N3219" s="1578" t="s">
        <v>2218</v>
      </c>
    </row>
    <row r="3220" spans="1:14" s="1575" customFormat="1" ht="15.75">
      <c r="A3220" s="1570"/>
      <c r="B3220" s="1585"/>
      <c r="C3220" s="1606"/>
      <c r="D3220" s="1587"/>
      <c r="E3220" s="1588"/>
      <c r="F3220" s="1589"/>
      <c r="G3220" s="1607"/>
      <c r="H3220" s="1570"/>
      <c r="I3220" s="1642">
        <f>SUM(I3218:I3219)</f>
        <v>10</v>
      </c>
      <c r="J3220" s="1616" t="s">
        <v>115</v>
      </c>
      <c r="K3220" s="1608">
        <f>'Ele Data'!I64</f>
        <v>155</v>
      </c>
      <c r="L3220" s="1573" t="s">
        <v>2218</v>
      </c>
      <c r="M3220" s="1609">
        <f>ROUND(I3220*K3220,0)</f>
        <v>1550</v>
      </c>
      <c r="N3220" s="1578" t="s">
        <v>2218</v>
      </c>
    </row>
    <row r="3221" spans="1:14" ht="22.5" hidden="1" customHeight="1">
      <c r="A3221" s="1156">
        <v>13</v>
      </c>
      <c r="B3221" s="1826" t="s">
        <v>694</v>
      </c>
      <c r="C3221" s="1826"/>
      <c r="D3221" s="1826"/>
      <c r="E3221" s="1826"/>
      <c r="F3221" s="1826"/>
      <c r="G3221" s="1826"/>
      <c r="H3221" s="1826"/>
      <c r="I3221" s="1157"/>
      <c r="J3221" s="1158"/>
      <c r="K3221" s="1156"/>
      <c r="L3221" s="1156"/>
      <c r="M3221" s="1160"/>
      <c r="N3221" s="1161" t="s">
        <v>2218</v>
      </c>
    </row>
    <row r="3222" spans="1:14" s="1170" customFormat="1" ht="16.5" hidden="1" customHeight="1">
      <c r="A3222" s="1156"/>
      <c r="B3222" s="1169" t="s">
        <v>2356</v>
      </c>
      <c r="C3222" s="1351"/>
      <c r="D3222" s="1418"/>
      <c r="E3222" s="1352"/>
      <c r="F3222" s="1234"/>
      <c r="G3222" s="1234"/>
      <c r="H3222" s="1235"/>
      <c r="I3222" s="1353"/>
      <c r="J3222" s="1357"/>
      <c r="K3222" s="1169"/>
      <c r="L3222" s="1156"/>
      <c r="M3222" s="1169"/>
      <c r="N3222" s="1161" t="s">
        <v>2218</v>
      </c>
    </row>
    <row r="3223" spans="1:14" s="1170" customFormat="1" ht="16.5" hidden="1" customHeight="1">
      <c r="A3223" s="1156"/>
      <c r="B3223" s="1230" t="s">
        <v>2087</v>
      </c>
      <c r="C3223" s="1332">
        <v>1</v>
      </c>
      <c r="D3223" s="1333" t="s">
        <v>273</v>
      </c>
      <c r="E3223" s="1334">
        <v>14</v>
      </c>
      <c r="F3223" s="1335">
        <v>0</v>
      </c>
      <c r="G3223" s="1335">
        <v>0</v>
      </c>
      <c r="H3223" s="1335">
        <v>0</v>
      </c>
      <c r="I3223" s="1421">
        <f>ROUND(IF(AND(F3223:H3223),C3223*E3223*F3223*G3223*H3223,IF(AND(F3223,G3223),C3223*E3223*F3223*G3223,IF(AND(F3223,H3223),C3223*E3223*F3223*H3223,IF(AND(G3223,H3223),C3223*E3223*G3223*H3223,IF(F3223,C3223*E3223*F3223,IF(G3223,C3223*E3223*G3223,IF(H3223,C3223*E3223*H3223,C3223*E3223))))))),2)</f>
        <v>14</v>
      </c>
      <c r="J3223" s="1357" t="s">
        <v>115</v>
      </c>
      <c r="K3223" s="1169"/>
      <c r="L3223" s="1156"/>
      <c r="M3223" s="1169"/>
      <c r="N3223" s="1161" t="s">
        <v>2218</v>
      </c>
    </row>
    <row r="3224" spans="1:14" s="1170" customFormat="1" ht="16.5" hidden="1" customHeight="1">
      <c r="A3224" s="1156"/>
      <c r="B3224" s="1230"/>
      <c r="C3224" s="1332"/>
      <c r="D3224" s="1333"/>
      <c r="E3224" s="1334"/>
      <c r="F3224" s="1335"/>
      <c r="G3224" s="1335"/>
      <c r="H3224" s="1335"/>
      <c r="I3224" s="1336"/>
      <c r="J3224" s="1357"/>
      <c r="K3224" s="1169"/>
      <c r="L3224" s="1156"/>
      <c r="M3224" s="1169"/>
      <c r="N3224" s="1161" t="s">
        <v>2218</v>
      </c>
    </row>
    <row r="3225" spans="1:14" ht="15.75" hidden="1">
      <c r="A3225" s="1156"/>
      <c r="B3225" s="1169"/>
      <c r="C3225" s="1337"/>
      <c r="D3225" s="1171"/>
      <c r="E3225" s="1165"/>
      <c r="F3225" s="1166"/>
      <c r="G3225" s="1343"/>
      <c r="H3225" s="1156"/>
      <c r="I3225" s="1421"/>
      <c r="J3225" s="1357" t="s">
        <v>115</v>
      </c>
      <c r="K3225" s="1221">
        <f>'Ele Data'!I67</f>
        <v>120</v>
      </c>
      <c r="L3225" s="1159" t="s">
        <v>2218</v>
      </c>
      <c r="M3225" s="1224">
        <f>ROUND(I3225*K3225,0)</f>
        <v>0</v>
      </c>
      <c r="N3225" s="1161" t="s">
        <v>2218</v>
      </c>
    </row>
    <row r="3226" spans="1:14" ht="15" hidden="1" customHeight="1">
      <c r="A3226" s="1156">
        <v>14</v>
      </c>
      <c r="B3226" s="1826" t="s">
        <v>617</v>
      </c>
      <c r="C3226" s="1826"/>
      <c r="D3226" s="1826"/>
      <c r="E3226" s="1826"/>
      <c r="F3226" s="1826"/>
      <c r="G3226" s="1826"/>
      <c r="H3226" s="1826"/>
      <c r="I3226" s="1157"/>
      <c r="J3226" s="1158"/>
      <c r="K3226" s="1156"/>
      <c r="L3226" s="1156"/>
      <c r="M3226" s="1160"/>
      <c r="N3226" s="1161" t="s">
        <v>2218</v>
      </c>
    </row>
    <row r="3227" spans="1:14" s="1170" customFormat="1" ht="16.5" hidden="1" customHeight="1">
      <c r="A3227" s="1156"/>
      <c r="B3227" s="1230" t="s">
        <v>607</v>
      </c>
      <c r="C3227" s="1351"/>
      <c r="D3227" s="1418"/>
      <c r="E3227" s="1352"/>
      <c r="F3227" s="1234"/>
      <c r="G3227" s="1234"/>
      <c r="H3227" s="1235"/>
      <c r="I3227" s="1353"/>
      <c r="J3227" s="1357"/>
      <c r="K3227" s="1169"/>
      <c r="L3227" s="1156"/>
      <c r="M3227" s="1169"/>
      <c r="N3227" s="1161" t="s">
        <v>2218</v>
      </c>
    </row>
    <row r="3228" spans="1:14" s="1170" customFormat="1" ht="16.5" hidden="1" customHeight="1">
      <c r="A3228" s="1156"/>
      <c r="B3228" s="1230" t="s">
        <v>1217</v>
      </c>
      <c r="C3228" s="1332">
        <v>2</v>
      </c>
      <c r="D3228" s="1333" t="s">
        <v>273</v>
      </c>
      <c r="E3228" s="1334">
        <v>1</v>
      </c>
      <c r="F3228" s="1335">
        <v>0</v>
      </c>
      <c r="G3228" s="1335">
        <v>0</v>
      </c>
      <c r="H3228" s="1335">
        <v>0</v>
      </c>
      <c r="I3228" s="1421">
        <f>ROUND(IF(AND(F3228:H3228),C3228*E3228*F3228*G3228*H3228,IF(AND(F3228,G3228),C3228*E3228*F3228*G3228,IF(AND(F3228,H3228),C3228*E3228*F3228*H3228,IF(AND(G3228,H3228),C3228*E3228*G3228*H3228,IF(F3228,C3228*E3228*F3228,IF(G3228,C3228*E3228*G3228,IF(H3228,C3228*E3228*H3228,C3228*E3228))))))),2)</f>
        <v>2</v>
      </c>
      <c r="J3228" s="1357" t="s">
        <v>115</v>
      </c>
      <c r="K3228" s="1169"/>
      <c r="L3228" s="1156"/>
      <c r="M3228" s="1169"/>
      <c r="N3228" s="1161" t="s">
        <v>2218</v>
      </c>
    </row>
    <row r="3229" spans="1:14" s="1170" customFormat="1" ht="16.5" hidden="1" customHeight="1">
      <c r="A3229" s="1156"/>
      <c r="B3229" s="1230"/>
      <c r="C3229" s="1332"/>
      <c r="D3229" s="1333"/>
      <c r="E3229" s="1334"/>
      <c r="F3229" s="1335"/>
      <c r="G3229" s="1335"/>
      <c r="H3229" s="1335"/>
      <c r="I3229" s="1421"/>
      <c r="J3229" s="1357"/>
      <c r="K3229" s="1169"/>
      <c r="L3229" s="1156"/>
      <c r="M3229" s="1169"/>
      <c r="N3229" s="1161" t="s">
        <v>2218</v>
      </c>
    </row>
    <row r="3230" spans="1:14" ht="15.75" hidden="1">
      <c r="A3230" s="1156"/>
      <c r="B3230" s="1169"/>
      <c r="C3230" s="1337"/>
      <c r="D3230" s="1171"/>
      <c r="E3230" s="1165"/>
      <c r="F3230" s="1166"/>
      <c r="G3230" s="1343"/>
      <c r="H3230" s="1156"/>
      <c r="I3230" s="1421"/>
      <c r="J3230" s="1357" t="s">
        <v>115</v>
      </c>
      <c r="K3230" s="1221">
        <f>'Ele Data'!I74</f>
        <v>310</v>
      </c>
      <c r="L3230" s="1159" t="s">
        <v>2218</v>
      </c>
      <c r="M3230" s="1224">
        <f>ROUND(I3230*K3230,0)</f>
        <v>0</v>
      </c>
      <c r="N3230" s="1161" t="s">
        <v>2218</v>
      </c>
    </row>
    <row r="3231" spans="1:14" ht="22.5" hidden="1" customHeight="1">
      <c r="A3231" s="1156">
        <v>14</v>
      </c>
      <c r="B3231" s="1826" t="s">
        <v>792</v>
      </c>
      <c r="C3231" s="1826"/>
      <c r="D3231" s="1826"/>
      <c r="E3231" s="1826"/>
      <c r="F3231" s="1826"/>
      <c r="G3231" s="1826"/>
      <c r="H3231" s="1826"/>
      <c r="I3231" s="1157"/>
      <c r="J3231" s="1158"/>
      <c r="K3231" s="1156"/>
      <c r="L3231" s="1156"/>
      <c r="M3231" s="1160"/>
      <c r="N3231" s="1161" t="s">
        <v>2218</v>
      </c>
    </row>
    <row r="3232" spans="1:14" s="1170" customFormat="1" ht="16.5" hidden="1" customHeight="1">
      <c r="A3232" s="1156"/>
      <c r="B3232" s="1169" t="s">
        <v>2356</v>
      </c>
      <c r="C3232" s="1351"/>
      <c r="D3232" s="1418"/>
      <c r="E3232" s="1352"/>
      <c r="F3232" s="1234"/>
      <c r="G3232" s="1234"/>
      <c r="H3232" s="1235"/>
      <c r="I3232" s="1353"/>
      <c r="J3232" s="1357"/>
      <c r="K3232" s="1169"/>
      <c r="L3232" s="1156"/>
      <c r="M3232" s="1169"/>
      <c r="N3232" s="1161" t="s">
        <v>2218</v>
      </c>
    </row>
    <row r="3233" spans="1:14" s="1170" customFormat="1" ht="16.5" hidden="1" customHeight="1">
      <c r="A3233" s="1156"/>
      <c r="B3233" s="1230" t="s">
        <v>2087</v>
      </c>
      <c r="C3233" s="1332">
        <v>1</v>
      </c>
      <c r="D3233" s="1333" t="s">
        <v>273</v>
      </c>
      <c r="E3233" s="1334">
        <v>3</v>
      </c>
      <c r="F3233" s="1335">
        <v>0</v>
      </c>
      <c r="G3233" s="1335">
        <v>0</v>
      </c>
      <c r="H3233" s="1335">
        <v>0</v>
      </c>
      <c r="I3233" s="1421">
        <f>ROUND(IF(AND(F3233:H3233),C3233*E3233*F3233*G3233*H3233,IF(AND(F3233,G3233),C3233*E3233*F3233*G3233,IF(AND(F3233,H3233),C3233*E3233*F3233*H3233,IF(AND(G3233,H3233),C3233*E3233*G3233*H3233,IF(F3233,C3233*E3233*F3233,IF(G3233,C3233*E3233*G3233,IF(H3233,C3233*E3233*H3233,C3233*E3233))))))),2)</f>
        <v>3</v>
      </c>
      <c r="J3233" s="1357" t="s">
        <v>115</v>
      </c>
      <c r="K3233" s="1169"/>
      <c r="L3233" s="1156"/>
      <c r="M3233" s="1169"/>
      <c r="N3233" s="1161" t="s">
        <v>2218</v>
      </c>
    </row>
    <row r="3234" spans="1:14" s="1170" customFormat="1" ht="16.5" hidden="1" customHeight="1">
      <c r="A3234" s="1156"/>
      <c r="B3234" s="1230"/>
      <c r="C3234" s="1332"/>
      <c r="D3234" s="1333"/>
      <c r="E3234" s="1334"/>
      <c r="F3234" s="1335"/>
      <c r="G3234" s="1335"/>
      <c r="H3234" s="1335"/>
      <c r="I3234" s="1421"/>
      <c r="J3234" s="1357"/>
      <c r="K3234" s="1169"/>
      <c r="L3234" s="1156"/>
      <c r="M3234" s="1169"/>
      <c r="N3234" s="1161" t="s">
        <v>2218</v>
      </c>
    </row>
    <row r="3235" spans="1:14" ht="15.75" hidden="1">
      <c r="A3235" s="1156"/>
      <c r="B3235" s="1169"/>
      <c r="C3235" s="1337"/>
      <c r="D3235" s="1171"/>
      <c r="E3235" s="1165"/>
      <c r="F3235" s="1166"/>
      <c r="G3235" s="1343"/>
      <c r="H3235" s="1156"/>
      <c r="I3235" s="1421"/>
      <c r="J3235" s="1357" t="s">
        <v>115</v>
      </c>
      <c r="K3235" s="1221">
        <f>'Ele Data'!I70</f>
        <v>80</v>
      </c>
      <c r="L3235" s="1159" t="s">
        <v>2218</v>
      </c>
      <c r="M3235" s="1224">
        <f>ROUND(I3235*K3235,0)</f>
        <v>0</v>
      </c>
      <c r="N3235" s="1161" t="s">
        <v>2218</v>
      </c>
    </row>
    <row r="3236" spans="1:14" ht="22.5" hidden="1" customHeight="1">
      <c r="A3236" s="1156">
        <v>16</v>
      </c>
      <c r="B3236" s="1826" t="s">
        <v>439</v>
      </c>
      <c r="C3236" s="1826"/>
      <c r="D3236" s="1826"/>
      <c r="E3236" s="1826"/>
      <c r="F3236" s="1826"/>
      <c r="G3236" s="1826"/>
      <c r="H3236" s="1826"/>
      <c r="I3236" s="1157"/>
      <c r="J3236" s="1158"/>
      <c r="K3236" s="1156"/>
      <c r="L3236" s="1156"/>
      <c r="M3236" s="1160"/>
      <c r="N3236" s="1161" t="s">
        <v>2218</v>
      </c>
    </row>
    <row r="3237" spans="1:14" s="1170" customFormat="1" ht="16.5" hidden="1" customHeight="1">
      <c r="A3237" s="1156"/>
      <c r="B3237" s="1169" t="s">
        <v>2107</v>
      </c>
      <c r="C3237" s="1351"/>
      <c r="D3237" s="1418"/>
      <c r="E3237" s="1352"/>
      <c r="F3237" s="1234"/>
      <c r="G3237" s="1234"/>
      <c r="H3237" s="1235"/>
      <c r="I3237" s="1353"/>
      <c r="J3237" s="1357"/>
      <c r="K3237" s="1169"/>
      <c r="L3237" s="1156"/>
      <c r="M3237" s="1169"/>
      <c r="N3237" s="1161" t="s">
        <v>2218</v>
      </c>
    </row>
    <row r="3238" spans="1:14" s="1170" customFormat="1" ht="16.5" hidden="1" customHeight="1">
      <c r="A3238" s="1156"/>
      <c r="B3238" s="1230" t="s">
        <v>2087</v>
      </c>
      <c r="C3238" s="1332">
        <v>1</v>
      </c>
      <c r="D3238" s="1333" t="s">
        <v>273</v>
      </c>
      <c r="E3238" s="1334">
        <v>12</v>
      </c>
      <c r="F3238" s="1335">
        <v>0</v>
      </c>
      <c r="G3238" s="1335">
        <v>0</v>
      </c>
      <c r="H3238" s="1335">
        <v>0</v>
      </c>
      <c r="I3238" s="1421">
        <f>ROUND(IF(AND(F3238:H3238),C3238*E3238*F3238*G3238*H3238,IF(AND(F3238,G3238),C3238*E3238*F3238*G3238,IF(AND(F3238,H3238),C3238*E3238*F3238*H3238,IF(AND(G3238,H3238),C3238*E3238*G3238*H3238,IF(F3238,C3238*E3238*F3238,IF(G3238,C3238*E3238*G3238,IF(H3238,C3238*E3238*H3238,C3238*E3238))))))),2)</f>
        <v>12</v>
      </c>
      <c r="J3238" s="1357" t="s">
        <v>115</v>
      </c>
      <c r="K3238" s="1169"/>
      <c r="L3238" s="1156"/>
      <c r="M3238" s="1169"/>
      <c r="N3238" s="1161" t="s">
        <v>2218</v>
      </c>
    </row>
    <row r="3239" spans="1:14" s="1170" customFormat="1" ht="16.5" hidden="1" customHeight="1">
      <c r="A3239" s="1156"/>
      <c r="B3239" s="1230"/>
      <c r="C3239" s="1332"/>
      <c r="D3239" s="1333"/>
      <c r="E3239" s="1334"/>
      <c r="F3239" s="1335"/>
      <c r="G3239" s="1335"/>
      <c r="H3239" s="1335"/>
      <c r="I3239" s="1336"/>
      <c r="J3239" s="1357"/>
      <c r="K3239" s="1169"/>
      <c r="L3239" s="1156"/>
      <c r="M3239" s="1169"/>
      <c r="N3239" s="1161" t="s">
        <v>2218</v>
      </c>
    </row>
    <row r="3240" spans="1:14" ht="15.75" hidden="1">
      <c r="A3240" s="1156"/>
      <c r="B3240" s="1169"/>
      <c r="C3240" s="1337"/>
      <c r="D3240" s="1171"/>
      <c r="E3240" s="1165"/>
      <c r="F3240" s="1166"/>
      <c r="G3240" s="1343"/>
      <c r="H3240" s="1156"/>
      <c r="I3240" s="1421"/>
      <c r="J3240" s="1357" t="s">
        <v>115</v>
      </c>
      <c r="K3240" s="1221">
        <f>'Ele Data'!I77</f>
        <v>60</v>
      </c>
      <c r="L3240" s="1159" t="s">
        <v>2218</v>
      </c>
      <c r="M3240" s="1224">
        <f>ROUND(I3240*K3240,0)</f>
        <v>0</v>
      </c>
      <c r="N3240" s="1161" t="s">
        <v>2218</v>
      </c>
    </row>
    <row r="3241" spans="1:14" ht="43.5" hidden="1" customHeight="1">
      <c r="A3241" s="1156">
        <v>17</v>
      </c>
      <c r="B3241" s="1826" t="s">
        <v>1238</v>
      </c>
      <c r="C3241" s="1826"/>
      <c r="D3241" s="1826"/>
      <c r="E3241" s="1826"/>
      <c r="F3241" s="1826"/>
      <c r="G3241" s="1826"/>
      <c r="H3241" s="1826"/>
      <c r="I3241" s="1157"/>
      <c r="J3241" s="1158"/>
      <c r="K3241" s="1156"/>
      <c r="L3241" s="1156"/>
      <c r="M3241" s="1160"/>
      <c r="N3241" s="1161" t="s">
        <v>2218</v>
      </c>
    </row>
    <row r="3242" spans="1:14" s="1170" customFormat="1" ht="16.5" hidden="1" customHeight="1">
      <c r="A3242" s="1156"/>
      <c r="B3242" s="1169" t="s">
        <v>2107</v>
      </c>
      <c r="C3242" s="1351"/>
      <c r="D3242" s="1418"/>
      <c r="E3242" s="1352"/>
      <c r="F3242" s="1234"/>
      <c r="G3242" s="1234"/>
      <c r="H3242" s="1235"/>
      <c r="I3242" s="1353"/>
      <c r="J3242" s="1357"/>
      <c r="K3242" s="1169"/>
      <c r="L3242" s="1156"/>
      <c r="M3242" s="1169"/>
      <c r="N3242" s="1161" t="s">
        <v>2218</v>
      </c>
    </row>
    <row r="3243" spans="1:14" s="1170" customFormat="1" ht="16.5" hidden="1" customHeight="1">
      <c r="A3243" s="1156"/>
      <c r="B3243" s="1230" t="s">
        <v>2195</v>
      </c>
      <c r="C3243" s="1360">
        <v>1</v>
      </c>
      <c r="D3243" s="1361" t="s">
        <v>273</v>
      </c>
      <c r="E3243" s="1362">
        <v>17</v>
      </c>
      <c r="F3243" s="1363">
        <v>0</v>
      </c>
      <c r="G3243" s="1363">
        <v>0</v>
      </c>
      <c r="H3243" s="1363">
        <v>0</v>
      </c>
      <c r="I3243" s="1421">
        <f>ROUND(IF(AND(F3243:H3243),C3243*E3243*F3243*G3243*H3243,IF(AND(F3243,G3243),C3243*E3243*F3243*G3243,IF(AND(F3243,H3243),C3243*E3243*F3243*H3243,IF(AND(G3243,H3243),C3243*E3243*G3243*H3243,IF(F3243,C3243*E3243*F3243,IF(G3243,C3243*E3243*G3243,IF(H3243,C3243*E3243*H3243,C3243*E3243))))))),2)</f>
        <v>17</v>
      </c>
      <c r="J3243" s="1357" t="s">
        <v>115</v>
      </c>
      <c r="K3243" s="1169"/>
      <c r="L3243" s="1156"/>
      <c r="M3243" s="1169"/>
      <c r="N3243" s="1161" t="s">
        <v>2218</v>
      </c>
    </row>
    <row r="3244" spans="1:14" s="1170" customFormat="1" ht="16.5" hidden="1" customHeight="1">
      <c r="A3244" s="1156"/>
      <c r="B3244" s="1230"/>
      <c r="C3244" s="1332"/>
      <c r="D3244" s="1333"/>
      <c r="E3244" s="1334"/>
      <c r="F3244" s="1335"/>
      <c r="G3244" s="1335"/>
      <c r="H3244" s="1335"/>
      <c r="I3244" s="1336"/>
      <c r="J3244" s="1357"/>
      <c r="K3244" s="1169"/>
      <c r="L3244" s="1156"/>
      <c r="M3244" s="1169"/>
      <c r="N3244" s="1161" t="s">
        <v>2218</v>
      </c>
    </row>
    <row r="3245" spans="1:14" ht="15.75" hidden="1">
      <c r="A3245" s="1156"/>
      <c r="B3245" s="1169"/>
      <c r="C3245" s="1337"/>
      <c r="D3245" s="1171"/>
      <c r="E3245" s="1165"/>
      <c r="F3245" s="1166"/>
      <c r="G3245" s="1343"/>
      <c r="H3245" s="1156"/>
      <c r="I3245" s="1421"/>
      <c r="J3245" s="1357" t="s">
        <v>115</v>
      </c>
      <c r="K3245" s="1221">
        <f>'Ele Data'!I126</f>
        <v>344.3</v>
      </c>
      <c r="L3245" s="1159" t="s">
        <v>2218</v>
      </c>
      <c r="M3245" s="1224">
        <f>ROUND(I3245*K3245,0)</f>
        <v>0</v>
      </c>
      <c r="N3245" s="1161" t="s">
        <v>2218</v>
      </c>
    </row>
    <row r="3246" spans="1:14" s="1575" customFormat="1" ht="43.5" customHeight="1">
      <c r="A3246" s="1570">
        <v>44</v>
      </c>
      <c r="B3246" s="1827" t="s">
        <v>432</v>
      </c>
      <c r="C3246" s="1827"/>
      <c r="D3246" s="1827"/>
      <c r="E3246" s="1827"/>
      <c r="F3246" s="1827"/>
      <c r="G3246" s="1827"/>
      <c r="H3246" s="1827"/>
      <c r="I3246" s="1571"/>
      <c r="J3246" s="1572"/>
      <c r="K3246" s="1570"/>
      <c r="L3246" s="1570"/>
      <c r="M3246" s="1577"/>
      <c r="N3246" s="1578" t="s">
        <v>2218</v>
      </c>
    </row>
    <row r="3247" spans="1:14" s="1586" customFormat="1" ht="16.5" customHeight="1">
      <c r="A3247" s="1570"/>
      <c r="B3247" s="1585" t="s">
        <v>3770</v>
      </c>
      <c r="C3247" s="1592"/>
      <c r="D3247" s="1790" t="s">
        <v>3878</v>
      </c>
      <c r="E3247" s="1594"/>
      <c r="F3247" s="1595"/>
      <c r="G3247" s="1595"/>
      <c r="H3247" s="1596"/>
      <c r="I3247" s="1597"/>
      <c r="J3247" s="1616"/>
      <c r="K3247" s="1585"/>
      <c r="L3247" s="1570"/>
      <c r="M3247" s="1585"/>
      <c r="N3247" s="1578" t="s">
        <v>2218</v>
      </c>
    </row>
    <row r="3248" spans="1:14" s="1586" customFormat="1" ht="16.5" customHeight="1">
      <c r="A3248" s="1570"/>
      <c r="B3248" s="1644"/>
      <c r="C3248" s="1639">
        <v>11</v>
      </c>
      <c r="D3248" s="1640" t="s">
        <v>273</v>
      </c>
      <c r="E3248" s="1641">
        <v>1</v>
      </c>
      <c r="F3248" s="1622">
        <v>0</v>
      </c>
      <c r="G3248" s="1622">
        <v>0</v>
      </c>
      <c r="H3248" s="1622">
        <v>0</v>
      </c>
      <c r="I3248" s="1642">
        <f t="shared" ref="I3248" si="174">ROUND(IF(AND(F3248:H3248),C3248*E3248*F3248*G3248*H3248,IF(AND(F3248,G3248),C3248*E3248*F3248*G3248,IF(AND(F3248,H3248),C3248*E3248*F3248*H3248,IF(AND(G3248,H3248),C3248*E3248*G3248*H3248,IF(F3248,C3248*E3248*F3248,IF(G3248,C3248*E3248*G3248,IF(H3248,C3248*E3248*H3248,C3248*E3248))))))),2)</f>
        <v>11</v>
      </c>
      <c r="J3248" s="1616" t="s">
        <v>115</v>
      </c>
      <c r="K3248" s="1585"/>
      <c r="L3248" s="1570"/>
      <c r="M3248" s="1585"/>
      <c r="N3248" s="1578" t="s">
        <v>2218</v>
      </c>
    </row>
    <row r="3249" spans="1:14" s="1586" customFormat="1" ht="16.5" customHeight="1">
      <c r="A3249" s="1570"/>
      <c r="B3249" s="1644"/>
      <c r="C3249" s="1601"/>
      <c r="D3249" s="1602"/>
      <c r="E3249" s="1603"/>
      <c r="F3249" s="1604"/>
      <c r="G3249" s="1604"/>
      <c r="H3249" s="1604"/>
      <c r="I3249" s="1642"/>
      <c r="J3249" s="1616"/>
      <c r="K3249" s="1585"/>
      <c r="L3249" s="1570"/>
      <c r="M3249" s="1585"/>
      <c r="N3249" s="1578" t="s">
        <v>2218</v>
      </c>
    </row>
    <row r="3250" spans="1:14" s="1575" customFormat="1" ht="15.75">
      <c r="A3250" s="1570"/>
      <c r="B3250" s="1585"/>
      <c r="C3250" s="1606"/>
      <c r="D3250" s="1587"/>
      <c r="E3250" s="1588"/>
      <c r="F3250" s="1589"/>
      <c r="G3250" s="1607"/>
      <c r="H3250" s="1570"/>
      <c r="I3250" s="1642">
        <f>SUM(I3248:I3249)</f>
        <v>11</v>
      </c>
      <c r="J3250" s="1616" t="s">
        <v>115</v>
      </c>
      <c r="K3250" s="1608">
        <f>'Ele Data'!I117</f>
        <v>105.53100000000001</v>
      </c>
      <c r="L3250" s="1573" t="s">
        <v>2218</v>
      </c>
      <c r="M3250" s="1609">
        <f>ROUND(I3250*K3250,0)</f>
        <v>1161</v>
      </c>
      <c r="N3250" s="1578" t="s">
        <v>2218</v>
      </c>
    </row>
    <row r="3251" spans="1:14" ht="43.5" hidden="1" customHeight="1">
      <c r="A3251" s="1156">
        <v>18</v>
      </c>
      <c r="B3251" s="1826" t="s">
        <v>620</v>
      </c>
      <c r="C3251" s="1826"/>
      <c r="D3251" s="1826"/>
      <c r="E3251" s="1826"/>
      <c r="F3251" s="1826"/>
      <c r="G3251" s="1826"/>
      <c r="H3251" s="1826"/>
      <c r="I3251" s="1157"/>
      <c r="J3251" s="1158"/>
      <c r="K3251" s="1156"/>
      <c r="L3251" s="1156"/>
      <c r="M3251" s="1160"/>
      <c r="N3251" s="1161" t="s">
        <v>2218</v>
      </c>
    </row>
    <row r="3252" spans="1:14" s="1170" customFormat="1" ht="16.5" hidden="1" customHeight="1">
      <c r="A3252" s="1156"/>
      <c r="B3252" s="1230" t="s">
        <v>607</v>
      </c>
      <c r="C3252" s="1351"/>
      <c r="D3252" s="1418"/>
      <c r="E3252" s="1352"/>
      <c r="F3252" s="1234"/>
      <c r="G3252" s="1234"/>
      <c r="H3252" s="1235"/>
      <c r="I3252" s="1353"/>
      <c r="J3252" s="1357"/>
      <c r="K3252" s="1169"/>
      <c r="L3252" s="1156"/>
      <c r="M3252" s="1169"/>
      <c r="N3252" s="1161" t="s">
        <v>2218</v>
      </c>
    </row>
    <row r="3253" spans="1:14" s="1170" customFormat="1" ht="16.5" hidden="1" customHeight="1">
      <c r="A3253" s="1156"/>
      <c r="B3253" s="1230"/>
      <c r="C3253" s="1332">
        <v>1</v>
      </c>
      <c r="D3253" s="1333" t="s">
        <v>273</v>
      </c>
      <c r="E3253" s="1334">
        <v>4</v>
      </c>
      <c r="F3253" s="1335">
        <v>0</v>
      </c>
      <c r="G3253" s="1335">
        <v>0</v>
      </c>
      <c r="H3253" s="1335">
        <v>0</v>
      </c>
      <c r="I3253" s="1421">
        <f>ROUND(IF(AND(F3253:H3253),C3253*E3253*F3253*G3253*H3253,IF(AND(F3253,G3253),C3253*E3253*F3253*G3253,IF(AND(F3253,H3253),C3253*E3253*F3253*H3253,IF(AND(G3253,H3253),C3253*E3253*G3253*H3253,IF(F3253,C3253*E3253*F3253,IF(G3253,C3253*E3253*G3253,IF(H3253,C3253*E3253*H3253,C3253*E3253))))))),2)</f>
        <v>4</v>
      </c>
      <c r="J3253" s="1357" t="s">
        <v>115</v>
      </c>
      <c r="K3253" s="1169"/>
      <c r="L3253" s="1156"/>
      <c r="M3253" s="1169"/>
      <c r="N3253" s="1161" t="s">
        <v>2218</v>
      </c>
    </row>
    <row r="3254" spans="1:14" s="1170" customFormat="1" ht="16.5" hidden="1" customHeight="1">
      <c r="A3254" s="1156"/>
      <c r="B3254" s="1230"/>
      <c r="C3254" s="1332"/>
      <c r="D3254" s="1333"/>
      <c r="E3254" s="1334"/>
      <c r="F3254" s="1335"/>
      <c r="G3254" s="1335"/>
      <c r="H3254" s="1335"/>
      <c r="I3254" s="1421"/>
      <c r="J3254" s="1357"/>
      <c r="K3254" s="1169"/>
      <c r="L3254" s="1156"/>
      <c r="M3254" s="1169"/>
      <c r="N3254" s="1161" t="s">
        <v>2218</v>
      </c>
    </row>
    <row r="3255" spans="1:14" ht="15.75" hidden="1">
      <c r="A3255" s="1156"/>
      <c r="B3255" s="1169"/>
      <c r="C3255" s="1337"/>
      <c r="D3255" s="1171"/>
      <c r="E3255" s="1165"/>
      <c r="F3255" s="1166"/>
      <c r="G3255" s="1343"/>
      <c r="H3255" s="1156"/>
      <c r="I3255" s="1421"/>
      <c r="J3255" s="1357" t="s">
        <v>115</v>
      </c>
      <c r="K3255" s="1221">
        <f>'Ele Data'!I134</f>
        <v>99.531000000000006</v>
      </c>
      <c r="L3255" s="1159" t="s">
        <v>2218</v>
      </c>
      <c r="M3255" s="1224">
        <f>ROUND(I3255*K3255,0)</f>
        <v>0</v>
      </c>
      <c r="N3255" s="1161" t="s">
        <v>2218</v>
      </c>
    </row>
    <row r="3256" spans="1:14" ht="19.5" hidden="1" customHeight="1">
      <c r="A3256" s="1156">
        <v>19</v>
      </c>
      <c r="B3256" s="1826" t="s">
        <v>624</v>
      </c>
      <c r="C3256" s="1826"/>
      <c r="D3256" s="1826"/>
      <c r="E3256" s="1826"/>
      <c r="F3256" s="1826"/>
      <c r="G3256" s="1826"/>
      <c r="H3256" s="1826"/>
      <c r="I3256" s="1157"/>
      <c r="J3256" s="1158"/>
      <c r="K3256" s="1156"/>
      <c r="L3256" s="1156"/>
      <c r="M3256" s="1160"/>
      <c r="N3256" s="1161" t="s">
        <v>2218</v>
      </c>
    </row>
    <row r="3257" spans="1:14" s="1170" customFormat="1" ht="16.5" hidden="1" customHeight="1">
      <c r="A3257" s="1156"/>
      <c r="B3257" s="1169" t="s">
        <v>2107</v>
      </c>
      <c r="C3257" s="1351"/>
      <c r="D3257" s="1418"/>
      <c r="E3257" s="1352"/>
      <c r="F3257" s="1234"/>
      <c r="G3257" s="1234"/>
      <c r="H3257" s="1235"/>
      <c r="I3257" s="1353"/>
      <c r="J3257" s="1357"/>
      <c r="K3257" s="1169"/>
      <c r="L3257" s="1156"/>
      <c r="M3257" s="1169"/>
      <c r="N3257" s="1161" t="s">
        <v>2218</v>
      </c>
    </row>
    <row r="3258" spans="1:14" s="1170" customFormat="1" ht="16.5" hidden="1" customHeight="1">
      <c r="A3258" s="1156"/>
      <c r="B3258" s="1230" t="s">
        <v>2087</v>
      </c>
      <c r="C3258" s="1332">
        <v>1</v>
      </c>
      <c r="D3258" s="1333" t="s">
        <v>273</v>
      </c>
      <c r="E3258" s="1334">
        <v>7</v>
      </c>
      <c r="F3258" s="1335">
        <v>0</v>
      </c>
      <c r="G3258" s="1335">
        <v>0</v>
      </c>
      <c r="H3258" s="1335">
        <v>0</v>
      </c>
      <c r="I3258" s="1421">
        <f>ROUND(IF(AND(F3258:H3258),C3258*E3258*F3258*G3258*H3258,IF(AND(F3258,G3258),C3258*E3258*F3258*G3258,IF(AND(F3258,H3258),C3258*E3258*F3258*H3258,IF(AND(G3258,H3258),C3258*E3258*G3258*H3258,IF(F3258,C3258*E3258*F3258,IF(G3258,C3258*E3258*G3258,IF(H3258,C3258*E3258*H3258,C3258*E3258))))))),2)</f>
        <v>7</v>
      </c>
      <c r="J3258" s="1357" t="s">
        <v>115</v>
      </c>
      <c r="K3258" s="1169"/>
      <c r="L3258" s="1156"/>
      <c r="M3258" s="1169"/>
      <c r="N3258" s="1161" t="s">
        <v>2218</v>
      </c>
    </row>
    <row r="3259" spans="1:14" s="1170" customFormat="1" ht="16.5" hidden="1" customHeight="1">
      <c r="A3259" s="1156"/>
      <c r="B3259" s="1230"/>
      <c r="C3259" s="1332"/>
      <c r="D3259" s="1333"/>
      <c r="E3259" s="1334"/>
      <c r="F3259" s="1335"/>
      <c r="G3259" s="1335"/>
      <c r="H3259" s="1335"/>
      <c r="I3259" s="1336"/>
      <c r="J3259" s="1357"/>
      <c r="K3259" s="1169"/>
      <c r="L3259" s="1156"/>
      <c r="M3259" s="1169"/>
      <c r="N3259" s="1161" t="s">
        <v>2218</v>
      </c>
    </row>
    <row r="3260" spans="1:14" ht="15.75" hidden="1">
      <c r="A3260" s="1156"/>
      <c r="B3260" s="1169"/>
      <c r="C3260" s="1337"/>
      <c r="D3260" s="1171"/>
      <c r="E3260" s="1165"/>
      <c r="F3260" s="1166"/>
      <c r="G3260" s="1343"/>
      <c r="H3260" s="1156"/>
      <c r="I3260" s="1421"/>
      <c r="J3260" s="1357" t="s">
        <v>115</v>
      </c>
      <c r="K3260" s="1221">
        <f>'Ele Data'!I81</f>
        <v>18</v>
      </c>
      <c r="L3260" s="1159" t="s">
        <v>2218</v>
      </c>
      <c r="M3260" s="1224">
        <f>ROUND(I3260*K3260,0)</f>
        <v>0</v>
      </c>
      <c r="N3260" s="1161" t="s">
        <v>2218</v>
      </c>
    </row>
    <row r="3261" spans="1:14" s="1575" customFormat="1" ht="30" customHeight="1">
      <c r="A3261" s="1570">
        <v>45</v>
      </c>
      <c r="B3261" s="1827" t="s">
        <v>1268</v>
      </c>
      <c r="C3261" s="1827"/>
      <c r="D3261" s="1827"/>
      <c r="E3261" s="1827"/>
      <c r="F3261" s="1827"/>
      <c r="G3261" s="1827"/>
      <c r="H3261" s="1827"/>
      <c r="I3261" s="1571"/>
      <c r="J3261" s="1572"/>
      <c r="K3261" s="1570"/>
      <c r="L3261" s="1570"/>
      <c r="M3261" s="1577"/>
      <c r="N3261" s="1578" t="s">
        <v>2218</v>
      </c>
    </row>
    <row r="3262" spans="1:14" s="1586" customFormat="1" ht="16.5" customHeight="1">
      <c r="A3262" s="1570"/>
      <c r="B3262" s="1585" t="s">
        <v>3840</v>
      </c>
      <c r="C3262" s="1592"/>
      <c r="D3262" s="1790" t="s">
        <v>3878</v>
      </c>
      <c r="E3262" s="1594"/>
      <c r="F3262" s="1595"/>
      <c r="G3262" s="1595"/>
      <c r="H3262" s="1596"/>
      <c r="I3262" s="1597"/>
      <c r="J3262" s="1616"/>
      <c r="K3262" s="1585"/>
      <c r="L3262" s="1570"/>
      <c r="M3262" s="1585"/>
      <c r="N3262" s="1578" t="s">
        <v>2218</v>
      </c>
    </row>
    <row r="3263" spans="1:14" s="1586" customFormat="1" ht="16.5" customHeight="1">
      <c r="A3263" s="1570"/>
      <c r="B3263" s="1644"/>
      <c r="C3263" s="1646">
        <v>1</v>
      </c>
      <c r="D3263" s="1640" t="s">
        <v>273</v>
      </c>
      <c r="E3263" s="1641">
        <v>2</v>
      </c>
      <c r="F3263" s="1622">
        <v>0</v>
      </c>
      <c r="G3263" s="1622">
        <v>0</v>
      </c>
      <c r="H3263" s="1622">
        <v>0</v>
      </c>
      <c r="I3263" s="1642">
        <f t="shared" ref="I3263" si="175">ROUND(IF(AND(F3263:H3263),C3263*E3263*F3263*G3263*H3263,IF(AND(F3263,G3263),C3263*E3263*F3263*G3263,IF(AND(F3263,H3263),C3263*E3263*F3263*H3263,IF(AND(G3263,H3263),C3263*E3263*G3263*H3263,IF(F3263,C3263*E3263*F3263,IF(G3263,C3263*E3263*G3263,IF(H3263,C3263*E3263*H3263,C3263*E3263))))))),2)</f>
        <v>2</v>
      </c>
      <c r="J3263" s="1616" t="s">
        <v>115</v>
      </c>
      <c r="K3263" s="1585"/>
      <c r="L3263" s="1570"/>
      <c r="M3263" s="1585"/>
      <c r="N3263" s="1578" t="s">
        <v>2218</v>
      </c>
    </row>
    <row r="3264" spans="1:14" s="1586" customFormat="1" ht="16.5" customHeight="1">
      <c r="A3264" s="1570"/>
      <c r="B3264" s="1644"/>
      <c r="C3264" s="1601"/>
      <c r="D3264" s="1602"/>
      <c r="E3264" s="1603"/>
      <c r="F3264" s="1604"/>
      <c r="G3264" s="1604"/>
      <c r="H3264" s="1604"/>
      <c r="I3264" s="1642"/>
      <c r="J3264" s="1616"/>
      <c r="K3264" s="1585"/>
      <c r="L3264" s="1570"/>
      <c r="M3264" s="1585"/>
      <c r="N3264" s="1578" t="s">
        <v>2218</v>
      </c>
    </row>
    <row r="3265" spans="1:15" s="1575" customFormat="1" ht="15.75">
      <c r="A3265" s="1570"/>
      <c r="B3265" s="1585"/>
      <c r="C3265" s="1606"/>
      <c r="D3265" s="1587"/>
      <c r="E3265" s="1588"/>
      <c r="F3265" s="1589"/>
      <c r="G3265" s="1607"/>
      <c r="H3265" s="1570"/>
      <c r="I3265" s="1642">
        <f>SUM(I3263:I3264)</f>
        <v>2</v>
      </c>
      <c r="J3265" s="1616" t="s">
        <v>115</v>
      </c>
      <c r="K3265" s="1608">
        <f>'Ele Data'!I194</f>
        <v>177.65</v>
      </c>
      <c r="L3265" s="1573" t="s">
        <v>2218</v>
      </c>
      <c r="M3265" s="1609">
        <f>ROUND(I3265*K3265,0)</f>
        <v>355</v>
      </c>
      <c r="N3265" s="1578" t="s">
        <v>2218</v>
      </c>
    </row>
    <row r="3266" spans="1:15" s="1575" customFormat="1" ht="43.5" customHeight="1">
      <c r="A3266" s="1570">
        <v>46</v>
      </c>
      <c r="B3266" s="1827" t="s">
        <v>2082</v>
      </c>
      <c r="C3266" s="1827"/>
      <c r="D3266" s="1827"/>
      <c r="E3266" s="1827"/>
      <c r="F3266" s="1827"/>
      <c r="G3266" s="1827"/>
      <c r="H3266" s="1827"/>
      <c r="I3266" s="1571"/>
      <c r="J3266" s="1572"/>
      <c r="K3266" s="1570"/>
      <c r="L3266" s="1570"/>
      <c r="M3266" s="1577"/>
      <c r="N3266" s="1578" t="s">
        <v>2218</v>
      </c>
    </row>
    <row r="3267" spans="1:15" s="1586" customFormat="1" ht="16.5" customHeight="1">
      <c r="A3267" s="1570"/>
      <c r="B3267" s="1585" t="s">
        <v>3771</v>
      </c>
      <c r="C3267" s="1592"/>
      <c r="D3267" s="1790" t="s">
        <v>3878</v>
      </c>
      <c r="E3267" s="1594"/>
      <c r="F3267" s="1595"/>
      <c r="G3267" s="1595"/>
      <c r="H3267" s="1596"/>
      <c r="I3267" s="1597"/>
      <c r="J3267" s="1616"/>
      <c r="K3267" s="1585"/>
      <c r="L3267" s="1570"/>
      <c r="M3267" s="1585"/>
      <c r="N3267" s="1578" t="s">
        <v>2218</v>
      </c>
    </row>
    <row r="3268" spans="1:15" s="1586" customFormat="1" ht="16.5" customHeight="1">
      <c r="A3268" s="1570"/>
      <c r="B3268" s="1644"/>
      <c r="C3268" s="1639">
        <v>3</v>
      </c>
      <c r="D3268" s="1640" t="s">
        <v>273</v>
      </c>
      <c r="E3268" s="1641">
        <v>1</v>
      </c>
      <c r="F3268" s="1622">
        <v>0</v>
      </c>
      <c r="G3268" s="1622">
        <v>0</v>
      </c>
      <c r="H3268" s="1622">
        <v>0</v>
      </c>
      <c r="I3268" s="1642">
        <f t="shared" ref="I3268" si="176">ROUND(IF(AND(F3268:H3268),C3268*E3268*F3268*G3268*H3268,IF(AND(F3268,G3268),C3268*E3268*F3268*G3268,IF(AND(F3268,H3268),C3268*E3268*F3268*H3268,IF(AND(G3268,H3268),C3268*E3268*G3268*H3268,IF(F3268,C3268*E3268*F3268,IF(G3268,C3268*E3268*G3268,IF(H3268,C3268*E3268*H3268,C3268*E3268))))))),2)</f>
        <v>3</v>
      </c>
      <c r="J3268" s="1616" t="s">
        <v>115</v>
      </c>
      <c r="K3268" s="1585"/>
      <c r="L3268" s="1570"/>
      <c r="M3268" s="1585"/>
      <c r="N3268" s="1578" t="s">
        <v>2218</v>
      </c>
    </row>
    <row r="3269" spans="1:15" s="1586" customFormat="1" ht="16.5" customHeight="1">
      <c r="A3269" s="1570"/>
      <c r="B3269" s="1644"/>
      <c r="C3269" s="1601"/>
      <c r="D3269" s="1602"/>
      <c r="E3269" s="1603"/>
      <c r="F3269" s="1604"/>
      <c r="G3269" s="1604"/>
      <c r="H3269" s="1604"/>
      <c r="I3269" s="1642"/>
      <c r="J3269" s="1616"/>
      <c r="K3269" s="1585"/>
      <c r="L3269" s="1570"/>
      <c r="M3269" s="1585"/>
      <c r="N3269" s="1578" t="s">
        <v>2218</v>
      </c>
      <c r="O3269" s="1789">
        <f>M4024</f>
        <v>277</v>
      </c>
    </row>
    <row r="3270" spans="1:15" s="1575" customFormat="1" ht="17.25" customHeight="1">
      <c r="A3270" s="1570"/>
      <c r="B3270" s="1585"/>
      <c r="C3270" s="1606"/>
      <c r="D3270" s="1587"/>
      <c r="E3270" s="1588"/>
      <c r="F3270" s="1589"/>
      <c r="G3270" s="1607"/>
      <c r="H3270" s="1570"/>
      <c r="I3270" s="1642">
        <f>SUM(I3268:I3269)</f>
        <v>3</v>
      </c>
      <c r="J3270" s="1616" t="s">
        <v>115</v>
      </c>
      <c r="K3270" s="1608">
        <f>'Ele Data'!I206</f>
        <v>2636.625</v>
      </c>
      <c r="L3270" s="1573" t="s">
        <v>2218</v>
      </c>
      <c r="M3270" s="1609">
        <f>ROUND(I3270*K3270,0)</f>
        <v>7910</v>
      </c>
      <c r="N3270" s="1578" t="s">
        <v>2218</v>
      </c>
    </row>
    <row r="3271" spans="1:15" ht="21" hidden="1" customHeight="1">
      <c r="A3271" s="1156">
        <v>18</v>
      </c>
      <c r="B3271" s="1826" t="s">
        <v>1574</v>
      </c>
      <c r="C3271" s="1826"/>
      <c r="D3271" s="1826"/>
      <c r="E3271" s="1826"/>
      <c r="F3271" s="1826"/>
      <c r="G3271" s="1826"/>
      <c r="H3271" s="1826"/>
      <c r="I3271" s="1157"/>
      <c r="J3271" s="1158"/>
      <c r="K3271" s="1156"/>
      <c r="L3271" s="1156"/>
      <c r="M3271" s="1160"/>
      <c r="N3271" s="1161" t="s">
        <v>2218</v>
      </c>
    </row>
    <row r="3272" spans="1:15" s="1170" customFormat="1" ht="16.5" hidden="1" customHeight="1">
      <c r="A3272" s="1156"/>
      <c r="B3272" s="1169" t="s">
        <v>2347</v>
      </c>
      <c r="C3272" s="1351"/>
      <c r="D3272" s="1418"/>
      <c r="E3272" s="1352"/>
      <c r="F3272" s="1234"/>
      <c r="G3272" s="1234"/>
      <c r="H3272" s="1235"/>
      <c r="I3272" s="1353"/>
      <c r="J3272" s="1357"/>
      <c r="K3272" s="1169"/>
      <c r="L3272" s="1156"/>
      <c r="M3272" s="1169"/>
      <c r="N3272" s="1161" t="s">
        <v>2218</v>
      </c>
    </row>
    <row r="3273" spans="1:15" s="1170" customFormat="1" ht="16.5" hidden="1" customHeight="1">
      <c r="A3273" s="1156"/>
      <c r="B3273" s="1230"/>
      <c r="C3273" s="1360">
        <v>1</v>
      </c>
      <c r="D3273" s="1361" t="s">
        <v>273</v>
      </c>
      <c r="E3273" s="1362">
        <v>12</v>
      </c>
      <c r="F3273" s="1363">
        <v>0</v>
      </c>
      <c r="G3273" s="1363">
        <v>0</v>
      </c>
      <c r="H3273" s="1363">
        <v>0</v>
      </c>
      <c r="I3273" s="1421">
        <f>ROUND(IF(AND(F3273:H3273),C3273*E3273*F3273*G3273*H3273,IF(AND(F3273,G3273),C3273*E3273*F3273*G3273,IF(AND(F3273,H3273),C3273*E3273*F3273*H3273,IF(AND(G3273,H3273),C3273*E3273*G3273*H3273,IF(F3273,C3273*E3273*F3273,IF(G3273,C3273*E3273*G3273,IF(H3273,C3273*E3273*H3273,C3273*E3273))))))),2)</f>
        <v>12</v>
      </c>
      <c r="J3273" s="1357" t="s">
        <v>115</v>
      </c>
      <c r="K3273" s="1169"/>
      <c r="L3273" s="1156"/>
      <c r="M3273" s="1169"/>
      <c r="N3273" s="1161" t="s">
        <v>2218</v>
      </c>
    </row>
    <row r="3274" spans="1:15" s="1170" customFormat="1" ht="16.5" hidden="1" customHeight="1">
      <c r="A3274" s="1156"/>
      <c r="B3274" s="1230"/>
      <c r="C3274" s="1332"/>
      <c r="D3274" s="1333"/>
      <c r="E3274" s="1334"/>
      <c r="F3274" s="1335"/>
      <c r="G3274" s="1335"/>
      <c r="H3274" s="1335"/>
      <c r="I3274" s="1336"/>
      <c r="J3274" s="1357"/>
      <c r="K3274" s="1169"/>
      <c r="L3274" s="1156"/>
      <c r="M3274" s="1169"/>
      <c r="N3274" s="1161" t="s">
        <v>2218</v>
      </c>
    </row>
    <row r="3275" spans="1:15" ht="15.75" hidden="1">
      <c r="A3275" s="1156"/>
      <c r="B3275" s="1169"/>
      <c r="C3275" s="1337"/>
      <c r="D3275" s="1171"/>
      <c r="E3275" s="1165"/>
      <c r="F3275" s="1166"/>
      <c r="G3275" s="1343"/>
      <c r="H3275" s="1156"/>
      <c r="I3275" s="1421"/>
      <c r="J3275" s="1357" t="s">
        <v>115</v>
      </c>
      <c r="K3275" s="1221">
        <f>'Ele Data'!I233</f>
        <v>252.38800000000001</v>
      </c>
      <c r="L3275" s="1159" t="s">
        <v>2218</v>
      </c>
      <c r="M3275" s="1224">
        <f>ROUND(I3275*K3275,0)</f>
        <v>0</v>
      </c>
      <c r="N3275" s="1161" t="s">
        <v>2218</v>
      </c>
    </row>
    <row r="3276" spans="1:15" ht="43.5" hidden="1" customHeight="1">
      <c r="A3276" s="1156">
        <v>19</v>
      </c>
      <c r="B3276" s="1826" t="s">
        <v>946</v>
      </c>
      <c r="C3276" s="1826"/>
      <c r="D3276" s="1826"/>
      <c r="E3276" s="1826"/>
      <c r="F3276" s="1826"/>
      <c r="G3276" s="1826"/>
      <c r="H3276" s="1826"/>
      <c r="I3276" s="1157"/>
      <c r="J3276" s="1158"/>
      <c r="K3276" s="1156"/>
      <c r="L3276" s="1156"/>
      <c r="M3276" s="1160"/>
      <c r="N3276" s="1161" t="s">
        <v>2218</v>
      </c>
    </row>
    <row r="3277" spans="1:15" s="1170" customFormat="1" ht="16.5" hidden="1" customHeight="1">
      <c r="A3277" s="1156"/>
      <c r="B3277" s="1169" t="s">
        <v>2329</v>
      </c>
      <c r="C3277" s="1351"/>
      <c r="D3277" s="1418"/>
      <c r="E3277" s="1352"/>
      <c r="F3277" s="1234"/>
      <c r="G3277" s="1234"/>
      <c r="H3277" s="1235"/>
      <c r="I3277" s="1353"/>
      <c r="J3277" s="1357"/>
      <c r="K3277" s="1169"/>
      <c r="L3277" s="1156"/>
      <c r="M3277" s="1169"/>
      <c r="N3277" s="1161" t="s">
        <v>2218</v>
      </c>
    </row>
    <row r="3278" spans="1:15" s="1170" customFormat="1" ht="16.5" hidden="1" customHeight="1">
      <c r="A3278" s="1156"/>
      <c r="B3278" s="1230" t="s">
        <v>2087</v>
      </c>
      <c r="C3278" s="1332">
        <v>1</v>
      </c>
      <c r="D3278" s="1333" t="s">
        <v>273</v>
      </c>
      <c r="E3278" s="1334">
        <v>7</v>
      </c>
      <c r="F3278" s="1335">
        <v>0</v>
      </c>
      <c r="G3278" s="1335">
        <v>0</v>
      </c>
      <c r="H3278" s="1335">
        <v>0</v>
      </c>
      <c r="I3278" s="1421">
        <f>ROUND(IF(AND(F3278:H3278),C3278*E3278*F3278*G3278*H3278,IF(AND(F3278,G3278),C3278*E3278*F3278*G3278,IF(AND(F3278,H3278),C3278*E3278*F3278*H3278,IF(AND(G3278,H3278),C3278*E3278*G3278*H3278,IF(F3278,C3278*E3278*F3278,IF(G3278,C3278*E3278*G3278,IF(H3278,C3278*E3278*H3278,C3278*E3278))))))),2)</f>
        <v>7</v>
      </c>
      <c r="J3278" s="1357" t="s">
        <v>115</v>
      </c>
      <c r="K3278" s="1169"/>
      <c r="L3278" s="1156"/>
      <c r="M3278" s="1169"/>
      <c r="N3278" s="1161" t="s">
        <v>2218</v>
      </c>
    </row>
    <row r="3279" spans="1:15" s="1170" customFormat="1" ht="16.5" hidden="1" customHeight="1">
      <c r="A3279" s="1156"/>
      <c r="B3279" s="1230"/>
      <c r="C3279" s="1332"/>
      <c r="D3279" s="1333"/>
      <c r="E3279" s="1334"/>
      <c r="F3279" s="1335"/>
      <c r="G3279" s="1335"/>
      <c r="H3279" s="1335"/>
      <c r="I3279" s="1421"/>
      <c r="J3279" s="1357"/>
      <c r="K3279" s="1169"/>
      <c r="L3279" s="1156"/>
      <c r="M3279" s="1169"/>
      <c r="N3279" s="1161" t="s">
        <v>2218</v>
      </c>
    </row>
    <row r="3280" spans="1:15" ht="15.75" hidden="1">
      <c r="A3280" s="1156"/>
      <c r="B3280" s="1169"/>
      <c r="C3280" s="1337"/>
      <c r="D3280" s="1171"/>
      <c r="E3280" s="1165"/>
      <c r="F3280" s="1166"/>
      <c r="G3280" s="1343"/>
      <c r="H3280" s="1156"/>
      <c r="I3280" s="1421"/>
      <c r="J3280" s="1357" t="s">
        <v>115</v>
      </c>
      <c r="K3280" s="1221">
        <f>'Ele Data'!I210</f>
        <v>2323</v>
      </c>
      <c r="L3280" s="1159" t="s">
        <v>2218</v>
      </c>
      <c r="M3280" s="1224">
        <f>ROUND(I3280*K3280,0)</f>
        <v>0</v>
      </c>
      <c r="N3280" s="1161" t="s">
        <v>2218</v>
      </c>
    </row>
    <row r="3281" spans="1:14" ht="30.75" hidden="1" customHeight="1">
      <c r="A3281" s="1156">
        <v>20</v>
      </c>
      <c r="B3281" s="1826" t="s">
        <v>947</v>
      </c>
      <c r="C3281" s="1826"/>
      <c r="D3281" s="1826"/>
      <c r="E3281" s="1826"/>
      <c r="F3281" s="1826"/>
      <c r="G3281" s="1826"/>
      <c r="H3281" s="1826"/>
      <c r="I3281" s="1421"/>
      <c r="J3281" s="1158"/>
      <c r="K3281" s="1156"/>
      <c r="L3281" s="1156"/>
      <c r="M3281" s="1160"/>
      <c r="N3281" s="1161" t="s">
        <v>2218</v>
      </c>
    </row>
    <row r="3282" spans="1:14" s="1170" customFormat="1" ht="16.5" hidden="1" customHeight="1">
      <c r="A3282" s="1156"/>
      <c r="B3282" s="1169" t="s">
        <v>2329</v>
      </c>
      <c r="C3282" s="1351"/>
      <c r="D3282" s="1418"/>
      <c r="E3282" s="1352"/>
      <c r="F3282" s="1234"/>
      <c r="G3282" s="1234"/>
      <c r="H3282" s="1235"/>
      <c r="I3282" s="1353"/>
      <c r="J3282" s="1357"/>
      <c r="K3282" s="1169"/>
      <c r="L3282" s="1156"/>
      <c r="M3282" s="1169"/>
      <c r="N3282" s="1161" t="s">
        <v>2218</v>
      </c>
    </row>
    <row r="3283" spans="1:14" s="1170" customFormat="1" ht="16.5" hidden="1" customHeight="1">
      <c r="A3283" s="1156"/>
      <c r="B3283" s="1230"/>
      <c r="C3283" s="1332">
        <v>1</v>
      </c>
      <c r="D3283" s="1333" t="s">
        <v>273</v>
      </c>
      <c r="E3283" s="1334">
        <v>12</v>
      </c>
      <c r="F3283" s="1335">
        <v>0</v>
      </c>
      <c r="G3283" s="1335">
        <v>0</v>
      </c>
      <c r="H3283" s="1335">
        <v>0</v>
      </c>
      <c r="I3283" s="1421">
        <f>ROUND(IF(AND(F3283:H3283),C3283*E3283*F3283*G3283*H3283,IF(AND(F3283,G3283),C3283*E3283*F3283*G3283,IF(AND(F3283,H3283),C3283*E3283*F3283*H3283,IF(AND(G3283,H3283),C3283*E3283*G3283*H3283,IF(F3283,C3283*E3283*F3283,IF(G3283,C3283*E3283*G3283,IF(H3283,C3283*E3283*H3283,C3283*E3283))))))),2)</f>
        <v>12</v>
      </c>
      <c r="J3283" s="1357" t="s">
        <v>115</v>
      </c>
      <c r="K3283" s="1169"/>
      <c r="L3283" s="1156"/>
      <c r="M3283" s="1169"/>
      <c r="N3283" s="1161" t="s">
        <v>2218</v>
      </c>
    </row>
    <row r="3284" spans="1:14" s="1170" customFormat="1" ht="16.5" hidden="1" customHeight="1">
      <c r="A3284" s="1156"/>
      <c r="B3284" s="1230"/>
      <c r="C3284" s="1332"/>
      <c r="D3284" s="1333"/>
      <c r="E3284" s="1334"/>
      <c r="F3284" s="1335"/>
      <c r="G3284" s="1335"/>
      <c r="H3284" s="1335"/>
      <c r="I3284" s="1421"/>
      <c r="J3284" s="1357"/>
      <c r="K3284" s="1169"/>
      <c r="L3284" s="1156"/>
      <c r="M3284" s="1169"/>
      <c r="N3284" s="1161" t="s">
        <v>2218</v>
      </c>
    </row>
    <row r="3285" spans="1:14" ht="15.75" hidden="1">
      <c r="A3285" s="1156"/>
      <c r="B3285" s="1169"/>
      <c r="C3285" s="1337"/>
      <c r="D3285" s="1171"/>
      <c r="E3285" s="1165"/>
      <c r="F3285" s="1166"/>
      <c r="G3285" s="1343"/>
      <c r="H3285" s="1156"/>
      <c r="I3285" s="1421"/>
      <c r="J3285" s="1357" t="s">
        <v>115</v>
      </c>
      <c r="K3285" s="1221">
        <f>'Ele Data'!I215</f>
        <v>237.5</v>
      </c>
      <c r="L3285" s="1159" t="s">
        <v>2218</v>
      </c>
      <c r="M3285" s="1224">
        <f>ROUND(I3285*K3285,0)</f>
        <v>0</v>
      </c>
      <c r="N3285" s="1161" t="s">
        <v>2218</v>
      </c>
    </row>
    <row r="3286" spans="1:14" ht="30.75" hidden="1" customHeight="1">
      <c r="A3286" s="1156">
        <v>21</v>
      </c>
      <c r="B3286" s="1826" t="s">
        <v>948</v>
      </c>
      <c r="C3286" s="1826"/>
      <c r="D3286" s="1826"/>
      <c r="E3286" s="1826"/>
      <c r="F3286" s="1826"/>
      <c r="G3286" s="1826"/>
      <c r="H3286" s="1826"/>
      <c r="I3286" s="1157"/>
      <c r="J3286" s="1158"/>
      <c r="K3286" s="1156"/>
      <c r="L3286" s="1156"/>
      <c r="M3286" s="1160"/>
      <c r="N3286" s="1161" t="s">
        <v>2218</v>
      </c>
    </row>
    <row r="3287" spans="1:14" s="1170" customFormat="1" ht="16.5" hidden="1" customHeight="1">
      <c r="A3287" s="1156"/>
      <c r="B3287" s="1169" t="s">
        <v>2329</v>
      </c>
      <c r="C3287" s="1351"/>
      <c r="D3287" s="1418"/>
      <c r="E3287" s="1352"/>
      <c r="F3287" s="1234"/>
      <c r="G3287" s="1234"/>
      <c r="H3287" s="1235"/>
      <c r="I3287" s="1353"/>
      <c r="J3287" s="1357"/>
      <c r="K3287" s="1169"/>
      <c r="L3287" s="1156"/>
      <c r="M3287" s="1169"/>
      <c r="N3287" s="1161" t="s">
        <v>2218</v>
      </c>
    </row>
    <row r="3288" spans="1:14" s="1170" customFormat="1" ht="16.5" hidden="1" customHeight="1">
      <c r="A3288" s="1156"/>
      <c r="B3288" s="1230"/>
      <c r="C3288" s="1332">
        <v>1</v>
      </c>
      <c r="D3288" s="1333" t="s">
        <v>273</v>
      </c>
      <c r="E3288" s="1334">
        <v>7</v>
      </c>
      <c r="F3288" s="1335">
        <v>0</v>
      </c>
      <c r="G3288" s="1335">
        <v>0</v>
      </c>
      <c r="H3288" s="1335">
        <v>0</v>
      </c>
      <c r="I3288" s="1421">
        <f>ROUND(IF(AND(F3288:H3288),C3288*E3288*F3288*G3288*H3288,IF(AND(F3288,G3288),C3288*E3288*F3288*G3288,IF(AND(F3288,H3288),C3288*E3288*F3288*H3288,IF(AND(G3288,H3288),C3288*E3288*G3288*H3288,IF(F3288,C3288*E3288*F3288,IF(G3288,C3288*E3288*G3288,IF(H3288,C3288*E3288*H3288,C3288*E3288))))))),2)</f>
        <v>7</v>
      </c>
      <c r="J3288" s="1357" t="s">
        <v>115</v>
      </c>
      <c r="K3288" s="1169"/>
      <c r="L3288" s="1156"/>
      <c r="M3288" s="1169"/>
      <c r="N3288" s="1161" t="s">
        <v>2218</v>
      </c>
    </row>
    <row r="3289" spans="1:14" s="1170" customFormat="1" ht="16.5" hidden="1" customHeight="1">
      <c r="A3289" s="1156"/>
      <c r="B3289" s="1230"/>
      <c r="C3289" s="1332"/>
      <c r="D3289" s="1333"/>
      <c r="E3289" s="1334"/>
      <c r="F3289" s="1335"/>
      <c r="G3289" s="1335"/>
      <c r="H3289" s="1335"/>
      <c r="I3289" s="1421"/>
      <c r="J3289" s="1357"/>
      <c r="K3289" s="1169"/>
      <c r="L3289" s="1156"/>
      <c r="M3289" s="1169"/>
      <c r="N3289" s="1161" t="s">
        <v>2218</v>
      </c>
    </row>
    <row r="3290" spans="1:14" ht="15.75" hidden="1">
      <c r="A3290" s="1156"/>
      <c r="B3290" s="1169"/>
      <c r="C3290" s="1337"/>
      <c r="D3290" s="1171"/>
      <c r="E3290" s="1165"/>
      <c r="F3290" s="1166"/>
      <c r="G3290" s="1343"/>
      <c r="H3290" s="1156"/>
      <c r="I3290" s="1421"/>
      <c r="J3290" s="1357" t="s">
        <v>115</v>
      </c>
      <c r="K3290" s="1221">
        <f>'Ele Data'!I222</f>
        <v>133.625</v>
      </c>
      <c r="L3290" s="1159" t="s">
        <v>2218</v>
      </c>
      <c r="M3290" s="1224">
        <f>ROUND(I3290*K3290,0)</f>
        <v>0</v>
      </c>
      <c r="N3290" s="1161" t="s">
        <v>2218</v>
      </c>
    </row>
    <row r="3291" spans="1:14" ht="30.75" hidden="1" customHeight="1">
      <c r="A3291" s="1156">
        <v>15</v>
      </c>
      <c r="B3291" s="1826" t="s">
        <v>950</v>
      </c>
      <c r="C3291" s="1826"/>
      <c r="D3291" s="1826"/>
      <c r="E3291" s="1826"/>
      <c r="F3291" s="1826"/>
      <c r="G3291" s="1826"/>
      <c r="H3291" s="1826"/>
      <c r="I3291" s="1157"/>
      <c r="J3291" s="1158"/>
      <c r="K3291" s="1156"/>
      <c r="L3291" s="1156"/>
      <c r="M3291" s="1160"/>
      <c r="N3291" s="1161" t="s">
        <v>2218</v>
      </c>
    </row>
    <row r="3292" spans="1:14" s="1170" customFormat="1" ht="16.5" hidden="1" customHeight="1">
      <c r="A3292" s="1156"/>
      <c r="B3292" s="1169" t="s">
        <v>2357</v>
      </c>
      <c r="C3292" s="1351"/>
      <c r="D3292" s="1418"/>
      <c r="E3292" s="1352"/>
      <c r="F3292" s="1234"/>
      <c r="G3292" s="1234"/>
      <c r="H3292" s="1235"/>
      <c r="I3292" s="1353"/>
      <c r="J3292" s="1357"/>
      <c r="K3292" s="1169"/>
      <c r="L3292" s="1156"/>
      <c r="M3292" s="1169"/>
      <c r="N3292" s="1161" t="s">
        <v>2218</v>
      </c>
    </row>
    <row r="3293" spans="1:14" s="1170" customFormat="1" ht="16.5" hidden="1" customHeight="1">
      <c r="A3293" s="1156"/>
      <c r="B3293" s="1230" t="s">
        <v>660</v>
      </c>
      <c r="C3293" s="1332">
        <v>1</v>
      </c>
      <c r="D3293" s="1333" t="s">
        <v>273</v>
      </c>
      <c r="E3293" s="1334">
        <v>2</v>
      </c>
      <c r="F3293" s="1335">
        <v>0</v>
      </c>
      <c r="G3293" s="1335">
        <v>0</v>
      </c>
      <c r="H3293" s="1335">
        <v>0</v>
      </c>
      <c r="I3293" s="1421">
        <f>ROUND(IF(AND(F3293:H3293),C3293*E3293*F3293*G3293*H3293,IF(AND(F3293,G3293),C3293*E3293*F3293*G3293,IF(AND(F3293,H3293),C3293*E3293*F3293*H3293,IF(AND(G3293,H3293),C3293*E3293*G3293*H3293,IF(F3293,C3293*E3293*F3293,IF(G3293,C3293*E3293*G3293,IF(H3293,C3293*E3293*H3293,C3293*E3293))))))),2)</f>
        <v>2</v>
      </c>
      <c r="J3293" s="1357" t="s">
        <v>115</v>
      </c>
      <c r="K3293" s="1169"/>
      <c r="L3293" s="1156"/>
      <c r="M3293" s="1169"/>
      <c r="N3293" s="1161" t="s">
        <v>2218</v>
      </c>
    </row>
    <row r="3294" spans="1:14" s="1170" customFormat="1" ht="16.5" hidden="1" customHeight="1">
      <c r="A3294" s="1156"/>
      <c r="B3294" s="1230" t="s">
        <v>650</v>
      </c>
      <c r="C3294" s="1332">
        <v>1</v>
      </c>
      <c r="D3294" s="1333" t="s">
        <v>273</v>
      </c>
      <c r="E3294" s="1334">
        <v>1</v>
      </c>
      <c r="F3294" s="1335">
        <v>0</v>
      </c>
      <c r="G3294" s="1335">
        <v>0</v>
      </c>
      <c r="H3294" s="1335">
        <v>0</v>
      </c>
      <c r="I3294" s="1421">
        <f>ROUND(IF(AND(F3294:H3294),C3294*E3294*F3294*G3294*H3294,IF(AND(F3294,G3294),C3294*E3294*F3294*G3294,IF(AND(F3294,H3294),C3294*E3294*F3294*H3294,IF(AND(G3294,H3294),C3294*E3294*G3294*H3294,IF(F3294,C3294*E3294*F3294,IF(G3294,C3294*E3294*G3294,IF(H3294,C3294*E3294*H3294,C3294*E3294))))))),2)</f>
        <v>1</v>
      </c>
      <c r="J3294" s="1357" t="s">
        <v>115</v>
      </c>
      <c r="K3294" s="1169"/>
      <c r="L3294" s="1156"/>
      <c r="M3294" s="1169"/>
      <c r="N3294" s="1161" t="s">
        <v>2218</v>
      </c>
    </row>
    <row r="3295" spans="1:14" s="1170" customFormat="1" ht="16.5" hidden="1" customHeight="1">
      <c r="A3295" s="1156"/>
      <c r="B3295" s="1230" t="s">
        <v>1170</v>
      </c>
      <c r="C3295" s="1332">
        <v>1</v>
      </c>
      <c r="D3295" s="1333" t="s">
        <v>273</v>
      </c>
      <c r="E3295" s="1334">
        <v>1</v>
      </c>
      <c r="F3295" s="1335">
        <v>0</v>
      </c>
      <c r="G3295" s="1335">
        <v>0</v>
      </c>
      <c r="H3295" s="1335">
        <v>0</v>
      </c>
      <c r="I3295" s="1421">
        <f>ROUND(IF(AND(F3295:H3295),C3295*E3295*F3295*G3295*H3295,IF(AND(F3295,G3295),C3295*E3295*F3295*G3295,IF(AND(F3295,H3295),C3295*E3295*F3295*H3295,IF(AND(G3295,H3295),C3295*E3295*G3295*H3295,IF(F3295,C3295*E3295*F3295,IF(G3295,C3295*E3295*G3295,IF(H3295,C3295*E3295*H3295,C3295*E3295))))))),2)</f>
        <v>1</v>
      </c>
      <c r="J3295" s="1357" t="s">
        <v>115</v>
      </c>
      <c r="K3295" s="1169"/>
      <c r="L3295" s="1156"/>
      <c r="M3295" s="1169"/>
      <c r="N3295" s="1161" t="s">
        <v>2218</v>
      </c>
    </row>
    <row r="3296" spans="1:14" s="1170" customFormat="1" ht="16.5" hidden="1" customHeight="1">
      <c r="A3296" s="1156"/>
      <c r="B3296" s="1230"/>
      <c r="C3296" s="1332"/>
      <c r="D3296" s="1333"/>
      <c r="E3296" s="1334"/>
      <c r="F3296" s="1335"/>
      <c r="G3296" s="1335"/>
      <c r="H3296" s="1335"/>
      <c r="I3296" s="1421"/>
      <c r="J3296" s="1357"/>
      <c r="K3296" s="1169"/>
      <c r="L3296" s="1156"/>
      <c r="M3296" s="1169"/>
      <c r="N3296" s="1161" t="s">
        <v>2218</v>
      </c>
    </row>
    <row r="3297" spans="1:14" ht="15.75" hidden="1">
      <c r="A3297" s="1156"/>
      <c r="B3297" s="1169"/>
      <c r="C3297" s="1337"/>
      <c r="D3297" s="1171"/>
      <c r="E3297" s="1165"/>
      <c r="F3297" s="1166"/>
      <c r="G3297" s="1343"/>
      <c r="H3297" s="1156"/>
      <c r="I3297" s="1421"/>
      <c r="J3297" s="1357" t="s">
        <v>115</v>
      </c>
      <c r="K3297" s="1221">
        <f>'Ele Data'!I228</f>
        <v>126.80000000000001</v>
      </c>
      <c r="L3297" s="1159" t="s">
        <v>2218</v>
      </c>
      <c r="M3297" s="1224">
        <f>ROUND(I3297*K3297,0)</f>
        <v>0</v>
      </c>
      <c r="N3297" s="1161" t="s">
        <v>2218</v>
      </c>
    </row>
    <row r="3298" spans="1:14" s="1575" customFormat="1" ht="41.25" customHeight="1">
      <c r="A3298" s="1570">
        <v>47</v>
      </c>
      <c r="B3298" s="1827" t="s">
        <v>442</v>
      </c>
      <c r="C3298" s="1827"/>
      <c r="D3298" s="1827"/>
      <c r="E3298" s="1827"/>
      <c r="F3298" s="1827"/>
      <c r="G3298" s="1827"/>
      <c r="H3298" s="1827"/>
      <c r="I3298" s="1571"/>
      <c r="J3298" s="1572"/>
      <c r="K3298" s="1570"/>
      <c r="L3298" s="1570"/>
      <c r="M3298" s="1577"/>
      <c r="N3298" s="1578" t="s">
        <v>2218</v>
      </c>
    </row>
    <row r="3299" spans="1:14" s="1586" customFormat="1" ht="16.5" customHeight="1">
      <c r="A3299" s="1570"/>
      <c r="B3299" s="1585" t="s">
        <v>3771</v>
      </c>
      <c r="C3299" s="1592"/>
      <c r="D3299" s="1790" t="s">
        <v>3878</v>
      </c>
      <c r="E3299" s="1594"/>
      <c r="F3299" s="1595"/>
      <c r="G3299" s="1595"/>
      <c r="H3299" s="1596"/>
      <c r="I3299" s="1597"/>
      <c r="J3299" s="1616"/>
      <c r="K3299" s="1585"/>
      <c r="L3299" s="1570"/>
      <c r="M3299" s="1585"/>
      <c r="N3299" s="1578" t="s">
        <v>2218</v>
      </c>
    </row>
    <row r="3300" spans="1:14" s="1586" customFormat="1" ht="16.5" customHeight="1">
      <c r="A3300" s="1570"/>
      <c r="B3300" s="1644"/>
      <c r="C3300" s="1639">
        <v>1</v>
      </c>
      <c r="D3300" s="1640" t="s">
        <v>273</v>
      </c>
      <c r="E3300" s="1641">
        <v>8</v>
      </c>
      <c r="F3300" s="1622">
        <v>0</v>
      </c>
      <c r="G3300" s="1622">
        <v>0</v>
      </c>
      <c r="H3300" s="1622">
        <v>0</v>
      </c>
      <c r="I3300" s="1642">
        <f t="shared" ref="I3300" si="177">ROUND(IF(AND(F3300:H3300),C3300*E3300*F3300*G3300*H3300,IF(AND(F3300,G3300),C3300*E3300*F3300*G3300,IF(AND(F3300,H3300),C3300*E3300*F3300*H3300,IF(AND(G3300,H3300),C3300*E3300*G3300*H3300,IF(F3300,C3300*E3300*F3300,IF(G3300,C3300*E3300*G3300,IF(H3300,C3300*E3300*H3300,C3300*E3300))))))),2)</f>
        <v>8</v>
      </c>
      <c r="J3300" s="1616" t="s">
        <v>115</v>
      </c>
      <c r="K3300" s="1585"/>
      <c r="L3300" s="1570"/>
      <c r="M3300" s="1585"/>
      <c r="N3300" s="1578" t="s">
        <v>2218</v>
      </c>
    </row>
    <row r="3301" spans="1:14" s="1586" customFormat="1" ht="16.5" customHeight="1">
      <c r="A3301" s="1570"/>
      <c r="B3301" s="1644"/>
      <c r="C3301" s="1601"/>
      <c r="D3301" s="1602"/>
      <c r="E3301" s="1603"/>
      <c r="F3301" s="1604"/>
      <c r="G3301" s="1604"/>
      <c r="H3301" s="1604"/>
      <c r="I3301" s="1642"/>
      <c r="J3301" s="1616"/>
      <c r="K3301" s="1585"/>
      <c r="L3301" s="1570"/>
      <c r="M3301" s="1585"/>
      <c r="N3301" s="1578" t="s">
        <v>2218</v>
      </c>
    </row>
    <row r="3302" spans="1:14" s="1575" customFormat="1" ht="15.75">
      <c r="A3302" s="1570"/>
      <c r="B3302" s="1585"/>
      <c r="C3302" s="1606"/>
      <c r="D3302" s="1587"/>
      <c r="E3302" s="1588"/>
      <c r="F3302" s="1589"/>
      <c r="G3302" s="1607"/>
      <c r="H3302" s="1570"/>
      <c r="I3302" s="1642">
        <f>SUM(I3300:I3301)</f>
        <v>8</v>
      </c>
      <c r="J3302" s="1616" t="s">
        <v>115</v>
      </c>
      <c r="K3302" s="1608">
        <f>'Ele Data'!I241</f>
        <v>404.1</v>
      </c>
      <c r="L3302" s="1573" t="s">
        <v>2218</v>
      </c>
      <c r="M3302" s="1609">
        <f>ROUND(I3302*K3302,0)</f>
        <v>3233</v>
      </c>
      <c r="N3302" s="1578" t="s">
        <v>2218</v>
      </c>
    </row>
    <row r="3303" spans="1:14" ht="66.75" hidden="1" customHeight="1">
      <c r="A3303" s="1156">
        <v>23</v>
      </c>
      <c r="B3303" s="1826" t="s">
        <v>2097</v>
      </c>
      <c r="C3303" s="1826"/>
      <c r="D3303" s="1826"/>
      <c r="E3303" s="1826"/>
      <c r="F3303" s="1826"/>
      <c r="G3303" s="1826"/>
      <c r="H3303" s="1826"/>
      <c r="I3303" s="1157"/>
      <c r="J3303" s="1158"/>
      <c r="K3303" s="1156"/>
      <c r="L3303" s="1156"/>
      <c r="M3303" s="1160"/>
      <c r="N3303" s="1161" t="s">
        <v>2218</v>
      </c>
    </row>
    <row r="3304" spans="1:14" s="1170" customFormat="1" ht="16.5" hidden="1" customHeight="1">
      <c r="A3304" s="1156"/>
      <c r="B3304" s="1169" t="s">
        <v>2107</v>
      </c>
      <c r="C3304" s="1351"/>
      <c r="D3304" s="1418"/>
      <c r="E3304" s="1352"/>
      <c r="F3304" s="1234"/>
      <c r="G3304" s="1234"/>
      <c r="H3304" s="1235"/>
      <c r="I3304" s="1353"/>
      <c r="J3304" s="1357"/>
      <c r="K3304" s="1169"/>
      <c r="L3304" s="1156"/>
      <c r="M3304" s="1169"/>
      <c r="N3304" s="1161" t="s">
        <v>2218</v>
      </c>
    </row>
    <row r="3305" spans="1:14" s="1170" customFormat="1" ht="16.5" hidden="1" customHeight="1">
      <c r="A3305" s="1156"/>
      <c r="B3305" s="1230"/>
      <c r="C3305" s="1332">
        <v>1</v>
      </c>
      <c r="D3305" s="1333" t="s">
        <v>273</v>
      </c>
      <c r="E3305" s="1334">
        <v>1</v>
      </c>
      <c r="F3305" s="1335">
        <v>0</v>
      </c>
      <c r="G3305" s="1335">
        <v>0</v>
      </c>
      <c r="H3305" s="1335">
        <v>0</v>
      </c>
      <c r="I3305" s="1421">
        <f>ROUND(IF(AND(F3305:H3305),C3305*E3305*F3305*G3305*H3305,IF(AND(F3305,G3305),C3305*E3305*F3305*G3305,IF(AND(F3305,H3305),C3305*E3305*F3305*H3305,IF(AND(G3305,H3305),C3305*E3305*G3305*H3305,IF(F3305,C3305*E3305*F3305,IF(G3305,C3305*E3305*G3305,IF(H3305,C3305*E3305*H3305,C3305*E3305))))))),2)</f>
        <v>1</v>
      </c>
      <c r="J3305" s="1357" t="s">
        <v>115</v>
      </c>
      <c r="K3305" s="1169"/>
      <c r="L3305" s="1156"/>
      <c r="M3305" s="1169"/>
      <c r="N3305" s="1161" t="s">
        <v>2218</v>
      </c>
    </row>
    <row r="3306" spans="1:14" s="1170" customFormat="1" ht="16.5" hidden="1" customHeight="1">
      <c r="A3306" s="1156"/>
      <c r="B3306" s="1230"/>
      <c r="C3306" s="1332"/>
      <c r="D3306" s="1333"/>
      <c r="E3306" s="1334"/>
      <c r="F3306" s="1335"/>
      <c r="G3306" s="1335"/>
      <c r="H3306" s="1335"/>
      <c r="I3306" s="1421"/>
      <c r="J3306" s="1357"/>
      <c r="K3306" s="1169"/>
      <c r="L3306" s="1156"/>
      <c r="M3306" s="1169"/>
      <c r="N3306" s="1161" t="s">
        <v>2218</v>
      </c>
    </row>
    <row r="3307" spans="1:14" ht="15.75" hidden="1">
      <c r="A3307" s="1156"/>
      <c r="B3307" s="1169"/>
      <c r="C3307" s="1337"/>
      <c r="D3307" s="1171"/>
      <c r="E3307" s="1165"/>
      <c r="F3307" s="1166"/>
      <c r="G3307" s="1343"/>
      <c r="H3307" s="1156"/>
      <c r="I3307" s="1421"/>
      <c r="J3307" s="1357" t="s">
        <v>115</v>
      </c>
      <c r="K3307" s="1221">
        <f>'Ele Data'!I284</f>
        <v>1980</v>
      </c>
      <c r="L3307" s="1159" t="s">
        <v>2218</v>
      </c>
      <c r="M3307" s="1224">
        <f>ROUND(I3307*K3307,0)</f>
        <v>0</v>
      </c>
      <c r="N3307" s="1161" t="s">
        <v>2218</v>
      </c>
    </row>
    <row r="3308" spans="1:14" ht="110.25" hidden="1" customHeight="1">
      <c r="A3308" s="1156">
        <v>23</v>
      </c>
      <c r="B3308" s="1826" t="s">
        <v>2263</v>
      </c>
      <c r="C3308" s="1826"/>
      <c r="D3308" s="1826"/>
      <c r="E3308" s="1826"/>
      <c r="F3308" s="1826"/>
      <c r="G3308" s="1826"/>
      <c r="H3308" s="1826"/>
      <c r="I3308" s="1157"/>
      <c r="J3308" s="1158"/>
      <c r="K3308" s="1156"/>
      <c r="L3308" s="1156"/>
      <c r="M3308" s="1160"/>
      <c r="N3308" s="1161" t="s">
        <v>2218</v>
      </c>
    </row>
    <row r="3309" spans="1:14" s="1170" customFormat="1" ht="16.5" hidden="1" customHeight="1">
      <c r="A3309" s="1156"/>
      <c r="B3309" s="1169" t="s">
        <v>2107</v>
      </c>
      <c r="C3309" s="1351"/>
      <c r="D3309" s="1418"/>
      <c r="E3309" s="1352"/>
      <c r="F3309" s="1234"/>
      <c r="G3309" s="1234"/>
      <c r="H3309" s="1235"/>
      <c r="I3309" s="1353"/>
      <c r="J3309" s="1357"/>
      <c r="K3309" s="1169"/>
      <c r="L3309" s="1156"/>
      <c r="M3309" s="1169"/>
      <c r="N3309" s="1161" t="s">
        <v>2218</v>
      </c>
    </row>
    <row r="3310" spans="1:14" s="1170" customFormat="1" ht="16.5" hidden="1" customHeight="1">
      <c r="A3310" s="1156"/>
      <c r="B3310" s="1230"/>
      <c r="C3310" s="1332">
        <v>1</v>
      </c>
      <c r="D3310" s="1333" t="s">
        <v>273</v>
      </c>
      <c r="E3310" s="1334">
        <v>1</v>
      </c>
      <c r="F3310" s="1335">
        <v>0</v>
      </c>
      <c r="G3310" s="1335">
        <v>0</v>
      </c>
      <c r="H3310" s="1335">
        <v>0</v>
      </c>
      <c r="I3310" s="1421">
        <f>ROUND(IF(AND(F3310:H3310),C3310*E3310*F3310*G3310*H3310,IF(AND(F3310,G3310),C3310*E3310*F3310*G3310,IF(AND(F3310,H3310),C3310*E3310*F3310*H3310,IF(AND(G3310,H3310),C3310*E3310*G3310*H3310,IF(F3310,C3310*E3310*F3310,IF(G3310,C3310*E3310*G3310,IF(H3310,C3310*E3310*H3310,C3310*E3310))))))),2)</f>
        <v>1</v>
      </c>
      <c r="J3310" s="1357" t="s">
        <v>115</v>
      </c>
      <c r="K3310" s="1169"/>
      <c r="L3310" s="1156"/>
      <c r="M3310" s="1169"/>
      <c r="N3310" s="1161" t="s">
        <v>2218</v>
      </c>
    </row>
    <row r="3311" spans="1:14" s="1170" customFormat="1" ht="16.5" hidden="1" customHeight="1">
      <c r="A3311" s="1156"/>
      <c r="B3311" s="1230"/>
      <c r="C3311" s="1332"/>
      <c r="D3311" s="1333"/>
      <c r="E3311" s="1334"/>
      <c r="F3311" s="1335"/>
      <c r="G3311" s="1335"/>
      <c r="H3311" s="1335"/>
      <c r="I3311" s="1421"/>
      <c r="J3311" s="1357"/>
      <c r="K3311" s="1169"/>
      <c r="L3311" s="1156"/>
      <c r="M3311" s="1169"/>
      <c r="N3311" s="1161" t="s">
        <v>2218</v>
      </c>
    </row>
    <row r="3312" spans="1:14" ht="15.75" hidden="1">
      <c r="A3312" s="1156"/>
      <c r="B3312" s="1169"/>
      <c r="C3312" s="1337"/>
      <c r="D3312" s="1171"/>
      <c r="E3312" s="1165"/>
      <c r="F3312" s="1166"/>
      <c r="G3312" s="1343"/>
      <c r="H3312" s="1156"/>
      <c r="I3312" s="1421"/>
      <c r="J3312" s="1357" t="s">
        <v>115</v>
      </c>
      <c r="K3312" s="1221">
        <f>'Ele Data'!I287</f>
        <v>5900</v>
      </c>
      <c r="L3312" s="1159" t="s">
        <v>2218</v>
      </c>
      <c r="M3312" s="1224">
        <f>ROUND(I3312*K3312,0)</f>
        <v>0</v>
      </c>
      <c r="N3312" s="1161" t="s">
        <v>2218</v>
      </c>
    </row>
    <row r="3313" spans="1:14" ht="43.5" hidden="1" customHeight="1">
      <c r="A3313" s="1156">
        <v>16</v>
      </c>
      <c r="B3313" s="1826" t="s">
        <v>794</v>
      </c>
      <c r="C3313" s="1826"/>
      <c r="D3313" s="1826"/>
      <c r="E3313" s="1826"/>
      <c r="F3313" s="1826"/>
      <c r="G3313" s="1826"/>
      <c r="H3313" s="1826"/>
      <c r="I3313" s="1157"/>
      <c r="J3313" s="1158"/>
      <c r="K3313" s="1156"/>
      <c r="L3313" s="1156"/>
      <c r="M3313" s="1160"/>
      <c r="N3313" s="1161" t="s">
        <v>2218</v>
      </c>
    </row>
    <row r="3314" spans="1:14" s="1170" customFormat="1" ht="16.5" hidden="1" customHeight="1">
      <c r="A3314" s="1156"/>
      <c r="B3314" s="1230" t="s">
        <v>424</v>
      </c>
      <c r="C3314" s="1351"/>
      <c r="D3314" s="1418"/>
      <c r="E3314" s="1352"/>
      <c r="F3314" s="1234"/>
      <c r="G3314" s="1234"/>
      <c r="H3314" s="1235"/>
      <c r="I3314" s="1353"/>
      <c r="J3314" s="1357"/>
      <c r="K3314" s="1169"/>
      <c r="L3314" s="1156"/>
      <c r="M3314" s="1169"/>
      <c r="N3314" s="1161" t="s">
        <v>2218</v>
      </c>
    </row>
    <row r="3315" spans="1:14" s="1170" customFormat="1" ht="16.5" hidden="1" customHeight="1">
      <c r="A3315" s="1156"/>
      <c r="B3315" s="1230"/>
      <c r="C3315" s="1332">
        <v>1</v>
      </c>
      <c r="D3315" s="1333" t="s">
        <v>273</v>
      </c>
      <c r="E3315" s="1334">
        <v>1</v>
      </c>
      <c r="F3315" s="1335">
        <v>0</v>
      </c>
      <c r="G3315" s="1335">
        <v>0</v>
      </c>
      <c r="H3315" s="1335">
        <v>0</v>
      </c>
      <c r="I3315" s="1421">
        <f>ROUND(IF(AND(F3315:H3315),C3315*E3315*F3315*G3315*H3315,IF(AND(F3315,G3315),C3315*E3315*F3315*G3315,IF(AND(F3315,H3315),C3315*E3315*F3315*H3315,IF(AND(G3315,H3315),C3315*E3315*G3315*H3315,IF(F3315,C3315*E3315*F3315,IF(G3315,C3315*E3315*G3315,IF(H3315,C3315*E3315*H3315,C3315*E3315))))))),2)</f>
        <v>1</v>
      </c>
      <c r="J3315" s="1357" t="s">
        <v>115</v>
      </c>
      <c r="K3315" s="1169"/>
      <c r="L3315" s="1156"/>
      <c r="M3315" s="1169"/>
      <c r="N3315" s="1161" t="s">
        <v>2218</v>
      </c>
    </row>
    <row r="3316" spans="1:14" s="1170" customFormat="1" ht="16.5" hidden="1" customHeight="1">
      <c r="A3316" s="1156"/>
      <c r="B3316" s="1230"/>
      <c r="C3316" s="1332"/>
      <c r="D3316" s="1333"/>
      <c r="E3316" s="1334"/>
      <c r="F3316" s="1335"/>
      <c r="G3316" s="1335"/>
      <c r="H3316" s="1335"/>
      <c r="I3316" s="1421"/>
      <c r="J3316" s="1357"/>
      <c r="K3316" s="1169"/>
      <c r="L3316" s="1156"/>
      <c r="M3316" s="1169"/>
      <c r="N3316" s="1161" t="s">
        <v>2218</v>
      </c>
    </row>
    <row r="3317" spans="1:14" ht="15.75" hidden="1">
      <c r="A3317" s="1156"/>
      <c r="B3317" s="1169"/>
      <c r="C3317" s="1337"/>
      <c r="D3317" s="1171"/>
      <c r="E3317" s="1165"/>
      <c r="F3317" s="1166"/>
      <c r="G3317" s="1343"/>
      <c r="H3317" s="1156"/>
      <c r="I3317" s="1421"/>
      <c r="J3317" s="1357" t="s">
        <v>115</v>
      </c>
      <c r="K3317" s="1221">
        <f>'Ele Data'!I84</f>
        <v>1290</v>
      </c>
      <c r="L3317" s="1159" t="s">
        <v>2218</v>
      </c>
      <c r="M3317" s="1224">
        <f>ROUND(I3317*K3317,0)</f>
        <v>0</v>
      </c>
      <c r="N3317" s="1161" t="s">
        <v>2218</v>
      </c>
    </row>
    <row r="3318" spans="1:14" s="1575" customFormat="1" ht="66" customHeight="1">
      <c r="A3318" s="1570">
        <v>48</v>
      </c>
      <c r="B3318" s="1827" t="s">
        <v>698</v>
      </c>
      <c r="C3318" s="1827"/>
      <c r="D3318" s="1827"/>
      <c r="E3318" s="1827"/>
      <c r="F3318" s="1827"/>
      <c r="G3318" s="1827"/>
      <c r="H3318" s="1827"/>
      <c r="I3318" s="1571"/>
      <c r="J3318" s="1572"/>
      <c r="K3318" s="1570"/>
      <c r="L3318" s="1570"/>
      <c r="M3318" s="1577"/>
      <c r="N3318" s="1578" t="s">
        <v>2218</v>
      </c>
    </row>
    <row r="3319" spans="1:14" s="1586" customFormat="1" ht="16.5" customHeight="1">
      <c r="A3319" s="1570"/>
      <c r="B3319" s="1585" t="s">
        <v>3841</v>
      </c>
      <c r="C3319" s="1592"/>
      <c r="D3319" s="1790" t="s">
        <v>3878</v>
      </c>
      <c r="E3319" s="1594"/>
      <c r="F3319" s="1595"/>
      <c r="G3319" s="1595"/>
      <c r="H3319" s="1596"/>
      <c r="I3319" s="1597"/>
      <c r="J3319" s="1616"/>
      <c r="K3319" s="1585"/>
      <c r="L3319" s="1570"/>
      <c r="M3319" s="1585"/>
      <c r="N3319" s="1578" t="s">
        <v>2218</v>
      </c>
    </row>
    <row r="3320" spans="1:14" s="1586" customFormat="1" ht="16.5" customHeight="1">
      <c r="A3320" s="1570"/>
      <c r="B3320" s="1644"/>
      <c r="C3320" s="1639">
        <v>1</v>
      </c>
      <c r="D3320" s="1640" t="s">
        <v>273</v>
      </c>
      <c r="E3320" s="1641">
        <v>1</v>
      </c>
      <c r="F3320" s="1622">
        <v>0</v>
      </c>
      <c r="G3320" s="1622">
        <v>0</v>
      </c>
      <c r="H3320" s="1622">
        <v>0</v>
      </c>
      <c r="I3320" s="1642">
        <f t="shared" ref="I3320" si="178">ROUND(IF(AND(F3320:H3320),C3320*E3320*F3320*G3320*H3320,IF(AND(F3320,G3320),C3320*E3320*F3320*G3320,IF(AND(F3320,H3320),C3320*E3320*F3320*H3320,IF(AND(G3320,H3320),C3320*E3320*G3320*H3320,IF(F3320,C3320*E3320*F3320,IF(G3320,C3320*E3320*G3320,IF(H3320,C3320*E3320*H3320,C3320*E3320))))))),2)</f>
        <v>1</v>
      </c>
      <c r="J3320" s="1616" t="s">
        <v>115</v>
      </c>
      <c r="K3320" s="1585"/>
      <c r="L3320" s="1570"/>
      <c r="M3320" s="1585"/>
      <c r="N3320" s="1578" t="s">
        <v>2218</v>
      </c>
    </row>
    <row r="3321" spans="1:14" s="1586" customFormat="1" ht="16.5" customHeight="1">
      <c r="A3321" s="1570"/>
      <c r="B3321" s="1644"/>
      <c r="C3321" s="1601"/>
      <c r="D3321" s="1602"/>
      <c r="E3321" s="1603"/>
      <c r="F3321" s="1604"/>
      <c r="G3321" s="1604"/>
      <c r="H3321" s="1604"/>
      <c r="I3321" s="1605"/>
      <c r="J3321" s="1616"/>
      <c r="K3321" s="1585"/>
      <c r="L3321" s="1570"/>
      <c r="M3321" s="1585"/>
      <c r="N3321" s="1578" t="s">
        <v>2218</v>
      </c>
    </row>
    <row r="3322" spans="1:14" s="1575" customFormat="1" ht="15.75">
      <c r="A3322" s="1570"/>
      <c r="B3322" s="1585"/>
      <c r="C3322" s="1606"/>
      <c r="D3322" s="1587"/>
      <c r="E3322" s="1588"/>
      <c r="F3322" s="1589"/>
      <c r="G3322" s="1607"/>
      <c r="H3322" s="1570"/>
      <c r="I3322" s="1642">
        <f>SUM(I3320:I3321)</f>
        <v>1</v>
      </c>
      <c r="J3322" s="1616" t="s">
        <v>115</v>
      </c>
      <c r="K3322" s="1608">
        <f>'Ele Data'!I252</f>
        <v>2936</v>
      </c>
      <c r="L3322" s="1573" t="s">
        <v>2218</v>
      </c>
      <c r="M3322" s="1609">
        <f>ROUND(I3322*K3322,0)</f>
        <v>2936</v>
      </c>
      <c r="N3322" s="1578" t="s">
        <v>2218</v>
      </c>
    </row>
    <row r="3323" spans="1:14" s="1575" customFormat="1" ht="44.25" customHeight="1">
      <c r="A3323" s="1570">
        <v>49</v>
      </c>
      <c r="B3323" s="1827" t="s">
        <v>941</v>
      </c>
      <c r="C3323" s="1827"/>
      <c r="D3323" s="1827"/>
      <c r="E3323" s="1827"/>
      <c r="F3323" s="1827"/>
      <c r="G3323" s="1827"/>
      <c r="H3323" s="1827"/>
      <c r="I3323" s="1571"/>
      <c r="J3323" s="1572"/>
      <c r="K3323" s="1570"/>
      <c r="L3323" s="1570"/>
      <c r="M3323" s="1577"/>
      <c r="N3323" s="1578" t="s">
        <v>2218</v>
      </c>
    </row>
    <row r="3324" spans="1:14" s="1586" customFormat="1" ht="16.5" customHeight="1">
      <c r="A3324" s="1570"/>
      <c r="B3324" s="1585" t="s">
        <v>3772</v>
      </c>
      <c r="C3324" s="1592"/>
      <c r="D3324" s="1790" t="s">
        <v>3878</v>
      </c>
      <c r="E3324" s="1594"/>
      <c r="F3324" s="1595"/>
      <c r="G3324" s="1595"/>
      <c r="H3324" s="1596"/>
      <c r="I3324" s="1597"/>
      <c r="J3324" s="1616"/>
      <c r="K3324" s="1585"/>
      <c r="L3324" s="1570"/>
      <c r="M3324" s="1585"/>
      <c r="N3324" s="1578" t="s">
        <v>2218</v>
      </c>
    </row>
    <row r="3325" spans="1:14" s="1586" customFormat="1" ht="16.5" customHeight="1">
      <c r="A3325" s="1570"/>
      <c r="B3325" s="1644"/>
      <c r="C3325" s="1639">
        <v>1</v>
      </c>
      <c r="D3325" s="1640" t="s">
        <v>273</v>
      </c>
      <c r="E3325" s="1641">
        <v>1</v>
      </c>
      <c r="F3325" s="1622">
        <v>0</v>
      </c>
      <c r="G3325" s="1622">
        <v>0</v>
      </c>
      <c r="H3325" s="1622">
        <v>0</v>
      </c>
      <c r="I3325" s="1642">
        <f t="shared" ref="I3325" si="179">ROUND(IF(AND(F3325:H3325),C3325*E3325*F3325*G3325*H3325,IF(AND(F3325,G3325),C3325*E3325*F3325*G3325,IF(AND(F3325,H3325),C3325*E3325*F3325*H3325,IF(AND(G3325,H3325),C3325*E3325*G3325*H3325,IF(F3325,C3325*E3325*F3325,IF(G3325,C3325*E3325*G3325,IF(H3325,C3325*E3325*H3325,C3325*E3325))))))),2)</f>
        <v>1</v>
      </c>
      <c r="J3325" s="1616" t="s">
        <v>115</v>
      </c>
      <c r="K3325" s="1585"/>
      <c r="L3325" s="1570"/>
      <c r="M3325" s="1585"/>
      <c r="N3325" s="1578" t="s">
        <v>2218</v>
      </c>
    </row>
    <row r="3326" spans="1:14" s="1586" customFormat="1" ht="16.5" customHeight="1">
      <c r="A3326" s="1570"/>
      <c r="B3326" s="1644"/>
      <c r="C3326" s="1601"/>
      <c r="D3326" s="1602"/>
      <c r="E3326" s="1603"/>
      <c r="F3326" s="1604"/>
      <c r="G3326" s="1604"/>
      <c r="H3326" s="1604"/>
      <c r="I3326" s="1605"/>
      <c r="J3326" s="1616"/>
      <c r="K3326" s="1585"/>
      <c r="L3326" s="1570"/>
      <c r="M3326" s="1585"/>
      <c r="N3326" s="1578" t="s">
        <v>2218</v>
      </c>
    </row>
    <row r="3327" spans="1:14" s="1575" customFormat="1" ht="15.75">
      <c r="A3327" s="1570"/>
      <c r="B3327" s="1585"/>
      <c r="C3327" s="1606"/>
      <c r="D3327" s="1587"/>
      <c r="E3327" s="1588"/>
      <c r="F3327" s="1589"/>
      <c r="G3327" s="1607"/>
      <c r="H3327" s="1570"/>
      <c r="I3327" s="1642">
        <f>SUM(I3325:I3326)</f>
        <v>1</v>
      </c>
      <c r="J3327" s="1616" t="s">
        <v>115</v>
      </c>
      <c r="K3327" s="1608">
        <f>'Ele Data'!I262</f>
        <v>886.80000000000007</v>
      </c>
      <c r="L3327" s="1573" t="s">
        <v>2218</v>
      </c>
      <c r="M3327" s="1609">
        <f>ROUND(I3327*K3327,0)</f>
        <v>887</v>
      </c>
      <c r="N3327" s="1578" t="s">
        <v>2218</v>
      </c>
    </row>
    <row r="3328" spans="1:14" ht="78" hidden="1" customHeight="1">
      <c r="A3328" s="1156">
        <v>25</v>
      </c>
      <c r="B3328" s="1826" t="s">
        <v>450</v>
      </c>
      <c r="C3328" s="1826"/>
      <c r="D3328" s="1826"/>
      <c r="E3328" s="1826"/>
      <c r="F3328" s="1826"/>
      <c r="G3328" s="1826"/>
      <c r="H3328" s="1826"/>
      <c r="I3328" s="1157"/>
      <c r="J3328" s="1158"/>
      <c r="K3328" s="1156"/>
      <c r="L3328" s="1156"/>
      <c r="M3328" s="1160"/>
      <c r="N3328" s="1161" t="s">
        <v>2218</v>
      </c>
    </row>
    <row r="3329" spans="1:14" s="1170" customFormat="1" ht="16.5" hidden="1" customHeight="1">
      <c r="A3329" s="1156"/>
      <c r="B3329" s="1169" t="s">
        <v>2355</v>
      </c>
      <c r="C3329" s="1351"/>
      <c r="D3329" s="1418"/>
      <c r="E3329" s="1352"/>
      <c r="F3329" s="1234"/>
      <c r="G3329" s="1234"/>
      <c r="H3329" s="1235"/>
      <c r="I3329" s="1353"/>
      <c r="J3329" s="1357"/>
      <c r="K3329" s="1169"/>
      <c r="L3329" s="1156"/>
      <c r="M3329" s="1169"/>
      <c r="N3329" s="1161" t="s">
        <v>2218</v>
      </c>
    </row>
    <row r="3330" spans="1:14" s="1170" customFormat="1" ht="16.5" hidden="1" customHeight="1">
      <c r="A3330" s="1156"/>
      <c r="B3330" s="1230"/>
      <c r="C3330" s="1332">
        <v>1</v>
      </c>
      <c r="D3330" s="1333" t="s">
        <v>273</v>
      </c>
      <c r="E3330" s="1334">
        <v>1</v>
      </c>
      <c r="F3330" s="1335">
        <v>0</v>
      </c>
      <c r="G3330" s="1335">
        <v>0</v>
      </c>
      <c r="H3330" s="1335">
        <v>0</v>
      </c>
      <c r="I3330" s="1421">
        <f>ROUND(IF(AND(F3330:H3330),C3330*E3330*F3330*G3330*H3330,IF(AND(F3330,G3330),C3330*E3330*F3330*G3330,IF(AND(F3330,H3330),C3330*E3330*F3330*H3330,IF(AND(G3330,H3330),C3330*E3330*G3330*H3330,IF(F3330,C3330*E3330*F3330,IF(G3330,C3330*E3330*G3330,IF(H3330,C3330*E3330*H3330,C3330*E3330))))))),2)</f>
        <v>1</v>
      </c>
      <c r="J3330" s="1357" t="s">
        <v>115</v>
      </c>
      <c r="K3330" s="1169"/>
      <c r="L3330" s="1156"/>
      <c r="M3330" s="1169"/>
      <c r="N3330" s="1161" t="s">
        <v>2218</v>
      </c>
    </row>
    <row r="3331" spans="1:14" s="1170" customFormat="1" ht="16.5" hidden="1" customHeight="1">
      <c r="A3331" s="1156"/>
      <c r="B3331" s="1230"/>
      <c r="C3331" s="1332"/>
      <c r="D3331" s="1333"/>
      <c r="E3331" s="1334"/>
      <c r="F3331" s="1335"/>
      <c r="G3331" s="1335"/>
      <c r="H3331" s="1335"/>
      <c r="I3331" s="1421"/>
      <c r="J3331" s="1357"/>
      <c r="K3331" s="1169"/>
      <c r="L3331" s="1156"/>
      <c r="M3331" s="1169"/>
      <c r="N3331" s="1161" t="s">
        <v>2218</v>
      </c>
    </row>
    <row r="3332" spans="1:14" ht="15.75" hidden="1">
      <c r="A3332" s="1156"/>
      <c r="B3332" s="1169"/>
      <c r="C3332" s="1337"/>
      <c r="D3332" s="1171"/>
      <c r="E3332" s="1165"/>
      <c r="F3332" s="1166"/>
      <c r="G3332" s="1343"/>
      <c r="H3332" s="1156"/>
      <c r="I3332" s="1421"/>
      <c r="J3332" s="1357" t="s">
        <v>115</v>
      </c>
      <c r="K3332" s="1221">
        <f>'Ele Data'!I281</f>
        <v>3404.82</v>
      </c>
      <c r="L3332" s="1159" t="s">
        <v>2218</v>
      </c>
      <c r="M3332" s="1224">
        <f>ROUND(I3332*K3332,0)</f>
        <v>0</v>
      </c>
      <c r="N3332" s="1161" t="s">
        <v>2218</v>
      </c>
    </row>
    <row r="3333" spans="1:14" s="1320" customFormat="1" ht="15.75" hidden="1">
      <c r="A3333" s="1212"/>
      <c r="B3333" s="1212" t="s">
        <v>2220</v>
      </c>
      <c r="C3333" s="1212"/>
      <c r="D3333" s="1212"/>
      <c r="E3333" s="1212"/>
      <c r="F3333" s="1240"/>
      <c r="G3333" s="1240"/>
      <c r="H3333" s="1212"/>
      <c r="I3333" s="1546"/>
      <c r="J3333" s="1547"/>
      <c r="K3333" s="1212"/>
      <c r="L3333" s="1212"/>
      <c r="M3333" s="1212"/>
      <c r="N3333" s="1161" t="s">
        <v>2218</v>
      </c>
    </row>
    <row r="3334" spans="1:14" ht="56.25" hidden="1" customHeight="1">
      <c r="A3334" s="1156">
        <v>38</v>
      </c>
      <c r="B3334" s="1826" t="s">
        <v>585</v>
      </c>
      <c r="C3334" s="1826"/>
      <c r="D3334" s="1828"/>
      <c r="E3334" s="1826"/>
      <c r="F3334" s="1826"/>
      <c r="G3334" s="1826"/>
      <c r="H3334" s="1826"/>
      <c r="I3334" s="1157"/>
      <c r="J3334" s="1158"/>
      <c r="K3334" s="1156"/>
      <c r="L3334" s="1156"/>
      <c r="M3334" s="1160"/>
      <c r="N3334" s="1161" t="s">
        <v>2306</v>
      </c>
    </row>
    <row r="3335" spans="1:14" s="1170" customFormat="1" ht="16.5" hidden="1" customHeight="1">
      <c r="A3335" s="1156"/>
      <c r="B3335" s="1169" t="s">
        <v>3509</v>
      </c>
      <c r="C3335" s="1366"/>
      <c r="D3335" s="1328" t="s">
        <v>3525</v>
      </c>
      <c r="E3335" s="1367"/>
      <c r="F3335" s="1368"/>
      <c r="G3335" s="1234"/>
      <c r="H3335" s="1235"/>
      <c r="I3335" s="1353"/>
      <c r="J3335" s="1357"/>
      <c r="K3335" s="1169"/>
      <c r="L3335" s="1156"/>
      <c r="M3335" s="1169"/>
      <c r="N3335" s="1161" t="s">
        <v>2306</v>
      </c>
    </row>
    <row r="3336" spans="1:14" s="1170" customFormat="1" ht="16.5" hidden="1" customHeight="1">
      <c r="A3336" s="1156"/>
      <c r="B3336" s="1369"/>
      <c r="C3336" s="1370">
        <v>1</v>
      </c>
      <c r="D3336" s="1371" t="s">
        <v>273</v>
      </c>
      <c r="E3336" s="1372">
        <v>1</v>
      </c>
      <c r="F3336" s="1373">
        <v>45</v>
      </c>
      <c r="G3336" s="1363">
        <v>0</v>
      </c>
      <c r="H3336" s="1363">
        <v>0</v>
      </c>
      <c r="I3336" s="1336">
        <f>ROUND(IF(AND(F3336:H3336),C3336*E3336*F3336*G3336*H3336,IF(AND(F3336,G3336),C3336*E3336*F3336*G3336,IF(AND(F3336,H3336),C3336*E3336*F3336*H3336,IF(AND(G3336,H3336),C3336*E3336*G3336*H3336,IF(F3336,C3336*E3336*F3336,IF(G3336,C3336*E3336*G3336,IF(H3336,C3336*E3336*H3336,C3336*E3336))))))),2)</f>
        <v>45</v>
      </c>
      <c r="J3336" s="1357" t="s">
        <v>277</v>
      </c>
      <c r="K3336" s="1169"/>
      <c r="L3336" s="1156"/>
      <c r="M3336" s="1169"/>
      <c r="N3336" s="1161" t="s">
        <v>2306</v>
      </c>
    </row>
    <row r="3337" spans="1:14" s="1170" customFormat="1" ht="16.5" hidden="1" customHeight="1">
      <c r="A3337" s="1156"/>
      <c r="B3337" s="1369"/>
      <c r="C3337" s="1374"/>
      <c r="D3337" s="1375"/>
      <c r="E3337" s="1376"/>
      <c r="F3337" s="1377"/>
      <c r="G3337" s="1335"/>
      <c r="H3337" s="1335"/>
      <c r="I3337" s="1336"/>
      <c r="J3337" s="1357"/>
      <c r="K3337" s="1169"/>
      <c r="L3337" s="1156"/>
      <c r="M3337" s="1169"/>
      <c r="N3337" s="1161" t="s">
        <v>2306</v>
      </c>
    </row>
    <row r="3338" spans="1:14" ht="15.75" hidden="1">
      <c r="A3338" s="1156"/>
      <c r="B3338" s="1169"/>
      <c r="C3338" s="1337"/>
      <c r="D3338" s="1171"/>
      <c r="E3338" s="1165"/>
      <c r="F3338" s="1166"/>
      <c r="G3338" s="1343"/>
      <c r="H3338" s="1156"/>
      <c r="I3338" s="1336"/>
      <c r="J3338" s="1357" t="s">
        <v>277</v>
      </c>
      <c r="K3338" s="1221">
        <f>'Ele Data'!I300</f>
        <v>64.86</v>
      </c>
      <c r="L3338" s="1159" t="s">
        <v>2306</v>
      </c>
      <c r="M3338" s="1224">
        <f>ROUND(I3338*K3338,0)</f>
        <v>0</v>
      </c>
      <c r="N3338" s="1161" t="s">
        <v>2306</v>
      </c>
    </row>
    <row r="3339" spans="1:14" ht="56.25" hidden="1" customHeight="1">
      <c r="A3339" s="1156">
        <v>28</v>
      </c>
      <c r="B3339" s="1826" t="s">
        <v>307</v>
      </c>
      <c r="C3339" s="1826"/>
      <c r="D3339" s="1826"/>
      <c r="E3339" s="1826"/>
      <c r="F3339" s="1826"/>
      <c r="G3339" s="1826"/>
      <c r="H3339" s="1826"/>
      <c r="I3339" s="1157"/>
      <c r="J3339" s="1158"/>
      <c r="K3339" s="1156"/>
      <c r="L3339" s="1156"/>
      <c r="M3339" s="1160"/>
      <c r="N3339" s="1161" t="s">
        <v>2306</v>
      </c>
    </row>
    <row r="3340" spans="1:14" s="1170" customFormat="1" ht="16.5" hidden="1" customHeight="1">
      <c r="A3340" s="1156"/>
      <c r="B3340" s="1169" t="s">
        <v>2760</v>
      </c>
      <c r="C3340" s="1366"/>
      <c r="D3340" s="1567"/>
      <c r="E3340" s="1367"/>
      <c r="F3340" s="1368"/>
      <c r="G3340" s="1234"/>
      <c r="H3340" s="1235"/>
      <c r="I3340" s="1353"/>
      <c r="J3340" s="1357"/>
      <c r="K3340" s="1169"/>
      <c r="L3340" s="1156"/>
      <c r="M3340" s="1169"/>
      <c r="N3340" s="1161" t="s">
        <v>2306</v>
      </c>
    </row>
    <row r="3341" spans="1:14" s="1170" customFormat="1" ht="16.5" hidden="1" customHeight="1">
      <c r="A3341" s="1156"/>
      <c r="B3341" s="1369" t="s">
        <v>583</v>
      </c>
      <c r="C3341" s="1370">
        <v>1</v>
      </c>
      <c r="D3341" s="1371" t="s">
        <v>273</v>
      </c>
      <c r="E3341" s="1372">
        <v>1</v>
      </c>
      <c r="F3341" s="1373">
        <v>67</v>
      </c>
      <c r="G3341" s="1363">
        <v>0</v>
      </c>
      <c r="H3341" s="1363">
        <v>0</v>
      </c>
      <c r="I3341" s="1336">
        <f>ROUND(IF(AND(F3341:H3341),C3341*E3341*F3341*G3341*H3341,IF(AND(F3341,G3341),C3341*E3341*F3341*G3341,IF(AND(F3341,H3341),C3341*E3341*F3341*H3341,IF(AND(G3341,H3341),C3341*E3341*G3341*H3341,IF(F3341,C3341*E3341*F3341,IF(G3341,C3341*E3341*G3341,IF(H3341,C3341*E3341*H3341,C3341*E3341))))))),2)</f>
        <v>67</v>
      </c>
      <c r="J3341" s="1357" t="s">
        <v>277</v>
      </c>
      <c r="K3341" s="1169"/>
      <c r="L3341" s="1156"/>
      <c r="M3341" s="1169"/>
      <c r="N3341" s="1161" t="s">
        <v>2306</v>
      </c>
    </row>
    <row r="3342" spans="1:14" s="1170" customFormat="1" ht="16.5" hidden="1" customHeight="1">
      <c r="A3342" s="1156"/>
      <c r="B3342" s="1369" t="s">
        <v>584</v>
      </c>
      <c r="C3342" s="1370">
        <v>1</v>
      </c>
      <c r="D3342" s="1371" t="s">
        <v>273</v>
      </c>
      <c r="E3342" s="1372">
        <v>1</v>
      </c>
      <c r="F3342" s="1373">
        <v>83</v>
      </c>
      <c r="G3342" s="1363">
        <v>0</v>
      </c>
      <c r="H3342" s="1363">
        <v>0</v>
      </c>
      <c r="I3342" s="1336">
        <f>ROUND(IF(AND(F3342:H3342),C3342*E3342*F3342*G3342*H3342,IF(AND(F3342,G3342),C3342*E3342*F3342*G3342,IF(AND(F3342,H3342),C3342*E3342*F3342*H3342,IF(AND(G3342,H3342),C3342*E3342*G3342*H3342,IF(F3342,C3342*E3342*F3342,IF(G3342,C3342*E3342*G3342,IF(H3342,C3342*E3342*H3342,C3342*E3342))))))),2)</f>
        <v>83</v>
      </c>
      <c r="J3342" s="1357" t="s">
        <v>277</v>
      </c>
      <c r="K3342" s="1169"/>
      <c r="L3342" s="1156"/>
      <c r="M3342" s="1169"/>
      <c r="N3342" s="1161" t="s">
        <v>2306</v>
      </c>
    </row>
    <row r="3343" spans="1:14" s="1170" customFormat="1" ht="16.5" hidden="1" customHeight="1">
      <c r="A3343" s="1156"/>
      <c r="B3343" s="1331"/>
      <c r="C3343" s="1332"/>
      <c r="D3343" s="1333"/>
      <c r="E3343" s="1334"/>
      <c r="F3343" s="1335"/>
      <c r="G3343" s="1335"/>
      <c r="H3343" s="1335"/>
      <c r="I3343" s="1336"/>
      <c r="J3343" s="1357"/>
      <c r="K3343" s="1169"/>
      <c r="L3343" s="1156"/>
      <c r="M3343" s="1169"/>
      <c r="N3343" s="1161" t="s">
        <v>2306</v>
      </c>
    </row>
    <row r="3344" spans="1:14" ht="15.75" hidden="1">
      <c r="A3344" s="1156"/>
      <c r="B3344" s="1169"/>
      <c r="C3344" s="1337"/>
      <c r="D3344" s="1171"/>
      <c r="E3344" s="1165"/>
      <c r="F3344" s="1166"/>
      <c r="G3344" s="1343"/>
      <c r="H3344" s="1156"/>
      <c r="I3344" s="1336"/>
      <c r="J3344" s="1357" t="s">
        <v>277</v>
      </c>
      <c r="K3344" s="1221">
        <f>'Ele Data'!I315</f>
        <v>73.41</v>
      </c>
      <c r="L3344" s="1159" t="s">
        <v>2306</v>
      </c>
      <c r="M3344" s="1224">
        <f>ROUND(I3344*K3344,0)</f>
        <v>0</v>
      </c>
      <c r="N3344" s="1161" t="s">
        <v>2306</v>
      </c>
    </row>
    <row r="3345" spans="1:14" ht="17.25" hidden="1" customHeight="1">
      <c r="A3345" s="1156">
        <v>3</v>
      </c>
      <c r="B3345" s="1826" t="s">
        <v>389</v>
      </c>
      <c r="C3345" s="1826"/>
      <c r="D3345" s="1826"/>
      <c r="E3345" s="1826"/>
      <c r="F3345" s="1826"/>
      <c r="G3345" s="1826"/>
      <c r="H3345" s="1826"/>
      <c r="I3345" s="1157"/>
      <c r="J3345" s="1158"/>
      <c r="K3345" s="1156"/>
      <c r="L3345" s="1156"/>
      <c r="M3345" s="1160"/>
      <c r="N3345" s="1161" t="s">
        <v>2306</v>
      </c>
    </row>
    <row r="3346" spans="1:14" s="1170" customFormat="1" ht="16.5" hidden="1" customHeight="1">
      <c r="A3346" s="1156"/>
      <c r="B3346" s="1358" t="s">
        <v>740</v>
      </c>
      <c r="C3346" s="1351"/>
      <c r="D3346" s="1418"/>
      <c r="E3346" s="1352"/>
      <c r="F3346" s="1234"/>
      <c r="G3346" s="1234"/>
      <c r="H3346" s="1235"/>
      <c r="I3346" s="1353"/>
      <c r="J3346" s="1357"/>
      <c r="K3346" s="1169"/>
      <c r="L3346" s="1156"/>
      <c r="M3346" s="1169"/>
      <c r="N3346" s="1161" t="s">
        <v>2306</v>
      </c>
    </row>
    <row r="3347" spans="1:14" s="1170" customFormat="1" ht="16.5" hidden="1" customHeight="1">
      <c r="A3347" s="1156"/>
      <c r="B3347" s="1331" t="s">
        <v>687</v>
      </c>
      <c r="C3347" s="1332"/>
      <c r="D3347" s="1333"/>
      <c r="E3347" s="1334"/>
      <c r="F3347" s="1335"/>
      <c r="G3347" s="1335"/>
      <c r="H3347" s="1335"/>
      <c r="I3347" s="1336"/>
      <c r="J3347" s="1357"/>
      <c r="K3347" s="1169"/>
      <c r="L3347" s="1156"/>
      <c r="M3347" s="1169"/>
      <c r="N3347" s="1161" t="s">
        <v>2306</v>
      </c>
    </row>
    <row r="3348" spans="1:14" s="1170" customFormat="1" ht="16.5" hidden="1" customHeight="1">
      <c r="A3348" s="1156"/>
      <c r="B3348" s="1331" t="s">
        <v>659</v>
      </c>
      <c r="C3348" s="1332">
        <v>1</v>
      </c>
      <c r="D3348" s="1333" t="s">
        <v>273</v>
      </c>
      <c r="E3348" s="1334">
        <v>1</v>
      </c>
      <c r="F3348" s="1335">
        <v>4</v>
      </c>
      <c r="G3348" s="1335">
        <v>0</v>
      </c>
      <c r="H3348" s="1335">
        <v>0</v>
      </c>
      <c r="I3348" s="1336">
        <f>ROUND(IF(AND(F3348:H3348),C3348*E3348*F3348*G3348*H3348,IF(AND(F3348,G3348),C3348*E3348*F3348*G3348,IF(AND(F3348,H3348),C3348*E3348*F3348*H3348,IF(AND(G3348,H3348),C3348*E3348*G3348*H3348,IF(F3348,C3348*E3348*F3348,IF(G3348,C3348*E3348*G3348,IF(H3348,C3348*E3348*H3348,C3348*E3348))))))),2)</f>
        <v>4</v>
      </c>
      <c r="J3348" s="1357" t="s">
        <v>277</v>
      </c>
      <c r="K3348" s="1169"/>
      <c r="L3348" s="1156"/>
      <c r="M3348" s="1169"/>
      <c r="N3348" s="1161" t="s">
        <v>2306</v>
      </c>
    </row>
    <row r="3349" spans="1:14" s="1170" customFormat="1" ht="16.5" hidden="1" customHeight="1">
      <c r="A3349" s="1156"/>
      <c r="B3349" s="1230" t="s">
        <v>688</v>
      </c>
      <c r="C3349" s="1332">
        <v>1</v>
      </c>
      <c r="D3349" s="1333" t="s">
        <v>273</v>
      </c>
      <c r="E3349" s="1334">
        <v>1</v>
      </c>
      <c r="F3349" s="1335">
        <v>1.8</v>
      </c>
      <c r="G3349" s="1335">
        <v>0</v>
      </c>
      <c r="H3349" s="1335">
        <v>0</v>
      </c>
      <c r="I3349" s="1336">
        <f>ROUND(IF(AND(F3349:H3349),C3349*E3349*F3349*G3349*H3349,IF(AND(F3349,G3349),C3349*E3349*F3349*G3349,IF(AND(F3349,H3349),C3349*E3349*F3349*H3349,IF(AND(G3349,H3349),C3349*E3349*G3349*H3349,IF(F3349,C3349*E3349*F3349,IF(G3349,C3349*E3349*G3349,IF(H3349,C3349*E3349*H3349,C3349*E3349))))))),2)</f>
        <v>1.8</v>
      </c>
      <c r="J3349" s="1357" t="s">
        <v>277</v>
      </c>
      <c r="K3349" s="1169"/>
      <c r="L3349" s="1156"/>
      <c r="M3349" s="1169"/>
      <c r="N3349" s="1161" t="s">
        <v>2306</v>
      </c>
    </row>
    <row r="3350" spans="1:14" s="1170" customFormat="1" ht="16.5" hidden="1" customHeight="1">
      <c r="A3350" s="1156"/>
      <c r="B3350" s="1331" t="s">
        <v>689</v>
      </c>
      <c r="C3350" s="1332">
        <v>1</v>
      </c>
      <c r="D3350" s="1333" t="s">
        <v>273</v>
      </c>
      <c r="E3350" s="1334">
        <v>1</v>
      </c>
      <c r="F3350" s="1335">
        <v>2</v>
      </c>
      <c r="G3350" s="1335">
        <v>0</v>
      </c>
      <c r="H3350" s="1335">
        <v>0</v>
      </c>
      <c r="I3350" s="1336">
        <f>ROUND(IF(AND(F3350:H3350),C3350*E3350*F3350*G3350*H3350,IF(AND(F3350,G3350),C3350*E3350*F3350*G3350,IF(AND(F3350,H3350),C3350*E3350*F3350*H3350,IF(AND(G3350,H3350),C3350*E3350*G3350*H3350,IF(F3350,C3350*E3350*F3350,IF(G3350,C3350*E3350*G3350,IF(H3350,C3350*E3350*H3350,C3350*E3350))))))),2)</f>
        <v>2</v>
      </c>
      <c r="J3350" s="1357" t="s">
        <v>277</v>
      </c>
      <c r="K3350" s="1169"/>
      <c r="L3350" s="1156"/>
      <c r="M3350" s="1169"/>
      <c r="N3350" s="1161" t="s">
        <v>2306</v>
      </c>
    </row>
    <row r="3351" spans="1:14" s="1170" customFormat="1" ht="16.5" hidden="1" customHeight="1">
      <c r="A3351" s="1156"/>
      <c r="B3351" s="1331"/>
      <c r="C3351" s="1332"/>
      <c r="D3351" s="1333"/>
      <c r="E3351" s="1334"/>
      <c r="F3351" s="1335"/>
      <c r="G3351" s="1335"/>
      <c r="H3351" s="1335"/>
      <c r="I3351" s="1336"/>
      <c r="J3351" s="1357"/>
      <c r="K3351" s="1169"/>
      <c r="L3351" s="1156"/>
      <c r="M3351" s="1169"/>
      <c r="N3351" s="1161" t="s">
        <v>2306</v>
      </c>
    </row>
    <row r="3352" spans="1:14" ht="15.75" hidden="1">
      <c r="A3352" s="1156"/>
      <c r="B3352" s="1169"/>
      <c r="C3352" s="1337"/>
      <c r="D3352" s="1171"/>
      <c r="E3352" s="1165"/>
      <c r="F3352" s="1166"/>
      <c r="G3352" s="1343"/>
      <c r="H3352" s="1156"/>
      <c r="I3352" s="1336"/>
      <c r="J3352" s="1357" t="s">
        <v>277</v>
      </c>
      <c r="K3352" s="1221">
        <f>'Ele Data'!I319</f>
        <v>55</v>
      </c>
      <c r="L3352" s="1159" t="s">
        <v>2306</v>
      </c>
      <c r="M3352" s="1224">
        <f>ROUND(I3352*K3352,0)</f>
        <v>0</v>
      </c>
      <c r="N3352" s="1161" t="s">
        <v>2306</v>
      </c>
    </row>
    <row r="3353" spans="1:14" ht="27" hidden="1" customHeight="1">
      <c r="A3353" s="1156">
        <v>29</v>
      </c>
      <c r="B3353" s="1826" t="s">
        <v>427</v>
      </c>
      <c r="C3353" s="1826"/>
      <c r="D3353" s="1826"/>
      <c r="E3353" s="1826"/>
      <c r="F3353" s="1826"/>
      <c r="G3353" s="1826"/>
      <c r="H3353" s="1826"/>
      <c r="I3353" s="1157"/>
      <c r="J3353" s="1158"/>
      <c r="K3353" s="1156"/>
      <c r="L3353" s="1156"/>
      <c r="M3353" s="1160"/>
      <c r="N3353" s="1161" t="s">
        <v>2306</v>
      </c>
    </row>
    <row r="3354" spans="1:14" s="1170" customFormat="1" ht="16.5" hidden="1" customHeight="1">
      <c r="A3354" s="1156"/>
      <c r="B3354" s="1169" t="s">
        <v>2792</v>
      </c>
      <c r="C3354" s="1351"/>
      <c r="D3354" s="1418"/>
      <c r="E3354" s="1352"/>
      <c r="F3354" s="1234"/>
      <c r="G3354" s="1234"/>
      <c r="H3354" s="1235"/>
      <c r="I3354" s="1353"/>
      <c r="J3354" s="1357"/>
      <c r="K3354" s="1169"/>
      <c r="L3354" s="1156"/>
      <c r="M3354" s="1169"/>
      <c r="N3354" s="1161" t="s">
        <v>2306</v>
      </c>
    </row>
    <row r="3355" spans="1:14" s="1170" customFormat="1" ht="16.5" hidden="1" customHeight="1">
      <c r="A3355" s="1156"/>
      <c r="B3355" s="1230" t="s">
        <v>2087</v>
      </c>
      <c r="C3355" s="1332">
        <v>1</v>
      </c>
      <c r="D3355" s="1333" t="s">
        <v>273</v>
      </c>
      <c r="E3355" s="1334">
        <v>14</v>
      </c>
      <c r="F3355" s="1335">
        <v>0</v>
      </c>
      <c r="G3355" s="1335">
        <v>0</v>
      </c>
      <c r="H3355" s="1335">
        <v>0</v>
      </c>
      <c r="I3355" s="1421">
        <f>ROUND(IF(AND(F3355:H3355),C3355*E3355*F3355*G3355*H3355,IF(AND(F3355,G3355),C3355*E3355*F3355*G3355,IF(AND(F3355,H3355),C3355*E3355*F3355*H3355,IF(AND(G3355,H3355),C3355*E3355*G3355*H3355,IF(F3355,C3355*E3355*F3355,IF(G3355,C3355*E3355*G3355,IF(H3355,C3355*E3355*H3355,C3355*E3355))))))),2)</f>
        <v>14</v>
      </c>
      <c r="J3355" s="1357" t="s">
        <v>115</v>
      </c>
      <c r="K3355" s="1169"/>
      <c r="L3355" s="1156"/>
      <c r="M3355" s="1169"/>
      <c r="N3355" s="1161" t="s">
        <v>2306</v>
      </c>
    </row>
    <row r="3356" spans="1:14" s="1170" customFormat="1" ht="16.5" hidden="1" customHeight="1">
      <c r="A3356" s="1156"/>
      <c r="B3356" s="1230"/>
      <c r="C3356" s="1332"/>
      <c r="D3356" s="1333"/>
      <c r="E3356" s="1334"/>
      <c r="F3356" s="1335"/>
      <c r="G3356" s="1335"/>
      <c r="H3356" s="1335"/>
      <c r="I3356" s="1421"/>
      <c r="J3356" s="1357"/>
      <c r="K3356" s="1169"/>
      <c r="L3356" s="1156"/>
      <c r="M3356" s="1169"/>
      <c r="N3356" s="1161" t="s">
        <v>2306</v>
      </c>
    </row>
    <row r="3357" spans="1:14" ht="15.75" hidden="1">
      <c r="A3357" s="1156"/>
      <c r="B3357" s="1169"/>
      <c r="C3357" s="1337"/>
      <c r="D3357" s="1171"/>
      <c r="E3357" s="1165"/>
      <c r="F3357" s="1166"/>
      <c r="G3357" s="1343"/>
      <c r="H3357" s="1156"/>
      <c r="I3357" s="1421"/>
      <c r="J3357" s="1357" t="s">
        <v>115</v>
      </c>
      <c r="K3357" s="1221">
        <f>'Ele Data'!I322</f>
        <v>205</v>
      </c>
      <c r="L3357" s="1159" t="s">
        <v>2306</v>
      </c>
      <c r="M3357" s="1224">
        <f>ROUND(I3357*K3357,0)</f>
        <v>0</v>
      </c>
      <c r="N3357" s="1161" t="s">
        <v>2306</v>
      </c>
    </row>
    <row r="3358" spans="1:14" ht="27" hidden="1" customHeight="1">
      <c r="A3358" s="1156">
        <v>30</v>
      </c>
      <c r="B3358" s="1826" t="s">
        <v>610</v>
      </c>
      <c r="C3358" s="1826"/>
      <c r="D3358" s="1826"/>
      <c r="E3358" s="1826"/>
      <c r="F3358" s="1826"/>
      <c r="G3358" s="1826"/>
      <c r="H3358" s="1826"/>
      <c r="I3358" s="1157"/>
      <c r="J3358" s="1158"/>
      <c r="K3358" s="1156"/>
      <c r="L3358" s="1156"/>
      <c r="M3358" s="1160"/>
      <c r="N3358" s="1161" t="s">
        <v>2306</v>
      </c>
    </row>
    <row r="3359" spans="1:14" s="1170" customFormat="1" ht="16.5" hidden="1" customHeight="1">
      <c r="A3359" s="1156"/>
      <c r="B3359" s="1169" t="s">
        <v>2792</v>
      </c>
      <c r="C3359" s="1351"/>
      <c r="D3359" s="1418"/>
      <c r="E3359" s="1352"/>
      <c r="F3359" s="1234"/>
      <c r="G3359" s="1234"/>
      <c r="H3359" s="1235"/>
      <c r="I3359" s="1353"/>
      <c r="J3359" s="1357"/>
      <c r="K3359" s="1169"/>
      <c r="L3359" s="1156"/>
      <c r="M3359" s="1169"/>
      <c r="N3359" s="1161" t="s">
        <v>2306</v>
      </c>
    </row>
    <row r="3360" spans="1:14" s="1170" customFormat="1" ht="16.5" hidden="1" customHeight="1">
      <c r="A3360" s="1156"/>
      <c r="B3360" s="1230" t="s">
        <v>2087</v>
      </c>
      <c r="C3360" s="1332">
        <v>1</v>
      </c>
      <c r="D3360" s="1333" t="s">
        <v>273</v>
      </c>
      <c r="E3360" s="1334">
        <v>3</v>
      </c>
      <c r="F3360" s="1335">
        <v>0</v>
      </c>
      <c r="G3360" s="1335">
        <v>0</v>
      </c>
      <c r="H3360" s="1335">
        <v>0</v>
      </c>
      <c r="I3360" s="1421">
        <f>ROUND(IF(AND(F3360:H3360),C3360*E3360*F3360*G3360*H3360,IF(AND(F3360,G3360),C3360*E3360*F3360*G3360,IF(AND(F3360,H3360),C3360*E3360*F3360*H3360,IF(AND(G3360,H3360),C3360*E3360*G3360*H3360,IF(F3360,C3360*E3360*F3360,IF(G3360,C3360*E3360*G3360,IF(H3360,C3360*E3360*H3360,C3360*E3360))))))),2)</f>
        <v>3</v>
      </c>
      <c r="J3360" s="1357" t="s">
        <v>115</v>
      </c>
      <c r="K3360" s="1169"/>
      <c r="L3360" s="1156"/>
      <c r="M3360" s="1169"/>
      <c r="N3360" s="1161" t="s">
        <v>2306</v>
      </c>
    </row>
    <row r="3361" spans="1:14" s="1170" customFormat="1" ht="16.5" hidden="1" customHeight="1">
      <c r="A3361" s="1156"/>
      <c r="B3361" s="1230"/>
      <c r="C3361" s="1332"/>
      <c r="D3361" s="1333"/>
      <c r="E3361" s="1334"/>
      <c r="F3361" s="1335"/>
      <c r="G3361" s="1335"/>
      <c r="H3361" s="1335"/>
      <c r="I3361" s="1336"/>
      <c r="J3361" s="1357"/>
      <c r="K3361" s="1169"/>
      <c r="L3361" s="1156"/>
      <c r="M3361" s="1169"/>
      <c r="N3361" s="1161" t="s">
        <v>2306</v>
      </c>
    </row>
    <row r="3362" spans="1:14" ht="15.75" hidden="1">
      <c r="A3362" s="1156"/>
      <c r="B3362" s="1169"/>
      <c r="C3362" s="1337"/>
      <c r="D3362" s="1171"/>
      <c r="E3362" s="1165"/>
      <c r="F3362" s="1166"/>
      <c r="G3362" s="1343"/>
      <c r="H3362" s="1156"/>
      <c r="I3362" s="1421"/>
      <c r="J3362" s="1357" t="s">
        <v>115</v>
      </c>
      <c r="K3362" s="1221">
        <f>'Ele Data'!I325</f>
        <v>170</v>
      </c>
      <c r="L3362" s="1159" t="s">
        <v>2306</v>
      </c>
      <c r="M3362" s="1224">
        <f>ROUND(I3362*K3362,0)</f>
        <v>0</v>
      </c>
      <c r="N3362" s="1161" t="s">
        <v>2306</v>
      </c>
    </row>
    <row r="3363" spans="1:14" ht="27" hidden="1" customHeight="1">
      <c r="A3363" s="1156">
        <v>31</v>
      </c>
      <c r="B3363" s="1826" t="s">
        <v>690</v>
      </c>
      <c r="C3363" s="1826"/>
      <c r="D3363" s="1826"/>
      <c r="E3363" s="1826"/>
      <c r="F3363" s="1826"/>
      <c r="G3363" s="1826"/>
      <c r="H3363" s="1826"/>
      <c r="I3363" s="1157"/>
      <c r="J3363" s="1158"/>
      <c r="K3363" s="1156"/>
      <c r="L3363" s="1156"/>
      <c r="M3363" s="1160"/>
      <c r="N3363" s="1161" t="s">
        <v>2306</v>
      </c>
    </row>
    <row r="3364" spans="1:14" s="1170" customFormat="1" ht="16.5" hidden="1" customHeight="1">
      <c r="A3364" s="1156"/>
      <c r="B3364" s="1169" t="s">
        <v>2792</v>
      </c>
      <c r="C3364" s="1351"/>
      <c r="D3364" s="1418"/>
      <c r="E3364" s="1352"/>
      <c r="F3364" s="1234"/>
      <c r="G3364" s="1234"/>
      <c r="H3364" s="1235"/>
      <c r="I3364" s="1353"/>
      <c r="J3364" s="1357"/>
      <c r="K3364" s="1169"/>
      <c r="L3364" s="1156"/>
      <c r="M3364" s="1169"/>
      <c r="N3364" s="1161" t="s">
        <v>2306</v>
      </c>
    </row>
    <row r="3365" spans="1:14" s="1170" customFormat="1" ht="16.5" hidden="1" customHeight="1">
      <c r="A3365" s="1156"/>
      <c r="B3365" s="1230" t="s">
        <v>2087</v>
      </c>
      <c r="C3365" s="1332">
        <v>1</v>
      </c>
      <c r="D3365" s="1333" t="s">
        <v>273</v>
      </c>
      <c r="E3365" s="1334">
        <v>12</v>
      </c>
      <c r="F3365" s="1335">
        <v>0</v>
      </c>
      <c r="G3365" s="1335">
        <v>0</v>
      </c>
      <c r="H3365" s="1335">
        <v>0</v>
      </c>
      <c r="I3365" s="1421">
        <f>ROUND(IF(AND(F3365:H3365),C3365*E3365*F3365*G3365*H3365,IF(AND(F3365,G3365),C3365*E3365*F3365*G3365,IF(AND(F3365,H3365),C3365*E3365*F3365*H3365,IF(AND(G3365,H3365),C3365*E3365*G3365*H3365,IF(F3365,C3365*E3365*F3365,IF(G3365,C3365*E3365*G3365,IF(H3365,C3365*E3365*H3365,C3365*E3365))))))),2)</f>
        <v>12</v>
      </c>
      <c r="J3365" s="1357" t="s">
        <v>115</v>
      </c>
      <c r="K3365" s="1169"/>
      <c r="L3365" s="1156"/>
      <c r="M3365" s="1169"/>
      <c r="N3365" s="1161" t="s">
        <v>2306</v>
      </c>
    </row>
    <row r="3366" spans="1:14" s="1170" customFormat="1" ht="16.5" hidden="1" customHeight="1">
      <c r="A3366" s="1156"/>
      <c r="B3366" s="1230"/>
      <c r="C3366" s="1332"/>
      <c r="D3366" s="1333"/>
      <c r="E3366" s="1334"/>
      <c r="F3366" s="1335"/>
      <c r="G3366" s="1335"/>
      <c r="H3366" s="1335"/>
      <c r="I3366" s="1336"/>
      <c r="J3366" s="1357"/>
      <c r="K3366" s="1169"/>
      <c r="L3366" s="1156"/>
      <c r="M3366" s="1169"/>
      <c r="N3366" s="1161" t="s">
        <v>2306</v>
      </c>
    </row>
    <row r="3367" spans="1:14" ht="15.75" hidden="1">
      <c r="A3367" s="1156"/>
      <c r="B3367" s="1169"/>
      <c r="C3367" s="1337"/>
      <c r="D3367" s="1171"/>
      <c r="E3367" s="1165"/>
      <c r="F3367" s="1166"/>
      <c r="G3367" s="1343"/>
      <c r="H3367" s="1156"/>
      <c r="I3367" s="1421"/>
      <c r="J3367" s="1357" t="s">
        <v>115</v>
      </c>
      <c r="K3367" s="1221">
        <f>'Ele Data'!I328</f>
        <v>130</v>
      </c>
      <c r="L3367" s="1159" t="s">
        <v>2306</v>
      </c>
      <c r="M3367" s="1224">
        <f>ROUND(I3367*K3367,0)</f>
        <v>0</v>
      </c>
      <c r="N3367" s="1161" t="s">
        <v>2306</v>
      </c>
    </row>
    <row r="3368" spans="1:14" ht="27" hidden="1" customHeight="1">
      <c r="A3368" s="1156">
        <v>4</v>
      </c>
      <c r="B3368" s="1826" t="s">
        <v>1512</v>
      </c>
      <c r="C3368" s="1826"/>
      <c r="D3368" s="1826"/>
      <c r="E3368" s="1826"/>
      <c r="F3368" s="1826"/>
      <c r="G3368" s="1826"/>
      <c r="H3368" s="1826"/>
      <c r="I3368" s="1157"/>
      <c r="J3368" s="1158"/>
      <c r="K3368" s="1156"/>
      <c r="L3368" s="1156"/>
      <c r="M3368" s="1160"/>
      <c r="N3368" s="1161" t="s">
        <v>2306</v>
      </c>
    </row>
    <row r="3369" spans="1:14" s="1170" customFormat="1" ht="16.5" hidden="1" customHeight="1">
      <c r="A3369" s="1156"/>
      <c r="B3369" s="1169" t="s">
        <v>2354</v>
      </c>
      <c r="C3369" s="1351"/>
      <c r="D3369" s="1418"/>
      <c r="E3369" s="1352"/>
      <c r="F3369" s="1234"/>
      <c r="G3369" s="1234"/>
      <c r="H3369" s="1235"/>
      <c r="I3369" s="1353"/>
      <c r="J3369" s="1357"/>
      <c r="K3369" s="1169"/>
      <c r="L3369" s="1156"/>
      <c r="M3369" s="1169"/>
      <c r="N3369" s="1161" t="s">
        <v>2306</v>
      </c>
    </row>
    <row r="3370" spans="1:14" s="1170" customFormat="1" ht="16.5" hidden="1" customHeight="1">
      <c r="A3370" s="1156"/>
      <c r="B3370" s="1230" t="s">
        <v>586</v>
      </c>
      <c r="C3370" s="1332">
        <v>1</v>
      </c>
      <c r="D3370" s="1333" t="s">
        <v>273</v>
      </c>
      <c r="E3370" s="1334">
        <v>1</v>
      </c>
      <c r="F3370" s="1335">
        <v>0</v>
      </c>
      <c r="G3370" s="1335">
        <v>0</v>
      </c>
      <c r="H3370" s="1335">
        <v>0</v>
      </c>
      <c r="I3370" s="1421">
        <f>ROUND(IF(AND(F3370:H3370),C3370*E3370*F3370*G3370*H3370,IF(AND(F3370,G3370),C3370*E3370*F3370*G3370,IF(AND(F3370,H3370),C3370*E3370*F3370*H3370,IF(AND(G3370,H3370),C3370*E3370*G3370*H3370,IF(F3370,C3370*E3370*F3370,IF(G3370,C3370*E3370*G3370,IF(H3370,C3370*E3370*H3370,C3370*E3370))))))),2)</f>
        <v>1</v>
      </c>
      <c r="J3370" s="1357" t="s">
        <v>115</v>
      </c>
      <c r="K3370" s="1169"/>
      <c r="L3370" s="1156"/>
      <c r="M3370" s="1169"/>
      <c r="N3370" s="1161" t="s">
        <v>2306</v>
      </c>
    </row>
    <row r="3371" spans="1:14" s="1170" customFormat="1" ht="16.5" hidden="1" customHeight="1">
      <c r="A3371" s="1156"/>
      <c r="B3371" s="1230" t="s">
        <v>1495</v>
      </c>
      <c r="C3371" s="1332">
        <v>1</v>
      </c>
      <c r="D3371" s="1333" t="s">
        <v>273</v>
      </c>
      <c r="E3371" s="1334">
        <v>1</v>
      </c>
      <c r="F3371" s="1335">
        <v>0</v>
      </c>
      <c r="G3371" s="1335">
        <v>0</v>
      </c>
      <c r="H3371" s="1335">
        <v>0</v>
      </c>
      <c r="I3371" s="1421">
        <f>ROUND(IF(AND(F3371:H3371),C3371*E3371*F3371*G3371*H3371,IF(AND(F3371,G3371),C3371*E3371*F3371*G3371,IF(AND(F3371,H3371),C3371*E3371*F3371*H3371,IF(AND(G3371,H3371),C3371*E3371*G3371*H3371,IF(F3371,C3371*E3371*F3371,IF(G3371,C3371*E3371*G3371,IF(H3371,C3371*E3371*H3371,C3371*E3371))))))),2)</f>
        <v>1</v>
      </c>
      <c r="J3371" s="1357" t="s">
        <v>115</v>
      </c>
      <c r="K3371" s="1169"/>
      <c r="L3371" s="1156"/>
      <c r="M3371" s="1169"/>
      <c r="N3371" s="1161" t="s">
        <v>2306</v>
      </c>
    </row>
    <row r="3372" spans="1:14" s="1170" customFormat="1" ht="16.5" hidden="1" customHeight="1">
      <c r="A3372" s="1156"/>
      <c r="B3372" s="1230" t="s">
        <v>1494</v>
      </c>
      <c r="C3372" s="1332">
        <v>1</v>
      </c>
      <c r="D3372" s="1333" t="s">
        <v>273</v>
      </c>
      <c r="E3372" s="1334">
        <v>1</v>
      </c>
      <c r="F3372" s="1335">
        <v>0</v>
      </c>
      <c r="G3372" s="1335">
        <v>0</v>
      </c>
      <c r="H3372" s="1335">
        <v>0</v>
      </c>
      <c r="I3372" s="1421">
        <f>ROUND(IF(AND(F3372:H3372),C3372*E3372*F3372*G3372*H3372,IF(AND(F3372,G3372),C3372*E3372*F3372*G3372,IF(AND(F3372,H3372),C3372*E3372*F3372*H3372,IF(AND(G3372,H3372),C3372*E3372*G3372*H3372,IF(F3372,C3372*E3372*F3372,IF(G3372,C3372*E3372*G3372,IF(H3372,C3372*E3372*H3372,C3372*E3372))))))),2)</f>
        <v>1</v>
      </c>
      <c r="J3372" s="1357" t="s">
        <v>115</v>
      </c>
      <c r="K3372" s="1169"/>
      <c r="L3372" s="1156"/>
      <c r="M3372" s="1169"/>
      <c r="N3372" s="1161" t="s">
        <v>2306</v>
      </c>
    </row>
    <row r="3373" spans="1:14" s="1170" customFormat="1" ht="16.5" hidden="1" customHeight="1">
      <c r="A3373" s="1156"/>
      <c r="B3373" s="1230" t="s">
        <v>223</v>
      </c>
      <c r="C3373" s="1332">
        <v>1</v>
      </c>
      <c r="D3373" s="1333" t="s">
        <v>273</v>
      </c>
      <c r="E3373" s="1334">
        <v>2</v>
      </c>
      <c r="F3373" s="1335">
        <v>0</v>
      </c>
      <c r="G3373" s="1335">
        <v>0</v>
      </c>
      <c r="H3373" s="1335">
        <v>0</v>
      </c>
      <c r="I3373" s="1421">
        <f>ROUND(IF(AND(F3373:H3373),C3373*E3373*F3373*G3373*H3373,IF(AND(F3373,G3373),C3373*E3373*F3373*G3373,IF(AND(F3373,H3373),C3373*E3373*F3373*H3373,IF(AND(G3373,H3373),C3373*E3373*G3373*H3373,IF(F3373,C3373*E3373*F3373,IF(G3373,C3373*E3373*G3373,IF(H3373,C3373*E3373*H3373,C3373*E3373))))))),2)</f>
        <v>2</v>
      </c>
      <c r="J3373" s="1357" t="s">
        <v>115</v>
      </c>
      <c r="K3373" s="1169"/>
      <c r="L3373" s="1156"/>
      <c r="M3373" s="1169"/>
      <c r="N3373" s="1161" t="s">
        <v>2306</v>
      </c>
    </row>
    <row r="3374" spans="1:14" s="1170" customFormat="1" ht="16.5" hidden="1" customHeight="1">
      <c r="A3374" s="1156"/>
      <c r="B3374" s="1230"/>
      <c r="C3374" s="1332"/>
      <c r="D3374" s="1333"/>
      <c r="E3374" s="1334"/>
      <c r="F3374" s="1335"/>
      <c r="G3374" s="1335"/>
      <c r="H3374" s="1335"/>
      <c r="I3374" s="1421"/>
      <c r="J3374" s="1357"/>
      <c r="K3374" s="1169"/>
      <c r="L3374" s="1156"/>
      <c r="M3374" s="1169"/>
      <c r="N3374" s="1161" t="s">
        <v>2306</v>
      </c>
    </row>
    <row r="3375" spans="1:14" ht="15.75" hidden="1">
      <c r="A3375" s="1156"/>
      <c r="B3375" s="1169"/>
      <c r="C3375" s="1337"/>
      <c r="D3375" s="1171"/>
      <c r="E3375" s="1165"/>
      <c r="F3375" s="1166"/>
      <c r="G3375" s="1343"/>
      <c r="H3375" s="1156"/>
      <c r="I3375" s="1421"/>
      <c r="J3375" s="1357" t="s">
        <v>115</v>
      </c>
      <c r="K3375" s="1221">
        <f>'Ele Data'!I339</f>
        <v>300</v>
      </c>
      <c r="L3375" s="1159" t="s">
        <v>2306</v>
      </c>
      <c r="M3375" s="1224">
        <f>ROUND(I3375*K3375,0)</f>
        <v>0</v>
      </c>
      <c r="N3375" s="1161" t="s">
        <v>2306</v>
      </c>
    </row>
    <row r="3376" spans="1:14" ht="27" hidden="1" customHeight="1">
      <c r="A3376" s="1156">
        <v>6</v>
      </c>
      <c r="B3376" s="1826" t="s">
        <v>612</v>
      </c>
      <c r="C3376" s="1826"/>
      <c r="D3376" s="1826"/>
      <c r="E3376" s="1826"/>
      <c r="F3376" s="1826"/>
      <c r="G3376" s="1826"/>
      <c r="H3376" s="1826"/>
      <c r="I3376" s="1157"/>
      <c r="J3376" s="1158"/>
      <c r="K3376" s="1156"/>
      <c r="L3376" s="1156"/>
      <c r="M3376" s="1160"/>
      <c r="N3376" s="1161" t="s">
        <v>2306</v>
      </c>
    </row>
    <row r="3377" spans="1:14" s="1170" customFormat="1" ht="16.5" hidden="1" customHeight="1">
      <c r="A3377" s="1156"/>
      <c r="B3377" s="1230" t="s">
        <v>607</v>
      </c>
      <c r="C3377" s="1351"/>
      <c r="D3377" s="1418"/>
      <c r="E3377" s="1352"/>
      <c r="F3377" s="1234"/>
      <c r="G3377" s="1234"/>
      <c r="H3377" s="1235"/>
      <c r="I3377" s="1353"/>
      <c r="J3377" s="1357"/>
      <c r="K3377" s="1169"/>
      <c r="L3377" s="1156"/>
      <c r="M3377" s="1169"/>
      <c r="N3377" s="1161" t="s">
        <v>2306</v>
      </c>
    </row>
    <row r="3378" spans="1:14" s="1170" customFormat="1" ht="16.5" hidden="1" customHeight="1">
      <c r="A3378" s="1156"/>
      <c r="B3378" s="1230" t="s">
        <v>1217</v>
      </c>
      <c r="C3378" s="1332">
        <v>2</v>
      </c>
      <c r="D3378" s="1333" t="s">
        <v>273</v>
      </c>
      <c r="E3378" s="1334">
        <v>1</v>
      </c>
      <c r="F3378" s="1335">
        <v>0</v>
      </c>
      <c r="G3378" s="1335">
        <v>0</v>
      </c>
      <c r="H3378" s="1335">
        <v>0</v>
      </c>
      <c r="I3378" s="1421">
        <f>ROUND(IF(AND(F3378:H3378),C3378*E3378*F3378*G3378*H3378,IF(AND(F3378,G3378),C3378*E3378*F3378*G3378,IF(AND(F3378,H3378),C3378*E3378*F3378*H3378,IF(AND(G3378,H3378),C3378*E3378*G3378*H3378,IF(F3378,C3378*E3378*F3378,IF(G3378,C3378*E3378*G3378,IF(H3378,C3378*E3378*H3378,C3378*E3378))))))),2)</f>
        <v>2</v>
      </c>
      <c r="J3378" s="1357" t="s">
        <v>115</v>
      </c>
      <c r="K3378" s="1169"/>
      <c r="L3378" s="1156"/>
      <c r="M3378" s="1169"/>
      <c r="N3378" s="1161" t="s">
        <v>2306</v>
      </c>
    </row>
    <row r="3379" spans="1:14" s="1170" customFormat="1" ht="16.5" hidden="1" customHeight="1">
      <c r="A3379" s="1156"/>
      <c r="B3379" s="1230"/>
      <c r="C3379" s="1332"/>
      <c r="D3379" s="1333"/>
      <c r="E3379" s="1334"/>
      <c r="F3379" s="1335"/>
      <c r="G3379" s="1335"/>
      <c r="H3379" s="1335"/>
      <c r="I3379" s="1421"/>
      <c r="J3379" s="1357"/>
      <c r="K3379" s="1169"/>
      <c r="L3379" s="1156"/>
      <c r="M3379" s="1169"/>
      <c r="N3379" s="1161" t="s">
        <v>2306</v>
      </c>
    </row>
    <row r="3380" spans="1:14" ht="15.75" hidden="1">
      <c r="A3380" s="1156"/>
      <c r="B3380" s="1169"/>
      <c r="C3380" s="1337"/>
      <c r="D3380" s="1171"/>
      <c r="E3380" s="1165"/>
      <c r="F3380" s="1166"/>
      <c r="G3380" s="1343"/>
      <c r="H3380" s="1156"/>
      <c r="I3380" s="1421"/>
      <c r="J3380" s="1357" t="s">
        <v>115</v>
      </c>
      <c r="K3380" s="1221">
        <f>'Ele Data'!I335</f>
        <v>335</v>
      </c>
      <c r="L3380" s="1159" t="s">
        <v>2306</v>
      </c>
      <c r="M3380" s="1224">
        <f>ROUND(I3380*K3380,0)</f>
        <v>0</v>
      </c>
      <c r="N3380" s="1161" t="s">
        <v>2306</v>
      </c>
    </row>
    <row r="3381" spans="1:14" ht="27" hidden="1" customHeight="1">
      <c r="A3381" s="1156">
        <v>26</v>
      </c>
      <c r="B3381" s="1826" t="s">
        <v>790</v>
      </c>
      <c r="C3381" s="1826"/>
      <c r="D3381" s="1826"/>
      <c r="E3381" s="1826"/>
      <c r="F3381" s="1826"/>
      <c r="G3381" s="1826"/>
      <c r="H3381" s="1826"/>
      <c r="I3381" s="1157"/>
      <c r="J3381" s="1158"/>
      <c r="K3381" s="1156"/>
      <c r="L3381" s="1156"/>
      <c r="M3381" s="1160"/>
      <c r="N3381" s="1161" t="s">
        <v>2306</v>
      </c>
    </row>
    <row r="3382" spans="1:14" s="1170" customFormat="1" ht="16.5" hidden="1" customHeight="1">
      <c r="A3382" s="1156"/>
      <c r="B3382" s="1169" t="s">
        <v>2571</v>
      </c>
      <c r="C3382" s="1351"/>
      <c r="D3382" s="1418"/>
      <c r="E3382" s="1352"/>
      <c r="F3382" s="1234"/>
      <c r="G3382" s="1234"/>
      <c r="H3382" s="1235"/>
      <c r="I3382" s="1353"/>
      <c r="J3382" s="1357"/>
      <c r="K3382" s="1169"/>
      <c r="L3382" s="1156"/>
      <c r="M3382" s="1169"/>
      <c r="N3382" s="1161" t="s">
        <v>2306</v>
      </c>
    </row>
    <row r="3383" spans="1:14" s="1170" customFormat="1" ht="16.5" hidden="1" customHeight="1">
      <c r="A3383" s="1156"/>
      <c r="B3383" s="1230" t="s">
        <v>2087</v>
      </c>
      <c r="C3383" s="1332">
        <v>1</v>
      </c>
      <c r="D3383" s="1333" t="s">
        <v>273</v>
      </c>
      <c r="E3383" s="1334">
        <v>3</v>
      </c>
      <c r="F3383" s="1335">
        <v>0</v>
      </c>
      <c r="G3383" s="1335">
        <v>0</v>
      </c>
      <c r="H3383" s="1335">
        <v>0</v>
      </c>
      <c r="I3383" s="1421">
        <f>ROUND(IF(AND(F3383:H3383),C3383*E3383*F3383*G3383*H3383,IF(AND(F3383,G3383),C3383*E3383*F3383*G3383,IF(AND(F3383,H3383),C3383*E3383*F3383*H3383,IF(AND(G3383,H3383),C3383*E3383*G3383*H3383,IF(F3383,C3383*E3383*F3383,IF(G3383,C3383*E3383*G3383,IF(H3383,C3383*E3383*H3383,C3383*E3383))))))),2)</f>
        <v>3</v>
      </c>
      <c r="J3383" s="1357" t="s">
        <v>115</v>
      </c>
      <c r="K3383" s="1169"/>
      <c r="L3383" s="1156"/>
      <c r="M3383" s="1169"/>
      <c r="N3383" s="1161" t="s">
        <v>2306</v>
      </c>
    </row>
    <row r="3384" spans="1:14" s="1170" customFormat="1" ht="16.5" hidden="1" customHeight="1">
      <c r="A3384" s="1156"/>
      <c r="B3384" s="1230"/>
      <c r="C3384" s="1332"/>
      <c r="D3384" s="1333"/>
      <c r="E3384" s="1334"/>
      <c r="F3384" s="1335"/>
      <c r="G3384" s="1335"/>
      <c r="H3384" s="1335"/>
      <c r="I3384" s="1421"/>
      <c r="J3384" s="1357"/>
      <c r="K3384" s="1169"/>
      <c r="L3384" s="1156"/>
      <c r="M3384" s="1169"/>
      <c r="N3384" s="1161" t="s">
        <v>2306</v>
      </c>
    </row>
    <row r="3385" spans="1:14" ht="15.75" hidden="1">
      <c r="A3385" s="1156"/>
      <c r="B3385" s="1169"/>
      <c r="C3385" s="1337"/>
      <c r="D3385" s="1171"/>
      <c r="E3385" s="1165"/>
      <c r="F3385" s="1166"/>
      <c r="G3385" s="1343"/>
      <c r="H3385" s="1156"/>
      <c r="I3385" s="1421"/>
      <c r="J3385" s="1357" t="s">
        <v>115</v>
      </c>
      <c r="K3385" s="1221">
        <f>'Ele Data'!I331</f>
        <v>95</v>
      </c>
      <c r="L3385" s="1159" t="s">
        <v>2306</v>
      </c>
      <c r="M3385" s="1224">
        <f>ROUND(I3385*K3385,0)</f>
        <v>0</v>
      </c>
      <c r="N3385" s="1161" t="s">
        <v>2306</v>
      </c>
    </row>
    <row r="3386" spans="1:14" ht="27" hidden="1" customHeight="1">
      <c r="A3386" s="1156">
        <v>32</v>
      </c>
      <c r="B3386" s="1826" t="s">
        <v>428</v>
      </c>
      <c r="C3386" s="1826"/>
      <c r="D3386" s="1826"/>
      <c r="E3386" s="1826"/>
      <c r="F3386" s="1826"/>
      <c r="G3386" s="1826"/>
      <c r="H3386" s="1826"/>
      <c r="I3386" s="1157"/>
      <c r="J3386" s="1158"/>
      <c r="K3386" s="1156"/>
      <c r="L3386" s="1156"/>
      <c r="M3386" s="1160"/>
      <c r="N3386" s="1161" t="s">
        <v>2306</v>
      </c>
    </row>
    <row r="3387" spans="1:14" s="1170" customFormat="1" ht="16.5" hidden="1" customHeight="1">
      <c r="A3387" s="1156"/>
      <c r="B3387" s="1169" t="s">
        <v>2792</v>
      </c>
      <c r="C3387" s="1351"/>
      <c r="D3387" s="1418"/>
      <c r="E3387" s="1352"/>
      <c r="F3387" s="1234"/>
      <c r="G3387" s="1234"/>
      <c r="H3387" s="1235"/>
      <c r="I3387" s="1353"/>
      <c r="J3387" s="1357"/>
      <c r="K3387" s="1169"/>
      <c r="L3387" s="1156"/>
      <c r="M3387" s="1169"/>
      <c r="N3387" s="1161" t="s">
        <v>2306</v>
      </c>
    </row>
    <row r="3388" spans="1:14" s="1170" customFormat="1" ht="16.5" hidden="1" customHeight="1">
      <c r="A3388" s="1156"/>
      <c r="B3388" s="1230" t="s">
        <v>2087</v>
      </c>
      <c r="C3388" s="1332">
        <v>1</v>
      </c>
      <c r="D3388" s="1333" t="s">
        <v>273</v>
      </c>
      <c r="E3388" s="1334">
        <v>2</v>
      </c>
      <c r="F3388" s="1335">
        <v>0</v>
      </c>
      <c r="G3388" s="1335">
        <v>0</v>
      </c>
      <c r="H3388" s="1335">
        <v>0</v>
      </c>
      <c r="I3388" s="1421">
        <f>ROUND(IF(AND(F3388:H3388),C3388*E3388*F3388*G3388*H3388,IF(AND(F3388,G3388),C3388*E3388*F3388*G3388,IF(AND(F3388,H3388),C3388*E3388*F3388*H3388,IF(AND(G3388,H3388),C3388*E3388*G3388*H3388,IF(F3388,C3388*E3388*F3388,IF(G3388,C3388*E3388*G3388,IF(H3388,C3388*E3388*H3388,C3388*E3388))))))),2)</f>
        <v>2</v>
      </c>
      <c r="J3388" s="1357" t="s">
        <v>115</v>
      </c>
      <c r="K3388" s="1169"/>
      <c r="L3388" s="1156"/>
      <c r="M3388" s="1169"/>
      <c r="N3388" s="1161" t="s">
        <v>2306</v>
      </c>
    </row>
    <row r="3389" spans="1:14" s="1170" customFormat="1" ht="16.5" hidden="1" customHeight="1">
      <c r="A3389" s="1156"/>
      <c r="B3389" s="1230"/>
      <c r="C3389" s="1332"/>
      <c r="D3389" s="1333"/>
      <c r="E3389" s="1334"/>
      <c r="F3389" s="1335"/>
      <c r="G3389" s="1335"/>
      <c r="H3389" s="1335"/>
      <c r="I3389" s="1421"/>
      <c r="J3389" s="1357"/>
      <c r="K3389" s="1169"/>
      <c r="L3389" s="1156"/>
      <c r="M3389" s="1169"/>
      <c r="N3389" s="1161" t="s">
        <v>2306</v>
      </c>
    </row>
    <row r="3390" spans="1:14" ht="15.75" hidden="1">
      <c r="A3390" s="1156"/>
      <c r="B3390" s="1169"/>
      <c r="C3390" s="1337"/>
      <c r="D3390" s="1171"/>
      <c r="E3390" s="1165"/>
      <c r="F3390" s="1166"/>
      <c r="G3390" s="1343"/>
      <c r="H3390" s="1156"/>
      <c r="I3390" s="1421"/>
      <c r="J3390" s="1357" t="s">
        <v>115</v>
      </c>
      <c r="K3390" s="1221">
        <f>'Ele Data'!I342</f>
        <v>57</v>
      </c>
      <c r="L3390" s="1159" t="s">
        <v>2306</v>
      </c>
      <c r="M3390" s="1224">
        <f>ROUND(I3390*K3390,0)</f>
        <v>0</v>
      </c>
      <c r="N3390" s="1161" t="s">
        <v>2306</v>
      </c>
    </row>
    <row r="3391" spans="1:14" ht="64.5" hidden="1" customHeight="1">
      <c r="A3391" s="1156">
        <v>33</v>
      </c>
      <c r="B3391" s="1826" t="s">
        <v>692</v>
      </c>
      <c r="C3391" s="1826"/>
      <c r="D3391" s="1826"/>
      <c r="E3391" s="1826"/>
      <c r="F3391" s="1826"/>
      <c r="G3391" s="1826"/>
      <c r="H3391" s="1826"/>
      <c r="I3391" s="1157"/>
      <c r="J3391" s="1158"/>
      <c r="K3391" s="1156"/>
      <c r="L3391" s="1156"/>
      <c r="M3391" s="1160"/>
      <c r="N3391" s="1161" t="s">
        <v>2306</v>
      </c>
    </row>
    <row r="3392" spans="1:14" s="1170" customFormat="1" ht="16.5" hidden="1" customHeight="1">
      <c r="A3392" s="1156"/>
      <c r="B3392" s="1169" t="s">
        <v>2761</v>
      </c>
      <c r="C3392" s="1351"/>
      <c r="D3392" s="1418"/>
      <c r="E3392" s="1352"/>
      <c r="F3392" s="1234"/>
      <c r="G3392" s="1234"/>
      <c r="H3392" s="1235"/>
      <c r="I3392" s="1353"/>
      <c r="J3392" s="1357"/>
      <c r="K3392" s="1169"/>
      <c r="L3392" s="1156"/>
      <c r="M3392" s="1169"/>
      <c r="N3392" s="1161" t="s">
        <v>2306</v>
      </c>
    </row>
    <row r="3393" spans="1:14" s="1170" customFormat="1" ht="16.5" hidden="1" customHeight="1">
      <c r="A3393" s="1156"/>
      <c r="B3393" s="1230"/>
      <c r="C3393" s="1360">
        <v>1</v>
      </c>
      <c r="D3393" s="1361" t="s">
        <v>273</v>
      </c>
      <c r="E3393" s="1362">
        <v>44</v>
      </c>
      <c r="F3393" s="1363">
        <v>0</v>
      </c>
      <c r="G3393" s="1363">
        <v>0</v>
      </c>
      <c r="H3393" s="1363">
        <v>0</v>
      </c>
      <c r="I3393" s="1421">
        <f>ROUND(IF(AND(F3393:H3393),C3393*E3393*F3393*G3393*H3393,IF(AND(F3393,G3393),C3393*E3393*F3393*G3393,IF(AND(F3393,H3393),C3393*E3393*F3393*H3393,IF(AND(G3393,H3393),C3393*E3393*G3393*H3393,IF(F3393,C3393*E3393*F3393,IF(G3393,C3393*E3393*G3393,IF(H3393,C3393*E3393*H3393,C3393*E3393))))))),2)</f>
        <v>44</v>
      </c>
      <c r="J3393" s="1357" t="s">
        <v>431</v>
      </c>
      <c r="K3393" s="1169"/>
      <c r="L3393" s="1156"/>
      <c r="M3393" s="1169"/>
      <c r="N3393" s="1161" t="s">
        <v>2306</v>
      </c>
    </row>
    <row r="3394" spans="1:14" s="1170" customFormat="1" ht="16.5" hidden="1" customHeight="1">
      <c r="A3394" s="1156"/>
      <c r="B3394" s="1230"/>
      <c r="C3394" s="1332"/>
      <c r="D3394" s="1333"/>
      <c r="E3394" s="1334"/>
      <c r="F3394" s="1335"/>
      <c r="G3394" s="1335"/>
      <c r="H3394" s="1335"/>
      <c r="I3394" s="1421"/>
      <c r="J3394" s="1357"/>
      <c r="K3394" s="1169"/>
      <c r="L3394" s="1156"/>
      <c r="M3394" s="1169"/>
      <c r="N3394" s="1161" t="s">
        <v>2306</v>
      </c>
    </row>
    <row r="3395" spans="1:14" ht="15.75" hidden="1">
      <c r="A3395" s="1156"/>
      <c r="B3395" s="1169"/>
      <c r="C3395" s="1337"/>
      <c r="D3395" s="1171"/>
      <c r="E3395" s="1165"/>
      <c r="F3395" s="1166"/>
      <c r="G3395" s="1343"/>
      <c r="H3395" s="1156"/>
      <c r="I3395" s="1421"/>
      <c r="J3395" s="1357" t="s">
        <v>431</v>
      </c>
      <c r="K3395" s="1221">
        <f>'Ele Data'!I380</f>
        <v>395.5</v>
      </c>
      <c r="L3395" s="1159" t="s">
        <v>2306</v>
      </c>
      <c r="M3395" s="1224">
        <f>ROUND(I3395*K3395,0)</f>
        <v>0</v>
      </c>
      <c r="N3395" s="1161" t="s">
        <v>2306</v>
      </c>
    </row>
    <row r="3396" spans="1:14" ht="67.5" hidden="1" customHeight="1">
      <c r="A3396" s="1156">
        <v>7</v>
      </c>
      <c r="B3396" s="1826" t="s">
        <v>693</v>
      </c>
      <c r="C3396" s="1826"/>
      <c r="D3396" s="1826"/>
      <c r="E3396" s="1826"/>
      <c r="F3396" s="1826"/>
      <c r="G3396" s="1826"/>
      <c r="H3396" s="1826"/>
      <c r="I3396" s="1157"/>
      <c r="J3396" s="1158"/>
      <c r="K3396" s="1156"/>
      <c r="L3396" s="1156"/>
      <c r="M3396" s="1160"/>
      <c r="N3396" s="1161" t="s">
        <v>2306</v>
      </c>
    </row>
    <row r="3397" spans="1:14" s="1170" customFormat="1" ht="16.5" hidden="1" customHeight="1">
      <c r="A3397" s="1156"/>
      <c r="B3397" s="1169" t="s">
        <v>2332</v>
      </c>
      <c r="C3397" s="1351"/>
      <c r="D3397" s="1418"/>
      <c r="E3397" s="1352"/>
      <c r="F3397" s="1234"/>
      <c r="G3397" s="1234"/>
      <c r="H3397" s="1235"/>
      <c r="I3397" s="1353"/>
      <c r="J3397" s="1357"/>
      <c r="K3397" s="1169"/>
      <c r="L3397" s="1156"/>
      <c r="M3397" s="1169"/>
      <c r="N3397" s="1161" t="s">
        <v>2306</v>
      </c>
    </row>
    <row r="3398" spans="1:14" s="1170" customFormat="1" ht="16.5" hidden="1" customHeight="1">
      <c r="A3398" s="1156"/>
      <c r="B3398" s="1230" t="s">
        <v>799</v>
      </c>
      <c r="C3398" s="1332">
        <v>1</v>
      </c>
      <c r="D3398" s="1333" t="s">
        <v>273</v>
      </c>
      <c r="E3398" s="1334">
        <v>6</v>
      </c>
      <c r="F3398" s="1335">
        <v>0</v>
      </c>
      <c r="G3398" s="1335">
        <v>0</v>
      </c>
      <c r="H3398" s="1335">
        <v>0</v>
      </c>
      <c r="I3398" s="1421">
        <f>ROUND(IF(AND(F3398:H3398),C3398*E3398*F3398*G3398*H3398,IF(AND(F3398,G3398),C3398*E3398*F3398*G3398,IF(AND(F3398,H3398),C3398*E3398*F3398*H3398,IF(AND(G3398,H3398),C3398*E3398*G3398*H3398,IF(F3398,C3398*E3398*F3398,IF(G3398,C3398*E3398*G3398,IF(H3398,C3398*E3398*H3398,C3398*E3398))))))),2)</f>
        <v>6</v>
      </c>
      <c r="J3398" s="1357" t="s">
        <v>431</v>
      </c>
      <c r="K3398" s="1169"/>
      <c r="L3398" s="1156"/>
      <c r="M3398" s="1169"/>
      <c r="N3398" s="1161" t="s">
        <v>2306</v>
      </c>
    </row>
    <row r="3399" spans="1:14" s="1170" customFormat="1" ht="16.5" hidden="1" customHeight="1">
      <c r="A3399" s="1156"/>
      <c r="B3399" s="1230" t="s">
        <v>1622</v>
      </c>
      <c r="C3399" s="1332">
        <v>1</v>
      </c>
      <c r="D3399" s="1333" t="s">
        <v>273</v>
      </c>
      <c r="E3399" s="1334">
        <v>1</v>
      </c>
      <c r="F3399" s="1335">
        <v>0</v>
      </c>
      <c r="G3399" s="1335">
        <v>0</v>
      </c>
      <c r="H3399" s="1335">
        <v>0</v>
      </c>
      <c r="I3399" s="1421">
        <f>ROUND(IF(AND(F3399:H3399),C3399*E3399*F3399*G3399*H3399,IF(AND(F3399,G3399),C3399*E3399*F3399*G3399,IF(AND(F3399,H3399),C3399*E3399*F3399*H3399,IF(AND(G3399,H3399),C3399*E3399*G3399*H3399,IF(F3399,C3399*E3399*F3399,IF(G3399,C3399*E3399*G3399,IF(H3399,C3399*E3399*H3399,C3399*E3399))))))),2)</f>
        <v>1</v>
      </c>
      <c r="J3399" s="1357" t="s">
        <v>431</v>
      </c>
      <c r="K3399" s="1169"/>
      <c r="L3399" s="1156"/>
      <c r="M3399" s="1169"/>
      <c r="N3399" s="1161" t="s">
        <v>2306</v>
      </c>
    </row>
    <row r="3400" spans="1:14" s="1170" customFormat="1" ht="16.5" hidden="1" customHeight="1">
      <c r="A3400" s="1156"/>
      <c r="B3400" s="1230" t="s">
        <v>586</v>
      </c>
      <c r="C3400" s="1332">
        <v>1</v>
      </c>
      <c r="D3400" s="1333" t="s">
        <v>273</v>
      </c>
      <c r="E3400" s="1334">
        <v>1</v>
      </c>
      <c r="F3400" s="1335">
        <v>0</v>
      </c>
      <c r="G3400" s="1335">
        <v>0</v>
      </c>
      <c r="H3400" s="1335">
        <v>0</v>
      </c>
      <c r="I3400" s="1421">
        <f>ROUND(IF(AND(F3400:H3400),C3400*E3400*F3400*G3400*H3400,IF(AND(F3400,G3400),C3400*E3400*F3400*G3400,IF(AND(F3400,H3400),C3400*E3400*F3400*H3400,IF(AND(G3400,H3400),C3400*E3400*G3400*H3400,IF(F3400,C3400*E3400*F3400,IF(G3400,C3400*E3400*G3400,IF(H3400,C3400*E3400*H3400,C3400*E3400))))))),2)</f>
        <v>1</v>
      </c>
      <c r="J3400" s="1357" t="s">
        <v>431</v>
      </c>
      <c r="K3400" s="1169"/>
      <c r="L3400" s="1156"/>
      <c r="M3400" s="1169"/>
      <c r="N3400" s="1161" t="s">
        <v>2306</v>
      </c>
    </row>
    <row r="3401" spans="1:14" s="1170" customFormat="1" ht="16.5" hidden="1" customHeight="1">
      <c r="A3401" s="1156"/>
      <c r="B3401" s="1230"/>
      <c r="C3401" s="1332"/>
      <c r="D3401" s="1333"/>
      <c r="E3401" s="1334"/>
      <c r="F3401" s="1335"/>
      <c r="G3401" s="1335"/>
      <c r="H3401" s="1335"/>
      <c r="I3401" s="1336"/>
      <c r="J3401" s="1357"/>
      <c r="K3401" s="1169"/>
      <c r="L3401" s="1156"/>
      <c r="M3401" s="1169"/>
      <c r="N3401" s="1161" t="s">
        <v>2306</v>
      </c>
    </row>
    <row r="3402" spans="1:14" ht="15.75" hidden="1">
      <c r="A3402" s="1156"/>
      <c r="B3402" s="1169"/>
      <c r="C3402" s="1337"/>
      <c r="D3402" s="1171"/>
      <c r="E3402" s="1165"/>
      <c r="F3402" s="1166"/>
      <c r="G3402" s="1343"/>
      <c r="H3402" s="1156"/>
      <c r="I3402" s="1421"/>
      <c r="J3402" s="1357" t="s">
        <v>431</v>
      </c>
      <c r="K3402" s="1221">
        <f>'Ele Data'!I393</f>
        <v>414.5</v>
      </c>
      <c r="L3402" s="1159" t="s">
        <v>2306</v>
      </c>
      <c r="M3402" s="1224">
        <f>ROUND(I3402*K3402,0)</f>
        <v>0</v>
      </c>
      <c r="N3402" s="1161" t="s">
        <v>2306</v>
      </c>
    </row>
    <row r="3403" spans="1:14" ht="44.25" hidden="1" customHeight="1">
      <c r="A3403" s="1156">
        <v>34</v>
      </c>
      <c r="B3403" s="1826" t="s">
        <v>2093</v>
      </c>
      <c r="C3403" s="1826"/>
      <c r="D3403" s="1826"/>
      <c r="E3403" s="1826"/>
      <c r="F3403" s="1826"/>
      <c r="G3403" s="1826"/>
      <c r="H3403" s="1826"/>
      <c r="I3403" s="1157"/>
      <c r="J3403" s="1158"/>
      <c r="K3403" s="1156"/>
      <c r="L3403" s="1156"/>
      <c r="M3403" s="1160"/>
      <c r="N3403" s="1161" t="s">
        <v>2306</v>
      </c>
    </row>
    <row r="3404" spans="1:14" s="1170" customFormat="1" ht="16.5" hidden="1" customHeight="1">
      <c r="A3404" s="1156"/>
      <c r="B3404" s="1169" t="s">
        <v>2792</v>
      </c>
      <c r="C3404" s="1351"/>
      <c r="D3404" s="1418"/>
      <c r="E3404" s="1352"/>
      <c r="F3404" s="1234"/>
      <c r="G3404" s="1234"/>
      <c r="H3404" s="1235"/>
      <c r="I3404" s="1353"/>
      <c r="J3404" s="1357"/>
      <c r="K3404" s="1169"/>
      <c r="L3404" s="1156"/>
      <c r="M3404" s="1169"/>
      <c r="N3404" s="1161" t="s">
        <v>2306</v>
      </c>
    </row>
    <row r="3405" spans="1:14" s="1170" customFormat="1" ht="16.5" hidden="1" customHeight="1">
      <c r="A3405" s="1156"/>
      <c r="B3405" s="1169" t="s">
        <v>2094</v>
      </c>
      <c r="C3405" s="1351"/>
      <c r="D3405" s="1418"/>
      <c r="E3405" s="1352"/>
      <c r="F3405" s="1234"/>
      <c r="G3405" s="1234"/>
      <c r="H3405" s="1235"/>
      <c r="I3405" s="1353"/>
      <c r="J3405" s="1357"/>
      <c r="K3405" s="1169"/>
      <c r="L3405" s="1156"/>
      <c r="M3405" s="1169"/>
      <c r="N3405" s="1161" t="s">
        <v>2306</v>
      </c>
    </row>
    <row r="3406" spans="1:14" s="1170" customFormat="1" ht="16.5" hidden="1" customHeight="1">
      <c r="A3406" s="1156"/>
      <c r="B3406" s="1230"/>
      <c r="C3406" s="1360">
        <v>1</v>
      </c>
      <c r="D3406" s="1361" t="s">
        <v>273</v>
      </c>
      <c r="E3406" s="1362">
        <v>1</v>
      </c>
      <c r="F3406" s="1401">
        <v>60</v>
      </c>
      <c r="G3406" s="1363">
        <v>0</v>
      </c>
      <c r="H3406" s="1363">
        <v>0</v>
      </c>
      <c r="I3406" s="1336">
        <f>ROUND(IF(AND(F3406:H3406),C3406*E3406*F3406*G3406*H3406,IF(AND(F3406,G3406),C3406*E3406*F3406*G3406,IF(AND(F3406,H3406),C3406*E3406*F3406*H3406,IF(AND(G3406,H3406),C3406*E3406*G3406*H3406,IF(F3406,C3406*E3406*F3406,IF(G3406,C3406*E3406*G3406,IF(H3406,C3406*E3406*H3406,C3406*E3406))))))),2)</f>
        <v>60</v>
      </c>
      <c r="J3406" s="1357" t="s">
        <v>277</v>
      </c>
      <c r="K3406" s="1169"/>
      <c r="L3406" s="1156"/>
      <c r="M3406" s="1169"/>
      <c r="N3406" s="1161" t="s">
        <v>2306</v>
      </c>
    </row>
    <row r="3407" spans="1:14" s="1170" customFormat="1" ht="16.5" hidden="1" customHeight="1">
      <c r="A3407" s="1156"/>
      <c r="B3407" s="1230"/>
      <c r="C3407" s="1332"/>
      <c r="D3407" s="1333"/>
      <c r="E3407" s="1334"/>
      <c r="F3407" s="1550"/>
      <c r="G3407" s="1335"/>
      <c r="H3407" s="1335"/>
      <c r="I3407" s="1336"/>
      <c r="J3407" s="1357"/>
      <c r="K3407" s="1169"/>
      <c r="L3407" s="1156"/>
      <c r="M3407" s="1169"/>
      <c r="N3407" s="1161" t="s">
        <v>2306</v>
      </c>
    </row>
    <row r="3408" spans="1:14" ht="15.75" hidden="1">
      <c r="A3408" s="1156"/>
      <c r="B3408" s="1169"/>
      <c r="C3408" s="1337"/>
      <c r="D3408" s="1171"/>
      <c r="E3408" s="1165"/>
      <c r="F3408" s="1166"/>
      <c r="G3408" s="1343"/>
      <c r="H3408" s="1156"/>
      <c r="I3408" s="1336"/>
      <c r="J3408" s="1357" t="s">
        <v>277</v>
      </c>
      <c r="K3408" s="1221">
        <f>'Ele Data'!I438</f>
        <v>19.09</v>
      </c>
      <c r="L3408" s="1159" t="s">
        <v>2306</v>
      </c>
      <c r="M3408" s="1224">
        <f>ROUND(I3408*K3408,0)</f>
        <v>0</v>
      </c>
      <c r="N3408" s="1161" t="s">
        <v>2306</v>
      </c>
    </row>
    <row r="3409" spans="1:14" ht="44.25" hidden="1" customHeight="1">
      <c r="A3409" s="1156">
        <v>9</v>
      </c>
      <c r="B3409" s="1826" t="s">
        <v>2264</v>
      </c>
      <c r="C3409" s="1826"/>
      <c r="D3409" s="1826"/>
      <c r="E3409" s="1826"/>
      <c r="F3409" s="1826"/>
      <c r="G3409" s="1826"/>
      <c r="H3409" s="1826"/>
      <c r="I3409" s="1157"/>
      <c r="J3409" s="1158"/>
      <c r="K3409" s="1156"/>
      <c r="L3409" s="1156"/>
      <c r="M3409" s="1160"/>
      <c r="N3409" s="1161" t="s">
        <v>2306</v>
      </c>
    </row>
    <row r="3410" spans="1:14" s="1170" customFormat="1" ht="16.5" hidden="1" customHeight="1">
      <c r="A3410" s="1156"/>
      <c r="B3410" s="1169" t="s">
        <v>2355</v>
      </c>
      <c r="C3410" s="1351"/>
      <c r="D3410" s="1418"/>
      <c r="E3410" s="1352"/>
      <c r="F3410" s="1234"/>
      <c r="G3410" s="1234"/>
      <c r="H3410" s="1235"/>
      <c r="I3410" s="1353"/>
      <c r="J3410" s="1357"/>
      <c r="K3410" s="1169"/>
      <c r="L3410" s="1156"/>
      <c r="M3410" s="1169"/>
      <c r="N3410" s="1161" t="s">
        <v>2306</v>
      </c>
    </row>
    <row r="3411" spans="1:14" s="1170" customFormat="1" ht="16.5" hidden="1" customHeight="1">
      <c r="A3411" s="1156"/>
      <c r="B3411" s="1230"/>
      <c r="C3411" s="1360">
        <v>1</v>
      </c>
      <c r="D3411" s="1361" t="s">
        <v>273</v>
      </c>
      <c r="E3411" s="1362">
        <v>1</v>
      </c>
      <c r="F3411" s="1401">
        <v>150</v>
      </c>
      <c r="G3411" s="1363">
        <v>0</v>
      </c>
      <c r="H3411" s="1363">
        <v>0</v>
      </c>
      <c r="I3411" s="1336">
        <f>ROUND(IF(AND(F3411:H3411),C3411*E3411*F3411*G3411*H3411,IF(AND(F3411,G3411),C3411*E3411*F3411*G3411,IF(AND(F3411,H3411),C3411*E3411*F3411*H3411,IF(AND(G3411,H3411),C3411*E3411*G3411*H3411,IF(F3411,C3411*E3411*F3411,IF(G3411,C3411*E3411*G3411,IF(H3411,C3411*E3411*H3411,C3411*E3411))))))),2)</f>
        <v>150</v>
      </c>
      <c r="J3411" s="1357" t="s">
        <v>277</v>
      </c>
      <c r="K3411" s="1169"/>
      <c r="L3411" s="1156"/>
      <c r="M3411" s="1169"/>
      <c r="N3411" s="1161" t="s">
        <v>2306</v>
      </c>
    </row>
    <row r="3412" spans="1:14" s="1170" customFormat="1" ht="16.5" hidden="1" customHeight="1">
      <c r="A3412" s="1156"/>
      <c r="B3412" s="1230"/>
      <c r="C3412" s="1332"/>
      <c r="D3412" s="1333"/>
      <c r="E3412" s="1334"/>
      <c r="F3412" s="1550"/>
      <c r="G3412" s="1335"/>
      <c r="H3412" s="1335"/>
      <c r="I3412" s="1336"/>
      <c r="J3412" s="1357"/>
      <c r="K3412" s="1169"/>
      <c r="L3412" s="1156"/>
      <c r="M3412" s="1169"/>
      <c r="N3412" s="1161" t="s">
        <v>2306</v>
      </c>
    </row>
    <row r="3413" spans="1:14" ht="15.75" hidden="1">
      <c r="A3413" s="1156"/>
      <c r="B3413" s="1169"/>
      <c r="C3413" s="1337"/>
      <c r="D3413" s="1171"/>
      <c r="E3413" s="1165"/>
      <c r="F3413" s="1166"/>
      <c r="G3413" s="1343"/>
      <c r="H3413" s="1156"/>
      <c r="I3413" s="1336"/>
      <c r="J3413" s="1357" t="s">
        <v>277</v>
      </c>
      <c r="K3413" s="1221">
        <f>'Ele Data'!I430</f>
        <v>60.7</v>
      </c>
      <c r="L3413" s="1159" t="s">
        <v>2306</v>
      </c>
      <c r="M3413" s="1224">
        <f>ROUND(I3413*K3413,0)</f>
        <v>0</v>
      </c>
      <c r="N3413" s="1161" t="s">
        <v>2306</v>
      </c>
    </row>
    <row r="3414" spans="1:14" ht="44.25" hidden="1" customHeight="1">
      <c r="A3414" s="1156">
        <v>35</v>
      </c>
      <c r="B3414" s="1826" t="s">
        <v>429</v>
      </c>
      <c r="C3414" s="1826"/>
      <c r="D3414" s="1826"/>
      <c r="E3414" s="1826"/>
      <c r="F3414" s="1826"/>
      <c r="G3414" s="1826"/>
      <c r="H3414" s="1826"/>
      <c r="I3414" s="1157"/>
      <c r="J3414" s="1158"/>
      <c r="K3414" s="1156"/>
      <c r="L3414" s="1156"/>
      <c r="M3414" s="1160"/>
      <c r="N3414" s="1161" t="s">
        <v>2306</v>
      </c>
    </row>
    <row r="3415" spans="1:14" s="1170" customFormat="1" ht="16.5" hidden="1" customHeight="1">
      <c r="A3415" s="1156"/>
      <c r="B3415" s="1169" t="s">
        <v>2762</v>
      </c>
      <c r="C3415" s="1351"/>
      <c r="D3415" s="1418"/>
      <c r="E3415" s="1352"/>
      <c r="F3415" s="1234"/>
      <c r="G3415" s="1234"/>
      <c r="H3415" s="1235"/>
      <c r="I3415" s="1353"/>
      <c r="J3415" s="1357"/>
      <c r="K3415" s="1169"/>
      <c r="L3415" s="1156"/>
      <c r="M3415" s="1169"/>
      <c r="N3415" s="1161" t="s">
        <v>2306</v>
      </c>
    </row>
    <row r="3416" spans="1:14" s="1170" customFormat="1" ht="16.5" hidden="1" customHeight="1">
      <c r="A3416" s="1156"/>
      <c r="B3416" s="1230" t="s">
        <v>2195</v>
      </c>
      <c r="C3416" s="1360">
        <v>1</v>
      </c>
      <c r="D3416" s="1361" t="s">
        <v>273</v>
      </c>
      <c r="E3416" s="1362">
        <v>1</v>
      </c>
      <c r="F3416" s="1401">
        <v>200</v>
      </c>
      <c r="G3416" s="1363">
        <v>0</v>
      </c>
      <c r="H3416" s="1363">
        <v>0</v>
      </c>
      <c r="I3416" s="1336">
        <f>ROUND(IF(AND(F3416:H3416),C3416*E3416*F3416*G3416*H3416,IF(AND(F3416,G3416),C3416*E3416*F3416*G3416,IF(AND(F3416,H3416),C3416*E3416*F3416*H3416,IF(AND(G3416,H3416),C3416*E3416*G3416*H3416,IF(F3416,C3416*E3416*F3416,IF(G3416,C3416*E3416*G3416,IF(H3416,C3416*E3416*H3416,C3416*E3416))))))),2)</f>
        <v>200</v>
      </c>
      <c r="J3416" s="1357" t="s">
        <v>277</v>
      </c>
      <c r="K3416" s="1169"/>
      <c r="L3416" s="1156"/>
      <c r="M3416" s="1169"/>
      <c r="N3416" s="1161" t="s">
        <v>2306</v>
      </c>
    </row>
    <row r="3417" spans="1:14" s="1170" customFormat="1" ht="16.5" hidden="1" customHeight="1">
      <c r="A3417" s="1156"/>
      <c r="B3417" s="1230"/>
      <c r="C3417" s="1332"/>
      <c r="D3417" s="1333"/>
      <c r="E3417" s="1334"/>
      <c r="F3417" s="1550"/>
      <c r="G3417" s="1335"/>
      <c r="H3417" s="1335"/>
      <c r="I3417" s="1336"/>
      <c r="J3417" s="1357"/>
      <c r="K3417" s="1169"/>
      <c r="L3417" s="1156"/>
      <c r="M3417" s="1169"/>
      <c r="N3417" s="1161" t="s">
        <v>2306</v>
      </c>
    </row>
    <row r="3418" spans="1:14" ht="15.75" hidden="1">
      <c r="A3418" s="1156"/>
      <c r="B3418" s="1169"/>
      <c r="C3418" s="1337"/>
      <c r="D3418" s="1171"/>
      <c r="E3418" s="1165"/>
      <c r="F3418" s="1166"/>
      <c r="G3418" s="1343"/>
      <c r="H3418" s="1156"/>
      <c r="I3418" s="1336"/>
      <c r="J3418" s="1357" t="s">
        <v>277</v>
      </c>
      <c r="K3418" s="1221">
        <f>'Ele Data'!I448</f>
        <v>65.868499999999997</v>
      </c>
      <c r="L3418" s="1159" t="s">
        <v>2306</v>
      </c>
      <c r="M3418" s="1224">
        <f>ROUND(I3418*K3418,0)</f>
        <v>0</v>
      </c>
      <c r="N3418" s="1161" t="s">
        <v>2306</v>
      </c>
    </row>
    <row r="3419" spans="1:14" ht="44.25" hidden="1" customHeight="1">
      <c r="A3419" s="1156">
        <v>36</v>
      </c>
      <c r="B3419" s="1826" t="s">
        <v>430</v>
      </c>
      <c r="C3419" s="1826"/>
      <c r="D3419" s="1826"/>
      <c r="E3419" s="1826"/>
      <c r="F3419" s="1826"/>
      <c r="G3419" s="1826"/>
      <c r="H3419" s="1826"/>
      <c r="I3419" s="1157"/>
      <c r="J3419" s="1158"/>
      <c r="K3419" s="1156"/>
      <c r="L3419" s="1156"/>
      <c r="M3419" s="1160"/>
      <c r="N3419" s="1161" t="s">
        <v>2306</v>
      </c>
    </row>
    <row r="3420" spans="1:14" s="1170" customFormat="1" ht="16.5" hidden="1" customHeight="1">
      <c r="A3420" s="1156"/>
      <c r="B3420" s="1169" t="s">
        <v>2763</v>
      </c>
      <c r="C3420" s="1351"/>
      <c r="D3420" s="1418"/>
      <c r="E3420" s="1352"/>
      <c r="F3420" s="1234"/>
      <c r="G3420" s="1234"/>
      <c r="H3420" s="1235"/>
      <c r="I3420" s="1353"/>
      <c r="J3420" s="1357"/>
      <c r="K3420" s="1169"/>
      <c r="L3420" s="1156"/>
      <c r="M3420" s="1169"/>
      <c r="N3420" s="1161" t="s">
        <v>2306</v>
      </c>
    </row>
    <row r="3421" spans="1:14" s="1170" customFormat="1" ht="16.5" hidden="1" customHeight="1">
      <c r="A3421" s="1156"/>
      <c r="B3421" s="1230"/>
      <c r="C3421" s="1332">
        <v>1</v>
      </c>
      <c r="D3421" s="1333" t="s">
        <v>273</v>
      </c>
      <c r="E3421" s="1334">
        <v>1</v>
      </c>
      <c r="F3421" s="1550">
        <v>100</v>
      </c>
      <c r="G3421" s="1335">
        <v>0</v>
      </c>
      <c r="H3421" s="1335">
        <v>0</v>
      </c>
      <c r="I3421" s="1336">
        <f>ROUND(IF(AND(F3421:H3421),C3421*E3421*F3421*G3421*H3421,IF(AND(F3421,G3421),C3421*E3421*F3421*G3421,IF(AND(F3421,H3421),C3421*E3421*F3421*H3421,IF(AND(G3421,H3421),C3421*E3421*G3421*H3421,IF(F3421,C3421*E3421*F3421,IF(G3421,C3421*E3421*G3421,IF(H3421,C3421*E3421*H3421,C3421*E3421))))))),2)</f>
        <v>100</v>
      </c>
      <c r="J3421" s="1357" t="s">
        <v>277</v>
      </c>
      <c r="K3421" s="1169"/>
      <c r="L3421" s="1156"/>
      <c r="M3421" s="1169"/>
      <c r="N3421" s="1161" t="s">
        <v>2306</v>
      </c>
    </row>
    <row r="3422" spans="1:14" s="1170" customFormat="1" ht="16.5" hidden="1" customHeight="1">
      <c r="A3422" s="1156"/>
      <c r="B3422" s="1230"/>
      <c r="C3422" s="1332"/>
      <c r="D3422" s="1333"/>
      <c r="E3422" s="1334"/>
      <c r="F3422" s="1550"/>
      <c r="G3422" s="1335"/>
      <c r="H3422" s="1335"/>
      <c r="I3422" s="1336"/>
      <c r="J3422" s="1357"/>
      <c r="K3422" s="1169"/>
      <c r="L3422" s="1156"/>
      <c r="M3422" s="1169"/>
      <c r="N3422" s="1161" t="s">
        <v>2306</v>
      </c>
    </row>
    <row r="3423" spans="1:14" ht="15.75" hidden="1">
      <c r="A3423" s="1156"/>
      <c r="B3423" s="1169"/>
      <c r="C3423" s="1337"/>
      <c r="D3423" s="1171"/>
      <c r="E3423" s="1165"/>
      <c r="F3423" s="1166"/>
      <c r="G3423" s="1343"/>
      <c r="H3423" s="1156"/>
      <c r="I3423" s="1336"/>
      <c r="J3423" s="1357" t="s">
        <v>277</v>
      </c>
      <c r="K3423" s="1221">
        <f>'Ele Data'!I458</f>
        <v>100.05</v>
      </c>
      <c r="L3423" s="1159" t="s">
        <v>2306</v>
      </c>
      <c r="M3423" s="1224">
        <f>ROUND(I3423*K3423,0)</f>
        <v>0</v>
      </c>
      <c r="N3423" s="1161" t="s">
        <v>2306</v>
      </c>
    </row>
    <row r="3424" spans="1:14" ht="44.25" hidden="1" customHeight="1">
      <c r="A3424" s="1156">
        <v>37</v>
      </c>
      <c r="B3424" s="1826" t="s">
        <v>882</v>
      </c>
      <c r="C3424" s="1826"/>
      <c r="D3424" s="1826"/>
      <c r="E3424" s="1826"/>
      <c r="F3424" s="1826"/>
      <c r="G3424" s="1826"/>
      <c r="H3424" s="1826"/>
      <c r="I3424" s="1157"/>
      <c r="J3424" s="1158"/>
      <c r="K3424" s="1156"/>
      <c r="L3424" s="1156"/>
      <c r="M3424" s="1160"/>
      <c r="N3424" s="1161" t="s">
        <v>2306</v>
      </c>
    </row>
    <row r="3425" spans="1:14" s="1170" customFormat="1" ht="16.5" hidden="1" customHeight="1">
      <c r="A3425" s="1156"/>
      <c r="B3425" s="1169" t="s">
        <v>2792</v>
      </c>
      <c r="C3425" s="1351"/>
      <c r="D3425" s="1418"/>
      <c r="E3425" s="1352"/>
      <c r="F3425" s="1234"/>
      <c r="G3425" s="1234"/>
      <c r="H3425" s="1235"/>
      <c r="I3425" s="1353"/>
      <c r="J3425" s="1357"/>
      <c r="K3425" s="1169"/>
      <c r="L3425" s="1156"/>
      <c r="M3425" s="1169"/>
      <c r="N3425" s="1161" t="s">
        <v>2306</v>
      </c>
    </row>
    <row r="3426" spans="1:14" s="1170" customFormat="1" ht="16.5" hidden="1" customHeight="1">
      <c r="A3426" s="1156"/>
      <c r="B3426" s="1230"/>
      <c r="C3426" s="1360">
        <v>1</v>
      </c>
      <c r="D3426" s="1361" t="s">
        <v>273</v>
      </c>
      <c r="E3426" s="1362">
        <v>1</v>
      </c>
      <c r="F3426" s="1401">
        <v>40</v>
      </c>
      <c r="G3426" s="1363">
        <v>0</v>
      </c>
      <c r="H3426" s="1363">
        <v>0</v>
      </c>
      <c r="I3426" s="1336">
        <f>ROUND(IF(AND(F3426:H3426),C3426*E3426*F3426*G3426*H3426,IF(AND(F3426,G3426),C3426*E3426*F3426*G3426,IF(AND(F3426,H3426),C3426*E3426*F3426*H3426,IF(AND(G3426,H3426),C3426*E3426*G3426*H3426,IF(F3426,C3426*E3426*F3426,IF(G3426,C3426*E3426*G3426,IF(H3426,C3426*E3426*H3426,C3426*E3426))))))),2)</f>
        <v>40</v>
      </c>
      <c r="J3426" s="1357" t="s">
        <v>277</v>
      </c>
      <c r="K3426" s="1169"/>
      <c r="L3426" s="1156"/>
      <c r="M3426" s="1169"/>
      <c r="N3426" s="1161" t="s">
        <v>2306</v>
      </c>
    </row>
    <row r="3427" spans="1:14" s="1170" customFormat="1" ht="16.5" hidden="1" customHeight="1">
      <c r="A3427" s="1156"/>
      <c r="B3427" s="1230"/>
      <c r="C3427" s="1360"/>
      <c r="D3427" s="1361"/>
      <c r="E3427" s="1362"/>
      <c r="F3427" s="1401"/>
      <c r="G3427" s="1363"/>
      <c r="H3427" s="1363"/>
      <c r="I3427" s="1336"/>
      <c r="J3427" s="1357"/>
      <c r="K3427" s="1169"/>
      <c r="L3427" s="1156"/>
      <c r="M3427" s="1169"/>
      <c r="N3427" s="1161" t="s">
        <v>2306</v>
      </c>
    </row>
    <row r="3428" spans="1:14" ht="15.75" hidden="1">
      <c r="A3428" s="1156"/>
      <c r="B3428" s="1169"/>
      <c r="C3428" s="1337"/>
      <c r="D3428" s="1171"/>
      <c r="E3428" s="1165"/>
      <c r="F3428" s="1166"/>
      <c r="G3428" s="1343"/>
      <c r="H3428" s="1156"/>
      <c r="I3428" s="1336"/>
      <c r="J3428" s="1357" t="s">
        <v>277</v>
      </c>
      <c r="K3428" s="1221">
        <f>'Ele Data'!I469</f>
        <v>54.465000000000003</v>
      </c>
      <c r="L3428" s="1159" t="s">
        <v>2306</v>
      </c>
      <c r="M3428" s="1224">
        <f>ROUND(I3428*K3428,0)</f>
        <v>0</v>
      </c>
      <c r="N3428" s="1161" t="s">
        <v>2306</v>
      </c>
    </row>
    <row r="3429" spans="1:14" ht="22.5" hidden="1" customHeight="1">
      <c r="A3429" s="1156">
        <v>38</v>
      </c>
      <c r="B3429" s="1826" t="s">
        <v>437</v>
      </c>
      <c r="C3429" s="1826"/>
      <c r="D3429" s="1826"/>
      <c r="E3429" s="1826"/>
      <c r="F3429" s="1826"/>
      <c r="G3429" s="1826"/>
      <c r="H3429" s="1826"/>
      <c r="I3429" s="1157"/>
      <c r="J3429" s="1158"/>
      <c r="K3429" s="1156"/>
      <c r="L3429" s="1156"/>
      <c r="M3429" s="1160"/>
      <c r="N3429" s="1161" t="s">
        <v>2306</v>
      </c>
    </row>
    <row r="3430" spans="1:14" s="1170" customFormat="1" ht="16.5" hidden="1" customHeight="1">
      <c r="A3430" s="1156"/>
      <c r="B3430" s="1169" t="s">
        <v>2792</v>
      </c>
      <c r="C3430" s="1351"/>
      <c r="D3430" s="1418"/>
      <c r="E3430" s="1352"/>
      <c r="F3430" s="1234"/>
      <c r="G3430" s="1234"/>
      <c r="H3430" s="1235"/>
      <c r="I3430" s="1353"/>
      <c r="J3430" s="1357"/>
      <c r="K3430" s="1169"/>
      <c r="L3430" s="1156"/>
      <c r="M3430" s="1169"/>
      <c r="N3430" s="1161" t="s">
        <v>2306</v>
      </c>
    </row>
    <row r="3431" spans="1:14" s="1170" customFormat="1" ht="16.5" hidden="1" customHeight="1">
      <c r="A3431" s="1156"/>
      <c r="B3431" s="1230" t="s">
        <v>2087</v>
      </c>
      <c r="C3431" s="1332">
        <v>1</v>
      </c>
      <c r="D3431" s="1333" t="s">
        <v>273</v>
      </c>
      <c r="E3431" s="1334">
        <v>14</v>
      </c>
      <c r="F3431" s="1335">
        <v>0</v>
      </c>
      <c r="G3431" s="1335">
        <v>0</v>
      </c>
      <c r="H3431" s="1335">
        <v>0</v>
      </c>
      <c r="I3431" s="1421">
        <f>ROUND(IF(AND(F3431:H3431),C3431*E3431*F3431*G3431*H3431,IF(AND(F3431,G3431),C3431*E3431*F3431*G3431,IF(AND(F3431,H3431),C3431*E3431*F3431*H3431,IF(AND(G3431,H3431),C3431*E3431*G3431*H3431,IF(F3431,C3431*E3431*F3431,IF(G3431,C3431*E3431*G3431,IF(H3431,C3431*E3431*H3431,C3431*E3431))))))),2)</f>
        <v>14</v>
      </c>
      <c r="J3431" s="1357" t="s">
        <v>115</v>
      </c>
      <c r="K3431" s="1169"/>
      <c r="L3431" s="1156"/>
      <c r="M3431" s="1169"/>
      <c r="N3431" s="1161" t="s">
        <v>2306</v>
      </c>
    </row>
    <row r="3432" spans="1:14" s="1170" customFormat="1" ht="16.5" hidden="1" customHeight="1">
      <c r="A3432" s="1156"/>
      <c r="B3432" s="1230"/>
      <c r="C3432" s="1332"/>
      <c r="D3432" s="1333"/>
      <c r="E3432" s="1334"/>
      <c r="F3432" s="1335"/>
      <c r="G3432" s="1335"/>
      <c r="H3432" s="1335"/>
      <c r="I3432" s="1336"/>
      <c r="J3432" s="1357"/>
      <c r="K3432" s="1169"/>
      <c r="L3432" s="1156"/>
      <c r="M3432" s="1169"/>
      <c r="N3432" s="1161" t="s">
        <v>2306</v>
      </c>
    </row>
    <row r="3433" spans="1:14" ht="15.75" hidden="1">
      <c r="A3433" s="1156"/>
      <c r="B3433" s="1169"/>
      <c r="C3433" s="1337"/>
      <c r="D3433" s="1171"/>
      <c r="E3433" s="1165"/>
      <c r="F3433" s="1166"/>
      <c r="G3433" s="1343"/>
      <c r="H3433" s="1156"/>
      <c r="I3433" s="1421"/>
      <c r="J3433" s="1357" t="s">
        <v>115</v>
      </c>
      <c r="K3433" s="1221">
        <f>'Ele Data'!I345</f>
        <v>190</v>
      </c>
      <c r="L3433" s="1159" t="s">
        <v>2306</v>
      </c>
      <c r="M3433" s="1224">
        <f>ROUND(I3433*K3433,0)</f>
        <v>0</v>
      </c>
      <c r="N3433" s="1161" t="s">
        <v>2306</v>
      </c>
    </row>
    <row r="3434" spans="1:14" ht="22.5" hidden="1" customHeight="1">
      <c r="A3434" s="1156">
        <v>39</v>
      </c>
      <c r="B3434" s="1826" t="s">
        <v>615</v>
      </c>
      <c r="C3434" s="1826"/>
      <c r="D3434" s="1826"/>
      <c r="E3434" s="1826"/>
      <c r="F3434" s="1826"/>
      <c r="G3434" s="1826"/>
      <c r="H3434" s="1826"/>
      <c r="I3434" s="1157"/>
      <c r="J3434" s="1158"/>
      <c r="K3434" s="1156"/>
      <c r="L3434" s="1156"/>
      <c r="M3434" s="1160"/>
      <c r="N3434" s="1161" t="s">
        <v>2306</v>
      </c>
    </row>
    <row r="3435" spans="1:14" s="1170" customFormat="1" ht="16.5" hidden="1" customHeight="1">
      <c r="A3435" s="1156"/>
      <c r="B3435" s="1169" t="s">
        <v>2792</v>
      </c>
      <c r="C3435" s="1351"/>
      <c r="D3435" s="1418"/>
      <c r="E3435" s="1352"/>
      <c r="F3435" s="1234"/>
      <c r="G3435" s="1234"/>
      <c r="H3435" s="1235"/>
      <c r="I3435" s="1353"/>
      <c r="J3435" s="1357"/>
      <c r="K3435" s="1169"/>
      <c r="L3435" s="1156"/>
      <c r="M3435" s="1169"/>
      <c r="N3435" s="1161" t="s">
        <v>2306</v>
      </c>
    </row>
    <row r="3436" spans="1:14" s="1170" customFormat="1" ht="16.5" hidden="1" customHeight="1">
      <c r="A3436" s="1156"/>
      <c r="B3436" s="1230" t="s">
        <v>2087</v>
      </c>
      <c r="C3436" s="1332">
        <v>1</v>
      </c>
      <c r="D3436" s="1333" t="s">
        <v>273</v>
      </c>
      <c r="E3436" s="1334">
        <v>3</v>
      </c>
      <c r="F3436" s="1335">
        <v>0</v>
      </c>
      <c r="G3436" s="1335">
        <v>0</v>
      </c>
      <c r="H3436" s="1335">
        <v>0</v>
      </c>
      <c r="I3436" s="1421">
        <f>ROUND(IF(AND(F3436:H3436),C3436*E3436*F3436*G3436*H3436,IF(AND(F3436,G3436),C3436*E3436*F3436*G3436,IF(AND(F3436,H3436),C3436*E3436*F3436*H3436,IF(AND(G3436,H3436),C3436*E3436*G3436*H3436,IF(F3436,C3436*E3436*F3436,IF(G3436,C3436*E3436*G3436,IF(H3436,C3436*E3436*H3436,C3436*E3436))))))),2)</f>
        <v>3</v>
      </c>
      <c r="J3436" s="1357" t="s">
        <v>115</v>
      </c>
      <c r="K3436" s="1169"/>
      <c r="L3436" s="1156"/>
      <c r="M3436" s="1169"/>
      <c r="N3436" s="1161" t="s">
        <v>2306</v>
      </c>
    </row>
    <row r="3437" spans="1:14" s="1170" customFormat="1" ht="16.5" hidden="1" customHeight="1">
      <c r="A3437" s="1156"/>
      <c r="B3437" s="1230"/>
      <c r="C3437" s="1332"/>
      <c r="D3437" s="1333"/>
      <c r="E3437" s="1334"/>
      <c r="F3437" s="1335"/>
      <c r="G3437" s="1335"/>
      <c r="H3437" s="1335"/>
      <c r="I3437" s="1336"/>
      <c r="J3437" s="1357"/>
      <c r="K3437" s="1169"/>
      <c r="L3437" s="1156"/>
      <c r="M3437" s="1169"/>
      <c r="N3437" s="1161" t="s">
        <v>2306</v>
      </c>
    </row>
    <row r="3438" spans="1:14" ht="15.75" hidden="1">
      <c r="A3438" s="1156"/>
      <c r="B3438" s="1169"/>
      <c r="C3438" s="1337"/>
      <c r="D3438" s="1171"/>
      <c r="E3438" s="1165"/>
      <c r="F3438" s="1166"/>
      <c r="G3438" s="1343"/>
      <c r="H3438" s="1156"/>
      <c r="I3438" s="1421"/>
      <c r="J3438" s="1357" t="s">
        <v>115</v>
      </c>
      <c r="K3438" s="1221">
        <f>'Ele Data'!I348</f>
        <v>155</v>
      </c>
      <c r="L3438" s="1159" t="s">
        <v>2306</v>
      </c>
      <c r="M3438" s="1224">
        <f>ROUND(I3438*K3438,0)</f>
        <v>0</v>
      </c>
      <c r="N3438" s="1161" t="s">
        <v>2306</v>
      </c>
    </row>
    <row r="3439" spans="1:14" ht="22.5" hidden="1" customHeight="1">
      <c r="A3439" s="1156">
        <v>40</v>
      </c>
      <c r="B3439" s="1826" t="s">
        <v>694</v>
      </c>
      <c r="C3439" s="1826"/>
      <c r="D3439" s="1826"/>
      <c r="E3439" s="1826"/>
      <c r="F3439" s="1826"/>
      <c r="G3439" s="1826"/>
      <c r="H3439" s="1826"/>
      <c r="I3439" s="1157"/>
      <c r="J3439" s="1158"/>
      <c r="K3439" s="1156"/>
      <c r="L3439" s="1156"/>
      <c r="M3439" s="1160"/>
      <c r="N3439" s="1161" t="s">
        <v>2306</v>
      </c>
    </row>
    <row r="3440" spans="1:14" s="1170" customFormat="1" ht="16.5" hidden="1" customHeight="1">
      <c r="A3440" s="1156"/>
      <c r="B3440" s="1169" t="s">
        <v>2792</v>
      </c>
      <c r="C3440" s="1351"/>
      <c r="D3440" s="1418"/>
      <c r="E3440" s="1352"/>
      <c r="F3440" s="1234"/>
      <c r="G3440" s="1234"/>
      <c r="H3440" s="1235"/>
      <c r="I3440" s="1353"/>
      <c r="J3440" s="1357"/>
      <c r="K3440" s="1169"/>
      <c r="L3440" s="1156"/>
      <c r="M3440" s="1169"/>
      <c r="N3440" s="1161" t="s">
        <v>2306</v>
      </c>
    </row>
    <row r="3441" spans="1:14" s="1170" customFormat="1" ht="16.5" hidden="1" customHeight="1">
      <c r="A3441" s="1156"/>
      <c r="B3441" s="1230" t="s">
        <v>2087</v>
      </c>
      <c r="C3441" s="1332">
        <v>1</v>
      </c>
      <c r="D3441" s="1333" t="s">
        <v>273</v>
      </c>
      <c r="E3441" s="1334">
        <v>12</v>
      </c>
      <c r="F3441" s="1335">
        <v>0</v>
      </c>
      <c r="G3441" s="1335">
        <v>0</v>
      </c>
      <c r="H3441" s="1335">
        <v>0</v>
      </c>
      <c r="I3441" s="1421">
        <f>ROUND(IF(AND(F3441:H3441),C3441*E3441*F3441*G3441*H3441,IF(AND(F3441,G3441),C3441*E3441*F3441*G3441,IF(AND(F3441,H3441),C3441*E3441*F3441*H3441,IF(AND(G3441,H3441),C3441*E3441*G3441*H3441,IF(F3441,C3441*E3441*F3441,IF(G3441,C3441*E3441*G3441,IF(H3441,C3441*E3441*H3441,C3441*E3441))))))),2)</f>
        <v>12</v>
      </c>
      <c r="J3441" s="1357" t="s">
        <v>115</v>
      </c>
      <c r="K3441" s="1169"/>
      <c r="L3441" s="1156"/>
      <c r="M3441" s="1169"/>
      <c r="N3441" s="1161" t="s">
        <v>2306</v>
      </c>
    </row>
    <row r="3442" spans="1:14" s="1170" customFormat="1" ht="16.5" hidden="1" customHeight="1">
      <c r="A3442" s="1156"/>
      <c r="B3442" s="1230"/>
      <c r="C3442" s="1332"/>
      <c r="D3442" s="1333"/>
      <c r="E3442" s="1334"/>
      <c r="F3442" s="1335"/>
      <c r="G3442" s="1335"/>
      <c r="H3442" s="1335"/>
      <c r="I3442" s="1336"/>
      <c r="J3442" s="1357"/>
      <c r="K3442" s="1169"/>
      <c r="L3442" s="1156"/>
      <c r="M3442" s="1169"/>
      <c r="N3442" s="1161" t="s">
        <v>2306</v>
      </c>
    </row>
    <row r="3443" spans="1:14" ht="15.75" hidden="1">
      <c r="A3443" s="1156"/>
      <c r="B3443" s="1169"/>
      <c r="C3443" s="1337"/>
      <c r="D3443" s="1171"/>
      <c r="E3443" s="1165"/>
      <c r="F3443" s="1166"/>
      <c r="G3443" s="1343"/>
      <c r="H3443" s="1156"/>
      <c r="I3443" s="1421"/>
      <c r="J3443" s="1357" t="s">
        <v>115</v>
      </c>
      <c r="K3443" s="1221">
        <f>'Ele Data'!I351</f>
        <v>120</v>
      </c>
      <c r="L3443" s="1159" t="s">
        <v>2306</v>
      </c>
      <c r="M3443" s="1224">
        <f>ROUND(I3443*K3443,0)</f>
        <v>0</v>
      </c>
      <c r="N3443" s="1161" t="s">
        <v>2306</v>
      </c>
    </row>
    <row r="3444" spans="1:14" ht="15" hidden="1" customHeight="1">
      <c r="A3444" s="1156">
        <v>14</v>
      </c>
      <c r="B3444" s="1826" t="s">
        <v>617</v>
      </c>
      <c r="C3444" s="1826"/>
      <c r="D3444" s="1826"/>
      <c r="E3444" s="1826"/>
      <c r="F3444" s="1826"/>
      <c r="G3444" s="1826"/>
      <c r="H3444" s="1826"/>
      <c r="I3444" s="1157"/>
      <c r="J3444" s="1158"/>
      <c r="K3444" s="1156"/>
      <c r="L3444" s="1156"/>
      <c r="M3444" s="1160"/>
      <c r="N3444" s="1161" t="s">
        <v>2306</v>
      </c>
    </row>
    <row r="3445" spans="1:14" s="1170" customFormat="1" ht="16.5" hidden="1" customHeight="1">
      <c r="A3445" s="1156"/>
      <c r="B3445" s="1230" t="s">
        <v>607</v>
      </c>
      <c r="C3445" s="1351"/>
      <c r="D3445" s="1418"/>
      <c r="E3445" s="1352"/>
      <c r="F3445" s="1234"/>
      <c r="G3445" s="1234"/>
      <c r="H3445" s="1235"/>
      <c r="I3445" s="1353"/>
      <c r="J3445" s="1357"/>
      <c r="K3445" s="1169"/>
      <c r="L3445" s="1156"/>
      <c r="M3445" s="1169"/>
      <c r="N3445" s="1161" t="s">
        <v>2306</v>
      </c>
    </row>
    <row r="3446" spans="1:14" s="1170" customFormat="1" ht="16.5" hidden="1" customHeight="1">
      <c r="A3446" s="1156"/>
      <c r="B3446" s="1230" t="s">
        <v>1217</v>
      </c>
      <c r="C3446" s="1332">
        <v>2</v>
      </c>
      <c r="D3446" s="1333" t="s">
        <v>273</v>
      </c>
      <c r="E3446" s="1334">
        <v>1</v>
      </c>
      <c r="F3446" s="1335">
        <v>0</v>
      </c>
      <c r="G3446" s="1335">
        <v>0</v>
      </c>
      <c r="H3446" s="1335">
        <v>0</v>
      </c>
      <c r="I3446" s="1421">
        <f>ROUND(IF(AND(F3446:H3446),C3446*E3446*F3446*G3446*H3446,IF(AND(F3446,G3446),C3446*E3446*F3446*G3446,IF(AND(F3446,H3446),C3446*E3446*F3446*H3446,IF(AND(G3446,H3446),C3446*E3446*G3446*H3446,IF(F3446,C3446*E3446*F3446,IF(G3446,C3446*E3446*G3446,IF(H3446,C3446*E3446*H3446,C3446*E3446))))))),2)</f>
        <v>2</v>
      </c>
      <c r="J3446" s="1357" t="s">
        <v>115</v>
      </c>
      <c r="K3446" s="1169"/>
      <c r="L3446" s="1156"/>
      <c r="M3446" s="1169"/>
      <c r="N3446" s="1161" t="s">
        <v>2306</v>
      </c>
    </row>
    <row r="3447" spans="1:14" s="1170" customFormat="1" ht="16.5" hidden="1" customHeight="1">
      <c r="A3447" s="1156"/>
      <c r="B3447" s="1230"/>
      <c r="C3447" s="1332"/>
      <c r="D3447" s="1333"/>
      <c r="E3447" s="1334"/>
      <c r="F3447" s="1335"/>
      <c r="G3447" s="1335"/>
      <c r="H3447" s="1335"/>
      <c r="I3447" s="1421"/>
      <c r="J3447" s="1357"/>
      <c r="K3447" s="1169"/>
      <c r="L3447" s="1156"/>
      <c r="M3447" s="1169"/>
      <c r="N3447" s="1161" t="s">
        <v>2306</v>
      </c>
    </row>
    <row r="3448" spans="1:14" ht="15.75" hidden="1">
      <c r="A3448" s="1156"/>
      <c r="B3448" s="1169"/>
      <c r="C3448" s="1337"/>
      <c r="D3448" s="1171"/>
      <c r="E3448" s="1165"/>
      <c r="F3448" s="1166"/>
      <c r="G3448" s="1343"/>
      <c r="H3448" s="1156"/>
      <c r="I3448" s="1421"/>
      <c r="J3448" s="1357" t="s">
        <v>115</v>
      </c>
      <c r="K3448" s="1221">
        <f>'Ele Data'!I358</f>
        <v>310</v>
      </c>
      <c r="L3448" s="1159" t="s">
        <v>2306</v>
      </c>
      <c r="M3448" s="1224">
        <f>ROUND(I3448*K3448,0)</f>
        <v>0</v>
      </c>
      <c r="N3448" s="1161" t="s">
        <v>2306</v>
      </c>
    </row>
    <row r="3449" spans="1:14" ht="22.5" hidden="1" customHeight="1">
      <c r="A3449" s="1156">
        <v>34</v>
      </c>
      <c r="B3449" s="1826" t="s">
        <v>792</v>
      </c>
      <c r="C3449" s="1826"/>
      <c r="D3449" s="1826"/>
      <c r="E3449" s="1826"/>
      <c r="F3449" s="1826"/>
      <c r="G3449" s="1826"/>
      <c r="H3449" s="1826"/>
      <c r="I3449" s="1157"/>
      <c r="J3449" s="1158"/>
      <c r="K3449" s="1156"/>
      <c r="L3449" s="1156"/>
      <c r="M3449" s="1160"/>
      <c r="N3449" s="1161" t="s">
        <v>2306</v>
      </c>
    </row>
    <row r="3450" spans="1:14" s="1170" customFormat="1" ht="16.5" hidden="1" customHeight="1">
      <c r="A3450" s="1156"/>
      <c r="B3450" s="1169" t="s">
        <v>2572</v>
      </c>
      <c r="C3450" s="1351"/>
      <c r="D3450" s="1418"/>
      <c r="E3450" s="1352"/>
      <c r="F3450" s="1234"/>
      <c r="G3450" s="1234"/>
      <c r="H3450" s="1235"/>
      <c r="I3450" s="1353"/>
      <c r="J3450" s="1357"/>
      <c r="K3450" s="1169"/>
      <c r="L3450" s="1156"/>
      <c r="M3450" s="1169"/>
      <c r="N3450" s="1161" t="s">
        <v>2306</v>
      </c>
    </row>
    <row r="3451" spans="1:14" s="1170" customFormat="1" ht="16.5" hidden="1" customHeight="1">
      <c r="A3451" s="1156"/>
      <c r="B3451" s="1230" t="s">
        <v>2087</v>
      </c>
      <c r="C3451" s="1332">
        <v>1</v>
      </c>
      <c r="D3451" s="1333" t="s">
        <v>273</v>
      </c>
      <c r="E3451" s="1334">
        <v>3</v>
      </c>
      <c r="F3451" s="1335">
        <v>0</v>
      </c>
      <c r="G3451" s="1335">
        <v>0</v>
      </c>
      <c r="H3451" s="1335">
        <v>0</v>
      </c>
      <c r="I3451" s="1421">
        <f>ROUND(IF(AND(F3451:H3451),C3451*E3451*F3451*G3451*H3451,IF(AND(F3451,G3451),C3451*E3451*F3451*G3451,IF(AND(F3451,H3451),C3451*E3451*F3451*H3451,IF(AND(G3451,H3451),C3451*E3451*G3451*H3451,IF(F3451,C3451*E3451*F3451,IF(G3451,C3451*E3451*G3451,IF(H3451,C3451*E3451*H3451,C3451*E3451))))))),2)</f>
        <v>3</v>
      </c>
      <c r="J3451" s="1357" t="s">
        <v>115</v>
      </c>
      <c r="K3451" s="1169"/>
      <c r="L3451" s="1156"/>
      <c r="M3451" s="1169"/>
      <c r="N3451" s="1161" t="s">
        <v>2306</v>
      </c>
    </row>
    <row r="3452" spans="1:14" s="1170" customFormat="1" ht="16.5" hidden="1" customHeight="1">
      <c r="A3452" s="1156"/>
      <c r="B3452" s="1230"/>
      <c r="C3452" s="1332"/>
      <c r="D3452" s="1333"/>
      <c r="E3452" s="1334"/>
      <c r="F3452" s="1335"/>
      <c r="G3452" s="1335"/>
      <c r="H3452" s="1335"/>
      <c r="I3452" s="1421"/>
      <c r="J3452" s="1357"/>
      <c r="K3452" s="1169"/>
      <c r="L3452" s="1156"/>
      <c r="M3452" s="1169"/>
      <c r="N3452" s="1161" t="s">
        <v>2306</v>
      </c>
    </row>
    <row r="3453" spans="1:14" ht="15.75" hidden="1">
      <c r="A3453" s="1156"/>
      <c r="B3453" s="1169"/>
      <c r="C3453" s="1337"/>
      <c r="D3453" s="1171"/>
      <c r="E3453" s="1165"/>
      <c r="F3453" s="1166"/>
      <c r="G3453" s="1343"/>
      <c r="H3453" s="1156"/>
      <c r="I3453" s="1421"/>
      <c r="J3453" s="1357" t="s">
        <v>115</v>
      </c>
      <c r="K3453" s="1221">
        <f>'Ele Data'!I354</f>
        <v>80</v>
      </c>
      <c r="L3453" s="1159" t="s">
        <v>2306</v>
      </c>
      <c r="M3453" s="1224">
        <f>ROUND(I3453*K3453,0)</f>
        <v>0</v>
      </c>
      <c r="N3453" s="1161" t="s">
        <v>2306</v>
      </c>
    </row>
    <row r="3454" spans="1:14" ht="22.5" hidden="1" customHeight="1">
      <c r="A3454" s="1156">
        <v>41</v>
      </c>
      <c r="B3454" s="1826" t="s">
        <v>439</v>
      </c>
      <c r="C3454" s="1826"/>
      <c r="D3454" s="1826"/>
      <c r="E3454" s="1826"/>
      <c r="F3454" s="1826"/>
      <c r="G3454" s="1826"/>
      <c r="H3454" s="1826"/>
      <c r="I3454" s="1157"/>
      <c r="J3454" s="1158"/>
      <c r="K3454" s="1156"/>
      <c r="L3454" s="1156"/>
      <c r="M3454" s="1160"/>
      <c r="N3454" s="1161" t="s">
        <v>2306</v>
      </c>
    </row>
    <row r="3455" spans="1:14" s="1170" customFormat="1" ht="16.5" hidden="1" customHeight="1">
      <c r="A3455" s="1156"/>
      <c r="B3455" s="1169" t="s">
        <v>2792</v>
      </c>
      <c r="C3455" s="1351"/>
      <c r="D3455" s="1418"/>
      <c r="E3455" s="1352"/>
      <c r="F3455" s="1234"/>
      <c r="G3455" s="1234"/>
      <c r="H3455" s="1235"/>
      <c r="I3455" s="1353"/>
      <c r="J3455" s="1357"/>
      <c r="K3455" s="1169"/>
      <c r="L3455" s="1156"/>
      <c r="M3455" s="1169"/>
      <c r="N3455" s="1161" t="s">
        <v>2306</v>
      </c>
    </row>
    <row r="3456" spans="1:14" s="1170" customFormat="1" ht="16.5" hidden="1" customHeight="1">
      <c r="A3456" s="1156"/>
      <c r="B3456" s="1230" t="s">
        <v>2087</v>
      </c>
      <c r="C3456" s="1332">
        <v>1</v>
      </c>
      <c r="D3456" s="1333" t="s">
        <v>273</v>
      </c>
      <c r="E3456" s="1334">
        <v>2</v>
      </c>
      <c r="F3456" s="1335">
        <v>0</v>
      </c>
      <c r="G3456" s="1335">
        <v>0</v>
      </c>
      <c r="H3456" s="1335">
        <v>0</v>
      </c>
      <c r="I3456" s="1421">
        <f>ROUND(IF(AND(F3456:H3456),C3456*E3456*F3456*G3456*H3456,IF(AND(F3456,G3456),C3456*E3456*F3456*G3456,IF(AND(F3456,H3456),C3456*E3456*F3456*H3456,IF(AND(G3456,H3456),C3456*E3456*G3456*H3456,IF(F3456,C3456*E3456*F3456,IF(G3456,C3456*E3456*G3456,IF(H3456,C3456*E3456*H3456,C3456*E3456))))))),2)</f>
        <v>2</v>
      </c>
      <c r="J3456" s="1357" t="s">
        <v>115</v>
      </c>
      <c r="K3456" s="1169"/>
      <c r="L3456" s="1156"/>
      <c r="M3456" s="1169"/>
      <c r="N3456" s="1161" t="s">
        <v>2306</v>
      </c>
    </row>
    <row r="3457" spans="1:14" s="1170" customFormat="1" ht="16.5" hidden="1" customHeight="1">
      <c r="A3457" s="1156"/>
      <c r="B3457" s="1230"/>
      <c r="C3457" s="1332"/>
      <c r="D3457" s="1333"/>
      <c r="E3457" s="1334"/>
      <c r="F3457" s="1335"/>
      <c r="G3457" s="1335"/>
      <c r="H3457" s="1335"/>
      <c r="I3457" s="1336"/>
      <c r="J3457" s="1357"/>
      <c r="K3457" s="1169"/>
      <c r="L3457" s="1156"/>
      <c r="M3457" s="1169"/>
      <c r="N3457" s="1161" t="s">
        <v>2306</v>
      </c>
    </row>
    <row r="3458" spans="1:14" ht="15.75" hidden="1">
      <c r="A3458" s="1156"/>
      <c r="B3458" s="1169"/>
      <c r="C3458" s="1337"/>
      <c r="D3458" s="1171"/>
      <c r="E3458" s="1165"/>
      <c r="F3458" s="1166"/>
      <c r="G3458" s="1343"/>
      <c r="H3458" s="1156"/>
      <c r="I3458" s="1421"/>
      <c r="J3458" s="1357" t="s">
        <v>115</v>
      </c>
      <c r="K3458" s="1221">
        <f>'Ele Data'!I361</f>
        <v>60</v>
      </c>
      <c r="L3458" s="1159" t="s">
        <v>2306</v>
      </c>
      <c r="M3458" s="1224">
        <f>ROUND(I3458*K3458,0)</f>
        <v>0</v>
      </c>
      <c r="N3458" s="1161" t="s">
        <v>2306</v>
      </c>
    </row>
    <row r="3459" spans="1:14" ht="43.5" hidden="1" customHeight="1">
      <c r="A3459" s="1156">
        <v>42</v>
      </c>
      <c r="B3459" s="1826" t="s">
        <v>1238</v>
      </c>
      <c r="C3459" s="1826"/>
      <c r="D3459" s="1826"/>
      <c r="E3459" s="1826"/>
      <c r="F3459" s="1826"/>
      <c r="G3459" s="1826"/>
      <c r="H3459" s="1826"/>
      <c r="I3459" s="1157"/>
      <c r="J3459" s="1158"/>
      <c r="K3459" s="1156"/>
      <c r="L3459" s="1156"/>
      <c r="M3459" s="1160"/>
      <c r="N3459" s="1161" t="s">
        <v>2306</v>
      </c>
    </row>
    <row r="3460" spans="1:14" s="1170" customFormat="1" ht="16.5" hidden="1" customHeight="1">
      <c r="A3460" s="1156"/>
      <c r="B3460" s="1169" t="s">
        <v>2768</v>
      </c>
      <c r="C3460" s="1351"/>
      <c r="D3460" s="1418"/>
      <c r="E3460" s="1352"/>
      <c r="F3460" s="1234"/>
      <c r="G3460" s="1234"/>
      <c r="H3460" s="1235"/>
      <c r="I3460" s="1353"/>
      <c r="J3460" s="1357"/>
      <c r="K3460" s="1169"/>
      <c r="L3460" s="1156"/>
      <c r="M3460" s="1169"/>
      <c r="N3460" s="1161" t="s">
        <v>2306</v>
      </c>
    </row>
    <row r="3461" spans="1:14" s="1170" customFormat="1" ht="16.5" hidden="1" customHeight="1">
      <c r="A3461" s="1156"/>
      <c r="B3461" s="1230" t="s">
        <v>2195</v>
      </c>
      <c r="C3461" s="1360">
        <v>1</v>
      </c>
      <c r="D3461" s="1361" t="s">
        <v>273</v>
      </c>
      <c r="E3461" s="1362">
        <v>21</v>
      </c>
      <c r="F3461" s="1363">
        <v>0</v>
      </c>
      <c r="G3461" s="1363">
        <v>0</v>
      </c>
      <c r="H3461" s="1363">
        <v>0</v>
      </c>
      <c r="I3461" s="1421">
        <f>ROUND(IF(AND(F3461:H3461),C3461*E3461*F3461*G3461*H3461,IF(AND(F3461,G3461),C3461*E3461*F3461*G3461,IF(AND(F3461,H3461),C3461*E3461*F3461*H3461,IF(AND(G3461,H3461),C3461*E3461*G3461*H3461,IF(F3461,C3461*E3461*F3461,IF(G3461,C3461*E3461*G3461,IF(H3461,C3461*E3461*H3461,C3461*E3461))))))),2)</f>
        <v>21</v>
      </c>
      <c r="J3461" s="1357" t="s">
        <v>115</v>
      </c>
      <c r="K3461" s="1169"/>
      <c r="L3461" s="1156"/>
      <c r="M3461" s="1169"/>
      <c r="N3461" s="1161" t="s">
        <v>2306</v>
      </c>
    </row>
    <row r="3462" spans="1:14" s="1170" customFormat="1" ht="16.5" hidden="1" customHeight="1">
      <c r="A3462" s="1156"/>
      <c r="B3462" s="1230"/>
      <c r="C3462" s="1332"/>
      <c r="D3462" s="1333"/>
      <c r="E3462" s="1334"/>
      <c r="F3462" s="1335"/>
      <c r="G3462" s="1335"/>
      <c r="H3462" s="1335"/>
      <c r="I3462" s="1336"/>
      <c r="J3462" s="1357"/>
      <c r="K3462" s="1169"/>
      <c r="L3462" s="1156"/>
      <c r="M3462" s="1169"/>
      <c r="N3462" s="1161" t="s">
        <v>2306</v>
      </c>
    </row>
    <row r="3463" spans="1:14" ht="15.75" hidden="1">
      <c r="A3463" s="1156"/>
      <c r="B3463" s="1169"/>
      <c r="C3463" s="1337"/>
      <c r="D3463" s="1171"/>
      <c r="E3463" s="1165"/>
      <c r="F3463" s="1166"/>
      <c r="G3463" s="1343"/>
      <c r="H3463" s="1156"/>
      <c r="I3463" s="1421"/>
      <c r="J3463" s="1357" t="s">
        <v>115</v>
      </c>
      <c r="K3463" s="1221">
        <f>'Ele Data'!I410</f>
        <v>375.5</v>
      </c>
      <c r="L3463" s="1159" t="s">
        <v>2306</v>
      </c>
      <c r="M3463" s="1224">
        <f>ROUND(I3463*K3463,0)</f>
        <v>0</v>
      </c>
      <c r="N3463" s="1161" t="s">
        <v>2306</v>
      </c>
    </row>
    <row r="3464" spans="1:14" ht="43.5" hidden="1" customHeight="1">
      <c r="A3464" s="1156">
        <v>43</v>
      </c>
      <c r="B3464" s="1826" t="s">
        <v>432</v>
      </c>
      <c r="C3464" s="1826"/>
      <c r="D3464" s="1826"/>
      <c r="E3464" s="1826"/>
      <c r="F3464" s="1826"/>
      <c r="G3464" s="1826"/>
      <c r="H3464" s="1826"/>
      <c r="I3464" s="1157"/>
      <c r="J3464" s="1158"/>
      <c r="K3464" s="1156"/>
      <c r="L3464" s="1156"/>
      <c r="M3464" s="1160"/>
      <c r="N3464" s="1161" t="s">
        <v>2306</v>
      </c>
    </row>
    <row r="3465" spans="1:14" s="1170" customFormat="1" ht="16.5" hidden="1" customHeight="1">
      <c r="A3465" s="1156"/>
      <c r="B3465" s="1169" t="s">
        <v>2764</v>
      </c>
      <c r="C3465" s="1351"/>
      <c r="D3465" s="1418"/>
      <c r="E3465" s="1352"/>
      <c r="F3465" s="1234"/>
      <c r="G3465" s="1234"/>
      <c r="H3465" s="1235"/>
      <c r="I3465" s="1353"/>
      <c r="J3465" s="1357"/>
      <c r="K3465" s="1169"/>
      <c r="L3465" s="1156"/>
      <c r="M3465" s="1169"/>
      <c r="N3465" s="1161" t="s">
        <v>2306</v>
      </c>
    </row>
    <row r="3466" spans="1:14" s="1170" customFormat="1" ht="16.5" hidden="1" customHeight="1">
      <c r="A3466" s="1156"/>
      <c r="B3466" s="1230" t="s">
        <v>2195</v>
      </c>
      <c r="C3466" s="1360">
        <v>1</v>
      </c>
      <c r="D3466" s="1361" t="s">
        <v>273</v>
      </c>
      <c r="E3466" s="1362">
        <v>28</v>
      </c>
      <c r="F3466" s="1363">
        <v>0</v>
      </c>
      <c r="G3466" s="1363">
        <v>0</v>
      </c>
      <c r="H3466" s="1363">
        <v>0</v>
      </c>
      <c r="I3466" s="1421">
        <f>ROUND(IF(AND(F3466:H3466),C3466*E3466*F3466*G3466*H3466,IF(AND(F3466,G3466),C3466*E3466*F3466*G3466,IF(AND(F3466,H3466),C3466*E3466*F3466*H3466,IF(AND(G3466,H3466),C3466*E3466*G3466*H3466,IF(F3466,C3466*E3466*F3466,IF(G3466,C3466*E3466*G3466,IF(H3466,C3466*E3466*H3466,C3466*E3466))))))),2)</f>
        <v>28</v>
      </c>
      <c r="J3466" s="1357" t="s">
        <v>115</v>
      </c>
      <c r="K3466" s="1169"/>
      <c r="L3466" s="1156"/>
      <c r="M3466" s="1169"/>
      <c r="N3466" s="1161" t="s">
        <v>2306</v>
      </c>
    </row>
    <row r="3467" spans="1:14" s="1170" customFormat="1" ht="16.5" hidden="1" customHeight="1">
      <c r="A3467" s="1156"/>
      <c r="B3467" s="1230"/>
      <c r="C3467" s="1332"/>
      <c r="D3467" s="1333"/>
      <c r="E3467" s="1334"/>
      <c r="F3467" s="1335"/>
      <c r="G3467" s="1335"/>
      <c r="H3467" s="1335"/>
      <c r="I3467" s="1421"/>
      <c r="J3467" s="1357"/>
      <c r="K3467" s="1169"/>
      <c r="L3467" s="1156"/>
      <c r="M3467" s="1169"/>
      <c r="N3467" s="1161" t="s">
        <v>2306</v>
      </c>
    </row>
    <row r="3468" spans="1:14" ht="15.75" hidden="1">
      <c r="A3468" s="1156"/>
      <c r="B3468" s="1169"/>
      <c r="C3468" s="1337"/>
      <c r="D3468" s="1171"/>
      <c r="E3468" s="1165"/>
      <c r="F3468" s="1166"/>
      <c r="G3468" s="1343"/>
      <c r="H3468" s="1156"/>
      <c r="I3468" s="1421"/>
      <c r="J3468" s="1357" t="s">
        <v>115</v>
      </c>
      <c r="K3468" s="1221">
        <f>'Ele Data'!I401</f>
        <v>109.685</v>
      </c>
      <c r="L3468" s="1159" t="s">
        <v>2306</v>
      </c>
      <c r="M3468" s="1224">
        <f>ROUND(I3468*K3468,0)</f>
        <v>0</v>
      </c>
      <c r="N3468" s="1161" t="s">
        <v>2306</v>
      </c>
    </row>
    <row r="3469" spans="1:14" ht="43.5" hidden="1" customHeight="1">
      <c r="A3469" s="1156">
        <v>18</v>
      </c>
      <c r="B3469" s="1826" t="s">
        <v>620</v>
      </c>
      <c r="C3469" s="1826"/>
      <c r="D3469" s="1826"/>
      <c r="E3469" s="1826"/>
      <c r="F3469" s="1826"/>
      <c r="G3469" s="1826"/>
      <c r="H3469" s="1826"/>
      <c r="I3469" s="1157"/>
      <c r="J3469" s="1158"/>
      <c r="K3469" s="1156"/>
      <c r="L3469" s="1156"/>
      <c r="M3469" s="1160"/>
      <c r="N3469" s="1161" t="s">
        <v>2306</v>
      </c>
    </row>
    <row r="3470" spans="1:14" s="1170" customFormat="1" ht="16.5" hidden="1" customHeight="1">
      <c r="A3470" s="1156"/>
      <c r="B3470" s="1230" t="s">
        <v>607</v>
      </c>
      <c r="C3470" s="1351"/>
      <c r="D3470" s="1418"/>
      <c r="E3470" s="1352"/>
      <c r="F3470" s="1234"/>
      <c r="G3470" s="1234"/>
      <c r="H3470" s="1235"/>
      <c r="I3470" s="1353"/>
      <c r="J3470" s="1357"/>
      <c r="K3470" s="1169"/>
      <c r="L3470" s="1156"/>
      <c r="M3470" s="1169"/>
      <c r="N3470" s="1161" t="s">
        <v>2306</v>
      </c>
    </row>
    <row r="3471" spans="1:14" s="1170" customFormat="1" ht="16.5" hidden="1" customHeight="1">
      <c r="A3471" s="1156"/>
      <c r="B3471" s="1230"/>
      <c r="C3471" s="1332">
        <v>1</v>
      </c>
      <c r="D3471" s="1333" t="s">
        <v>273</v>
      </c>
      <c r="E3471" s="1334">
        <v>4</v>
      </c>
      <c r="F3471" s="1335">
        <v>0</v>
      </c>
      <c r="G3471" s="1335">
        <v>0</v>
      </c>
      <c r="H3471" s="1335">
        <v>0</v>
      </c>
      <c r="I3471" s="1421">
        <f>ROUND(IF(AND(F3471:H3471),C3471*E3471*F3471*G3471*H3471,IF(AND(F3471,G3471),C3471*E3471*F3471*G3471,IF(AND(F3471,H3471),C3471*E3471*F3471*H3471,IF(AND(G3471,H3471),C3471*E3471*G3471*H3471,IF(F3471,C3471*E3471*F3471,IF(G3471,C3471*E3471*G3471,IF(H3471,C3471*E3471*H3471,C3471*E3471))))))),2)</f>
        <v>4</v>
      </c>
      <c r="J3471" s="1357" t="s">
        <v>115</v>
      </c>
      <c r="K3471" s="1169"/>
      <c r="L3471" s="1156"/>
      <c r="M3471" s="1169"/>
      <c r="N3471" s="1161" t="s">
        <v>2306</v>
      </c>
    </row>
    <row r="3472" spans="1:14" s="1170" customFormat="1" ht="16.5" hidden="1" customHeight="1">
      <c r="A3472" s="1156"/>
      <c r="B3472" s="1230"/>
      <c r="C3472" s="1332"/>
      <c r="D3472" s="1333"/>
      <c r="E3472" s="1334"/>
      <c r="F3472" s="1335"/>
      <c r="G3472" s="1335"/>
      <c r="H3472" s="1335"/>
      <c r="I3472" s="1421"/>
      <c r="J3472" s="1357"/>
      <c r="K3472" s="1169"/>
      <c r="L3472" s="1156"/>
      <c r="M3472" s="1169"/>
      <c r="N3472" s="1161" t="s">
        <v>2306</v>
      </c>
    </row>
    <row r="3473" spans="1:14" ht="15.75" hidden="1">
      <c r="A3473" s="1156"/>
      <c r="B3473" s="1169"/>
      <c r="C3473" s="1337"/>
      <c r="D3473" s="1171"/>
      <c r="E3473" s="1165"/>
      <c r="F3473" s="1166"/>
      <c r="G3473" s="1343"/>
      <c r="H3473" s="1156"/>
      <c r="I3473" s="1421"/>
      <c r="J3473" s="1357" t="s">
        <v>115</v>
      </c>
      <c r="K3473" s="1221">
        <f>'Ele Data'!I418</f>
        <v>103.685</v>
      </c>
      <c r="L3473" s="1159" t="s">
        <v>2306</v>
      </c>
      <c r="M3473" s="1224">
        <f>ROUND(I3473*K3473,0)</f>
        <v>0</v>
      </c>
      <c r="N3473" s="1161" t="s">
        <v>2306</v>
      </c>
    </row>
    <row r="3474" spans="1:14" ht="19.5" hidden="1" customHeight="1">
      <c r="A3474" s="1156">
        <v>44</v>
      </c>
      <c r="B3474" s="1826" t="s">
        <v>624</v>
      </c>
      <c r="C3474" s="1826"/>
      <c r="D3474" s="1826"/>
      <c r="E3474" s="1826"/>
      <c r="F3474" s="1826"/>
      <c r="G3474" s="1826"/>
      <c r="H3474" s="1826"/>
      <c r="I3474" s="1157"/>
      <c r="J3474" s="1158"/>
      <c r="K3474" s="1156"/>
      <c r="L3474" s="1156"/>
      <c r="M3474" s="1160"/>
      <c r="N3474" s="1161" t="s">
        <v>2306</v>
      </c>
    </row>
    <row r="3475" spans="1:14" s="1170" customFormat="1" ht="16.5" hidden="1" customHeight="1">
      <c r="A3475" s="1156"/>
      <c r="B3475" s="1169" t="s">
        <v>2768</v>
      </c>
      <c r="C3475" s="1351"/>
      <c r="D3475" s="1418"/>
      <c r="E3475" s="1352"/>
      <c r="F3475" s="1234"/>
      <c r="G3475" s="1234"/>
      <c r="H3475" s="1235"/>
      <c r="I3475" s="1353"/>
      <c r="J3475" s="1357"/>
      <c r="K3475" s="1169"/>
      <c r="L3475" s="1156"/>
      <c r="M3475" s="1169"/>
      <c r="N3475" s="1161" t="s">
        <v>2306</v>
      </c>
    </row>
    <row r="3476" spans="1:14" s="1170" customFormat="1" ht="16.5" hidden="1" customHeight="1">
      <c r="A3476" s="1156"/>
      <c r="B3476" s="1230"/>
      <c r="C3476" s="1332">
        <v>1</v>
      </c>
      <c r="D3476" s="1333" t="s">
        <v>273</v>
      </c>
      <c r="E3476" s="1334">
        <v>10</v>
      </c>
      <c r="F3476" s="1335">
        <v>0</v>
      </c>
      <c r="G3476" s="1335">
        <v>0</v>
      </c>
      <c r="H3476" s="1335">
        <v>0</v>
      </c>
      <c r="I3476" s="1421">
        <f>ROUND(IF(AND(F3476:H3476),C3476*E3476*F3476*G3476*H3476,IF(AND(F3476,G3476),C3476*E3476*F3476*G3476,IF(AND(F3476,H3476),C3476*E3476*F3476*H3476,IF(AND(G3476,H3476),C3476*E3476*G3476*H3476,IF(F3476,C3476*E3476*F3476,IF(G3476,C3476*E3476*G3476,IF(H3476,C3476*E3476*H3476,C3476*E3476))))))),2)</f>
        <v>10</v>
      </c>
      <c r="J3476" s="1357" t="s">
        <v>115</v>
      </c>
      <c r="K3476" s="1169"/>
      <c r="L3476" s="1156"/>
      <c r="M3476" s="1169"/>
      <c r="N3476" s="1161" t="s">
        <v>2306</v>
      </c>
    </row>
    <row r="3477" spans="1:14" s="1170" customFormat="1" ht="16.5" hidden="1" customHeight="1">
      <c r="A3477" s="1156"/>
      <c r="B3477" s="1230"/>
      <c r="C3477" s="1332"/>
      <c r="D3477" s="1333"/>
      <c r="E3477" s="1334"/>
      <c r="F3477" s="1335"/>
      <c r="G3477" s="1335"/>
      <c r="H3477" s="1335"/>
      <c r="I3477" s="1336"/>
      <c r="J3477" s="1357"/>
      <c r="K3477" s="1169"/>
      <c r="L3477" s="1156"/>
      <c r="M3477" s="1169"/>
      <c r="N3477" s="1161" t="s">
        <v>2306</v>
      </c>
    </row>
    <row r="3478" spans="1:14" ht="15.75" hidden="1">
      <c r="A3478" s="1156"/>
      <c r="B3478" s="1169"/>
      <c r="C3478" s="1337"/>
      <c r="D3478" s="1171"/>
      <c r="E3478" s="1165"/>
      <c r="F3478" s="1166"/>
      <c r="G3478" s="1343"/>
      <c r="H3478" s="1156"/>
      <c r="I3478" s="1421"/>
      <c r="J3478" s="1357" t="s">
        <v>115</v>
      </c>
      <c r="K3478" s="1221">
        <f>'Ele Data'!I365</f>
        <v>18</v>
      </c>
      <c r="L3478" s="1159" t="s">
        <v>2306</v>
      </c>
      <c r="M3478" s="1224">
        <f>ROUND(I3478*K3478,0)</f>
        <v>0</v>
      </c>
      <c r="N3478" s="1161" t="s">
        <v>2306</v>
      </c>
    </row>
    <row r="3479" spans="1:14" ht="30" hidden="1" customHeight="1">
      <c r="A3479" s="1156">
        <v>45</v>
      </c>
      <c r="B3479" s="1826" t="s">
        <v>1268</v>
      </c>
      <c r="C3479" s="1826"/>
      <c r="D3479" s="1826"/>
      <c r="E3479" s="1826"/>
      <c r="F3479" s="1826"/>
      <c r="G3479" s="1826"/>
      <c r="H3479" s="1826"/>
      <c r="I3479" s="1157"/>
      <c r="J3479" s="1158"/>
      <c r="K3479" s="1156"/>
      <c r="L3479" s="1156"/>
      <c r="M3479" s="1160"/>
      <c r="N3479" s="1161" t="s">
        <v>2306</v>
      </c>
    </row>
    <row r="3480" spans="1:14" s="1170" customFormat="1" ht="16.5" hidden="1" customHeight="1">
      <c r="A3480" s="1156"/>
      <c r="B3480" s="1169" t="s">
        <v>2762</v>
      </c>
      <c r="C3480" s="1351"/>
      <c r="D3480" s="1418"/>
      <c r="E3480" s="1352"/>
      <c r="F3480" s="1234"/>
      <c r="G3480" s="1234"/>
      <c r="H3480" s="1235"/>
      <c r="I3480" s="1353"/>
      <c r="J3480" s="1357"/>
      <c r="K3480" s="1169"/>
      <c r="L3480" s="1156"/>
      <c r="M3480" s="1169"/>
      <c r="N3480" s="1161" t="s">
        <v>2306</v>
      </c>
    </row>
    <row r="3481" spans="1:14" s="1170" customFormat="1" ht="16.5" hidden="1" customHeight="1">
      <c r="A3481" s="1156"/>
      <c r="B3481" s="1230" t="s">
        <v>2087</v>
      </c>
      <c r="C3481" s="1360">
        <v>1</v>
      </c>
      <c r="D3481" s="1361" t="s">
        <v>273</v>
      </c>
      <c r="E3481" s="1362">
        <v>23</v>
      </c>
      <c r="F3481" s="1363">
        <v>0</v>
      </c>
      <c r="G3481" s="1363">
        <v>0</v>
      </c>
      <c r="H3481" s="1363">
        <v>0</v>
      </c>
      <c r="I3481" s="1421">
        <f>ROUND(IF(AND(F3481:H3481),C3481*E3481*F3481*G3481*H3481,IF(AND(F3481,G3481),C3481*E3481*F3481*G3481,IF(AND(F3481,H3481),C3481*E3481*F3481*H3481,IF(AND(G3481,H3481),C3481*E3481*G3481*H3481,IF(F3481,C3481*E3481*F3481,IF(G3481,C3481*E3481*G3481,IF(H3481,C3481*E3481*H3481,C3481*E3481))))))),2)</f>
        <v>23</v>
      </c>
      <c r="J3481" s="1357" t="s">
        <v>115</v>
      </c>
      <c r="K3481" s="1169"/>
      <c r="L3481" s="1156"/>
      <c r="M3481" s="1169"/>
      <c r="N3481" s="1161" t="s">
        <v>2306</v>
      </c>
    </row>
    <row r="3482" spans="1:14" s="1170" customFormat="1" ht="16.5" hidden="1" customHeight="1">
      <c r="A3482" s="1156"/>
      <c r="B3482" s="1230"/>
      <c r="C3482" s="1332"/>
      <c r="D3482" s="1333"/>
      <c r="E3482" s="1334"/>
      <c r="F3482" s="1335"/>
      <c r="G3482" s="1335"/>
      <c r="H3482" s="1335"/>
      <c r="I3482" s="1421"/>
      <c r="J3482" s="1357"/>
      <c r="K3482" s="1169"/>
      <c r="L3482" s="1156"/>
      <c r="M3482" s="1169"/>
      <c r="N3482" s="1161" t="s">
        <v>2306</v>
      </c>
    </row>
    <row r="3483" spans="1:14" ht="15.75" hidden="1">
      <c r="A3483" s="1156"/>
      <c r="B3483" s="1169"/>
      <c r="C3483" s="1337"/>
      <c r="D3483" s="1171"/>
      <c r="E3483" s="1165"/>
      <c r="F3483" s="1166"/>
      <c r="G3483" s="1343"/>
      <c r="H3483" s="1156"/>
      <c r="I3483" s="1421"/>
      <c r="J3483" s="1357" t="s">
        <v>115</v>
      </c>
      <c r="K3483" s="1221">
        <f>'Ele Data'!I478</f>
        <v>120.75</v>
      </c>
      <c r="L3483" s="1159" t="s">
        <v>2306</v>
      </c>
      <c r="M3483" s="1224">
        <f>ROUND(I3483*K3483,0)</f>
        <v>0</v>
      </c>
      <c r="N3483" s="1161" t="s">
        <v>2306</v>
      </c>
    </row>
    <row r="3484" spans="1:14" ht="43.5" hidden="1" customHeight="1">
      <c r="A3484" s="1156">
        <v>8</v>
      </c>
      <c r="B3484" s="1826" t="s">
        <v>2082</v>
      </c>
      <c r="C3484" s="1826"/>
      <c r="D3484" s="1826"/>
      <c r="E3484" s="1826"/>
      <c r="F3484" s="1826"/>
      <c r="G3484" s="1826"/>
      <c r="H3484" s="1826"/>
      <c r="I3484" s="1157"/>
      <c r="J3484" s="1158"/>
      <c r="K3484" s="1156"/>
      <c r="L3484" s="1156"/>
      <c r="M3484" s="1160"/>
      <c r="N3484" s="1161" t="s">
        <v>2306</v>
      </c>
    </row>
    <row r="3485" spans="1:14" s="1170" customFormat="1" ht="16.5" hidden="1" customHeight="1">
      <c r="A3485" s="1156"/>
      <c r="B3485" s="1169" t="s">
        <v>2573</v>
      </c>
      <c r="C3485" s="1351"/>
      <c r="D3485" s="1418"/>
      <c r="E3485" s="1352"/>
      <c r="F3485" s="1234"/>
      <c r="G3485" s="1234"/>
      <c r="H3485" s="1235"/>
      <c r="I3485" s="1353"/>
      <c r="J3485" s="1357"/>
      <c r="K3485" s="1169"/>
      <c r="L3485" s="1156"/>
      <c r="M3485" s="1169"/>
      <c r="N3485" s="1161" t="s">
        <v>2306</v>
      </c>
    </row>
    <row r="3486" spans="1:14" s="1170" customFormat="1" ht="16.5" hidden="1" customHeight="1">
      <c r="A3486" s="1156"/>
      <c r="B3486" s="1230" t="s">
        <v>161</v>
      </c>
      <c r="C3486" s="1332">
        <v>1</v>
      </c>
      <c r="D3486" s="1333" t="s">
        <v>273</v>
      </c>
      <c r="E3486" s="1334">
        <v>7</v>
      </c>
      <c r="F3486" s="1335">
        <v>0</v>
      </c>
      <c r="G3486" s="1335">
        <v>0</v>
      </c>
      <c r="H3486" s="1335">
        <v>0</v>
      </c>
      <c r="I3486" s="1421">
        <f>ROUND(IF(AND(F3486:H3486),C3486*E3486*F3486*G3486*H3486,IF(AND(F3486,G3486),C3486*E3486*F3486*G3486,IF(AND(F3486,H3486),C3486*E3486*F3486*H3486,IF(AND(G3486,H3486),C3486*E3486*G3486*H3486,IF(F3486,C3486*E3486*F3486,IF(G3486,C3486*E3486*G3486,IF(H3486,C3486*E3486*H3486,C3486*E3486))))))),2)</f>
        <v>7</v>
      </c>
      <c r="J3486" s="1357" t="s">
        <v>115</v>
      </c>
      <c r="K3486" s="1169"/>
      <c r="L3486" s="1156"/>
      <c r="M3486" s="1169"/>
      <c r="N3486" s="1161" t="s">
        <v>2306</v>
      </c>
    </row>
    <row r="3487" spans="1:14" s="1170" customFormat="1" ht="16.5" hidden="1" customHeight="1">
      <c r="A3487" s="1156"/>
      <c r="B3487" s="1230" t="s">
        <v>162</v>
      </c>
      <c r="C3487" s="1332">
        <v>1</v>
      </c>
      <c r="D3487" s="1333" t="s">
        <v>273</v>
      </c>
      <c r="E3487" s="1334">
        <v>5</v>
      </c>
      <c r="F3487" s="1335">
        <v>0</v>
      </c>
      <c r="G3487" s="1335">
        <v>0</v>
      </c>
      <c r="H3487" s="1335">
        <v>0</v>
      </c>
      <c r="I3487" s="1421">
        <f>ROUND(IF(AND(F3487:H3487),C3487*E3487*F3487*G3487*H3487,IF(AND(F3487,G3487),C3487*E3487*F3487*G3487,IF(AND(F3487,H3487),C3487*E3487*F3487*H3487,IF(AND(G3487,H3487),C3487*E3487*G3487*H3487,IF(F3487,C3487*E3487*F3487,IF(G3487,C3487*E3487*G3487,IF(H3487,C3487*E3487*H3487,C3487*E3487))))))),2)</f>
        <v>5</v>
      </c>
      <c r="J3487" s="1357" t="s">
        <v>115</v>
      </c>
      <c r="K3487" s="1169"/>
      <c r="L3487" s="1156"/>
      <c r="M3487" s="1169"/>
      <c r="N3487" s="1161" t="s">
        <v>2306</v>
      </c>
    </row>
    <row r="3488" spans="1:14" s="1170" customFormat="1" ht="16.5" hidden="1" customHeight="1">
      <c r="A3488" s="1156"/>
      <c r="B3488" s="1230"/>
      <c r="C3488" s="1332"/>
      <c r="D3488" s="1333"/>
      <c r="E3488" s="1334"/>
      <c r="F3488" s="1335"/>
      <c r="G3488" s="1335"/>
      <c r="H3488" s="1335"/>
      <c r="I3488" s="1421"/>
      <c r="J3488" s="1357"/>
      <c r="K3488" s="1169"/>
      <c r="L3488" s="1156"/>
      <c r="M3488" s="1169"/>
      <c r="N3488" s="1161" t="s">
        <v>2306</v>
      </c>
    </row>
    <row r="3489" spans="1:14" ht="17.25" hidden="1" customHeight="1">
      <c r="A3489" s="1156"/>
      <c r="B3489" s="1169"/>
      <c r="C3489" s="1337"/>
      <c r="D3489" s="1171"/>
      <c r="E3489" s="1165"/>
      <c r="F3489" s="1166"/>
      <c r="G3489" s="1343"/>
      <c r="H3489" s="1156"/>
      <c r="I3489" s="1421"/>
      <c r="J3489" s="1357" t="s">
        <v>115</v>
      </c>
      <c r="K3489" s="1221">
        <f>'Ele Data'!I490</f>
        <v>2644.375</v>
      </c>
      <c r="L3489" s="1159" t="s">
        <v>2306</v>
      </c>
      <c r="M3489" s="1224">
        <f>ROUND(I3489*K3489,0)</f>
        <v>0</v>
      </c>
      <c r="N3489" s="1161" t="s">
        <v>2306</v>
      </c>
    </row>
    <row r="3490" spans="1:14" ht="21" hidden="1" customHeight="1">
      <c r="A3490" s="1156">
        <v>46</v>
      </c>
      <c r="B3490" s="1826" t="s">
        <v>1574</v>
      </c>
      <c r="C3490" s="1826"/>
      <c r="D3490" s="1826"/>
      <c r="E3490" s="1826"/>
      <c r="F3490" s="1826"/>
      <c r="G3490" s="1826"/>
      <c r="H3490" s="1826"/>
      <c r="I3490" s="1157"/>
      <c r="J3490" s="1158"/>
      <c r="K3490" s="1156"/>
      <c r="L3490" s="1156"/>
      <c r="M3490" s="1160"/>
      <c r="N3490" s="1161" t="s">
        <v>2306</v>
      </c>
    </row>
    <row r="3491" spans="1:14" s="1170" customFormat="1" ht="16.5" hidden="1" customHeight="1">
      <c r="A3491" s="1156"/>
      <c r="B3491" s="1169" t="s">
        <v>2765</v>
      </c>
      <c r="C3491" s="1351"/>
      <c r="D3491" s="1418"/>
      <c r="E3491" s="1352"/>
      <c r="F3491" s="1234"/>
      <c r="G3491" s="1234"/>
      <c r="H3491" s="1235"/>
      <c r="I3491" s="1353"/>
      <c r="J3491" s="1357"/>
      <c r="K3491" s="1169"/>
      <c r="L3491" s="1156"/>
      <c r="M3491" s="1169"/>
      <c r="N3491" s="1161" t="s">
        <v>2306</v>
      </c>
    </row>
    <row r="3492" spans="1:14" s="1170" customFormat="1" ht="16.5" hidden="1" customHeight="1">
      <c r="A3492" s="1156"/>
      <c r="B3492" s="1230"/>
      <c r="C3492" s="1360">
        <v>1</v>
      </c>
      <c r="D3492" s="1361" t="s">
        <v>273</v>
      </c>
      <c r="E3492" s="1362">
        <v>13</v>
      </c>
      <c r="F3492" s="1363">
        <v>0</v>
      </c>
      <c r="G3492" s="1363">
        <v>0</v>
      </c>
      <c r="H3492" s="1363">
        <v>0</v>
      </c>
      <c r="I3492" s="1421">
        <f>ROUND(IF(AND(F3492:H3492),C3492*E3492*F3492*G3492*H3492,IF(AND(F3492,G3492),C3492*E3492*F3492*G3492,IF(AND(F3492,H3492),C3492*E3492*F3492*H3492,IF(AND(G3492,H3492),C3492*E3492*G3492*H3492,IF(F3492,C3492*E3492*F3492,IF(G3492,C3492*E3492*G3492,IF(H3492,C3492*E3492*H3492,C3492*E3492))))))),2)</f>
        <v>13</v>
      </c>
      <c r="J3492" s="1357" t="s">
        <v>115</v>
      </c>
      <c r="K3492" s="1169"/>
      <c r="L3492" s="1156"/>
      <c r="M3492" s="1169"/>
      <c r="N3492" s="1161" t="s">
        <v>2306</v>
      </c>
    </row>
    <row r="3493" spans="1:14" s="1170" customFormat="1" ht="16.5" hidden="1" customHeight="1">
      <c r="A3493" s="1156"/>
      <c r="B3493" s="1230"/>
      <c r="C3493" s="1332"/>
      <c r="D3493" s="1333"/>
      <c r="E3493" s="1334"/>
      <c r="F3493" s="1335"/>
      <c r="G3493" s="1335"/>
      <c r="H3493" s="1335"/>
      <c r="I3493" s="1336"/>
      <c r="J3493" s="1357"/>
      <c r="K3493" s="1169"/>
      <c r="L3493" s="1156"/>
      <c r="M3493" s="1169"/>
      <c r="N3493" s="1161" t="s">
        <v>2306</v>
      </c>
    </row>
    <row r="3494" spans="1:14" ht="15.75" hidden="1">
      <c r="A3494" s="1156"/>
      <c r="B3494" s="1169"/>
      <c r="C3494" s="1337"/>
      <c r="D3494" s="1171"/>
      <c r="E3494" s="1165"/>
      <c r="F3494" s="1166"/>
      <c r="G3494" s="1343"/>
      <c r="H3494" s="1156"/>
      <c r="I3494" s="1421"/>
      <c r="J3494" s="1357" t="s">
        <v>115</v>
      </c>
      <c r="K3494" s="1221">
        <f>'Ele Data'!I517</f>
        <v>195.17000000000002</v>
      </c>
      <c r="L3494" s="1159" t="s">
        <v>2306</v>
      </c>
      <c r="M3494" s="1224">
        <f>ROUND(I3494*K3494,0)</f>
        <v>0</v>
      </c>
      <c r="N3494" s="1161" t="s">
        <v>2306</v>
      </c>
    </row>
    <row r="3495" spans="1:14" ht="43.5" hidden="1" customHeight="1">
      <c r="A3495" s="1156">
        <v>47</v>
      </c>
      <c r="B3495" s="1826" t="s">
        <v>946</v>
      </c>
      <c r="C3495" s="1826"/>
      <c r="D3495" s="1826"/>
      <c r="E3495" s="1826"/>
      <c r="F3495" s="1826"/>
      <c r="G3495" s="1826"/>
      <c r="H3495" s="1826"/>
      <c r="I3495" s="1157"/>
      <c r="J3495" s="1158"/>
      <c r="K3495" s="1156"/>
      <c r="L3495" s="1156"/>
      <c r="M3495" s="1160"/>
      <c r="N3495" s="1161" t="s">
        <v>2306</v>
      </c>
    </row>
    <row r="3496" spans="1:14" s="1170" customFormat="1" ht="16.5" hidden="1" customHeight="1">
      <c r="A3496" s="1156"/>
      <c r="B3496" s="1169" t="s">
        <v>2766</v>
      </c>
      <c r="C3496" s="1351"/>
      <c r="D3496" s="1418"/>
      <c r="E3496" s="1352"/>
      <c r="F3496" s="1234"/>
      <c r="G3496" s="1234"/>
      <c r="H3496" s="1235"/>
      <c r="I3496" s="1353"/>
      <c r="J3496" s="1357"/>
      <c r="K3496" s="1169"/>
      <c r="L3496" s="1156"/>
      <c r="M3496" s="1169"/>
      <c r="N3496" s="1161" t="s">
        <v>2306</v>
      </c>
    </row>
    <row r="3497" spans="1:14" s="1170" customFormat="1" ht="16.5" hidden="1" customHeight="1">
      <c r="A3497" s="1156"/>
      <c r="B3497" s="1230" t="s">
        <v>2195</v>
      </c>
      <c r="C3497" s="1332">
        <v>1</v>
      </c>
      <c r="D3497" s="1333" t="s">
        <v>273</v>
      </c>
      <c r="E3497" s="1334">
        <v>13</v>
      </c>
      <c r="F3497" s="1335">
        <v>0</v>
      </c>
      <c r="G3497" s="1335">
        <v>0</v>
      </c>
      <c r="H3497" s="1335">
        <v>0</v>
      </c>
      <c r="I3497" s="1421">
        <f>ROUND(IF(AND(F3497:H3497),C3497*E3497*F3497*G3497*H3497,IF(AND(F3497,G3497),C3497*E3497*F3497*G3497,IF(AND(F3497,H3497),C3497*E3497*F3497*H3497,IF(AND(G3497,H3497),C3497*E3497*G3497*H3497,IF(F3497,C3497*E3497*F3497,IF(G3497,C3497*E3497*G3497,IF(H3497,C3497*E3497*H3497,C3497*E3497))))))),2)</f>
        <v>13</v>
      </c>
      <c r="J3497" s="1357" t="s">
        <v>115</v>
      </c>
      <c r="K3497" s="1169"/>
      <c r="L3497" s="1156"/>
      <c r="M3497" s="1169"/>
      <c r="N3497" s="1161" t="s">
        <v>2306</v>
      </c>
    </row>
    <row r="3498" spans="1:14" s="1170" customFormat="1" ht="16.5" hidden="1" customHeight="1">
      <c r="A3498" s="1156"/>
      <c r="B3498" s="1230"/>
      <c r="C3498" s="1332"/>
      <c r="D3498" s="1333"/>
      <c r="E3498" s="1334"/>
      <c r="F3498" s="1335"/>
      <c r="G3498" s="1335"/>
      <c r="H3498" s="1335"/>
      <c r="I3498" s="1421"/>
      <c r="J3498" s="1357"/>
      <c r="K3498" s="1169"/>
      <c r="L3498" s="1156"/>
      <c r="M3498" s="1169"/>
      <c r="N3498" s="1161" t="s">
        <v>2306</v>
      </c>
    </row>
    <row r="3499" spans="1:14" ht="15.75" hidden="1">
      <c r="A3499" s="1156"/>
      <c r="B3499" s="1169"/>
      <c r="C3499" s="1337"/>
      <c r="D3499" s="1171"/>
      <c r="E3499" s="1165"/>
      <c r="F3499" s="1166"/>
      <c r="G3499" s="1343"/>
      <c r="H3499" s="1156"/>
      <c r="I3499" s="1421"/>
      <c r="J3499" s="1357" t="s">
        <v>115</v>
      </c>
      <c r="K3499" s="1221">
        <f>'Ele Data'!I494</f>
        <v>2323</v>
      </c>
      <c r="L3499" s="1159" t="s">
        <v>2306</v>
      </c>
      <c r="M3499" s="1224">
        <f>ROUND(I3499*K3499,0)</f>
        <v>0</v>
      </c>
      <c r="N3499" s="1161" t="s">
        <v>2306</v>
      </c>
    </row>
    <row r="3500" spans="1:14" ht="30.75" hidden="1" customHeight="1">
      <c r="A3500" s="1156">
        <v>48</v>
      </c>
      <c r="B3500" s="1826" t="s">
        <v>947</v>
      </c>
      <c r="C3500" s="1826"/>
      <c r="D3500" s="1826"/>
      <c r="E3500" s="1826"/>
      <c r="F3500" s="1826"/>
      <c r="G3500" s="1826"/>
      <c r="H3500" s="1826"/>
      <c r="I3500" s="1421"/>
      <c r="J3500" s="1158"/>
      <c r="K3500" s="1156"/>
      <c r="L3500" s="1156"/>
      <c r="M3500" s="1160"/>
      <c r="N3500" s="1161" t="s">
        <v>2306</v>
      </c>
    </row>
    <row r="3501" spans="1:14" s="1170" customFormat="1" ht="16.5" hidden="1" customHeight="1">
      <c r="A3501" s="1156"/>
      <c r="B3501" s="1169" t="s">
        <v>2766</v>
      </c>
      <c r="C3501" s="1351"/>
      <c r="D3501" s="1418"/>
      <c r="E3501" s="1352"/>
      <c r="F3501" s="1234"/>
      <c r="G3501" s="1234"/>
      <c r="H3501" s="1235"/>
      <c r="I3501" s="1353"/>
      <c r="J3501" s="1357"/>
      <c r="K3501" s="1169"/>
      <c r="L3501" s="1156"/>
      <c r="M3501" s="1169"/>
      <c r="N3501" s="1161" t="s">
        <v>2306</v>
      </c>
    </row>
    <row r="3502" spans="1:14" s="1170" customFormat="1" ht="16.5" hidden="1" customHeight="1">
      <c r="A3502" s="1156"/>
      <c r="B3502" s="1230"/>
      <c r="C3502" s="1332">
        <v>1</v>
      </c>
      <c r="D3502" s="1333" t="s">
        <v>273</v>
      </c>
      <c r="E3502" s="1334">
        <v>13</v>
      </c>
      <c r="F3502" s="1335">
        <v>0</v>
      </c>
      <c r="G3502" s="1335">
        <v>0</v>
      </c>
      <c r="H3502" s="1335">
        <v>0</v>
      </c>
      <c r="I3502" s="1421">
        <f>ROUND(IF(AND(F3502:H3502),C3502*E3502*F3502*G3502*H3502,IF(AND(F3502,G3502),C3502*E3502*F3502*G3502,IF(AND(F3502,H3502),C3502*E3502*F3502*H3502,IF(AND(G3502,H3502),C3502*E3502*G3502*H3502,IF(F3502,C3502*E3502*F3502,IF(G3502,C3502*E3502*G3502,IF(H3502,C3502*E3502*H3502,C3502*E3502))))))),2)</f>
        <v>13</v>
      </c>
      <c r="J3502" s="1357" t="s">
        <v>115</v>
      </c>
      <c r="K3502" s="1169"/>
      <c r="L3502" s="1156"/>
      <c r="M3502" s="1169"/>
      <c r="N3502" s="1161" t="s">
        <v>2306</v>
      </c>
    </row>
    <row r="3503" spans="1:14" s="1170" customFormat="1" ht="16.5" hidden="1" customHeight="1">
      <c r="A3503" s="1156"/>
      <c r="B3503" s="1230"/>
      <c r="C3503" s="1332"/>
      <c r="D3503" s="1333"/>
      <c r="E3503" s="1334"/>
      <c r="F3503" s="1335"/>
      <c r="G3503" s="1335"/>
      <c r="H3503" s="1335"/>
      <c r="I3503" s="1421"/>
      <c r="J3503" s="1357"/>
      <c r="K3503" s="1169"/>
      <c r="L3503" s="1156"/>
      <c r="M3503" s="1169"/>
      <c r="N3503" s="1161" t="s">
        <v>2306</v>
      </c>
    </row>
    <row r="3504" spans="1:14" ht="15.75" hidden="1">
      <c r="A3504" s="1156"/>
      <c r="B3504" s="1169"/>
      <c r="C3504" s="1337"/>
      <c r="D3504" s="1171"/>
      <c r="E3504" s="1165"/>
      <c r="F3504" s="1166"/>
      <c r="G3504" s="1343"/>
      <c r="H3504" s="1156"/>
      <c r="I3504" s="1421"/>
      <c r="J3504" s="1357" t="s">
        <v>115</v>
      </c>
      <c r="K3504" s="1221">
        <f>'Ele Data'!I499</f>
        <v>241</v>
      </c>
      <c r="L3504" s="1159" t="s">
        <v>2306</v>
      </c>
      <c r="M3504" s="1224">
        <f>ROUND(I3504*K3504,0)</f>
        <v>0</v>
      </c>
      <c r="N3504" s="1161" t="s">
        <v>2306</v>
      </c>
    </row>
    <row r="3505" spans="1:14" ht="30.75" hidden="1" customHeight="1">
      <c r="A3505" s="1156">
        <v>49</v>
      </c>
      <c r="B3505" s="1826" t="s">
        <v>948</v>
      </c>
      <c r="C3505" s="1826"/>
      <c r="D3505" s="1826"/>
      <c r="E3505" s="1826"/>
      <c r="F3505" s="1826"/>
      <c r="G3505" s="1826"/>
      <c r="H3505" s="1826"/>
      <c r="I3505" s="1157"/>
      <c r="J3505" s="1158"/>
      <c r="K3505" s="1156"/>
      <c r="L3505" s="1156"/>
      <c r="M3505" s="1160"/>
      <c r="N3505" s="1161" t="s">
        <v>2306</v>
      </c>
    </row>
    <row r="3506" spans="1:14" s="1170" customFormat="1" ht="16.5" hidden="1" customHeight="1">
      <c r="A3506" s="1156"/>
      <c r="B3506" s="1169" t="s">
        <v>2766</v>
      </c>
      <c r="C3506" s="1351"/>
      <c r="D3506" s="1418"/>
      <c r="E3506" s="1352"/>
      <c r="F3506" s="1234"/>
      <c r="G3506" s="1234"/>
      <c r="H3506" s="1235"/>
      <c r="I3506" s="1353"/>
      <c r="J3506" s="1357"/>
      <c r="K3506" s="1169"/>
      <c r="L3506" s="1156"/>
      <c r="M3506" s="1169"/>
      <c r="N3506" s="1161" t="s">
        <v>2306</v>
      </c>
    </row>
    <row r="3507" spans="1:14" s="1170" customFormat="1" ht="16.5" hidden="1" customHeight="1">
      <c r="A3507" s="1156"/>
      <c r="B3507" s="1230"/>
      <c r="C3507" s="1332">
        <v>1</v>
      </c>
      <c r="D3507" s="1333" t="s">
        <v>273</v>
      </c>
      <c r="E3507" s="1334">
        <v>13</v>
      </c>
      <c r="F3507" s="1335">
        <v>0</v>
      </c>
      <c r="G3507" s="1335">
        <v>0</v>
      </c>
      <c r="H3507" s="1335">
        <v>0</v>
      </c>
      <c r="I3507" s="1421">
        <f>ROUND(IF(AND(F3507:H3507),C3507*E3507*F3507*G3507*H3507,IF(AND(F3507,G3507),C3507*E3507*F3507*G3507,IF(AND(F3507,H3507),C3507*E3507*F3507*H3507,IF(AND(G3507,H3507),C3507*E3507*G3507*H3507,IF(F3507,C3507*E3507*F3507,IF(G3507,C3507*E3507*G3507,IF(H3507,C3507*E3507*H3507,C3507*E3507))))))),2)</f>
        <v>13</v>
      </c>
      <c r="J3507" s="1357" t="s">
        <v>115</v>
      </c>
      <c r="K3507" s="1169"/>
      <c r="L3507" s="1156"/>
      <c r="M3507" s="1169"/>
      <c r="N3507" s="1161" t="s">
        <v>2306</v>
      </c>
    </row>
    <row r="3508" spans="1:14" s="1170" customFormat="1" ht="16.5" hidden="1" customHeight="1">
      <c r="A3508" s="1156"/>
      <c r="B3508" s="1230"/>
      <c r="C3508" s="1332"/>
      <c r="D3508" s="1333"/>
      <c r="E3508" s="1334"/>
      <c r="F3508" s="1335"/>
      <c r="G3508" s="1335"/>
      <c r="H3508" s="1335"/>
      <c r="I3508" s="1421"/>
      <c r="J3508" s="1357"/>
      <c r="K3508" s="1169"/>
      <c r="L3508" s="1156"/>
      <c r="M3508" s="1169"/>
      <c r="N3508" s="1161" t="s">
        <v>2306</v>
      </c>
    </row>
    <row r="3509" spans="1:14" ht="15.75" hidden="1">
      <c r="A3509" s="1156"/>
      <c r="B3509" s="1169"/>
      <c r="C3509" s="1337"/>
      <c r="D3509" s="1171"/>
      <c r="E3509" s="1165"/>
      <c r="F3509" s="1166"/>
      <c r="G3509" s="1343"/>
      <c r="H3509" s="1156"/>
      <c r="I3509" s="1421"/>
      <c r="J3509" s="1357" t="s">
        <v>115</v>
      </c>
      <c r="K3509" s="1221">
        <f>'Ele Data'!I506</f>
        <v>141.375</v>
      </c>
      <c r="L3509" s="1159" t="s">
        <v>2306</v>
      </c>
      <c r="M3509" s="1224">
        <f>ROUND(I3509*K3509,0)</f>
        <v>0</v>
      </c>
      <c r="N3509" s="1161" t="s">
        <v>2306</v>
      </c>
    </row>
    <row r="3510" spans="1:14" ht="30.75" hidden="1" customHeight="1">
      <c r="A3510" s="1156">
        <v>15</v>
      </c>
      <c r="B3510" s="1826" t="s">
        <v>950</v>
      </c>
      <c r="C3510" s="1826"/>
      <c r="D3510" s="1826"/>
      <c r="E3510" s="1826"/>
      <c r="F3510" s="1826"/>
      <c r="G3510" s="1826"/>
      <c r="H3510" s="1826"/>
      <c r="I3510" s="1157"/>
      <c r="J3510" s="1158"/>
      <c r="K3510" s="1156"/>
      <c r="L3510" s="1156"/>
      <c r="M3510" s="1160"/>
      <c r="N3510" s="1161" t="s">
        <v>2306</v>
      </c>
    </row>
    <row r="3511" spans="1:14" s="1170" customFormat="1" ht="16.5" hidden="1" customHeight="1">
      <c r="A3511" s="1156"/>
      <c r="B3511" s="1169" t="s">
        <v>2357</v>
      </c>
      <c r="C3511" s="1351"/>
      <c r="D3511" s="1418"/>
      <c r="E3511" s="1352"/>
      <c r="F3511" s="1234"/>
      <c r="G3511" s="1234"/>
      <c r="H3511" s="1235"/>
      <c r="I3511" s="1353"/>
      <c r="J3511" s="1357"/>
      <c r="K3511" s="1169"/>
      <c r="L3511" s="1156"/>
      <c r="M3511" s="1169"/>
      <c r="N3511" s="1161" t="s">
        <v>2306</v>
      </c>
    </row>
    <row r="3512" spans="1:14" s="1170" customFormat="1" ht="16.5" hidden="1" customHeight="1">
      <c r="A3512" s="1156"/>
      <c r="B3512" s="1230" t="s">
        <v>660</v>
      </c>
      <c r="C3512" s="1332">
        <v>1</v>
      </c>
      <c r="D3512" s="1333" t="s">
        <v>273</v>
      </c>
      <c r="E3512" s="1334">
        <v>2</v>
      </c>
      <c r="F3512" s="1335">
        <v>0</v>
      </c>
      <c r="G3512" s="1335">
        <v>0</v>
      </c>
      <c r="H3512" s="1335">
        <v>0</v>
      </c>
      <c r="I3512" s="1421">
        <f>ROUND(IF(AND(F3512:H3512),C3512*E3512*F3512*G3512*H3512,IF(AND(F3512,G3512),C3512*E3512*F3512*G3512,IF(AND(F3512,H3512),C3512*E3512*F3512*H3512,IF(AND(G3512,H3512),C3512*E3512*G3512*H3512,IF(F3512,C3512*E3512*F3512,IF(G3512,C3512*E3512*G3512,IF(H3512,C3512*E3512*H3512,C3512*E3512))))))),2)</f>
        <v>2</v>
      </c>
      <c r="J3512" s="1357" t="s">
        <v>115</v>
      </c>
      <c r="K3512" s="1169"/>
      <c r="L3512" s="1156"/>
      <c r="M3512" s="1169"/>
      <c r="N3512" s="1161" t="s">
        <v>2306</v>
      </c>
    </row>
    <row r="3513" spans="1:14" s="1170" customFormat="1" ht="16.5" hidden="1" customHeight="1">
      <c r="A3513" s="1156"/>
      <c r="B3513" s="1230" t="s">
        <v>650</v>
      </c>
      <c r="C3513" s="1332">
        <v>1</v>
      </c>
      <c r="D3513" s="1333" t="s">
        <v>273</v>
      </c>
      <c r="E3513" s="1334">
        <v>1</v>
      </c>
      <c r="F3513" s="1335">
        <v>0</v>
      </c>
      <c r="G3513" s="1335">
        <v>0</v>
      </c>
      <c r="H3513" s="1335">
        <v>0</v>
      </c>
      <c r="I3513" s="1421">
        <f>ROUND(IF(AND(F3513:H3513),C3513*E3513*F3513*G3513*H3513,IF(AND(F3513,G3513),C3513*E3513*F3513*G3513,IF(AND(F3513,H3513),C3513*E3513*F3513*H3513,IF(AND(G3513,H3513),C3513*E3513*G3513*H3513,IF(F3513,C3513*E3513*F3513,IF(G3513,C3513*E3513*G3513,IF(H3513,C3513*E3513*H3513,C3513*E3513))))))),2)</f>
        <v>1</v>
      </c>
      <c r="J3513" s="1357" t="s">
        <v>115</v>
      </c>
      <c r="K3513" s="1169"/>
      <c r="L3513" s="1156"/>
      <c r="M3513" s="1169"/>
      <c r="N3513" s="1161" t="s">
        <v>2306</v>
      </c>
    </row>
    <row r="3514" spans="1:14" s="1170" customFormat="1" ht="16.5" hidden="1" customHeight="1">
      <c r="A3514" s="1156"/>
      <c r="B3514" s="1230" t="s">
        <v>1170</v>
      </c>
      <c r="C3514" s="1332">
        <v>1</v>
      </c>
      <c r="D3514" s="1333" t="s">
        <v>273</v>
      </c>
      <c r="E3514" s="1334">
        <v>1</v>
      </c>
      <c r="F3514" s="1335">
        <v>0</v>
      </c>
      <c r="G3514" s="1335">
        <v>0</v>
      </c>
      <c r="H3514" s="1335">
        <v>0</v>
      </c>
      <c r="I3514" s="1421">
        <f>ROUND(IF(AND(F3514:H3514),C3514*E3514*F3514*G3514*H3514,IF(AND(F3514,G3514),C3514*E3514*F3514*G3514,IF(AND(F3514,H3514),C3514*E3514*F3514*H3514,IF(AND(G3514,H3514),C3514*E3514*G3514*H3514,IF(F3514,C3514*E3514*F3514,IF(G3514,C3514*E3514*G3514,IF(H3514,C3514*E3514*H3514,C3514*E3514))))))),2)</f>
        <v>1</v>
      </c>
      <c r="J3514" s="1357" t="s">
        <v>115</v>
      </c>
      <c r="K3514" s="1169"/>
      <c r="L3514" s="1156"/>
      <c r="M3514" s="1169"/>
      <c r="N3514" s="1161" t="s">
        <v>2306</v>
      </c>
    </row>
    <row r="3515" spans="1:14" s="1170" customFormat="1" ht="16.5" hidden="1" customHeight="1">
      <c r="A3515" s="1156"/>
      <c r="B3515" s="1230"/>
      <c r="C3515" s="1332"/>
      <c r="D3515" s="1333"/>
      <c r="E3515" s="1334"/>
      <c r="F3515" s="1335"/>
      <c r="G3515" s="1335"/>
      <c r="H3515" s="1335"/>
      <c r="I3515" s="1421"/>
      <c r="J3515" s="1357"/>
      <c r="K3515" s="1169"/>
      <c r="L3515" s="1156"/>
      <c r="M3515" s="1169"/>
      <c r="N3515" s="1161" t="s">
        <v>2306</v>
      </c>
    </row>
    <row r="3516" spans="1:14" ht="15.75" hidden="1">
      <c r="A3516" s="1156"/>
      <c r="B3516" s="1169"/>
      <c r="C3516" s="1337"/>
      <c r="D3516" s="1171"/>
      <c r="E3516" s="1165"/>
      <c r="F3516" s="1166"/>
      <c r="G3516" s="1343"/>
      <c r="H3516" s="1156"/>
      <c r="I3516" s="1421"/>
      <c r="J3516" s="1357" t="s">
        <v>115</v>
      </c>
      <c r="K3516" s="1221">
        <f>'Ele Data'!I512</f>
        <v>129.5</v>
      </c>
      <c r="L3516" s="1159" t="s">
        <v>2306</v>
      </c>
      <c r="M3516" s="1224">
        <f>ROUND(I3516*K3516,0)</f>
        <v>0</v>
      </c>
      <c r="N3516" s="1161" t="s">
        <v>2306</v>
      </c>
    </row>
    <row r="3517" spans="1:14" ht="41.25" hidden="1" customHeight="1">
      <c r="A3517" s="1156">
        <v>50</v>
      </c>
      <c r="B3517" s="1826" t="s">
        <v>442</v>
      </c>
      <c r="C3517" s="1826"/>
      <c r="D3517" s="1826"/>
      <c r="E3517" s="1826"/>
      <c r="F3517" s="1826"/>
      <c r="G3517" s="1826"/>
      <c r="H3517" s="1826"/>
      <c r="I3517" s="1157"/>
      <c r="J3517" s="1158"/>
      <c r="K3517" s="1156"/>
      <c r="L3517" s="1156"/>
      <c r="M3517" s="1160"/>
      <c r="N3517" s="1161" t="s">
        <v>2306</v>
      </c>
    </row>
    <row r="3518" spans="1:14" s="1170" customFormat="1" ht="16.5" hidden="1" customHeight="1">
      <c r="A3518" s="1156"/>
      <c r="B3518" s="1169" t="s">
        <v>2766</v>
      </c>
      <c r="C3518" s="1351"/>
      <c r="D3518" s="1418"/>
      <c r="E3518" s="1352"/>
      <c r="F3518" s="1234"/>
      <c r="G3518" s="1234"/>
      <c r="H3518" s="1235"/>
      <c r="I3518" s="1353"/>
      <c r="J3518" s="1357"/>
      <c r="K3518" s="1169"/>
      <c r="L3518" s="1156"/>
      <c r="M3518" s="1169"/>
      <c r="N3518" s="1161" t="s">
        <v>2306</v>
      </c>
    </row>
    <row r="3519" spans="1:14" s="1170" customFormat="1" ht="16.5" hidden="1" customHeight="1">
      <c r="A3519" s="1156"/>
      <c r="B3519" s="1230"/>
      <c r="C3519" s="1360">
        <v>1</v>
      </c>
      <c r="D3519" s="1361" t="s">
        <v>273</v>
      </c>
      <c r="E3519" s="1362">
        <v>21</v>
      </c>
      <c r="F3519" s="1363">
        <v>0</v>
      </c>
      <c r="G3519" s="1363">
        <v>0</v>
      </c>
      <c r="H3519" s="1363">
        <v>0</v>
      </c>
      <c r="I3519" s="1421">
        <f>ROUND(IF(AND(F3519:H3519),C3519*E3519*F3519*G3519*H3519,IF(AND(F3519,G3519),C3519*E3519*F3519*G3519,IF(AND(F3519,H3519),C3519*E3519*F3519*H3519,IF(AND(G3519,H3519),C3519*E3519*G3519*H3519,IF(F3519,C3519*E3519*F3519,IF(G3519,C3519*E3519*G3519,IF(H3519,C3519*E3519*H3519,C3519*E3519))))))),2)</f>
        <v>21</v>
      </c>
      <c r="J3519" s="1357" t="s">
        <v>115</v>
      </c>
      <c r="K3519" s="1169"/>
      <c r="L3519" s="1156"/>
      <c r="M3519" s="1169"/>
      <c r="N3519" s="1161" t="s">
        <v>2306</v>
      </c>
    </row>
    <row r="3520" spans="1:14" s="1170" customFormat="1" ht="16.5" hidden="1" customHeight="1">
      <c r="A3520" s="1156"/>
      <c r="B3520" s="1230"/>
      <c r="C3520" s="1332"/>
      <c r="D3520" s="1333"/>
      <c r="E3520" s="1334"/>
      <c r="F3520" s="1335"/>
      <c r="G3520" s="1335"/>
      <c r="H3520" s="1335"/>
      <c r="I3520" s="1421"/>
      <c r="J3520" s="1357"/>
      <c r="K3520" s="1169"/>
      <c r="L3520" s="1156"/>
      <c r="M3520" s="1169"/>
      <c r="N3520" s="1161" t="s">
        <v>2306</v>
      </c>
    </row>
    <row r="3521" spans="1:14" ht="15.75" hidden="1">
      <c r="A3521" s="1156"/>
      <c r="B3521" s="1169"/>
      <c r="C3521" s="1337"/>
      <c r="D3521" s="1171"/>
      <c r="E3521" s="1165"/>
      <c r="F3521" s="1166"/>
      <c r="G3521" s="1343"/>
      <c r="H3521" s="1156"/>
      <c r="I3521" s="1421"/>
      <c r="J3521" s="1357" t="s">
        <v>115</v>
      </c>
      <c r="K3521" s="1221">
        <f>'Ele Data'!I525</f>
        <v>410.5</v>
      </c>
      <c r="L3521" s="1159" t="s">
        <v>2306</v>
      </c>
      <c r="M3521" s="1224">
        <f>ROUND(I3521*K3521,0)</f>
        <v>0</v>
      </c>
      <c r="N3521" s="1161" t="s">
        <v>2306</v>
      </c>
    </row>
    <row r="3522" spans="1:14" ht="66.75" hidden="1" customHeight="1">
      <c r="A3522" s="1156">
        <v>23</v>
      </c>
      <c r="B3522" s="1826" t="s">
        <v>2097</v>
      </c>
      <c r="C3522" s="1826"/>
      <c r="D3522" s="1826"/>
      <c r="E3522" s="1826"/>
      <c r="F3522" s="1826"/>
      <c r="G3522" s="1826"/>
      <c r="H3522" s="1826"/>
      <c r="I3522" s="1157"/>
      <c r="J3522" s="1158"/>
      <c r="K3522" s="1156"/>
      <c r="L3522" s="1156"/>
      <c r="M3522" s="1160"/>
      <c r="N3522" s="1161" t="s">
        <v>2306</v>
      </c>
    </row>
    <row r="3523" spans="1:14" s="1170" customFormat="1" ht="16.5" hidden="1" customHeight="1">
      <c r="A3523" s="1156"/>
      <c r="B3523" s="1169" t="s">
        <v>2107</v>
      </c>
      <c r="C3523" s="1351"/>
      <c r="D3523" s="1418"/>
      <c r="E3523" s="1352"/>
      <c r="F3523" s="1234"/>
      <c r="G3523" s="1234"/>
      <c r="H3523" s="1235"/>
      <c r="I3523" s="1353"/>
      <c r="J3523" s="1357"/>
      <c r="K3523" s="1169"/>
      <c r="L3523" s="1156"/>
      <c r="M3523" s="1169"/>
      <c r="N3523" s="1161" t="s">
        <v>2306</v>
      </c>
    </row>
    <row r="3524" spans="1:14" s="1170" customFormat="1" ht="16.5" hidden="1" customHeight="1">
      <c r="A3524" s="1156"/>
      <c r="B3524" s="1230"/>
      <c r="C3524" s="1332">
        <v>1</v>
      </c>
      <c r="D3524" s="1333" t="s">
        <v>273</v>
      </c>
      <c r="E3524" s="1334">
        <v>1</v>
      </c>
      <c r="F3524" s="1335">
        <v>0</v>
      </c>
      <c r="G3524" s="1335">
        <v>0</v>
      </c>
      <c r="H3524" s="1335">
        <v>0</v>
      </c>
      <c r="I3524" s="1421">
        <f>ROUND(IF(AND(F3524:H3524),C3524*E3524*F3524*G3524*H3524,IF(AND(F3524,G3524),C3524*E3524*F3524*G3524,IF(AND(F3524,H3524),C3524*E3524*F3524*H3524,IF(AND(G3524,H3524),C3524*E3524*G3524*H3524,IF(F3524,C3524*E3524*F3524,IF(G3524,C3524*E3524*G3524,IF(H3524,C3524*E3524*H3524,C3524*E3524))))))),2)</f>
        <v>1</v>
      </c>
      <c r="J3524" s="1357" t="s">
        <v>115</v>
      </c>
      <c r="K3524" s="1169"/>
      <c r="L3524" s="1156"/>
      <c r="M3524" s="1169"/>
      <c r="N3524" s="1161" t="s">
        <v>2306</v>
      </c>
    </row>
    <row r="3525" spans="1:14" s="1170" customFormat="1" ht="16.5" hidden="1" customHeight="1">
      <c r="A3525" s="1156"/>
      <c r="B3525" s="1230"/>
      <c r="C3525" s="1332"/>
      <c r="D3525" s="1333"/>
      <c r="E3525" s="1334"/>
      <c r="F3525" s="1335"/>
      <c r="G3525" s="1335"/>
      <c r="H3525" s="1335"/>
      <c r="I3525" s="1421"/>
      <c r="J3525" s="1357"/>
      <c r="K3525" s="1169"/>
      <c r="L3525" s="1156"/>
      <c r="M3525" s="1169"/>
      <c r="N3525" s="1161" t="s">
        <v>2306</v>
      </c>
    </row>
    <row r="3526" spans="1:14" ht="15.75" hidden="1">
      <c r="A3526" s="1156"/>
      <c r="B3526" s="1169"/>
      <c r="C3526" s="1337"/>
      <c r="D3526" s="1171"/>
      <c r="E3526" s="1165"/>
      <c r="F3526" s="1166"/>
      <c r="G3526" s="1343"/>
      <c r="H3526" s="1156"/>
      <c r="I3526" s="1421"/>
      <c r="J3526" s="1357" t="s">
        <v>115</v>
      </c>
      <c r="K3526" s="1221">
        <f>'Ele Data'!I568</f>
        <v>1980</v>
      </c>
      <c r="L3526" s="1159" t="s">
        <v>2306</v>
      </c>
      <c r="M3526" s="1224">
        <f>ROUND(I3526*K3526,0)</f>
        <v>0</v>
      </c>
      <c r="N3526" s="1161" t="s">
        <v>2306</v>
      </c>
    </row>
    <row r="3527" spans="1:14" ht="110.25" hidden="1" customHeight="1">
      <c r="A3527" s="1156">
        <v>23</v>
      </c>
      <c r="B3527" s="1826" t="s">
        <v>2263</v>
      </c>
      <c r="C3527" s="1826"/>
      <c r="D3527" s="1826"/>
      <c r="E3527" s="1826"/>
      <c r="F3527" s="1826"/>
      <c r="G3527" s="1826"/>
      <c r="H3527" s="1826"/>
      <c r="I3527" s="1157"/>
      <c r="J3527" s="1158"/>
      <c r="K3527" s="1156"/>
      <c r="L3527" s="1156"/>
      <c r="M3527" s="1160"/>
      <c r="N3527" s="1161" t="s">
        <v>2306</v>
      </c>
    </row>
    <row r="3528" spans="1:14" s="1170" customFormat="1" ht="16.5" hidden="1" customHeight="1">
      <c r="A3528" s="1156"/>
      <c r="B3528" s="1169" t="s">
        <v>2107</v>
      </c>
      <c r="C3528" s="1351"/>
      <c r="D3528" s="1418"/>
      <c r="E3528" s="1352"/>
      <c r="F3528" s="1234"/>
      <c r="G3528" s="1234"/>
      <c r="H3528" s="1235"/>
      <c r="I3528" s="1353"/>
      <c r="J3528" s="1357"/>
      <c r="K3528" s="1169"/>
      <c r="L3528" s="1156"/>
      <c r="M3528" s="1169"/>
      <c r="N3528" s="1161" t="s">
        <v>2306</v>
      </c>
    </row>
    <row r="3529" spans="1:14" s="1170" customFormat="1" ht="16.5" hidden="1" customHeight="1">
      <c r="A3529" s="1156"/>
      <c r="B3529" s="1230"/>
      <c r="C3529" s="1332">
        <v>1</v>
      </c>
      <c r="D3529" s="1333" t="s">
        <v>273</v>
      </c>
      <c r="E3529" s="1334">
        <v>1</v>
      </c>
      <c r="F3529" s="1335">
        <v>0</v>
      </c>
      <c r="G3529" s="1335">
        <v>0</v>
      </c>
      <c r="H3529" s="1335">
        <v>0</v>
      </c>
      <c r="I3529" s="1421">
        <f>ROUND(IF(AND(F3529:H3529),C3529*E3529*F3529*G3529*H3529,IF(AND(F3529,G3529),C3529*E3529*F3529*G3529,IF(AND(F3529,H3529),C3529*E3529*F3529*H3529,IF(AND(G3529,H3529),C3529*E3529*G3529*H3529,IF(F3529,C3529*E3529*F3529,IF(G3529,C3529*E3529*G3529,IF(H3529,C3529*E3529*H3529,C3529*E3529))))))),2)</f>
        <v>1</v>
      </c>
      <c r="J3529" s="1357" t="s">
        <v>115</v>
      </c>
      <c r="K3529" s="1169"/>
      <c r="L3529" s="1156"/>
      <c r="M3529" s="1169"/>
      <c r="N3529" s="1161" t="s">
        <v>2306</v>
      </c>
    </row>
    <row r="3530" spans="1:14" s="1170" customFormat="1" ht="16.5" hidden="1" customHeight="1">
      <c r="A3530" s="1156"/>
      <c r="B3530" s="1230"/>
      <c r="C3530" s="1332"/>
      <c r="D3530" s="1333"/>
      <c r="E3530" s="1334"/>
      <c r="F3530" s="1335"/>
      <c r="G3530" s="1335"/>
      <c r="H3530" s="1335"/>
      <c r="I3530" s="1421"/>
      <c r="J3530" s="1357"/>
      <c r="K3530" s="1169"/>
      <c r="L3530" s="1156"/>
      <c r="M3530" s="1169"/>
      <c r="N3530" s="1161" t="s">
        <v>2306</v>
      </c>
    </row>
    <row r="3531" spans="1:14" ht="15.75" hidden="1">
      <c r="A3531" s="1156"/>
      <c r="B3531" s="1169"/>
      <c r="C3531" s="1337"/>
      <c r="D3531" s="1171"/>
      <c r="E3531" s="1165"/>
      <c r="F3531" s="1166"/>
      <c r="G3531" s="1343"/>
      <c r="H3531" s="1156"/>
      <c r="I3531" s="1421"/>
      <c r="J3531" s="1357" t="s">
        <v>115</v>
      </c>
      <c r="K3531" s="1221">
        <f>'Ele Data'!I571</f>
        <v>5900</v>
      </c>
      <c r="L3531" s="1159" t="s">
        <v>2306</v>
      </c>
      <c r="M3531" s="1224">
        <f>ROUND(I3531*K3531,0)</f>
        <v>0</v>
      </c>
      <c r="N3531" s="1161" t="s">
        <v>2306</v>
      </c>
    </row>
    <row r="3532" spans="1:14" ht="43.5" hidden="1" customHeight="1">
      <c r="A3532" s="1156">
        <v>16</v>
      </c>
      <c r="B3532" s="1826" t="s">
        <v>794</v>
      </c>
      <c r="C3532" s="1826"/>
      <c r="D3532" s="1826"/>
      <c r="E3532" s="1826"/>
      <c r="F3532" s="1826"/>
      <c r="G3532" s="1826"/>
      <c r="H3532" s="1826"/>
      <c r="I3532" s="1157"/>
      <c r="J3532" s="1158"/>
      <c r="K3532" s="1156"/>
      <c r="L3532" s="1156"/>
      <c r="M3532" s="1160"/>
      <c r="N3532" s="1161" t="s">
        <v>2306</v>
      </c>
    </row>
    <row r="3533" spans="1:14" s="1170" customFormat="1" ht="16.5" hidden="1" customHeight="1">
      <c r="A3533" s="1156"/>
      <c r="B3533" s="1230" t="s">
        <v>424</v>
      </c>
      <c r="C3533" s="1351"/>
      <c r="D3533" s="1418"/>
      <c r="E3533" s="1352"/>
      <c r="F3533" s="1234"/>
      <c r="G3533" s="1234"/>
      <c r="H3533" s="1235"/>
      <c r="I3533" s="1353"/>
      <c r="J3533" s="1357"/>
      <c r="K3533" s="1169"/>
      <c r="L3533" s="1156"/>
      <c r="M3533" s="1169"/>
      <c r="N3533" s="1161" t="s">
        <v>2306</v>
      </c>
    </row>
    <row r="3534" spans="1:14" s="1170" customFormat="1" ht="16.5" hidden="1" customHeight="1">
      <c r="A3534" s="1156"/>
      <c r="B3534" s="1230"/>
      <c r="C3534" s="1332">
        <v>1</v>
      </c>
      <c r="D3534" s="1333" t="s">
        <v>273</v>
      </c>
      <c r="E3534" s="1334">
        <v>1</v>
      </c>
      <c r="F3534" s="1335">
        <v>0</v>
      </c>
      <c r="G3534" s="1335">
        <v>0</v>
      </c>
      <c r="H3534" s="1335">
        <v>0</v>
      </c>
      <c r="I3534" s="1421">
        <f>ROUND(IF(AND(F3534:H3534),C3534*E3534*F3534*G3534*H3534,IF(AND(F3534,G3534),C3534*E3534*F3534*G3534,IF(AND(F3534,H3534),C3534*E3534*F3534*H3534,IF(AND(G3534,H3534),C3534*E3534*G3534*H3534,IF(F3534,C3534*E3534*F3534,IF(G3534,C3534*E3534*G3534,IF(H3534,C3534*E3534*H3534,C3534*E3534))))))),2)</f>
        <v>1</v>
      </c>
      <c r="J3534" s="1357" t="s">
        <v>115</v>
      </c>
      <c r="K3534" s="1169"/>
      <c r="L3534" s="1156"/>
      <c r="M3534" s="1169"/>
      <c r="N3534" s="1161" t="s">
        <v>2306</v>
      </c>
    </row>
    <row r="3535" spans="1:14" s="1170" customFormat="1" ht="16.5" hidden="1" customHeight="1">
      <c r="A3535" s="1156"/>
      <c r="B3535" s="1230"/>
      <c r="C3535" s="1332"/>
      <c r="D3535" s="1333"/>
      <c r="E3535" s="1334"/>
      <c r="F3535" s="1335"/>
      <c r="G3535" s="1335"/>
      <c r="H3535" s="1335"/>
      <c r="I3535" s="1421"/>
      <c r="J3535" s="1357"/>
      <c r="K3535" s="1169"/>
      <c r="L3535" s="1156"/>
      <c r="M3535" s="1169"/>
      <c r="N3535" s="1161" t="s">
        <v>2306</v>
      </c>
    </row>
    <row r="3536" spans="1:14" ht="15.75" hidden="1">
      <c r="A3536" s="1156"/>
      <c r="B3536" s="1169"/>
      <c r="C3536" s="1337"/>
      <c r="D3536" s="1171"/>
      <c r="E3536" s="1165"/>
      <c r="F3536" s="1166"/>
      <c r="G3536" s="1343"/>
      <c r="H3536" s="1156"/>
      <c r="I3536" s="1421"/>
      <c r="J3536" s="1357" t="s">
        <v>115</v>
      </c>
      <c r="K3536" s="1221">
        <f>'Ele Data'!I368</f>
        <v>1290</v>
      </c>
      <c r="L3536" s="1159" t="s">
        <v>2306</v>
      </c>
      <c r="M3536" s="1224">
        <f>ROUND(I3536*K3536,0)</f>
        <v>0</v>
      </c>
      <c r="N3536" s="1161" t="s">
        <v>2306</v>
      </c>
    </row>
    <row r="3537" spans="1:14" ht="66" hidden="1" customHeight="1">
      <c r="A3537" s="1156">
        <v>51</v>
      </c>
      <c r="B3537" s="1826" t="s">
        <v>698</v>
      </c>
      <c r="C3537" s="1826"/>
      <c r="D3537" s="1826"/>
      <c r="E3537" s="1826"/>
      <c r="F3537" s="1826"/>
      <c r="G3537" s="1826"/>
      <c r="H3537" s="1826"/>
      <c r="I3537" s="1157"/>
      <c r="J3537" s="1158"/>
      <c r="K3537" s="1156"/>
      <c r="L3537" s="1156"/>
      <c r="M3537" s="1160"/>
      <c r="N3537" s="1161" t="s">
        <v>2306</v>
      </c>
    </row>
    <row r="3538" spans="1:14" s="1170" customFormat="1" ht="16.5" hidden="1" customHeight="1">
      <c r="A3538" s="1156"/>
      <c r="B3538" s="1169" t="s">
        <v>2768</v>
      </c>
      <c r="C3538" s="1351"/>
      <c r="D3538" s="1418"/>
      <c r="E3538" s="1352"/>
      <c r="F3538" s="1234"/>
      <c r="G3538" s="1234"/>
      <c r="H3538" s="1235"/>
      <c r="I3538" s="1353"/>
      <c r="J3538" s="1357"/>
      <c r="K3538" s="1169"/>
      <c r="L3538" s="1156"/>
      <c r="M3538" s="1169"/>
      <c r="N3538" s="1161" t="s">
        <v>2306</v>
      </c>
    </row>
    <row r="3539" spans="1:14" s="1170" customFormat="1" ht="16.5" hidden="1" customHeight="1">
      <c r="A3539" s="1156"/>
      <c r="B3539" s="1230"/>
      <c r="C3539" s="1332">
        <v>1</v>
      </c>
      <c r="D3539" s="1333" t="s">
        <v>273</v>
      </c>
      <c r="E3539" s="1334">
        <v>2</v>
      </c>
      <c r="F3539" s="1335">
        <v>0</v>
      </c>
      <c r="G3539" s="1335">
        <v>0</v>
      </c>
      <c r="H3539" s="1335">
        <v>0</v>
      </c>
      <c r="I3539" s="1421">
        <f>ROUND(IF(AND(F3539:H3539),C3539*E3539*F3539*G3539*H3539,IF(AND(F3539,G3539),C3539*E3539*F3539*G3539,IF(AND(F3539,H3539),C3539*E3539*F3539*H3539,IF(AND(G3539,H3539),C3539*E3539*G3539*H3539,IF(F3539,C3539*E3539*F3539,IF(G3539,C3539*E3539*G3539,IF(H3539,C3539*E3539*H3539,C3539*E3539))))))),2)</f>
        <v>2</v>
      </c>
      <c r="J3539" s="1357" t="s">
        <v>115</v>
      </c>
      <c r="K3539" s="1169"/>
      <c r="L3539" s="1156"/>
      <c r="M3539" s="1169"/>
      <c r="N3539" s="1161" t="s">
        <v>2306</v>
      </c>
    </row>
    <row r="3540" spans="1:14" s="1170" customFormat="1" ht="16.5" hidden="1" customHeight="1">
      <c r="A3540" s="1156"/>
      <c r="B3540" s="1230"/>
      <c r="C3540" s="1332"/>
      <c r="D3540" s="1333"/>
      <c r="E3540" s="1334"/>
      <c r="F3540" s="1335"/>
      <c r="G3540" s="1335"/>
      <c r="H3540" s="1335"/>
      <c r="I3540" s="1336"/>
      <c r="J3540" s="1357"/>
      <c r="K3540" s="1169"/>
      <c r="L3540" s="1156"/>
      <c r="M3540" s="1169"/>
      <c r="N3540" s="1161" t="s">
        <v>2306</v>
      </c>
    </row>
    <row r="3541" spans="1:14" ht="15.75" hidden="1">
      <c r="A3541" s="1156"/>
      <c r="B3541" s="1169"/>
      <c r="C3541" s="1337"/>
      <c r="D3541" s="1171"/>
      <c r="E3541" s="1165"/>
      <c r="F3541" s="1166"/>
      <c r="G3541" s="1343"/>
      <c r="H3541" s="1156"/>
      <c r="I3541" s="1421"/>
      <c r="J3541" s="1357" t="s">
        <v>115</v>
      </c>
      <c r="K3541" s="1221">
        <f>'Ele Data'!I536</f>
        <v>2995</v>
      </c>
      <c r="L3541" s="1159" t="s">
        <v>2306</v>
      </c>
      <c r="M3541" s="1224">
        <f>ROUND(I3541*K3541,0)</f>
        <v>0</v>
      </c>
      <c r="N3541" s="1161" t="s">
        <v>2306</v>
      </c>
    </row>
    <row r="3542" spans="1:14" ht="44.25" hidden="1" customHeight="1">
      <c r="A3542" s="1156">
        <v>52</v>
      </c>
      <c r="B3542" s="1826" t="s">
        <v>941</v>
      </c>
      <c r="C3542" s="1826"/>
      <c r="D3542" s="1826"/>
      <c r="E3542" s="1826"/>
      <c r="F3542" s="1826"/>
      <c r="G3542" s="1826"/>
      <c r="H3542" s="1826"/>
      <c r="I3542" s="1157"/>
      <c r="J3542" s="1158"/>
      <c r="K3542" s="1156"/>
      <c r="L3542" s="1156"/>
      <c r="M3542" s="1160"/>
      <c r="N3542" s="1161" t="s">
        <v>2306</v>
      </c>
    </row>
    <row r="3543" spans="1:14" s="1170" customFormat="1" ht="16.5" hidden="1" customHeight="1">
      <c r="A3543" s="1156"/>
      <c r="B3543" s="1169" t="s">
        <v>2768</v>
      </c>
      <c r="C3543" s="1351"/>
      <c r="D3543" s="1418"/>
      <c r="E3543" s="1352"/>
      <c r="F3543" s="1234"/>
      <c r="G3543" s="1234"/>
      <c r="H3543" s="1235"/>
      <c r="I3543" s="1353"/>
      <c r="J3543" s="1357"/>
      <c r="K3543" s="1169"/>
      <c r="L3543" s="1156"/>
      <c r="M3543" s="1169"/>
      <c r="N3543" s="1161" t="s">
        <v>2306</v>
      </c>
    </row>
    <row r="3544" spans="1:14" s="1170" customFormat="1" ht="16.5" hidden="1" customHeight="1">
      <c r="A3544" s="1156"/>
      <c r="B3544" s="1230"/>
      <c r="C3544" s="1332">
        <v>1</v>
      </c>
      <c r="D3544" s="1333" t="s">
        <v>273</v>
      </c>
      <c r="E3544" s="1334">
        <v>1</v>
      </c>
      <c r="F3544" s="1335">
        <v>0</v>
      </c>
      <c r="G3544" s="1335">
        <v>0</v>
      </c>
      <c r="H3544" s="1335">
        <v>0</v>
      </c>
      <c r="I3544" s="1421">
        <f>ROUND(IF(AND(F3544:H3544),C3544*E3544*F3544*G3544*H3544,IF(AND(F3544,G3544),C3544*E3544*F3544*G3544,IF(AND(F3544,H3544),C3544*E3544*F3544*H3544,IF(AND(G3544,H3544),C3544*E3544*G3544*H3544,IF(F3544,C3544*E3544*F3544,IF(G3544,C3544*E3544*G3544,IF(H3544,C3544*E3544*H3544,C3544*E3544))))))),2)</f>
        <v>1</v>
      </c>
      <c r="J3544" s="1357" t="s">
        <v>115</v>
      </c>
      <c r="K3544" s="1169"/>
      <c r="L3544" s="1156"/>
      <c r="M3544" s="1169"/>
      <c r="N3544" s="1161" t="s">
        <v>2306</v>
      </c>
    </row>
    <row r="3545" spans="1:14" s="1170" customFormat="1" ht="16.5" hidden="1" customHeight="1">
      <c r="A3545" s="1156"/>
      <c r="B3545" s="1230"/>
      <c r="C3545" s="1332"/>
      <c r="D3545" s="1333"/>
      <c r="E3545" s="1334"/>
      <c r="F3545" s="1335"/>
      <c r="G3545" s="1335"/>
      <c r="H3545" s="1335"/>
      <c r="I3545" s="1336"/>
      <c r="J3545" s="1357"/>
      <c r="K3545" s="1169"/>
      <c r="L3545" s="1156"/>
      <c r="M3545" s="1169"/>
      <c r="N3545" s="1161" t="s">
        <v>2306</v>
      </c>
    </row>
    <row r="3546" spans="1:14" ht="15.75" hidden="1">
      <c r="A3546" s="1156"/>
      <c r="B3546" s="1169"/>
      <c r="C3546" s="1337"/>
      <c r="D3546" s="1171"/>
      <c r="E3546" s="1165"/>
      <c r="F3546" s="1166"/>
      <c r="G3546" s="1343"/>
      <c r="H3546" s="1156"/>
      <c r="I3546" s="1421"/>
      <c r="J3546" s="1357" t="s">
        <v>115</v>
      </c>
      <c r="K3546" s="1221">
        <f>'Ele Data'!I546</f>
        <v>905</v>
      </c>
      <c r="L3546" s="1159" t="s">
        <v>2306</v>
      </c>
      <c r="M3546" s="1224">
        <f>ROUND(I3546*K3546,0)</f>
        <v>0</v>
      </c>
      <c r="N3546" s="1161" t="s">
        <v>2306</v>
      </c>
    </row>
    <row r="3547" spans="1:14" ht="78" hidden="1" customHeight="1">
      <c r="A3547" s="1156">
        <v>53</v>
      </c>
      <c r="B3547" s="1826" t="s">
        <v>450</v>
      </c>
      <c r="C3547" s="1826"/>
      <c r="D3547" s="1826"/>
      <c r="E3547" s="1826"/>
      <c r="F3547" s="1826"/>
      <c r="G3547" s="1826"/>
      <c r="H3547" s="1826"/>
      <c r="I3547" s="1157"/>
      <c r="J3547" s="1158"/>
      <c r="K3547" s="1156"/>
      <c r="L3547" s="1156"/>
      <c r="M3547" s="1160"/>
      <c r="N3547" s="1161" t="s">
        <v>2306</v>
      </c>
    </row>
    <row r="3548" spans="1:14" s="1170" customFormat="1" ht="16.5" hidden="1" customHeight="1">
      <c r="A3548" s="1156"/>
      <c r="B3548" s="1169" t="s">
        <v>2767</v>
      </c>
      <c r="C3548" s="1351"/>
      <c r="D3548" s="1418"/>
      <c r="E3548" s="1352"/>
      <c r="F3548" s="1234"/>
      <c r="G3548" s="1234"/>
      <c r="H3548" s="1235"/>
      <c r="I3548" s="1353"/>
      <c r="J3548" s="1357"/>
      <c r="K3548" s="1169"/>
      <c r="L3548" s="1156"/>
      <c r="M3548" s="1169"/>
      <c r="N3548" s="1161" t="s">
        <v>2306</v>
      </c>
    </row>
    <row r="3549" spans="1:14" s="1170" customFormat="1" ht="16.5" hidden="1" customHeight="1">
      <c r="A3549" s="1156"/>
      <c r="B3549" s="1230"/>
      <c r="C3549" s="1332">
        <v>1</v>
      </c>
      <c r="D3549" s="1333" t="s">
        <v>273</v>
      </c>
      <c r="E3549" s="1334">
        <v>1</v>
      </c>
      <c r="F3549" s="1335">
        <v>0</v>
      </c>
      <c r="G3549" s="1335">
        <v>0</v>
      </c>
      <c r="H3549" s="1335">
        <v>0</v>
      </c>
      <c r="I3549" s="1421">
        <f>ROUND(IF(AND(F3549:H3549),C3549*E3549*F3549*G3549*H3549,IF(AND(F3549,G3549),C3549*E3549*F3549*G3549,IF(AND(F3549,H3549),C3549*E3549*F3549*H3549,IF(AND(G3549,H3549),C3549*E3549*G3549*H3549,IF(F3549,C3549*E3549*F3549,IF(G3549,C3549*E3549*G3549,IF(H3549,C3549*E3549*H3549,C3549*E3549))))))),2)</f>
        <v>1</v>
      </c>
      <c r="J3549" s="1357" t="s">
        <v>115</v>
      </c>
      <c r="K3549" s="1169"/>
      <c r="L3549" s="1156"/>
      <c r="M3549" s="1169"/>
      <c r="N3549" s="1161" t="s">
        <v>2306</v>
      </c>
    </row>
    <row r="3550" spans="1:14" s="1170" customFormat="1" ht="16.5" hidden="1" customHeight="1">
      <c r="A3550" s="1156"/>
      <c r="B3550" s="1230"/>
      <c r="C3550" s="1332"/>
      <c r="D3550" s="1333"/>
      <c r="E3550" s="1334"/>
      <c r="F3550" s="1335"/>
      <c r="G3550" s="1335"/>
      <c r="H3550" s="1335"/>
      <c r="I3550" s="1421"/>
      <c r="J3550" s="1357"/>
      <c r="K3550" s="1169"/>
      <c r="L3550" s="1156"/>
      <c r="M3550" s="1169"/>
      <c r="N3550" s="1161" t="s">
        <v>2306</v>
      </c>
    </row>
    <row r="3551" spans="1:14" ht="15.75" hidden="1">
      <c r="A3551" s="1156"/>
      <c r="B3551" s="1169"/>
      <c r="C3551" s="1337"/>
      <c r="D3551" s="1171"/>
      <c r="E3551" s="1165"/>
      <c r="F3551" s="1166"/>
      <c r="G3551" s="1343"/>
      <c r="H3551" s="1156"/>
      <c r="I3551" s="1421"/>
      <c r="J3551" s="1357" t="s">
        <v>115</v>
      </c>
      <c r="K3551" s="1221">
        <f>'Ele Data'!I565</f>
        <v>3432.82</v>
      </c>
      <c r="L3551" s="1159" t="s">
        <v>2306</v>
      </c>
      <c r="M3551" s="1224">
        <f>ROUND(I3551*K3551,0)</f>
        <v>0</v>
      </c>
      <c r="N3551" s="1161" t="s">
        <v>2306</v>
      </c>
    </row>
    <row r="3552" spans="1:14" s="1320" customFormat="1" ht="15.75" hidden="1">
      <c r="A3552" s="1212"/>
      <c r="B3552" s="1212" t="s">
        <v>2221</v>
      </c>
      <c r="C3552" s="1212"/>
      <c r="D3552" s="1212"/>
      <c r="E3552" s="1212"/>
      <c r="F3552" s="1240"/>
      <c r="G3552" s="1240"/>
      <c r="H3552" s="1212"/>
      <c r="I3552" s="1546"/>
      <c r="J3552" s="1547"/>
      <c r="K3552" s="1212"/>
      <c r="L3552" s="1212"/>
      <c r="M3552" s="1212"/>
      <c r="N3552" s="1161" t="s">
        <v>2317</v>
      </c>
    </row>
    <row r="3553" spans="1:14" ht="56.25" hidden="1" customHeight="1">
      <c r="A3553" s="1156">
        <v>2</v>
      </c>
      <c r="B3553" s="1826" t="s">
        <v>585</v>
      </c>
      <c r="C3553" s="1826"/>
      <c r="D3553" s="1826"/>
      <c r="E3553" s="1826"/>
      <c r="F3553" s="1826"/>
      <c r="G3553" s="1826"/>
      <c r="H3553" s="1826"/>
      <c r="I3553" s="1157"/>
      <c r="J3553" s="1158"/>
      <c r="K3553" s="1156"/>
      <c r="L3553" s="1156"/>
      <c r="M3553" s="1160"/>
      <c r="N3553" s="1161" t="s">
        <v>2317</v>
      </c>
    </row>
    <row r="3554" spans="1:14" s="1170" customFormat="1" ht="16.5" hidden="1" customHeight="1">
      <c r="A3554" s="1156"/>
      <c r="B3554" s="1169" t="s">
        <v>2324</v>
      </c>
      <c r="C3554" s="1366"/>
      <c r="D3554" s="1567"/>
      <c r="E3554" s="1367"/>
      <c r="F3554" s="1368"/>
      <c r="G3554" s="1234"/>
      <c r="H3554" s="1235"/>
      <c r="I3554" s="1353"/>
      <c r="J3554" s="1357"/>
      <c r="K3554" s="1169"/>
      <c r="L3554" s="1156"/>
      <c r="M3554" s="1169"/>
      <c r="N3554" s="1161" t="s">
        <v>2317</v>
      </c>
    </row>
    <row r="3555" spans="1:14" s="1170" customFormat="1" ht="16.5" hidden="1" customHeight="1">
      <c r="A3555" s="1156"/>
      <c r="B3555" s="1369" t="s">
        <v>650</v>
      </c>
      <c r="C3555" s="1370">
        <v>1</v>
      </c>
      <c r="D3555" s="1371" t="s">
        <v>273</v>
      </c>
      <c r="E3555" s="1372">
        <v>1</v>
      </c>
      <c r="F3555" s="1373">
        <v>8.5</v>
      </c>
      <c r="G3555" s="1363">
        <v>0</v>
      </c>
      <c r="H3555" s="1363">
        <v>0</v>
      </c>
      <c r="I3555" s="1336">
        <f>ROUND(IF(AND(F3555:H3555),C3555*E3555*F3555*G3555*H3555,IF(AND(F3555,G3555),C3555*E3555*F3555*G3555,IF(AND(F3555,H3555),C3555*E3555*F3555*H3555,IF(AND(G3555,H3555),C3555*E3555*G3555*H3555,IF(F3555,C3555*E3555*F3555,IF(G3555,C3555*E3555*G3555,IF(H3555,C3555*E3555*H3555,C3555*E3555))))))),2)</f>
        <v>8.5</v>
      </c>
      <c r="J3555" s="1357" t="s">
        <v>277</v>
      </c>
      <c r="K3555" s="1169"/>
      <c r="L3555" s="1156"/>
      <c r="M3555" s="1169"/>
      <c r="N3555" s="1161" t="s">
        <v>2317</v>
      </c>
    </row>
    <row r="3556" spans="1:14" s="1170" customFormat="1" ht="16.5" hidden="1" customHeight="1">
      <c r="A3556" s="1156"/>
      <c r="B3556" s="1369"/>
      <c r="C3556" s="1374"/>
      <c r="D3556" s="1375"/>
      <c r="E3556" s="1376"/>
      <c r="F3556" s="1377"/>
      <c r="G3556" s="1335"/>
      <c r="H3556" s="1335"/>
      <c r="I3556" s="1336"/>
      <c r="J3556" s="1357"/>
      <c r="K3556" s="1169"/>
      <c r="L3556" s="1156"/>
      <c r="M3556" s="1169"/>
      <c r="N3556" s="1161" t="s">
        <v>2317</v>
      </c>
    </row>
    <row r="3557" spans="1:14" ht="15.75" hidden="1">
      <c r="A3557" s="1156"/>
      <c r="B3557" s="1169"/>
      <c r="C3557" s="1337"/>
      <c r="D3557" s="1171"/>
      <c r="E3557" s="1165"/>
      <c r="F3557" s="1166"/>
      <c r="G3557" s="1343"/>
      <c r="H3557" s="1156"/>
      <c r="I3557" s="1336"/>
      <c r="J3557" s="1357" t="s">
        <v>277</v>
      </c>
      <c r="K3557" s="1221">
        <f>'Ele Data'!I584</f>
        <v>69.88</v>
      </c>
      <c r="L3557" s="1159" t="s">
        <v>2317</v>
      </c>
      <c r="M3557" s="1224">
        <f>ROUND(I3557*K3557,0)</f>
        <v>0</v>
      </c>
      <c r="N3557" s="1161" t="s">
        <v>2317</v>
      </c>
    </row>
    <row r="3558" spans="1:14" ht="56.25" hidden="1" customHeight="1">
      <c r="A3558" s="1156">
        <v>50</v>
      </c>
      <c r="B3558" s="1826" t="s">
        <v>307</v>
      </c>
      <c r="C3558" s="1826"/>
      <c r="D3558" s="1826"/>
      <c r="E3558" s="1826"/>
      <c r="F3558" s="1826"/>
      <c r="G3558" s="1826"/>
      <c r="H3558" s="1826"/>
      <c r="I3558" s="1157"/>
      <c r="J3558" s="1158"/>
      <c r="K3558" s="1156"/>
      <c r="L3558" s="1156"/>
      <c r="M3558" s="1160"/>
      <c r="N3558" s="1161" t="s">
        <v>2317</v>
      </c>
    </row>
    <row r="3559" spans="1:14" s="1170" customFormat="1" ht="16.5" hidden="1" customHeight="1">
      <c r="A3559" s="1156"/>
      <c r="B3559" s="1163" t="s">
        <v>3547</v>
      </c>
      <c r="C3559" s="1351"/>
      <c r="D3559" s="1548" t="s">
        <v>3651</v>
      </c>
      <c r="E3559" s="1352"/>
      <c r="F3559" s="1234"/>
      <c r="G3559" s="1234"/>
      <c r="H3559" s="1235"/>
      <c r="I3559" s="1353"/>
      <c r="J3559" s="1357"/>
      <c r="K3559" s="1169"/>
      <c r="L3559" s="1156"/>
      <c r="M3559" s="1169"/>
      <c r="N3559" s="1161" t="s">
        <v>2317</v>
      </c>
    </row>
    <row r="3560" spans="1:14" s="1170" customFormat="1" ht="16.5" hidden="1" customHeight="1">
      <c r="A3560" s="1156"/>
      <c r="B3560" s="1359" t="s">
        <v>3359</v>
      </c>
      <c r="C3560" s="1360">
        <v>1</v>
      </c>
      <c r="D3560" s="1361" t="s">
        <v>273</v>
      </c>
      <c r="E3560" s="1362">
        <v>1</v>
      </c>
      <c r="F3560" s="1363">
        <v>30</v>
      </c>
      <c r="G3560" s="1363">
        <v>0</v>
      </c>
      <c r="H3560" s="1363">
        <v>0</v>
      </c>
      <c r="I3560" s="1336">
        <f t="shared" ref="I3560:I3562" si="180">ROUND(IF(AND(F3560:H3560),C3560*E3560*F3560*G3560*H3560,IF(AND(F3560,G3560),C3560*E3560*F3560*G3560,IF(AND(F3560,H3560),C3560*E3560*F3560*H3560,IF(AND(G3560,H3560),C3560*E3560*G3560*H3560,IF(F3560,C3560*E3560*F3560,IF(G3560,C3560*E3560*G3560,IF(H3560,C3560*E3560*H3560,C3560*E3560))))))),2)</f>
        <v>30</v>
      </c>
      <c r="J3560" s="1357" t="s">
        <v>277</v>
      </c>
      <c r="K3560" s="1169"/>
      <c r="L3560" s="1156"/>
      <c r="M3560" s="1169"/>
      <c r="N3560" s="1161" t="s">
        <v>2317</v>
      </c>
    </row>
    <row r="3561" spans="1:14" s="1170" customFormat="1" ht="16.5" hidden="1" customHeight="1">
      <c r="A3561" s="1156"/>
      <c r="B3561" s="1359" t="s">
        <v>3352</v>
      </c>
      <c r="C3561" s="1360">
        <v>1</v>
      </c>
      <c r="D3561" s="1361" t="s">
        <v>273</v>
      </c>
      <c r="E3561" s="1362">
        <v>1</v>
      </c>
      <c r="F3561" s="1363">
        <v>15</v>
      </c>
      <c r="G3561" s="1363">
        <v>0</v>
      </c>
      <c r="H3561" s="1363">
        <v>0</v>
      </c>
      <c r="I3561" s="1336">
        <f t="shared" si="180"/>
        <v>15</v>
      </c>
      <c r="J3561" s="1357" t="s">
        <v>277</v>
      </c>
      <c r="K3561" s="1169"/>
      <c r="L3561" s="1156"/>
      <c r="M3561" s="1169"/>
      <c r="N3561" s="1161" t="s">
        <v>2317</v>
      </c>
    </row>
    <row r="3562" spans="1:14" s="1170" customFormat="1" ht="16.5" hidden="1" customHeight="1">
      <c r="A3562" s="1156"/>
      <c r="B3562" s="1359" t="s">
        <v>1494</v>
      </c>
      <c r="C3562" s="1360">
        <v>1</v>
      </c>
      <c r="D3562" s="1361" t="s">
        <v>273</v>
      </c>
      <c r="E3562" s="1362">
        <v>1</v>
      </c>
      <c r="F3562" s="1363">
        <v>15</v>
      </c>
      <c r="G3562" s="1363">
        <v>0</v>
      </c>
      <c r="H3562" s="1363">
        <v>0</v>
      </c>
      <c r="I3562" s="1336">
        <f t="shared" si="180"/>
        <v>15</v>
      </c>
      <c r="J3562" s="1357" t="s">
        <v>277</v>
      </c>
      <c r="K3562" s="1169"/>
      <c r="L3562" s="1156"/>
      <c r="M3562" s="1169"/>
      <c r="N3562" s="1161" t="s">
        <v>2317</v>
      </c>
    </row>
    <row r="3563" spans="1:14" s="1170" customFormat="1" ht="16.5" hidden="1" customHeight="1">
      <c r="A3563" s="1156"/>
      <c r="B3563" s="1331"/>
      <c r="C3563" s="1332"/>
      <c r="D3563" s="1333"/>
      <c r="E3563" s="1334"/>
      <c r="F3563" s="1335"/>
      <c r="G3563" s="1335"/>
      <c r="H3563" s="1335"/>
      <c r="I3563" s="1336"/>
      <c r="J3563" s="1357"/>
      <c r="K3563" s="1169"/>
      <c r="L3563" s="1156"/>
      <c r="M3563" s="1169"/>
      <c r="N3563" s="1161" t="s">
        <v>2317</v>
      </c>
    </row>
    <row r="3564" spans="1:14" ht="15.75" hidden="1">
      <c r="A3564" s="1156"/>
      <c r="B3564" s="1169"/>
      <c r="C3564" s="1337"/>
      <c r="D3564" s="1171"/>
      <c r="E3564" s="1165"/>
      <c r="F3564" s="1166"/>
      <c r="G3564" s="1343"/>
      <c r="H3564" s="1156"/>
      <c r="I3564" s="1336"/>
      <c r="J3564" s="1357" t="s">
        <v>277</v>
      </c>
      <c r="K3564" s="1221">
        <f>'Ele Data'!I599</f>
        <v>79.430000000000007</v>
      </c>
      <c r="L3564" s="1159" t="s">
        <v>2317</v>
      </c>
      <c r="M3564" s="1224">
        <f>ROUND(I3564*K3564,0)</f>
        <v>0</v>
      </c>
      <c r="N3564" s="1161" t="s">
        <v>2317</v>
      </c>
    </row>
    <row r="3565" spans="1:14" ht="17.25" hidden="1" customHeight="1">
      <c r="A3565" s="1156">
        <v>3</v>
      </c>
      <c r="B3565" s="1826" t="s">
        <v>389</v>
      </c>
      <c r="C3565" s="1826"/>
      <c r="D3565" s="1826"/>
      <c r="E3565" s="1826"/>
      <c r="F3565" s="1826"/>
      <c r="G3565" s="1826"/>
      <c r="H3565" s="1826"/>
      <c r="I3565" s="1157"/>
      <c r="J3565" s="1158"/>
      <c r="K3565" s="1156"/>
      <c r="L3565" s="1156"/>
      <c r="M3565" s="1160"/>
      <c r="N3565" s="1161" t="s">
        <v>2317</v>
      </c>
    </row>
    <row r="3566" spans="1:14" s="1170" customFormat="1" ht="16.5" hidden="1" customHeight="1">
      <c r="A3566" s="1156"/>
      <c r="B3566" s="1358" t="s">
        <v>740</v>
      </c>
      <c r="C3566" s="1351"/>
      <c r="D3566" s="1418"/>
      <c r="E3566" s="1352"/>
      <c r="F3566" s="1234"/>
      <c r="G3566" s="1234"/>
      <c r="H3566" s="1235"/>
      <c r="I3566" s="1353"/>
      <c r="J3566" s="1357"/>
      <c r="K3566" s="1169"/>
      <c r="L3566" s="1156"/>
      <c r="M3566" s="1169"/>
      <c r="N3566" s="1161" t="s">
        <v>2317</v>
      </c>
    </row>
    <row r="3567" spans="1:14" s="1170" customFormat="1" ht="16.5" hidden="1" customHeight="1">
      <c r="A3567" s="1156"/>
      <c r="B3567" s="1331" t="s">
        <v>687</v>
      </c>
      <c r="C3567" s="1332"/>
      <c r="D3567" s="1333"/>
      <c r="E3567" s="1334"/>
      <c r="F3567" s="1335"/>
      <c r="G3567" s="1335"/>
      <c r="H3567" s="1335"/>
      <c r="I3567" s="1336"/>
      <c r="J3567" s="1357"/>
      <c r="K3567" s="1169"/>
      <c r="L3567" s="1156"/>
      <c r="M3567" s="1169"/>
      <c r="N3567" s="1161" t="s">
        <v>2317</v>
      </c>
    </row>
    <row r="3568" spans="1:14" s="1170" customFormat="1" ht="16.5" hidden="1" customHeight="1">
      <c r="A3568" s="1156"/>
      <c r="B3568" s="1331" t="s">
        <v>659</v>
      </c>
      <c r="C3568" s="1332">
        <v>1</v>
      </c>
      <c r="D3568" s="1333" t="s">
        <v>273</v>
      </c>
      <c r="E3568" s="1334">
        <v>1</v>
      </c>
      <c r="F3568" s="1335">
        <v>4</v>
      </c>
      <c r="G3568" s="1335">
        <v>0</v>
      </c>
      <c r="H3568" s="1335">
        <v>0</v>
      </c>
      <c r="I3568" s="1336">
        <f>ROUND(IF(AND(F3568:H3568),C3568*E3568*F3568*G3568*H3568,IF(AND(F3568,G3568),C3568*E3568*F3568*G3568,IF(AND(F3568,H3568),C3568*E3568*F3568*H3568,IF(AND(G3568,H3568),C3568*E3568*G3568*H3568,IF(F3568,C3568*E3568*F3568,IF(G3568,C3568*E3568*G3568,IF(H3568,C3568*E3568*H3568,C3568*E3568))))))),2)</f>
        <v>4</v>
      </c>
      <c r="J3568" s="1357" t="s">
        <v>277</v>
      </c>
      <c r="K3568" s="1169"/>
      <c r="L3568" s="1156"/>
      <c r="M3568" s="1169"/>
      <c r="N3568" s="1161" t="s">
        <v>2317</v>
      </c>
    </row>
    <row r="3569" spans="1:14" s="1170" customFormat="1" ht="16.5" hidden="1" customHeight="1">
      <c r="A3569" s="1156"/>
      <c r="B3569" s="1230" t="s">
        <v>688</v>
      </c>
      <c r="C3569" s="1332">
        <v>1</v>
      </c>
      <c r="D3569" s="1333" t="s">
        <v>273</v>
      </c>
      <c r="E3569" s="1334">
        <v>1</v>
      </c>
      <c r="F3569" s="1335">
        <v>1.8</v>
      </c>
      <c r="G3569" s="1335">
        <v>0</v>
      </c>
      <c r="H3569" s="1335">
        <v>0</v>
      </c>
      <c r="I3569" s="1336">
        <f>ROUND(IF(AND(F3569:H3569),C3569*E3569*F3569*G3569*H3569,IF(AND(F3569,G3569),C3569*E3569*F3569*G3569,IF(AND(F3569,H3569),C3569*E3569*F3569*H3569,IF(AND(G3569,H3569),C3569*E3569*G3569*H3569,IF(F3569,C3569*E3569*F3569,IF(G3569,C3569*E3569*G3569,IF(H3569,C3569*E3569*H3569,C3569*E3569))))))),2)</f>
        <v>1.8</v>
      </c>
      <c r="J3569" s="1357" t="s">
        <v>277</v>
      </c>
      <c r="K3569" s="1169"/>
      <c r="L3569" s="1156"/>
      <c r="M3569" s="1169"/>
      <c r="N3569" s="1161" t="s">
        <v>2317</v>
      </c>
    </row>
    <row r="3570" spans="1:14" s="1170" customFormat="1" ht="16.5" hidden="1" customHeight="1">
      <c r="A3570" s="1156"/>
      <c r="B3570" s="1331" t="s">
        <v>689</v>
      </c>
      <c r="C3570" s="1332">
        <v>1</v>
      </c>
      <c r="D3570" s="1333" t="s">
        <v>273</v>
      </c>
      <c r="E3570" s="1334">
        <v>1</v>
      </c>
      <c r="F3570" s="1335">
        <v>2</v>
      </c>
      <c r="G3570" s="1335">
        <v>0</v>
      </c>
      <c r="H3570" s="1335">
        <v>0</v>
      </c>
      <c r="I3570" s="1336">
        <f>ROUND(IF(AND(F3570:H3570),C3570*E3570*F3570*G3570*H3570,IF(AND(F3570,G3570),C3570*E3570*F3570*G3570,IF(AND(F3570,H3570),C3570*E3570*F3570*H3570,IF(AND(G3570,H3570),C3570*E3570*G3570*H3570,IF(F3570,C3570*E3570*F3570,IF(G3570,C3570*E3570*G3570,IF(H3570,C3570*E3570*H3570,C3570*E3570))))))),2)</f>
        <v>2</v>
      </c>
      <c r="J3570" s="1357" t="s">
        <v>277</v>
      </c>
      <c r="K3570" s="1169"/>
      <c r="L3570" s="1156"/>
      <c r="M3570" s="1169"/>
      <c r="N3570" s="1161" t="s">
        <v>2317</v>
      </c>
    </row>
    <row r="3571" spans="1:14" s="1170" customFormat="1" ht="16.5" hidden="1" customHeight="1">
      <c r="A3571" s="1156"/>
      <c r="B3571" s="1331"/>
      <c r="C3571" s="1332"/>
      <c r="D3571" s="1333"/>
      <c r="E3571" s="1334"/>
      <c r="F3571" s="1335"/>
      <c r="G3571" s="1335"/>
      <c r="H3571" s="1335"/>
      <c r="I3571" s="1336"/>
      <c r="J3571" s="1357"/>
      <c r="K3571" s="1169"/>
      <c r="L3571" s="1156"/>
      <c r="M3571" s="1169"/>
      <c r="N3571" s="1161" t="s">
        <v>2317</v>
      </c>
    </row>
    <row r="3572" spans="1:14" ht="15.75" hidden="1">
      <c r="A3572" s="1156"/>
      <c r="B3572" s="1169"/>
      <c r="C3572" s="1337"/>
      <c r="D3572" s="1171"/>
      <c r="E3572" s="1165"/>
      <c r="F3572" s="1166"/>
      <c r="G3572" s="1343"/>
      <c r="H3572" s="1156"/>
      <c r="I3572" s="1336"/>
      <c r="J3572" s="1357" t="s">
        <v>277</v>
      </c>
      <c r="K3572" s="1221">
        <f>'Ele Data'!I603</f>
        <v>58</v>
      </c>
      <c r="L3572" s="1159" t="s">
        <v>2317</v>
      </c>
      <c r="M3572" s="1224">
        <f>ROUND(I3572*K3572,0)</f>
        <v>0</v>
      </c>
      <c r="N3572" s="1161" t="s">
        <v>2317</v>
      </c>
    </row>
    <row r="3573" spans="1:14" ht="27" hidden="1" customHeight="1">
      <c r="A3573" s="1156">
        <v>51</v>
      </c>
      <c r="B3573" s="1826" t="s">
        <v>427</v>
      </c>
      <c r="C3573" s="1826"/>
      <c r="D3573" s="1826"/>
      <c r="E3573" s="1826"/>
      <c r="F3573" s="1826"/>
      <c r="G3573" s="1826"/>
      <c r="H3573" s="1826"/>
      <c r="I3573" s="1157"/>
      <c r="J3573" s="1158"/>
      <c r="K3573" s="1156"/>
      <c r="L3573" s="1156"/>
      <c r="M3573" s="1160"/>
      <c r="N3573" s="1161" t="s">
        <v>2317</v>
      </c>
    </row>
    <row r="3574" spans="1:14" s="1170" customFormat="1" ht="16.5" hidden="1" customHeight="1">
      <c r="A3574" s="1156"/>
      <c r="B3574" s="1163" t="s">
        <v>3547</v>
      </c>
      <c r="C3574" s="1351"/>
      <c r="D3574" s="1548" t="s">
        <v>3651</v>
      </c>
      <c r="E3574" s="1352"/>
      <c r="F3574" s="1234"/>
      <c r="G3574" s="1234"/>
      <c r="H3574" s="1235"/>
      <c r="I3574" s="1353"/>
      <c r="J3574" s="1357"/>
      <c r="K3574" s="1169"/>
      <c r="L3574" s="1156"/>
      <c r="M3574" s="1169"/>
      <c r="N3574" s="1161" t="s">
        <v>2317</v>
      </c>
    </row>
    <row r="3575" spans="1:14" s="1170" customFormat="1" ht="16.5" hidden="1" customHeight="1">
      <c r="A3575" s="1156"/>
      <c r="B3575" s="1230"/>
      <c r="C3575" s="1360">
        <v>1</v>
      </c>
      <c r="D3575" s="1361" t="s">
        <v>273</v>
      </c>
      <c r="E3575" s="1362">
        <v>9</v>
      </c>
      <c r="F3575" s="1363">
        <v>0</v>
      </c>
      <c r="G3575" s="1363">
        <v>0</v>
      </c>
      <c r="H3575" s="1363">
        <v>0</v>
      </c>
      <c r="I3575" s="1421">
        <f t="shared" ref="I3575" si="181">ROUND(IF(AND(F3575:H3575),C3575*E3575*F3575*G3575*H3575,IF(AND(F3575,G3575),C3575*E3575*F3575*G3575,IF(AND(F3575,H3575),C3575*E3575*F3575*H3575,IF(AND(G3575,H3575),C3575*E3575*G3575*H3575,IF(F3575,C3575*E3575*F3575,IF(G3575,C3575*E3575*G3575,IF(H3575,C3575*E3575*H3575,C3575*E3575))))))),2)</f>
        <v>9</v>
      </c>
      <c r="J3575" s="1357" t="s">
        <v>115</v>
      </c>
      <c r="K3575" s="1169"/>
      <c r="L3575" s="1156"/>
      <c r="M3575" s="1169"/>
      <c r="N3575" s="1161" t="s">
        <v>2317</v>
      </c>
    </row>
    <row r="3576" spans="1:14" s="1170" customFormat="1" ht="16.5" hidden="1" customHeight="1">
      <c r="A3576" s="1156"/>
      <c r="B3576" s="1230"/>
      <c r="C3576" s="1332"/>
      <c r="D3576" s="1333"/>
      <c r="E3576" s="1334"/>
      <c r="F3576" s="1335"/>
      <c r="G3576" s="1335"/>
      <c r="H3576" s="1335"/>
      <c r="I3576" s="1421"/>
      <c r="J3576" s="1357"/>
      <c r="K3576" s="1169"/>
      <c r="L3576" s="1156"/>
      <c r="M3576" s="1169"/>
      <c r="N3576" s="1161" t="s">
        <v>2317</v>
      </c>
    </row>
    <row r="3577" spans="1:14" ht="15.75" hidden="1">
      <c r="A3577" s="1156"/>
      <c r="B3577" s="1169"/>
      <c r="C3577" s="1337"/>
      <c r="D3577" s="1171"/>
      <c r="E3577" s="1165"/>
      <c r="F3577" s="1166"/>
      <c r="G3577" s="1343"/>
      <c r="H3577" s="1156"/>
      <c r="I3577" s="1421"/>
      <c r="J3577" s="1357" t="s">
        <v>115</v>
      </c>
      <c r="K3577" s="1221">
        <f>'Ele Data'!I606</f>
        <v>226</v>
      </c>
      <c r="L3577" s="1159" t="s">
        <v>2317</v>
      </c>
      <c r="M3577" s="1224">
        <f>ROUND(I3577*K3577,0)</f>
        <v>0</v>
      </c>
      <c r="N3577" s="1161" t="s">
        <v>2317</v>
      </c>
    </row>
    <row r="3578" spans="1:14" ht="27" hidden="1" customHeight="1">
      <c r="A3578" s="1156">
        <v>4</v>
      </c>
      <c r="B3578" s="1826" t="s">
        <v>610</v>
      </c>
      <c r="C3578" s="1826"/>
      <c r="D3578" s="1826"/>
      <c r="E3578" s="1826"/>
      <c r="F3578" s="1826"/>
      <c r="G3578" s="1826"/>
      <c r="H3578" s="1826"/>
      <c r="I3578" s="1157"/>
      <c r="J3578" s="1158"/>
      <c r="K3578" s="1156"/>
      <c r="L3578" s="1156"/>
      <c r="M3578" s="1160"/>
      <c r="N3578" s="1161" t="s">
        <v>2317</v>
      </c>
    </row>
    <row r="3579" spans="1:14" s="1170" customFormat="1" ht="16.5" hidden="1" customHeight="1">
      <c r="A3579" s="1156"/>
      <c r="B3579" s="1169" t="s">
        <v>2325</v>
      </c>
      <c r="C3579" s="1351"/>
      <c r="D3579" s="1418"/>
      <c r="E3579" s="1352"/>
      <c r="F3579" s="1234"/>
      <c r="G3579" s="1234"/>
      <c r="H3579" s="1235"/>
      <c r="I3579" s="1353"/>
      <c r="J3579" s="1357"/>
      <c r="K3579" s="1169"/>
      <c r="L3579" s="1156"/>
      <c r="M3579" s="1169"/>
      <c r="N3579" s="1161" t="s">
        <v>2317</v>
      </c>
    </row>
    <row r="3580" spans="1:14" s="1170" customFormat="1" ht="16.5" hidden="1" customHeight="1">
      <c r="A3580" s="1156"/>
      <c r="B3580" s="1230" t="s">
        <v>2087</v>
      </c>
      <c r="C3580" s="1332">
        <v>1</v>
      </c>
      <c r="D3580" s="1333" t="s">
        <v>273</v>
      </c>
      <c r="E3580" s="1334">
        <v>4</v>
      </c>
      <c r="F3580" s="1335">
        <v>0</v>
      </c>
      <c r="G3580" s="1335">
        <v>0</v>
      </c>
      <c r="H3580" s="1335">
        <v>0</v>
      </c>
      <c r="I3580" s="1421">
        <f>ROUND(IF(AND(F3580:H3580),C3580*E3580*F3580*G3580*H3580,IF(AND(F3580,G3580),C3580*E3580*F3580*G3580,IF(AND(F3580,H3580),C3580*E3580*F3580*H3580,IF(AND(G3580,H3580),C3580*E3580*G3580*H3580,IF(F3580,C3580*E3580*F3580,IF(G3580,C3580*E3580*G3580,IF(H3580,C3580*E3580*H3580,C3580*E3580))))))),2)</f>
        <v>4</v>
      </c>
      <c r="J3580" s="1357" t="s">
        <v>115</v>
      </c>
      <c r="K3580" s="1169"/>
      <c r="L3580" s="1156"/>
      <c r="M3580" s="1169"/>
      <c r="N3580" s="1161" t="s">
        <v>2317</v>
      </c>
    </row>
    <row r="3581" spans="1:14" s="1170" customFormat="1" ht="16.5" hidden="1" customHeight="1">
      <c r="A3581" s="1156"/>
      <c r="B3581" s="1230"/>
      <c r="C3581" s="1332"/>
      <c r="D3581" s="1333"/>
      <c r="E3581" s="1334"/>
      <c r="F3581" s="1335"/>
      <c r="G3581" s="1335"/>
      <c r="H3581" s="1335"/>
      <c r="I3581" s="1336"/>
      <c r="J3581" s="1357"/>
      <c r="K3581" s="1169"/>
      <c r="L3581" s="1156"/>
      <c r="M3581" s="1169"/>
      <c r="N3581" s="1161" t="s">
        <v>2317</v>
      </c>
    </row>
    <row r="3582" spans="1:14" ht="15.75" hidden="1">
      <c r="A3582" s="1156"/>
      <c r="B3582" s="1169"/>
      <c r="C3582" s="1337"/>
      <c r="D3582" s="1171"/>
      <c r="E3582" s="1165"/>
      <c r="F3582" s="1166"/>
      <c r="G3582" s="1343"/>
      <c r="H3582" s="1156"/>
      <c r="I3582" s="1421"/>
      <c r="J3582" s="1357" t="s">
        <v>115</v>
      </c>
      <c r="K3582" s="1221">
        <f>'Ele Data'!I609</f>
        <v>187</v>
      </c>
      <c r="L3582" s="1159" t="s">
        <v>2317</v>
      </c>
      <c r="M3582" s="1224">
        <f>ROUND(I3582*K3582,0)</f>
        <v>0</v>
      </c>
      <c r="N3582" s="1161" t="s">
        <v>2317</v>
      </c>
    </row>
    <row r="3583" spans="1:14" ht="27" hidden="1" customHeight="1">
      <c r="A3583" s="1156">
        <v>5</v>
      </c>
      <c r="B3583" s="1826" t="s">
        <v>690</v>
      </c>
      <c r="C3583" s="1826"/>
      <c r="D3583" s="1826"/>
      <c r="E3583" s="1826"/>
      <c r="F3583" s="1826"/>
      <c r="G3583" s="1826"/>
      <c r="H3583" s="1826"/>
      <c r="I3583" s="1157"/>
      <c r="J3583" s="1158"/>
      <c r="K3583" s="1156"/>
      <c r="L3583" s="1156"/>
      <c r="M3583" s="1160"/>
      <c r="N3583" s="1161" t="s">
        <v>2317</v>
      </c>
    </row>
    <row r="3584" spans="1:14" s="1170" customFormat="1" ht="16.5" hidden="1" customHeight="1">
      <c r="A3584" s="1156"/>
      <c r="B3584" s="1169" t="s">
        <v>2353</v>
      </c>
      <c r="C3584" s="1351"/>
      <c r="D3584" s="1418"/>
      <c r="E3584" s="1352"/>
      <c r="F3584" s="1234"/>
      <c r="G3584" s="1234"/>
      <c r="H3584" s="1235"/>
      <c r="I3584" s="1353"/>
      <c r="J3584" s="1357"/>
      <c r="K3584" s="1169"/>
      <c r="L3584" s="1156"/>
      <c r="M3584" s="1169"/>
      <c r="N3584" s="1161" t="s">
        <v>2317</v>
      </c>
    </row>
    <row r="3585" spans="1:14" s="1170" customFormat="1" ht="16.5" hidden="1" customHeight="1">
      <c r="A3585" s="1156"/>
      <c r="B3585" s="1230" t="s">
        <v>2087</v>
      </c>
      <c r="C3585" s="1332">
        <v>1</v>
      </c>
      <c r="D3585" s="1333" t="s">
        <v>273</v>
      </c>
      <c r="E3585" s="1334">
        <v>14</v>
      </c>
      <c r="F3585" s="1335">
        <v>0</v>
      </c>
      <c r="G3585" s="1335">
        <v>0</v>
      </c>
      <c r="H3585" s="1335">
        <v>0</v>
      </c>
      <c r="I3585" s="1421">
        <f>ROUND(IF(AND(F3585:H3585),C3585*E3585*F3585*G3585*H3585,IF(AND(F3585,G3585),C3585*E3585*F3585*G3585,IF(AND(F3585,H3585),C3585*E3585*F3585*H3585,IF(AND(G3585,H3585),C3585*E3585*G3585*H3585,IF(F3585,C3585*E3585*F3585,IF(G3585,C3585*E3585*G3585,IF(H3585,C3585*E3585*H3585,C3585*E3585))))))),2)</f>
        <v>14</v>
      </c>
      <c r="J3585" s="1357" t="s">
        <v>115</v>
      </c>
      <c r="K3585" s="1169"/>
      <c r="L3585" s="1156"/>
      <c r="M3585" s="1169"/>
      <c r="N3585" s="1161" t="s">
        <v>2317</v>
      </c>
    </row>
    <row r="3586" spans="1:14" s="1170" customFormat="1" ht="16.5" hidden="1" customHeight="1">
      <c r="A3586" s="1156"/>
      <c r="B3586" s="1230"/>
      <c r="C3586" s="1332"/>
      <c r="D3586" s="1333"/>
      <c r="E3586" s="1334"/>
      <c r="F3586" s="1335"/>
      <c r="G3586" s="1335"/>
      <c r="H3586" s="1335"/>
      <c r="I3586" s="1336"/>
      <c r="J3586" s="1357"/>
      <c r="K3586" s="1169"/>
      <c r="L3586" s="1156"/>
      <c r="M3586" s="1169"/>
      <c r="N3586" s="1161" t="s">
        <v>2317</v>
      </c>
    </row>
    <row r="3587" spans="1:14" ht="15.75" hidden="1">
      <c r="A3587" s="1156"/>
      <c r="B3587" s="1169"/>
      <c r="C3587" s="1337"/>
      <c r="D3587" s="1171"/>
      <c r="E3587" s="1165"/>
      <c r="F3587" s="1166"/>
      <c r="G3587" s="1343"/>
      <c r="H3587" s="1156"/>
      <c r="I3587" s="1421"/>
      <c r="J3587" s="1357" t="s">
        <v>115</v>
      </c>
      <c r="K3587" s="1221">
        <f>'Ele Data'!I612</f>
        <v>143</v>
      </c>
      <c r="L3587" s="1159" t="s">
        <v>2317</v>
      </c>
      <c r="M3587" s="1224">
        <f>ROUND(I3587*K3587,0)</f>
        <v>0</v>
      </c>
      <c r="N3587" s="1161" t="s">
        <v>2317</v>
      </c>
    </row>
    <row r="3588" spans="1:14" ht="27" hidden="1" customHeight="1">
      <c r="A3588" s="1156">
        <v>4</v>
      </c>
      <c r="B3588" s="1826" t="s">
        <v>1512</v>
      </c>
      <c r="C3588" s="1826"/>
      <c r="D3588" s="1826"/>
      <c r="E3588" s="1826"/>
      <c r="F3588" s="1826"/>
      <c r="G3588" s="1826"/>
      <c r="H3588" s="1826"/>
      <c r="I3588" s="1157"/>
      <c r="J3588" s="1158"/>
      <c r="K3588" s="1156"/>
      <c r="L3588" s="1156"/>
      <c r="M3588" s="1160"/>
      <c r="N3588" s="1161" t="s">
        <v>2317</v>
      </c>
    </row>
    <row r="3589" spans="1:14" s="1170" customFormat="1" ht="16.5" hidden="1" customHeight="1">
      <c r="A3589" s="1156"/>
      <c r="B3589" s="1169" t="s">
        <v>2354</v>
      </c>
      <c r="C3589" s="1351"/>
      <c r="D3589" s="1418"/>
      <c r="E3589" s="1352"/>
      <c r="F3589" s="1234"/>
      <c r="G3589" s="1234"/>
      <c r="H3589" s="1235"/>
      <c r="I3589" s="1353"/>
      <c r="J3589" s="1357"/>
      <c r="K3589" s="1169"/>
      <c r="L3589" s="1156"/>
      <c r="M3589" s="1169"/>
      <c r="N3589" s="1161" t="s">
        <v>2317</v>
      </c>
    </row>
    <row r="3590" spans="1:14" s="1170" customFormat="1" ht="16.5" hidden="1" customHeight="1">
      <c r="A3590" s="1156"/>
      <c r="B3590" s="1230" t="s">
        <v>586</v>
      </c>
      <c r="C3590" s="1332">
        <v>1</v>
      </c>
      <c r="D3590" s="1333" t="s">
        <v>273</v>
      </c>
      <c r="E3590" s="1334">
        <v>1</v>
      </c>
      <c r="F3590" s="1335">
        <v>0</v>
      </c>
      <c r="G3590" s="1335">
        <v>0</v>
      </c>
      <c r="H3590" s="1335">
        <v>0</v>
      </c>
      <c r="I3590" s="1421">
        <f>ROUND(IF(AND(F3590:H3590),C3590*E3590*F3590*G3590*H3590,IF(AND(F3590,G3590),C3590*E3590*F3590*G3590,IF(AND(F3590,H3590),C3590*E3590*F3590*H3590,IF(AND(G3590,H3590),C3590*E3590*G3590*H3590,IF(F3590,C3590*E3590*F3590,IF(G3590,C3590*E3590*G3590,IF(H3590,C3590*E3590*H3590,C3590*E3590))))))),2)</f>
        <v>1</v>
      </c>
      <c r="J3590" s="1357" t="s">
        <v>115</v>
      </c>
      <c r="K3590" s="1169"/>
      <c r="L3590" s="1156"/>
      <c r="M3590" s="1169"/>
      <c r="N3590" s="1161" t="s">
        <v>2317</v>
      </c>
    </row>
    <row r="3591" spans="1:14" s="1170" customFormat="1" ht="16.5" hidden="1" customHeight="1">
      <c r="A3591" s="1156"/>
      <c r="B3591" s="1230" t="s">
        <v>1495</v>
      </c>
      <c r="C3591" s="1332">
        <v>1</v>
      </c>
      <c r="D3591" s="1333" t="s">
        <v>273</v>
      </c>
      <c r="E3591" s="1334">
        <v>1</v>
      </c>
      <c r="F3591" s="1335">
        <v>0</v>
      </c>
      <c r="G3591" s="1335">
        <v>0</v>
      </c>
      <c r="H3591" s="1335">
        <v>0</v>
      </c>
      <c r="I3591" s="1421">
        <f>ROUND(IF(AND(F3591:H3591),C3591*E3591*F3591*G3591*H3591,IF(AND(F3591,G3591),C3591*E3591*F3591*G3591,IF(AND(F3591,H3591),C3591*E3591*F3591*H3591,IF(AND(G3591,H3591),C3591*E3591*G3591*H3591,IF(F3591,C3591*E3591*F3591,IF(G3591,C3591*E3591*G3591,IF(H3591,C3591*E3591*H3591,C3591*E3591))))))),2)</f>
        <v>1</v>
      </c>
      <c r="J3591" s="1357" t="s">
        <v>115</v>
      </c>
      <c r="K3591" s="1169"/>
      <c r="L3591" s="1156"/>
      <c r="M3591" s="1169"/>
      <c r="N3591" s="1161" t="s">
        <v>2317</v>
      </c>
    </row>
    <row r="3592" spans="1:14" s="1170" customFormat="1" ht="16.5" hidden="1" customHeight="1">
      <c r="A3592" s="1156"/>
      <c r="B3592" s="1230" t="s">
        <v>1494</v>
      </c>
      <c r="C3592" s="1332">
        <v>1</v>
      </c>
      <c r="D3592" s="1333" t="s">
        <v>273</v>
      </c>
      <c r="E3592" s="1334">
        <v>1</v>
      </c>
      <c r="F3592" s="1335">
        <v>0</v>
      </c>
      <c r="G3592" s="1335">
        <v>0</v>
      </c>
      <c r="H3592" s="1335">
        <v>0</v>
      </c>
      <c r="I3592" s="1421">
        <f>ROUND(IF(AND(F3592:H3592),C3592*E3592*F3592*G3592*H3592,IF(AND(F3592,G3592),C3592*E3592*F3592*G3592,IF(AND(F3592,H3592),C3592*E3592*F3592*H3592,IF(AND(G3592,H3592),C3592*E3592*G3592*H3592,IF(F3592,C3592*E3592*F3592,IF(G3592,C3592*E3592*G3592,IF(H3592,C3592*E3592*H3592,C3592*E3592))))))),2)</f>
        <v>1</v>
      </c>
      <c r="J3592" s="1357" t="s">
        <v>115</v>
      </c>
      <c r="K3592" s="1169"/>
      <c r="L3592" s="1156"/>
      <c r="M3592" s="1169"/>
      <c r="N3592" s="1161" t="s">
        <v>2317</v>
      </c>
    </row>
    <row r="3593" spans="1:14" s="1170" customFormat="1" ht="16.5" hidden="1" customHeight="1">
      <c r="A3593" s="1156"/>
      <c r="B3593" s="1230" t="s">
        <v>223</v>
      </c>
      <c r="C3593" s="1332">
        <v>1</v>
      </c>
      <c r="D3593" s="1333" t="s">
        <v>273</v>
      </c>
      <c r="E3593" s="1334">
        <v>2</v>
      </c>
      <c r="F3593" s="1335">
        <v>0</v>
      </c>
      <c r="G3593" s="1335">
        <v>0</v>
      </c>
      <c r="H3593" s="1335">
        <v>0</v>
      </c>
      <c r="I3593" s="1421">
        <f>ROUND(IF(AND(F3593:H3593),C3593*E3593*F3593*G3593*H3593,IF(AND(F3593,G3593),C3593*E3593*F3593*G3593,IF(AND(F3593,H3593),C3593*E3593*F3593*H3593,IF(AND(G3593,H3593),C3593*E3593*G3593*H3593,IF(F3593,C3593*E3593*F3593,IF(G3593,C3593*E3593*G3593,IF(H3593,C3593*E3593*H3593,C3593*E3593))))))),2)</f>
        <v>2</v>
      </c>
      <c r="J3593" s="1357" t="s">
        <v>115</v>
      </c>
      <c r="K3593" s="1169"/>
      <c r="L3593" s="1156"/>
      <c r="M3593" s="1169"/>
      <c r="N3593" s="1161" t="s">
        <v>2317</v>
      </c>
    </row>
    <row r="3594" spans="1:14" s="1170" customFormat="1" ht="16.5" hidden="1" customHeight="1">
      <c r="A3594" s="1156"/>
      <c r="B3594" s="1230"/>
      <c r="C3594" s="1332"/>
      <c r="D3594" s="1333"/>
      <c r="E3594" s="1334"/>
      <c r="F3594" s="1335"/>
      <c r="G3594" s="1335"/>
      <c r="H3594" s="1335"/>
      <c r="I3594" s="1421"/>
      <c r="J3594" s="1357"/>
      <c r="K3594" s="1169"/>
      <c r="L3594" s="1156"/>
      <c r="M3594" s="1169"/>
      <c r="N3594" s="1161" t="s">
        <v>2317</v>
      </c>
    </row>
    <row r="3595" spans="1:14" ht="15.75" hidden="1">
      <c r="A3595" s="1156"/>
      <c r="B3595" s="1169"/>
      <c r="C3595" s="1337"/>
      <c r="D3595" s="1171"/>
      <c r="E3595" s="1165"/>
      <c r="F3595" s="1166"/>
      <c r="G3595" s="1343"/>
      <c r="H3595" s="1156"/>
      <c r="I3595" s="1421"/>
      <c r="J3595" s="1357" t="s">
        <v>115</v>
      </c>
      <c r="K3595" s="1221">
        <f>'Ele Data'!I623</f>
        <v>331</v>
      </c>
      <c r="L3595" s="1159" t="s">
        <v>2317</v>
      </c>
      <c r="M3595" s="1224">
        <f>ROUND(I3595*K3595,0)</f>
        <v>0</v>
      </c>
      <c r="N3595" s="1161" t="s">
        <v>2317</v>
      </c>
    </row>
    <row r="3596" spans="1:14" ht="27" hidden="1" customHeight="1">
      <c r="A3596" s="1156">
        <v>6</v>
      </c>
      <c r="B3596" s="1826" t="s">
        <v>612</v>
      </c>
      <c r="C3596" s="1826"/>
      <c r="D3596" s="1826"/>
      <c r="E3596" s="1826"/>
      <c r="F3596" s="1826"/>
      <c r="G3596" s="1826"/>
      <c r="H3596" s="1826"/>
      <c r="I3596" s="1157"/>
      <c r="J3596" s="1158"/>
      <c r="K3596" s="1156"/>
      <c r="L3596" s="1156"/>
      <c r="M3596" s="1160"/>
      <c r="N3596" s="1161" t="s">
        <v>2317</v>
      </c>
    </row>
    <row r="3597" spans="1:14" s="1170" customFormat="1" ht="16.5" hidden="1" customHeight="1">
      <c r="A3597" s="1156"/>
      <c r="B3597" s="1230" t="s">
        <v>607</v>
      </c>
      <c r="C3597" s="1351"/>
      <c r="D3597" s="1418"/>
      <c r="E3597" s="1352"/>
      <c r="F3597" s="1234"/>
      <c r="G3597" s="1234"/>
      <c r="H3597" s="1235"/>
      <c r="I3597" s="1353"/>
      <c r="J3597" s="1357"/>
      <c r="K3597" s="1169"/>
      <c r="L3597" s="1156"/>
      <c r="M3597" s="1169"/>
      <c r="N3597" s="1161" t="s">
        <v>2317</v>
      </c>
    </row>
    <row r="3598" spans="1:14" s="1170" customFormat="1" ht="16.5" hidden="1" customHeight="1">
      <c r="A3598" s="1156"/>
      <c r="B3598" s="1230" t="s">
        <v>1217</v>
      </c>
      <c r="C3598" s="1332">
        <v>2</v>
      </c>
      <c r="D3598" s="1333" t="s">
        <v>273</v>
      </c>
      <c r="E3598" s="1334">
        <v>1</v>
      </c>
      <c r="F3598" s="1335">
        <v>0</v>
      </c>
      <c r="G3598" s="1335">
        <v>0</v>
      </c>
      <c r="H3598" s="1335">
        <v>0</v>
      </c>
      <c r="I3598" s="1421">
        <f>ROUND(IF(AND(F3598:H3598),C3598*E3598*F3598*G3598*H3598,IF(AND(F3598,G3598),C3598*E3598*F3598*G3598,IF(AND(F3598,H3598),C3598*E3598*F3598*H3598,IF(AND(G3598,H3598),C3598*E3598*G3598*H3598,IF(F3598,C3598*E3598*F3598,IF(G3598,C3598*E3598*G3598,IF(H3598,C3598*E3598*H3598,C3598*E3598))))))),2)</f>
        <v>2</v>
      </c>
      <c r="J3598" s="1357" t="s">
        <v>115</v>
      </c>
      <c r="K3598" s="1169"/>
      <c r="L3598" s="1156"/>
      <c r="M3598" s="1169"/>
      <c r="N3598" s="1161" t="s">
        <v>2317</v>
      </c>
    </row>
    <row r="3599" spans="1:14" s="1170" customFormat="1" ht="16.5" hidden="1" customHeight="1">
      <c r="A3599" s="1156"/>
      <c r="B3599" s="1230"/>
      <c r="C3599" s="1332"/>
      <c r="D3599" s="1333"/>
      <c r="E3599" s="1334"/>
      <c r="F3599" s="1335"/>
      <c r="G3599" s="1335"/>
      <c r="H3599" s="1335"/>
      <c r="I3599" s="1421"/>
      <c r="J3599" s="1357"/>
      <c r="K3599" s="1169"/>
      <c r="L3599" s="1156"/>
      <c r="M3599" s="1169"/>
      <c r="N3599" s="1161" t="s">
        <v>2317</v>
      </c>
    </row>
    <row r="3600" spans="1:14" ht="15.75" hidden="1">
      <c r="A3600" s="1156"/>
      <c r="B3600" s="1169"/>
      <c r="C3600" s="1337"/>
      <c r="D3600" s="1171"/>
      <c r="E3600" s="1165"/>
      <c r="F3600" s="1166"/>
      <c r="G3600" s="1343"/>
      <c r="H3600" s="1156"/>
      <c r="I3600" s="1421"/>
      <c r="J3600" s="1357" t="s">
        <v>115</v>
      </c>
      <c r="K3600" s="1221">
        <f>'Ele Data'!I619</f>
        <v>369</v>
      </c>
      <c r="L3600" s="1159" t="s">
        <v>2317</v>
      </c>
      <c r="M3600" s="1224">
        <f>ROUND(I3600*K3600,0)</f>
        <v>0</v>
      </c>
      <c r="N3600" s="1161" t="s">
        <v>2317</v>
      </c>
    </row>
    <row r="3601" spans="1:14" ht="27" hidden="1" customHeight="1">
      <c r="A3601" s="1156">
        <v>6</v>
      </c>
      <c r="B3601" s="1826" t="s">
        <v>790</v>
      </c>
      <c r="C3601" s="1826"/>
      <c r="D3601" s="1826"/>
      <c r="E3601" s="1826"/>
      <c r="F3601" s="1826"/>
      <c r="G3601" s="1826"/>
      <c r="H3601" s="1826"/>
      <c r="I3601" s="1157"/>
      <c r="J3601" s="1158"/>
      <c r="K3601" s="1156"/>
      <c r="L3601" s="1156"/>
      <c r="M3601" s="1160"/>
      <c r="N3601" s="1161" t="s">
        <v>2317</v>
      </c>
    </row>
    <row r="3602" spans="1:14" s="1170" customFormat="1" ht="16.5" hidden="1" customHeight="1">
      <c r="A3602" s="1156"/>
      <c r="B3602" s="1169" t="s">
        <v>2353</v>
      </c>
      <c r="C3602" s="1351"/>
      <c r="D3602" s="1418"/>
      <c r="E3602" s="1352"/>
      <c r="F3602" s="1234"/>
      <c r="G3602" s="1234"/>
      <c r="H3602" s="1235"/>
      <c r="I3602" s="1353"/>
      <c r="J3602" s="1357"/>
      <c r="K3602" s="1169"/>
      <c r="L3602" s="1156"/>
      <c r="M3602" s="1169"/>
      <c r="N3602" s="1161" t="s">
        <v>2317</v>
      </c>
    </row>
    <row r="3603" spans="1:14" s="1170" customFormat="1" ht="16.5" hidden="1" customHeight="1">
      <c r="A3603" s="1156"/>
      <c r="B3603" s="1230" t="s">
        <v>2087</v>
      </c>
      <c r="C3603" s="1332">
        <v>1</v>
      </c>
      <c r="D3603" s="1333" t="s">
        <v>273</v>
      </c>
      <c r="E3603" s="1334">
        <v>3</v>
      </c>
      <c r="F3603" s="1335">
        <v>0</v>
      </c>
      <c r="G3603" s="1335">
        <v>0</v>
      </c>
      <c r="H3603" s="1335">
        <v>0</v>
      </c>
      <c r="I3603" s="1421">
        <f>ROUND(IF(AND(F3603:H3603),C3603*E3603*F3603*G3603*H3603,IF(AND(F3603,G3603),C3603*E3603*F3603*G3603,IF(AND(F3603,H3603),C3603*E3603*F3603*H3603,IF(AND(G3603,H3603),C3603*E3603*G3603*H3603,IF(F3603,C3603*E3603*F3603,IF(G3603,C3603*E3603*G3603,IF(H3603,C3603*E3603*H3603,C3603*E3603))))))),2)</f>
        <v>3</v>
      </c>
      <c r="J3603" s="1357" t="s">
        <v>115</v>
      </c>
      <c r="K3603" s="1169"/>
      <c r="L3603" s="1156"/>
      <c r="M3603" s="1169"/>
      <c r="N3603" s="1161" t="s">
        <v>2317</v>
      </c>
    </row>
    <row r="3604" spans="1:14" s="1170" customFormat="1" ht="16.5" hidden="1" customHeight="1">
      <c r="A3604" s="1156"/>
      <c r="B3604" s="1230"/>
      <c r="C3604" s="1332"/>
      <c r="D3604" s="1333"/>
      <c r="E3604" s="1334"/>
      <c r="F3604" s="1335"/>
      <c r="G3604" s="1335"/>
      <c r="H3604" s="1335"/>
      <c r="I3604" s="1421"/>
      <c r="J3604" s="1357"/>
      <c r="K3604" s="1169"/>
      <c r="L3604" s="1156"/>
      <c r="M3604" s="1169"/>
      <c r="N3604" s="1161" t="s">
        <v>2317</v>
      </c>
    </row>
    <row r="3605" spans="1:14" ht="15.75" hidden="1">
      <c r="A3605" s="1156"/>
      <c r="B3605" s="1169"/>
      <c r="C3605" s="1337"/>
      <c r="D3605" s="1171"/>
      <c r="E3605" s="1165"/>
      <c r="F3605" s="1166"/>
      <c r="G3605" s="1343"/>
      <c r="H3605" s="1156"/>
      <c r="I3605" s="1421"/>
      <c r="J3605" s="1357" t="s">
        <v>115</v>
      </c>
      <c r="K3605" s="1221">
        <f>'Ele Data'!I615</f>
        <v>105</v>
      </c>
      <c r="L3605" s="1159" t="s">
        <v>2317</v>
      </c>
      <c r="M3605" s="1224">
        <f>ROUND(I3605*K3605,0)</f>
        <v>0</v>
      </c>
      <c r="N3605" s="1161" t="s">
        <v>2317</v>
      </c>
    </row>
    <row r="3606" spans="1:14" ht="27" hidden="1" customHeight="1">
      <c r="A3606" s="1156">
        <v>7</v>
      </c>
      <c r="B3606" s="1826" t="s">
        <v>428</v>
      </c>
      <c r="C3606" s="1826"/>
      <c r="D3606" s="1826"/>
      <c r="E3606" s="1826"/>
      <c r="F3606" s="1826"/>
      <c r="G3606" s="1826"/>
      <c r="H3606" s="1826"/>
      <c r="I3606" s="1157"/>
      <c r="J3606" s="1158"/>
      <c r="K3606" s="1156"/>
      <c r="L3606" s="1156"/>
      <c r="M3606" s="1160"/>
      <c r="N3606" s="1161" t="s">
        <v>2317</v>
      </c>
    </row>
    <row r="3607" spans="1:14" s="1170" customFormat="1" ht="16.5" hidden="1" customHeight="1">
      <c r="A3607" s="1156"/>
      <c r="B3607" s="1169" t="s">
        <v>2107</v>
      </c>
      <c r="C3607" s="1351"/>
      <c r="D3607" s="1418"/>
      <c r="E3607" s="1352"/>
      <c r="F3607" s="1234"/>
      <c r="G3607" s="1234"/>
      <c r="H3607" s="1235"/>
      <c r="I3607" s="1353"/>
      <c r="J3607" s="1357"/>
      <c r="K3607" s="1169"/>
      <c r="L3607" s="1156"/>
      <c r="M3607" s="1169"/>
      <c r="N3607" s="1161" t="s">
        <v>2317</v>
      </c>
    </row>
    <row r="3608" spans="1:14" s="1170" customFormat="1" ht="16.5" hidden="1" customHeight="1">
      <c r="A3608" s="1156"/>
      <c r="B3608" s="1230" t="s">
        <v>2087</v>
      </c>
      <c r="C3608" s="1332">
        <v>1</v>
      </c>
      <c r="D3608" s="1333" t="s">
        <v>273</v>
      </c>
      <c r="E3608" s="1334">
        <v>12</v>
      </c>
      <c r="F3608" s="1335">
        <v>0</v>
      </c>
      <c r="G3608" s="1335">
        <v>0</v>
      </c>
      <c r="H3608" s="1335">
        <v>0</v>
      </c>
      <c r="I3608" s="1421">
        <f>ROUND(IF(AND(F3608:H3608),C3608*E3608*F3608*G3608*H3608,IF(AND(F3608,G3608),C3608*E3608*F3608*G3608,IF(AND(F3608,H3608),C3608*E3608*F3608*H3608,IF(AND(G3608,H3608),C3608*E3608*G3608*H3608,IF(F3608,C3608*E3608*F3608,IF(G3608,C3608*E3608*G3608,IF(H3608,C3608*E3608*H3608,C3608*E3608))))))),2)</f>
        <v>12</v>
      </c>
      <c r="J3608" s="1357" t="s">
        <v>115</v>
      </c>
      <c r="K3608" s="1169"/>
      <c r="L3608" s="1156"/>
      <c r="M3608" s="1169"/>
      <c r="N3608" s="1161" t="s">
        <v>2317</v>
      </c>
    </row>
    <row r="3609" spans="1:14" s="1170" customFormat="1" ht="16.5" hidden="1" customHeight="1">
      <c r="A3609" s="1156"/>
      <c r="B3609" s="1230"/>
      <c r="C3609" s="1332"/>
      <c r="D3609" s="1333"/>
      <c r="E3609" s="1334"/>
      <c r="F3609" s="1335"/>
      <c r="G3609" s="1335"/>
      <c r="H3609" s="1335"/>
      <c r="I3609" s="1421"/>
      <c r="J3609" s="1357"/>
      <c r="K3609" s="1169"/>
      <c r="L3609" s="1156"/>
      <c r="M3609" s="1169"/>
      <c r="N3609" s="1161" t="s">
        <v>2317</v>
      </c>
    </row>
    <row r="3610" spans="1:14" ht="15.75" hidden="1">
      <c r="A3610" s="1156"/>
      <c r="B3610" s="1169"/>
      <c r="C3610" s="1337"/>
      <c r="D3610" s="1171"/>
      <c r="E3610" s="1165"/>
      <c r="F3610" s="1166"/>
      <c r="G3610" s="1343"/>
      <c r="H3610" s="1156"/>
      <c r="I3610" s="1421"/>
      <c r="J3610" s="1357" t="s">
        <v>115</v>
      </c>
      <c r="K3610" s="1221">
        <f>'Ele Data'!I626</f>
        <v>63</v>
      </c>
      <c r="L3610" s="1159" t="s">
        <v>2317</v>
      </c>
      <c r="M3610" s="1224">
        <f>ROUND(I3610*K3610,0)</f>
        <v>0</v>
      </c>
      <c r="N3610" s="1161" t="s">
        <v>2317</v>
      </c>
    </row>
    <row r="3611" spans="1:14" ht="64.5" hidden="1" customHeight="1">
      <c r="A3611" s="1156">
        <v>52</v>
      </c>
      <c r="B3611" s="1826" t="s">
        <v>692</v>
      </c>
      <c r="C3611" s="1826"/>
      <c r="D3611" s="1826"/>
      <c r="E3611" s="1826"/>
      <c r="F3611" s="1826"/>
      <c r="G3611" s="1826"/>
      <c r="H3611" s="1826"/>
      <c r="I3611" s="1157"/>
      <c r="J3611" s="1158"/>
      <c r="K3611" s="1156"/>
      <c r="L3611" s="1156"/>
      <c r="M3611" s="1160"/>
      <c r="N3611" s="1161" t="s">
        <v>2317</v>
      </c>
    </row>
    <row r="3612" spans="1:14" s="1170" customFormat="1" ht="16.5" hidden="1" customHeight="1">
      <c r="A3612" s="1156"/>
      <c r="B3612" s="1163" t="s">
        <v>3617</v>
      </c>
      <c r="C3612" s="1351"/>
      <c r="D3612" s="1548" t="s">
        <v>3651</v>
      </c>
      <c r="E3612" s="1352"/>
      <c r="F3612" s="1234"/>
      <c r="G3612" s="1234"/>
      <c r="H3612" s="1235"/>
      <c r="I3612" s="1353"/>
      <c r="J3612" s="1357"/>
      <c r="K3612" s="1169"/>
      <c r="L3612" s="1156"/>
      <c r="M3612" s="1169"/>
      <c r="N3612" s="1161" t="s">
        <v>2317</v>
      </c>
    </row>
    <row r="3613" spans="1:14" s="1170" customFormat="1" ht="16.5" hidden="1" customHeight="1">
      <c r="A3613" s="1156"/>
      <c r="B3613" s="1230" t="s">
        <v>3548</v>
      </c>
      <c r="C3613" s="1360">
        <v>1</v>
      </c>
      <c r="D3613" s="1361" t="s">
        <v>273</v>
      </c>
      <c r="E3613" s="1362">
        <v>7</v>
      </c>
      <c r="F3613" s="1363">
        <v>0</v>
      </c>
      <c r="G3613" s="1363">
        <v>0</v>
      </c>
      <c r="H3613" s="1363">
        <v>0</v>
      </c>
      <c r="I3613" s="1421">
        <f t="shared" ref="I3613:I3614" si="182">ROUND(IF(AND(F3613:H3613),C3613*E3613*F3613*G3613*H3613,IF(AND(F3613,G3613),C3613*E3613*F3613*G3613,IF(AND(F3613,H3613),C3613*E3613*F3613*H3613,IF(AND(G3613,H3613),C3613*E3613*G3613*H3613,IF(F3613,C3613*E3613*F3613,IF(G3613,C3613*E3613*G3613,IF(H3613,C3613*E3613*H3613,C3613*E3613))))))),2)</f>
        <v>7</v>
      </c>
      <c r="J3613" s="1357" t="s">
        <v>431</v>
      </c>
      <c r="K3613" s="1169"/>
      <c r="L3613" s="1156"/>
      <c r="M3613" s="1169"/>
      <c r="N3613" s="1161" t="s">
        <v>2317</v>
      </c>
    </row>
    <row r="3614" spans="1:14" s="1170" customFormat="1" ht="16.5" hidden="1" customHeight="1">
      <c r="A3614" s="1156"/>
      <c r="B3614" s="1230" t="s">
        <v>3549</v>
      </c>
      <c r="C3614" s="1360">
        <v>1</v>
      </c>
      <c r="D3614" s="1361" t="s">
        <v>273</v>
      </c>
      <c r="E3614" s="1362">
        <v>6</v>
      </c>
      <c r="F3614" s="1363">
        <v>0</v>
      </c>
      <c r="G3614" s="1363">
        <v>0</v>
      </c>
      <c r="H3614" s="1363">
        <v>0</v>
      </c>
      <c r="I3614" s="1421">
        <f t="shared" si="182"/>
        <v>6</v>
      </c>
      <c r="J3614" s="1357" t="s">
        <v>431</v>
      </c>
      <c r="K3614" s="1169"/>
      <c r="L3614" s="1156"/>
      <c r="M3614" s="1169"/>
      <c r="N3614" s="1161" t="s">
        <v>2317</v>
      </c>
    </row>
    <row r="3615" spans="1:14" s="1170" customFormat="1" ht="16.5" hidden="1" customHeight="1">
      <c r="A3615" s="1156"/>
      <c r="B3615" s="1230"/>
      <c r="C3615" s="1332"/>
      <c r="D3615" s="1333"/>
      <c r="E3615" s="1334"/>
      <c r="F3615" s="1335"/>
      <c r="G3615" s="1335"/>
      <c r="H3615" s="1335"/>
      <c r="I3615" s="1421"/>
      <c r="J3615" s="1357"/>
      <c r="K3615" s="1169"/>
      <c r="L3615" s="1156"/>
      <c r="M3615" s="1169"/>
      <c r="N3615" s="1161" t="s">
        <v>2317</v>
      </c>
    </row>
    <row r="3616" spans="1:14" ht="15.75" hidden="1">
      <c r="A3616" s="1156"/>
      <c r="B3616" s="1169"/>
      <c r="C3616" s="1337"/>
      <c r="D3616" s="1171"/>
      <c r="E3616" s="1165"/>
      <c r="F3616" s="1166"/>
      <c r="G3616" s="1343"/>
      <c r="H3616" s="1156"/>
      <c r="I3616" s="1421"/>
      <c r="J3616" s="1357" t="s">
        <v>431</v>
      </c>
      <c r="K3616" s="1221">
        <f>'Ele Data'!I662</f>
        <v>436.33</v>
      </c>
      <c r="L3616" s="1159" t="s">
        <v>2317</v>
      </c>
      <c r="M3616" s="1224">
        <f>ROUND(I3616*K3616,0)</f>
        <v>0</v>
      </c>
      <c r="N3616" s="1161" t="s">
        <v>2317</v>
      </c>
    </row>
    <row r="3617" spans="1:14" ht="67.5" hidden="1" customHeight="1">
      <c r="A3617" s="1156">
        <v>53</v>
      </c>
      <c r="B3617" s="1826" t="s">
        <v>693</v>
      </c>
      <c r="C3617" s="1826"/>
      <c r="D3617" s="1826"/>
      <c r="E3617" s="1826"/>
      <c r="F3617" s="1826"/>
      <c r="G3617" s="1826"/>
      <c r="H3617" s="1826"/>
      <c r="I3617" s="1157"/>
      <c r="J3617" s="1158"/>
      <c r="K3617" s="1156"/>
      <c r="L3617" s="1156"/>
      <c r="M3617" s="1160"/>
      <c r="N3617" s="1161" t="s">
        <v>2317</v>
      </c>
    </row>
    <row r="3618" spans="1:14" s="1170" customFormat="1" ht="16.5" hidden="1" customHeight="1">
      <c r="A3618" s="1156"/>
      <c r="B3618" s="1163" t="s">
        <v>3622</v>
      </c>
      <c r="C3618" s="1351"/>
      <c r="D3618" s="1548" t="s">
        <v>3651</v>
      </c>
      <c r="E3618" s="1352"/>
      <c r="F3618" s="1234"/>
      <c r="G3618" s="1234"/>
      <c r="H3618" s="1235"/>
      <c r="I3618" s="1353"/>
      <c r="J3618" s="1357"/>
      <c r="K3618" s="1169"/>
      <c r="L3618" s="1156"/>
      <c r="M3618" s="1169"/>
      <c r="N3618" s="1161" t="s">
        <v>2317</v>
      </c>
    </row>
    <row r="3619" spans="1:14" s="1170" customFormat="1" ht="16.5" hidden="1" customHeight="1">
      <c r="A3619" s="1156"/>
      <c r="B3619" s="1230"/>
      <c r="C3619" s="1360">
        <v>9</v>
      </c>
      <c r="D3619" s="1361" t="s">
        <v>273</v>
      </c>
      <c r="E3619" s="1362">
        <v>1</v>
      </c>
      <c r="F3619" s="1363">
        <v>0</v>
      </c>
      <c r="G3619" s="1363">
        <v>0</v>
      </c>
      <c r="H3619" s="1363">
        <v>0</v>
      </c>
      <c r="I3619" s="1421">
        <f t="shared" ref="I3619" si="183">ROUND(IF(AND(F3619:H3619),C3619*E3619*F3619*G3619*H3619,IF(AND(F3619,G3619),C3619*E3619*F3619*G3619,IF(AND(F3619,H3619),C3619*E3619*F3619*H3619,IF(AND(G3619,H3619),C3619*E3619*G3619*H3619,IF(F3619,C3619*E3619*F3619,IF(G3619,C3619*E3619*G3619,IF(H3619,C3619*E3619*H3619,C3619*E3619))))))),2)</f>
        <v>9</v>
      </c>
      <c r="J3619" s="1357" t="s">
        <v>431</v>
      </c>
      <c r="K3619" s="1169"/>
      <c r="L3619" s="1156"/>
      <c r="M3619" s="1169"/>
      <c r="N3619" s="1161" t="s">
        <v>2317</v>
      </c>
    </row>
    <row r="3620" spans="1:14" s="1170" customFormat="1" ht="16.5" hidden="1" customHeight="1">
      <c r="A3620" s="1156"/>
      <c r="B3620" s="1230"/>
      <c r="C3620" s="1332"/>
      <c r="D3620" s="1333"/>
      <c r="E3620" s="1334"/>
      <c r="F3620" s="1335"/>
      <c r="G3620" s="1335"/>
      <c r="H3620" s="1335"/>
      <c r="I3620" s="1336"/>
      <c r="J3620" s="1357"/>
      <c r="K3620" s="1169"/>
      <c r="L3620" s="1156"/>
      <c r="M3620" s="1169"/>
      <c r="N3620" s="1161" t="s">
        <v>2317</v>
      </c>
    </row>
    <row r="3621" spans="1:14" ht="15.75" hidden="1">
      <c r="A3621" s="1156"/>
      <c r="B3621" s="1169"/>
      <c r="C3621" s="1337"/>
      <c r="D3621" s="1171"/>
      <c r="E3621" s="1165"/>
      <c r="F3621" s="1166"/>
      <c r="G3621" s="1343"/>
      <c r="H3621" s="1156"/>
      <c r="I3621" s="1421"/>
      <c r="J3621" s="1357" t="s">
        <v>431</v>
      </c>
      <c r="K3621" s="1221">
        <f>'Ele Data'!I673</f>
        <v>457.33</v>
      </c>
      <c r="L3621" s="1159" t="s">
        <v>2317</v>
      </c>
      <c r="M3621" s="1224">
        <f>ROUND(I3621*K3621,0)</f>
        <v>0</v>
      </c>
      <c r="N3621" s="1161" t="s">
        <v>2317</v>
      </c>
    </row>
    <row r="3622" spans="1:14" ht="44.25" hidden="1" customHeight="1">
      <c r="A3622" s="1156">
        <v>8</v>
      </c>
      <c r="B3622" s="1826" t="s">
        <v>2093</v>
      </c>
      <c r="C3622" s="1826"/>
      <c r="D3622" s="1826"/>
      <c r="E3622" s="1826"/>
      <c r="F3622" s="1826"/>
      <c r="G3622" s="1826"/>
      <c r="H3622" s="1826"/>
      <c r="I3622" s="1157"/>
      <c r="J3622" s="1158"/>
      <c r="K3622" s="1156"/>
      <c r="L3622" s="1156"/>
      <c r="M3622" s="1160"/>
      <c r="N3622" s="1161" t="s">
        <v>2317</v>
      </c>
    </row>
    <row r="3623" spans="1:14" s="1170" customFormat="1" ht="16.5" hidden="1" customHeight="1">
      <c r="A3623" s="1156"/>
      <c r="B3623" s="1169" t="s">
        <v>2355</v>
      </c>
      <c r="C3623" s="1351"/>
      <c r="D3623" s="1418"/>
      <c r="E3623" s="1352"/>
      <c r="F3623" s="1234"/>
      <c r="G3623" s="1234"/>
      <c r="H3623" s="1235"/>
      <c r="I3623" s="1353"/>
      <c r="J3623" s="1357"/>
      <c r="K3623" s="1169"/>
      <c r="L3623" s="1156"/>
      <c r="M3623" s="1169"/>
      <c r="N3623" s="1161" t="s">
        <v>2317</v>
      </c>
    </row>
    <row r="3624" spans="1:14" s="1170" customFormat="1" ht="16.5" hidden="1" customHeight="1">
      <c r="A3624" s="1156"/>
      <c r="B3624" s="1169" t="s">
        <v>2094</v>
      </c>
      <c r="C3624" s="1351"/>
      <c r="D3624" s="1418"/>
      <c r="E3624" s="1352"/>
      <c r="F3624" s="1234"/>
      <c r="G3624" s="1234"/>
      <c r="H3624" s="1235"/>
      <c r="I3624" s="1353"/>
      <c r="J3624" s="1357"/>
      <c r="K3624" s="1169"/>
      <c r="L3624" s="1156"/>
      <c r="M3624" s="1169"/>
      <c r="N3624" s="1161" t="s">
        <v>2317</v>
      </c>
    </row>
    <row r="3625" spans="1:14" s="1170" customFormat="1" ht="16.5" hidden="1" customHeight="1">
      <c r="A3625" s="1156"/>
      <c r="B3625" s="1230"/>
      <c r="C3625" s="1360">
        <v>1</v>
      </c>
      <c r="D3625" s="1361" t="s">
        <v>273</v>
      </c>
      <c r="E3625" s="1362">
        <v>1</v>
      </c>
      <c r="F3625" s="1401">
        <v>55</v>
      </c>
      <c r="G3625" s="1363">
        <v>0</v>
      </c>
      <c r="H3625" s="1363">
        <v>0</v>
      </c>
      <c r="I3625" s="1336">
        <f>ROUND(IF(AND(F3625:H3625),C3625*E3625*F3625*G3625*H3625,IF(AND(F3625,G3625),C3625*E3625*F3625*G3625,IF(AND(F3625,H3625),C3625*E3625*F3625*H3625,IF(AND(G3625,H3625),C3625*E3625*G3625*H3625,IF(F3625,C3625*E3625*F3625,IF(G3625,C3625*E3625*G3625,IF(H3625,C3625*E3625*H3625,C3625*E3625))))))),2)</f>
        <v>55</v>
      </c>
      <c r="J3625" s="1357" t="s">
        <v>277</v>
      </c>
      <c r="K3625" s="1169"/>
      <c r="L3625" s="1156"/>
      <c r="M3625" s="1169"/>
      <c r="N3625" s="1161" t="s">
        <v>2317</v>
      </c>
    </row>
    <row r="3626" spans="1:14" s="1170" customFormat="1" ht="16.5" hidden="1" customHeight="1">
      <c r="A3626" s="1156"/>
      <c r="B3626" s="1230"/>
      <c r="C3626" s="1332"/>
      <c r="D3626" s="1333"/>
      <c r="E3626" s="1334"/>
      <c r="F3626" s="1550"/>
      <c r="G3626" s="1335"/>
      <c r="H3626" s="1335"/>
      <c r="I3626" s="1336"/>
      <c r="J3626" s="1357"/>
      <c r="K3626" s="1169"/>
      <c r="L3626" s="1156"/>
      <c r="M3626" s="1169"/>
      <c r="N3626" s="1161" t="s">
        <v>2317</v>
      </c>
    </row>
    <row r="3627" spans="1:14" ht="15.75" hidden="1">
      <c r="A3627" s="1156"/>
      <c r="B3627" s="1169"/>
      <c r="C3627" s="1337"/>
      <c r="D3627" s="1171"/>
      <c r="E3627" s="1165"/>
      <c r="F3627" s="1166"/>
      <c r="G3627" s="1343"/>
      <c r="H3627" s="1156"/>
      <c r="I3627" s="1336"/>
      <c r="J3627" s="1357" t="s">
        <v>277</v>
      </c>
      <c r="K3627" s="1221">
        <f>'Ele Data'!I718</f>
        <v>21.19</v>
      </c>
      <c r="L3627" s="1159" t="s">
        <v>2317</v>
      </c>
      <c r="M3627" s="1224">
        <f>ROUND(I3627*K3627,0)</f>
        <v>0</v>
      </c>
      <c r="N3627" s="1161" t="s">
        <v>2317</v>
      </c>
    </row>
    <row r="3628" spans="1:14" ht="44.25" hidden="1" customHeight="1">
      <c r="A3628" s="1156">
        <v>9</v>
      </c>
      <c r="B3628" s="1826" t="s">
        <v>2264</v>
      </c>
      <c r="C3628" s="1826"/>
      <c r="D3628" s="1826"/>
      <c r="E3628" s="1826"/>
      <c r="F3628" s="1826"/>
      <c r="G3628" s="1826"/>
      <c r="H3628" s="1826"/>
      <c r="I3628" s="1157"/>
      <c r="J3628" s="1158"/>
      <c r="K3628" s="1156"/>
      <c r="L3628" s="1156"/>
      <c r="M3628" s="1160"/>
      <c r="N3628" s="1161" t="s">
        <v>2317</v>
      </c>
    </row>
    <row r="3629" spans="1:14" s="1170" customFormat="1" ht="16.5" hidden="1" customHeight="1">
      <c r="A3629" s="1156"/>
      <c r="B3629" s="1169" t="s">
        <v>2355</v>
      </c>
      <c r="C3629" s="1351"/>
      <c r="D3629" s="1418"/>
      <c r="E3629" s="1352"/>
      <c r="F3629" s="1234"/>
      <c r="G3629" s="1234"/>
      <c r="H3629" s="1235"/>
      <c r="I3629" s="1353"/>
      <c r="J3629" s="1357"/>
      <c r="K3629" s="1169"/>
      <c r="L3629" s="1156"/>
      <c r="M3629" s="1169"/>
      <c r="N3629" s="1161" t="s">
        <v>2317</v>
      </c>
    </row>
    <row r="3630" spans="1:14" s="1170" customFormat="1" ht="16.5" hidden="1" customHeight="1">
      <c r="A3630" s="1156"/>
      <c r="B3630" s="1230"/>
      <c r="C3630" s="1360">
        <v>1</v>
      </c>
      <c r="D3630" s="1361" t="s">
        <v>273</v>
      </c>
      <c r="E3630" s="1362">
        <v>1</v>
      </c>
      <c r="F3630" s="1401">
        <v>150</v>
      </c>
      <c r="G3630" s="1363">
        <v>0</v>
      </c>
      <c r="H3630" s="1363">
        <v>0</v>
      </c>
      <c r="I3630" s="1336">
        <f>ROUND(IF(AND(F3630:H3630),C3630*E3630*F3630*G3630*H3630,IF(AND(F3630,G3630),C3630*E3630*F3630*G3630,IF(AND(F3630,H3630),C3630*E3630*F3630*H3630,IF(AND(G3630,H3630),C3630*E3630*G3630*H3630,IF(F3630,C3630*E3630*F3630,IF(G3630,C3630*E3630*G3630,IF(H3630,C3630*E3630*H3630,C3630*E3630))))))),2)</f>
        <v>150</v>
      </c>
      <c r="J3630" s="1357" t="s">
        <v>277</v>
      </c>
      <c r="K3630" s="1169"/>
      <c r="L3630" s="1156"/>
      <c r="M3630" s="1169"/>
      <c r="N3630" s="1161" t="s">
        <v>2317</v>
      </c>
    </row>
    <row r="3631" spans="1:14" s="1170" customFormat="1" ht="16.5" hidden="1" customHeight="1">
      <c r="A3631" s="1156"/>
      <c r="B3631" s="1230"/>
      <c r="C3631" s="1332"/>
      <c r="D3631" s="1333"/>
      <c r="E3631" s="1334"/>
      <c r="F3631" s="1550"/>
      <c r="G3631" s="1335"/>
      <c r="H3631" s="1335"/>
      <c r="I3631" s="1336"/>
      <c r="J3631" s="1357"/>
      <c r="K3631" s="1169"/>
      <c r="L3631" s="1156"/>
      <c r="M3631" s="1169"/>
      <c r="N3631" s="1161" t="s">
        <v>2317</v>
      </c>
    </row>
    <row r="3632" spans="1:14" ht="15.75" hidden="1">
      <c r="A3632" s="1156"/>
      <c r="B3632" s="1169"/>
      <c r="C3632" s="1337"/>
      <c r="D3632" s="1171"/>
      <c r="E3632" s="1165"/>
      <c r="F3632" s="1166"/>
      <c r="G3632" s="1343"/>
      <c r="H3632" s="1156"/>
      <c r="I3632" s="1336"/>
      <c r="J3632" s="1357" t="s">
        <v>277</v>
      </c>
      <c r="K3632" s="1221">
        <f>'Ele Data'!I710</f>
        <v>69.83</v>
      </c>
      <c r="L3632" s="1159" t="s">
        <v>2317</v>
      </c>
      <c r="M3632" s="1224">
        <f>ROUND(I3632*K3632,0)</f>
        <v>0</v>
      </c>
      <c r="N3632" s="1161" t="s">
        <v>2317</v>
      </c>
    </row>
    <row r="3633" spans="1:14" ht="44.25" hidden="1" customHeight="1">
      <c r="A3633" s="1156">
        <v>54</v>
      </c>
      <c r="B3633" s="1826" t="s">
        <v>429</v>
      </c>
      <c r="C3633" s="1826"/>
      <c r="D3633" s="1826"/>
      <c r="E3633" s="1826"/>
      <c r="F3633" s="1826"/>
      <c r="G3633" s="1826"/>
      <c r="H3633" s="1826"/>
      <c r="I3633" s="1157"/>
      <c r="J3633" s="1158"/>
      <c r="K3633" s="1156"/>
      <c r="L3633" s="1156"/>
      <c r="M3633" s="1160"/>
      <c r="N3633" s="1161" t="s">
        <v>2317</v>
      </c>
    </row>
    <row r="3634" spans="1:14" s="1170" customFormat="1" ht="16.5" hidden="1" customHeight="1">
      <c r="A3634" s="1156"/>
      <c r="B3634" s="1163" t="s">
        <v>3618</v>
      </c>
      <c r="C3634" s="1351"/>
      <c r="D3634" s="1548" t="s">
        <v>3651</v>
      </c>
      <c r="E3634" s="1352"/>
      <c r="F3634" s="1234"/>
      <c r="G3634" s="1234"/>
      <c r="H3634" s="1235"/>
      <c r="I3634" s="1353"/>
      <c r="J3634" s="1357"/>
      <c r="K3634" s="1169"/>
      <c r="L3634" s="1156"/>
      <c r="M3634" s="1169"/>
      <c r="N3634" s="1161" t="s">
        <v>2317</v>
      </c>
    </row>
    <row r="3635" spans="1:14" s="1170" customFormat="1" ht="16.5" hidden="1" customHeight="1">
      <c r="A3635" s="1156"/>
      <c r="B3635" s="1359" t="s">
        <v>3359</v>
      </c>
      <c r="C3635" s="1360">
        <v>1</v>
      </c>
      <c r="D3635" s="1361" t="s">
        <v>273</v>
      </c>
      <c r="E3635" s="1362">
        <v>1</v>
      </c>
      <c r="F3635" s="1401">
        <v>30</v>
      </c>
      <c r="G3635" s="1363">
        <v>0</v>
      </c>
      <c r="H3635" s="1363">
        <v>0</v>
      </c>
      <c r="I3635" s="1336">
        <f t="shared" ref="I3635:I3637" si="184">ROUND(IF(AND(F3635:H3635),C3635*E3635*F3635*G3635*H3635,IF(AND(F3635,G3635),C3635*E3635*F3635*G3635,IF(AND(F3635,H3635),C3635*E3635*F3635*H3635,IF(AND(G3635,H3635),C3635*E3635*G3635*H3635,IF(F3635,C3635*E3635*F3635,IF(G3635,C3635*E3635*G3635,IF(H3635,C3635*E3635*H3635,C3635*E3635))))))),2)</f>
        <v>30</v>
      </c>
      <c r="J3635" s="1357" t="s">
        <v>277</v>
      </c>
      <c r="K3635" s="1169"/>
      <c r="L3635" s="1156"/>
      <c r="M3635" s="1169"/>
      <c r="N3635" s="1161" t="s">
        <v>2317</v>
      </c>
    </row>
    <row r="3636" spans="1:14" s="1170" customFormat="1" ht="16.5" hidden="1" customHeight="1">
      <c r="A3636" s="1156"/>
      <c r="B3636" s="1359" t="s">
        <v>3352</v>
      </c>
      <c r="C3636" s="1360">
        <v>1</v>
      </c>
      <c r="D3636" s="1361" t="s">
        <v>273</v>
      </c>
      <c r="E3636" s="1362">
        <v>1</v>
      </c>
      <c r="F3636" s="1401">
        <v>15</v>
      </c>
      <c r="G3636" s="1363">
        <v>0</v>
      </c>
      <c r="H3636" s="1363">
        <v>0</v>
      </c>
      <c r="I3636" s="1336">
        <f t="shared" si="184"/>
        <v>15</v>
      </c>
      <c r="J3636" s="1357" t="s">
        <v>277</v>
      </c>
      <c r="K3636" s="1169"/>
      <c r="L3636" s="1156"/>
      <c r="M3636" s="1169"/>
      <c r="N3636" s="1161" t="s">
        <v>2317</v>
      </c>
    </row>
    <row r="3637" spans="1:14" s="1170" customFormat="1" ht="16.5" hidden="1" customHeight="1">
      <c r="A3637" s="1156"/>
      <c r="B3637" s="1359" t="s">
        <v>1494</v>
      </c>
      <c r="C3637" s="1360">
        <v>1</v>
      </c>
      <c r="D3637" s="1361" t="s">
        <v>273</v>
      </c>
      <c r="E3637" s="1362">
        <v>1</v>
      </c>
      <c r="F3637" s="1401">
        <v>15</v>
      </c>
      <c r="G3637" s="1363">
        <v>0</v>
      </c>
      <c r="H3637" s="1363">
        <v>0</v>
      </c>
      <c r="I3637" s="1336">
        <f t="shared" si="184"/>
        <v>15</v>
      </c>
      <c r="J3637" s="1357" t="s">
        <v>277</v>
      </c>
      <c r="K3637" s="1169"/>
      <c r="L3637" s="1156"/>
      <c r="M3637" s="1169"/>
      <c r="N3637" s="1161" t="s">
        <v>2317</v>
      </c>
    </row>
    <row r="3638" spans="1:14" s="1170" customFormat="1" ht="16.5" hidden="1" customHeight="1">
      <c r="A3638" s="1156"/>
      <c r="B3638" s="1230"/>
      <c r="C3638" s="1332"/>
      <c r="D3638" s="1333"/>
      <c r="E3638" s="1334"/>
      <c r="F3638" s="1550"/>
      <c r="G3638" s="1335"/>
      <c r="H3638" s="1335"/>
      <c r="I3638" s="1336"/>
      <c r="J3638" s="1357"/>
      <c r="K3638" s="1169"/>
      <c r="L3638" s="1156"/>
      <c r="M3638" s="1169"/>
      <c r="N3638" s="1161" t="s">
        <v>2317</v>
      </c>
    </row>
    <row r="3639" spans="1:14" ht="15.75" hidden="1">
      <c r="A3639" s="1156"/>
      <c r="B3639" s="1169"/>
      <c r="C3639" s="1337"/>
      <c r="D3639" s="1171"/>
      <c r="E3639" s="1165"/>
      <c r="F3639" s="1166"/>
      <c r="G3639" s="1343"/>
      <c r="H3639" s="1156"/>
      <c r="I3639" s="1336"/>
      <c r="J3639" s="1357" t="s">
        <v>277</v>
      </c>
      <c r="K3639" s="1221">
        <f>'Ele Data'!I727</f>
        <v>74.22399999999999</v>
      </c>
      <c r="L3639" s="1159" t="s">
        <v>2317</v>
      </c>
      <c r="M3639" s="1224">
        <f>ROUND(I3639*K3639,0)</f>
        <v>0</v>
      </c>
      <c r="N3639" s="1161" t="s">
        <v>2317</v>
      </c>
    </row>
    <row r="3640" spans="1:14" ht="44.25" hidden="1" customHeight="1">
      <c r="A3640" s="1156">
        <v>10</v>
      </c>
      <c r="B3640" s="1826" t="s">
        <v>430</v>
      </c>
      <c r="C3640" s="1826"/>
      <c r="D3640" s="1826"/>
      <c r="E3640" s="1826"/>
      <c r="F3640" s="1826"/>
      <c r="G3640" s="1826"/>
      <c r="H3640" s="1826"/>
      <c r="I3640" s="1157"/>
      <c r="J3640" s="1158"/>
      <c r="K3640" s="1156"/>
      <c r="L3640" s="1156"/>
      <c r="M3640" s="1160"/>
      <c r="N3640" s="1161" t="s">
        <v>2317</v>
      </c>
    </row>
    <row r="3641" spans="1:14" s="1170" customFormat="1" ht="16.5" hidden="1" customHeight="1">
      <c r="A3641" s="1156"/>
      <c r="B3641" s="1169" t="s">
        <v>2107</v>
      </c>
      <c r="C3641" s="1351"/>
      <c r="D3641" s="1418"/>
      <c r="E3641" s="1352"/>
      <c r="F3641" s="1234"/>
      <c r="G3641" s="1234"/>
      <c r="H3641" s="1235"/>
      <c r="I3641" s="1353"/>
      <c r="J3641" s="1357"/>
      <c r="K3641" s="1169"/>
      <c r="L3641" s="1156"/>
      <c r="M3641" s="1169"/>
      <c r="N3641" s="1161" t="s">
        <v>2317</v>
      </c>
    </row>
    <row r="3642" spans="1:14" s="1170" customFormat="1" ht="16.5" hidden="1" customHeight="1">
      <c r="A3642" s="1156"/>
      <c r="B3642" s="1230"/>
      <c r="C3642" s="1332">
        <v>1</v>
      </c>
      <c r="D3642" s="1333" t="s">
        <v>273</v>
      </c>
      <c r="E3642" s="1334">
        <v>1</v>
      </c>
      <c r="F3642" s="1550">
        <v>25</v>
      </c>
      <c r="G3642" s="1335">
        <v>0</v>
      </c>
      <c r="H3642" s="1335">
        <v>0</v>
      </c>
      <c r="I3642" s="1336">
        <f>ROUND(IF(AND(F3642:H3642),C3642*E3642*F3642*G3642*H3642,IF(AND(F3642,G3642),C3642*E3642*F3642*G3642,IF(AND(F3642,H3642),C3642*E3642*F3642*H3642,IF(AND(G3642,H3642),C3642*E3642*G3642*H3642,IF(F3642,C3642*E3642*F3642,IF(G3642,C3642*E3642*G3642,IF(H3642,C3642*E3642*H3642,C3642*E3642))))))),2)</f>
        <v>25</v>
      </c>
      <c r="J3642" s="1357" t="s">
        <v>277</v>
      </c>
      <c r="K3642" s="1169"/>
      <c r="L3642" s="1156"/>
      <c r="M3642" s="1169"/>
      <c r="N3642" s="1161" t="s">
        <v>2317</v>
      </c>
    </row>
    <row r="3643" spans="1:14" s="1170" customFormat="1" ht="16.5" hidden="1" customHeight="1">
      <c r="A3643" s="1156"/>
      <c r="B3643" s="1230"/>
      <c r="C3643" s="1332"/>
      <c r="D3643" s="1333"/>
      <c r="E3643" s="1334"/>
      <c r="F3643" s="1550"/>
      <c r="G3643" s="1335"/>
      <c r="H3643" s="1335"/>
      <c r="I3643" s="1336"/>
      <c r="J3643" s="1357"/>
      <c r="K3643" s="1169"/>
      <c r="L3643" s="1156"/>
      <c r="M3643" s="1169"/>
      <c r="N3643" s="1161" t="s">
        <v>2317</v>
      </c>
    </row>
    <row r="3644" spans="1:14" ht="15.75" hidden="1">
      <c r="A3644" s="1156"/>
      <c r="B3644" s="1169"/>
      <c r="C3644" s="1337"/>
      <c r="D3644" s="1171"/>
      <c r="E3644" s="1165"/>
      <c r="F3644" s="1166"/>
      <c r="G3644" s="1343"/>
      <c r="H3644" s="1156"/>
      <c r="I3644" s="1336"/>
      <c r="J3644" s="1357" t="s">
        <v>277</v>
      </c>
      <c r="K3644" s="1221">
        <f>'Ele Data'!I737</f>
        <v>112.78</v>
      </c>
      <c r="L3644" s="1159" t="s">
        <v>2317</v>
      </c>
      <c r="M3644" s="1224">
        <f>ROUND(I3644*K3644,0)</f>
        <v>0</v>
      </c>
      <c r="N3644" s="1161" t="s">
        <v>2317</v>
      </c>
    </row>
    <row r="3645" spans="1:14" ht="44.25" hidden="1" customHeight="1">
      <c r="A3645" s="1156">
        <v>55</v>
      </c>
      <c r="B3645" s="1826" t="s">
        <v>882</v>
      </c>
      <c r="C3645" s="1826"/>
      <c r="D3645" s="1826"/>
      <c r="E3645" s="1826"/>
      <c r="F3645" s="1826"/>
      <c r="G3645" s="1826"/>
      <c r="H3645" s="1826"/>
      <c r="I3645" s="1157"/>
      <c r="J3645" s="1158"/>
      <c r="K3645" s="1156"/>
      <c r="L3645" s="1156"/>
      <c r="M3645" s="1160"/>
      <c r="N3645" s="1161" t="s">
        <v>2317</v>
      </c>
    </row>
    <row r="3646" spans="1:14" s="1170" customFormat="1" ht="16.5" hidden="1" customHeight="1">
      <c r="A3646" s="1156"/>
      <c r="B3646" s="1163" t="s">
        <v>3550</v>
      </c>
      <c r="C3646" s="1351"/>
      <c r="D3646" s="1548" t="s">
        <v>3651</v>
      </c>
      <c r="E3646" s="1352"/>
      <c r="F3646" s="1234"/>
      <c r="G3646" s="1234"/>
      <c r="H3646" s="1235"/>
      <c r="I3646" s="1353"/>
      <c r="J3646" s="1357"/>
      <c r="K3646" s="1169"/>
      <c r="L3646" s="1156"/>
      <c r="M3646" s="1169"/>
      <c r="N3646" s="1161" t="s">
        <v>2317</v>
      </c>
    </row>
    <row r="3647" spans="1:14" s="1170" customFormat="1" ht="16.5" hidden="1" customHeight="1">
      <c r="A3647" s="1156"/>
      <c r="B3647" s="1230"/>
      <c r="C3647" s="1360">
        <v>1</v>
      </c>
      <c r="D3647" s="1361" t="s">
        <v>273</v>
      </c>
      <c r="E3647" s="1362">
        <v>2</v>
      </c>
      <c r="F3647" s="1401">
        <v>90</v>
      </c>
      <c r="G3647" s="1363">
        <v>0</v>
      </c>
      <c r="H3647" s="1363">
        <v>0</v>
      </c>
      <c r="I3647" s="1336">
        <f t="shared" ref="I3647" si="185">ROUND(IF(AND(F3647:H3647),C3647*E3647*F3647*G3647*H3647,IF(AND(F3647,G3647),C3647*E3647*F3647*G3647,IF(AND(F3647,H3647),C3647*E3647*F3647*H3647,IF(AND(G3647,H3647),C3647*E3647*G3647*H3647,IF(F3647,C3647*E3647*F3647,IF(G3647,C3647*E3647*G3647,IF(H3647,C3647*E3647*H3647,C3647*E3647))))))),2)</f>
        <v>180</v>
      </c>
      <c r="J3647" s="1357" t="s">
        <v>277</v>
      </c>
      <c r="K3647" s="1169"/>
      <c r="L3647" s="1156"/>
      <c r="M3647" s="1169"/>
      <c r="N3647" s="1161" t="s">
        <v>2317</v>
      </c>
    </row>
    <row r="3648" spans="1:14" s="1170" customFormat="1" ht="16.5" hidden="1" customHeight="1">
      <c r="A3648" s="1156"/>
      <c r="B3648" s="1230"/>
      <c r="C3648" s="1360"/>
      <c r="D3648" s="1361"/>
      <c r="E3648" s="1362"/>
      <c r="F3648" s="1401"/>
      <c r="G3648" s="1363"/>
      <c r="H3648" s="1363"/>
      <c r="I3648" s="1336"/>
      <c r="J3648" s="1357"/>
      <c r="K3648" s="1169"/>
      <c r="L3648" s="1156"/>
      <c r="M3648" s="1169"/>
      <c r="N3648" s="1161" t="s">
        <v>2317</v>
      </c>
    </row>
    <row r="3649" spans="1:14" ht="15.75" hidden="1">
      <c r="A3649" s="1156"/>
      <c r="B3649" s="1169"/>
      <c r="C3649" s="1337"/>
      <c r="D3649" s="1171"/>
      <c r="E3649" s="1165"/>
      <c r="F3649" s="1166"/>
      <c r="G3649" s="1343"/>
      <c r="H3649" s="1156"/>
      <c r="I3649" s="1336"/>
      <c r="J3649" s="1357" t="s">
        <v>277</v>
      </c>
      <c r="K3649" s="1221">
        <f>'Ele Data'!I748</f>
        <v>56.313999999999993</v>
      </c>
      <c r="L3649" s="1159" t="s">
        <v>2317</v>
      </c>
      <c r="M3649" s="1224">
        <f>ROUND(I3649*K3649,0)</f>
        <v>0</v>
      </c>
      <c r="N3649" s="1161" t="s">
        <v>2317</v>
      </c>
    </row>
    <row r="3650" spans="1:14" ht="22.5" hidden="1" customHeight="1">
      <c r="A3650" s="1156">
        <v>56</v>
      </c>
      <c r="B3650" s="1826" t="s">
        <v>437</v>
      </c>
      <c r="C3650" s="1826"/>
      <c r="D3650" s="1826"/>
      <c r="E3650" s="1826"/>
      <c r="F3650" s="1826"/>
      <c r="G3650" s="1826"/>
      <c r="H3650" s="1826"/>
      <c r="I3650" s="1157"/>
      <c r="J3650" s="1158"/>
      <c r="K3650" s="1156"/>
      <c r="L3650" s="1156"/>
      <c r="M3650" s="1160"/>
      <c r="N3650" s="1161" t="s">
        <v>2317</v>
      </c>
    </row>
    <row r="3651" spans="1:14" s="1170" customFormat="1" ht="16.5" hidden="1" customHeight="1">
      <c r="A3651" s="1156"/>
      <c r="B3651" s="1163" t="s">
        <v>3550</v>
      </c>
      <c r="C3651" s="1351"/>
      <c r="D3651" s="1548" t="s">
        <v>3651</v>
      </c>
      <c r="E3651" s="1352"/>
      <c r="F3651" s="1234"/>
      <c r="G3651" s="1234"/>
      <c r="H3651" s="1235"/>
      <c r="I3651" s="1353"/>
      <c r="J3651" s="1357"/>
      <c r="K3651" s="1169"/>
      <c r="L3651" s="1156"/>
      <c r="M3651" s="1169"/>
      <c r="N3651" s="1161" t="s">
        <v>2317</v>
      </c>
    </row>
    <row r="3652" spans="1:14" s="1170" customFormat="1" ht="16.5" hidden="1" customHeight="1">
      <c r="A3652" s="1156"/>
      <c r="B3652" s="1230"/>
      <c r="C3652" s="1360">
        <v>1</v>
      </c>
      <c r="D3652" s="1361" t="s">
        <v>273</v>
      </c>
      <c r="E3652" s="1362">
        <v>9</v>
      </c>
      <c r="F3652" s="1363">
        <v>0</v>
      </c>
      <c r="G3652" s="1363">
        <v>0</v>
      </c>
      <c r="H3652" s="1363">
        <v>0</v>
      </c>
      <c r="I3652" s="1421">
        <f t="shared" ref="I3652" si="186">ROUND(IF(AND(F3652:H3652),C3652*E3652*F3652*G3652*H3652,IF(AND(F3652,G3652),C3652*E3652*F3652*G3652,IF(AND(F3652,H3652),C3652*E3652*F3652*H3652,IF(AND(G3652,H3652),C3652*E3652*G3652*H3652,IF(F3652,C3652*E3652*F3652,IF(G3652,C3652*E3652*G3652,IF(H3652,C3652*E3652*H3652,C3652*E3652))))))),2)</f>
        <v>9</v>
      </c>
      <c r="J3652" s="1357" t="s">
        <v>115</v>
      </c>
      <c r="K3652" s="1169"/>
      <c r="L3652" s="1156"/>
      <c r="M3652" s="1169"/>
      <c r="N3652" s="1161" t="s">
        <v>2317</v>
      </c>
    </row>
    <row r="3653" spans="1:14" s="1170" customFormat="1" ht="16.5" hidden="1" customHeight="1">
      <c r="A3653" s="1156"/>
      <c r="B3653" s="1230"/>
      <c r="C3653" s="1332"/>
      <c r="D3653" s="1333"/>
      <c r="E3653" s="1334"/>
      <c r="F3653" s="1335"/>
      <c r="G3653" s="1335"/>
      <c r="H3653" s="1335"/>
      <c r="I3653" s="1336"/>
      <c r="J3653" s="1357"/>
      <c r="K3653" s="1169"/>
      <c r="L3653" s="1156"/>
      <c r="M3653" s="1169"/>
      <c r="N3653" s="1161" t="s">
        <v>2317</v>
      </c>
    </row>
    <row r="3654" spans="1:14" ht="15.75" hidden="1">
      <c r="A3654" s="1156"/>
      <c r="B3654" s="1169"/>
      <c r="C3654" s="1337"/>
      <c r="D3654" s="1171"/>
      <c r="E3654" s="1165"/>
      <c r="F3654" s="1166"/>
      <c r="G3654" s="1343"/>
      <c r="H3654" s="1156"/>
      <c r="I3654" s="1421"/>
      <c r="J3654" s="1357" t="s">
        <v>115</v>
      </c>
      <c r="K3654" s="1221">
        <f>'Ele Data'!I629</f>
        <v>209</v>
      </c>
      <c r="L3654" s="1159" t="s">
        <v>2317</v>
      </c>
      <c r="M3654" s="1224">
        <f>ROUND(I3654*K3654,0)</f>
        <v>0</v>
      </c>
      <c r="N3654" s="1161" t="s">
        <v>2317</v>
      </c>
    </row>
    <row r="3655" spans="1:14" ht="22.5" hidden="1" customHeight="1">
      <c r="A3655" s="1156">
        <v>12</v>
      </c>
      <c r="B3655" s="1826" t="s">
        <v>615</v>
      </c>
      <c r="C3655" s="1826"/>
      <c r="D3655" s="1826"/>
      <c r="E3655" s="1826"/>
      <c r="F3655" s="1826"/>
      <c r="G3655" s="1826"/>
      <c r="H3655" s="1826"/>
      <c r="I3655" s="1157"/>
      <c r="J3655" s="1158"/>
      <c r="K3655" s="1156"/>
      <c r="L3655" s="1156"/>
      <c r="M3655" s="1160"/>
      <c r="N3655" s="1161" t="s">
        <v>2317</v>
      </c>
    </row>
    <row r="3656" spans="1:14" s="1170" customFormat="1" ht="16.5" hidden="1" customHeight="1">
      <c r="A3656" s="1156"/>
      <c r="B3656" s="1169" t="s">
        <v>2356</v>
      </c>
      <c r="C3656" s="1351"/>
      <c r="D3656" s="1418"/>
      <c r="E3656" s="1352"/>
      <c r="F3656" s="1234"/>
      <c r="G3656" s="1234"/>
      <c r="H3656" s="1235"/>
      <c r="I3656" s="1353"/>
      <c r="J3656" s="1357"/>
      <c r="K3656" s="1169"/>
      <c r="L3656" s="1156"/>
      <c r="M3656" s="1169"/>
      <c r="N3656" s="1161" t="s">
        <v>2317</v>
      </c>
    </row>
    <row r="3657" spans="1:14" s="1170" customFormat="1" ht="16.5" hidden="1" customHeight="1">
      <c r="A3657" s="1156"/>
      <c r="B3657" s="1230" t="s">
        <v>2087</v>
      </c>
      <c r="C3657" s="1332">
        <v>1</v>
      </c>
      <c r="D3657" s="1333" t="s">
        <v>273</v>
      </c>
      <c r="E3657" s="1334">
        <v>4</v>
      </c>
      <c r="F3657" s="1335">
        <v>0</v>
      </c>
      <c r="G3657" s="1335">
        <v>0</v>
      </c>
      <c r="H3657" s="1335">
        <v>0</v>
      </c>
      <c r="I3657" s="1421">
        <f>ROUND(IF(AND(F3657:H3657),C3657*E3657*F3657*G3657*H3657,IF(AND(F3657,G3657),C3657*E3657*F3657*G3657,IF(AND(F3657,H3657),C3657*E3657*F3657*H3657,IF(AND(G3657,H3657),C3657*E3657*G3657*H3657,IF(F3657,C3657*E3657*F3657,IF(G3657,C3657*E3657*G3657,IF(H3657,C3657*E3657*H3657,C3657*E3657))))))),2)</f>
        <v>4</v>
      </c>
      <c r="J3657" s="1357" t="s">
        <v>115</v>
      </c>
      <c r="K3657" s="1169"/>
      <c r="L3657" s="1156"/>
      <c r="M3657" s="1169"/>
      <c r="N3657" s="1161" t="s">
        <v>2317</v>
      </c>
    </row>
    <row r="3658" spans="1:14" s="1170" customFormat="1" ht="16.5" hidden="1" customHeight="1">
      <c r="A3658" s="1156"/>
      <c r="B3658" s="1230"/>
      <c r="C3658" s="1332"/>
      <c r="D3658" s="1333"/>
      <c r="E3658" s="1334"/>
      <c r="F3658" s="1335"/>
      <c r="G3658" s="1335"/>
      <c r="H3658" s="1335"/>
      <c r="I3658" s="1336"/>
      <c r="J3658" s="1357"/>
      <c r="K3658" s="1169"/>
      <c r="L3658" s="1156"/>
      <c r="M3658" s="1169"/>
      <c r="N3658" s="1161" t="s">
        <v>2317</v>
      </c>
    </row>
    <row r="3659" spans="1:14" ht="15.75" hidden="1">
      <c r="A3659" s="1156"/>
      <c r="B3659" s="1169"/>
      <c r="C3659" s="1337"/>
      <c r="D3659" s="1171"/>
      <c r="E3659" s="1165"/>
      <c r="F3659" s="1166"/>
      <c r="G3659" s="1343"/>
      <c r="H3659" s="1156"/>
      <c r="I3659" s="1421"/>
      <c r="J3659" s="1357" t="s">
        <v>115</v>
      </c>
      <c r="K3659" s="1221">
        <f>'Ele Data'!I632</f>
        <v>171</v>
      </c>
      <c r="L3659" s="1159" t="s">
        <v>2317</v>
      </c>
      <c r="M3659" s="1224">
        <f>ROUND(I3659*K3659,0)</f>
        <v>0</v>
      </c>
      <c r="N3659" s="1161" t="s">
        <v>2317</v>
      </c>
    </row>
    <row r="3660" spans="1:14" ht="22.5" hidden="1" customHeight="1">
      <c r="A3660" s="1156">
        <v>13</v>
      </c>
      <c r="B3660" s="1826" t="s">
        <v>694</v>
      </c>
      <c r="C3660" s="1826"/>
      <c r="D3660" s="1826"/>
      <c r="E3660" s="1826"/>
      <c r="F3660" s="1826"/>
      <c r="G3660" s="1826"/>
      <c r="H3660" s="1826"/>
      <c r="I3660" s="1157"/>
      <c r="J3660" s="1158"/>
      <c r="K3660" s="1156"/>
      <c r="L3660" s="1156"/>
      <c r="M3660" s="1160"/>
      <c r="N3660" s="1161" t="s">
        <v>2317</v>
      </c>
    </row>
    <row r="3661" spans="1:14" s="1170" customFormat="1" ht="16.5" hidden="1" customHeight="1">
      <c r="A3661" s="1156"/>
      <c r="B3661" s="1169" t="s">
        <v>2356</v>
      </c>
      <c r="C3661" s="1351"/>
      <c r="D3661" s="1418"/>
      <c r="E3661" s="1352"/>
      <c r="F3661" s="1234"/>
      <c r="G3661" s="1234"/>
      <c r="H3661" s="1235"/>
      <c r="I3661" s="1353"/>
      <c r="J3661" s="1357"/>
      <c r="K3661" s="1169"/>
      <c r="L3661" s="1156"/>
      <c r="M3661" s="1169"/>
      <c r="N3661" s="1161" t="s">
        <v>2317</v>
      </c>
    </row>
    <row r="3662" spans="1:14" s="1170" customFormat="1" ht="16.5" hidden="1" customHeight="1">
      <c r="A3662" s="1156"/>
      <c r="B3662" s="1230" t="s">
        <v>2087</v>
      </c>
      <c r="C3662" s="1332">
        <v>1</v>
      </c>
      <c r="D3662" s="1333" t="s">
        <v>273</v>
      </c>
      <c r="E3662" s="1334">
        <v>14</v>
      </c>
      <c r="F3662" s="1335">
        <v>0</v>
      </c>
      <c r="G3662" s="1335">
        <v>0</v>
      </c>
      <c r="H3662" s="1335">
        <v>0</v>
      </c>
      <c r="I3662" s="1421">
        <f>ROUND(IF(AND(F3662:H3662),C3662*E3662*F3662*G3662*H3662,IF(AND(F3662,G3662),C3662*E3662*F3662*G3662,IF(AND(F3662,H3662),C3662*E3662*F3662*H3662,IF(AND(G3662,H3662),C3662*E3662*G3662*H3662,IF(F3662,C3662*E3662*F3662,IF(G3662,C3662*E3662*G3662,IF(H3662,C3662*E3662*H3662,C3662*E3662))))))),2)</f>
        <v>14</v>
      </c>
      <c r="J3662" s="1357" t="s">
        <v>115</v>
      </c>
      <c r="K3662" s="1169"/>
      <c r="L3662" s="1156"/>
      <c r="M3662" s="1169"/>
      <c r="N3662" s="1161" t="s">
        <v>2317</v>
      </c>
    </row>
    <row r="3663" spans="1:14" s="1170" customFormat="1" ht="16.5" hidden="1" customHeight="1">
      <c r="A3663" s="1156"/>
      <c r="B3663" s="1230"/>
      <c r="C3663" s="1332"/>
      <c r="D3663" s="1333"/>
      <c r="E3663" s="1334"/>
      <c r="F3663" s="1335"/>
      <c r="G3663" s="1335"/>
      <c r="H3663" s="1335"/>
      <c r="I3663" s="1336"/>
      <c r="J3663" s="1357"/>
      <c r="K3663" s="1169"/>
      <c r="L3663" s="1156"/>
      <c r="M3663" s="1169"/>
      <c r="N3663" s="1161" t="s">
        <v>2317</v>
      </c>
    </row>
    <row r="3664" spans="1:14" ht="15.75" hidden="1">
      <c r="A3664" s="1156"/>
      <c r="B3664" s="1169"/>
      <c r="C3664" s="1337"/>
      <c r="D3664" s="1171"/>
      <c r="E3664" s="1165"/>
      <c r="F3664" s="1166"/>
      <c r="G3664" s="1343"/>
      <c r="H3664" s="1156"/>
      <c r="I3664" s="1421"/>
      <c r="J3664" s="1357" t="s">
        <v>115</v>
      </c>
      <c r="K3664" s="1221">
        <f>'Ele Data'!I635</f>
        <v>132</v>
      </c>
      <c r="L3664" s="1159" t="s">
        <v>2317</v>
      </c>
      <c r="M3664" s="1224">
        <f>ROUND(I3664*K3664,0)</f>
        <v>0</v>
      </c>
      <c r="N3664" s="1161" t="s">
        <v>2317</v>
      </c>
    </row>
    <row r="3665" spans="1:14" ht="15" hidden="1" customHeight="1">
      <c r="A3665" s="1156">
        <v>14</v>
      </c>
      <c r="B3665" s="1826" t="s">
        <v>617</v>
      </c>
      <c r="C3665" s="1826"/>
      <c r="D3665" s="1826"/>
      <c r="E3665" s="1826"/>
      <c r="F3665" s="1826"/>
      <c r="G3665" s="1826"/>
      <c r="H3665" s="1826"/>
      <c r="I3665" s="1157"/>
      <c r="J3665" s="1158"/>
      <c r="K3665" s="1156"/>
      <c r="L3665" s="1156"/>
      <c r="M3665" s="1160"/>
      <c r="N3665" s="1161" t="s">
        <v>2317</v>
      </c>
    </row>
    <row r="3666" spans="1:14" s="1170" customFormat="1" ht="16.5" hidden="1" customHeight="1">
      <c r="A3666" s="1156"/>
      <c r="B3666" s="1230" t="s">
        <v>607</v>
      </c>
      <c r="C3666" s="1351"/>
      <c r="D3666" s="1418"/>
      <c r="E3666" s="1352"/>
      <c r="F3666" s="1234"/>
      <c r="G3666" s="1234"/>
      <c r="H3666" s="1235"/>
      <c r="I3666" s="1353"/>
      <c r="J3666" s="1357"/>
      <c r="K3666" s="1169"/>
      <c r="L3666" s="1156"/>
      <c r="M3666" s="1169"/>
      <c r="N3666" s="1161" t="s">
        <v>2317</v>
      </c>
    </row>
    <row r="3667" spans="1:14" s="1170" customFormat="1" ht="16.5" hidden="1" customHeight="1">
      <c r="A3667" s="1156"/>
      <c r="B3667" s="1230" t="s">
        <v>1217</v>
      </c>
      <c r="C3667" s="1332">
        <v>2</v>
      </c>
      <c r="D3667" s="1333" t="s">
        <v>273</v>
      </c>
      <c r="E3667" s="1334">
        <v>1</v>
      </c>
      <c r="F3667" s="1335">
        <v>0</v>
      </c>
      <c r="G3667" s="1335">
        <v>0</v>
      </c>
      <c r="H3667" s="1335">
        <v>0</v>
      </c>
      <c r="I3667" s="1421">
        <f>ROUND(IF(AND(F3667:H3667),C3667*E3667*F3667*G3667*H3667,IF(AND(F3667,G3667),C3667*E3667*F3667*G3667,IF(AND(F3667,H3667),C3667*E3667*F3667*H3667,IF(AND(G3667,H3667),C3667*E3667*G3667*H3667,IF(F3667,C3667*E3667*F3667,IF(G3667,C3667*E3667*G3667,IF(H3667,C3667*E3667*H3667,C3667*E3667))))))),2)</f>
        <v>2</v>
      </c>
      <c r="J3667" s="1357" t="s">
        <v>115</v>
      </c>
      <c r="K3667" s="1169"/>
      <c r="L3667" s="1156"/>
      <c r="M3667" s="1169"/>
      <c r="N3667" s="1161" t="s">
        <v>2317</v>
      </c>
    </row>
    <row r="3668" spans="1:14" s="1170" customFormat="1" ht="16.5" hidden="1" customHeight="1">
      <c r="A3668" s="1156"/>
      <c r="B3668" s="1230"/>
      <c r="C3668" s="1332"/>
      <c r="D3668" s="1333"/>
      <c r="E3668" s="1334"/>
      <c r="F3668" s="1335"/>
      <c r="G3668" s="1335"/>
      <c r="H3668" s="1335"/>
      <c r="I3668" s="1421"/>
      <c r="J3668" s="1357"/>
      <c r="K3668" s="1169"/>
      <c r="L3668" s="1156"/>
      <c r="M3668" s="1169"/>
      <c r="N3668" s="1161" t="s">
        <v>2317</v>
      </c>
    </row>
    <row r="3669" spans="1:14" ht="15.75" hidden="1">
      <c r="A3669" s="1156"/>
      <c r="B3669" s="1169"/>
      <c r="C3669" s="1337"/>
      <c r="D3669" s="1171"/>
      <c r="E3669" s="1165"/>
      <c r="F3669" s="1166"/>
      <c r="G3669" s="1343"/>
      <c r="H3669" s="1156"/>
      <c r="I3669" s="1421"/>
      <c r="J3669" s="1357" t="s">
        <v>115</v>
      </c>
      <c r="K3669" s="1221">
        <f>'Ele Data'!I642</f>
        <v>341</v>
      </c>
      <c r="L3669" s="1159" t="s">
        <v>2317</v>
      </c>
      <c r="M3669" s="1224">
        <f>ROUND(I3669*K3669,0)</f>
        <v>0</v>
      </c>
      <c r="N3669" s="1161" t="s">
        <v>2317</v>
      </c>
    </row>
    <row r="3670" spans="1:14" ht="22.5" hidden="1" customHeight="1">
      <c r="A3670" s="1156">
        <v>14</v>
      </c>
      <c r="B3670" s="1826" t="s">
        <v>792</v>
      </c>
      <c r="C3670" s="1826"/>
      <c r="D3670" s="1826"/>
      <c r="E3670" s="1826"/>
      <c r="F3670" s="1826"/>
      <c r="G3670" s="1826"/>
      <c r="H3670" s="1826"/>
      <c r="I3670" s="1157"/>
      <c r="J3670" s="1158"/>
      <c r="K3670" s="1156"/>
      <c r="L3670" s="1156"/>
      <c r="M3670" s="1160"/>
      <c r="N3670" s="1161" t="s">
        <v>2317</v>
      </c>
    </row>
    <row r="3671" spans="1:14" s="1170" customFormat="1" ht="16.5" hidden="1" customHeight="1">
      <c r="A3671" s="1156"/>
      <c r="B3671" s="1169" t="s">
        <v>2356</v>
      </c>
      <c r="C3671" s="1351"/>
      <c r="D3671" s="1418"/>
      <c r="E3671" s="1352"/>
      <c r="F3671" s="1234"/>
      <c r="G3671" s="1234"/>
      <c r="H3671" s="1235"/>
      <c r="I3671" s="1353"/>
      <c r="J3671" s="1357"/>
      <c r="K3671" s="1169"/>
      <c r="L3671" s="1156"/>
      <c r="M3671" s="1169"/>
      <c r="N3671" s="1161" t="s">
        <v>2317</v>
      </c>
    </row>
    <row r="3672" spans="1:14" s="1170" customFormat="1" ht="16.5" hidden="1" customHeight="1">
      <c r="A3672" s="1156"/>
      <c r="B3672" s="1230" t="s">
        <v>2087</v>
      </c>
      <c r="C3672" s="1332">
        <v>1</v>
      </c>
      <c r="D3672" s="1333" t="s">
        <v>273</v>
      </c>
      <c r="E3672" s="1334">
        <v>3</v>
      </c>
      <c r="F3672" s="1335">
        <v>0</v>
      </c>
      <c r="G3672" s="1335">
        <v>0</v>
      </c>
      <c r="H3672" s="1335">
        <v>0</v>
      </c>
      <c r="I3672" s="1421">
        <f>ROUND(IF(AND(F3672:H3672),C3672*E3672*F3672*G3672*H3672,IF(AND(F3672,G3672),C3672*E3672*F3672*G3672,IF(AND(F3672,H3672),C3672*E3672*F3672*H3672,IF(AND(G3672,H3672),C3672*E3672*G3672*H3672,IF(F3672,C3672*E3672*F3672,IF(G3672,C3672*E3672*G3672,IF(H3672,C3672*E3672*H3672,C3672*E3672))))))),2)</f>
        <v>3</v>
      </c>
      <c r="J3672" s="1357" t="s">
        <v>115</v>
      </c>
      <c r="K3672" s="1169"/>
      <c r="L3672" s="1156"/>
      <c r="M3672" s="1169"/>
      <c r="N3672" s="1161" t="s">
        <v>2317</v>
      </c>
    </row>
    <row r="3673" spans="1:14" s="1170" customFormat="1" ht="16.5" hidden="1" customHeight="1">
      <c r="A3673" s="1156"/>
      <c r="B3673" s="1230"/>
      <c r="C3673" s="1332"/>
      <c r="D3673" s="1333"/>
      <c r="E3673" s="1334"/>
      <c r="F3673" s="1335"/>
      <c r="G3673" s="1335"/>
      <c r="H3673" s="1335"/>
      <c r="I3673" s="1421"/>
      <c r="J3673" s="1357"/>
      <c r="K3673" s="1169"/>
      <c r="L3673" s="1156"/>
      <c r="M3673" s="1169"/>
      <c r="N3673" s="1161" t="s">
        <v>2317</v>
      </c>
    </row>
    <row r="3674" spans="1:14" ht="15.75" hidden="1">
      <c r="A3674" s="1156"/>
      <c r="B3674" s="1169"/>
      <c r="C3674" s="1337"/>
      <c r="D3674" s="1171"/>
      <c r="E3674" s="1165"/>
      <c r="F3674" s="1166"/>
      <c r="G3674" s="1343"/>
      <c r="H3674" s="1156"/>
      <c r="I3674" s="1421"/>
      <c r="J3674" s="1357" t="s">
        <v>115</v>
      </c>
      <c r="K3674" s="1221">
        <f>'Ele Data'!I638</f>
        <v>88</v>
      </c>
      <c r="L3674" s="1159" t="s">
        <v>2317</v>
      </c>
      <c r="M3674" s="1224">
        <f>ROUND(I3674*K3674,0)</f>
        <v>0</v>
      </c>
      <c r="N3674" s="1161" t="s">
        <v>2317</v>
      </c>
    </row>
    <row r="3675" spans="1:14" ht="22.5" hidden="1" customHeight="1">
      <c r="A3675" s="1156">
        <v>16</v>
      </c>
      <c r="B3675" s="1826" t="s">
        <v>439</v>
      </c>
      <c r="C3675" s="1826"/>
      <c r="D3675" s="1826"/>
      <c r="E3675" s="1826"/>
      <c r="F3675" s="1826"/>
      <c r="G3675" s="1826"/>
      <c r="H3675" s="1826"/>
      <c r="I3675" s="1157"/>
      <c r="J3675" s="1158"/>
      <c r="K3675" s="1156"/>
      <c r="L3675" s="1156"/>
      <c r="M3675" s="1160"/>
      <c r="N3675" s="1161" t="s">
        <v>2317</v>
      </c>
    </row>
    <row r="3676" spans="1:14" s="1170" customFormat="1" ht="16.5" hidden="1" customHeight="1">
      <c r="A3676" s="1156"/>
      <c r="B3676" s="1169" t="s">
        <v>2107</v>
      </c>
      <c r="C3676" s="1351"/>
      <c r="D3676" s="1418"/>
      <c r="E3676" s="1352"/>
      <c r="F3676" s="1234"/>
      <c r="G3676" s="1234"/>
      <c r="H3676" s="1235"/>
      <c r="I3676" s="1353"/>
      <c r="J3676" s="1357"/>
      <c r="K3676" s="1169"/>
      <c r="L3676" s="1156"/>
      <c r="M3676" s="1169"/>
      <c r="N3676" s="1161" t="s">
        <v>2317</v>
      </c>
    </row>
    <row r="3677" spans="1:14" s="1170" customFormat="1" ht="16.5" hidden="1" customHeight="1">
      <c r="A3677" s="1156"/>
      <c r="B3677" s="1230" t="s">
        <v>2087</v>
      </c>
      <c r="C3677" s="1332">
        <v>1</v>
      </c>
      <c r="D3677" s="1333" t="s">
        <v>273</v>
      </c>
      <c r="E3677" s="1334">
        <v>12</v>
      </c>
      <c r="F3677" s="1335">
        <v>0</v>
      </c>
      <c r="G3677" s="1335">
        <v>0</v>
      </c>
      <c r="H3677" s="1335">
        <v>0</v>
      </c>
      <c r="I3677" s="1421">
        <f>ROUND(IF(AND(F3677:H3677),C3677*E3677*F3677*G3677*H3677,IF(AND(F3677,G3677),C3677*E3677*F3677*G3677,IF(AND(F3677,H3677),C3677*E3677*F3677*H3677,IF(AND(G3677,H3677),C3677*E3677*G3677*H3677,IF(F3677,C3677*E3677*F3677,IF(G3677,C3677*E3677*G3677,IF(H3677,C3677*E3677*H3677,C3677*E3677))))))),2)</f>
        <v>12</v>
      </c>
      <c r="J3677" s="1357" t="s">
        <v>115</v>
      </c>
      <c r="K3677" s="1169"/>
      <c r="L3677" s="1156"/>
      <c r="M3677" s="1169"/>
      <c r="N3677" s="1161" t="s">
        <v>2317</v>
      </c>
    </row>
    <row r="3678" spans="1:14" s="1170" customFormat="1" ht="16.5" hidden="1" customHeight="1">
      <c r="A3678" s="1156"/>
      <c r="B3678" s="1230"/>
      <c r="C3678" s="1332"/>
      <c r="D3678" s="1333"/>
      <c r="E3678" s="1334"/>
      <c r="F3678" s="1335"/>
      <c r="G3678" s="1335"/>
      <c r="H3678" s="1335"/>
      <c r="I3678" s="1336"/>
      <c r="J3678" s="1357"/>
      <c r="K3678" s="1169"/>
      <c r="L3678" s="1156"/>
      <c r="M3678" s="1169"/>
      <c r="N3678" s="1161" t="s">
        <v>2317</v>
      </c>
    </row>
    <row r="3679" spans="1:14" ht="15.75" hidden="1">
      <c r="A3679" s="1156"/>
      <c r="B3679" s="1169"/>
      <c r="C3679" s="1337"/>
      <c r="D3679" s="1171"/>
      <c r="E3679" s="1165"/>
      <c r="F3679" s="1166"/>
      <c r="G3679" s="1343"/>
      <c r="H3679" s="1156"/>
      <c r="I3679" s="1421"/>
      <c r="J3679" s="1357" t="s">
        <v>115</v>
      </c>
      <c r="K3679" s="1221">
        <f>'Ele Data'!I645</f>
        <v>66</v>
      </c>
      <c r="L3679" s="1159" t="s">
        <v>2317</v>
      </c>
      <c r="M3679" s="1224">
        <f>ROUND(I3679*K3679,0)</f>
        <v>0</v>
      </c>
      <c r="N3679" s="1161" t="s">
        <v>2317</v>
      </c>
    </row>
    <row r="3680" spans="1:14" ht="43.5" hidden="1" customHeight="1">
      <c r="A3680" s="1156">
        <v>17</v>
      </c>
      <c r="B3680" s="1826" t="s">
        <v>1238</v>
      </c>
      <c r="C3680" s="1826"/>
      <c r="D3680" s="1826"/>
      <c r="E3680" s="1826"/>
      <c r="F3680" s="1826"/>
      <c r="G3680" s="1826"/>
      <c r="H3680" s="1826"/>
      <c r="I3680" s="1157"/>
      <c r="J3680" s="1158"/>
      <c r="K3680" s="1156"/>
      <c r="L3680" s="1156"/>
      <c r="M3680" s="1160"/>
      <c r="N3680" s="1161" t="s">
        <v>2317</v>
      </c>
    </row>
    <row r="3681" spans="1:14" s="1170" customFormat="1" ht="16.5" hidden="1" customHeight="1">
      <c r="A3681" s="1156"/>
      <c r="B3681" s="1169" t="s">
        <v>2107</v>
      </c>
      <c r="C3681" s="1351"/>
      <c r="D3681" s="1418"/>
      <c r="E3681" s="1352"/>
      <c r="F3681" s="1234"/>
      <c r="G3681" s="1234"/>
      <c r="H3681" s="1235"/>
      <c r="I3681" s="1353"/>
      <c r="J3681" s="1357"/>
      <c r="K3681" s="1169"/>
      <c r="L3681" s="1156"/>
      <c r="M3681" s="1169"/>
      <c r="N3681" s="1161" t="s">
        <v>2317</v>
      </c>
    </row>
    <row r="3682" spans="1:14" s="1170" customFormat="1" ht="16.5" hidden="1" customHeight="1">
      <c r="A3682" s="1156"/>
      <c r="B3682" s="1230" t="s">
        <v>2195</v>
      </c>
      <c r="C3682" s="1360">
        <v>1</v>
      </c>
      <c r="D3682" s="1361" t="s">
        <v>273</v>
      </c>
      <c r="E3682" s="1362">
        <v>17</v>
      </c>
      <c r="F3682" s="1363">
        <v>0</v>
      </c>
      <c r="G3682" s="1363">
        <v>0</v>
      </c>
      <c r="H3682" s="1363">
        <v>0</v>
      </c>
      <c r="I3682" s="1421">
        <f>ROUND(IF(AND(F3682:H3682),C3682*E3682*F3682*G3682*H3682,IF(AND(F3682,G3682),C3682*E3682*F3682*G3682,IF(AND(F3682,H3682),C3682*E3682*F3682*H3682,IF(AND(G3682,H3682),C3682*E3682*G3682*H3682,IF(F3682,C3682*E3682*F3682,IF(G3682,C3682*E3682*G3682,IF(H3682,C3682*E3682*H3682,C3682*E3682))))))),2)</f>
        <v>17</v>
      </c>
      <c r="J3682" s="1357" t="s">
        <v>115</v>
      </c>
      <c r="K3682" s="1169"/>
      <c r="L3682" s="1156"/>
      <c r="M3682" s="1169"/>
      <c r="N3682" s="1161" t="s">
        <v>2317</v>
      </c>
    </row>
    <row r="3683" spans="1:14" s="1170" customFormat="1" ht="16.5" hidden="1" customHeight="1">
      <c r="A3683" s="1156"/>
      <c r="B3683" s="1230"/>
      <c r="C3683" s="1332"/>
      <c r="D3683" s="1333"/>
      <c r="E3683" s="1334"/>
      <c r="F3683" s="1335"/>
      <c r="G3683" s="1335"/>
      <c r="H3683" s="1335"/>
      <c r="I3683" s="1336"/>
      <c r="J3683" s="1357"/>
      <c r="K3683" s="1169"/>
      <c r="L3683" s="1156"/>
      <c r="M3683" s="1169"/>
      <c r="N3683" s="1161" t="s">
        <v>2317</v>
      </c>
    </row>
    <row r="3684" spans="1:14" ht="15.75" hidden="1">
      <c r="A3684" s="1156"/>
      <c r="B3684" s="1169"/>
      <c r="C3684" s="1337"/>
      <c r="D3684" s="1171"/>
      <c r="E3684" s="1165"/>
      <c r="F3684" s="1166"/>
      <c r="G3684" s="1343"/>
      <c r="H3684" s="1156"/>
      <c r="I3684" s="1421"/>
      <c r="J3684" s="1357" t="s">
        <v>115</v>
      </c>
      <c r="K3684" s="1221">
        <f>'Ele Data'!I690</f>
        <v>410</v>
      </c>
      <c r="L3684" s="1159" t="s">
        <v>2317</v>
      </c>
      <c r="M3684" s="1224">
        <f>ROUND(I3684*K3684,0)</f>
        <v>0</v>
      </c>
      <c r="N3684" s="1161" t="s">
        <v>2317</v>
      </c>
    </row>
    <row r="3685" spans="1:14" ht="43.5" hidden="1" customHeight="1">
      <c r="A3685" s="1156">
        <v>57</v>
      </c>
      <c r="B3685" s="1826" t="s">
        <v>432</v>
      </c>
      <c r="C3685" s="1826"/>
      <c r="D3685" s="1826"/>
      <c r="E3685" s="1826"/>
      <c r="F3685" s="1826"/>
      <c r="G3685" s="1826"/>
      <c r="H3685" s="1826"/>
      <c r="I3685" s="1157"/>
      <c r="J3685" s="1158"/>
      <c r="K3685" s="1156"/>
      <c r="L3685" s="1156"/>
      <c r="M3685" s="1160"/>
      <c r="N3685" s="1161" t="s">
        <v>2317</v>
      </c>
    </row>
    <row r="3686" spans="1:14" s="1170" customFormat="1" ht="16.5" hidden="1" customHeight="1">
      <c r="A3686" s="1156"/>
      <c r="B3686" s="1163" t="s">
        <v>3619</v>
      </c>
      <c r="C3686" s="1351"/>
      <c r="D3686" s="1548" t="s">
        <v>3651</v>
      </c>
      <c r="E3686" s="1352"/>
      <c r="F3686" s="1234"/>
      <c r="G3686" s="1234"/>
      <c r="H3686" s="1235"/>
      <c r="I3686" s="1353"/>
      <c r="J3686" s="1357"/>
      <c r="K3686" s="1169"/>
      <c r="L3686" s="1156"/>
      <c r="M3686" s="1169"/>
      <c r="N3686" s="1161" t="s">
        <v>2317</v>
      </c>
    </row>
    <row r="3687" spans="1:14" s="1170" customFormat="1" ht="16.5" hidden="1" customHeight="1">
      <c r="A3687" s="1156"/>
      <c r="B3687" s="1230"/>
      <c r="C3687" s="1360">
        <v>1</v>
      </c>
      <c r="D3687" s="1361" t="s">
        <v>273</v>
      </c>
      <c r="E3687" s="1362">
        <v>18</v>
      </c>
      <c r="F3687" s="1363">
        <v>0</v>
      </c>
      <c r="G3687" s="1363">
        <v>0</v>
      </c>
      <c r="H3687" s="1363">
        <v>0</v>
      </c>
      <c r="I3687" s="1421">
        <f t="shared" ref="I3687" si="187">ROUND(IF(AND(F3687:H3687),C3687*E3687*F3687*G3687*H3687,IF(AND(F3687,G3687),C3687*E3687*F3687*G3687,IF(AND(F3687,H3687),C3687*E3687*F3687*H3687,IF(AND(G3687,H3687),C3687*E3687*G3687*H3687,IF(F3687,C3687*E3687*F3687,IF(G3687,C3687*E3687*G3687,IF(H3687,C3687*E3687*H3687,C3687*E3687))))))),2)</f>
        <v>18</v>
      </c>
      <c r="J3687" s="1357" t="s">
        <v>115</v>
      </c>
      <c r="K3687" s="1169"/>
      <c r="L3687" s="1156"/>
      <c r="M3687" s="1169"/>
      <c r="N3687" s="1161" t="s">
        <v>2317</v>
      </c>
    </row>
    <row r="3688" spans="1:14" s="1170" customFormat="1" ht="16.5" hidden="1" customHeight="1">
      <c r="A3688" s="1156"/>
      <c r="B3688" s="1230"/>
      <c r="C3688" s="1332"/>
      <c r="D3688" s="1333"/>
      <c r="E3688" s="1334"/>
      <c r="F3688" s="1335"/>
      <c r="G3688" s="1335"/>
      <c r="H3688" s="1335"/>
      <c r="I3688" s="1421"/>
      <c r="J3688" s="1357"/>
      <c r="K3688" s="1169"/>
      <c r="L3688" s="1156"/>
      <c r="M3688" s="1169"/>
      <c r="N3688" s="1161" t="s">
        <v>2317</v>
      </c>
    </row>
    <row r="3689" spans="1:14" ht="15.75" hidden="1">
      <c r="A3689" s="1156"/>
      <c r="B3689" s="1169"/>
      <c r="C3689" s="1337"/>
      <c r="D3689" s="1171"/>
      <c r="E3689" s="1165"/>
      <c r="F3689" s="1166"/>
      <c r="G3689" s="1343"/>
      <c r="H3689" s="1156"/>
      <c r="I3689" s="1421"/>
      <c r="J3689" s="1357" t="s">
        <v>115</v>
      </c>
      <c r="K3689" s="1221">
        <f>'Ele Data'!I681</f>
        <v>118.04</v>
      </c>
      <c r="L3689" s="1159" t="s">
        <v>2317</v>
      </c>
      <c r="M3689" s="1224">
        <f>ROUND(I3689*K3689,0)</f>
        <v>0</v>
      </c>
      <c r="N3689" s="1161" t="s">
        <v>2317</v>
      </c>
    </row>
    <row r="3690" spans="1:14" ht="43.5" hidden="1" customHeight="1">
      <c r="A3690" s="1156">
        <v>18</v>
      </c>
      <c r="B3690" s="1826" t="s">
        <v>620</v>
      </c>
      <c r="C3690" s="1826"/>
      <c r="D3690" s="1826"/>
      <c r="E3690" s="1826"/>
      <c r="F3690" s="1826"/>
      <c r="G3690" s="1826"/>
      <c r="H3690" s="1826"/>
      <c r="I3690" s="1157"/>
      <c r="J3690" s="1158"/>
      <c r="K3690" s="1156"/>
      <c r="L3690" s="1156"/>
      <c r="M3690" s="1160"/>
      <c r="N3690" s="1161" t="s">
        <v>2317</v>
      </c>
    </row>
    <row r="3691" spans="1:14" s="1170" customFormat="1" ht="16.5" hidden="1" customHeight="1">
      <c r="A3691" s="1156"/>
      <c r="B3691" s="1230" t="s">
        <v>607</v>
      </c>
      <c r="C3691" s="1351"/>
      <c r="D3691" s="1418"/>
      <c r="E3691" s="1352"/>
      <c r="F3691" s="1234"/>
      <c r="G3691" s="1234"/>
      <c r="H3691" s="1235"/>
      <c r="I3691" s="1353"/>
      <c r="J3691" s="1357"/>
      <c r="K3691" s="1169"/>
      <c r="L3691" s="1156"/>
      <c r="M3691" s="1169"/>
      <c r="N3691" s="1161" t="s">
        <v>2317</v>
      </c>
    </row>
    <row r="3692" spans="1:14" s="1170" customFormat="1" ht="16.5" hidden="1" customHeight="1">
      <c r="A3692" s="1156"/>
      <c r="B3692" s="1230"/>
      <c r="C3692" s="1332">
        <v>1</v>
      </c>
      <c r="D3692" s="1333" t="s">
        <v>273</v>
      </c>
      <c r="E3692" s="1334">
        <v>4</v>
      </c>
      <c r="F3692" s="1335">
        <v>0</v>
      </c>
      <c r="G3692" s="1335">
        <v>0</v>
      </c>
      <c r="H3692" s="1335">
        <v>0</v>
      </c>
      <c r="I3692" s="1421">
        <f>ROUND(IF(AND(F3692:H3692),C3692*E3692*F3692*G3692*H3692,IF(AND(F3692,G3692),C3692*E3692*F3692*G3692,IF(AND(F3692,H3692),C3692*E3692*F3692*H3692,IF(AND(G3692,H3692),C3692*E3692*G3692*H3692,IF(F3692,C3692*E3692*F3692,IF(G3692,C3692*E3692*G3692,IF(H3692,C3692*E3692*H3692,C3692*E3692))))))),2)</f>
        <v>4</v>
      </c>
      <c r="J3692" s="1357" t="s">
        <v>115</v>
      </c>
      <c r="K3692" s="1169"/>
      <c r="L3692" s="1156"/>
      <c r="M3692" s="1169"/>
      <c r="N3692" s="1161" t="s">
        <v>2317</v>
      </c>
    </row>
    <row r="3693" spans="1:14" s="1170" customFormat="1" ht="16.5" hidden="1" customHeight="1">
      <c r="A3693" s="1156"/>
      <c r="B3693" s="1230"/>
      <c r="C3693" s="1332"/>
      <c r="D3693" s="1333"/>
      <c r="E3693" s="1334"/>
      <c r="F3693" s="1335"/>
      <c r="G3693" s="1335"/>
      <c r="H3693" s="1335"/>
      <c r="I3693" s="1421"/>
      <c r="J3693" s="1357"/>
      <c r="K3693" s="1169"/>
      <c r="L3693" s="1156"/>
      <c r="M3693" s="1169"/>
      <c r="N3693" s="1161" t="s">
        <v>2317</v>
      </c>
    </row>
    <row r="3694" spans="1:14" ht="15.75" hidden="1">
      <c r="A3694" s="1156"/>
      <c r="B3694" s="1169"/>
      <c r="C3694" s="1337"/>
      <c r="D3694" s="1171"/>
      <c r="E3694" s="1165"/>
      <c r="F3694" s="1166"/>
      <c r="G3694" s="1343"/>
      <c r="H3694" s="1156"/>
      <c r="I3694" s="1421"/>
      <c r="J3694" s="1357" t="s">
        <v>115</v>
      </c>
      <c r="K3694" s="1221">
        <f>'Ele Data'!I698</f>
        <v>112.04</v>
      </c>
      <c r="L3694" s="1159" t="s">
        <v>2317</v>
      </c>
      <c r="M3694" s="1224">
        <f>ROUND(I3694*K3694,0)</f>
        <v>0</v>
      </c>
      <c r="N3694" s="1161" t="s">
        <v>2317</v>
      </c>
    </row>
    <row r="3695" spans="1:14" ht="19.5" hidden="1" customHeight="1">
      <c r="A3695" s="1156">
        <v>19</v>
      </c>
      <c r="B3695" s="1826" t="s">
        <v>624</v>
      </c>
      <c r="C3695" s="1826"/>
      <c r="D3695" s="1826"/>
      <c r="E3695" s="1826"/>
      <c r="F3695" s="1826"/>
      <c r="G3695" s="1826"/>
      <c r="H3695" s="1826"/>
      <c r="I3695" s="1157"/>
      <c r="J3695" s="1158"/>
      <c r="K3695" s="1156"/>
      <c r="L3695" s="1156"/>
      <c r="M3695" s="1160"/>
      <c r="N3695" s="1161" t="s">
        <v>2317</v>
      </c>
    </row>
    <row r="3696" spans="1:14" s="1170" customFormat="1" ht="16.5" hidden="1" customHeight="1">
      <c r="A3696" s="1156"/>
      <c r="B3696" s="1169" t="s">
        <v>2107</v>
      </c>
      <c r="C3696" s="1351"/>
      <c r="D3696" s="1418"/>
      <c r="E3696" s="1352"/>
      <c r="F3696" s="1234"/>
      <c r="G3696" s="1234"/>
      <c r="H3696" s="1235"/>
      <c r="I3696" s="1353"/>
      <c r="J3696" s="1357"/>
      <c r="K3696" s="1169"/>
      <c r="L3696" s="1156"/>
      <c r="M3696" s="1169"/>
      <c r="N3696" s="1161" t="s">
        <v>2317</v>
      </c>
    </row>
    <row r="3697" spans="1:14" s="1170" customFormat="1" ht="16.5" hidden="1" customHeight="1">
      <c r="A3697" s="1156"/>
      <c r="B3697" s="1230" t="s">
        <v>2087</v>
      </c>
      <c r="C3697" s="1332">
        <v>1</v>
      </c>
      <c r="D3697" s="1333" t="s">
        <v>273</v>
      </c>
      <c r="E3697" s="1334">
        <v>7</v>
      </c>
      <c r="F3697" s="1335">
        <v>0</v>
      </c>
      <c r="G3697" s="1335">
        <v>0</v>
      </c>
      <c r="H3697" s="1335">
        <v>0</v>
      </c>
      <c r="I3697" s="1421">
        <f>ROUND(IF(AND(F3697:H3697),C3697*E3697*F3697*G3697*H3697,IF(AND(F3697,G3697),C3697*E3697*F3697*G3697,IF(AND(F3697,H3697),C3697*E3697*F3697*H3697,IF(AND(G3697,H3697),C3697*E3697*G3697*H3697,IF(F3697,C3697*E3697*F3697,IF(G3697,C3697*E3697*G3697,IF(H3697,C3697*E3697*H3697,C3697*E3697))))))),2)</f>
        <v>7</v>
      </c>
      <c r="J3697" s="1357" t="s">
        <v>115</v>
      </c>
      <c r="K3697" s="1169"/>
      <c r="L3697" s="1156"/>
      <c r="M3697" s="1169"/>
      <c r="N3697" s="1161" t="s">
        <v>2317</v>
      </c>
    </row>
    <row r="3698" spans="1:14" s="1170" customFormat="1" ht="16.5" hidden="1" customHeight="1">
      <c r="A3698" s="1156"/>
      <c r="B3698" s="1230"/>
      <c r="C3698" s="1332"/>
      <c r="D3698" s="1333"/>
      <c r="E3698" s="1334"/>
      <c r="F3698" s="1335"/>
      <c r="G3698" s="1335"/>
      <c r="H3698" s="1335"/>
      <c r="I3698" s="1336"/>
      <c r="J3698" s="1357"/>
      <c r="K3698" s="1169"/>
      <c r="L3698" s="1156"/>
      <c r="M3698" s="1169"/>
      <c r="N3698" s="1161" t="s">
        <v>2317</v>
      </c>
    </row>
    <row r="3699" spans="1:14" ht="15.75" hidden="1">
      <c r="A3699" s="1156"/>
      <c r="B3699" s="1169"/>
      <c r="C3699" s="1337"/>
      <c r="D3699" s="1171"/>
      <c r="E3699" s="1165"/>
      <c r="F3699" s="1166"/>
      <c r="G3699" s="1343"/>
      <c r="H3699" s="1156"/>
      <c r="I3699" s="1421"/>
      <c r="J3699" s="1357" t="s">
        <v>115</v>
      </c>
      <c r="K3699" s="1221">
        <f>'Ele Data'!I649</f>
        <v>20</v>
      </c>
      <c r="L3699" s="1159" t="s">
        <v>2317</v>
      </c>
      <c r="M3699" s="1224">
        <f>ROUND(I3699*K3699,0)</f>
        <v>0</v>
      </c>
      <c r="N3699" s="1161" t="s">
        <v>2317</v>
      </c>
    </row>
    <row r="3700" spans="1:14" ht="30" hidden="1" customHeight="1">
      <c r="A3700" s="1156">
        <v>58</v>
      </c>
      <c r="B3700" s="1826" t="s">
        <v>1268</v>
      </c>
      <c r="C3700" s="1826"/>
      <c r="D3700" s="1826"/>
      <c r="E3700" s="1826"/>
      <c r="F3700" s="1826"/>
      <c r="G3700" s="1826"/>
      <c r="H3700" s="1826"/>
      <c r="I3700" s="1157"/>
      <c r="J3700" s="1158"/>
      <c r="K3700" s="1156"/>
      <c r="L3700" s="1156"/>
      <c r="M3700" s="1160"/>
      <c r="N3700" s="1161" t="s">
        <v>2317</v>
      </c>
    </row>
    <row r="3701" spans="1:14" s="1170" customFormat="1" ht="16.5" hidden="1" customHeight="1">
      <c r="A3701" s="1156"/>
      <c r="B3701" s="1163" t="s">
        <v>3551</v>
      </c>
      <c r="C3701" s="1351"/>
      <c r="D3701" s="1548" t="s">
        <v>3651</v>
      </c>
      <c r="E3701" s="1352"/>
      <c r="F3701" s="1234"/>
      <c r="G3701" s="1234"/>
      <c r="H3701" s="1235"/>
      <c r="I3701" s="1353"/>
      <c r="J3701" s="1357"/>
      <c r="K3701" s="1169"/>
      <c r="L3701" s="1156"/>
      <c r="M3701" s="1169"/>
      <c r="N3701" s="1161" t="s">
        <v>2317</v>
      </c>
    </row>
    <row r="3702" spans="1:14" s="1170" customFormat="1" ht="16.5" hidden="1" customHeight="1">
      <c r="A3702" s="1156"/>
      <c r="B3702" s="1230"/>
      <c r="C3702" s="1568">
        <v>1</v>
      </c>
      <c r="D3702" s="1361" t="s">
        <v>273</v>
      </c>
      <c r="E3702" s="1362">
        <v>6</v>
      </c>
      <c r="F3702" s="1363">
        <v>0</v>
      </c>
      <c r="G3702" s="1363">
        <v>0</v>
      </c>
      <c r="H3702" s="1363">
        <v>0</v>
      </c>
      <c r="I3702" s="1421">
        <f t="shared" ref="I3702" si="188">ROUND(IF(AND(F3702:H3702),C3702*E3702*F3702*G3702*H3702,IF(AND(F3702,G3702),C3702*E3702*F3702*G3702,IF(AND(F3702,H3702),C3702*E3702*F3702*H3702,IF(AND(G3702,H3702),C3702*E3702*G3702*H3702,IF(F3702,C3702*E3702*F3702,IF(G3702,C3702*E3702*G3702,IF(H3702,C3702*E3702*H3702,C3702*E3702))))))),2)</f>
        <v>6</v>
      </c>
      <c r="J3702" s="1357" t="s">
        <v>115</v>
      </c>
      <c r="K3702" s="1169"/>
      <c r="L3702" s="1156"/>
      <c r="M3702" s="1169"/>
      <c r="N3702" s="1161" t="s">
        <v>2317</v>
      </c>
    </row>
    <row r="3703" spans="1:14" s="1170" customFormat="1" ht="16.5" hidden="1" customHeight="1">
      <c r="A3703" s="1156"/>
      <c r="B3703" s="1230"/>
      <c r="C3703" s="1332"/>
      <c r="D3703" s="1333"/>
      <c r="E3703" s="1334"/>
      <c r="F3703" s="1335"/>
      <c r="G3703" s="1335"/>
      <c r="H3703" s="1335"/>
      <c r="I3703" s="1421"/>
      <c r="J3703" s="1357"/>
      <c r="K3703" s="1169"/>
      <c r="L3703" s="1156"/>
      <c r="M3703" s="1169"/>
      <c r="N3703" s="1161" t="s">
        <v>2317</v>
      </c>
    </row>
    <row r="3704" spans="1:14" ht="15.75" hidden="1">
      <c r="A3704" s="1156"/>
      <c r="B3704" s="1169"/>
      <c r="C3704" s="1337"/>
      <c r="D3704" s="1171"/>
      <c r="E3704" s="1165"/>
      <c r="F3704" s="1166" t="s">
        <v>0</v>
      </c>
      <c r="G3704" s="1343"/>
      <c r="H3704" s="1156"/>
      <c r="I3704" s="1421"/>
      <c r="J3704" s="1357" t="s">
        <v>115</v>
      </c>
      <c r="K3704" s="1221">
        <f>'Ele Data'!I756</f>
        <v>122</v>
      </c>
      <c r="L3704" s="1159" t="s">
        <v>2317</v>
      </c>
      <c r="M3704" s="1224">
        <f>ROUND(I3704*K3704,0)</f>
        <v>0</v>
      </c>
      <c r="N3704" s="1161" t="s">
        <v>2317</v>
      </c>
    </row>
    <row r="3705" spans="1:14" ht="43.5" hidden="1" customHeight="1">
      <c r="A3705" s="1156">
        <v>59</v>
      </c>
      <c r="B3705" s="1826" t="s">
        <v>2082</v>
      </c>
      <c r="C3705" s="1826"/>
      <c r="D3705" s="1826"/>
      <c r="E3705" s="1826"/>
      <c r="F3705" s="1826"/>
      <c r="G3705" s="1826"/>
      <c r="H3705" s="1826"/>
      <c r="I3705" s="1157"/>
      <c r="J3705" s="1158"/>
      <c r="K3705" s="1156"/>
      <c r="L3705" s="1156"/>
      <c r="M3705" s="1160"/>
      <c r="N3705" s="1161" t="s">
        <v>2317</v>
      </c>
    </row>
    <row r="3706" spans="1:14" s="1170" customFormat="1" ht="16.5" hidden="1" customHeight="1">
      <c r="A3706" s="1156"/>
      <c r="B3706" s="1163" t="s">
        <v>3551</v>
      </c>
      <c r="C3706" s="1351"/>
      <c r="D3706" s="1548" t="s">
        <v>3651</v>
      </c>
      <c r="E3706" s="1352"/>
      <c r="F3706" s="1234"/>
      <c r="G3706" s="1234"/>
      <c r="H3706" s="1235"/>
      <c r="I3706" s="1353"/>
      <c r="J3706" s="1357"/>
      <c r="K3706" s="1169"/>
      <c r="L3706" s="1156"/>
      <c r="M3706" s="1169"/>
      <c r="N3706" s="1161" t="s">
        <v>2317</v>
      </c>
    </row>
    <row r="3707" spans="1:14" s="1170" customFormat="1" ht="16.5" hidden="1" customHeight="1">
      <c r="A3707" s="1156"/>
      <c r="B3707" s="1230"/>
      <c r="C3707" s="1360">
        <v>1</v>
      </c>
      <c r="D3707" s="1361" t="s">
        <v>273</v>
      </c>
      <c r="E3707" s="1362">
        <v>9</v>
      </c>
      <c r="F3707" s="1363">
        <v>0</v>
      </c>
      <c r="G3707" s="1363">
        <v>0</v>
      </c>
      <c r="H3707" s="1363">
        <v>0</v>
      </c>
      <c r="I3707" s="1421">
        <f t="shared" ref="I3707" si="189">ROUND(IF(AND(F3707:H3707),C3707*E3707*F3707*G3707*H3707,IF(AND(F3707,G3707),C3707*E3707*F3707*G3707,IF(AND(F3707,H3707),C3707*E3707*F3707*H3707,IF(AND(G3707,H3707),C3707*E3707*G3707*H3707,IF(F3707,C3707*E3707*F3707,IF(G3707,C3707*E3707*G3707,IF(H3707,C3707*E3707*H3707,C3707*E3707))))))),2)</f>
        <v>9</v>
      </c>
      <c r="J3707" s="1357" t="s">
        <v>115</v>
      </c>
      <c r="K3707" s="1169"/>
      <c r="L3707" s="1156"/>
      <c r="M3707" s="1169"/>
      <c r="N3707" s="1161" t="s">
        <v>2317</v>
      </c>
    </row>
    <row r="3708" spans="1:14" s="1170" customFormat="1" ht="16.5" hidden="1" customHeight="1">
      <c r="A3708" s="1156"/>
      <c r="B3708" s="1230"/>
      <c r="C3708" s="1332"/>
      <c r="D3708" s="1333"/>
      <c r="E3708" s="1334"/>
      <c r="F3708" s="1335"/>
      <c r="G3708" s="1335"/>
      <c r="H3708" s="1335"/>
      <c r="I3708" s="1421"/>
      <c r="J3708" s="1357"/>
      <c r="K3708" s="1169"/>
      <c r="L3708" s="1156"/>
      <c r="M3708" s="1169"/>
      <c r="N3708" s="1161" t="s">
        <v>2317</v>
      </c>
    </row>
    <row r="3709" spans="1:14" ht="17.25" hidden="1" customHeight="1">
      <c r="A3709" s="1156"/>
      <c r="B3709" s="1169"/>
      <c r="C3709" s="1337"/>
      <c r="D3709" s="1171"/>
      <c r="E3709" s="1165"/>
      <c r="F3709" s="1166"/>
      <c r="G3709" s="1343"/>
      <c r="H3709" s="1156"/>
      <c r="I3709" s="1421"/>
      <c r="J3709" s="1357" t="s">
        <v>115</v>
      </c>
      <c r="K3709" s="1221">
        <f>'Ele Data'!I766</f>
        <v>3020.3799999999997</v>
      </c>
      <c r="L3709" s="1159" t="s">
        <v>2317</v>
      </c>
      <c r="M3709" s="1224">
        <f>ROUND(I3709*K3709,0)</f>
        <v>0</v>
      </c>
      <c r="N3709" s="1161" t="s">
        <v>2317</v>
      </c>
    </row>
    <row r="3710" spans="1:14" ht="21" hidden="1" customHeight="1">
      <c r="A3710" s="1156">
        <v>18</v>
      </c>
      <c r="B3710" s="1826" t="s">
        <v>1574</v>
      </c>
      <c r="C3710" s="1826"/>
      <c r="D3710" s="1826"/>
      <c r="E3710" s="1826"/>
      <c r="F3710" s="1826"/>
      <c r="G3710" s="1826"/>
      <c r="H3710" s="1826"/>
      <c r="I3710" s="1157"/>
      <c r="J3710" s="1158"/>
      <c r="K3710" s="1156"/>
      <c r="L3710" s="1156"/>
      <c r="M3710" s="1160"/>
      <c r="N3710" s="1161" t="s">
        <v>2317</v>
      </c>
    </row>
    <row r="3711" spans="1:14" s="1170" customFormat="1" ht="16.5" hidden="1" customHeight="1">
      <c r="A3711" s="1156"/>
      <c r="B3711" s="1169" t="s">
        <v>2347</v>
      </c>
      <c r="C3711" s="1351"/>
      <c r="D3711" s="1418"/>
      <c r="E3711" s="1352"/>
      <c r="F3711" s="1234"/>
      <c r="G3711" s="1234"/>
      <c r="H3711" s="1235"/>
      <c r="I3711" s="1353"/>
      <c r="J3711" s="1357"/>
      <c r="K3711" s="1169"/>
      <c r="L3711" s="1156"/>
      <c r="M3711" s="1169"/>
      <c r="N3711" s="1161" t="s">
        <v>2317</v>
      </c>
    </row>
    <row r="3712" spans="1:14" s="1170" customFormat="1" ht="16.5" hidden="1" customHeight="1">
      <c r="A3712" s="1156"/>
      <c r="B3712" s="1230"/>
      <c r="C3712" s="1360">
        <v>1</v>
      </c>
      <c r="D3712" s="1361" t="s">
        <v>273</v>
      </c>
      <c r="E3712" s="1362">
        <v>12</v>
      </c>
      <c r="F3712" s="1363">
        <v>0</v>
      </c>
      <c r="G3712" s="1363">
        <v>0</v>
      </c>
      <c r="H3712" s="1363">
        <v>0</v>
      </c>
      <c r="I3712" s="1421">
        <f>ROUND(IF(AND(F3712:H3712),C3712*E3712*F3712*G3712*H3712,IF(AND(F3712,G3712),C3712*E3712*F3712*G3712,IF(AND(F3712,H3712),C3712*E3712*F3712*H3712,IF(AND(G3712,H3712),C3712*E3712*G3712*H3712,IF(F3712,C3712*E3712*F3712,IF(G3712,C3712*E3712*G3712,IF(H3712,C3712*E3712*H3712,C3712*E3712))))))),2)</f>
        <v>12</v>
      </c>
      <c r="J3712" s="1357" t="s">
        <v>115</v>
      </c>
      <c r="K3712" s="1169"/>
      <c r="L3712" s="1156"/>
      <c r="M3712" s="1169"/>
      <c r="N3712" s="1161" t="s">
        <v>2317</v>
      </c>
    </row>
    <row r="3713" spans="1:14" s="1170" customFormat="1" ht="16.5" hidden="1" customHeight="1">
      <c r="A3713" s="1156"/>
      <c r="B3713" s="1230"/>
      <c r="C3713" s="1332"/>
      <c r="D3713" s="1333"/>
      <c r="E3713" s="1334"/>
      <c r="F3713" s="1335"/>
      <c r="G3713" s="1335"/>
      <c r="H3713" s="1335"/>
      <c r="I3713" s="1336"/>
      <c r="J3713" s="1357"/>
      <c r="K3713" s="1169"/>
      <c r="L3713" s="1156"/>
      <c r="M3713" s="1169"/>
      <c r="N3713" s="1161" t="s">
        <v>2317</v>
      </c>
    </row>
    <row r="3714" spans="1:14" ht="15.75" hidden="1">
      <c r="A3714" s="1156"/>
      <c r="B3714" s="1169"/>
      <c r="C3714" s="1337"/>
      <c r="D3714" s="1171"/>
      <c r="E3714" s="1165"/>
      <c r="F3714" s="1166"/>
      <c r="G3714" s="1343"/>
      <c r="H3714" s="1156"/>
      <c r="I3714" s="1421"/>
      <c r="J3714" s="1357" t="s">
        <v>115</v>
      </c>
      <c r="K3714" s="1221">
        <f>'Ele Data'!I793</f>
        <v>208.13000000000002</v>
      </c>
      <c r="L3714" s="1159" t="s">
        <v>2317</v>
      </c>
      <c r="M3714" s="1224">
        <f>ROUND(I3714*K3714,0)</f>
        <v>0</v>
      </c>
      <c r="N3714" s="1161" t="s">
        <v>2317</v>
      </c>
    </row>
    <row r="3715" spans="1:14" ht="43.5" hidden="1" customHeight="1">
      <c r="A3715" s="1156">
        <v>19</v>
      </c>
      <c r="B3715" s="1826" t="s">
        <v>946</v>
      </c>
      <c r="C3715" s="1826"/>
      <c r="D3715" s="1826"/>
      <c r="E3715" s="1826"/>
      <c r="F3715" s="1826"/>
      <c r="G3715" s="1826"/>
      <c r="H3715" s="1826"/>
      <c r="I3715" s="1157"/>
      <c r="J3715" s="1158"/>
      <c r="K3715" s="1156"/>
      <c r="L3715" s="1156"/>
      <c r="M3715" s="1160"/>
      <c r="N3715" s="1161" t="s">
        <v>2317</v>
      </c>
    </row>
    <row r="3716" spans="1:14" s="1170" customFormat="1" ht="16.5" hidden="1" customHeight="1">
      <c r="A3716" s="1156"/>
      <c r="B3716" s="1169" t="s">
        <v>2329</v>
      </c>
      <c r="C3716" s="1351"/>
      <c r="D3716" s="1418"/>
      <c r="E3716" s="1352"/>
      <c r="F3716" s="1234"/>
      <c r="G3716" s="1234"/>
      <c r="H3716" s="1235"/>
      <c r="I3716" s="1353"/>
      <c r="J3716" s="1357"/>
      <c r="K3716" s="1169"/>
      <c r="L3716" s="1156"/>
      <c r="M3716" s="1169"/>
      <c r="N3716" s="1161" t="s">
        <v>2317</v>
      </c>
    </row>
    <row r="3717" spans="1:14" s="1170" customFormat="1" ht="16.5" hidden="1" customHeight="1">
      <c r="A3717" s="1156"/>
      <c r="B3717" s="1230" t="s">
        <v>2087</v>
      </c>
      <c r="C3717" s="1332">
        <v>1</v>
      </c>
      <c r="D3717" s="1333" t="s">
        <v>273</v>
      </c>
      <c r="E3717" s="1334">
        <v>7</v>
      </c>
      <c r="F3717" s="1335">
        <v>0</v>
      </c>
      <c r="G3717" s="1335">
        <v>0</v>
      </c>
      <c r="H3717" s="1335">
        <v>0</v>
      </c>
      <c r="I3717" s="1421">
        <f>ROUND(IF(AND(F3717:H3717),C3717*E3717*F3717*G3717*H3717,IF(AND(F3717,G3717),C3717*E3717*F3717*G3717,IF(AND(F3717,H3717),C3717*E3717*F3717*H3717,IF(AND(G3717,H3717),C3717*E3717*G3717*H3717,IF(F3717,C3717*E3717*F3717,IF(G3717,C3717*E3717*G3717,IF(H3717,C3717*E3717*H3717,C3717*E3717))))))),2)</f>
        <v>7</v>
      </c>
      <c r="J3717" s="1357" t="s">
        <v>115</v>
      </c>
      <c r="K3717" s="1169"/>
      <c r="L3717" s="1156"/>
      <c r="M3717" s="1169"/>
      <c r="N3717" s="1161" t="s">
        <v>2317</v>
      </c>
    </row>
    <row r="3718" spans="1:14" s="1170" customFormat="1" ht="16.5" hidden="1" customHeight="1">
      <c r="A3718" s="1156"/>
      <c r="B3718" s="1230"/>
      <c r="C3718" s="1332"/>
      <c r="D3718" s="1333"/>
      <c r="E3718" s="1334"/>
      <c r="F3718" s="1335"/>
      <c r="G3718" s="1335"/>
      <c r="H3718" s="1335"/>
      <c r="I3718" s="1421"/>
      <c r="J3718" s="1357"/>
      <c r="K3718" s="1169"/>
      <c r="L3718" s="1156"/>
      <c r="M3718" s="1169"/>
      <c r="N3718" s="1161" t="s">
        <v>2317</v>
      </c>
    </row>
    <row r="3719" spans="1:14" ht="15.75" hidden="1">
      <c r="A3719" s="1156"/>
      <c r="B3719" s="1169"/>
      <c r="C3719" s="1337"/>
      <c r="D3719" s="1171"/>
      <c r="E3719" s="1165"/>
      <c r="F3719" s="1166"/>
      <c r="G3719" s="1343"/>
      <c r="H3719" s="1156"/>
      <c r="I3719" s="1421"/>
      <c r="J3719" s="1357" t="s">
        <v>115</v>
      </c>
      <c r="K3719" s="1221">
        <f>'Ele Data'!I770</f>
        <v>2671.45</v>
      </c>
      <c r="L3719" s="1159" t="s">
        <v>2317</v>
      </c>
      <c r="M3719" s="1224">
        <f>ROUND(I3719*K3719,0)</f>
        <v>0</v>
      </c>
      <c r="N3719" s="1161" t="s">
        <v>2317</v>
      </c>
    </row>
    <row r="3720" spans="1:14" ht="30.75" hidden="1" customHeight="1">
      <c r="A3720" s="1156">
        <v>20</v>
      </c>
      <c r="B3720" s="1826" t="s">
        <v>947</v>
      </c>
      <c r="C3720" s="1826"/>
      <c r="D3720" s="1826"/>
      <c r="E3720" s="1826"/>
      <c r="F3720" s="1826"/>
      <c r="G3720" s="1826"/>
      <c r="H3720" s="1826"/>
      <c r="I3720" s="1421"/>
      <c r="J3720" s="1158"/>
      <c r="K3720" s="1156"/>
      <c r="L3720" s="1156"/>
      <c r="M3720" s="1160"/>
      <c r="N3720" s="1161" t="s">
        <v>2317</v>
      </c>
    </row>
    <row r="3721" spans="1:14" s="1170" customFormat="1" ht="16.5" hidden="1" customHeight="1">
      <c r="A3721" s="1156"/>
      <c r="B3721" s="1169" t="s">
        <v>2329</v>
      </c>
      <c r="C3721" s="1351"/>
      <c r="D3721" s="1418"/>
      <c r="E3721" s="1352"/>
      <c r="F3721" s="1234"/>
      <c r="G3721" s="1234"/>
      <c r="H3721" s="1235"/>
      <c r="I3721" s="1353"/>
      <c r="J3721" s="1357"/>
      <c r="K3721" s="1169"/>
      <c r="L3721" s="1156"/>
      <c r="M3721" s="1169"/>
      <c r="N3721" s="1161" t="s">
        <v>2317</v>
      </c>
    </row>
    <row r="3722" spans="1:14" s="1170" customFormat="1" ht="16.5" hidden="1" customHeight="1">
      <c r="A3722" s="1156"/>
      <c r="B3722" s="1230"/>
      <c r="C3722" s="1332">
        <v>1</v>
      </c>
      <c r="D3722" s="1333" t="s">
        <v>273</v>
      </c>
      <c r="E3722" s="1334">
        <v>12</v>
      </c>
      <c r="F3722" s="1335">
        <v>0</v>
      </c>
      <c r="G3722" s="1335">
        <v>0</v>
      </c>
      <c r="H3722" s="1335">
        <v>0</v>
      </c>
      <c r="I3722" s="1421">
        <f>ROUND(IF(AND(F3722:H3722),C3722*E3722*F3722*G3722*H3722,IF(AND(F3722,G3722),C3722*E3722*F3722*G3722,IF(AND(F3722,H3722),C3722*E3722*F3722*H3722,IF(AND(G3722,H3722),C3722*E3722*G3722*H3722,IF(F3722,C3722*E3722*F3722,IF(G3722,C3722*E3722*G3722,IF(H3722,C3722*E3722*H3722,C3722*E3722))))))),2)</f>
        <v>12</v>
      </c>
      <c r="J3722" s="1357" t="s">
        <v>115</v>
      </c>
      <c r="K3722" s="1169"/>
      <c r="L3722" s="1156"/>
      <c r="M3722" s="1169"/>
      <c r="N3722" s="1161" t="s">
        <v>2317</v>
      </c>
    </row>
    <row r="3723" spans="1:14" s="1170" customFormat="1" ht="16.5" hidden="1" customHeight="1">
      <c r="A3723" s="1156"/>
      <c r="B3723" s="1230"/>
      <c r="C3723" s="1332"/>
      <c r="D3723" s="1333"/>
      <c r="E3723" s="1334"/>
      <c r="F3723" s="1335"/>
      <c r="G3723" s="1335"/>
      <c r="H3723" s="1335"/>
      <c r="I3723" s="1421"/>
      <c r="J3723" s="1357"/>
      <c r="K3723" s="1169"/>
      <c r="L3723" s="1156"/>
      <c r="M3723" s="1169"/>
      <c r="N3723" s="1161" t="s">
        <v>2317</v>
      </c>
    </row>
    <row r="3724" spans="1:14" ht="15.75" hidden="1">
      <c r="A3724" s="1156"/>
      <c r="B3724" s="1169"/>
      <c r="C3724" s="1337"/>
      <c r="D3724" s="1171"/>
      <c r="E3724" s="1165"/>
      <c r="F3724" s="1166"/>
      <c r="G3724" s="1343"/>
      <c r="H3724" s="1156"/>
      <c r="I3724" s="1421"/>
      <c r="J3724" s="1357" t="s">
        <v>115</v>
      </c>
      <c r="K3724" s="1221">
        <f>'Ele Data'!I775</f>
        <v>263</v>
      </c>
      <c r="L3724" s="1159" t="s">
        <v>2317</v>
      </c>
      <c r="M3724" s="1224">
        <f>ROUND(I3724*K3724,0)</f>
        <v>0</v>
      </c>
      <c r="N3724" s="1161" t="s">
        <v>2317</v>
      </c>
    </row>
    <row r="3725" spans="1:14" ht="30.75" hidden="1" customHeight="1">
      <c r="A3725" s="1156">
        <v>21</v>
      </c>
      <c r="B3725" s="1826" t="s">
        <v>948</v>
      </c>
      <c r="C3725" s="1826"/>
      <c r="D3725" s="1826"/>
      <c r="E3725" s="1826"/>
      <c r="F3725" s="1826"/>
      <c r="G3725" s="1826"/>
      <c r="H3725" s="1826"/>
      <c r="I3725" s="1157"/>
      <c r="J3725" s="1158"/>
      <c r="K3725" s="1156"/>
      <c r="L3725" s="1156"/>
      <c r="M3725" s="1160"/>
      <c r="N3725" s="1161" t="s">
        <v>2317</v>
      </c>
    </row>
    <row r="3726" spans="1:14" s="1170" customFormat="1" ht="16.5" hidden="1" customHeight="1">
      <c r="A3726" s="1156"/>
      <c r="B3726" s="1169" t="s">
        <v>2329</v>
      </c>
      <c r="C3726" s="1351"/>
      <c r="D3726" s="1418"/>
      <c r="E3726" s="1352"/>
      <c r="F3726" s="1234"/>
      <c r="G3726" s="1234"/>
      <c r="H3726" s="1235"/>
      <c r="I3726" s="1353"/>
      <c r="J3726" s="1357"/>
      <c r="K3726" s="1169"/>
      <c r="L3726" s="1156"/>
      <c r="M3726" s="1169"/>
      <c r="N3726" s="1161" t="s">
        <v>2317</v>
      </c>
    </row>
    <row r="3727" spans="1:14" s="1170" customFormat="1" ht="16.5" hidden="1" customHeight="1">
      <c r="A3727" s="1156"/>
      <c r="B3727" s="1230"/>
      <c r="C3727" s="1332">
        <v>1</v>
      </c>
      <c r="D3727" s="1333" t="s">
        <v>273</v>
      </c>
      <c r="E3727" s="1334">
        <v>7</v>
      </c>
      <c r="F3727" s="1335">
        <v>0</v>
      </c>
      <c r="G3727" s="1335">
        <v>0</v>
      </c>
      <c r="H3727" s="1335">
        <v>0</v>
      </c>
      <c r="I3727" s="1421">
        <f>ROUND(IF(AND(F3727:H3727),C3727*E3727*F3727*G3727*H3727,IF(AND(F3727,G3727),C3727*E3727*F3727*G3727,IF(AND(F3727,H3727),C3727*E3727*F3727*H3727,IF(AND(G3727,H3727),C3727*E3727*G3727*H3727,IF(F3727,C3727*E3727*F3727,IF(G3727,C3727*E3727*G3727,IF(H3727,C3727*E3727*H3727,C3727*E3727))))))),2)</f>
        <v>7</v>
      </c>
      <c r="J3727" s="1357" t="s">
        <v>115</v>
      </c>
      <c r="K3727" s="1169"/>
      <c r="L3727" s="1156"/>
      <c r="M3727" s="1169"/>
      <c r="N3727" s="1161" t="s">
        <v>2317</v>
      </c>
    </row>
    <row r="3728" spans="1:14" s="1170" customFormat="1" ht="16.5" hidden="1" customHeight="1">
      <c r="A3728" s="1156"/>
      <c r="B3728" s="1230"/>
      <c r="C3728" s="1332"/>
      <c r="D3728" s="1333"/>
      <c r="E3728" s="1334"/>
      <c r="F3728" s="1335"/>
      <c r="G3728" s="1335"/>
      <c r="H3728" s="1335"/>
      <c r="I3728" s="1421"/>
      <c r="J3728" s="1357"/>
      <c r="K3728" s="1169"/>
      <c r="L3728" s="1156"/>
      <c r="M3728" s="1169"/>
      <c r="N3728" s="1161" t="s">
        <v>2317</v>
      </c>
    </row>
    <row r="3729" spans="1:14" ht="15.75" hidden="1">
      <c r="A3729" s="1156"/>
      <c r="B3729" s="1169"/>
      <c r="C3729" s="1337"/>
      <c r="D3729" s="1171"/>
      <c r="E3729" s="1165"/>
      <c r="F3729" s="1166"/>
      <c r="G3729" s="1343"/>
      <c r="H3729" s="1156"/>
      <c r="I3729" s="1421"/>
      <c r="J3729" s="1357" t="s">
        <v>115</v>
      </c>
      <c r="K3729" s="1221">
        <f>'Ele Data'!I782</f>
        <v>158.43</v>
      </c>
      <c r="L3729" s="1159" t="s">
        <v>2317</v>
      </c>
      <c r="M3729" s="1224">
        <f>ROUND(I3729*K3729,0)</f>
        <v>0</v>
      </c>
      <c r="N3729" s="1161" t="s">
        <v>2317</v>
      </c>
    </row>
    <row r="3730" spans="1:14" ht="30.75" hidden="1" customHeight="1">
      <c r="A3730" s="1156">
        <v>15</v>
      </c>
      <c r="B3730" s="1826" t="s">
        <v>950</v>
      </c>
      <c r="C3730" s="1826"/>
      <c r="D3730" s="1826"/>
      <c r="E3730" s="1826"/>
      <c r="F3730" s="1826"/>
      <c r="G3730" s="1826"/>
      <c r="H3730" s="1826"/>
      <c r="I3730" s="1157"/>
      <c r="J3730" s="1158"/>
      <c r="K3730" s="1156"/>
      <c r="L3730" s="1156"/>
      <c r="M3730" s="1160"/>
      <c r="N3730" s="1161" t="s">
        <v>2317</v>
      </c>
    </row>
    <row r="3731" spans="1:14" s="1170" customFormat="1" ht="16.5" hidden="1" customHeight="1">
      <c r="A3731" s="1156"/>
      <c r="B3731" s="1169" t="s">
        <v>2357</v>
      </c>
      <c r="C3731" s="1351"/>
      <c r="D3731" s="1418"/>
      <c r="E3731" s="1352"/>
      <c r="F3731" s="1234"/>
      <c r="G3731" s="1234"/>
      <c r="H3731" s="1235"/>
      <c r="I3731" s="1353"/>
      <c r="J3731" s="1357"/>
      <c r="K3731" s="1169"/>
      <c r="L3731" s="1156"/>
      <c r="M3731" s="1169"/>
      <c r="N3731" s="1161" t="s">
        <v>2317</v>
      </c>
    </row>
    <row r="3732" spans="1:14" s="1170" customFormat="1" ht="16.5" hidden="1" customHeight="1">
      <c r="A3732" s="1156"/>
      <c r="B3732" s="1230" t="s">
        <v>660</v>
      </c>
      <c r="C3732" s="1332">
        <v>1</v>
      </c>
      <c r="D3732" s="1333" t="s">
        <v>273</v>
      </c>
      <c r="E3732" s="1334">
        <v>2</v>
      </c>
      <c r="F3732" s="1335">
        <v>0</v>
      </c>
      <c r="G3732" s="1335">
        <v>0</v>
      </c>
      <c r="H3732" s="1335">
        <v>0</v>
      </c>
      <c r="I3732" s="1421">
        <f>ROUND(IF(AND(F3732:H3732),C3732*E3732*F3732*G3732*H3732,IF(AND(F3732,G3732),C3732*E3732*F3732*G3732,IF(AND(F3732,H3732),C3732*E3732*F3732*H3732,IF(AND(G3732,H3732),C3732*E3732*G3732*H3732,IF(F3732,C3732*E3732*F3732,IF(G3732,C3732*E3732*G3732,IF(H3732,C3732*E3732*H3732,C3732*E3732))))))),2)</f>
        <v>2</v>
      </c>
      <c r="J3732" s="1357" t="s">
        <v>115</v>
      </c>
      <c r="K3732" s="1169"/>
      <c r="L3732" s="1156"/>
      <c r="M3732" s="1169"/>
      <c r="N3732" s="1161" t="s">
        <v>2317</v>
      </c>
    </row>
    <row r="3733" spans="1:14" s="1170" customFormat="1" ht="16.5" hidden="1" customHeight="1">
      <c r="A3733" s="1156"/>
      <c r="B3733" s="1230" t="s">
        <v>650</v>
      </c>
      <c r="C3733" s="1332">
        <v>1</v>
      </c>
      <c r="D3733" s="1333" t="s">
        <v>273</v>
      </c>
      <c r="E3733" s="1334">
        <v>1</v>
      </c>
      <c r="F3733" s="1335">
        <v>0</v>
      </c>
      <c r="G3733" s="1335">
        <v>0</v>
      </c>
      <c r="H3733" s="1335">
        <v>0</v>
      </c>
      <c r="I3733" s="1421">
        <f>ROUND(IF(AND(F3733:H3733),C3733*E3733*F3733*G3733*H3733,IF(AND(F3733,G3733),C3733*E3733*F3733*G3733,IF(AND(F3733,H3733),C3733*E3733*F3733*H3733,IF(AND(G3733,H3733),C3733*E3733*G3733*H3733,IF(F3733,C3733*E3733*F3733,IF(G3733,C3733*E3733*G3733,IF(H3733,C3733*E3733*H3733,C3733*E3733))))))),2)</f>
        <v>1</v>
      </c>
      <c r="J3733" s="1357" t="s">
        <v>115</v>
      </c>
      <c r="K3733" s="1169"/>
      <c r="L3733" s="1156"/>
      <c r="M3733" s="1169"/>
      <c r="N3733" s="1161" t="s">
        <v>2317</v>
      </c>
    </row>
    <row r="3734" spans="1:14" s="1170" customFormat="1" ht="16.5" hidden="1" customHeight="1">
      <c r="A3734" s="1156"/>
      <c r="B3734" s="1230" t="s">
        <v>1170</v>
      </c>
      <c r="C3734" s="1332">
        <v>1</v>
      </c>
      <c r="D3734" s="1333" t="s">
        <v>273</v>
      </c>
      <c r="E3734" s="1334">
        <v>1</v>
      </c>
      <c r="F3734" s="1335">
        <v>0</v>
      </c>
      <c r="G3734" s="1335">
        <v>0</v>
      </c>
      <c r="H3734" s="1335">
        <v>0</v>
      </c>
      <c r="I3734" s="1421">
        <f>ROUND(IF(AND(F3734:H3734),C3734*E3734*F3734*G3734*H3734,IF(AND(F3734,G3734),C3734*E3734*F3734*G3734,IF(AND(F3734,H3734),C3734*E3734*F3734*H3734,IF(AND(G3734,H3734),C3734*E3734*G3734*H3734,IF(F3734,C3734*E3734*F3734,IF(G3734,C3734*E3734*G3734,IF(H3734,C3734*E3734*H3734,C3734*E3734))))))),2)</f>
        <v>1</v>
      </c>
      <c r="J3734" s="1357" t="s">
        <v>115</v>
      </c>
      <c r="K3734" s="1169"/>
      <c r="L3734" s="1156"/>
      <c r="M3734" s="1169"/>
      <c r="N3734" s="1161" t="s">
        <v>2317</v>
      </c>
    </row>
    <row r="3735" spans="1:14" s="1170" customFormat="1" ht="16.5" hidden="1" customHeight="1">
      <c r="A3735" s="1156"/>
      <c r="B3735" s="1230"/>
      <c r="C3735" s="1332"/>
      <c r="D3735" s="1333"/>
      <c r="E3735" s="1334"/>
      <c r="F3735" s="1335"/>
      <c r="G3735" s="1335"/>
      <c r="H3735" s="1335"/>
      <c r="I3735" s="1421"/>
      <c r="J3735" s="1357"/>
      <c r="K3735" s="1169"/>
      <c r="L3735" s="1156"/>
      <c r="M3735" s="1169"/>
      <c r="N3735" s="1161" t="s">
        <v>2317</v>
      </c>
    </row>
    <row r="3736" spans="1:14" ht="15.75" hidden="1">
      <c r="A3736" s="1156"/>
      <c r="B3736" s="1169"/>
      <c r="C3736" s="1337"/>
      <c r="D3736" s="1171"/>
      <c r="E3736" s="1165"/>
      <c r="F3736" s="1166"/>
      <c r="G3736" s="1343"/>
      <c r="H3736" s="1156"/>
      <c r="I3736" s="1421"/>
      <c r="J3736" s="1357" t="s">
        <v>115</v>
      </c>
      <c r="K3736" s="1221">
        <f>'Ele Data'!I788</f>
        <v>147</v>
      </c>
      <c r="L3736" s="1159" t="s">
        <v>2317</v>
      </c>
      <c r="M3736" s="1224">
        <f>ROUND(I3736*K3736,0)</f>
        <v>0</v>
      </c>
      <c r="N3736" s="1161" t="s">
        <v>2317</v>
      </c>
    </row>
    <row r="3737" spans="1:14" ht="41.25" hidden="1" customHeight="1">
      <c r="A3737" s="1156">
        <v>60</v>
      </c>
      <c r="B3737" s="1826" t="s">
        <v>442</v>
      </c>
      <c r="C3737" s="1826"/>
      <c r="D3737" s="1826"/>
      <c r="E3737" s="1826"/>
      <c r="F3737" s="1826"/>
      <c r="G3737" s="1826"/>
      <c r="H3737" s="1826"/>
      <c r="I3737" s="1157"/>
      <c r="J3737" s="1158"/>
      <c r="K3737" s="1156"/>
      <c r="L3737" s="1156"/>
      <c r="M3737" s="1160"/>
      <c r="N3737" s="1161" t="s">
        <v>2317</v>
      </c>
    </row>
    <row r="3738" spans="1:14" s="1170" customFormat="1" ht="16.5" hidden="1" customHeight="1">
      <c r="A3738" s="1156"/>
      <c r="B3738" s="1163" t="s">
        <v>3620</v>
      </c>
      <c r="C3738" s="1351"/>
      <c r="D3738" s="1548" t="s">
        <v>3651</v>
      </c>
      <c r="E3738" s="1352"/>
      <c r="F3738" s="1234"/>
      <c r="G3738" s="1234"/>
      <c r="H3738" s="1235"/>
      <c r="I3738" s="1353"/>
      <c r="J3738" s="1357"/>
      <c r="K3738" s="1169"/>
      <c r="L3738" s="1156"/>
      <c r="M3738" s="1169"/>
      <c r="N3738" s="1161" t="s">
        <v>2317</v>
      </c>
    </row>
    <row r="3739" spans="1:14" s="1170" customFormat="1" ht="16.5" hidden="1" customHeight="1">
      <c r="A3739" s="1156"/>
      <c r="B3739" s="1230"/>
      <c r="C3739" s="1360">
        <v>1</v>
      </c>
      <c r="D3739" s="1361" t="s">
        <v>273</v>
      </c>
      <c r="E3739" s="1362">
        <v>7</v>
      </c>
      <c r="F3739" s="1363">
        <v>0</v>
      </c>
      <c r="G3739" s="1363">
        <v>0</v>
      </c>
      <c r="H3739" s="1363">
        <v>0</v>
      </c>
      <c r="I3739" s="1421">
        <f t="shared" ref="I3739" si="190">ROUND(IF(AND(F3739:H3739),C3739*E3739*F3739*G3739*H3739,IF(AND(F3739,G3739),C3739*E3739*F3739*G3739,IF(AND(F3739,H3739),C3739*E3739*F3739*H3739,IF(AND(G3739,H3739),C3739*E3739*G3739*H3739,IF(F3739,C3739*E3739*F3739,IF(G3739,C3739*E3739*G3739,IF(H3739,C3739*E3739*H3739,C3739*E3739))))))),2)</f>
        <v>7</v>
      </c>
      <c r="J3739" s="1357" t="s">
        <v>115</v>
      </c>
      <c r="K3739" s="1169"/>
      <c r="L3739" s="1156"/>
      <c r="M3739" s="1169"/>
      <c r="N3739" s="1161" t="s">
        <v>2317</v>
      </c>
    </row>
    <row r="3740" spans="1:14" s="1170" customFormat="1" ht="16.5" hidden="1" customHeight="1">
      <c r="A3740" s="1156"/>
      <c r="B3740" s="1230"/>
      <c r="C3740" s="1332"/>
      <c r="D3740" s="1333"/>
      <c r="E3740" s="1334"/>
      <c r="F3740" s="1335"/>
      <c r="G3740" s="1335"/>
      <c r="H3740" s="1335"/>
      <c r="I3740" s="1421"/>
      <c r="J3740" s="1357"/>
      <c r="K3740" s="1169"/>
      <c r="L3740" s="1156"/>
      <c r="M3740" s="1169"/>
      <c r="N3740" s="1161" t="s">
        <v>2317</v>
      </c>
    </row>
    <row r="3741" spans="1:14" ht="15.75" hidden="1">
      <c r="A3741" s="1156"/>
      <c r="B3741" s="1169"/>
      <c r="C3741" s="1337"/>
      <c r="D3741" s="1171"/>
      <c r="E3741" s="1165"/>
      <c r="F3741" s="1166"/>
      <c r="G3741" s="1343"/>
      <c r="H3741" s="1156"/>
      <c r="I3741" s="1421"/>
      <c r="J3741" s="1357" t="s">
        <v>115</v>
      </c>
      <c r="K3741" s="1221">
        <f>'Ele Data'!I801</f>
        <v>395.93</v>
      </c>
      <c r="L3741" s="1159" t="s">
        <v>2317</v>
      </c>
      <c r="M3741" s="1224">
        <f>ROUND(I3741*K3741,0)</f>
        <v>0</v>
      </c>
      <c r="N3741" s="1161" t="s">
        <v>2317</v>
      </c>
    </row>
    <row r="3742" spans="1:14" ht="66.75" hidden="1" customHeight="1">
      <c r="A3742" s="1156">
        <v>23</v>
      </c>
      <c r="B3742" s="1826" t="s">
        <v>2097</v>
      </c>
      <c r="C3742" s="1826"/>
      <c r="D3742" s="1826"/>
      <c r="E3742" s="1826"/>
      <c r="F3742" s="1826"/>
      <c r="G3742" s="1826"/>
      <c r="H3742" s="1826"/>
      <c r="I3742" s="1157"/>
      <c r="J3742" s="1158"/>
      <c r="K3742" s="1156"/>
      <c r="L3742" s="1156"/>
      <c r="M3742" s="1160"/>
      <c r="N3742" s="1161" t="s">
        <v>2317</v>
      </c>
    </row>
    <row r="3743" spans="1:14" s="1170" customFormat="1" ht="16.5" hidden="1" customHeight="1">
      <c r="A3743" s="1156"/>
      <c r="B3743" s="1169" t="s">
        <v>2107</v>
      </c>
      <c r="C3743" s="1351"/>
      <c r="D3743" s="1418"/>
      <c r="E3743" s="1352"/>
      <c r="F3743" s="1234"/>
      <c r="G3743" s="1234"/>
      <c r="H3743" s="1235"/>
      <c r="I3743" s="1353"/>
      <c r="J3743" s="1357"/>
      <c r="K3743" s="1169"/>
      <c r="L3743" s="1156"/>
      <c r="M3743" s="1169"/>
      <c r="N3743" s="1161" t="s">
        <v>2317</v>
      </c>
    </row>
    <row r="3744" spans="1:14" s="1170" customFormat="1" ht="16.5" hidden="1" customHeight="1">
      <c r="A3744" s="1156"/>
      <c r="B3744" s="1230"/>
      <c r="C3744" s="1332">
        <v>1</v>
      </c>
      <c r="D3744" s="1333" t="s">
        <v>273</v>
      </c>
      <c r="E3744" s="1334">
        <v>1</v>
      </c>
      <c r="F3744" s="1335">
        <v>0</v>
      </c>
      <c r="G3744" s="1335">
        <v>0</v>
      </c>
      <c r="H3744" s="1335">
        <v>0</v>
      </c>
      <c r="I3744" s="1421">
        <f>ROUND(IF(AND(F3744:H3744),C3744*E3744*F3744*G3744*H3744,IF(AND(F3744,G3744),C3744*E3744*F3744*G3744,IF(AND(F3744,H3744),C3744*E3744*F3744*H3744,IF(AND(G3744,H3744),C3744*E3744*G3744*H3744,IF(F3744,C3744*E3744*F3744,IF(G3744,C3744*E3744*G3744,IF(H3744,C3744*E3744*H3744,C3744*E3744))))))),2)</f>
        <v>1</v>
      </c>
      <c r="J3744" s="1357" t="s">
        <v>115</v>
      </c>
      <c r="K3744" s="1169"/>
      <c r="L3744" s="1156"/>
      <c r="M3744" s="1169"/>
      <c r="N3744" s="1161" t="s">
        <v>2317</v>
      </c>
    </row>
    <row r="3745" spans="1:14" s="1170" customFormat="1" ht="16.5" hidden="1" customHeight="1">
      <c r="A3745" s="1156"/>
      <c r="B3745" s="1230"/>
      <c r="C3745" s="1332"/>
      <c r="D3745" s="1333"/>
      <c r="E3745" s="1334"/>
      <c r="F3745" s="1335"/>
      <c r="G3745" s="1335"/>
      <c r="H3745" s="1335"/>
      <c r="I3745" s="1421"/>
      <c r="J3745" s="1357"/>
      <c r="K3745" s="1169"/>
      <c r="L3745" s="1156"/>
      <c r="M3745" s="1169"/>
      <c r="N3745" s="1161" t="s">
        <v>2317</v>
      </c>
    </row>
    <row r="3746" spans="1:14" ht="15.75" hidden="1">
      <c r="A3746" s="1156"/>
      <c r="B3746" s="1169"/>
      <c r="C3746" s="1337"/>
      <c r="D3746" s="1171"/>
      <c r="E3746" s="1165"/>
      <c r="F3746" s="1166"/>
      <c r="G3746" s="1343"/>
      <c r="H3746" s="1156"/>
      <c r="I3746" s="1421"/>
      <c r="J3746" s="1357" t="s">
        <v>115</v>
      </c>
      <c r="K3746" s="1221">
        <f>'Ele Data'!I844</f>
        <v>1822</v>
      </c>
      <c r="L3746" s="1159" t="s">
        <v>2317</v>
      </c>
      <c r="M3746" s="1224">
        <f>ROUND(I3746*K3746,0)</f>
        <v>0</v>
      </c>
      <c r="N3746" s="1161" t="s">
        <v>2317</v>
      </c>
    </row>
    <row r="3747" spans="1:14" ht="110.25" hidden="1" customHeight="1">
      <c r="A3747" s="1156">
        <v>23</v>
      </c>
      <c r="B3747" s="1826" t="s">
        <v>2263</v>
      </c>
      <c r="C3747" s="1826"/>
      <c r="D3747" s="1826"/>
      <c r="E3747" s="1826"/>
      <c r="F3747" s="1826"/>
      <c r="G3747" s="1826"/>
      <c r="H3747" s="1826"/>
      <c r="I3747" s="1157"/>
      <c r="J3747" s="1158"/>
      <c r="K3747" s="1156"/>
      <c r="L3747" s="1156"/>
      <c r="M3747" s="1160"/>
      <c r="N3747" s="1161" t="s">
        <v>2317</v>
      </c>
    </row>
    <row r="3748" spans="1:14" s="1170" customFormat="1" ht="16.5" hidden="1" customHeight="1">
      <c r="A3748" s="1156"/>
      <c r="B3748" s="1169" t="s">
        <v>2107</v>
      </c>
      <c r="C3748" s="1351"/>
      <c r="D3748" s="1418"/>
      <c r="E3748" s="1352"/>
      <c r="F3748" s="1234"/>
      <c r="G3748" s="1234"/>
      <c r="H3748" s="1235"/>
      <c r="I3748" s="1353"/>
      <c r="J3748" s="1357"/>
      <c r="K3748" s="1169"/>
      <c r="L3748" s="1156"/>
      <c r="M3748" s="1169"/>
      <c r="N3748" s="1161" t="s">
        <v>2317</v>
      </c>
    </row>
    <row r="3749" spans="1:14" s="1170" customFormat="1" ht="16.5" hidden="1" customHeight="1">
      <c r="A3749" s="1156"/>
      <c r="B3749" s="1230"/>
      <c r="C3749" s="1332">
        <v>1</v>
      </c>
      <c r="D3749" s="1333" t="s">
        <v>273</v>
      </c>
      <c r="E3749" s="1334">
        <v>1</v>
      </c>
      <c r="F3749" s="1335">
        <v>0</v>
      </c>
      <c r="G3749" s="1335">
        <v>0</v>
      </c>
      <c r="H3749" s="1335">
        <v>0</v>
      </c>
      <c r="I3749" s="1421">
        <f>ROUND(IF(AND(F3749:H3749),C3749*E3749*F3749*G3749*H3749,IF(AND(F3749,G3749),C3749*E3749*F3749*G3749,IF(AND(F3749,H3749),C3749*E3749*F3749*H3749,IF(AND(G3749,H3749),C3749*E3749*G3749*H3749,IF(F3749,C3749*E3749*F3749,IF(G3749,C3749*E3749*G3749,IF(H3749,C3749*E3749*H3749,C3749*E3749))))))),2)</f>
        <v>1</v>
      </c>
      <c r="J3749" s="1357" t="s">
        <v>115</v>
      </c>
      <c r="K3749" s="1169"/>
      <c r="L3749" s="1156"/>
      <c r="M3749" s="1169"/>
      <c r="N3749" s="1161" t="s">
        <v>2317</v>
      </c>
    </row>
    <row r="3750" spans="1:14" s="1170" customFormat="1" ht="16.5" hidden="1" customHeight="1">
      <c r="A3750" s="1156"/>
      <c r="B3750" s="1230"/>
      <c r="C3750" s="1332"/>
      <c r="D3750" s="1333"/>
      <c r="E3750" s="1334"/>
      <c r="F3750" s="1335"/>
      <c r="G3750" s="1335"/>
      <c r="H3750" s="1335"/>
      <c r="I3750" s="1421"/>
      <c r="J3750" s="1357"/>
      <c r="K3750" s="1169"/>
      <c r="L3750" s="1156"/>
      <c r="M3750" s="1169"/>
      <c r="N3750" s="1161" t="s">
        <v>2317</v>
      </c>
    </row>
    <row r="3751" spans="1:14" ht="15.75" hidden="1">
      <c r="A3751" s="1156"/>
      <c r="B3751" s="1169"/>
      <c r="C3751" s="1337"/>
      <c r="D3751" s="1171"/>
      <c r="E3751" s="1165"/>
      <c r="F3751" s="1166"/>
      <c r="G3751" s="1343"/>
      <c r="H3751" s="1156"/>
      <c r="I3751" s="1421"/>
      <c r="J3751" s="1357" t="s">
        <v>115</v>
      </c>
      <c r="K3751" s="1221">
        <f>'Ele Data'!I847</f>
        <v>5428</v>
      </c>
      <c r="L3751" s="1159" t="s">
        <v>2317</v>
      </c>
      <c r="M3751" s="1224">
        <f>ROUND(I3751*K3751,0)</f>
        <v>0</v>
      </c>
      <c r="N3751" s="1161" t="s">
        <v>2317</v>
      </c>
    </row>
    <row r="3752" spans="1:14" ht="43.5" hidden="1" customHeight="1">
      <c r="A3752" s="1156">
        <v>16</v>
      </c>
      <c r="B3752" s="1826" t="s">
        <v>794</v>
      </c>
      <c r="C3752" s="1826"/>
      <c r="D3752" s="1826"/>
      <c r="E3752" s="1826"/>
      <c r="F3752" s="1826"/>
      <c r="G3752" s="1826"/>
      <c r="H3752" s="1826"/>
      <c r="I3752" s="1157"/>
      <c r="J3752" s="1158"/>
      <c r="K3752" s="1156"/>
      <c r="L3752" s="1156"/>
      <c r="M3752" s="1160"/>
      <c r="N3752" s="1161" t="s">
        <v>2317</v>
      </c>
    </row>
    <row r="3753" spans="1:14" s="1170" customFormat="1" ht="16.5" hidden="1" customHeight="1">
      <c r="A3753" s="1156"/>
      <c r="B3753" s="1230" t="s">
        <v>424</v>
      </c>
      <c r="C3753" s="1351"/>
      <c r="D3753" s="1418"/>
      <c r="E3753" s="1352"/>
      <c r="F3753" s="1234"/>
      <c r="G3753" s="1234"/>
      <c r="H3753" s="1235"/>
      <c r="I3753" s="1353"/>
      <c r="J3753" s="1357"/>
      <c r="K3753" s="1169"/>
      <c r="L3753" s="1156"/>
      <c r="M3753" s="1169"/>
      <c r="N3753" s="1161" t="s">
        <v>2317</v>
      </c>
    </row>
    <row r="3754" spans="1:14" s="1170" customFormat="1" ht="16.5" hidden="1" customHeight="1">
      <c r="A3754" s="1156"/>
      <c r="B3754" s="1230"/>
      <c r="C3754" s="1332">
        <v>1</v>
      </c>
      <c r="D3754" s="1333" t="s">
        <v>273</v>
      </c>
      <c r="E3754" s="1334">
        <v>1</v>
      </c>
      <c r="F3754" s="1335">
        <v>0</v>
      </c>
      <c r="G3754" s="1335">
        <v>0</v>
      </c>
      <c r="H3754" s="1335">
        <v>0</v>
      </c>
      <c r="I3754" s="1421">
        <f>ROUND(IF(AND(F3754:H3754),C3754*E3754*F3754*G3754*H3754,IF(AND(F3754,G3754),C3754*E3754*F3754*G3754,IF(AND(F3754,H3754),C3754*E3754*F3754*H3754,IF(AND(G3754,H3754),C3754*E3754*G3754*H3754,IF(F3754,C3754*E3754*F3754,IF(G3754,C3754*E3754*G3754,IF(H3754,C3754*E3754*H3754,C3754*E3754))))))),2)</f>
        <v>1</v>
      </c>
      <c r="J3754" s="1357" t="s">
        <v>115</v>
      </c>
      <c r="K3754" s="1169"/>
      <c r="L3754" s="1156"/>
      <c r="M3754" s="1169"/>
      <c r="N3754" s="1161" t="s">
        <v>2317</v>
      </c>
    </row>
    <row r="3755" spans="1:14" s="1170" customFormat="1" ht="16.5" hidden="1" customHeight="1">
      <c r="A3755" s="1156"/>
      <c r="B3755" s="1230"/>
      <c r="C3755" s="1332"/>
      <c r="D3755" s="1333"/>
      <c r="E3755" s="1334"/>
      <c r="F3755" s="1335"/>
      <c r="G3755" s="1335"/>
      <c r="H3755" s="1335"/>
      <c r="I3755" s="1421"/>
      <c r="J3755" s="1357"/>
      <c r="K3755" s="1169"/>
      <c r="L3755" s="1156"/>
      <c r="M3755" s="1169"/>
      <c r="N3755" s="1161" t="s">
        <v>2317</v>
      </c>
    </row>
    <row r="3756" spans="1:14" ht="15.75" hidden="1">
      <c r="A3756" s="1156"/>
      <c r="B3756" s="1169"/>
      <c r="C3756" s="1337"/>
      <c r="D3756" s="1171"/>
      <c r="E3756" s="1165"/>
      <c r="F3756" s="1166"/>
      <c r="G3756" s="1343"/>
      <c r="H3756" s="1156"/>
      <c r="I3756" s="1421"/>
      <c r="J3756" s="1357" t="s">
        <v>115</v>
      </c>
      <c r="K3756" s="1221">
        <f>'Ele Data'!I652</f>
        <v>1484</v>
      </c>
      <c r="L3756" s="1159" t="s">
        <v>2317</v>
      </c>
      <c r="M3756" s="1224">
        <f>ROUND(I3756*K3756,0)</f>
        <v>0</v>
      </c>
      <c r="N3756" s="1161" t="s">
        <v>2317</v>
      </c>
    </row>
    <row r="3757" spans="1:14" ht="66" hidden="1" customHeight="1">
      <c r="A3757" s="1156">
        <v>61</v>
      </c>
      <c r="B3757" s="1826" t="s">
        <v>698</v>
      </c>
      <c r="C3757" s="1826"/>
      <c r="D3757" s="1826"/>
      <c r="E3757" s="1826"/>
      <c r="F3757" s="1826"/>
      <c r="G3757" s="1826"/>
      <c r="H3757" s="1826"/>
      <c r="I3757" s="1157"/>
      <c r="J3757" s="1158"/>
      <c r="K3757" s="1156"/>
      <c r="L3757" s="1156"/>
      <c r="M3757" s="1160"/>
      <c r="N3757" s="1161" t="s">
        <v>2317</v>
      </c>
    </row>
    <row r="3758" spans="1:14" s="1170" customFormat="1" ht="16.5" hidden="1" customHeight="1">
      <c r="A3758" s="1156"/>
      <c r="B3758" s="1163" t="s">
        <v>3552</v>
      </c>
      <c r="C3758" s="1351"/>
      <c r="D3758" s="1548" t="s">
        <v>3651</v>
      </c>
      <c r="E3758" s="1352"/>
      <c r="F3758" s="1234"/>
      <c r="G3758" s="1234"/>
      <c r="H3758" s="1235"/>
      <c r="I3758" s="1353"/>
      <c r="J3758" s="1357"/>
      <c r="K3758" s="1169"/>
      <c r="L3758" s="1156"/>
      <c r="M3758" s="1169"/>
      <c r="N3758" s="1161" t="s">
        <v>2317</v>
      </c>
    </row>
    <row r="3759" spans="1:14" s="1170" customFormat="1" ht="16.5" hidden="1" customHeight="1">
      <c r="A3759" s="1156"/>
      <c r="B3759" s="1230"/>
      <c r="C3759" s="1360">
        <v>1</v>
      </c>
      <c r="D3759" s="1361" t="s">
        <v>273</v>
      </c>
      <c r="E3759" s="1362">
        <v>1</v>
      </c>
      <c r="F3759" s="1363">
        <v>0</v>
      </c>
      <c r="G3759" s="1363">
        <v>0</v>
      </c>
      <c r="H3759" s="1363">
        <v>0</v>
      </c>
      <c r="I3759" s="1421">
        <f t="shared" ref="I3759" si="191">ROUND(IF(AND(F3759:H3759),C3759*E3759*F3759*G3759*H3759,IF(AND(F3759,G3759),C3759*E3759*F3759*G3759,IF(AND(F3759,H3759),C3759*E3759*F3759*H3759,IF(AND(G3759,H3759),C3759*E3759*G3759*H3759,IF(F3759,C3759*E3759*F3759,IF(G3759,C3759*E3759*G3759,IF(H3759,C3759*E3759*H3759,C3759*E3759))))))),2)</f>
        <v>1</v>
      </c>
      <c r="J3759" s="1357" t="s">
        <v>115</v>
      </c>
      <c r="K3759" s="1169"/>
      <c r="L3759" s="1156"/>
      <c r="M3759" s="1169"/>
      <c r="N3759" s="1161" t="s">
        <v>2317</v>
      </c>
    </row>
    <row r="3760" spans="1:14" s="1170" customFormat="1" ht="16.5" hidden="1" customHeight="1">
      <c r="A3760" s="1156"/>
      <c r="B3760" s="1230"/>
      <c r="C3760" s="1332"/>
      <c r="D3760" s="1333"/>
      <c r="E3760" s="1334"/>
      <c r="F3760" s="1335"/>
      <c r="G3760" s="1335"/>
      <c r="H3760" s="1335"/>
      <c r="I3760" s="1336"/>
      <c r="J3760" s="1357"/>
      <c r="K3760" s="1169"/>
      <c r="L3760" s="1156"/>
      <c r="M3760" s="1169"/>
      <c r="N3760" s="1161" t="s">
        <v>2317</v>
      </c>
    </row>
    <row r="3761" spans="1:14" ht="15.75" hidden="1">
      <c r="A3761" s="1156"/>
      <c r="B3761" s="1169"/>
      <c r="C3761" s="1337"/>
      <c r="D3761" s="1171"/>
      <c r="E3761" s="1165"/>
      <c r="F3761" s="1166"/>
      <c r="G3761" s="1343"/>
      <c r="H3761" s="1156"/>
      <c r="I3761" s="1421"/>
      <c r="J3761" s="1357" t="s">
        <v>115</v>
      </c>
      <c r="K3761" s="1221">
        <f>'Ele Data'!I812</f>
        <v>3255</v>
      </c>
      <c r="L3761" s="1159" t="s">
        <v>2317</v>
      </c>
      <c r="M3761" s="1224">
        <f>ROUND(I3761*K3761,0)</f>
        <v>0</v>
      </c>
      <c r="N3761" s="1161" t="s">
        <v>2317</v>
      </c>
    </row>
    <row r="3762" spans="1:14" ht="44.25" hidden="1" customHeight="1">
      <c r="A3762" s="1156">
        <v>62</v>
      </c>
      <c r="B3762" s="1826" t="s">
        <v>941</v>
      </c>
      <c r="C3762" s="1826"/>
      <c r="D3762" s="1826"/>
      <c r="E3762" s="1826"/>
      <c r="F3762" s="1826"/>
      <c r="G3762" s="1826"/>
      <c r="H3762" s="1826"/>
      <c r="I3762" s="1157"/>
      <c r="J3762" s="1158"/>
      <c r="K3762" s="1156"/>
      <c r="L3762" s="1156"/>
      <c r="M3762" s="1160"/>
      <c r="N3762" s="1161" t="s">
        <v>2317</v>
      </c>
    </row>
    <row r="3763" spans="1:14" s="1170" customFormat="1" ht="16.5" hidden="1" customHeight="1">
      <c r="A3763" s="1156"/>
      <c r="B3763" s="1163" t="s">
        <v>3621</v>
      </c>
      <c r="C3763" s="1351"/>
      <c r="D3763" s="1548" t="s">
        <v>3651</v>
      </c>
      <c r="E3763" s="1352"/>
      <c r="F3763" s="1234"/>
      <c r="G3763" s="1234"/>
      <c r="H3763" s="1235"/>
      <c r="I3763" s="1353"/>
      <c r="J3763" s="1357"/>
      <c r="K3763" s="1169"/>
      <c r="L3763" s="1156"/>
      <c r="M3763" s="1169"/>
      <c r="N3763" s="1161" t="s">
        <v>2317</v>
      </c>
    </row>
    <row r="3764" spans="1:14" s="1170" customFormat="1" ht="16.5" hidden="1" customHeight="1">
      <c r="A3764" s="1156"/>
      <c r="B3764" s="1230"/>
      <c r="C3764" s="1360">
        <v>1</v>
      </c>
      <c r="D3764" s="1361" t="s">
        <v>273</v>
      </c>
      <c r="E3764" s="1362">
        <v>1</v>
      </c>
      <c r="F3764" s="1363">
        <v>0</v>
      </c>
      <c r="G3764" s="1363">
        <v>0</v>
      </c>
      <c r="H3764" s="1363">
        <v>0</v>
      </c>
      <c r="I3764" s="1421">
        <f t="shared" ref="I3764" si="192">ROUND(IF(AND(F3764:H3764),C3764*E3764*F3764*G3764*H3764,IF(AND(F3764,G3764),C3764*E3764*F3764*G3764,IF(AND(F3764,H3764),C3764*E3764*F3764*H3764,IF(AND(G3764,H3764),C3764*E3764*G3764*H3764,IF(F3764,C3764*E3764*F3764,IF(G3764,C3764*E3764*G3764,IF(H3764,C3764*E3764*H3764,C3764*E3764))))))),2)</f>
        <v>1</v>
      </c>
      <c r="J3764" s="1357" t="s">
        <v>115</v>
      </c>
      <c r="K3764" s="1169"/>
      <c r="L3764" s="1156"/>
      <c r="M3764" s="1169"/>
      <c r="N3764" s="1161" t="s">
        <v>2317</v>
      </c>
    </row>
    <row r="3765" spans="1:14" s="1170" customFormat="1" ht="16.5" hidden="1" customHeight="1">
      <c r="A3765" s="1156"/>
      <c r="B3765" s="1230"/>
      <c r="C3765" s="1332"/>
      <c r="D3765" s="1333"/>
      <c r="E3765" s="1334"/>
      <c r="F3765" s="1335"/>
      <c r="G3765" s="1335"/>
      <c r="H3765" s="1335"/>
      <c r="I3765" s="1336"/>
      <c r="J3765" s="1357"/>
      <c r="K3765" s="1169"/>
      <c r="L3765" s="1156"/>
      <c r="M3765" s="1169"/>
      <c r="N3765" s="1161" t="s">
        <v>2317</v>
      </c>
    </row>
    <row r="3766" spans="1:14" ht="15.75" hidden="1">
      <c r="A3766" s="1156"/>
      <c r="B3766" s="1169"/>
      <c r="C3766" s="1337"/>
      <c r="D3766" s="1171"/>
      <c r="E3766" s="1165"/>
      <c r="F3766" s="1166"/>
      <c r="G3766" s="1343"/>
      <c r="H3766" s="1156"/>
      <c r="I3766" s="1421"/>
      <c r="J3766" s="1357" t="s">
        <v>115</v>
      </c>
      <c r="K3766" s="1221">
        <f>'Ele Data'!I822</f>
        <v>1005.6</v>
      </c>
      <c r="L3766" s="1159" t="s">
        <v>2317</v>
      </c>
      <c r="M3766" s="1224">
        <f>ROUND(I3766*K3766,0)</f>
        <v>0</v>
      </c>
      <c r="N3766" s="1161" t="s">
        <v>2317</v>
      </c>
    </row>
    <row r="3767" spans="1:14" ht="78" hidden="1" customHeight="1">
      <c r="A3767" s="1156">
        <v>63</v>
      </c>
      <c r="B3767" s="1826" t="s">
        <v>450</v>
      </c>
      <c r="C3767" s="1826"/>
      <c r="D3767" s="1826"/>
      <c r="E3767" s="1826"/>
      <c r="F3767" s="1826"/>
      <c r="G3767" s="1826"/>
      <c r="H3767" s="1826"/>
      <c r="I3767" s="1157"/>
      <c r="J3767" s="1158"/>
      <c r="K3767" s="1156"/>
      <c r="L3767" s="1156"/>
      <c r="M3767" s="1160"/>
      <c r="N3767" s="1161" t="s">
        <v>2317</v>
      </c>
    </row>
    <row r="3768" spans="1:14" s="1170" customFormat="1" ht="16.5" hidden="1" customHeight="1">
      <c r="A3768" s="1156"/>
      <c r="B3768" s="1163" t="s">
        <v>3553</v>
      </c>
      <c r="C3768" s="1351"/>
      <c r="D3768" s="1548" t="s">
        <v>3651</v>
      </c>
      <c r="E3768" s="1352"/>
      <c r="F3768" s="1234"/>
      <c r="G3768" s="1234"/>
      <c r="H3768" s="1235"/>
      <c r="I3768" s="1353"/>
      <c r="J3768" s="1357"/>
      <c r="K3768" s="1169"/>
      <c r="L3768" s="1156"/>
      <c r="M3768" s="1169"/>
      <c r="N3768" s="1161" t="s">
        <v>2317</v>
      </c>
    </row>
    <row r="3769" spans="1:14" s="1170" customFormat="1" ht="16.5" hidden="1" customHeight="1">
      <c r="A3769" s="1156"/>
      <c r="B3769" s="1230"/>
      <c r="C3769" s="1360">
        <v>1</v>
      </c>
      <c r="D3769" s="1361" t="s">
        <v>273</v>
      </c>
      <c r="E3769" s="1362">
        <v>1</v>
      </c>
      <c r="F3769" s="1363">
        <v>0</v>
      </c>
      <c r="G3769" s="1363">
        <v>0</v>
      </c>
      <c r="H3769" s="1363">
        <v>0</v>
      </c>
      <c r="I3769" s="1421">
        <f t="shared" ref="I3769" si="193">ROUND(IF(AND(F3769:H3769),C3769*E3769*F3769*G3769*H3769,IF(AND(F3769,G3769),C3769*E3769*F3769*G3769,IF(AND(F3769,H3769),C3769*E3769*F3769*H3769,IF(AND(G3769,H3769),C3769*E3769*G3769*H3769,IF(F3769,C3769*E3769*F3769,IF(G3769,C3769*E3769*G3769,IF(H3769,C3769*E3769*H3769,C3769*E3769))))))),2)</f>
        <v>1</v>
      </c>
      <c r="J3769" s="1357" t="s">
        <v>115</v>
      </c>
      <c r="K3769" s="1169"/>
      <c r="L3769" s="1156"/>
      <c r="M3769" s="1169"/>
      <c r="N3769" s="1161" t="s">
        <v>2317</v>
      </c>
    </row>
    <row r="3770" spans="1:14" s="1170" customFormat="1" ht="16.5" hidden="1" customHeight="1">
      <c r="A3770" s="1156"/>
      <c r="B3770" s="1230"/>
      <c r="C3770" s="1332"/>
      <c r="D3770" s="1333"/>
      <c r="E3770" s="1334"/>
      <c r="F3770" s="1335"/>
      <c r="G3770" s="1335"/>
      <c r="H3770" s="1335"/>
      <c r="I3770" s="1421"/>
      <c r="J3770" s="1357"/>
      <c r="K3770" s="1169"/>
      <c r="L3770" s="1156"/>
      <c r="M3770" s="1169"/>
      <c r="N3770" s="1161" t="s">
        <v>2317</v>
      </c>
    </row>
    <row r="3771" spans="1:14" ht="15.75" hidden="1">
      <c r="A3771" s="1156"/>
      <c r="B3771" s="1169"/>
      <c r="C3771" s="1337"/>
      <c r="D3771" s="1171"/>
      <c r="E3771" s="1165"/>
      <c r="F3771" s="1166"/>
      <c r="G3771" s="1343"/>
      <c r="H3771" s="1156"/>
      <c r="I3771" s="1421"/>
      <c r="J3771" s="1357" t="s">
        <v>115</v>
      </c>
      <c r="K3771" s="1221">
        <f>'Ele Data'!I841</f>
        <v>3771.9349999999999</v>
      </c>
      <c r="L3771" s="1159" t="s">
        <v>2317</v>
      </c>
      <c r="M3771" s="1224">
        <f>ROUND(I3771*K3771,0)</f>
        <v>0</v>
      </c>
      <c r="N3771" s="1161" t="s">
        <v>2317</v>
      </c>
    </row>
    <row r="3772" spans="1:14" s="1320" customFormat="1" ht="15.75" hidden="1">
      <c r="A3772" s="1212"/>
      <c r="B3772" s="1212" t="s">
        <v>2222</v>
      </c>
      <c r="C3772" s="1212"/>
      <c r="D3772" s="1212"/>
      <c r="E3772" s="1212"/>
      <c r="F3772" s="1240"/>
      <c r="G3772" s="1240"/>
      <c r="H3772" s="1212"/>
      <c r="I3772" s="1546"/>
      <c r="J3772" s="1547"/>
      <c r="K3772" s="1212"/>
      <c r="L3772" s="1212"/>
      <c r="M3772" s="1212"/>
      <c r="N3772" s="1161" t="s">
        <v>2318</v>
      </c>
    </row>
    <row r="3773" spans="1:14" ht="56.25" hidden="1" customHeight="1">
      <c r="A3773" s="1156">
        <v>2</v>
      </c>
      <c r="B3773" s="1826" t="s">
        <v>585</v>
      </c>
      <c r="C3773" s="1826"/>
      <c r="D3773" s="1826"/>
      <c r="E3773" s="1826"/>
      <c r="F3773" s="1826"/>
      <c r="G3773" s="1826"/>
      <c r="H3773" s="1826"/>
      <c r="I3773" s="1157"/>
      <c r="J3773" s="1158"/>
      <c r="K3773" s="1156"/>
      <c r="L3773" s="1156"/>
      <c r="M3773" s="1160"/>
      <c r="N3773" s="1161" t="s">
        <v>2318</v>
      </c>
    </row>
    <row r="3774" spans="1:14" s="1170" customFormat="1" ht="16.5" hidden="1" customHeight="1">
      <c r="A3774" s="1156"/>
      <c r="B3774" s="1169" t="s">
        <v>2324</v>
      </c>
      <c r="C3774" s="1366"/>
      <c r="D3774" s="1567"/>
      <c r="E3774" s="1367"/>
      <c r="F3774" s="1368"/>
      <c r="G3774" s="1234"/>
      <c r="H3774" s="1235"/>
      <c r="I3774" s="1353"/>
      <c r="J3774" s="1357"/>
      <c r="K3774" s="1169"/>
      <c r="L3774" s="1156"/>
      <c r="M3774" s="1169"/>
      <c r="N3774" s="1161" t="s">
        <v>2318</v>
      </c>
    </row>
    <row r="3775" spans="1:14" s="1170" customFormat="1" ht="16.5" hidden="1" customHeight="1">
      <c r="A3775" s="1156"/>
      <c r="B3775" s="1369" t="s">
        <v>650</v>
      </c>
      <c r="C3775" s="1370">
        <v>1</v>
      </c>
      <c r="D3775" s="1371" t="s">
        <v>273</v>
      </c>
      <c r="E3775" s="1372">
        <v>1</v>
      </c>
      <c r="F3775" s="1373">
        <v>8.5</v>
      </c>
      <c r="G3775" s="1363">
        <v>0</v>
      </c>
      <c r="H3775" s="1363">
        <v>0</v>
      </c>
      <c r="I3775" s="1336">
        <f>ROUND(IF(AND(F3775:H3775),C3775*E3775*F3775*G3775*H3775,IF(AND(F3775,G3775),C3775*E3775*F3775*G3775,IF(AND(F3775,H3775),C3775*E3775*F3775*H3775,IF(AND(G3775,H3775),C3775*E3775*G3775*H3775,IF(F3775,C3775*E3775*F3775,IF(G3775,C3775*E3775*G3775,IF(H3775,C3775*E3775*H3775,C3775*E3775))))))),2)</f>
        <v>8.5</v>
      </c>
      <c r="J3775" s="1357" t="s">
        <v>277</v>
      </c>
      <c r="K3775" s="1169"/>
      <c r="L3775" s="1156"/>
      <c r="M3775" s="1169"/>
      <c r="N3775" s="1161" t="s">
        <v>2318</v>
      </c>
    </row>
    <row r="3776" spans="1:14" s="1170" customFormat="1" ht="16.5" hidden="1" customHeight="1">
      <c r="A3776" s="1156"/>
      <c r="B3776" s="1369"/>
      <c r="C3776" s="1374"/>
      <c r="D3776" s="1375"/>
      <c r="E3776" s="1376"/>
      <c r="F3776" s="1377"/>
      <c r="G3776" s="1335"/>
      <c r="H3776" s="1335"/>
      <c r="I3776" s="1336"/>
      <c r="J3776" s="1357"/>
      <c r="K3776" s="1169"/>
      <c r="L3776" s="1156"/>
      <c r="M3776" s="1169"/>
      <c r="N3776" s="1161" t="s">
        <v>2318</v>
      </c>
    </row>
    <row r="3777" spans="1:14" ht="15.75" hidden="1">
      <c r="A3777" s="1156"/>
      <c r="B3777" s="1169"/>
      <c r="C3777" s="1337"/>
      <c r="D3777" s="1171"/>
      <c r="E3777" s="1165"/>
      <c r="F3777" s="1166"/>
      <c r="G3777" s="1343"/>
      <c r="H3777" s="1156"/>
      <c r="I3777" s="1336"/>
      <c r="J3777" s="1357" t="s">
        <v>277</v>
      </c>
      <c r="K3777" s="1221">
        <f>'Ele Data'!I860</f>
        <v>80.180000000000007</v>
      </c>
      <c r="L3777" s="1159" t="s">
        <v>2318</v>
      </c>
      <c r="M3777" s="1224">
        <f>ROUND(I3777*K3777,0)</f>
        <v>0</v>
      </c>
      <c r="N3777" s="1161" t="s">
        <v>2318</v>
      </c>
    </row>
    <row r="3778" spans="1:14" ht="56.25" hidden="1" customHeight="1">
      <c r="A3778" s="1156">
        <v>47</v>
      </c>
      <c r="B3778" s="1826" t="s">
        <v>307</v>
      </c>
      <c r="C3778" s="1826"/>
      <c r="D3778" s="1828"/>
      <c r="E3778" s="1826"/>
      <c r="F3778" s="1826"/>
      <c r="G3778" s="1826"/>
      <c r="H3778" s="1826"/>
      <c r="I3778" s="1157"/>
      <c r="J3778" s="1158"/>
      <c r="K3778" s="1156"/>
      <c r="L3778" s="1156"/>
      <c r="M3778" s="1160"/>
      <c r="N3778" s="1161" t="s">
        <v>2318</v>
      </c>
    </row>
    <row r="3779" spans="1:14" s="1170" customFormat="1" ht="16.5" hidden="1" customHeight="1">
      <c r="A3779" s="1156"/>
      <c r="B3779" s="1169" t="s">
        <v>3661</v>
      </c>
      <c r="C3779" s="1351"/>
      <c r="D3779" s="1548" t="s">
        <v>3739</v>
      </c>
      <c r="E3779" s="1352"/>
      <c r="F3779" s="1234"/>
      <c r="G3779" s="1234"/>
      <c r="H3779" s="1235"/>
      <c r="I3779" s="1353"/>
      <c r="J3779" s="1357"/>
      <c r="K3779" s="1169"/>
      <c r="L3779" s="1156"/>
      <c r="M3779" s="1169"/>
      <c r="N3779" s="1161" t="s">
        <v>2318</v>
      </c>
    </row>
    <row r="3780" spans="1:14" s="1170" customFormat="1" ht="16.5" hidden="1" customHeight="1">
      <c r="A3780" s="1156"/>
      <c r="B3780" s="1359" t="s">
        <v>3359</v>
      </c>
      <c r="C3780" s="1360">
        <v>1</v>
      </c>
      <c r="D3780" s="1361" t="s">
        <v>273</v>
      </c>
      <c r="E3780" s="1362">
        <v>1</v>
      </c>
      <c r="F3780" s="1363">
        <v>30</v>
      </c>
      <c r="G3780" s="1363">
        <v>0</v>
      </c>
      <c r="H3780" s="1363">
        <v>0</v>
      </c>
      <c r="I3780" s="1336">
        <f t="shared" ref="I3780:I3782" si="194">ROUND(IF(AND(F3780:H3780),C3780*E3780*F3780*G3780*H3780,IF(AND(F3780,G3780),C3780*E3780*F3780*G3780,IF(AND(F3780,H3780),C3780*E3780*F3780*H3780,IF(AND(G3780,H3780),C3780*E3780*G3780*H3780,IF(F3780,C3780*E3780*F3780,IF(G3780,C3780*E3780*G3780,IF(H3780,C3780*E3780*H3780,C3780*E3780))))))),2)</f>
        <v>30</v>
      </c>
      <c r="J3780" s="1357" t="s">
        <v>277</v>
      </c>
      <c r="K3780" s="1169"/>
      <c r="L3780" s="1156"/>
      <c r="M3780" s="1169"/>
      <c r="N3780" s="1161" t="s">
        <v>2318</v>
      </c>
    </row>
    <row r="3781" spans="1:14" s="1170" customFormat="1" ht="16.5" hidden="1" customHeight="1">
      <c r="A3781" s="1156"/>
      <c r="B3781" s="1359" t="s">
        <v>3422</v>
      </c>
      <c r="C3781" s="1360">
        <v>1</v>
      </c>
      <c r="D3781" s="1361" t="s">
        <v>273</v>
      </c>
      <c r="E3781" s="1362">
        <v>1</v>
      </c>
      <c r="F3781" s="1363">
        <v>15</v>
      </c>
      <c r="G3781" s="1363">
        <v>0</v>
      </c>
      <c r="H3781" s="1363">
        <v>0</v>
      </c>
      <c r="I3781" s="1336">
        <f t="shared" si="194"/>
        <v>15</v>
      </c>
      <c r="J3781" s="1357" t="s">
        <v>277</v>
      </c>
      <c r="K3781" s="1169"/>
      <c r="L3781" s="1156"/>
      <c r="M3781" s="1169"/>
      <c r="N3781" s="1161" t="s">
        <v>2318</v>
      </c>
    </row>
    <row r="3782" spans="1:14" s="1170" customFormat="1" ht="16.5" hidden="1" customHeight="1">
      <c r="A3782" s="1156"/>
      <c r="B3782" s="1359" t="s">
        <v>3723</v>
      </c>
      <c r="C3782" s="1360">
        <v>1</v>
      </c>
      <c r="D3782" s="1361" t="s">
        <v>273</v>
      </c>
      <c r="E3782" s="1362">
        <v>1</v>
      </c>
      <c r="F3782" s="1363">
        <v>15</v>
      </c>
      <c r="G3782" s="1363">
        <v>0</v>
      </c>
      <c r="H3782" s="1363">
        <v>0</v>
      </c>
      <c r="I3782" s="1336">
        <f t="shared" si="194"/>
        <v>15</v>
      </c>
      <c r="J3782" s="1357" t="s">
        <v>277</v>
      </c>
      <c r="K3782" s="1169"/>
      <c r="L3782" s="1156"/>
      <c r="M3782" s="1169"/>
      <c r="N3782" s="1161" t="s">
        <v>2318</v>
      </c>
    </row>
    <row r="3783" spans="1:14" s="1170" customFormat="1" ht="16.5" hidden="1" customHeight="1">
      <c r="A3783" s="1156"/>
      <c r="B3783" s="1359"/>
      <c r="C3783" s="1360"/>
      <c r="D3783" s="1361"/>
      <c r="E3783" s="1362"/>
      <c r="F3783" s="1363"/>
      <c r="G3783" s="1363"/>
      <c r="H3783" s="1363"/>
      <c r="I3783" s="1336"/>
      <c r="J3783" s="1357"/>
      <c r="K3783" s="1169"/>
      <c r="L3783" s="1156"/>
      <c r="M3783" s="1169"/>
      <c r="N3783" s="1161" t="s">
        <v>2318</v>
      </c>
    </row>
    <row r="3784" spans="1:14" ht="15.75" hidden="1">
      <c r="A3784" s="1156"/>
      <c r="B3784" s="1169"/>
      <c r="C3784" s="1337"/>
      <c r="D3784" s="1171"/>
      <c r="E3784" s="1165"/>
      <c r="F3784" s="1166"/>
      <c r="G3784" s="1343"/>
      <c r="H3784" s="1156"/>
      <c r="I3784" s="1336"/>
      <c r="J3784" s="1357" t="s">
        <v>277</v>
      </c>
      <c r="K3784" s="1221">
        <f>'Ele Data'!I875</f>
        <v>89.61</v>
      </c>
      <c r="L3784" s="1159" t="s">
        <v>2318</v>
      </c>
      <c r="M3784" s="1224">
        <f>ROUND(I3784*K3784,0)</f>
        <v>0</v>
      </c>
      <c r="N3784" s="1161" t="s">
        <v>2318</v>
      </c>
    </row>
    <row r="3785" spans="1:14" ht="17.25" hidden="1" customHeight="1">
      <c r="A3785" s="1156">
        <v>3</v>
      </c>
      <c r="B3785" s="1826" t="s">
        <v>389</v>
      </c>
      <c r="C3785" s="1826"/>
      <c r="D3785" s="1826"/>
      <c r="E3785" s="1826"/>
      <c r="F3785" s="1826"/>
      <c r="G3785" s="1826"/>
      <c r="H3785" s="1826"/>
      <c r="I3785" s="1157"/>
      <c r="J3785" s="1158"/>
      <c r="K3785" s="1156"/>
      <c r="L3785" s="1156"/>
      <c r="M3785" s="1160"/>
      <c r="N3785" s="1161" t="s">
        <v>2318</v>
      </c>
    </row>
    <row r="3786" spans="1:14" s="1170" customFormat="1" ht="16.5" hidden="1" customHeight="1">
      <c r="A3786" s="1156"/>
      <c r="B3786" s="1358" t="s">
        <v>740</v>
      </c>
      <c r="C3786" s="1351"/>
      <c r="D3786" s="1418"/>
      <c r="E3786" s="1352"/>
      <c r="F3786" s="1234"/>
      <c r="G3786" s="1234"/>
      <c r="H3786" s="1235"/>
      <c r="I3786" s="1353"/>
      <c r="J3786" s="1357"/>
      <c r="K3786" s="1169"/>
      <c r="L3786" s="1156"/>
      <c r="M3786" s="1169"/>
      <c r="N3786" s="1161" t="s">
        <v>2318</v>
      </c>
    </row>
    <row r="3787" spans="1:14" s="1170" customFormat="1" ht="16.5" hidden="1" customHeight="1">
      <c r="A3787" s="1156"/>
      <c r="B3787" s="1331" t="s">
        <v>687</v>
      </c>
      <c r="C3787" s="1332"/>
      <c r="D3787" s="1333"/>
      <c r="E3787" s="1334"/>
      <c r="F3787" s="1335"/>
      <c r="G3787" s="1335"/>
      <c r="H3787" s="1335"/>
      <c r="I3787" s="1336"/>
      <c r="J3787" s="1357"/>
      <c r="K3787" s="1169"/>
      <c r="L3787" s="1156"/>
      <c r="M3787" s="1169"/>
      <c r="N3787" s="1161" t="s">
        <v>2318</v>
      </c>
    </row>
    <row r="3788" spans="1:14" s="1170" customFormat="1" ht="16.5" hidden="1" customHeight="1">
      <c r="A3788" s="1156"/>
      <c r="B3788" s="1331" t="s">
        <v>659</v>
      </c>
      <c r="C3788" s="1332">
        <v>1</v>
      </c>
      <c r="D3788" s="1333" t="s">
        <v>273</v>
      </c>
      <c r="E3788" s="1334">
        <v>1</v>
      </c>
      <c r="F3788" s="1335">
        <v>4</v>
      </c>
      <c r="G3788" s="1335">
        <v>0</v>
      </c>
      <c r="H3788" s="1335">
        <v>0</v>
      </c>
      <c r="I3788" s="1336">
        <f>ROUND(IF(AND(F3788:H3788),C3788*E3788*F3788*G3788*H3788,IF(AND(F3788,G3788),C3788*E3788*F3788*G3788,IF(AND(F3788,H3788),C3788*E3788*F3788*H3788,IF(AND(G3788,H3788),C3788*E3788*G3788*H3788,IF(F3788,C3788*E3788*F3788,IF(G3788,C3788*E3788*G3788,IF(H3788,C3788*E3788*H3788,C3788*E3788))))))),2)</f>
        <v>4</v>
      </c>
      <c r="J3788" s="1357" t="s">
        <v>277</v>
      </c>
      <c r="K3788" s="1169"/>
      <c r="L3788" s="1156"/>
      <c r="M3788" s="1169"/>
      <c r="N3788" s="1161" t="s">
        <v>2318</v>
      </c>
    </row>
    <row r="3789" spans="1:14" s="1170" customFormat="1" ht="16.5" hidden="1" customHeight="1">
      <c r="A3789" s="1156"/>
      <c r="B3789" s="1230" t="s">
        <v>688</v>
      </c>
      <c r="C3789" s="1332">
        <v>1</v>
      </c>
      <c r="D3789" s="1333" t="s">
        <v>273</v>
      </c>
      <c r="E3789" s="1334">
        <v>1</v>
      </c>
      <c r="F3789" s="1335">
        <v>1.8</v>
      </c>
      <c r="G3789" s="1335">
        <v>0</v>
      </c>
      <c r="H3789" s="1335">
        <v>0</v>
      </c>
      <c r="I3789" s="1336">
        <f>ROUND(IF(AND(F3789:H3789),C3789*E3789*F3789*G3789*H3789,IF(AND(F3789,G3789),C3789*E3789*F3789*G3789,IF(AND(F3789,H3789),C3789*E3789*F3789*H3789,IF(AND(G3789,H3789),C3789*E3789*G3789*H3789,IF(F3789,C3789*E3789*F3789,IF(G3789,C3789*E3789*G3789,IF(H3789,C3789*E3789*H3789,C3789*E3789))))))),2)</f>
        <v>1.8</v>
      </c>
      <c r="J3789" s="1357" t="s">
        <v>277</v>
      </c>
      <c r="K3789" s="1169"/>
      <c r="L3789" s="1156"/>
      <c r="M3789" s="1169"/>
      <c r="N3789" s="1161" t="s">
        <v>2318</v>
      </c>
    </row>
    <row r="3790" spans="1:14" s="1170" customFormat="1" ht="16.5" hidden="1" customHeight="1">
      <c r="A3790" s="1156"/>
      <c r="B3790" s="1331" t="s">
        <v>689</v>
      </c>
      <c r="C3790" s="1332">
        <v>1</v>
      </c>
      <c r="D3790" s="1333" t="s">
        <v>273</v>
      </c>
      <c r="E3790" s="1334">
        <v>1</v>
      </c>
      <c r="F3790" s="1335">
        <v>2</v>
      </c>
      <c r="G3790" s="1335">
        <v>0</v>
      </c>
      <c r="H3790" s="1335">
        <v>0</v>
      </c>
      <c r="I3790" s="1336">
        <f>ROUND(IF(AND(F3790:H3790),C3790*E3790*F3790*G3790*H3790,IF(AND(F3790,G3790),C3790*E3790*F3790*G3790,IF(AND(F3790,H3790),C3790*E3790*F3790*H3790,IF(AND(G3790,H3790),C3790*E3790*G3790*H3790,IF(F3790,C3790*E3790*F3790,IF(G3790,C3790*E3790*G3790,IF(H3790,C3790*E3790*H3790,C3790*E3790))))))),2)</f>
        <v>2</v>
      </c>
      <c r="J3790" s="1357" t="s">
        <v>277</v>
      </c>
      <c r="K3790" s="1169"/>
      <c r="L3790" s="1156"/>
      <c r="M3790" s="1169"/>
      <c r="N3790" s="1161" t="s">
        <v>2318</v>
      </c>
    </row>
    <row r="3791" spans="1:14" s="1170" customFormat="1" ht="16.5" hidden="1" customHeight="1">
      <c r="A3791" s="1156"/>
      <c r="B3791" s="1331"/>
      <c r="C3791" s="1332"/>
      <c r="D3791" s="1333"/>
      <c r="E3791" s="1334"/>
      <c r="F3791" s="1335"/>
      <c r="G3791" s="1335"/>
      <c r="H3791" s="1335"/>
      <c r="I3791" s="1336"/>
      <c r="J3791" s="1357"/>
      <c r="K3791" s="1169"/>
      <c r="L3791" s="1156"/>
      <c r="M3791" s="1169"/>
      <c r="N3791" s="1161" t="s">
        <v>2318</v>
      </c>
    </row>
    <row r="3792" spans="1:14" ht="15.75" hidden="1">
      <c r="A3792" s="1156"/>
      <c r="B3792" s="1169"/>
      <c r="C3792" s="1337"/>
      <c r="D3792" s="1171"/>
      <c r="E3792" s="1165"/>
      <c r="F3792" s="1166"/>
      <c r="G3792" s="1343"/>
      <c r="H3792" s="1156"/>
      <c r="I3792" s="1336"/>
      <c r="J3792" s="1357" t="s">
        <v>277</v>
      </c>
      <c r="K3792" s="1221">
        <f>'Ele Data'!I879</f>
        <v>64</v>
      </c>
      <c r="L3792" s="1159" t="s">
        <v>2318</v>
      </c>
      <c r="M3792" s="1224">
        <f>ROUND(I3792*K3792,0)</f>
        <v>0</v>
      </c>
      <c r="N3792" s="1161" t="s">
        <v>2318</v>
      </c>
    </row>
    <row r="3793" spans="1:14" ht="27" hidden="1" customHeight="1">
      <c r="A3793" s="1156">
        <v>48</v>
      </c>
      <c r="B3793" s="1826" t="s">
        <v>427</v>
      </c>
      <c r="C3793" s="1826"/>
      <c r="D3793" s="1828"/>
      <c r="E3793" s="1826"/>
      <c r="F3793" s="1826"/>
      <c r="G3793" s="1826"/>
      <c r="H3793" s="1826"/>
      <c r="I3793" s="1157"/>
      <c r="J3793" s="1158"/>
      <c r="K3793" s="1156"/>
      <c r="L3793" s="1156"/>
      <c r="M3793" s="1160"/>
      <c r="N3793" s="1161" t="s">
        <v>2318</v>
      </c>
    </row>
    <row r="3794" spans="1:14" s="1170" customFormat="1" ht="16.5" hidden="1" customHeight="1">
      <c r="A3794" s="1156"/>
      <c r="B3794" s="1169" t="s">
        <v>3724</v>
      </c>
      <c r="C3794" s="1351"/>
      <c r="D3794" s="1548" t="s">
        <v>3739</v>
      </c>
      <c r="E3794" s="1352"/>
      <c r="F3794" s="1234"/>
      <c r="G3794" s="1234"/>
      <c r="H3794" s="1235"/>
      <c r="I3794" s="1353"/>
      <c r="J3794" s="1357"/>
      <c r="K3794" s="1169"/>
      <c r="L3794" s="1156"/>
      <c r="M3794" s="1169"/>
      <c r="N3794" s="1161" t="s">
        <v>2318</v>
      </c>
    </row>
    <row r="3795" spans="1:14" s="1170" customFormat="1" ht="16.5" hidden="1" customHeight="1">
      <c r="A3795" s="1156"/>
      <c r="B3795" s="1230"/>
      <c r="C3795" s="1360">
        <v>1</v>
      </c>
      <c r="D3795" s="1361" t="s">
        <v>273</v>
      </c>
      <c r="E3795" s="1362">
        <v>5</v>
      </c>
      <c r="F3795" s="1363">
        <v>0</v>
      </c>
      <c r="G3795" s="1363">
        <v>0</v>
      </c>
      <c r="H3795" s="1363">
        <v>0</v>
      </c>
      <c r="I3795" s="1421">
        <f t="shared" ref="I3795" si="195">ROUND(IF(AND(F3795:H3795),C3795*E3795*F3795*G3795*H3795,IF(AND(F3795,G3795),C3795*E3795*F3795*G3795,IF(AND(F3795,H3795),C3795*E3795*F3795*H3795,IF(AND(G3795,H3795),C3795*E3795*G3795*H3795,IF(F3795,C3795*E3795*F3795,IF(G3795,C3795*E3795*G3795,IF(H3795,C3795*E3795*H3795,C3795*E3795))))))),2)</f>
        <v>5</v>
      </c>
      <c r="J3795" s="1357" t="s">
        <v>115</v>
      </c>
      <c r="K3795" s="1169"/>
      <c r="L3795" s="1156"/>
      <c r="M3795" s="1169"/>
      <c r="N3795" s="1161" t="s">
        <v>2318</v>
      </c>
    </row>
    <row r="3796" spans="1:14" s="1170" customFormat="1" ht="16.5" hidden="1" customHeight="1">
      <c r="A3796" s="1156"/>
      <c r="B3796" s="1230"/>
      <c r="C3796" s="1332"/>
      <c r="D3796" s="1333"/>
      <c r="E3796" s="1334"/>
      <c r="F3796" s="1335"/>
      <c r="G3796" s="1335"/>
      <c r="H3796" s="1335"/>
      <c r="I3796" s="1421"/>
      <c r="J3796" s="1357"/>
      <c r="K3796" s="1169"/>
      <c r="L3796" s="1156"/>
      <c r="M3796" s="1169"/>
      <c r="N3796" s="1161" t="s">
        <v>2318</v>
      </c>
    </row>
    <row r="3797" spans="1:14" ht="15.75" hidden="1">
      <c r="A3797" s="1156"/>
      <c r="B3797" s="1169"/>
      <c r="C3797" s="1337"/>
      <c r="D3797" s="1171"/>
      <c r="E3797" s="1165"/>
      <c r="F3797" s="1166"/>
      <c r="G3797" s="1343"/>
      <c r="H3797" s="1156"/>
      <c r="I3797" s="1421"/>
      <c r="J3797" s="1357" t="s">
        <v>115</v>
      </c>
      <c r="K3797" s="1221">
        <f>'Ele Data'!I882</f>
        <v>245</v>
      </c>
      <c r="L3797" s="1159" t="s">
        <v>2318</v>
      </c>
      <c r="M3797" s="1224">
        <f>ROUND(I3797*K3797,0)</f>
        <v>0</v>
      </c>
      <c r="N3797" s="1161" t="s">
        <v>2318</v>
      </c>
    </row>
    <row r="3798" spans="1:14" ht="27" hidden="1" customHeight="1">
      <c r="A3798" s="1156">
        <v>49</v>
      </c>
      <c r="B3798" s="1826" t="s">
        <v>610</v>
      </c>
      <c r="C3798" s="1826"/>
      <c r="D3798" s="1828"/>
      <c r="E3798" s="1826"/>
      <c r="F3798" s="1826"/>
      <c r="G3798" s="1826"/>
      <c r="H3798" s="1826"/>
      <c r="I3798" s="1157"/>
      <c r="J3798" s="1158"/>
      <c r="K3798" s="1156"/>
      <c r="L3798" s="1156"/>
      <c r="M3798" s="1160"/>
      <c r="N3798" s="1161" t="s">
        <v>2318</v>
      </c>
    </row>
    <row r="3799" spans="1:14" s="1170" customFormat="1" ht="16.5" hidden="1" customHeight="1">
      <c r="A3799" s="1156"/>
      <c r="B3799" s="1169" t="s">
        <v>3661</v>
      </c>
      <c r="C3799" s="1351"/>
      <c r="D3799" s="1548" t="s">
        <v>3739</v>
      </c>
      <c r="E3799" s="1352"/>
      <c r="F3799" s="1234"/>
      <c r="G3799" s="1234"/>
      <c r="H3799" s="1235"/>
      <c r="I3799" s="1353"/>
      <c r="J3799" s="1357"/>
      <c r="K3799" s="1169"/>
      <c r="L3799" s="1156"/>
      <c r="M3799" s="1169"/>
      <c r="N3799" s="1161" t="s">
        <v>2318</v>
      </c>
    </row>
    <row r="3800" spans="1:14" s="1170" customFormat="1" ht="16.5" hidden="1" customHeight="1">
      <c r="A3800" s="1156"/>
      <c r="B3800" s="1230"/>
      <c r="C3800" s="1360">
        <v>1</v>
      </c>
      <c r="D3800" s="1361" t="s">
        <v>273</v>
      </c>
      <c r="E3800" s="1362">
        <v>6</v>
      </c>
      <c r="F3800" s="1363">
        <v>0</v>
      </c>
      <c r="G3800" s="1363">
        <v>0</v>
      </c>
      <c r="H3800" s="1363">
        <v>0</v>
      </c>
      <c r="I3800" s="1421">
        <f t="shared" ref="I3800" si="196">ROUND(IF(AND(F3800:H3800),C3800*E3800*F3800*G3800*H3800,IF(AND(F3800,G3800),C3800*E3800*F3800*G3800,IF(AND(F3800,H3800),C3800*E3800*F3800*H3800,IF(AND(G3800,H3800),C3800*E3800*G3800*H3800,IF(F3800,C3800*E3800*F3800,IF(G3800,C3800*E3800*G3800,IF(H3800,C3800*E3800*H3800,C3800*E3800))))))),2)</f>
        <v>6</v>
      </c>
      <c r="J3800" s="1357" t="s">
        <v>115</v>
      </c>
      <c r="K3800" s="1169"/>
      <c r="L3800" s="1156"/>
      <c r="M3800" s="1169"/>
      <c r="N3800" s="1161" t="s">
        <v>2318</v>
      </c>
    </row>
    <row r="3801" spans="1:14" s="1170" customFormat="1" ht="16.5" hidden="1" customHeight="1">
      <c r="A3801" s="1156"/>
      <c r="B3801" s="1230"/>
      <c r="C3801" s="1332"/>
      <c r="D3801" s="1333"/>
      <c r="E3801" s="1334"/>
      <c r="F3801" s="1335"/>
      <c r="G3801" s="1335"/>
      <c r="H3801" s="1335"/>
      <c r="I3801" s="1421"/>
      <c r="J3801" s="1357"/>
      <c r="K3801" s="1169"/>
      <c r="L3801" s="1156"/>
      <c r="M3801" s="1169"/>
      <c r="N3801" s="1161" t="s">
        <v>2318</v>
      </c>
    </row>
    <row r="3802" spans="1:14" ht="15.75" hidden="1">
      <c r="A3802" s="1156"/>
      <c r="B3802" s="1169"/>
      <c r="C3802" s="1337"/>
      <c r="D3802" s="1171"/>
      <c r="E3802" s="1165"/>
      <c r="F3802" s="1166"/>
      <c r="G3802" s="1343"/>
      <c r="H3802" s="1156"/>
      <c r="I3802" s="1421"/>
      <c r="J3802" s="1357" t="s">
        <v>115</v>
      </c>
      <c r="K3802" s="1221">
        <f>'Ele Data'!I885</f>
        <v>203</v>
      </c>
      <c r="L3802" s="1159" t="s">
        <v>2318</v>
      </c>
      <c r="M3802" s="1224">
        <f>ROUND(I3802*K3802,0)</f>
        <v>0</v>
      </c>
      <c r="N3802" s="1161" t="s">
        <v>2318</v>
      </c>
    </row>
    <row r="3803" spans="1:14" ht="27" hidden="1" customHeight="1">
      <c r="A3803" s="1156">
        <v>44</v>
      </c>
      <c r="B3803" s="1826" t="s">
        <v>690</v>
      </c>
      <c r="C3803" s="1826"/>
      <c r="D3803" s="1828"/>
      <c r="E3803" s="1826"/>
      <c r="F3803" s="1826"/>
      <c r="G3803" s="1826"/>
      <c r="H3803" s="1826"/>
      <c r="I3803" s="1157"/>
      <c r="J3803" s="1158"/>
      <c r="K3803" s="1156"/>
      <c r="L3803" s="1156"/>
      <c r="M3803" s="1160"/>
      <c r="N3803" s="1161" t="s">
        <v>2318</v>
      </c>
    </row>
    <row r="3804" spans="1:14" s="1170" customFormat="1" ht="16.5" hidden="1" customHeight="1">
      <c r="A3804" s="1156"/>
      <c r="B3804" s="1169" t="s">
        <v>3395</v>
      </c>
      <c r="C3804" s="1351"/>
      <c r="D3804" s="1418"/>
      <c r="E3804" s="1352"/>
      <c r="F3804" s="1234"/>
      <c r="G3804" s="1234"/>
      <c r="H3804" s="1235"/>
      <c r="I3804" s="1353"/>
      <c r="J3804" s="1357"/>
      <c r="K3804" s="1169"/>
      <c r="L3804" s="1156"/>
      <c r="M3804" s="1169"/>
      <c r="N3804" s="1161" t="s">
        <v>2318</v>
      </c>
    </row>
    <row r="3805" spans="1:14" s="1170" customFormat="1" ht="16.5" hidden="1" customHeight="1">
      <c r="A3805" s="1156"/>
      <c r="B3805" s="1230"/>
      <c r="C3805" s="1332">
        <v>1</v>
      </c>
      <c r="D3805" s="1333" t="s">
        <v>273</v>
      </c>
      <c r="E3805" s="1334">
        <v>6</v>
      </c>
      <c r="F3805" s="1335">
        <v>0</v>
      </c>
      <c r="G3805" s="1335">
        <v>0</v>
      </c>
      <c r="H3805" s="1335">
        <v>0</v>
      </c>
      <c r="I3805" s="1421">
        <f>ROUND(IF(AND(F3805:H3805),C3805*E3805*F3805*G3805*H3805,IF(AND(F3805,G3805),C3805*E3805*F3805*G3805,IF(AND(F3805,H3805),C3805*E3805*F3805*H3805,IF(AND(G3805,H3805),C3805*E3805*G3805*H3805,IF(F3805,C3805*E3805*F3805,IF(G3805,C3805*E3805*G3805,IF(H3805,C3805*E3805*H3805,C3805*E3805))))))),2)</f>
        <v>6</v>
      </c>
      <c r="J3805" s="1357" t="s">
        <v>115</v>
      </c>
      <c r="K3805" s="1169"/>
      <c r="L3805" s="1156"/>
      <c r="M3805" s="1169"/>
      <c r="N3805" s="1161" t="s">
        <v>2318</v>
      </c>
    </row>
    <row r="3806" spans="1:14" s="1170" customFormat="1" ht="16.5" hidden="1" customHeight="1">
      <c r="A3806" s="1156"/>
      <c r="B3806" s="1230"/>
      <c r="C3806" s="1332"/>
      <c r="D3806" s="1333"/>
      <c r="E3806" s="1334"/>
      <c r="F3806" s="1335"/>
      <c r="G3806" s="1335"/>
      <c r="H3806" s="1335"/>
      <c r="I3806" s="1336"/>
      <c r="J3806" s="1357"/>
      <c r="K3806" s="1169"/>
      <c r="L3806" s="1156"/>
      <c r="M3806" s="1169"/>
      <c r="N3806" s="1161" t="s">
        <v>2318</v>
      </c>
    </row>
    <row r="3807" spans="1:14" ht="15.75" hidden="1">
      <c r="A3807" s="1156"/>
      <c r="B3807" s="1169"/>
      <c r="C3807" s="1337"/>
      <c r="D3807" s="1171"/>
      <c r="E3807" s="1165"/>
      <c r="F3807" s="1166"/>
      <c r="G3807" s="1343"/>
      <c r="H3807" s="1156"/>
      <c r="I3807" s="1421"/>
      <c r="J3807" s="1357" t="s">
        <v>115</v>
      </c>
      <c r="K3807" s="1221">
        <f>'Ele Data'!I888</f>
        <v>155</v>
      </c>
      <c r="L3807" s="1159" t="s">
        <v>2318</v>
      </c>
      <c r="M3807" s="1224">
        <f>ROUND(I3807*K3807,0)</f>
        <v>0</v>
      </c>
      <c r="N3807" s="1161" t="s">
        <v>2318</v>
      </c>
    </row>
    <row r="3808" spans="1:14" ht="27" hidden="1" customHeight="1">
      <c r="A3808" s="1156">
        <v>4</v>
      </c>
      <c r="B3808" s="1826" t="s">
        <v>1512</v>
      </c>
      <c r="C3808" s="1826"/>
      <c r="D3808" s="1826"/>
      <c r="E3808" s="1826"/>
      <c r="F3808" s="1826"/>
      <c r="G3808" s="1826"/>
      <c r="H3808" s="1826"/>
      <c r="I3808" s="1157"/>
      <c r="J3808" s="1158"/>
      <c r="K3808" s="1156"/>
      <c r="L3808" s="1156"/>
      <c r="M3808" s="1160"/>
      <c r="N3808" s="1161" t="s">
        <v>2318</v>
      </c>
    </row>
    <row r="3809" spans="1:14" s="1170" customFormat="1" ht="16.5" hidden="1" customHeight="1">
      <c r="A3809" s="1156"/>
      <c r="B3809" s="1169" t="s">
        <v>2354</v>
      </c>
      <c r="C3809" s="1351"/>
      <c r="D3809" s="1418"/>
      <c r="E3809" s="1352"/>
      <c r="F3809" s="1234"/>
      <c r="G3809" s="1234"/>
      <c r="H3809" s="1235"/>
      <c r="I3809" s="1353"/>
      <c r="J3809" s="1357"/>
      <c r="K3809" s="1169"/>
      <c r="L3809" s="1156"/>
      <c r="M3809" s="1169"/>
      <c r="N3809" s="1161" t="s">
        <v>2318</v>
      </c>
    </row>
    <row r="3810" spans="1:14" s="1170" customFormat="1" ht="16.5" hidden="1" customHeight="1">
      <c r="A3810" s="1156"/>
      <c r="B3810" s="1230" t="s">
        <v>586</v>
      </c>
      <c r="C3810" s="1332">
        <v>1</v>
      </c>
      <c r="D3810" s="1333" t="s">
        <v>273</v>
      </c>
      <c r="E3810" s="1334">
        <v>1</v>
      </c>
      <c r="F3810" s="1335">
        <v>0</v>
      </c>
      <c r="G3810" s="1335">
        <v>0</v>
      </c>
      <c r="H3810" s="1335">
        <v>0</v>
      </c>
      <c r="I3810" s="1421">
        <f>ROUND(IF(AND(F3810:H3810),C3810*E3810*F3810*G3810*H3810,IF(AND(F3810,G3810),C3810*E3810*F3810*G3810,IF(AND(F3810,H3810),C3810*E3810*F3810*H3810,IF(AND(G3810,H3810),C3810*E3810*G3810*H3810,IF(F3810,C3810*E3810*F3810,IF(G3810,C3810*E3810*G3810,IF(H3810,C3810*E3810*H3810,C3810*E3810))))))),2)</f>
        <v>1</v>
      </c>
      <c r="J3810" s="1357" t="s">
        <v>115</v>
      </c>
      <c r="K3810" s="1169"/>
      <c r="L3810" s="1156"/>
      <c r="M3810" s="1169"/>
      <c r="N3810" s="1161" t="s">
        <v>2318</v>
      </c>
    </row>
    <row r="3811" spans="1:14" s="1170" customFormat="1" ht="16.5" hidden="1" customHeight="1">
      <c r="A3811" s="1156"/>
      <c r="B3811" s="1230" t="s">
        <v>1495</v>
      </c>
      <c r="C3811" s="1332">
        <v>1</v>
      </c>
      <c r="D3811" s="1333" t="s">
        <v>273</v>
      </c>
      <c r="E3811" s="1334">
        <v>1</v>
      </c>
      <c r="F3811" s="1335">
        <v>0</v>
      </c>
      <c r="G3811" s="1335">
        <v>0</v>
      </c>
      <c r="H3811" s="1335">
        <v>0</v>
      </c>
      <c r="I3811" s="1421">
        <f>ROUND(IF(AND(F3811:H3811),C3811*E3811*F3811*G3811*H3811,IF(AND(F3811,G3811),C3811*E3811*F3811*G3811,IF(AND(F3811,H3811),C3811*E3811*F3811*H3811,IF(AND(G3811,H3811),C3811*E3811*G3811*H3811,IF(F3811,C3811*E3811*F3811,IF(G3811,C3811*E3811*G3811,IF(H3811,C3811*E3811*H3811,C3811*E3811))))))),2)</f>
        <v>1</v>
      </c>
      <c r="J3811" s="1357" t="s">
        <v>115</v>
      </c>
      <c r="K3811" s="1169"/>
      <c r="L3811" s="1156"/>
      <c r="M3811" s="1169"/>
      <c r="N3811" s="1161" t="s">
        <v>2318</v>
      </c>
    </row>
    <row r="3812" spans="1:14" s="1170" customFormat="1" ht="16.5" hidden="1" customHeight="1">
      <c r="A3812" s="1156"/>
      <c r="B3812" s="1230" t="s">
        <v>1494</v>
      </c>
      <c r="C3812" s="1332">
        <v>1</v>
      </c>
      <c r="D3812" s="1333" t="s">
        <v>273</v>
      </c>
      <c r="E3812" s="1334">
        <v>1</v>
      </c>
      <c r="F3812" s="1335">
        <v>0</v>
      </c>
      <c r="G3812" s="1335">
        <v>0</v>
      </c>
      <c r="H3812" s="1335">
        <v>0</v>
      </c>
      <c r="I3812" s="1421">
        <f>ROUND(IF(AND(F3812:H3812),C3812*E3812*F3812*G3812*H3812,IF(AND(F3812,G3812),C3812*E3812*F3812*G3812,IF(AND(F3812,H3812),C3812*E3812*F3812*H3812,IF(AND(G3812,H3812),C3812*E3812*G3812*H3812,IF(F3812,C3812*E3812*F3812,IF(G3812,C3812*E3812*G3812,IF(H3812,C3812*E3812*H3812,C3812*E3812))))))),2)</f>
        <v>1</v>
      </c>
      <c r="J3812" s="1357" t="s">
        <v>115</v>
      </c>
      <c r="K3812" s="1169"/>
      <c r="L3812" s="1156"/>
      <c r="M3812" s="1169"/>
      <c r="N3812" s="1161" t="s">
        <v>2318</v>
      </c>
    </row>
    <row r="3813" spans="1:14" s="1170" customFormat="1" ht="16.5" hidden="1" customHeight="1">
      <c r="A3813" s="1156"/>
      <c r="B3813" s="1230" t="s">
        <v>223</v>
      </c>
      <c r="C3813" s="1332">
        <v>1</v>
      </c>
      <c r="D3813" s="1333" t="s">
        <v>273</v>
      </c>
      <c r="E3813" s="1334">
        <v>2</v>
      </c>
      <c r="F3813" s="1335">
        <v>0</v>
      </c>
      <c r="G3813" s="1335">
        <v>0</v>
      </c>
      <c r="H3813" s="1335">
        <v>0</v>
      </c>
      <c r="I3813" s="1421">
        <f>ROUND(IF(AND(F3813:H3813),C3813*E3813*F3813*G3813*H3813,IF(AND(F3813,G3813),C3813*E3813*F3813*G3813,IF(AND(F3813,H3813),C3813*E3813*F3813*H3813,IF(AND(G3813,H3813),C3813*E3813*G3813*H3813,IF(F3813,C3813*E3813*F3813,IF(G3813,C3813*E3813*G3813,IF(H3813,C3813*E3813*H3813,C3813*E3813))))))),2)</f>
        <v>2</v>
      </c>
      <c r="J3813" s="1357" t="s">
        <v>115</v>
      </c>
      <c r="K3813" s="1169"/>
      <c r="L3813" s="1156"/>
      <c r="M3813" s="1169"/>
      <c r="N3813" s="1161" t="s">
        <v>2318</v>
      </c>
    </row>
    <row r="3814" spans="1:14" s="1170" customFormat="1" ht="16.5" hidden="1" customHeight="1">
      <c r="A3814" s="1156"/>
      <c r="B3814" s="1230"/>
      <c r="C3814" s="1332"/>
      <c r="D3814" s="1333"/>
      <c r="E3814" s="1334"/>
      <c r="F3814" s="1335"/>
      <c r="G3814" s="1335"/>
      <c r="H3814" s="1335"/>
      <c r="I3814" s="1421"/>
      <c r="J3814" s="1357"/>
      <c r="K3814" s="1169"/>
      <c r="L3814" s="1156"/>
      <c r="M3814" s="1169"/>
      <c r="N3814" s="1161" t="s">
        <v>2318</v>
      </c>
    </row>
    <row r="3815" spans="1:14" ht="15.75" hidden="1">
      <c r="A3815" s="1156"/>
      <c r="B3815" s="1169"/>
      <c r="C3815" s="1337"/>
      <c r="D3815" s="1171"/>
      <c r="E3815" s="1165"/>
      <c r="F3815" s="1166"/>
      <c r="G3815" s="1343"/>
      <c r="H3815" s="1156"/>
      <c r="I3815" s="1421"/>
      <c r="J3815" s="1357" t="s">
        <v>115</v>
      </c>
      <c r="K3815" s="1221">
        <f>'Ele Data'!I899</f>
        <v>359</v>
      </c>
      <c r="L3815" s="1159" t="s">
        <v>2318</v>
      </c>
      <c r="M3815" s="1224">
        <f>ROUND(I3815*K3815,0)</f>
        <v>0</v>
      </c>
      <c r="N3815" s="1161" t="s">
        <v>2318</v>
      </c>
    </row>
    <row r="3816" spans="1:14" ht="27" hidden="1" customHeight="1">
      <c r="A3816" s="1156">
        <v>6</v>
      </c>
      <c r="B3816" s="1826" t="s">
        <v>612</v>
      </c>
      <c r="C3816" s="1826"/>
      <c r="D3816" s="1826"/>
      <c r="E3816" s="1826"/>
      <c r="F3816" s="1826"/>
      <c r="G3816" s="1826"/>
      <c r="H3816" s="1826"/>
      <c r="I3816" s="1157"/>
      <c r="J3816" s="1158"/>
      <c r="K3816" s="1156"/>
      <c r="L3816" s="1156"/>
      <c r="M3816" s="1160"/>
      <c r="N3816" s="1161" t="s">
        <v>2318</v>
      </c>
    </row>
    <row r="3817" spans="1:14" s="1170" customFormat="1" ht="16.5" hidden="1" customHeight="1">
      <c r="A3817" s="1156"/>
      <c r="B3817" s="1230" t="s">
        <v>607</v>
      </c>
      <c r="C3817" s="1351"/>
      <c r="D3817" s="1418"/>
      <c r="E3817" s="1352"/>
      <c r="F3817" s="1234"/>
      <c r="G3817" s="1234"/>
      <c r="H3817" s="1235"/>
      <c r="I3817" s="1353"/>
      <c r="J3817" s="1357"/>
      <c r="K3817" s="1169"/>
      <c r="L3817" s="1156"/>
      <c r="M3817" s="1169"/>
      <c r="N3817" s="1161" t="s">
        <v>2318</v>
      </c>
    </row>
    <row r="3818" spans="1:14" s="1170" customFormat="1" ht="16.5" hidden="1" customHeight="1">
      <c r="A3818" s="1156"/>
      <c r="B3818" s="1230" t="s">
        <v>1217</v>
      </c>
      <c r="C3818" s="1332">
        <v>2</v>
      </c>
      <c r="D3818" s="1333" t="s">
        <v>273</v>
      </c>
      <c r="E3818" s="1334">
        <v>1</v>
      </c>
      <c r="F3818" s="1335">
        <v>0</v>
      </c>
      <c r="G3818" s="1335">
        <v>0</v>
      </c>
      <c r="H3818" s="1335">
        <v>0</v>
      </c>
      <c r="I3818" s="1421">
        <f>ROUND(IF(AND(F3818:H3818),C3818*E3818*F3818*G3818*H3818,IF(AND(F3818,G3818),C3818*E3818*F3818*G3818,IF(AND(F3818,H3818),C3818*E3818*F3818*H3818,IF(AND(G3818,H3818),C3818*E3818*G3818*H3818,IF(F3818,C3818*E3818*F3818,IF(G3818,C3818*E3818*G3818,IF(H3818,C3818*E3818*H3818,C3818*E3818))))))),2)</f>
        <v>2</v>
      </c>
      <c r="J3818" s="1357" t="s">
        <v>115</v>
      </c>
      <c r="K3818" s="1169"/>
      <c r="L3818" s="1156"/>
      <c r="M3818" s="1169"/>
      <c r="N3818" s="1161" t="s">
        <v>2318</v>
      </c>
    </row>
    <row r="3819" spans="1:14" s="1170" customFormat="1" ht="16.5" hidden="1" customHeight="1">
      <c r="A3819" s="1156"/>
      <c r="B3819" s="1230"/>
      <c r="C3819" s="1332"/>
      <c r="D3819" s="1333"/>
      <c r="E3819" s="1334"/>
      <c r="F3819" s="1335"/>
      <c r="G3819" s="1335"/>
      <c r="H3819" s="1335"/>
      <c r="I3819" s="1421"/>
      <c r="J3819" s="1357"/>
      <c r="K3819" s="1169"/>
      <c r="L3819" s="1156"/>
      <c r="M3819" s="1169"/>
      <c r="N3819" s="1161" t="s">
        <v>2318</v>
      </c>
    </row>
    <row r="3820" spans="1:14" ht="15.75" hidden="1">
      <c r="A3820" s="1156"/>
      <c r="B3820" s="1169"/>
      <c r="C3820" s="1337"/>
      <c r="D3820" s="1171"/>
      <c r="E3820" s="1165"/>
      <c r="F3820" s="1166"/>
      <c r="G3820" s="1343"/>
      <c r="H3820" s="1156"/>
      <c r="I3820" s="1421"/>
      <c r="J3820" s="1357" t="s">
        <v>115</v>
      </c>
      <c r="K3820" s="1221">
        <f>'Ele Data'!I895</f>
        <v>400</v>
      </c>
      <c r="L3820" s="1159" t="s">
        <v>2318</v>
      </c>
      <c r="M3820" s="1224">
        <f>ROUND(I3820*K3820,0)</f>
        <v>0</v>
      </c>
      <c r="N3820" s="1161" t="s">
        <v>2318</v>
      </c>
    </row>
    <row r="3821" spans="1:14" ht="27" hidden="1" customHeight="1">
      <c r="A3821" s="1156">
        <v>6</v>
      </c>
      <c r="B3821" s="1826" t="s">
        <v>790</v>
      </c>
      <c r="C3821" s="1826"/>
      <c r="D3821" s="1826"/>
      <c r="E3821" s="1826"/>
      <c r="F3821" s="1826"/>
      <c r="G3821" s="1826"/>
      <c r="H3821" s="1826"/>
      <c r="I3821" s="1157"/>
      <c r="J3821" s="1158"/>
      <c r="K3821" s="1156"/>
      <c r="L3821" s="1156"/>
      <c r="M3821" s="1160"/>
      <c r="N3821" s="1161" t="s">
        <v>2318</v>
      </c>
    </row>
    <row r="3822" spans="1:14" s="1170" customFormat="1" ht="16.5" hidden="1" customHeight="1">
      <c r="A3822" s="1156"/>
      <c r="B3822" s="1169" t="s">
        <v>2353</v>
      </c>
      <c r="C3822" s="1351"/>
      <c r="D3822" s="1418"/>
      <c r="E3822" s="1352"/>
      <c r="F3822" s="1234"/>
      <c r="G3822" s="1234"/>
      <c r="H3822" s="1235"/>
      <c r="I3822" s="1353"/>
      <c r="J3822" s="1357"/>
      <c r="K3822" s="1169"/>
      <c r="L3822" s="1156"/>
      <c r="M3822" s="1169"/>
      <c r="N3822" s="1161" t="s">
        <v>2318</v>
      </c>
    </row>
    <row r="3823" spans="1:14" s="1170" customFormat="1" ht="16.5" hidden="1" customHeight="1">
      <c r="A3823" s="1156"/>
      <c r="B3823" s="1230" t="s">
        <v>2087</v>
      </c>
      <c r="C3823" s="1332">
        <v>1</v>
      </c>
      <c r="D3823" s="1333" t="s">
        <v>273</v>
      </c>
      <c r="E3823" s="1334">
        <v>3</v>
      </c>
      <c r="F3823" s="1335">
        <v>0</v>
      </c>
      <c r="G3823" s="1335">
        <v>0</v>
      </c>
      <c r="H3823" s="1335">
        <v>0</v>
      </c>
      <c r="I3823" s="1421">
        <f>ROUND(IF(AND(F3823:H3823),C3823*E3823*F3823*G3823*H3823,IF(AND(F3823,G3823),C3823*E3823*F3823*G3823,IF(AND(F3823,H3823),C3823*E3823*F3823*H3823,IF(AND(G3823,H3823),C3823*E3823*G3823*H3823,IF(F3823,C3823*E3823*F3823,IF(G3823,C3823*E3823*G3823,IF(H3823,C3823*E3823*H3823,C3823*E3823))))))),2)</f>
        <v>3</v>
      </c>
      <c r="J3823" s="1357" t="s">
        <v>115</v>
      </c>
      <c r="K3823" s="1169"/>
      <c r="L3823" s="1156"/>
      <c r="M3823" s="1169"/>
      <c r="N3823" s="1161" t="s">
        <v>2318</v>
      </c>
    </row>
    <row r="3824" spans="1:14" s="1170" customFormat="1" ht="16.5" hidden="1" customHeight="1">
      <c r="A3824" s="1156"/>
      <c r="B3824" s="1230"/>
      <c r="C3824" s="1332"/>
      <c r="D3824" s="1333"/>
      <c r="E3824" s="1334"/>
      <c r="F3824" s="1335"/>
      <c r="G3824" s="1335"/>
      <c r="H3824" s="1335"/>
      <c r="I3824" s="1421"/>
      <c r="J3824" s="1357"/>
      <c r="K3824" s="1169"/>
      <c r="L3824" s="1156"/>
      <c r="M3824" s="1169"/>
      <c r="N3824" s="1161" t="s">
        <v>2318</v>
      </c>
    </row>
    <row r="3825" spans="1:14" ht="15.75" hidden="1">
      <c r="A3825" s="1156"/>
      <c r="B3825" s="1169"/>
      <c r="C3825" s="1337"/>
      <c r="D3825" s="1171"/>
      <c r="E3825" s="1165"/>
      <c r="F3825" s="1166"/>
      <c r="G3825" s="1343"/>
      <c r="H3825" s="1156"/>
      <c r="I3825" s="1421"/>
      <c r="J3825" s="1357" t="s">
        <v>115</v>
      </c>
      <c r="K3825" s="1221">
        <f>'Ele Data'!I891</f>
        <v>114</v>
      </c>
      <c r="L3825" s="1159" t="s">
        <v>2318</v>
      </c>
      <c r="M3825" s="1224">
        <f>ROUND(I3825*K3825,0)</f>
        <v>0</v>
      </c>
      <c r="N3825" s="1161" t="s">
        <v>2318</v>
      </c>
    </row>
    <row r="3826" spans="1:14" ht="27" hidden="1" customHeight="1">
      <c r="A3826" s="1156">
        <v>7</v>
      </c>
      <c r="B3826" s="1826" t="s">
        <v>428</v>
      </c>
      <c r="C3826" s="1826"/>
      <c r="D3826" s="1826"/>
      <c r="E3826" s="1826"/>
      <c r="F3826" s="1826"/>
      <c r="G3826" s="1826"/>
      <c r="H3826" s="1826"/>
      <c r="I3826" s="1157"/>
      <c r="J3826" s="1158"/>
      <c r="K3826" s="1156"/>
      <c r="L3826" s="1156"/>
      <c r="M3826" s="1160"/>
      <c r="N3826" s="1161" t="s">
        <v>2318</v>
      </c>
    </row>
    <row r="3827" spans="1:14" s="1170" customFormat="1" ht="16.5" hidden="1" customHeight="1">
      <c r="A3827" s="1156"/>
      <c r="B3827" s="1169" t="s">
        <v>2107</v>
      </c>
      <c r="C3827" s="1351"/>
      <c r="D3827" s="1418"/>
      <c r="E3827" s="1352"/>
      <c r="F3827" s="1234"/>
      <c r="G3827" s="1234"/>
      <c r="H3827" s="1235"/>
      <c r="I3827" s="1353"/>
      <c r="J3827" s="1357"/>
      <c r="K3827" s="1169"/>
      <c r="L3827" s="1156"/>
      <c r="M3827" s="1169"/>
      <c r="N3827" s="1161" t="s">
        <v>2318</v>
      </c>
    </row>
    <row r="3828" spans="1:14" s="1170" customFormat="1" ht="16.5" hidden="1" customHeight="1">
      <c r="A3828" s="1156"/>
      <c r="B3828" s="1230" t="s">
        <v>2087</v>
      </c>
      <c r="C3828" s="1332">
        <v>1</v>
      </c>
      <c r="D3828" s="1333" t="s">
        <v>273</v>
      </c>
      <c r="E3828" s="1334">
        <v>12</v>
      </c>
      <c r="F3828" s="1335">
        <v>0</v>
      </c>
      <c r="G3828" s="1335">
        <v>0</v>
      </c>
      <c r="H3828" s="1335">
        <v>0</v>
      </c>
      <c r="I3828" s="1421">
        <f>ROUND(IF(AND(F3828:H3828),C3828*E3828*F3828*G3828*H3828,IF(AND(F3828,G3828),C3828*E3828*F3828*G3828,IF(AND(F3828,H3828),C3828*E3828*F3828*H3828,IF(AND(G3828,H3828),C3828*E3828*G3828*H3828,IF(F3828,C3828*E3828*F3828,IF(G3828,C3828*E3828*G3828,IF(H3828,C3828*E3828*H3828,C3828*E3828))))))),2)</f>
        <v>12</v>
      </c>
      <c r="J3828" s="1357" t="s">
        <v>115</v>
      </c>
      <c r="K3828" s="1169"/>
      <c r="L3828" s="1156"/>
      <c r="M3828" s="1169"/>
      <c r="N3828" s="1161" t="s">
        <v>2318</v>
      </c>
    </row>
    <row r="3829" spans="1:14" s="1170" customFormat="1" ht="16.5" hidden="1" customHeight="1">
      <c r="A3829" s="1156"/>
      <c r="B3829" s="1230"/>
      <c r="C3829" s="1332"/>
      <c r="D3829" s="1333"/>
      <c r="E3829" s="1334"/>
      <c r="F3829" s="1335"/>
      <c r="G3829" s="1335"/>
      <c r="H3829" s="1335"/>
      <c r="I3829" s="1421"/>
      <c r="J3829" s="1357"/>
      <c r="K3829" s="1169"/>
      <c r="L3829" s="1156"/>
      <c r="M3829" s="1169"/>
      <c r="N3829" s="1161" t="s">
        <v>2318</v>
      </c>
    </row>
    <row r="3830" spans="1:14" ht="15.75" hidden="1">
      <c r="A3830" s="1156"/>
      <c r="B3830" s="1169"/>
      <c r="C3830" s="1337"/>
      <c r="D3830" s="1171"/>
      <c r="E3830" s="1165"/>
      <c r="F3830" s="1166"/>
      <c r="G3830" s="1343"/>
      <c r="H3830" s="1156"/>
      <c r="I3830" s="1421"/>
      <c r="J3830" s="1357" t="s">
        <v>115</v>
      </c>
      <c r="K3830" s="1221">
        <f>'Ele Data'!I902</f>
        <v>68</v>
      </c>
      <c r="L3830" s="1159" t="s">
        <v>2318</v>
      </c>
      <c r="M3830" s="1224">
        <f>ROUND(I3830*K3830,0)</f>
        <v>0</v>
      </c>
      <c r="N3830" s="1161" t="s">
        <v>2318</v>
      </c>
    </row>
    <row r="3831" spans="1:14" ht="64.5" hidden="1" customHeight="1">
      <c r="A3831" s="1156">
        <v>50</v>
      </c>
      <c r="B3831" s="1826" t="s">
        <v>692</v>
      </c>
      <c r="C3831" s="1826"/>
      <c r="D3831" s="1826"/>
      <c r="E3831" s="1826"/>
      <c r="F3831" s="1826"/>
      <c r="G3831" s="1826"/>
      <c r="H3831" s="1826"/>
      <c r="I3831" s="1157"/>
      <c r="J3831" s="1158"/>
      <c r="K3831" s="1156"/>
      <c r="L3831" s="1156"/>
      <c r="M3831" s="1160"/>
      <c r="N3831" s="1161" t="s">
        <v>2318</v>
      </c>
    </row>
    <row r="3832" spans="1:14" s="1170" customFormat="1" ht="16.5" hidden="1" customHeight="1">
      <c r="A3832" s="1156"/>
      <c r="B3832" s="1169" t="s">
        <v>3662</v>
      </c>
      <c r="C3832" s="1351"/>
      <c r="D3832" s="1548" t="s">
        <v>3739</v>
      </c>
      <c r="E3832" s="1352"/>
      <c r="F3832" s="1234"/>
      <c r="G3832" s="1234"/>
      <c r="H3832" s="1235"/>
      <c r="I3832" s="1353"/>
      <c r="J3832" s="1357"/>
      <c r="K3832" s="1169"/>
      <c r="L3832" s="1156"/>
      <c r="M3832" s="1169"/>
      <c r="N3832" s="1161" t="s">
        <v>2318</v>
      </c>
    </row>
    <row r="3833" spans="1:14" s="1170" customFormat="1" ht="16.5" hidden="1" customHeight="1">
      <c r="A3833" s="1156"/>
      <c r="B3833" s="1230" t="s">
        <v>3548</v>
      </c>
      <c r="C3833" s="1360">
        <v>1</v>
      </c>
      <c r="D3833" s="1361" t="s">
        <v>273</v>
      </c>
      <c r="E3833" s="1362">
        <v>7</v>
      </c>
      <c r="F3833" s="1363">
        <v>0</v>
      </c>
      <c r="G3833" s="1363">
        <v>0</v>
      </c>
      <c r="H3833" s="1363">
        <v>0</v>
      </c>
      <c r="I3833" s="1421">
        <f t="shared" ref="I3833:I3834" si="197">ROUND(IF(AND(F3833:H3833),C3833*E3833*F3833*G3833*H3833,IF(AND(F3833,G3833),C3833*E3833*F3833*G3833,IF(AND(F3833,H3833),C3833*E3833*F3833*H3833,IF(AND(G3833,H3833),C3833*E3833*G3833*H3833,IF(F3833,C3833*E3833*F3833,IF(G3833,C3833*E3833*G3833,IF(H3833,C3833*E3833*H3833,C3833*E3833))))))),2)</f>
        <v>7</v>
      </c>
      <c r="J3833" s="1357" t="s">
        <v>431</v>
      </c>
      <c r="K3833" s="1169"/>
      <c r="L3833" s="1156"/>
      <c r="M3833" s="1169"/>
      <c r="N3833" s="1161" t="s">
        <v>2318</v>
      </c>
    </row>
    <row r="3834" spans="1:14" s="1170" customFormat="1" ht="16.5" hidden="1" customHeight="1">
      <c r="A3834" s="1156"/>
      <c r="B3834" s="1230" t="s">
        <v>3549</v>
      </c>
      <c r="C3834" s="1360">
        <v>1</v>
      </c>
      <c r="D3834" s="1361" t="s">
        <v>273</v>
      </c>
      <c r="E3834" s="1362">
        <v>8</v>
      </c>
      <c r="F3834" s="1363">
        <v>0</v>
      </c>
      <c r="G3834" s="1363">
        <v>0</v>
      </c>
      <c r="H3834" s="1363">
        <v>0</v>
      </c>
      <c r="I3834" s="1421">
        <f t="shared" si="197"/>
        <v>8</v>
      </c>
      <c r="J3834" s="1357" t="s">
        <v>431</v>
      </c>
      <c r="K3834" s="1169"/>
      <c r="L3834" s="1156"/>
      <c r="M3834" s="1169"/>
      <c r="N3834" s="1161" t="s">
        <v>2318</v>
      </c>
    </row>
    <row r="3835" spans="1:14" s="1170" customFormat="1" ht="16.5" hidden="1" customHeight="1">
      <c r="A3835" s="1156"/>
      <c r="B3835" s="1230"/>
      <c r="C3835" s="1360"/>
      <c r="D3835" s="1361"/>
      <c r="E3835" s="1362"/>
      <c r="F3835" s="1363"/>
      <c r="G3835" s="1363"/>
      <c r="H3835" s="1363"/>
      <c r="I3835" s="1421"/>
      <c r="J3835" s="1357"/>
      <c r="K3835" s="1169"/>
      <c r="L3835" s="1156"/>
      <c r="M3835" s="1169"/>
      <c r="N3835" s="1161" t="s">
        <v>2318</v>
      </c>
    </row>
    <row r="3836" spans="1:14" ht="15.75" hidden="1">
      <c r="A3836" s="1156"/>
      <c r="B3836" s="1169"/>
      <c r="C3836" s="1337"/>
      <c r="D3836" s="1171"/>
      <c r="E3836" s="1165"/>
      <c r="F3836" s="1166"/>
      <c r="G3836" s="1343"/>
      <c r="H3836" s="1156"/>
      <c r="I3836" s="1421"/>
      <c r="J3836" s="1357" t="s">
        <v>431</v>
      </c>
      <c r="K3836" s="1221">
        <f>'Ele Data'!I940</f>
        <v>481.67</v>
      </c>
      <c r="L3836" s="1159" t="s">
        <v>2318</v>
      </c>
      <c r="M3836" s="1224">
        <f>ROUND(I3836*K3836,0)</f>
        <v>0</v>
      </c>
      <c r="N3836" s="1161" t="s">
        <v>2318</v>
      </c>
    </row>
    <row r="3837" spans="1:14" ht="67.5" hidden="1" customHeight="1">
      <c r="A3837" s="1156">
        <v>51</v>
      </c>
      <c r="B3837" s="1826" t="s">
        <v>693</v>
      </c>
      <c r="C3837" s="1826"/>
      <c r="D3837" s="1826"/>
      <c r="E3837" s="1826"/>
      <c r="F3837" s="1826"/>
      <c r="G3837" s="1826"/>
      <c r="H3837" s="1826"/>
      <c r="I3837" s="1157"/>
      <c r="J3837" s="1158"/>
      <c r="K3837" s="1156"/>
      <c r="L3837" s="1156"/>
      <c r="M3837" s="1160"/>
      <c r="N3837" s="1161" t="s">
        <v>2318</v>
      </c>
    </row>
    <row r="3838" spans="1:14" s="1170" customFormat="1" ht="16.5" hidden="1" customHeight="1">
      <c r="A3838" s="1156"/>
      <c r="B3838" s="1169" t="s">
        <v>3725</v>
      </c>
      <c r="C3838" s="1351"/>
      <c r="D3838" s="1548" t="s">
        <v>3739</v>
      </c>
      <c r="E3838" s="1352"/>
      <c r="F3838" s="1234"/>
      <c r="G3838" s="1234"/>
      <c r="H3838" s="1235"/>
      <c r="I3838" s="1353"/>
      <c r="J3838" s="1357"/>
      <c r="K3838" s="1169"/>
      <c r="L3838" s="1156"/>
      <c r="M3838" s="1169"/>
      <c r="N3838" s="1161" t="s">
        <v>2318</v>
      </c>
    </row>
    <row r="3839" spans="1:14" s="1170" customFormat="1" ht="16.5" hidden="1" customHeight="1">
      <c r="A3839" s="1156"/>
      <c r="B3839" s="1230"/>
      <c r="C3839" s="1360">
        <v>1</v>
      </c>
      <c r="D3839" s="1361" t="s">
        <v>273</v>
      </c>
      <c r="E3839" s="1362">
        <v>9</v>
      </c>
      <c r="F3839" s="1363">
        <v>0</v>
      </c>
      <c r="G3839" s="1363">
        <v>0</v>
      </c>
      <c r="H3839" s="1363">
        <v>0</v>
      </c>
      <c r="I3839" s="1421">
        <f t="shared" ref="I3839" si="198">ROUND(IF(AND(F3839:H3839),C3839*E3839*F3839*G3839*H3839,IF(AND(F3839,G3839),C3839*E3839*F3839*G3839,IF(AND(F3839,H3839),C3839*E3839*F3839*H3839,IF(AND(G3839,H3839),C3839*E3839*G3839*H3839,IF(F3839,C3839*E3839*F3839,IF(G3839,C3839*E3839*G3839,IF(H3839,C3839*E3839*H3839,C3839*E3839))))))),2)</f>
        <v>9</v>
      </c>
      <c r="J3839" s="1357" t="s">
        <v>431</v>
      </c>
      <c r="K3839" s="1169"/>
      <c r="L3839" s="1156"/>
      <c r="M3839" s="1169"/>
      <c r="N3839" s="1161" t="s">
        <v>2318</v>
      </c>
    </row>
    <row r="3840" spans="1:14" s="1170" customFormat="1" ht="16.5" hidden="1" customHeight="1">
      <c r="A3840" s="1156"/>
      <c r="B3840" s="1230"/>
      <c r="C3840" s="1332"/>
      <c r="D3840" s="1333"/>
      <c r="E3840" s="1334"/>
      <c r="F3840" s="1335"/>
      <c r="G3840" s="1335"/>
      <c r="H3840" s="1335"/>
      <c r="I3840" s="1336"/>
      <c r="J3840" s="1357"/>
      <c r="K3840" s="1169"/>
      <c r="L3840" s="1156"/>
      <c r="M3840" s="1169"/>
      <c r="N3840" s="1161" t="s">
        <v>2318</v>
      </c>
    </row>
    <row r="3841" spans="1:14" ht="15.75" hidden="1">
      <c r="A3841" s="1156"/>
      <c r="B3841" s="1169"/>
      <c r="C3841" s="1337"/>
      <c r="D3841" s="1171"/>
      <c r="E3841" s="1165"/>
      <c r="F3841" s="1166"/>
      <c r="G3841" s="1343"/>
      <c r="H3841" s="1156"/>
      <c r="I3841" s="1421"/>
      <c r="J3841" s="1357" t="s">
        <v>431</v>
      </c>
      <c r="K3841" s="1221">
        <f>'Ele Data'!I953</f>
        <v>503.67</v>
      </c>
      <c r="L3841" s="1159" t="s">
        <v>2318</v>
      </c>
      <c r="M3841" s="1224">
        <f>ROUND(I3841*K3841,0)</f>
        <v>0</v>
      </c>
      <c r="N3841" s="1161" t="s">
        <v>2318</v>
      </c>
    </row>
    <row r="3842" spans="1:14" ht="44.25" hidden="1" customHeight="1">
      <c r="A3842" s="1156">
        <v>37</v>
      </c>
      <c r="B3842" s="1826" t="s">
        <v>2093</v>
      </c>
      <c r="C3842" s="1826"/>
      <c r="D3842" s="1826"/>
      <c r="E3842" s="1826"/>
      <c r="F3842" s="1826"/>
      <c r="G3842" s="1826"/>
      <c r="H3842" s="1826"/>
      <c r="I3842" s="1157"/>
      <c r="J3842" s="1158"/>
      <c r="K3842" s="1156"/>
      <c r="L3842" s="1156"/>
      <c r="M3842" s="1160"/>
      <c r="N3842" s="1161" t="s">
        <v>2318</v>
      </c>
    </row>
    <row r="3843" spans="1:14" s="1170" customFormat="1" ht="16.5" hidden="1" customHeight="1">
      <c r="A3843" s="1156"/>
      <c r="B3843" s="1169" t="s">
        <v>3395</v>
      </c>
      <c r="C3843" s="1351"/>
      <c r="D3843" s="1418"/>
      <c r="E3843" s="1352"/>
      <c r="F3843" s="1234"/>
      <c r="G3843" s="1234"/>
      <c r="H3843" s="1235"/>
      <c r="I3843" s="1353"/>
      <c r="J3843" s="1357"/>
      <c r="K3843" s="1169"/>
      <c r="L3843" s="1156"/>
      <c r="M3843" s="1169"/>
      <c r="N3843" s="1161" t="s">
        <v>2318</v>
      </c>
    </row>
    <row r="3844" spans="1:14" s="1170" customFormat="1" ht="16.5" hidden="1" customHeight="1">
      <c r="A3844" s="1156"/>
      <c r="B3844" s="1169" t="s">
        <v>2094</v>
      </c>
      <c r="C3844" s="1360">
        <v>1</v>
      </c>
      <c r="D3844" s="1361" t="s">
        <v>273</v>
      </c>
      <c r="E3844" s="1362">
        <v>2</v>
      </c>
      <c r="F3844" s="1401">
        <v>60</v>
      </c>
      <c r="G3844" s="1363">
        <v>0</v>
      </c>
      <c r="H3844" s="1363">
        <v>0</v>
      </c>
      <c r="I3844" s="1336">
        <f>ROUND(IF(AND(F3844:H3844),C3844*E3844*F3844*G3844*H3844,IF(AND(F3844,G3844),C3844*E3844*F3844*G3844,IF(AND(F3844,H3844),C3844*E3844*F3844*H3844,IF(AND(G3844,H3844),C3844*E3844*G3844*H3844,IF(F3844,C3844*E3844*F3844,IF(G3844,C3844*E3844*G3844,IF(H3844,C3844*E3844*H3844,C3844*E3844))))))),2)</f>
        <v>120</v>
      </c>
      <c r="J3844" s="1357" t="s">
        <v>277</v>
      </c>
      <c r="K3844" s="1169"/>
      <c r="L3844" s="1156"/>
      <c r="M3844" s="1169"/>
      <c r="N3844" s="1161" t="s">
        <v>2318</v>
      </c>
    </row>
    <row r="3845" spans="1:14" s="1170" customFormat="1" ht="16.5" hidden="1" customHeight="1">
      <c r="A3845" s="1156"/>
      <c r="B3845" s="1230"/>
      <c r="C3845" s="1332"/>
      <c r="D3845" s="1333"/>
      <c r="E3845" s="1334"/>
      <c r="F3845" s="1550"/>
      <c r="G3845" s="1335"/>
      <c r="H3845" s="1335"/>
      <c r="I3845" s="1336"/>
      <c r="J3845" s="1357"/>
      <c r="K3845" s="1169"/>
      <c r="L3845" s="1156"/>
      <c r="M3845" s="1169"/>
      <c r="N3845" s="1161" t="s">
        <v>2318</v>
      </c>
    </row>
    <row r="3846" spans="1:14" ht="15.75" hidden="1">
      <c r="A3846" s="1156"/>
      <c r="B3846" s="1169"/>
      <c r="C3846" s="1337"/>
      <c r="D3846" s="1171"/>
      <c r="E3846" s="1165"/>
      <c r="F3846" s="1166"/>
      <c r="G3846" s="1343"/>
      <c r="H3846" s="1156"/>
      <c r="I3846" s="1336"/>
      <c r="J3846" s="1357" t="s">
        <v>277</v>
      </c>
      <c r="K3846" s="1221">
        <f>'Ele Data'!I998</f>
        <v>23.55</v>
      </c>
      <c r="L3846" s="1159" t="s">
        <v>2318</v>
      </c>
      <c r="M3846" s="1224">
        <f>ROUND(I3846*K3846,0)</f>
        <v>0</v>
      </c>
      <c r="N3846" s="1161" t="s">
        <v>2318</v>
      </c>
    </row>
    <row r="3847" spans="1:14" ht="44.25" hidden="1" customHeight="1">
      <c r="A3847" s="1156">
        <v>36</v>
      </c>
      <c r="B3847" s="1826" t="s">
        <v>2264</v>
      </c>
      <c r="C3847" s="1826"/>
      <c r="D3847" s="1826"/>
      <c r="E3847" s="1826"/>
      <c r="F3847" s="1826"/>
      <c r="G3847" s="1826"/>
      <c r="H3847" s="1826"/>
      <c r="I3847" s="1157"/>
      <c r="J3847" s="1158"/>
      <c r="K3847" s="1156"/>
      <c r="L3847" s="1156"/>
      <c r="M3847" s="1160"/>
      <c r="N3847" s="1161" t="s">
        <v>2318</v>
      </c>
    </row>
    <row r="3848" spans="1:14" s="1170" customFormat="1" ht="16.5" hidden="1" customHeight="1">
      <c r="A3848" s="1156"/>
      <c r="B3848" s="1169" t="s">
        <v>3367</v>
      </c>
      <c r="C3848" s="1351"/>
      <c r="D3848" s="1418"/>
      <c r="E3848" s="1352"/>
      <c r="F3848" s="1234"/>
      <c r="G3848" s="1234"/>
      <c r="H3848" s="1235"/>
      <c r="I3848" s="1353"/>
      <c r="J3848" s="1357"/>
      <c r="K3848" s="1169"/>
      <c r="L3848" s="1156"/>
      <c r="M3848" s="1169"/>
      <c r="N3848" s="1161" t="s">
        <v>2318</v>
      </c>
    </row>
    <row r="3849" spans="1:14" s="1170" customFormat="1" ht="16.5" hidden="1" customHeight="1">
      <c r="A3849" s="1156"/>
      <c r="B3849" s="1359" t="s">
        <v>3365</v>
      </c>
      <c r="C3849" s="1360">
        <v>1</v>
      </c>
      <c r="D3849" s="1361" t="s">
        <v>273</v>
      </c>
      <c r="E3849" s="1362">
        <v>1</v>
      </c>
      <c r="F3849" s="1363">
        <v>25</v>
      </c>
      <c r="G3849" s="1363">
        <v>0</v>
      </c>
      <c r="H3849" s="1363">
        <v>0</v>
      </c>
      <c r="I3849" s="1336">
        <f>ROUND(IF(AND(F3849:H3849),C3849*E3849*F3849*G3849*H3849,IF(AND(F3849,G3849),C3849*E3849*F3849*G3849,IF(AND(F3849,H3849),C3849*E3849*F3849*H3849,IF(AND(G3849,H3849),C3849*E3849*G3849*H3849,IF(F3849,C3849*E3849*F3849,IF(G3849,C3849*E3849*G3849,IF(H3849,C3849*E3849*H3849,C3849*E3849))))))),2)</f>
        <v>25</v>
      </c>
      <c r="J3849" s="1357" t="s">
        <v>277</v>
      </c>
      <c r="K3849" s="1169"/>
      <c r="L3849" s="1156"/>
      <c r="M3849" s="1169"/>
      <c r="N3849" s="1161" t="s">
        <v>2318</v>
      </c>
    </row>
    <row r="3850" spans="1:14" s="1170" customFormat="1" ht="16.5" hidden="1" customHeight="1">
      <c r="A3850" s="1156"/>
      <c r="B3850" s="1359" t="s">
        <v>3366</v>
      </c>
      <c r="C3850" s="1360">
        <v>1</v>
      </c>
      <c r="D3850" s="1361" t="s">
        <v>273</v>
      </c>
      <c r="E3850" s="1362">
        <v>1</v>
      </c>
      <c r="F3850" s="1363">
        <v>10</v>
      </c>
      <c r="G3850" s="1363">
        <v>0</v>
      </c>
      <c r="H3850" s="1363">
        <v>0</v>
      </c>
      <c r="I3850" s="1336">
        <f>ROUND(IF(AND(F3850:H3850),C3850*E3850*F3850*G3850*H3850,IF(AND(F3850,G3850),C3850*E3850*F3850*G3850,IF(AND(F3850,H3850),C3850*E3850*F3850*H3850,IF(AND(G3850,H3850),C3850*E3850*G3850*H3850,IF(F3850,C3850*E3850*F3850,IF(G3850,C3850*E3850*G3850,IF(H3850,C3850*E3850*H3850,C3850*E3850))))))),2)</f>
        <v>10</v>
      </c>
      <c r="J3850" s="1357" t="s">
        <v>277</v>
      </c>
      <c r="K3850" s="1169"/>
      <c r="L3850" s="1156"/>
      <c r="M3850" s="1169"/>
      <c r="N3850" s="1161" t="s">
        <v>2318</v>
      </c>
    </row>
    <row r="3851" spans="1:14" s="1170" customFormat="1" ht="16.5" hidden="1" customHeight="1">
      <c r="A3851" s="1156"/>
      <c r="B3851" s="1359" t="s">
        <v>586</v>
      </c>
      <c r="C3851" s="1360">
        <v>1</v>
      </c>
      <c r="D3851" s="1361" t="s">
        <v>273</v>
      </c>
      <c r="E3851" s="1362">
        <v>1</v>
      </c>
      <c r="F3851" s="1363">
        <v>10</v>
      </c>
      <c r="G3851" s="1363">
        <v>0</v>
      </c>
      <c r="H3851" s="1363">
        <v>0</v>
      </c>
      <c r="I3851" s="1336">
        <f>ROUND(IF(AND(F3851:H3851),C3851*E3851*F3851*G3851*H3851,IF(AND(F3851,G3851),C3851*E3851*F3851*G3851,IF(AND(F3851,H3851),C3851*E3851*F3851*H3851,IF(AND(G3851,H3851),C3851*E3851*G3851*H3851,IF(F3851,C3851*E3851*F3851,IF(G3851,C3851*E3851*G3851,IF(H3851,C3851*E3851*H3851,C3851*E3851))))))),2)</f>
        <v>10</v>
      </c>
      <c r="J3851" s="1357" t="s">
        <v>277</v>
      </c>
      <c r="K3851" s="1169"/>
      <c r="L3851" s="1156"/>
      <c r="M3851" s="1169"/>
      <c r="N3851" s="1161" t="s">
        <v>2318</v>
      </c>
    </row>
    <row r="3852" spans="1:14" s="1170" customFormat="1" ht="16.5" hidden="1" customHeight="1">
      <c r="A3852" s="1156"/>
      <c r="B3852" s="1359" t="s">
        <v>1494</v>
      </c>
      <c r="C3852" s="1360">
        <v>1</v>
      </c>
      <c r="D3852" s="1361" t="s">
        <v>273</v>
      </c>
      <c r="E3852" s="1362">
        <v>1</v>
      </c>
      <c r="F3852" s="1363">
        <v>10</v>
      </c>
      <c r="G3852" s="1363">
        <v>0</v>
      </c>
      <c r="H3852" s="1363">
        <v>0</v>
      </c>
      <c r="I3852" s="1336">
        <f>ROUND(IF(AND(F3852:H3852),C3852*E3852*F3852*G3852*H3852,IF(AND(F3852,G3852),C3852*E3852*F3852*G3852,IF(AND(F3852,H3852),C3852*E3852*F3852*H3852,IF(AND(G3852,H3852),C3852*E3852*G3852*H3852,IF(F3852,C3852*E3852*F3852,IF(G3852,C3852*E3852*G3852,IF(H3852,C3852*E3852*H3852,C3852*E3852))))))),2)</f>
        <v>10</v>
      </c>
      <c r="J3852" s="1357" t="s">
        <v>277</v>
      </c>
      <c r="K3852" s="1169"/>
      <c r="L3852" s="1156"/>
      <c r="M3852" s="1169"/>
      <c r="N3852" s="1161" t="s">
        <v>2318</v>
      </c>
    </row>
    <row r="3853" spans="1:14" s="1170" customFormat="1" ht="16.5" hidden="1" customHeight="1">
      <c r="A3853" s="1156"/>
      <c r="B3853" s="1359" t="s">
        <v>578</v>
      </c>
      <c r="C3853" s="1360">
        <v>1</v>
      </c>
      <c r="D3853" s="1361" t="s">
        <v>273</v>
      </c>
      <c r="E3853" s="1362">
        <v>1</v>
      </c>
      <c r="F3853" s="1363">
        <v>5</v>
      </c>
      <c r="G3853" s="1363">
        <v>0</v>
      </c>
      <c r="H3853" s="1363">
        <v>0</v>
      </c>
      <c r="I3853" s="1336">
        <f>ROUND(IF(AND(F3853:H3853),C3853*E3853*F3853*G3853*H3853,IF(AND(F3853,G3853),C3853*E3853*F3853*G3853,IF(AND(F3853,H3853),C3853*E3853*F3853*H3853,IF(AND(G3853,H3853),C3853*E3853*G3853*H3853,IF(F3853,C3853*E3853*F3853,IF(G3853,C3853*E3853*G3853,IF(H3853,C3853*E3853*H3853,C3853*E3853))))))),2)</f>
        <v>5</v>
      </c>
      <c r="J3853" s="1357" t="s">
        <v>277</v>
      </c>
      <c r="K3853" s="1169"/>
      <c r="L3853" s="1156"/>
      <c r="M3853" s="1169"/>
      <c r="N3853" s="1161" t="s">
        <v>2318</v>
      </c>
    </row>
    <row r="3854" spans="1:14" s="1170" customFormat="1" ht="16.5" hidden="1" customHeight="1">
      <c r="A3854" s="1156"/>
      <c r="B3854" s="1230"/>
      <c r="C3854" s="1332"/>
      <c r="D3854" s="1333"/>
      <c r="E3854" s="1334"/>
      <c r="F3854" s="1550"/>
      <c r="G3854" s="1335"/>
      <c r="H3854" s="1335"/>
      <c r="I3854" s="1336"/>
      <c r="J3854" s="1357"/>
      <c r="K3854" s="1169"/>
      <c r="L3854" s="1156"/>
      <c r="M3854" s="1169"/>
      <c r="N3854" s="1161" t="s">
        <v>2318</v>
      </c>
    </row>
    <row r="3855" spans="1:14" ht="15.75" hidden="1">
      <c r="A3855" s="1156"/>
      <c r="B3855" s="1169"/>
      <c r="C3855" s="1337"/>
      <c r="D3855" s="1171"/>
      <c r="E3855" s="1165"/>
      <c r="F3855" s="1166"/>
      <c r="G3855" s="1343"/>
      <c r="H3855" s="1156"/>
      <c r="I3855" s="1336"/>
      <c r="J3855" s="1357" t="s">
        <v>277</v>
      </c>
      <c r="K3855" s="1221">
        <f>'Ele Data'!I990</f>
        <v>79.48</v>
      </c>
      <c r="L3855" s="1159" t="s">
        <v>2318</v>
      </c>
      <c r="M3855" s="1224">
        <f>ROUND(I3855*K3855,0)</f>
        <v>0</v>
      </c>
      <c r="N3855" s="1161" t="s">
        <v>2318</v>
      </c>
    </row>
    <row r="3856" spans="1:14" ht="44.25" hidden="1" customHeight="1">
      <c r="A3856" s="1156">
        <v>52</v>
      </c>
      <c r="B3856" s="1826" t="s">
        <v>429</v>
      </c>
      <c r="C3856" s="1826"/>
      <c r="D3856" s="1826"/>
      <c r="E3856" s="1826"/>
      <c r="F3856" s="1826"/>
      <c r="G3856" s="1826"/>
      <c r="H3856" s="1826"/>
      <c r="I3856" s="1157"/>
      <c r="J3856" s="1158"/>
      <c r="K3856" s="1156"/>
      <c r="L3856" s="1156"/>
      <c r="M3856" s="1160"/>
      <c r="N3856" s="1161" t="s">
        <v>2318</v>
      </c>
    </row>
    <row r="3857" spans="1:14" s="1170" customFormat="1" ht="16.5" hidden="1" customHeight="1">
      <c r="A3857" s="1156"/>
      <c r="B3857" s="1169" t="s">
        <v>3726</v>
      </c>
      <c r="C3857" s="1351"/>
      <c r="D3857" s="1548" t="s">
        <v>3739</v>
      </c>
      <c r="E3857" s="1352"/>
      <c r="F3857" s="1234"/>
      <c r="G3857" s="1234"/>
      <c r="H3857" s="1235"/>
      <c r="I3857" s="1353"/>
      <c r="J3857" s="1357"/>
      <c r="K3857" s="1169"/>
      <c r="L3857" s="1156"/>
      <c r="M3857" s="1169"/>
      <c r="N3857" s="1161" t="s">
        <v>2318</v>
      </c>
    </row>
    <row r="3858" spans="1:14" s="1170" customFormat="1" ht="16.5" hidden="1" customHeight="1">
      <c r="A3858" s="1156"/>
      <c r="B3858" s="1359" t="s">
        <v>3359</v>
      </c>
      <c r="C3858" s="1360">
        <v>1</v>
      </c>
      <c r="D3858" s="1361" t="s">
        <v>273</v>
      </c>
      <c r="E3858" s="1362">
        <v>1</v>
      </c>
      <c r="F3858" s="1401">
        <v>30</v>
      </c>
      <c r="G3858" s="1363">
        <v>0</v>
      </c>
      <c r="H3858" s="1363">
        <v>0</v>
      </c>
      <c r="I3858" s="1336">
        <f t="shared" ref="I3858:I3860" si="199">ROUND(IF(AND(F3858:H3858),C3858*E3858*F3858*G3858*H3858,IF(AND(F3858,G3858),C3858*E3858*F3858*G3858,IF(AND(F3858,H3858),C3858*E3858*F3858*H3858,IF(AND(G3858,H3858),C3858*E3858*G3858*H3858,IF(F3858,C3858*E3858*F3858,IF(G3858,C3858*E3858*G3858,IF(H3858,C3858*E3858*H3858,C3858*E3858))))))),2)</f>
        <v>30</v>
      </c>
      <c r="J3858" s="1357" t="s">
        <v>277</v>
      </c>
      <c r="K3858" s="1169"/>
      <c r="L3858" s="1156"/>
      <c r="M3858" s="1169"/>
      <c r="N3858" s="1161" t="s">
        <v>2318</v>
      </c>
    </row>
    <row r="3859" spans="1:14" s="1170" customFormat="1" ht="16.5" hidden="1" customHeight="1">
      <c r="A3859" s="1156"/>
      <c r="B3859" s="1359" t="s">
        <v>3422</v>
      </c>
      <c r="C3859" s="1360">
        <v>1</v>
      </c>
      <c r="D3859" s="1361" t="s">
        <v>273</v>
      </c>
      <c r="E3859" s="1362">
        <v>1</v>
      </c>
      <c r="F3859" s="1401">
        <v>15</v>
      </c>
      <c r="G3859" s="1363">
        <v>0</v>
      </c>
      <c r="H3859" s="1363">
        <v>0</v>
      </c>
      <c r="I3859" s="1336">
        <f t="shared" si="199"/>
        <v>15</v>
      </c>
      <c r="J3859" s="1357" t="s">
        <v>277</v>
      </c>
      <c r="K3859" s="1169"/>
      <c r="L3859" s="1156"/>
      <c r="M3859" s="1169"/>
      <c r="N3859" s="1161" t="s">
        <v>2318</v>
      </c>
    </row>
    <row r="3860" spans="1:14" s="1170" customFormat="1" ht="16.5" hidden="1" customHeight="1">
      <c r="A3860" s="1156"/>
      <c r="B3860" s="1359" t="s">
        <v>3723</v>
      </c>
      <c r="C3860" s="1360">
        <v>1</v>
      </c>
      <c r="D3860" s="1361" t="s">
        <v>273</v>
      </c>
      <c r="E3860" s="1362">
        <v>1</v>
      </c>
      <c r="F3860" s="1401">
        <v>15</v>
      </c>
      <c r="G3860" s="1363">
        <v>0</v>
      </c>
      <c r="H3860" s="1363">
        <v>0</v>
      </c>
      <c r="I3860" s="1336">
        <f t="shared" si="199"/>
        <v>15</v>
      </c>
      <c r="J3860" s="1357" t="s">
        <v>277</v>
      </c>
      <c r="K3860" s="1169"/>
      <c r="L3860" s="1156"/>
      <c r="M3860" s="1169"/>
      <c r="N3860" s="1161" t="s">
        <v>2318</v>
      </c>
    </row>
    <row r="3861" spans="1:14" s="1170" customFormat="1" ht="16.5" hidden="1" customHeight="1">
      <c r="A3861" s="1156"/>
      <c r="B3861" s="1359"/>
      <c r="C3861" s="1332"/>
      <c r="D3861" s="1333"/>
      <c r="E3861" s="1334"/>
      <c r="F3861" s="1550"/>
      <c r="G3861" s="1335"/>
      <c r="H3861" s="1335"/>
      <c r="I3861" s="1336"/>
      <c r="J3861" s="1357"/>
      <c r="K3861" s="1169"/>
      <c r="L3861" s="1156"/>
      <c r="M3861" s="1169"/>
      <c r="N3861" s="1161" t="s">
        <v>2318</v>
      </c>
    </row>
    <row r="3862" spans="1:14" ht="15.75" hidden="1">
      <c r="A3862" s="1156"/>
      <c r="B3862" s="1169"/>
      <c r="C3862" s="1337"/>
      <c r="D3862" s="1171"/>
      <c r="E3862" s="1165"/>
      <c r="F3862" s="1166"/>
      <c r="G3862" s="1343"/>
      <c r="H3862" s="1156"/>
      <c r="I3862" s="1336"/>
      <c r="J3862" s="1357" t="s">
        <v>277</v>
      </c>
      <c r="K3862" s="1221">
        <f>'Ele Data'!I1008</f>
        <v>83.333500000000001</v>
      </c>
      <c r="L3862" s="1159" t="s">
        <v>2318</v>
      </c>
      <c r="M3862" s="1224">
        <f>ROUND(I3862*K3862,0)</f>
        <v>0</v>
      </c>
      <c r="N3862" s="1161" t="s">
        <v>2318</v>
      </c>
    </row>
    <row r="3863" spans="1:14" ht="44.25" hidden="1" customHeight="1">
      <c r="A3863" s="1156">
        <v>10</v>
      </c>
      <c r="B3863" s="1826" t="s">
        <v>430</v>
      </c>
      <c r="C3863" s="1826"/>
      <c r="D3863" s="1826"/>
      <c r="E3863" s="1826"/>
      <c r="F3863" s="1826"/>
      <c r="G3863" s="1826"/>
      <c r="H3863" s="1826"/>
      <c r="I3863" s="1157"/>
      <c r="J3863" s="1158"/>
      <c r="K3863" s="1156"/>
      <c r="L3863" s="1156"/>
      <c r="M3863" s="1160"/>
      <c r="N3863" s="1161" t="s">
        <v>2318</v>
      </c>
    </row>
    <row r="3864" spans="1:14" s="1170" customFormat="1" ht="16.5" hidden="1" customHeight="1">
      <c r="A3864" s="1156"/>
      <c r="B3864" s="1169" t="s">
        <v>3076</v>
      </c>
      <c r="C3864" s="1351"/>
      <c r="D3864" s="1418"/>
      <c r="E3864" s="1352"/>
      <c r="F3864" s="1234"/>
      <c r="G3864" s="1234"/>
      <c r="H3864" s="1235"/>
      <c r="I3864" s="1353"/>
      <c r="J3864" s="1357"/>
      <c r="K3864" s="1169"/>
      <c r="L3864" s="1156"/>
      <c r="M3864" s="1169"/>
      <c r="N3864" s="1161" t="s">
        <v>2318</v>
      </c>
    </row>
    <row r="3865" spans="1:14" s="1170" customFormat="1" ht="16.5" hidden="1" customHeight="1">
      <c r="A3865" s="1156"/>
      <c r="B3865" s="1230"/>
      <c r="C3865" s="1332">
        <v>1</v>
      </c>
      <c r="D3865" s="1333" t="s">
        <v>273</v>
      </c>
      <c r="E3865" s="1334">
        <v>1</v>
      </c>
      <c r="F3865" s="1550">
        <v>25</v>
      </c>
      <c r="G3865" s="1335">
        <v>0</v>
      </c>
      <c r="H3865" s="1335">
        <v>0</v>
      </c>
      <c r="I3865" s="1336">
        <f>ROUND(IF(AND(F3865:H3865),C3865*E3865*F3865*G3865*H3865,IF(AND(F3865,G3865),C3865*E3865*F3865*G3865,IF(AND(F3865,H3865),C3865*E3865*F3865*H3865,IF(AND(G3865,H3865),C3865*E3865*G3865*H3865,IF(F3865,C3865*E3865*F3865,IF(G3865,C3865*E3865*G3865,IF(H3865,C3865*E3865*H3865,C3865*E3865))))))),2)</f>
        <v>25</v>
      </c>
      <c r="J3865" s="1357" t="s">
        <v>277</v>
      </c>
      <c r="K3865" s="1169"/>
      <c r="L3865" s="1156"/>
      <c r="M3865" s="1169"/>
      <c r="N3865" s="1161" t="s">
        <v>2318</v>
      </c>
    </row>
    <row r="3866" spans="1:14" s="1170" customFormat="1" ht="16.5" hidden="1" customHeight="1">
      <c r="A3866" s="1156"/>
      <c r="B3866" s="1230"/>
      <c r="C3866" s="1332"/>
      <c r="D3866" s="1333"/>
      <c r="E3866" s="1334"/>
      <c r="F3866" s="1550"/>
      <c r="G3866" s="1335"/>
      <c r="H3866" s="1335"/>
      <c r="I3866" s="1336"/>
      <c r="J3866" s="1357"/>
      <c r="K3866" s="1169"/>
      <c r="L3866" s="1156"/>
      <c r="M3866" s="1169"/>
      <c r="N3866" s="1161" t="s">
        <v>2318</v>
      </c>
    </row>
    <row r="3867" spans="1:14" ht="15.75" hidden="1">
      <c r="A3867" s="1156"/>
      <c r="B3867" s="1169"/>
      <c r="C3867" s="1337"/>
      <c r="D3867" s="1171"/>
      <c r="E3867" s="1165"/>
      <c r="F3867" s="1166"/>
      <c r="G3867" s="1343"/>
      <c r="H3867" s="1156"/>
      <c r="I3867" s="1336"/>
      <c r="J3867" s="1357" t="s">
        <v>277</v>
      </c>
      <c r="K3867" s="1221">
        <f>'Ele Data'!I1018</f>
        <v>126.65</v>
      </c>
      <c r="L3867" s="1159" t="s">
        <v>2318</v>
      </c>
      <c r="M3867" s="1224">
        <f>ROUND(I3867*K3867,0)</f>
        <v>0</v>
      </c>
      <c r="N3867" s="1161" t="s">
        <v>2318</v>
      </c>
    </row>
    <row r="3868" spans="1:14" ht="44.25" hidden="1" customHeight="1">
      <c r="A3868" s="1156">
        <v>10</v>
      </c>
      <c r="B3868" s="1826" t="s">
        <v>882</v>
      </c>
      <c r="C3868" s="1826"/>
      <c r="D3868" s="1826"/>
      <c r="E3868" s="1826"/>
      <c r="F3868" s="1826"/>
      <c r="G3868" s="1826"/>
      <c r="H3868" s="1826"/>
      <c r="I3868" s="1157"/>
      <c r="J3868" s="1158"/>
      <c r="K3868" s="1156"/>
      <c r="L3868" s="1156"/>
      <c r="M3868" s="1160"/>
      <c r="N3868" s="1161" t="s">
        <v>2318</v>
      </c>
    </row>
    <row r="3869" spans="1:14" s="1170" customFormat="1" ht="16.5" hidden="1" customHeight="1">
      <c r="A3869" s="1156"/>
      <c r="B3869" s="1169" t="s">
        <v>3076</v>
      </c>
      <c r="C3869" s="1351"/>
      <c r="D3869" s="1418"/>
      <c r="E3869" s="1352"/>
      <c r="F3869" s="1234"/>
      <c r="G3869" s="1234"/>
      <c r="H3869" s="1235"/>
      <c r="I3869" s="1353"/>
      <c r="J3869" s="1357"/>
      <c r="K3869" s="1169"/>
      <c r="L3869" s="1156"/>
      <c r="M3869" s="1169"/>
      <c r="N3869" s="1161" t="s">
        <v>2318</v>
      </c>
    </row>
    <row r="3870" spans="1:14" s="1170" customFormat="1" ht="16.5" hidden="1" customHeight="1">
      <c r="A3870" s="1156"/>
      <c r="B3870" s="1230"/>
      <c r="C3870" s="1360">
        <v>1</v>
      </c>
      <c r="D3870" s="1361" t="s">
        <v>273</v>
      </c>
      <c r="E3870" s="1362">
        <v>1</v>
      </c>
      <c r="F3870" s="1401">
        <v>80</v>
      </c>
      <c r="G3870" s="1363">
        <v>0</v>
      </c>
      <c r="H3870" s="1363">
        <v>0</v>
      </c>
      <c r="I3870" s="1336">
        <f>ROUND(IF(AND(F3870:H3870),C3870*E3870*F3870*G3870*H3870,IF(AND(F3870,G3870),C3870*E3870*F3870*G3870,IF(AND(F3870,H3870),C3870*E3870*F3870*H3870,IF(AND(G3870,H3870),C3870*E3870*G3870*H3870,IF(F3870,C3870*E3870*F3870,IF(G3870,C3870*E3870*G3870,IF(H3870,C3870*E3870*H3870,C3870*E3870))))))),2)</f>
        <v>80</v>
      </c>
      <c r="J3870" s="1357" t="s">
        <v>277</v>
      </c>
      <c r="K3870" s="1169"/>
      <c r="L3870" s="1156"/>
      <c r="M3870" s="1169"/>
      <c r="N3870" s="1161" t="s">
        <v>2318</v>
      </c>
    </row>
    <row r="3871" spans="1:14" s="1170" customFormat="1" ht="16.5" hidden="1" customHeight="1">
      <c r="A3871" s="1156"/>
      <c r="B3871" s="1230"/>
      <c r="C3871" s="1360"/>
      <c r="D3871" s="1361"/>
      <c r="E3871" s="1362"/>
      <c r="F3871" s="1401"/>
      <c r="G3871" s="1363"/>
      <c r="H3871" s="1363"/>
      <c r="I3871" s="1336"/>
      <c r="J3871" s="1357"/>
      <c r="K3871" s="1169"/>
      <c r="L3871" s="1156"/>
      <c r="M3871" s="1169"/>
      <c r="N3871" s="1161" t="s">
        <v>2318</v>
      </c>
    </row>
    <row r="3872" spans="1:14" ht="15.75" hidden="1">
      <c r="A3872" s="1156"/>
      <c r="B3872" s="1169"/>
      <c r="C3872" s="1337"/>
      <c r="D3872" s="1171"/>
      <c r="E3872" s="1165"/>
      <c r="F3872" s="1166"/>
      <c r="G3872" s="1343"/>
      <c r="H3872" s="1156"/>
      <c r="I3872" s="1336"/>
      <c r="J3872" s="1357" t="s">
        <v>277</v>
      </c>
      <c r="K3872" s="1221">
        <f>'Ele Data'!I1029</f>
        <v>64.563000000000002</v>
      </c>
      <c r="L3872" s="1159" t="s">
        <v>2318</v>
      </c>
      <c r="M3872" s="1224">
        <f>ROUND(I3872*K3872,0)</f>
        <v>0</v>
      </c>
      <c r="N3872" s="1161" t="s">
        <v>2318</v>
      </c>
    </row>
    <row r="3873" spans="1:14" ht="22.5" hidden="1" customHeight="1">
      <c r="A3873" s="1156">
        <v>53</v>
      </c>
      <c r="B3873" s="1826" t="s">
        <v>437</v>
      </c>
      <c r="C3873" s="1826"/>
      <c r="D3873" s="1826"/>
      <c r="E3873" s="1826"/>
      <c r="F3873" s="1826"/>
      <c r="G3873" s="1826"/>
      <c r="H3873" s="1826"/>
      <c r="I3873" s="1157"/>
      <c r="J3873" s="1158"/>
      <c r="K3873" s="1156"/>
      <c r="L3873" s="1156"/>
      <c r="M3873" s="1160"/>
      <c r="N3873" s="1161" t="s">
        <v>2318</v>
      </c>
    </row>
    <row r="3874" spans="1:14" s="1170" customFormat="1" ht="16.5" hidden="1" customHeight="1">
      <c r="A3874" s="1156"/>
      <c r="B3874" s="1169" t="s">
        <v>3663</v>
      </c>
      <c r="C3874" s="1351"/>
      <c r="D3874" s="1548" t="s">
        <v>3739</v>
      </c>
      <c r="E3874" s="1352"/>
      <c r="F3874" s="1234"/>
      <c r="G3874" s="1234"/>
      <c r="H3874" s="1235"/>
      <c r="I3874" s="1353"/>
      <c r="J3874" s="1357"/>
      <c r="K3874" s="1169"/>
      <c r="L3874" s="1156"/>
      <c r="M3874" s="1169"/>
      <c r="N3874" s="1161" t="s">
        <v>2318</v>
      </c>
    </row>
    <row r="3875" spans="1:14" s="1170" customFormat="1" ht="16.5" hidden="1" customHeight="1">
      <c r="A3875" s="1156"/>
      <c r="B3875" s="1230"/>
      <c r="C3875" s="1360">
        <v>1</v>
      </c>
      <c r="D3875" s="1361" t="s">
        <v>273</v>
      </c>
      <c r="E3875" s="1362">
        <v>5</v>
      </c>
      <c r="F3875" s="1363">
        <v>0</v>
      </c>
      <c r="G3875" s="1363">
        <v>0</v>
      </c>
      <c r="H3875" s="1363">
        <v>0</v>
      </c>
      <c r="I3875" s="1421">
        <f t="shared" ref="I3875" si="200">ROUND(IF(AND(F3875:H3875),C3875*E3875*F3875*G3875*H3875,IF(AND(F3875,G3875),C3875*E3875*F3875*G3875,IF(AND(F3875,H3875),C3875*E3875*F3875*H3875,IF(AND(G3875,H3875),C3875*E3875*G3875*H3875,IF(F3875,C3875*E3875*F3875,IF(G3875,C3875*E3875*G3875,IF(H3875,C3875*E3875*H3875,C3875*E3875))))))),2)</f>
        <v>5</v>
      </c>
      <c r="J3875" s="1357" t="s">
        <v>115</v>
      </c>
      <c r="K3875" s="1169"/>
      <c r="L3875" s="1156"/>
      <c r="M3875" s="1169"/>
      <c r="N3875" s="1161" t="s">
        <v>2318</v>
      </c>
    </row>
    <row r="3876" spans="1:14" s="1170" customFormat="1" ht="16.5" hidden="1" customHeight="1">
      <c r="A3876" s="1156"/>
      <c r="B3876" s="1230"/>
      <c r="C3876" s="1332"/>
      <c r="D3876" s="1333"/>
      <c r="E3876" s="1334"/>
      <c r="F3876" s="1335"/>
      <c r="G3876" s="1335"/>
      <c r="H3876" s="1335"/>
      <c r="I3876" s="1421"/>
      <c r="J3876" s="1357"/>
      <c r="K3876" s="1169"/>
      <c r="L3876" s="1156"/>
      <c r="M3876" s="1169"/>
      <c r="N3876" s="1161" t="s">
        <v>2318</v>
      </c>
    </row>
    <row r="3877" spans="1:14" ht="15.75" hidden="1">
      <c r="A3877" s="1156"/>
      <c r="B3877" s="1169"/>
      <c r="C3877" s="1337"/>
      <c r="D3877" s="1171"/>
      <c r="E3877" s="1165"/>
      <c r="F3877" s="1166"/>
      <c r="G3877" s="1343"/>
      <c r="H3877" s="1156"/>
      <c r="I3877" s="1421"/>
      <c r="J3877" s="1357" t="s">
        <v>115</v>
      </c>
      <c r="K3877" s="1221">
        <f>'Ele Data'!I905</f>
        <v>209</v>
      </c>
      <c r="L3877" s="1159" t="s">
        <v>2318</v>
      </c>
      <c r="M3877" s="1224">
        <f>ROUND(I3877*K3877,0)</f>
        <v>0</v>
      </c>
      <c r="N3877" s="1161" t="s">
        <v>2318</v>
      </c>
    </row>
    <row r="3878" spans="1:14" ht="22.5" hidden="1" customHeight="1">
      <c r="A3878" s="1156">
        <v>54</v>
      </c>
      <c r="B3878" s="1826" t="s">
        <v>615</v>
      </c>
      <c r="C3878" s="1826"/>
      <c r="D3878" s="1826"/>
      <c r="E3878" s="1826"/>
      <c r="F3878" s="1826"/>
      <c r="G3878" s="1826"/>
      <c r="H3878" s="1826"/>
      <c r="I3878" s="1157"/>
      <c r="J3878" s="1158"/>
      <c r="K3878" s="1156"/>
      <c r="L3878" s="1156"/>
      <c r="M3878" s="1160"/>
      <c r="N3878" s="1161" t="s">
        <v>2318</v>
      </c>
    </row>
    <row r="3879" spans="1:14" s="1170" customFormat="1" ht="16.5" hidden="1" customHeight="1">
      <c r="A3879" s="1156"/>
      <c r="B3879" s="1169" t="s">
        <v>3663</v>
      </c>
      <c r="C3879" s="1351"/>
      <c r="D3879" s="1548" t="s">
        <v>3739</v>
      </c>
      <c r="E3879" s="1352"/>
      <c r="F3879" s="1234"/>
      <c r="G3879" s="1234"/>
      <c r="H3879" s="1235"/>
      <c r="I3879" s="1353"/>
      <c r="J3879" s="1357"/>
      <c r="K3879" s="1169"/>
      <c r="L3879" s="1156"/>
      <c r="M3879" s="1169"/>
      <c r="N3879" s="1161" t="s">
        <v>2318</v>
      </c>
    </row>
    <row r="3880" spans="1:14" s="1170" customFormat="1" ht="16.5" hidden="1" customHeight="1">
      <c r="A3880" s="1156"/>
      <c r="B3880" s="1230"/>
      <c r="C3880" s="1360">
        <v>1</v>
      </c>
      <c r="D3880" s="1361" t="s">
        <v>273</v>
      </c>
      <c r="E3880" s="1362">
        <v>6</v>
      </c>
      <c r="F3880" s="1363">
        <v>0</v>
      </c>
      <c r="G3880" s="1363">
        <v>0</v>
      </c>
      <c r="H3880" s="1363">
        <v>0</v>
      </c>
      <c r="I3880" s="1421">
        <f t="shared" ref="I3880" si="201">ROUND(IF(AND(F3880:H3880),C3880*E3880*F3880*G3880*H3880,IF(AND(F3880,G3880),C3880*E3880*F3880*G3880,IF(AND(F3880,H3880),C3880*E3880*F3880*H3880,IF(AND(G3880,H3880),C3880*E3880*G3880*H3880,IF(F3880,C3880*E3880*F3880,IF(G3880,C3880*E3880*G3880,IF(H3880,C3880*E3880*H3880,C3880*E3880))))))),2)</f>
        <v>6</v>
      </c>
      <c r="J3880" s="1357" t="s">
        <v>115</v>
      </c>
      <c r="K3880" s="1169"/>
      <c r="L3880" s="1156"/>
      <c r="M3880" s="1169"/>
      <c r="N3880" s="1161" t="s">
        <v>2318</v>
      </c>
    </row>
    <row r="3881" spans="1:14" s="1170" customFormat="1" ht="16.5" hidden="1" customHeight="1">
      <c r="A3881" s="1156"/>
      <c r="B3881" s="1230"/>
      <c r="C3881" s="1332"/>
      <c r="D3881" s="1333"/>
      <c r="E3881" s="1334"/>
      <c r="F3881" s="1335"/>
      <c r="G3881" s="1335"/>
      <c r="H3881" s="1335"/>
      <c r="I3881" s="1421"/>
      <c r="J3881" s="1357"/>
      <c r="K3881" s="1169"/>
      <c r="L3881" s="1156"/>
      <c r="M3881" s="1169"/>
      <c r="N3881" s="1161" t="s">
        <v>2318</v>
      </c>
    </row>
    <row r="3882" spans="1:14" ht="15.75" hidden="1">
      <c r="A3882" s="1156"/>
      <c r="B3882" s="1169"/>
      <c r="C3882" s="1337"/>
      <c r="D3882" s="1171"/>
      <c r="E3882" s="1165"/>
      <c r="F3882" s="1166"/>
      <c r="G3882" s="1343"/>
      <c r="H3882" s="1156"/>
      <c r="I3882" s="1421"/>
      <c r="J3882" s="1357" t="s">
        <v>115</v>
      </c>
      <c r="K3882" s="1221">
        <f>'Ele Data'!I908</f>
        <v>171</v>
      </c>
      <c r="L3882" s="1159" t="s">
        <v>2318</v>
      </c>
      <c r="M3882" s="1224">
        <f>ROUND(I3882*K3882,0)</f>
        <v>0</v>
      </c>
      <c r="N3882" s="1161" t="s">
        <v>2318</v>
      </c>
    </row>
    <row r="3883" spans="1:14" ht="22.5" hidden="1" customHeight="1">
      <c r="A3883" s="1156">
        <v>13</v>
      </c>
      <c r="B3883" s="1826" t="s">
        <v>694</v>
      </c>
      <c r="C3883" s="1826"/>
      <c r="D3883" s="1826"/>
      <c r="E3883" s="1826"/>
      <c r="F3883" s="1826"/>
      <c r="G3883" s="1826"/>
      <c r="H3883" s="1826"/>
      <c r="I3883" s="1157"/>
      <c r="J3883" s="1158"/>
      <c r="K3883" s="1156"/>
      <c r="L3883" s="1156"/>
      <c r="M3883" s="1160"/>
      <c r="N3883" s="1161" t="s">
        <v>2318</v>
      </c>
    </row>
    <row r="3884" spans="1:14" s="1170" customFormat="1" ht="16.5" hidden="1" customHeight="1">
      <c r="A3884" s="1156"/>
      <c r="B3884" s="1169" t="s">
        <v>2356</v>
      </c>
      <c r="C3884" s="1351"/>
      <c r="D3884" s="1418"/>
      <c r="E3884" s="1352"/>
      <c r="F3884" s="1234"/>
      <c r="G3884" s="1234"/>
      <c r="H3884" s="1235"/>
      <c r="I3884" s="1353"/>
      <c r="J3884" s="1357"/>
      <c r="K3884" s="1169"/>
      <c r="L3884" s="1156"/>
      <c r="M3884" s="1169"/>
      <c r="N3884" s="1161" t="s">
        <v>2318</v>
      </c>
    </row>
    <row r="3885" spans="1:14" s="1170" customFormat="1" ht="16.5" hidden="1" customHeight="1">
      <c r="A3885" s="1156"/>
      <c r="B3885" s="1230" t="s">
        <v>2087</v>
      </c>
      <c r="C3885" s="1332">
        <v>1</v>
      </c>
      <c r="D3885" s="1333" t="s">
        <v>273</v>
      </c>
      <c r="E3885" s="1334">
        <v>14</v>
      </c>
      <c r="F3885" s="1335">
        <v>0</v>
      </c>
      <c r="G3885" s="1335">
        <v>0</v>
      </c>
      <c r="H3885" s="1335">
        <v>0</v>
      </c>
      <c r="I3885" s="1421">
        <f>ROUND(IF(AND(F3885:H3885),C3885*E3885*F3885*G3885*H3885,IF(AND(F3885,G3885),C3885*E3885*F3885*G3885,IF(AND(F3885,H3885),C3885*E3885*F3885*H3885,IF(AND(G3885,H3885),C3885*E3885*G3885*H3885,IF(F3885,C3885*E3885*F3885,IF(G3885,C3885*E3885*G3885,IF(H3885,C3885*E3885*H3885,C3885*E3885))))))),2)</f>
        <v>14</v>
      </c>
      <c r="J3885" s="1357" t="s">
        <v>115</v>
      </c>
      <c r="K3885" s="1169"/>
      <c r="L3885" s="1156"/>
      <c r="M3885" s="1169"/>
      <c r="N3885" s="1161" t="s">
        <v>2318</v>
      </c>
    </row>
    <row r="3886" spans="1:14" s="1170" customFormat="1" ht="16.5" hidden="1" customHeight="1">
      <c r="A3886" s="1156"/>
      <c r="B3886" s="1230"/>
      <c r="C3886" s="1332"/>
      <c r="D3886" s="1333"/>
      <c r="E3886" s="1334"/>
      <c r="F3886" s="1335"/>
      <c r="G3886" s="1335"/>
      <c r="H3886" s="1335"/>
      <c r="I3886" s="1336"/>
      <c r="J3886" s="1357"/>
      <c r="K3886" s="1169"/>
      <c r="L3886" s="1156"/>
      <c r="M3886" s="1169"/>
      <c r="N3886" s="1161" t="s">
        <v>2318</v>
      </c>
    </row>
    <row r="3887" spans="1:14" ht="15.75" hidden="1">
      <c r="A3887" s="1156"/>
      <c r="B3887" s="1169"/>
      <c r="C3887" s="1337"/>
      <c r="D3887" s="1171"/>
      <c r="E3887" s="1165"/>
      <c r="F3887" s="1166"/>
      <c r="G3887" s="1343"/>
      <c r="H3887" s="1156"/>
      <c r="I3887" s="1421"/>
      <c r="J3887" s="1357" t="s">
        <v>115</v>
      </c>
      <c r="K3887" s="1221">
        <f>'Ele Data'!I911</f>
        <v>132</v>
      </c>
      <c r="L3887" s="1159" t="s">
        <v>2318</v>
      </c>
      <c r="M3887" s="1224">
        <f>ROUND(I3887*K3887,0)</f>
        <v>0</v>
      </c>
      <c r="N3887" s="1161" t="s">
        <v>2318</v>
      </c>
    </row>
    <row r="3888" spans="1:14" ht="15" hidden="1" customHeight="1">
      <c r="A3888" s="1156">
        <v>14</v>
      </c>
      <c r="B3888" s="1826" t="s">
        <v>617</v>
      </c>
      <c r="C3888" s="1826"/>
      <c r="D3888" s="1826"/>
      <c r="E3888" s="1826"/>
      <c r="F3888" s="1826"/>
      <c r="G3888" s="1826"/>
      <c r="H3888" s="1826"/>
      <c r="I3888" s="1157"/>
      <c r="J3888" s="1158"/>
      <c r="K3888" s="1156"/>
      <c r="L3888" s="1156"/>
      <c r="M3888" s="1160"/>
      <c r="N3888" s="1161" t="s">
        <v>2318</v>
      </c>
    </row>
    <row r="3889" spans="1:14" s="1170" customFormat="1" ht="16.5" hidden="1" customHeight="1">
      <c r="A3889" s="1156"/>
      <c r="B3889" s="1230" t="s">
        <v>607</v>
      </c>
      <c r="C3889" s="1351"/>
      <c r="D3889" s="1418"/>
      <c r="E3889" s="1352"/>
      <c r="F3889" s="1234"/>
      <c r="G3889" s="1234"/>
      <c r="H3889" s="1235"/>
      <c r="I3889" s="1353"/>
      <c r="J3889" s="1357"/>
      <c r="K3889" s="1169"/>
      <c r="L3889" s="1156"/>
      <c r="M3889" s="1169"/>
      <c r="N3889" s="1161" t="s">
        <v>2318</v>
      </c>
    </row>
    <row r="3890" spans="1:14" s="1170" customFormat="1" ht="16.5" hidden="1" customHeight="1">
      <c r="A3890" s="1156"/>
      <c r="B3890" s="1230" t="s">
        <v>1217</v>
      </c>
      <c r="C3890" s="1332">
        <v>2</v>
      </c>
      <c r="D3890" s="1333" t="s">
        <v>273</v>
      </c>
      <c r="E3890" s="1334">
        <v>1</v>
      </c>
      <c r="F3890" s="1335">
        <v>0</v>
      </c>
      <c r="G3890" s="1335">
        <v>0</v>
      </c>
      <c r="H3890" s="1335">
        <v>0</v>
      </c>
      <c r="I3890" s="1421">
        <f>ROUND(IF(AND(F3890:H3890),C3890*E3890*F3890*G3890*H3890,IF(AND(F3890,G3890),C3890*E3890*F3890*G3890,IF(AND(F3890,H3890),C3890*E3890*F3890*H3890,IF(AND(G3890,H3890),C3890*E3890*G3890*H3890,IF(F3890,C3890*E3890*F3890,IF(G3890,C3890*E3890*G3890,IF(H3890,C3890*E3890*H3890,C3890*E3890))))))),2)</f>
        <v>2</v>
      </c>
      <c r="J3890" s="1357" t="s">
        <v>115</v>
      </c>
      <c r="K3890" s="1169"/>
      <c r="L3890" s="1156"/>
      <c r="M3890" s="1169"/>
      <c r="N3890" s="1161" t="s">
        <v>2318</v>
      </c>
    </row>
    <row r="3891" spans="1:14" s="1170" customFormat="1" ht="16.5" hidden="1" customHeight="1">
      <c r="A3891" s="1156"/>
      <c r="B3891" s="1230"/>
      <c r="C3891" s="1332"/>
      <c r="D3891" s="1333"/>
      <c r="E3891" s="1334"/>
      <c r="F3891" s="1335"/>
      <c r="G3891" s="1335"/>
      <c r="H3891" s="1335"/>
      <c r="I3891" s="1421"/>
      <c r="J3891" s="1357"/>
      <c r="K3891" s="1169"/>
      <c r="L3891" s="1156"/>
      <c r="M3891" s="1169"/>
      <c r="N3891" s="1161" t="s">
        <v>2318</v>
      </c>
    </row>
    <row r="3892" spans="1:14" ht="15.75" hidden="1">
      <c r="A3892" s="1156"/>
      <c r="B3892" s="1169"/>
      <c r="C3892" s="1337"/>
      <c r="D3892" s="1171"/>
      <c r="E3892" s="1165"/>
      <c r="F3892" s="1166"/>
      <c r="G3892" s="1343"/>
      <c r="H3892" s="1156"/>
      <c r="I3892" s="1421"/>
      <c r="J3892" s="1357" t="s">
        <v>115</v>
      </c>
      <c r="K3892" s="1221">
        <f>'Ele Data'!I918</f>
        <v>341</v>
      </c>
      <c r="L3892" s="1159" t="s">
        <v>2318</v>
      </c>
      <c r="M3892" s="1224">
        <f>ROUND(I3892*K3892,0)</f>
        <v>0</v>
      </c>
      <c r="N3892" s="1161" t="s">
        <v>2318</v>
      </c>
    </row>
    <row r="3893" spans="1:14" ht="22.5" hidden="1" customHeight="1">
      <c r="A3893" s="1156">
        <v>14</v>
      </c>
      <c r="B3893" s="1826" t="s">
        <v>792</v>
      </c>
      <c r="C3893" s="1826"/>
      <c r="D3893" s="1826"/>
      <c r="E3893" s="1826"/>
      <c r="F3893" s="1826"/>
      <c r="G3893" s="1826"/>
      <c r="H3893" s="1826"/>
      <c r="I3893" s="1157"/>
      <c r="J3893" s="1158"/>
      <c r="K3893" s="1156"/>
      <c r="L3893" s="1156"/>
      <c r="M3893" s="1160"/>
      <c r="N3893" s="1161" t="s">
        <v>2318</v>
      </c>
    </row>
    <row r="3894" spans="1:14" s="1170" customFormat="1" ht="16.5" hidden="1" customHeight="1">
      <c r="A3894" s="1156"/>
      <c r="B3894" s="1169" t="s">
        <v>2356</v>
      </c>
      <c r="C3894" s="1351"/>
      <c r="D3894" s="1418"/>
      <c r="E3894" s="1352"/>
      <c r="F3894" s="1234"/>
      <c r="G3894" s="1234"/>
      <c r="H3894" s="1235"/>
      <c r="I3894" s="1353"/>
      <c r="J3894" s="1357"/>
      <c r="K3894" s="1169"/>
      <c r="L3894" s="1156"/>
      <c r="M3894" s="1169"/>
      <c r="N3894" s="1161" t="s">
        <v>2318</v>
      </c>
    </row>
    <row r="3895" spans="1:14" s="1170" customFormat="1" ht="16.5" hidden="1" customHeight="1">
      <c r="A3895" s="1156"/>
      <c r="B3895" s="1230" t="s">
        <v>2087</v>
      </c>
      <c r="C3895" s="1332">
        <v>1</v>
      </c>
      <c r="D3895" s="1333" t="s">
        <v>273</v>
      </c>
      <c r="E3895" s="1334">
        <v>3</v>
      </c>
      <c r="F3895" s="1335">
        <v>0</v>
      </c>
      <c r="G3895" s="1335">
        <v>0</v>
      </c>
      <c r="H3895" s="1335">
        <v>0</v>
      </c>
      <c r="I3895" s="1421">
        <f>ROUND(IF(AND(F3895:H3895),C3895*E3895*F3895*G3895*H3895,IF(AND(F3895,G3895),C3895*E3895*F3895*G3895,IF(AND(F3895,H3895),C3895*E3895*F3895*H3895,IF(AND(G3895,H3895),C3895*E3895*G3895*H3895,IF(F3895,C3895*E3895*F3895,IF(G3895,C3895*E3895*G3895,IF(H3895,C3895*E3895*H3895,C3895*E3895))))))),2)</f>
        <v>3</v>
      </c>
      <c r="J3895" s="1357" t="s">
        <v>115</v>
      </c>
      <c r="K3895" s="1169"/>
      <c r="L3895" s="1156"/>
      <c r="M3895" s="1169"/>
      <c r="N3895" s="1161" t="s">
        <v>2318</v>
      </c>
    </row>
    <row r="3896" spans="1:14" s="1170" customFormat="1" ht="16.5" hidden="1" customHeight="1">
      <c r="A3896" s="1156"/>
      <c r="B3896" s="1230"/>
      <c r="C3896" s="1332"/>
      <c r="D3896" s="1333"/>
      <c r="E3896" s="1334"/>
      <c r="F3896" s="1335"/>
      <c r="G3896" s="1335"/>
      <c r="H3896" s="1335"/>
      <c r="I3896" s="1421"/>
      <c r="J3896" s="1357"/>
      <c r="K3896" s="1169"/>
      <c r="L3896" s="1156"/>
      <c r="M3896" s="1169"/>
      <c r="N3896" s="1161" t="s">
        <v>2318</v>
      </c>
    </row>
    <row r="3897" spans="1:14" ht="15.75" hidden="1">
      <c r="A3897" s="1156"/>
      <c r="B3897" s="1169"/>
      <c r="C3897" s="1337"/>
      <c r="D3897" s="1171"/>
      <c r="E3897" s="1165"/>
      <c r="F3897" s="1166"/>
      <c r="G3897" s="1343"/>
      <c r="H3897" s="1156"/>
      <c r="I3897" s="1421"/>
      <c r="J3897" s="1357" t="s">
        <v>115</v>
      </c>
      <c r="K3897" s="1221">
        <f>'Ele Data'!I914</f>
        <v>88</v>
      </c>
      <c r="L3897" s="1159" t="s">
        <v>2318</v>
      </c>
      <c r="M3897" s="1224">
        <f>ROUND(I3897*K3897,0)</f>
        <v>0</v>
      </c>
      <c r="N3897" s="1161" t="s">
        <v>2318</v>
      </c>
    </row>
    <row r="3898" spans="1:14" ht="22.5" hidden="1" customHeight="1">
      <c r="A3898" s="1156">
        <v>16</v>
      </c>
      <c r="B3898" s="1826" t="s">
        <v>439</v>
      </c>
      <c r="C3898" s="1826"/>
      <c r="D3898" s="1826"/>
      <c r="E3898" s="1826"/>
      <c r="F3898" s="1826"/>
      <c r="G3898" s="1826"/>
      <c r="H3898" s="1826"/>
      <c r="I3898" s="1157"/>
      <c r="J3898" s="1158"/>
      <c r="K3898" s="1156"/>
      <c r="L3898" s="1156"/>
      <c r="M3898" s="1160"/>
      <c r="N3898" s="1161" t="s">
        <v>2318</v>
      </c>
    </row>
    <row r="3899" spans="1:14" s="1170" customFormat="1" ht="16.5" hidden="1" customHeight="1">
      <c r="A3899" s="1156"/>
      <c r="B3899" s="1169" t="s">
        <v>2107</v>
      </c>
      <c r="C3899" s="1351"/>
      <c r="D3899" s="1418"/>
      <c r="E3899" s="1352"/>
      <c r="F3899" s="1234"/>
      <c r="G3899" s="1234"/>
      <c r="H3899" s="1235"/>
      <c r="I3899" s="1353"/>
      <c r="J3899" s="1357"/>
      <c r="K3899" s="1169"/>
      <c r="L3899" s="1156"/>
      <c r="M3899" s="1169"/>
      <c r="N3899" s="1161" t="s">
        <v>2318</v>
      </c>
    </row>
    <row r="3900" spans="1:14" s="1170" customFormat="1" ht="16.5" hidden="1" customHeight="1">
      <c r="A3900" s="1156"/>
      <c r="B3900" s="1230" t="s">
        <v>2087</v>
      </c>
      <c r="C3900" s="1332">
        <v>1</v>
      </c>
      <c r="D3900" s="1333" t="s">
        <v>273</v>
      </c>
      <c r="E3900" s="1334">
        <v>12</v>
      </c>
      <c r="F3900" s="1335">
        <v>0</v>
      </c>
      <c r="G3900" s="1335">
        <v>0</v>
      </c>
      <c r="H3900" s="1335">
        <v>0</v>
      </c>
      <c r="I3900" s="1421">
        <f>ROUND(IF(AND(F3900:H3900),C3900*E3900*F3900*G3900*H3900,IF(AND(F3900,G3900),C3900*E3900*F3900*G3900,IF(AND(F3900,H3900),C3900*E3900*F3900*H3900,IF(AND(G3900,H3900),C3900*E3900*G3900*H3900,IF(F3900,C3900*E3900*F3900,IF(G3900,C3900*E3900*G3900,IF(H3900,C3900*E3900*H3900,C3900*E3900))))))),2)</f>
        <v>12</v>
      </c>
      <c r="J3900" s="1357" t="s">
        <v>115</v>
      </c>
      <c r="K3900" s="1169"/>
      <c r="L3900" s="1156"/>
      <c r="M3900" s="1169"/>
      <c r="N3900" s="1161" t="s">
        <v>2318</v>
      </c>
    </row>
    <row r="3901" spans="1:14" s="1170" customFormat="1" ht="16.5" hidden="1" customHeight="1">
      <c r="A3901" s="1156"/>
      <c r="B3901" s="1230"/>
      <c r="C3901" s="1332"/>
      <c r="D3901" s="1333"/>
      <c r="E3901" s="1334"/>
      <c r="F3901" s="1335"/>
      <c r="G3901" s="1335"/>
      <c r="H3901" s="1335"/>
      <c r="I3901" s="1336"/>
      <c r="J3901" s="1357"/>
      <c r="K3901" s="1169"/>
      <c r="L3901" s="1156"/>
      <c r="M3901" s="1169"/>
      <c r="N3901" s="1161" t="s">
        <v>2318</v>
      </c>
    </row>
    <row r="3902" spans="1:14" ht="15.75" hidden="1">
      <c r="A3902" s="1156"/>
      <c r="B3902" s="1169"/>
      <c r="C3902" s="1337"/>
      <c r="D3902" s="1171"/>
      <c r="E3902" s="1165"/>
      <c r="F3902" s="1166"/>
      <c r="G3902" s="1343"/>
      <c r="H3902" s="1156"/>
      <c r="I3902" s="1421"/>
      <c r="J3902" s="1357" t="s">
        <v>115</v>
      </c>
      <c r="K3902" s="1221">
        <f>'Ele Data'!I921</f>
        <v>66</v>
      </c>
      <c r="L3902" s="1159" t="s">
        <v>2318</v>
      </c>
      <c r="M3902" s="1224">
        <f>ROUND(I3902*K3902,0)</f>
        <v>0</v>
      </c>
      <c r="N3902" s="1161" t="s">
        <v>2318</v>
      </c>
    </row>
    <row r="3903" spans="1:14" ht="43.5" hidden="1" customHeight="1">
      <c r="A3903" s="1156">
        <v>17</v>
      </c>
      <c r="B3903" s="1826" t="s">
        <v>1238</v>
      </c>
      <c r="C3903" s="1826"/>
      <c r="D3903" s="1826"/>
      <c r="E3903" s="1826"/>
      <c r="F3903" s="1826"/>
      <c r="G3903" s="1826"/>
      <c r="H3903" s="1826"/>
      <c r="I3903" s="1157"/>
      <c r="J3903" s="1158"/>
      <c r="K3903" s="1156"/>
      <c r="L3903" s="1156"/>
      <c r="M3903" s="1160"/>
      <c r="N3903" s="1161" t="s">
        <v>2318</v>
      </c>
    </row>
    <row r="3904" spans="1:14" s="1170" customFormat="1" ht="16.5" hidden="1" customHeight="1">
      <c r="A3904" s="1156"/>
      <c r="B3904" s="1169" t="s">
        <v>2107</v>
      </c>
      <c r="C3904" s="1351"/>
      <c r="D3904" s="1418"/>
      <c r="E3904" s="1352"/>
      <c r="F3904" s="1234"/>
      <c r="G3904" s="1234"/>
      <c r="H3904" s="1235"/>
      <c r="I3904" s="1353"/>
      <c r="J3904" s="1357"/>
      <c r="K3904" s="1169"/>
      <c r="L3904" s="1156"/>
      <c r="M3904" s="1169"/>
      <c r="N3904" s="1161" t="s">
        <v>2318</v>
      </c>
    </row>
    <row r="3905" spans="1:14" s="1170" customFormat="1" ht="16.5" hidden="1" customHeight="1">
      <c r="A3905" s="1156"/>
      <c r="B3905" s="1230" t="s">
        <v>2195</v>
      </c>
      <c r="C3905" s="1360">
        <v>1</v>
      </c>
      <c r="D3905" s="1361" t="s">
        <v>273</v>
      </c>
      <c r="E3905" s="1362">
        <v>17</v>
      </c>
      <c r="F3905" s="1363">
        <v>0</v>
      </c>
      <c r="G3905" s="1363">
        <v>0</v>
      </c>
      <c r="H3905" s="1363">
        <v>0</v>
      </c>
      <c r="I3905" s="1421">
        <f>ROUND(IF(AND(F3905:H3905),C3905*E3905*F3905*G3905*H3905,IF(AND(F3905,G3905),C3905*E3905*F3905*G3905,IF(AND(F3905,H3905),C3905*E3905*F3905*H3905,IF(AND(G3905,H3905),C3905*E3905*G3905*H3905,IF(F3905,C3905*E3905*F3905,IF(G3905,C3905*E3905*G3905,IF(H3905,C3905*E3905*H3905,C3905*E3905))))))),2)</f>
        <v>17</v>
      </c>
      <c r="J3905" s="1357" t="s">
        <v>115</v>
      </c>
      <c r="K3905" s="1169"/>
      <c r="L3905" s="1156"/>
      <c r="M3905" s="1169"/>
      <c r="N3905" s="1161" t="s">
        <v>2318</v>
      </c>
    </row>
    <row r="3906" spans="1:14" s="1170" customFormat="1" ht="16.5" hidden="1" customHeight="1">
      <c r="A3906" s="1156"/>
      <c r="B3906" s="1230"/>
      <c r="C3906" s="1332"/>
      <c r="D3906" s="1333"/>
      <c r="E3906" s="1334"/>
      <c r="F3906" s="1335"/>
      <c r="G3906" s="1335"/>
      <c r="H3906" s="1335"/>
      <c r="I3906" s="1336"/>
      <c r="J3906" s="1357"/>
      <c r="K3906" s="1169"/>
      <c r="L3906" s="1156"/>
      <c r="M3906" s="1169"/>
      <c r="N3906" s="1161" t="s">
        <v>2318</v>
      </c>
    </row>
    <row r="3907" spans="1:14" ht="15.75" hidden="1">
      <c r="A3907" s="1156"/>
      <c r="B3907" s="1169"/>
      <c r="C3907" s="1337"/>
      <c r="D3907" s="1171"/>
      <c r="E3907" s="1165"/>
      <c r="F3907" s="1166"/>
      <c r="G3907" s="1343"/>
      <c r="H3907" s="1156"/>
      <c r="I3907" s="1421"/>
      <c r="J3907" s="1357" t="s">
        <v>115</v>
      </c>
      <c r="K3907" s="1221">
        <f>'Ele Data'!I970</f>
        <v>422.5</v>
      </c>
      <c r="L3907" s="1159" t="s">
        <v>2318</v>
      </c>
      <c r="M3907" s="1224">
        <f>ROUND(I3907*K3907,0)</f>
        <v>0</v>
      </c>
      <c r="N3907" s="1161" t="s">
        <v>2318</v>
      </c>
    </row>
    <row r="3908" spans="1:14" ht="43.5" hidden="1" customHeight="1">
      <c r="A3908" s="1156">
        <v>55</v>
      </c>
      <c r="B3908" s="1826" t="s">
        <v>432</v>
      </c>
      <c r="C3908" s="1826"/>
      <c r="D3908" s="1826"/>
      <c r="E3908" s="1826"/>
      <c r="F3908" s="1826"/>
      <c r="G3908" s="1826"/>
      <c r="H3908" s="1826"/>
      <c r="I3908" s="1157"/>
      <c r="J3908" s="1158"/>
      <c r="K3908" s="1156"/>
      <c r="L3908" s="1156"/>
      <c r="M3908" s="1160"/>
      <c r="N3908" s="1161" t="s">
        <v>2318</v>
      </c>
    </row>
    <row r="3909" spans="1:14" s="1170" customFormat="1" ht="16.5" hidden="1" customHeight="1">
      <c r="A3909" s="1156"/>
      <c r="B3909" s="1169" t="s">
        <v>3663</v>
      </c>
      <c r="C3909" s="1351"/>
      <c r="D3909" s="1548" t="s">
        <v>3739</v>
      </c>
      <c r="E3909" s="1352"/>
      <c r="F3909" s="1234"/>
      <c r="G3909" s="1234"/>
      <c r="H3909" s="1235"/>
      <c r="I3909" s="1353"/>
      <c r="J3909" s="1357"/>
      <c r="K3909" s="1169"/>
      <c r="L3909" s="1156"/>
      <c r="M3909" s="1169"/>
      <c r="N3909" s="1161" t="s">
        <v>2318</v>
      </c>
    </row>
    <row r="3910" spans="1:14" s="1170" customFormat="1" ht="16.5" hidden="1" customHeight="1">
      <c r="A3910" s="1156"/>
      <c r="B3910" s="1230" t="s">
        <v>3664</v>
      </c>
      <c r="C3910" s="1360">
        <v>1</v>
      </c>
      <c r="D3910" s="1361" t="s">
        <v>273</v>
      </c>
      <c r="E3910" s="1362">
        <v>23</v>
      </c>
      <c r="F3910" s="1363">
        <v>0</v>
      </c>
      <c r="G3910" s="1363">
        <v>0</v>
      </c>
      <c r="H3910" s="1363">
        <v>0</v>
      </c>
      <c r="I3910" s="1421">
        <f t="shared" ref="I3910" si="202">ROUND(IF(AND(F3910:H3910),C3910*E3910*F3910*G3910*H3910,IF(AND(F3910,G3910),C3910*E3910*F3910*G3910,IF(AND(F3910,H3910),C3910*E3910*F3910*H3910,IF(AND(G3910,H3910),C3910*E3910*G3910*H3910,IF(F3910,C3910*E3910*F3910,IF(G3910,C3910*E3910*G3910,IF(H3910,C3910*E3910*H3910,C3910*E3910))))))),2)</f>
        <v>23</v>
      </c>
      <c r="J3910" s="1357" t="s">
        <v>115</v>
      </c>
      <c r="K3910" s="1169"/>
      <c r="L3910" s="1156"/>
      <c r="M3910" s="1169"/>
      <c r="N3910" s="1161" t="s">
        <v>2318</v>
      </c>
    </row>
    <row r="3911" spans="1:14" s="1170" customFormat="1" ht="16.5" hidden="1" customHeight="1">
      <c r="A3911" s="1156"/>
      <c r="B3911" s="1230"/>
      <c r="C3911" s="1332"/>
      <c r="D3911" s="1333"/>
      <c r="E3911" s="1334"/>
      <c r="F3911" s="1335"/>
      <c r="G3911" s="1335"/>
      <c r="H3911" s="1335"/>
      <c r="I3911" s="1421"/>
      <c r="J3911" s="1357"/>
      <c r="K3911" s="1169"/>
      <c r="L3911" s="1156"/>
      <c r="M3911" s="1169"/>
      <c r="N3911" s="1161" t="s">
        <v>2318</v>
      </c>
    </row>
    <row r="3912" spans="1:14" ht="15.75" hidden="1">
      <c r="A3912" s="1156"/>
      <c r="B3912" s="1169"/>
      <c r="C3912" s="1337"/>
      <c r="D3912" s="1171"/>
      <c r="E3912" s="1165"/>
      <c r="F3912" s="1166"/>
      <c r="G3912" s="1343"/>
      <c r="H3912" s="1156"/>
      <c r="I3912" s="1421"/>
      <c r="J3912" s="1357" t="s">
        <v>115</v>
      </c>
      <c r="K3912" s="1221">
        <f>'Ele Data'!I961</f>
        <v>125.73500000000001</v>
      </c>
      <c r="L3912" s="1159" t="s">
        <v>2318</v>
      </c>
      <c r="M3912" s="1224">
        <f>ROUND(I3912*K3912,0)</f>
        <v>0</v>
      </c>
      <c r="N3912" s="1161" t="s">
        <v>2318</v>
      </c>
    </row>
    <row r="3913" spans="1:14" ht="43.5" hidden="1" customHeight="1">
      <c r="A3913" s="1156">
        <v>18</v>
      </c>
      <c r="B3913" s="1826" t="s">
        <v>620</v>
      </c>
      <c r="C3913" s="1826"/>
      <c r="D3913" s="1826"/>
      <c r="E3913" s="1826"/>
      <c r="F3913" s="1826"/>
      <c r="G3913" s="1826"/>
      <c r="H3913" s="1826"/>
      <c r="I3913" s="1157"/>
      <c r="J3913" s="1158"/>
      <c r="K3913" s="1156"/>
      <c r="L3913" s="1156"/>
      <c r="M3913" s="1160"/>
      <c r="N3913" s="1161" t="s">
        <v>2318</v>
      </c>
    </row>
    <row r="3914" spans="1:14" s="1170" customFormat="1" ht="16.5" hidden="1" customHeight="1">
      <c r="A3914" s="1156"/>
      <c r="B3914" s="1230" t="s">
        <v>607</v>
      </c>
      <c r="C3914" s="1351"/>
      <c r="D3914" s="1418"/>
      <c r="E3914" s="1352"/>
      <c r="F3914" s="1234"/>
      <c r="G3914" s="1234"/>
      <c r="H3914" s="1235"/>
      <c r="I3914" s="1353"/>
      <c r="J3914" s="1357"/>
      <c r="K3914" s="1169"/>
      <c r="L3914" s="1156"/>
      <c r="M3914" s="1169"/>
      <c r="N3914" s="1161" t="s">
        <v>2318</v>
      </c>
    </row>
    <row r="3915" spans="1:14" s="1170" customFormat="1" ht="16.5" hidden="1" customHeight="1">
      <c r="A3915" s="1156"/>
      <c r="B3915" s="1230"/>
      <c r="C3915" s="1332">
        <v>1</v>
      </c>
      <c r="D3915" s="1333" t="s">
        <v>273</v>
      </c>
      <c r="E3915" s="1334">
        <v>4</v>
      </c>
      <c r="F3915" s="1335">
        <v>0</v>
      </c>
      <c r="G3915" s="1335">
        <v>0</v>
      </c>
      <c r="H3915" s="1335">
        <v>0</v>
      </c>
      <c r="I3915" s="1421">
        <f>ROUND(IF(AND(F3915:H3915),C3915*E3915*F3915*G3915*H3915,IF(AND(F3915,G3915),C3915*E3915*F3915*G3915,IF(AND(F3915,H3915),C3915*E3915*F3915*H3915,IF(AND(G3915,H3915),C3915*E3915*G3915*H3915,IF(F3915,C3915*E3915*F3915,IF(G3915,C3915*E3915*G3915,IF(H3915,C3915*E3915*H3915,C3915*E3915))))))),2)</f>
        <v>4</v>
      </c>
      <c r="J3915" s="1357" t="s">
        <v>115</v>
      </c>
      <c r="K3915" s="1169"/>
      <c r="L3915" s="1156"/>
      <c r="M3915" s="1169"/>
      <c r="N3915" s="1161" t="s">
        <v>2318</v>
      </c>
    </row>
    <row r="3916" spans="1:14" s="1170" customFormat="1" ht="16.5" hidden="1" customHeight="1">
      <c r="A3916" s="1156"/>
      <c r="B3916" s="1230"/>
      <c r="C3916" s="1332"/>
      <c r="D3916" s="1333"/>
      <c r="E3916" s="1334"/>
      <c r="F3916" s="1335"/>
      <c r="G3916" s="1335"/>
      <c r="H3916" s="1335"/>
      <c r="I3916" s="1421"/>
      <c r="J3916" s="1357"/>
      <c r="K3916" s="1169"/>
      <c r="L3916" s="1156"/>
      <c r="M3916" s="1169"/>
      <c r="N3916" s="1161" t="s">
        <v>2318</v>
      </c>
    </row>
    <row r="3917" spans="1:14" ht="15.75" hidden="1">
      <c r="A3917" s="1156"/>
      <c r="B3917" s="1169"/>
      <c r="C3917" s="1337"/>
      <c r="D3917" s="1171"/>
      <c r="E3917" s="1165"/>
      <c r="F3917" s="1166"/>
      <c r="G3917" s="1343"/>
      <c r="H3917" s="1156"/>
      <c r="I3917" s="1421"/>
      <c r="J3917" s="1357" t="s">
        <v>115</v>
      </c>
      <c r="K3917" s="1221">
        <f>'Ele Data'!I978</f>
        <v>119.73500000000001</v>
      </c>
      <c r="L3917" s="1159" t="s">
        <v>2318</v>
      </c>
      <c r="M3917" s="1224">
        <f>ROUND(I3917*K3917,0)</f>
        <v>0</v>
      </c>
      <c r="N3917" s="1161" t="s">
        <v>2318</v>
      </c>
    </row>
    <row r="3918" spans="1:14" ht="19.5" hidden="1" customHeight="1">
      <c r="A3918" s="1156">
        <v>19</v>
      </c>
      <c r="B3918" s="1826" t="s">
        <v>624</v>
      </c>
      <c r="C3918" s="1826"/>
      <c r="D3918" s="1826"/>
      <c r="E3918" s="1826"/>
      <c r="F3918" s="1826"/>
      <c r="G3918" s="1826"/>
      <c r="H3918" s="1826"/>
      <c r="I3918" s="1157"/>
      <c r="J3918" s="1158"/>
      <c r="K3918" s="1156"/>
      <c r="L3918" s="1156"/>
      <c r="M3918" s="1160"/>
      <c r="N3918" s="1161" t="s">
        <v>2318</v>
      </c>
    </row>
    <row r="3919" spans="1:14" s="1170" customFormat="1" ht="16.5" hidden="1" customHeight="1">
      <c r="A3919" s="1156"/>
      <c r="B3919" s="1169" t="s">
        <v>2107</v>
      </c>
      <c r="C3919" s="1351"/>
      <c r="D3919" s="1418"/>
      <c r="E3919" s="1352"/>
      <c r="F3919" s="1234"/>
      <c r="G3919" s="1234"/>
      <c r="H3919" s="1235"/>
      <c r="I3919" s="1353"/>
      <c r="J3919" s="1357"/>
      <c r="K3919" s="1169"/>
      <c r="L3919" s="1156"/>
      <c r="M3919" s="1169"/>
      <c r="N3919" s="1161" t="s">
        <v>2318</v>
      </c>
    </row>
    <row r="3920" spans="1:14" s="1170" customFormat="1" ht="16.5" hidden="1" customHeight="1">
      <c r="A3920" s="1156"/>
      <c r="B3920" s="1230" t="s">
        <v>2087</v>
      </c>
      <c r="C3920" s="1332">
        <v>1</v>
      </c>
      <c r="D3920" s="1333" t="s">
        <v>273</v>
      </c>
      <c r="E3920" s="1334">
        <v>7</v>
      </c>
      <c r="F3920" s="1335">
        <v>0</v>
      </c>
      <c r="G3920" s="1335">
        <v>0</v>
      </c>
      <c r="H3920" s="1335">
        <v>0</v>
      </c>
      <c r="I3920" s="1421">
        <f>ROUND(IF(AND(F3920:H3920),C3920*E3920*F3920*G3920*H3920,IF(AND(F3920,G3920),C3920*E3920*F3920*G3920,IF(AND(F3920,H3920),C3920*E3920*F3920*H3920,IF(AND(G3920,H3920),C3920*E3920*G3920*H3920,IF(F3920,C3920*E3920*F3920,IF(G3920,C3920*E3920*G3920,IF(H3920,C3920*E3920*H3920,C3920*E3920))))))),2)</f>
        <v>7</v>
      </c>
      <c r="J3920" s="1357" t="s">
        <v>115</v>
      </c>
      <c r="K3920" s="1169"/>
      <c r="L3920" s="1156"/>
      <c r="M3920" s="1169"/>
      <c r="N3920" s="1161" t="s">
        <v>2318</v>
      </c>
    </row>
    <row r="3921" spans="1:14" s="1170" customFormat="1" ht="16.5" hidden="1" customHeight="1">
      <c r="A3921" s="1156"/>
      <c r="B3921" s="1230"/>
      <c r="C3921" s="1332"/>
      <c r="D3921" s="1333"/>
      <c r="E3921" s="1334"/>
      <c r="F3921" s="1335"/>
      <c r="G3921" s="1335"/>
      <c r="H3921" s="1335"/>
      <c r="I3921" s="1336"/>
      <c r="J3921" s="1357"/>
      <c r="K3921" s="1169"/>
      <c r="L3921" s="1156"/>
      <c r="M3921" s="1169"/>
      <c r="N3921" s="1161" t="s">
        <v>2318</v>
      </c>
    </row>
    <row r="3922" spans="1:14" ht="15.75" hidden="1">
      <c r="A3922" s="1156"/>
      <c r="B3922" s="1169"/>
      <c r="C3922" s="1337"/>
      <c r="D3922" s="1171"/>
      <c r="E3922" s="1165"/>
      <c r="F3922" s="1166"/>
      <c r="G3922" s="1343"/>
      <c r="H3922" s="1156"/>
      <c r="I3922" s="1421"/>
      <c r="J3922" s="1357" t="s">
        <v>115</v>
      </c>
      <c r="K3922" s="1221">
        <f>'Ele Data'!I925</f>
        <v>21</v>
      </c>
      <c r="L3922" s="1159" t="s">
        <v>2318</v>
      </c>
      <c r="M3922" s="1224">
        <f>ROUND(I3922*K3922,0)</f>
        <v>0</v>
      </c>
      <c r="N3922" s="1161" t="s">
        <v>2318</v>
      </c>
    </row>
    <row r="3923" spans="1:14" ht="30" hidden="1" customHeight="1">
      <c r="A3923" s="1156">
        <v>56</v>
      </c>
      <c r="B3923" s="1826" t="s">
        <v>1268</v>
      </c>
      <c r="C3923" s="1826"/>
      <c r="D3923" s="1826"/>
      <c r="E3923" s="1826"/>
      <c r="F3923" s="1826"/>
      <c r="G3923" s="1826"/>
      <c r="H3923" s="1826"/>
      <c r="I3923" s="1157"/>
      <c r="J3923" s="1158"/>
      <c r="K3923" s="1156"/>
      <c r="L3923" s="1156"/>
      <c r="M3923" s="1160"/>
      <c r="N3923" s="1161" t="s">
        <v>2318</v>
      </c>
    </row>
    <row r="3924" spans="1:14" s="1170" customFormat="1" ht="16.5" hidden="1" customHeight="1">
      <c r="A3924" s="1156"/>
      <c r="B3924" s="1169" t="s">
        <v>3727</v>
      </c>
      <c r="C3924" s="1351"/>
      <c r="D3924" s="1548" t="s">
        <v>3739</v>
      </c>
      <c r="E3924" s="1352"/>
      <c r="F3924" s="1234"/>
      <c r="G3924" s="1234"/>
      <c r="H3924" s="1235"/>
      <c r="I3924" s="1353"/>
      <c r="J3924" s="1357"/>
      <c r="K3924" s="1169"/>
      <c r="L3924" s="1156"/>
      <c r="M3924" s="1169"/>
      <c r="N3924" s="1161" t="s">
        <v>2318</v>
      </c>
    </row>
    <row r="3925" spans="1:14" s="1170" customFormat="1" ht="16.5" hidden="1" customHeight="1">
      <c r="A3925" s="1156"/>
      <c r="B3925" s="1230"/>
      <c r="C3925" s="1568">
        <v>1</v>
      </c>
      <c r="D3925" s="1361" t="s">
        <v>273</v>
      </c>
      <c r="E3925" s="1362">
        <v>8</v>
      </c>
      <c r="F3925" s="1363">
        <v>0</v>
      </c>
      <c r="G3925" s="1363">
        <v>0</v>
      </c>
      <c r="H3925" s="1363">
        <v>0</v>
      </c>
      <c r="I3925" s="1421">
        <f t="shared" ref="I3925" si="203">ROUND(IF(AND(F3925:H3925),C3925*E3925*F3925*G3925*H3925,IF(AND(F3925,G3925),C3925*E3925*F3925*G3925,IF(AND(F3925,H3925),C3925*E3925*F3925*H3925,IF(AND(G3925,H3925),C3925*E3925*G3925*H3925,IF(F3925,C3925*E3925*F3925,IF(G3925,C3925*E3925*G3925,IF(H3925,C3925*E3925*H3925,C3925*E3925))))))),2)</f>
        <v>8</v>
      </c>
      <c r="J3925" s="1357" t="s">
        <v>115</v>
      </c>
      <c r="K3925" s="1169"/>
      <c r="L3925" s="1156"/>
      <c r="M3925" s="1169"/>
      <c r="N3925" s="1161" t="s">
        <v>2318</v>
      </c>
    </row>
    <row r="3926" spans="1:14" s="1170" customFormat="1" ht="16.5" hidden="1" customHeight="1">
      <c r="A3926" s="1156"/>
      <c r="B3926" s="1230"/>
      <c r="C3926" s="1332"/>
      <c r="D3926" s="1333"/>
      <c r="E3926" s="1334"/>
      <c r="F3926" s="1335"/>
      <c r="G3926" s="1335"/>
      <c r="H3926" s="1335"/>
      <c r="I3926" s="1421"/>
      <c r="J3926" s="1357"/>
      <c r="K3926" s="1169"/>
      <c r="L3926" s="1156"/>
      <c r="M3926" s="1169"/>
      <c r="N3926" s="1161" t="s">
        <v>2318</v>
      </c>
    </row>
    <row r="3927" spans="1:14" ht="15.75" hidden="1">
      <c r="A3927" s="1156"/>
      <c r="B3927" s="1169"/>
      <c r="C3927" s="1337"/>
      <c r="D3927" s="1171"/>
      <c r="E3927" s="1165"/>
      <c r="F3927" s="1166"/>
      <c r="G3927" s="1343"/>
      <c r="H3927" s="1156"/>
      <c r="I3927" s="1421"/>
      <c r="J3927" s="1357" t="s">
        <v>115</v>
      </c>
      <c r="K3927" s="1221">
        <f>'Ele Data'!I1038</f>
        <v>127.25</v>
      </c>
      <c r="L3927" s="1159" t="s">
        <v>2318</v>
      </c>
      <c r="M3927" s="1224">
        <f>ROUND(I3927*K3927,0)</f>
        <v>0</v>
      </c>
      <c r="N3927" s="1161" t="s">
        <v>2318</v>
      </c>
    </row>
    <row r="3928" spans="1:14" ht="43.5" hidden="1" customHeight="1">
      <c r="A3928" s="1156">
        <v>57</v>
      </c>
      <c r="B3928" s="1826" t="s">
        <v>2082</v>
      </c>
      <c r="C3928" s="1826"/>
      <c r="D3928" s="1826"/>
      <c r="E3928" s="1826"/>
      <c r="F3928" s="1826"/>
      <c r="G3928" s="1826"/>
      <c r="H3928" s="1826"/>
      <c r="I3928" s="1157"/>
      <c r="J3928" s="1158"/>
      <c r="K3928" s="1156"/>
      <c r="L3928" s="1156"/>
      <c r="M3928" s="1160"/>
      <c r="N3928" s="1161" t="s">
        <v>2318</v>
      </c>
    </row>
    <row r="3929" spans="1:14" s="1170" customFormat="1" ht="16.5" hidden="1" customHeight="1">
      <c r="A3929" s="1156"/>
      <c r="B3929" s="1169" t="s">
        <v>3665</v>
      </c>
      <c r="C3929" s="1351"/>
      <c r="D3929" s="1548" t="s">
        <v>3739</v>
      </c>
      <c r="E3929" s="1352"/>
      <c r="F3929" s="1234"/>
      <c r="G3929" s="1234"/>
      <c r="H3929" s="1235"/>
      <c r="I3929" s="1353"/>
      <c r="J3929" s="1357"/>
      <c r="K3929" s="1169"/>
      <c r="L3929" s="1156"/>
      <c r="M3929" s="1169"/>
      <c r="N3929" s="1161" t="s">
        <v>2318</v>
      </c>
    </row>
    <row r="3930" spans="1:14" s="1170" customFormat="1" ht="16.5" hidden="1" customHeight="1">
      <c r="A3930" s="1156"/>
      <c r="B3930" s="1230"/>
      <c r="C3930" s="1360">
        <v>1</v>
      </c>
      <c r="D3930" s="1361" t="s">
        <v>273</v>
      </c>
      <c r="E3930" s="1362">
        <v>9</v>
      </c>
      <c r="F3930" s="1363">
        <v>0</v>
      </c>
      <c r="G3930" s="1363">
        <v>0</v>
      </c>
      <c r="H3930" s="1363">
        <v>0</v>
      </c>
      <c r="I3930" s="1421">
        <f t="shared" ref="I3930" si="204">ROUND(IF(AND(F3930:H3930),C3930*E3930*F3930*G3930*H3930,IF(AND(F3930,G3930),C3930*E3930*F3930*G3930,IF(AND(F3930,H3930),C3930*E3930*F3930*H3930,IF(AND(G3930,H3930),C3930*E3930*G3930*H3930,IF(F3930,C3930*E3930*F3930,IF(G3930,C3930*E3930*G3930,IF(H3930,C3930*E3930*H3930,C3930*E3930))))))),2)</f>
        <v>9</v>
      </c>
      <c r="J3930" s="1357" t="s">
        <v>115</v>
      </c>
      <c r="K3930" s="1169"/>
      <c r="L3930" s="1156"/>
      <c r="M3930" s="1169"/>
      <c r="N3930" s="1161" t="s">
        <v>2318</v>
      </c>
    </row>
    <row r="3931" spans="1:14" s="1170" customFormat="1" ht="16.5" hidden="1" customHeight="1">
      <c r="A3931" s="1156"/>
      <c r="B3931" s="1230"/>
      <c r="C3931" s="1332"/>
      <c r="D3931" s="1333"/>
      <c r="E3931" s="1334"/>
      <c r="F3931" s="1335"/>
      <c r="G3931" s="1335"/>
      <c r="H3931" s="1335"/>
      <c r="I3931" s="1421"/>
      <c r="J3931" s="1357"/>
      <c r="K3931" s="1169"/>
      <c r="L3931" s="1156"/>
      <c r="M3931" s="1169"/>
      <c r="N3931" s="1161" t="s">
        <v>2318</v>
      </c>
    </row>
    <row r="3932" spans="1:14" ht="17.25" hidden="1" customHeight="1">
      <c r="A3932" s="1156"/>
      <c r="B3932" s="1169"/>
      <c r="C3932" s="1337"/>
      <c r="D3932" s="1171"/>
      <c r="E3932" s="1165"/>
      <c r="F3932" s="1166"/>
      <c r="G3932" s="1343"/>
      <c r="H3932" s="1156"/>
      <c r="I3932" s="1421"/>
      <c r="J3932" s="1357" t="s">
        <v>115</v>
      </c>
      <c r="K3932" s="1221">
        <f>'Ele Data'!I1048</f>
        <v>3312.1849999999999</v>
      </c>
      <c r="L3932" s="1159" t="s">
        <v>2318</v>
      </c>
      <c r="M3932" s="1224">
        <f>ROUND(I3932*K3932,0)</f>
        <v>0</v>
      </c>
      <c r="N3932" s="1161" t="s">
        <v>2318</v>
      </c>
    </row>
    <row r="3933" spans="1:14" ht="21" hidden="1" customHeight="1">
      <c r="A3933" s="1156">
        <v>18</v>
      </c>
      <c r="B3933" s="1826" t="s">
        <v>1574</v>
      </c>
      <c r="C3933" s="1826"/>
      <c r="D3933" s="1826"/>
      <c r="E3933" s="1826"/>
      <c r="F3933" s="1826"/>
      <c r="G3933" s="1826"/>
      <c r="H3933" s="1826"/>
      <c r="I3933" s="1157"/>
      <c r="J3933" s="1158"/>
      <c r="K3933" s="1156"/>
      <c r="L3933" s="1156"/>
      <c r="M3933" s="1160"/>
      <c r="N3933" s="1161" t="s">
        <v>2318</v>
      </c>
    </row>
    <row r="3934" spans="1:14" s="1170" customFormat="1" ht="16.5" hidden="1" customHeight="1">
      <c r="A3934" s="1156"/>
      <c r="B3934" s="1169" t="s">
        <v>2347</v>
      </c>
      <c r="C3934" s="1351"/>
      <c r="D3934" s="1418"/>
      <c r="E3934" s="1352"/>
      <c r="F3934" s="1234"/>
      <c r="G3934" s="1234"/>
      <c r="H3934" s="1235"/>
      <c r="I3934" s="1353"/>
      <c r="J3934" s="1357"/>
      <c r="K3934" s="1169"/>
      <c r="L3934" s="1156"/>
      <c r="M3934" s="1169"/>
      <c r="N3934" s="1161" t="s">
        <v>2318</v>
      </c>
    </row>
    <row r="3935" spans="1:14" s="1170" customFormat="1" ht="16.5" hidden="1" customHeight="1">
      <c r="A3935" s="1156"/>
      <c r="B3935" s="1230"/>
      <c r="C3935" s="1360">
        <v>1</v>
      </c>
      <c r="D3935" s="1361" t="s">
        <v>273</v>
      </c>
      <c r="E3935" s="1362">
        <v>12</v>
      </c>
      <c r="F3935" s="1363">
        <v>0</v>
      </c>
      <c r="G3935" s="1363">
        <v>0</v>
      </c>
      <c r="H3935" s="1363">
        <v>0</v>
      </c>
      <c r="I3935" s="1421">
        <f>ROUND(IF(AND(F3935:H3935),C3935*E3935*F3935*G3935*H3935,IF(AND(F3935,G3935),C3935*E3935*F3935*G3935,IF(AND(F3935,H3935),C3935*E3935*F3935*H3935,IF(AND(G3935,H3935),C3935*E3935*G3935*H3935,IF(F3935,C3935*E3935*F3935,IF(G3935,C3935*E3935*G3935,IF(H3935,C3935*E3935*H3935,C3935*E3935))))))),2)</f>
        <v>12</v>
      </c>
      <c r="J3935" s="1357" t="s">
        <v>115</v>
      </c>
      <c r="K3935" s="1169"/>
      <c r="L3935" s="1156"/>
      <c r="M3935" s="1169"/>
      <c r="N3935" s="1161" t="s">
        <v>2318</v>
      </c>
    </row>
    <row r="3936" spans="1:14" s="1170" customFormat="1" ht="16.5" hidden="1" customHeight="1">
      <c r="A3936" s="1156"/>
      <c r="B3936" s="1230"/>
      <c r="C3936" s="1332"/>
      <c r="D3936" s="1333"/>
      <c r="E3936" s="1334"/>
      <c r="F3936" s="1335"/>
      <c r="G3936" s="1335"/>
      <c r="H3936" s="1335"/>
      <c r="I3936" s="1336"/>
      <c r="J3936" s="1357"/>
      <c r="K3936" s="1169"/>
      <c r="L3936" s="1156"/>
      <c r="M3936" s="1169"/>
      <c r="N3936" s="1161" t="s">
        <v>2318</v>
      </c>
    </row>
    <row r="3937" spans="1:14" ht="15.75" hidden="1">
      <c r="A3937" s="1156"/>
      <c r="B3937" s="1169"/>
      <c r="C3937" s="1337"/>
      <c r="D3937" s="1171"/>
      <c r="E3937" s="1165"/>
      <c r="F3937" s="1166"/>
      <c r="G3937" s="1343"/>
      <c r="H3937" s="1156"/>
      <c r="I3937" s="1421"/>
      <c r="J3937" s="1357" t="s">
        <v>115</v>
      </c>
      <c r="K3937" s="1221">
        <f>'Ele Data'!I1075</f>
        <v>230.73000000000002</v>
      </c>
      <c r="L3937" s="1159" t="s">
        <v>2318</v>
      </c>
      <c r="M3937" s="1224">
        <f>ROUND(I3937*K3937,0)</f>
        <v>0</v>
      </c>
      <c r="N3937" s="1161" t="s">
        <v>2318</v>
      </c>
    </row>
    <row r="3938" spans="1:14" ht="43.5" hidden="1" customHeight="1">
      <c r="A3938" s="1156">
        <v>19</v>
      </c>
      <c r="B3938" s="1826" t="s">
        <v>946</v>
      </c>
      <c r="C3938" s="1826"/>
      <c r="D3938" s="1826"/>
      <c r="E3938" s="1826"/>
      <c r="F3938" s="1826"/>
      <c r="G3938" s="1826"/>
      <c r="H3938" s="1826"/>
      <c r="I3938" s="1157"/>
      <c r="J3938" s="1158"/>
      <c r="K3938" s="1156"/>
      <c r="L3938" s="1156"/>
      <c r="M3938" s="1160"/>
      <c r="N3938" s="1161" t="s">
        <v>2318</v>
      </c>
    </row>
    <row r="3939" spans="1:14" s="1170" customFormat="1" ht="16.5" hidden="1" customHeight="1">
      <c r="A3939" s="1156"/>
      <c r="B3939" s="1169" t="s">
        <v>3077</v>
      </c>
      <c r="C3939" s="1351"/>
      <c r="D3939" s="1418"/>
      <c r="E3939" s="1352"/>
      <c r="F3939" s="1234"/>
      <c r="G3939" s="1234"/>
      <c r="H3939" s="1235"/>
      <c r="I3939" s="1353"/>
      <c r="J3939" s="1357"/>
      <c r="K3939" s="1169"/>
      <c r="L3939" s="1156"/>
      <c r="M3939" s="1169"/>
      <c r="N3939" s="1161" t="s">
        <v>2318</v>
      </c>
    </row>
    <row r="3940" spans="1:14" s="1170" customFormat="1" ht="16.5" hidden="1" customHeight="1">
      <c r="A3940" s="1156"/>
      <c r="B3940" s="1230" t="s">
        <v>3073</v>
      </c>
      <c r="C3940" s="1332">
        <v>1</v>
      </c>
      <c r="D3940" s="1333" t="s">
        <v>273</v>
      </c>
      <c r="E3940" s="1334">
        <v>1</v>
      </c>
      <c r="F3940" s="1335">
        <v>0</v>
      </c>
      <c r="G3940" s="1335">
        <v>0</v>
      </c>
      <c r="H3940" s="1335">
        <v>0</v>
      </c>
      <c r="I3940" s="1421">
        <f t="shared" ref="I3940:I3947" si="205">ROUND(IF(AND(F3940:H3940),C3940*E3940*F3940*G3940*H3940,IF(AND(F3940,G3940),C3940*E3940*F3940*G3940,IF(AND(F3940,H3940),C3940*E3940*F3940*H3940,IF(AND(G3940,H3940),C3940*E3940*G3940*H3940,IF(F3940,C3940*E3940*F3940,IF(G3940,C3940*E3940*G3940,IF(H3940,C3940*E3940*H3940,C3940*E3940))))))),2)</f>
        <v>1</v>
      </c>
      <c r="J3940" s="1357" t="s">
        <v>115</v>
      </c>
      <c r="K3940" s="1169"/>
      <c r="L3940" s="1156"/>
      <c r="M3940" s="1169"/>
      <c r="N3940" s="1161" t="s">
        <v>2318</v>
      </c>
    </row>
    <row r="3941" spans="1:14" s="1170" customFormat="1" ht="16.5" hidden="1" customHeight="1">
      <c r="A3941" s="1156"/>
      <c r="B3941" s="1230" t="s">
        <v>3074</v>
      </c>
      <c r="C3941" s="1332">
        <v>1</v>
      </c>
      <c r="D3941" s="1333" t="s">
        <v>273</v>
      </c>
      <c r="E3941" s="1334">
        <v>1</v>
      </c>
      <c r="F3941" s="1335">
        <v>0</v>
      </c>
      <c r="G3941" s="1335">
        <v>0</v>
      </c>
      <c r="H3941" s="1335">
        <v>0</v>
      </c>
      <c r="I3941" s="1421">
        <f t="shared" si="205"/>
        <v>1</v>
      </c>
      <c r="J3941" s="1357" t="s">
        <v>115</v>
      </c>
      <c r="K3941" s="1169"/>
      <c r="L3941" s="1156"/>
      <c r="M3941" s="1169"/>
      <c r="N3941" s="1161" t="s">
        <v>2318</v>
      </c>
    </row>
    <row r="3942" spans="1:14" s="1170" customFormat="1" ht="16.5" hidden="1" customHeight="1">
      <c r="A3942" s="1156"/>
      <c r="B3942" s="1230" t="s">
        <v>799</v>
      </c>
      <c r="C3942" s="1332">
        <v>1</v>
      </c>
      <c r="D3942" s="1333" t="s">
        <v>273</v>
      </c>
      <c r="E3942" s="1334">
        <v>6</v>
      </c>
      <c r="F3942" s="1335">
        <v>0</v>
      </c>
      <c r="G3942" s="1335">
        <v>0</v>
      </c>
      <c r="H3942" s="1335">
        <v>0</v>
      </c>
      <c r="I3942" s="1421">
        <f t="shared" si="205"/>
        <v>6</v>
      </c>
      <c r="J3942" s="1357" t="s">
        <v>115</v>
      </c>
      <c r="K3942" s="1169"/>
      <c r="L3942" s="1156"/>
      <c r="M3942" s="1169"/>
      <c r="N3942" s="1161" t="s">
        <v>2318</v>
      </c>
    </row>
    <row r="3943" spans="1:14" s="1170" customFormat="1" ht="16.5" hidden="1" customHeight="1">
      <c r="A3943" s="1156"/>
      <c r="B3943" s="1230" t="s">
        <v>3075</v>
      </c>
      <c r="C3943" s="1332">
        <v>1</v>
      </c>
      <c r="D3943" s="1333" t="s">
        <v>273</v>
      </c>
      <c r="E3943" s="1334">
        <v>1</v>
      </c>
      <c r="F3943" s="1335">
        <v>0</v>
      </c>
      <c r="G3943" s="1335">
        <v>0</v>
      </c>
      <c r="H3943" s="1335">
        <v>0</v>
      </c>
      <c r="I3943" s="1421">
        <f t="shared" si="205"/>
        <v>1</v>
      </c>
      <c r="J3943" s="1357" t="s">
        <v>115</v>
      </c>
      <c r="K3943" s="1169"/>
      <c r="L3943" s="1156"/>
      <c r="M3943" s="1169"/>
      <c r="N3943" s="1161" t="s">
        <v>2318</v>
      </c>
    </row>
    <row r="3944" spans="1:14" s="1170" customFormat="1" ht="16.5" hidden="1" customHeight="1">
      <c r="A3944" s="1156"/>
      <c r="B3944" s="1230" t="s">
        <v>2362</v>
      </c>
      <c r="C3944" s="1332">
        <v>1</v>
      </c>
      <c r="D3944" s="1333" t="s">
        <v>273</v>
      </c>
      <c r="E3944" s="1334">
        <v>1</v>
      </c>
      <c r="F3944" s="1335">
        <v>0</v>
      </c>
      <c r="G3944" s="1335">
        <v>0</v>
      </c>
      <c r="H3944" s="1335">
        <v>0</v>
      </c>
      <c r="I3944" s="1421">
        <f t="shared" si="205"/>
        <v>1</v>
      </c>
      <c r="J3944" s="1357" t="s">
        <v>115</v>
      </c>
      <c r="K3944" s="1169"/>
      <c r="L3944" s="1156"/>
      <c r="M3944" s="1169"/>
      <c r="N3944" s="1161" t="s">
        <v>2318</v>
      </c>
    </row>
    <row r="3945" spans="1:14" s="1170" customFormat="1" ht="16.5" hidden="1" customHeight="1">
      <c r="A3945" s="1156"/>
      <c r="B3945" s="1230" t="s">
        <v>3078</v>
      </c>
      <c r="C3945" s="1332">
        <v>1</v>
      </c>
      <c r="D3945" s="1333" t="s">
        <v>273</v>
      </c>
      <c r="E3945" s="1334">
        <v>1</v>
      </c>
      <c r="F3945" s="1335">
        <v>0</v>
      </c>
      <c r="G3945" s="1335">
        <v>0</v>
      </c>
      <c r="H3945" s="1335">
        <v>0</v>
      </c>
      <c r="I3945" s="1421">
        <f t="shared" si="205"/>
        <v>1</v>
      </c>
      <c r="J3945" s="1357" t="s">
        <v>115</v>
      </c>
      <c r="K3945" s="1169"/>
      <c r="L3945" s="1156"/>
      <c r="M3945" s="1169"/>
      <c r="N3945" s="1161" t="s">
        <v>2318</v>
      </c>
    </row>
    <row r="3946" spans="1:14" s="1170" customFormat="1" ht="16.5" hidden="1" customHeight="1">
      <c r="A3946" s="1156"/>
      <c r="B3946" s="1230" t="s">
        <v>223</v>
      </c>
      <c r="C3946" s="1332">
        <v>1</v>
      </c>
      <c r="D3946" s="1333" t="s">
        <v>273</v>
      </c>
      <c r="E3946" s="1334">
        <v>3</v>
      </c>
      <c r="F3946" s="1335">
        <v>0</v>
      </c>
      <c r="G3946" s="1335">
        <v>0</v>
      </c>
      <c r="H3946" s="1335">
        <v>0</v>
      </c>
      <c r="I3946" s="1421">
        <f t="shared" si="205"/>
        <v>3</v>
      </c>
      <c r="J3946" s="1357" t="s">
        <v>115</v>
      </c>
      <c r="K3946" s="1169"/>
      <c r="L3946" s="1156"/>
      <c r="M3946" s="1169"/>
      <c r="N3946" s="1161" t="s">
        <v>2318</v>
      </c>
    </row>
    <row r="3947" spans="1:14" s="1170" customFormat="1" ht="16.5" hidden="1" customHeight="1">
      <c r="A3947" s="1156"/>
      <c r="B3947" s="1230" t="s">
        <v>3079</v>
      </c>
      <c r="C3947" s="1332">
        <v>1</v>
      </c>
      <c r="D3947" s="1333" t="s">
        <v>273</v>
      </c>
      <c r="E3947" s="1334">
        <v>1</v>
      </c>
      <c r="F3947" s="1335">
        <v>0</v>
      </c>
      <c r="G3947" s="1335">
        <v>0</v>
      </c>
      <c r="H3947" s="1335">
        <v>0</v>
      </c>
      <c r="I3947" s="1421">
        <f t="shared" si="205"/>
        <v>1</v>
      </c>
      <c r="J3947" s="1357" t="s">
        <v>115</v>
      </c>
      <c r="K3947" s="1169"/>
      <c r="L3947" s="1156"/>
      <c r="M3947" s="1169"/>
      <c r="N3947" s="1161" t="s">
        <v>2318</v>
      </c>
    </row>
    <row r="3948" spans="1:14" s="1170" customFormat="1" ht="16.5" hidden="1" customHeight="1">
      <c r="A3948" s="1156"/>
      <c r="B3948" s="1230"/>
      <c r="C3948" s="1332"/>
      <c r="D3948" s="1333"/>
      <c r="E3948" s="1334"/>
      <c r="F3948" s="1335"/>
      <c r="G3948" s="1335"/>
      <c r="H3948" s="1335"/>
      <c r="I3948" s="1421"/>
      <c r="J3948" s="1357"/>
      <c r="K3948" s="1169"/>
      <c r="L3948" s="1156"/>
      <c r="M3948" s="1169"/>
      <c r="N3948" s="1161" t="s">
        <v>2318</v>
      </c>
    </row>
    <row r="3949" spans="1:14" ht="15.75" hidden="1">
      <c r="A3949" s="1156"/>
      <c r="B3949" s="1169"/>
      <c r="C3949" s="1337"/>
      <c r="D3949" s="1171"/>
      <c r="E3949" s="1165"/>
      <c r="F3949" s="1166"/>
      <c r="G3949" s="1343"/>
      <c r="H3949" s="1156"/>
      <c r="I3949" s="1421"/>
      <c r="J3949" s="1357" t="s">
        <v>115</v>
      </c>
      <c r="K3949" s="1221">
        <f>'Ele Data'!I1052</f>
        <v>2941.12</v>
      </c>
      <c r="L3949" s="1159" t="s">
        <v>2318</v>
      </c>
      <c r="M3949" s="1224">
        <f>ROUND(I3949*K3949,0)</f>
        <v>0</v>
      </c>
      <c r="N3949" s="1161" t="s">
        <v>2318</v>
      </c>
    </row>
    <row r="3950" spans="1:14" ht="30.75" hidden="1" customHeight="1">
      <c r="A3950" s="1156">
        <v>20</v>
      </c>
      <c r="B3950" s="1826" t="s">
        <v>947</v>
      </c>
      <c r="C3950" s="1826"/>
      <c r="D3950" s="1826"/>
      <c r="E3950" s="1826"/>
      <c r="F3950" s="1826"/>
      <c r="G3950" s="1826"/>
      <c r="H3950" s="1826"/>
      <c r="I3950" s="1421"/>
      <c r="J3950" s="1158"/>
      <c r="K3950" s="1156"/>
      <c r="L3950" s="1156"/>
      <c r="M3950" s="1160"/>
      <c r="N3950" s="1161" t="s">
        <v>2318</v>
      </c>
    </row>
    <row r="3951" spans="1:14" s="1170" customFormat="1" ht="16.5" hidden="1" customHeight="1">
      <c r="A3951" s="1156"/>
      <c r="B3951" s="1169" t="s">
        <v>3080</v>
      </c>
      <c r="C3951" s="1351"/>
      <c r="D3951" s="1418"/>
      <c r="E3951" s="1352"/>
      <c r="F3951" s="1234"/>
      <c r="G3951" s="1234"/>
      <c r="H3951" s="1235"/>
      <c r="I3951" s="1353"/>
      <c r="J3951" s="1357"/>
      <c r="K3951" s="1169"/>
      <c r="L3951" s="1156"/>
      <c r="M3951" s="1169"/>
      <c r="N3951" s="1161" t="s">
        <v>2318</v>
      </c>
    </row>
    <row r="3952" spans="1:14" s="1170" customFormat="1" ht="16.5" hidden="1" customHeight="1">
      <c r="A3952" s="1156"/>
      <c r="B3952" s="1230" t="s">
        <v>3073</v>
      </c>
      <c r="C3952" s="1332">
        <v>1</v>
      </c>
      <c r="D3952" s="1333" t="s">
        <v>273</v>
      </c>
      <c r="E3952" s="1334">
        <v>1</v>
      </c>
      <c r="F3952" s="1335">
        <v>0</v>
      </c>
      <c r="G3952" s="1335">
        <v>0</v>
      </c>
      <c r="H3952" s="1335">
        <v>0</v>
      </c>
      <c r="I3952" s="1421">
        <f t="shared" ref="I3952:I3959" si="206">ROUND(IF(AND(F3952:H3952),C3952*E3952*F3952*G3952*H3952,IF(AND(F3952,G3952),C3952*E3952*F3952*G3952,IF(AND(F3952,H3952),C3952*E3952*F3952*H3952,IF(AND(G3952,H3952),C3952*E3952*G3952*H3952,IF(F3952,C3952*E3952*F3952,IF(G3952,C3952*E3952*G3952,IF(H3952,C3952*E3952*H3952,C3952*E3952))))))),2)</f>
        <v>1</v>
      </c>
      <c r="J3952" s="1357" t="s">
        <v>115</v>
      </c>
      <c r="K3952" s="1169"/>
      <c r="L3952" s="1156"/>
      <c r="M3952" s="1169"/>
      <c r="N3952" s="1161" t="s">
        <v>2318</v>
      </c>
    </row>
    <row r="3953" spans="1:14" s="1170" customFormat="1" ht="16.5" hidden="1" customHeight="1">
      <c r="A3953" s="1156"/>
      <c r="B3953" s="1230" t="s">
        <v>3074</v>
      </c>
      <c r="C3953" s="1332">
        <v>1</v>
      </c>
      <c r="D3953" s="1333" t="s">
        <v>273</v>
      </c>
      <c r="E3953" s="1334">
        <v>1</v>
      </c>
      <c r="F3953" s="1335">
        <v>0</v>
      </c>
      <c r="G3953" s="1335">
        <v>0</v>
      </c>
      <c r="H3953" s="1335">
        <v>0</v>
      </c>
      <c r="I3953" s="1421">
        <f t="shared" si="206"/>
        <v>1</v>
      </c>
      <c r="J3953" s="1357" t="s">
        <v>115</v>
      </c>
      <c r="K3953" s="1169"/>
      <c r="L3953" s="1156"/>
      <c r="M3953" s="1169"/>
      <c r="N3953" s="1161" t="s">
        <v>2318</v>
      </c>
    </row>
    <row r="3954" spans="1:14" s="1170" customFormat="1" ht="16.5" hidden="1" customHeight="1">
      <c r="A3954" s="1156"/>
      <c r="B3954" s="1230" t="s">
        <v>799</v>
      </c>
      <c r="C3954" s="1332">
        <v>1</v>
      </c>
      <c r="D3954" s="1333" t="s">
        <v>273</v>
      </c>
      <c r="E3954" s="1334">
        <v>6</v>
      </c>
      <c r="F3954" s="1335">
        <v>0</v>
      </c>
      <c r="G3954" s="1335">
        <v>0</v>
      </c>
      <c r="H3954" s="1335">
        <v>0</v>
      </c>
      <c r="I3954" s="1421">
        <f t="shared" si="206"/>
        <v>6</v>
      </c>
      <c r="J3954" s="1357" t="s">
        <v>115</v>
      </c>
      <c r="K3954" s="1169"/>
      <c r="L3954" s="1156"/>
      <c r="M3954" s="1169"/>
      <c r="N3954" s="1161" t="s">
        <v>2318</v>
      </c>
    </row>
    <row r="3955" spans="1:14" s="1170" customFormat="1" ht="16.5" hidden="1" customHeight="1">
      <c r="A3955" s="1156"/>
      <c r="B3955" s="1230" t="s">
        <v>3075</v>
      </c>
      <c r="C3955" s="1332">
        <v>1</v>
      </c>
      <c r="D3955" s="1333" t="s">
        <v>273</v>
      </c>
      <c r="E3955" s="1334">
        <v>1</v>
      </c>
      <c r="F3955" s="1335">
        <v>0</v>
      </c>
      <c r="G3955" s="1335">
        <v>0</v>
      </c>
      <c r="H3955" s="1335">
        <v>0</v>
      </c>
      <c r="I3955" s="1421">
        <f t="shared" si="206"/>
        <v>1</v>
      </c>
      <c r="J3955" s="1357" t="s">
        <v>115</v>
      </c>
      <c r="K3955" s="1169"/>
      <c r="L3955" s="1156"/>
      <c r="M3955" s="1169"/>
      <c r="N3955" s="1161" t="s">
        <v>2318</v>
      </c>
    </row>
    <row r="3956" spans="1:14" s="1170" customFormat="1" ht="16.5" hidden="1" customHeight="1">
      <c r="A3956" s="1156"/>
      <c r="B3956" s="1230" t="s">
        <v>2362</v>
      </c>
      <c r="C3956" s="1332">
        <v>1</v>
      </c>
      <c r="D3956" s="1333" t="s">
        <v>273</v>
      </c>
      <c r="E3956" s="1334">
        <v>1</v>
      </c>
      <c r="F3956" s="1335">
        <v>0</v>
      </c>
      <c r="G3956" s="1335">
        <v>0</v>
      </c>
      <c r="H3956" s="1335">
        <v>0</v>
      </c>
      <c r="I3956" s="1421">
        <f t="shared" si="206"/>
        <v>1</v>
      </c>
      <c r="J3956" s="1357" t="s">
        <v>115</v>
      </c>
      <c r="K3956" s="1169"/>
      <c r="L3956" s="1156"/>
      <c r="M3956" s="1169"/>
      <c r="N3956" s="1161" t="s">
        <v>2318</v>
      </c>
    </row>
    <row r="3957" spans="1:14" s="1170" customFormat="1" ht="16.5" hidden="1" customHeight="1">
      <c r="A3957" s="1156"/>
      <c r="B3957" s="1230" t="s">
        <v>3078</v>
      </c>
      <c r="C3957" s="1332">
        <v>1</v>
      </c>
      <c r="D3957" s="1333" t="s">
        <v>273</v>
      </c>
      <c r="E3957" s="1334">
        <v>1</v>
      </c>
      <c r="F3957" s="1335">
        <v>0</v>
      </c>
      <c r="G3957" s="1335">
        <v>0</v>
      </c>
      <c r="H3957" s="1335">
        <v>0</v>
      </c>
      <c r="I3957" s="1421">
        <f t="shared" si="206"/>
        <v>1</v>
      </c>
      <c r="J3957" s="1357" t="s">
        <v>115</v>
      </c>
      <c r="K3957" s="1169"/>
      <c r="L3957" s="1156"/>
      <c r="M3957" s="1169"/>
      <c r="N3957" s="1161" t="s">
        <v>2318</v>
      </c>
    </row>
    <row r="3958" spans="1:14" s="1170" customFormat="1" ht="16.5" hidden="1" customHeight="1">
      <c r="A3958" s="1156"/>
      <c r="B3958" s="1230" t="s">
        <v>223</v>
      </c>
      <c r="C3958" s="1332">
        <v>1</v>
      </c>
      <c r="D3958" s="1333" t="s">
        <v>273</v>
      </c>
      <c r="E3958" s="1334">
        <v>3</v>
      </c>
      <c r="F3958" s="1335">
        <v>0</v>
      </c>
      <c r="G3958" s="1335">
        <v>0</v>
      </c>
      <c r="H3958" s="1335">
        <v>0</v>
      </c>
      <c r="I3958" s="1421">
        <f t="shared" si="206"/>
        <v>3</v>
      </c>
      <c r="J3958" s="1357" t="s">
        <v>115</v>
      </c>
      <c r="K3958" s="1169"/>
      <c r="L3958" s="1156"/>
      <c r="M3958" s="1169"/>
      <c r="N3958" s="1161" t="s">
        <v>2318</v>
      </c>
    </row>
    <row r="3959" spans="1:14" s="1170" customFormat="1" ht="16.5" hidden="1" customHeight="1">
      <c r="A3959" s="1156"/>
      <c r="B3959" s="1230" t="s">
        <v>3079</v>
      </c>
      <c r="C3959" s="1332">
        <v>1</v>
      </c>
      <c r="D3959" s="1333" t="s">
        <v>273</v>
      </c>
      <c r="E3959" s="1334">
        <v>1</v>
      </c>
      <c r="F3959" s="1335">
        <v>0</v>
      </c>
      <c r="G3959" s="1335">
        <v>0</v>
      </c>
      <c r="H3959" s="1335">
        <v>0</v>
      </c>
      <c r="I3959" s="1421">
        <f t="shared" si="206"/>
        <v>1</v>
      </c>
      <c r="J3959" s="1357" t="s">
        <v>115</v>
      </c>
      <c r="K3959" s="1169"/>
      <c r="L3959" s="1156"/>
      <c r="M3959" s="1169"/>
      <c r="N3959" s="1161" t="s">
        <v>2318</v>
      </c>
    </row>
    <row r="3960" spans="1:14" s="1170" customFormat="1" ht="16.5" hidden="1" customHeight="1">
      <c r="A3960" s="1156"/>
      <c r="B3960" s="1230"/>
      <c r="C3960" s="1332"/>
      <c r="D3960" s="1333"/>
      <c r="E3960" s="1334"/>
      <c r="F3960" s="1335"/>
      <c r="G3960" s="1335"/>
      <c r="H3960" s="1335"/>
      <c r="I3960" s="1421"/>
      <c r="J3960" s="1357"/>
      <c r="K3960" s="1169"/>
      <c r="L3960" s="1156"/>
      <c r="M3960" s="1169"/>
      <c r="N3960" s="1161" t="s">
        <v>2318</v>
      </c>
    </row>
    <row r="3961" spans="1:14" ht="15.75" hidden="1">
      <c r="A3961" s="1156"/>
      <c r="B3961" s="1169"/>
      <c r="C3961" s="1337"/>
      <c r="D3961" s="1171"/>
      <c r="E3961" s="1165"/>
      <c r="F3961" s="1166"/>
      <c r="G3961" s="1343"/>
      <c r="H3961" s="1156"/>
      <c r="I3961" s="1421"/>
      <c r="J3961" s="1357" t="s">
        <v>115</v>
      </c>
      <c r="K3961" s="1221">
        <f>'Ele Data'!I1057</f>
        <v>278</v>
      </c>
      <c r="L3961" s="1159" t="s">
        <v>2318</v>
      </c>
      <c r="M3961" s="1224">
        <f>ROUND(I3961*K3961,0)</f>
        <v>0</v>
      </c>
      <c r="N3961" s="1161" t="s">
        <v>2318</v>
      </c>
    </row>
    <row r="3962" spans="1:14" ht="30.75" hidden="1" customHeight="1">
      <c r="A3962" s="1156">
        <v>21</v>
      </c>
      <c r="B3962" s="1826" t="s">
        <v>948</v>
      </c>
      <c r="C3962" s="1826"/>
      <c r="D3962" s="1826"/>
      <c r="E3962" s="1826"/>
      <c r="F3962" s="1826"/>
      <c r="G3962" s="1826"/>
      <c r="H3962" s="1826"/>
      <c r="I3962" s="1157"/>
      <c r="J3962" s="1158"/>
      <c r="K3962" s="1156"/>
      <c r="L3962" s="1156"/>
      <c r="M3962" s="1160"/>
      <c r="N3962" s="1161" t="s">
        <v>2318</v>
      </c>
    </row>
    <row r="3963" spans="1:14" s="1170" customFormat="1" ht="16.5" hidden="1" customHeight="1">
      <c r="A3963" s="1156"/>
      <c r="B3963" s="1169" t="s">
        <v>3081</v>
      </c>
      <c r="C3963" s="1351"/>
      <c r="D3963" s="1418"/>
      <c r="E3963" s="1352"/>
      <c r="F3963" s="1234"/>
      <c r="G3963" s="1234"/>
      <c r="H3963" s="1235"/>
      <c r="I3963" s="1353"/>
      <c r="J3963" s="1357"/>
      <c r="K3963" s="1169"/>
      <c r="L3963" s="1156"/>
      <c r="M3963" s="1169"/>
      <c r="N3963" s="1161" t="s">
        <v>2318</v>
      </c>
    </row>
    <row r="3964" spans="1:14" s="1170" customFormat="1" ht="16.5" hidden="1" customHeight="1">
      <c r="A3964" s="1156"/>
      <c r="B3964" s="1230" t="s">
        <v>3073</v>
      </c>
      <c r="C3964" s="1332">
        <v>1</v>
      </c>
      <c r="D3964" s="1333" t="s">
        <v>273</v>
      </c>
      <c r="E3964" s="1334">
        <v>1</v>
      </c>
      <c r="F3964" s="1335">
        <v>0</v>
      </c>
      <c r="G3964" s="1335">
        <v>0</v>
      </c>
      <c r="H3964" s="1335">
        <v>0</v>
      </c>
      <c r="I3964" s="1421">
        <f t="shared" ref="I3964:I3971" si="207">ROUND(IF(AND(F3964:H3964),C3964*E3964*F3964*G3964*H3964,IF(AND(F3964,G3964),C3964*E3964*F3964*G3964,IF(AND(F3964,H3964),C3964*E3964*F3964*H3964,IF(AND(G3964,H3964),C3964*E3964*G3964*H3964,IF(F3964,C3964*E3964*F3964,IF(G3964,C3964*E3964*G3964,IF(H3964,C3964*E3964*H3964,C3964*E3964))))))),2)</f>
        <v>1</v>
      </c>
      <c r="J3964" s="1357" t="s">
        <v>115</v>
      </c>
      <c r="K3964" s="1169"/>
      <c r="L3964" s="1156"/>
      <c r="M3964" s="1169"/>
      <c r="N3964" s="1161" t="s">
        <v>2318</v>
      </c>
    </row>
    <row r="3965" spans="1:14" s="1170" customFormat="1" ht="16.5" hidden="1" customHeight="1">
      <c r="A3965" s="1156"/>
      <c r="B3965" s="1230" t="s">
        <v>3074</v>
      </c>
      <c r="C3965" s="1332">
        <v>1</v>
      </c>
      <c r="D3965" s="1333" t="s">
        <v>273</v>
      </c>
      <c r="E3965" s="1334">
        <v>1</v>
      </c>
      <c r="F3965" s="1335">
        <v>0</v>
      </c>
      <c r="G3965" s="1335">
        <v>0</v>
      </c>
      <c r="H3965" s="1335">
        <v>0</v>
      </c>
      <c r="I3965" s="1421">
        <f t="shared" si="207"/>
        <v>1</v>
      </c>
      <c r="J3965" s="1357" t="s">
        <v>115</v>
      </c>
      <c r="K3965" s="1169"/>
      <c r="L3965" s="1156"/>
      <c r="M3965" s="1169"/>
      <c r="N3965" s="1161" t="s">
        <v>2318</v>
      </c>
    </row>
    <row r="3966" spans="1:14" s="1170" customFormat="1" ht="16.5" hidden="1" customHeight="1">
      <c r="A3966" s="1156"/>
      <c r="B3966" s="1230" t="s">
        <v>799</v>
      </c>
      <c r="C3966" s="1332">
        <v>1</v>
      </c>
      <c r="D3966" s="1333" t="s">
        <v>273</v>
      </c>
      <c r="E3966" s="1334">
        <v>6</v>
      </c>
      <c r="F3966" s="1335">
        <v>0</v>
      </c>
      <c r="G3966" s="1335">
        <v>0</v>
      </c>
      <c r="H3966" s="1335">
        <v>0</v>
      </c>
      <c r="I3966" s="1421">
        <f t="shared" si="207"/>
        <v>6</v>
      </c>
      <c r="J3966" s="1357" t="s">
        <v>115</v>
      </c>
      <c r="K3966" s="1169"/>
      <c r="L3966" s="1156"/>
      <c r="M3966" s="1169"/>
      <c r="N3966" s="1161" t="s">
        <v>2318</v>
      </c>
    </row>
    <row r="3967" spans="1:14" s="1170" customFormat="1" ht="16.5" hidden="1" customHeight="1">
      <c r="A3967" s="1156"/>
      <c r="B3967" s="1230" t="s">
        <v>3075</v>
      </c>
      <c r="C3967" s="1332">
        <v>1</v>
      </c>
      <c r="D3967" s="1333" t="s">
        <v>273</v>
      </c>
      <c r="E3967" s="1334">
        <v>1</v>
      </c>
      <c r="F3967" s="1335">
        <v>0</v>
      </c>
      <c r="G3967" s="1335">
        <v>0</v>
      </c>
      <c r="H3967" s="1335">
        <v>0</v>
      </c>
      <c r="I3967" s="1421">
        <f t="shared" si="207"/>
        <v>1</v>
      </c>
      <c r="J3967" s="1357" t="s">
        <v>115</v>
      </c>
      <c r="K3967" s="1169"/>
      <c r="L3967" s="1156"/>
      <c r="M3967" s="1169"/>
      <c r="N3967" s="1161" t="s">
        <v>2318</v>
      </c>
    </row>
    <row r="3968" spans="1:14" s="1170" customFormat="1" ht="16.5" hidden="1" customHeight="1">
      <c r="A3968" s="1156"/>
      <c r="B3968" s="1230" t="s">
        <v>2362</v>
      </c>
      <c r="C3968" s="1332">
        <v>1</v>
      </c>
      <c r="D3968" s="1333" t="s">
        <v>273</v>
      </c>
      <c r="E3968" s="1334">
        <v>1</v>
      </c>
      <c r="F3968" s="1335">
        <v>0</v>
      </c>
      <c r="G3968" s="1335">
        <v>0</v>
      </c>
      <c r="H3968" s="1335">
        <v>0</v>
      </c>
      <c r="I3968" s="1421">
        <f t="shared" si="207"/>
        <v>1</v>
      </c>
      <c r="J3968" s="1357" t="s">
        <v>115</v>
      </c>
      <c r="K3968" s="1169"/>
      <c r="L3968" s="1156"/>
      <c r="M3968" s="1169"/>
      <c r="N3968" s="1161" t="s">
        <v>2318</v>
      </c>
    </row>
    <row r="3969" spans="1:14" s="1170" customFormat="1" ht="16.5" hidden="1" customHeight="1">
      <c r="A3969" s="1156"/>
      <c r="B3969" s="1230" t="s">
        <v>3078</v>
      </c>
      <c r="C3969" s="1332">
        <v>1</v>
      </c>
      <c r="D3969" s="1333" t="s">
        <v>273</v>
      </c>
      <c r="E3969" s="1334">
        <v>1</v>
      </c>
      <c r="F3969" s="1335">
        <v>0</v>
      </c>
      <c r="G3969" s="1335">
        <v>0</v>
      </c>
      <c r="H3969" s="1335">
        <v>0</v>
      </c>
      <c r="I3969" s="1421">
        <f t="shared" si="207"/>
        <v>1</v>
      </c>
      <c r="J3969" s="1357" t="s">
        <v>115</v>
      </c>
      <c r="K3969" s="1169"/>
      <c r="L3969" s="1156"/>
      <c r="M3969" s="1169"/>
      <c r="N3969" s="1161" t="s">
        <v>2318</v>
      </c>
    </row>
    <row r="3970" spans="1:14" s="1170" customFormat="1" ht="16.5" hidden="1" customHeight="1">
      <c r="A3970" s="1156"/>
      <c r="B3970" s="1230" t="s">
        <v>223</v>
      </c>
      <c r="C3970" s="1332">
        <v>1</v>
      </c>
      <c r="D3970" s="1333" t="s">
        <v>273</v>
      </c>
      <c r="E3970" s="1334">
        <v>3</v>
      </c>
      <c r="F3970" s="1335">
        <v>0</v>
      </c>
      <c r="G3970" s="1335">
        <v>0</v>
      </c>
      <c r="H3970" s="1335">
        <v>0</v>
      </c>
      <c r="I3970" s="1421">
        <f t="shared" si="207"/>
        <v>3</v>
      </c>
      <c r="J3970" s="1357" t="s">
        <v>115</v>
      </c>
      <c r="K3970" s="1169"/>
      <c r="L3970" s="1156"/>
      <c r="M3970" s="1169"/>
      <c r="N3970" s="1161" t="s">
        <v>2318</v>
      </c>
    </row>
    <row r="3971" spans="1:14" s="1170" customFormat="1" ht="16.5" hidden="1" customHeight="1">
      <c r="A3971" s="1156"/>
      <c r="B3971" s="1230" t="s">
        <v>3079</v>
      </c>
      <c r="C3971" s="1332">
        <v>1</v>
      </c>
      <c r="D3971" s="1333" t="s">
        <v>273</v>
      </c>
      <c r="E3971" s="1334">
        <v>1</v>
      </c>
      <c r="F3971" s="1335">
        <v>0</v>
      </c>
      <c r="G3971" s="1335">
        <v>0</v>
      </c>
      <c r="H3971" s="1335">
        <v>0</v>
      </c>
      <c r="I3971" s="1421">
        <f t="shared" si="207"/>
        <v>1</v>
      </c>
      <c r="J3971" s="1357" t="s">
        <v>115</v>
      </c>
      <c r="K3971" s="1169"/>
      <c r="L3971" s="1156"/>
      <c r="M3971" s="1169"/>
      <c r="N3971" s="1161" t="s">
        <v>2318</v>
      </c>
    </row>
    <row r="3972" spans="1:14" s="1170" customFormat="1" ht="16.5" hidden="1" customHeight="1">
      <c r="A3972" s="1156"/>
      <c r="B3972" s="1230"/>
      <c r="C3972" s="1332"/>
      <c r="D3972" s="1333"/>
      <c r="E3972" s="1334"/>
      <c r="F3972" s="1335"/>
      <c r="G3972" s="1335"/>
      <c r="H3972" s="1335"/>
      <c r="I3972" s="1421"/>
      <c r="J3972" s="1357"/>
      <c r="K3972" s="1169"/>
      <c r="L3972" s="1156"/>
      <c r="M3972" s="1169"/>
      <c r="N3972" s="1161" t="s">
        <v>2318</v>
      </c>
    </row>
    <row r="3973" spans="1:14" ht="15.75" hidden="1">
      <c r="A3973" s="1156"/>
      <c r="B3973" s="1169"/>
      <c r="C3973" s="1337"/>
      <c r="D3973" s="1171"/>
      <c r="E3973" s="1165"/>
      <c r="F3973" s="1166"/>
      <c r="G3973" s="1343"/>
      <c r="H3973" s="1156"/>
      <c r="I3973" s="1421"/>
      <c r="J3973" s="1357" t="s">
        <v>115</v>
      </c>
      <c r="K3973" s="1221">
        <f>'Ele Data'!I1064</f>
        <v>163.065</v>
      </c>
      <c r="L3973" s="1159" t="s">
        <v>2318</v>
      </c>
      <c r="M3973" s="1224">
        <f>ROUND(I3973*K3973,0)</f>
        <v>0</v>
      </c>
      <c r="N3973" s="1161" t="s">
        <v>2318</v>
      </c>
    </row>
    <row r="3974" spans="1:14" ht="30.75" hidden="1" customHeight="1">
      <c r="A3974" s="1156">
        <v>15</v>
      </c>
      <c r="B3974" s="1826" t="s">
        <v>950</v>
      </c>
      <c r="C3974" s="1826"/>
      <c r="D3974" s="1826"/>
      <c r="E3974" s="1826"/>
      <c r="F3974" s="1826"/>
      <c r="G3974" s="1826"/>
      <c r="H3974" s="1826"/>
      <c r="I3974" s="1157"/>
      <c r="J3974" s="1158"/>
      <c r="K3974" s="1156"/>
      <c r="L3974" s="1156"/>
      <c r="M3974" s="1160"/>
      <c r="N3974" s="1161" t="s">
        <v>2318</v>
      </c>
    </row>
    <row r="3975" spans="1:14" s="1170" customFormat="1" ht="16.5" hidden="1" customHeight="1">
      <c r="A3975" s="1156"/>
      <c r="B3975" s="1169" t="s">
        <v>2357</v>
      </c>
      <c r="C3975" s="1351"/>
      <c r="D3975" s="1418"/>
      <c r="E3975" s="1352"/>
      <c r="F3975" s="1234"/>
      <c r="G3975" s="1234"/>
      <c r="H3975" s="1235"/>
      <c r="I3975" s="1353"/>
      <c r="J3975" s="1357"/>
      <c r="K3975" s="1169"/>
      <c r="L3975" s="1156"/>
      <c r="M3975" s="1169"/>
      <c r="N3975" s="1161" t="s">
        <v>2318</v>
      </c>
    </row>
    <row r="3976" spans="1:14" s="1170" customFormat="1" ht="16.5" hidden="1" customHeight="1">
      <c r="A3976" s="1156"/>
      <c r="B3976" s="1230" t="s">
        <v>660</v>
      </c>
      <c r="C3976" s="1332">
        <v>1</v>
      </c>
      <c r="D3976" s="1333" t="s">
        <v>273</v>
      </c>
      <c r="E3976" s="1334">
        <v>2</v>
      </c>
      <c r="F3976" s="1335">
        <v>0</v>
      </c>
      <c r="G3976" s="1335">
        <v>0</v>
      </c>
      <c r="H3976" s="1335">
        <v>0</v>
      </c>
      <c r="I3976" s="1421">
        <f>ROUND(IF(AND(F3976:H3976),C3976*E3976*F3976*G3976*H3976,IF(AND(F3976,G3976),C3976*E3976*F3976*G3976,IF(AND(F3976,H3976),C3976*E3976*F3976*H3976,IF(AND(G3976,H3976),C3976*E3976*G3976*H3976,IF(F3976,C3976*E3976*F3976,IF(G3976,C3976*E3976*G3976,IF(H3976,C3976*E3976*H3976,C3976*E3976))))))),2)</f>
        <v>2</v>
      </c>
      <c r="J3976" s="1357" t="s">
        <v>115</v>
      </c>
      <c r="K3976" s="1169"/>
      <c r="L3976" s="1156"/>
      <c r="M3976" s="1169"/>
      <c r="N3976" s="1161" t="s">
        <v>2318</v>
      </c>
    </row>
    <row r="3977" spans="1:14" s="1170" customFormat="1" ht="16.5" hidden="1" customHeight="1">
      <c r="A3977" s="1156"/>
      <c r="B3977" s="1230" t="s">
        <v>650</v>
      </c>
      <c r="C3977" s="1332">
        <v>1</v>
      </c>
      <c r="D3977" s="1333" t="s">
        <v>273</v>
      </c>
      <c r="E3977" s="1334">
        <v>1</v>
      </c>
      <c r="F3977" s="1335">
        <v>0</v>
      </c>
      <c r="G3977" s="1335">
        <v>0</v>
      </c>
      <c r="H3977" s="1335">
        <v>0</v>
      </c>
      <c r="I3977" s="1421">
        <f>ROUND(IF(AND(F3977:H3977),C3977*E3977*F3977*G3977*H3977,IF(AND(F3977,G3977),C3977*E3977*F3977*G3977,IF(AND(F3977,H3977),C3977*E3977*F3977*H3977,IF(AND(G3977,H3977),C3977*E3977*G3977*H3977,IF(F3977,C3977*E3977*F3977,IF(G3977,C3977*E3977*G3977,IF(H3977,C3977*E3977*H3977,C3977*E3977))))))),2)</f>
        <v>1</v>
      </c>
      <c r="J3977" s="1357" t="s">
        <v>115</v>
      </c>
      <c r="K3977" s="1169"/>
      <c r="L3977" s="1156"/>
      <c r="M3977" s="1169"/>
      <c r="N3977" s="1161" t="s">
        <v>2318</v>
      </c>
    </row>
    <row r="3978" spans="1:14" s="1170" customFormat="1" ht="16.5" hidden="1" customHeight="1">
      <c r="A3978" s="1156"/>
      <c r="B3978" s="1230" t="s">
        <v>1170</v>
      </c>
      <c r="C3978" s="1332">
        <v>1</v>
      </c>
      <c r="D3978" s="1333" t="s">
        <v>273</v>
      </c>
      <c r="E3978" s="1334">
        <v>1</v>
      </c>
      <c r="F3978" s="1335">
        <v>0</v>
      </c>
      <c r="G3978" s="1335">
        <v>0</v>
      </c>
      <c r="H3978" s="1335">
        <v>0</v>
      </c>
      <c r="I3978" s="1421">
        <f>ROUND(IF(AND(F3978:H3978),C3978*E3978*F3978*G3978*H3978,IF(AND(F3978,G3978),C3978*E3978*F3978*G3978,IF(AND(F3978,H3978),C3978*E3978*F3978*H3978,IF(AND(G3978,H3978),C3978*E3978*G3978*H3978,IF(F3978,C3978*E3978*F3978,IF(G3978,C3978*E3978*G3978,IF(H3978,C3978*E3978*H3978,C3978*E3978))))))),2)</f>
        <v>1</v>
      </c>
      <c r="J3978" s="1357" t="s">
        <v>115</v>
      </c>
      <c r="K3978" s="1169"/>
      <c r="L3978" s="1156"/>
      <c r="M3978" s="1169"/>
      <c r="N3978" s="1161" t="s">
        <v>2318</v>
      </c>
    </row>
    <row r="3979" spans="1:14" s="1170" customFormat="1" ht="16.5" hidden="1" customHeight="1">
      <c r="A3979" s="1156"/>
      <c r="B3979" s="1230"/>
      <c r="C3979" s="1332"/>
      <c r="D3979" s="1333"/>
      <c r="E3979" s="1334"/>
      <c r="F3979" s="1335"/>
      <c r="G3979" s="1335"/>
      <c r="H3979" s="1335"/>
      <c r="I3979" s="1421"/>
      <c r="J3979" s="1357"/>
      <c r="K3979" s="1169"/>
      <c r="L3979" s="1156"/>
      <c r="M3979" s="1169"/>
      <c r="N3979" s="1161" t="s">
        <v>2318</v>
      </c>
    </row>
    <row r="3980" spans="1:14" ht="15.75" hidden="1">
      <c r="A3980" s="1156"/>
      <c r="B3980" s="1169"/>
      <c r="C3980" s="1337"/>
      <c r="D3980" s="1171"/>
      <c r="E3980" s="1165"/>
      <c r="F3980" s="1166"/>
      <c r="G3980" s="1343"/>
      <c r="H3980" s="1156"/>
      <c r="I3980" s="1421"/>
      <c r="J3980" s="1357" t="s">
        <v>115</v>
      </c>
      <c r="K3980" s="1221">
        <f>'Ele Data'!I1070</f>
        <v>161.5</v>
      </c>
      <c r="L3980" s="1159" t="s">
        <v>2318</v>
      </c>
      <c r="M3980" s="1224">
        <f>ROUND(I3980*K3980,0)</f>
        <v>0</v>
      </c>
      <c r="N3980" s="1161" t="s">
        <v>2318</v>
      </c>
    </row>
    <row r="3981" spans="1:14" ht="41.25" hidden="1" customHeight="1">
      <c r="A3981" s="1156">
        <v>58</v>
      </c>
      <c r="B3981" s="1826" t="s">
        <v>442</v>
      </c>
      <c r="C3981" s="1826"/>
      <c r="D3981" s="1826"/>
      <c r="E3981" s="1826"/>
      <c r="F3981" s="1826"/>
      <c r="G3981" s="1826"/>
      <c r="H3981" s="1826"/>
      <c r="I3981" s="1157"/>
      <c r="J3981" s="1158"/>
      <c r="K3981" s="1156"/>
      <c r="L3981" s="1156"/>
      <c r="M3981" s="1160"/>
      <c r="N3981" s="1161" t="s">
        <v>2318</v>
      </c>
    </row>
    <row r="3982" spans="1:14" s="1170" customFormat="1" ht="16.5" hidden="1" customHeight="1">
      <c r="A3982" s="1156"/>
      <c r="B3982" s="1169" t="s">
        <v>3665</v>
      </c>
      <c r="C3982" s="1351"/>
      <c r="D3982" s="1548" t="s">
        <v>3739</v>
      </c>
      <c r="E3982" s="1352"/>
      <c r="F3982" s="1234"/>
      <c r="G3982" s="1234"/>
      <c r="H3982" s="1235"/>
      <c r="I3982" s="1353"/>
      <c r="J3982" s="1357"/>
      <c r="K3982" s="1169"/>
      <c r="L3982" s="1156"/>
      <c r="M3982" s="1169"/>
      <c r="N3982" s="1161" t="s">
        <v>2318</v>
      </c>
    </row>
    <row r="3983" spans="1:14" s="1170" customFormat="1" ht="16.5" hidden="1" customHeight="1">
      <c r="A3983" s="1156"/>
      <c r="B3983" s="1230"/>
      <c r="C3983" s="1360">
        <v>1</v>
      </c>
      <c r="D3983" s="1361" t="s">
        <v>273</v>
      </c>
      <c r="E3983" s="1362">
        <v>7</v>
      </c>
      <c r="F3983" s="1363">
        <v>0</v>
      </c>
      <c r="G3983" s="1363">
        <v>0</v>
      </c>
      <c r="H3983" s="1363">
        <v>0</v>
      </c>
      <c r="I3983" s="1421">
        <f t="shared" ref="I3983" si="208">ROUND(IF(AND(F3983:H3983),C3983*E3983*F3983*G3983*H3983,IF(AND(F3983,G3983),C3983*E3983*F3983*G3983,IF(AND(F3983,H3983),C3983*E3983*F3983*H3983,IF(AND(G3983,H3983),C3983*E3983*G3983*H3983,IF(F3983,C3983*E3983*F3983,IF(G3983,C3983*E3983*G3983,IF(H3983,C3983*E3983*H3983,C3983*E3983))))))),2)</f>
        <v>7</v>
      </c>
      <c r="J3983" s="1357" t="s">
        <v>115</v>
      </c>
      <c r="K3983" s="1169"/>
      <c r="L3983" s="1156"/>
      <c r="M3983" s="1169"/>
      <c r="N3983" s="1161" t="s">
        <v>2318</v>
      </c>
    </row>
    <row r="3984" spans="1:14" s="1170" customFormat="1" ht="16.5" hidden="1" customHeight="1">
      <c r="A3984" s="1156"/>
      <c r="B3984" s="1230"/>
      <c r="C3984" s="1332"/>
      <c r="D3984" s="1333"/>
      <c r="E3984" s="1334"/>
      <c r="F3984" s="1335"/>
      <c r="G3984" s="1335"/>
      <c r="H3984" s="1335"/>
      <c r="I3984" s="1421"/>
      <c r="J3984" s="1357"/>
      <c r="K3984" s="1169"/>
      <c r="L3984" s="1156"/>
      <c r="M3984" s="1169"/>
      <c r="N3984" s="1161" t="s">
        <v>2318</v>
      </c>
    </row>
    <row r="3985" spans="1:14" ht="15.75" hidden="1">
      <c r="A3985" s="1156"/>
      <c r="B3985" s="1169"/>
      <c r="C3985" s="1337"/>
      <c r="D3985" s="1171"/>
      <c r="E3985" s="1165"/>
      <c r="F3985" s="1166"/>
      <c r="G3985" s="1343"/>
      <c r="H3985" s="1156"/>
      <c r="I3985" s="1421"/>
      <c r="J3985" s="1357" t="s">
        <v>115</v>
      </c>
      <c r="K3985" s="1221">
        <f>'Ele Data'!I1083</f>
        <v>406.44</v>
      </c>
      <c r="L3985" s="1159" t="s">
        <v>2318</v>
      </c>
      <c r="M3985" s="1224">
        <f>ROUND(I3985*K3985,0)</f>
        <v>0</v>
      </c>
      <c r="N3985" s="1161" t="s">
        <v>2318</v>
      </c>
    </row>
    <row r="3986" spans="1:14" ht="66.75" hidden="1" customHeight="1">
      <c r="A3986" s="1156">
        <v>23</v>
      </c>
      <c r="B3986" s="1826" t="s">
        <v>2097</v>
      </c>
      <c r="C3986" s="1826"/>
      <c r="D3986" s="1826"/>
      <c r="E3986" s="1826"/>
      <c r="F3986" s="1826"/>
      <c r="G3986" s="1826"/>
      <c r="H3986" s="1826"/>
      <c r="I3986" s="1157"/>
      <c r="J3986" s="1158"/>
      <c r="K3986" s="1156"/>
      <c r="L3986" s="1156"/>
      <c r="M3986" s="1160"/>
      <c r="N3986" s="1161" t="s">
        <v>2318</v>
      </c>
    </row>
    <row r="3987" spans="1:14" s="1170" customFormat="1" ht="16.5" hidden="1" customHeight="1">
      <c r="A3987" s="1156"/>
      <c r="B3987" s="1169" t="s">
        <v>3082</v>
      </c>
      <c r="C3987" s="1351"/>
      <c r="D3987" s="1418"/>
      <c r="E3987" s="1352"/>
      <c r="F3987" s="1234"/>
      <c r="G3987" s="1234"/>
      <c r="H3987" s="1235"/>
      <c r="I3987" s="1353"/>
      <c r="J3987" s="1357"/>
      <c r="K3987" s="1169"/>
      <c r="L3987" s="1156"/>
      <c r="M3987" s="1169"/>
      <c r="N3987" s="1161" t="s">
        <v>2318</v>
      </c>
    </row>
    <row r="3988" spans="1:14" s="1170" customFormat="1" ht="16.5" hidden="1" customHeight="1">
      <c r="A3988" s="1156"/>
      <c r="B3988" s="1230"/>
      <c r="C3988" s="1332">
        <v>1</v>
      </c>
      <c r="D3988" s="1333" t="s">
        <v>273</v>
      </c>
      <c r="E3988" s="1334">
        <v>1</v>
      </c>
      <c r="F3988" s="1335">
        <v>0</v>
      </c>
      <c r="G3988" s="1335">
        <v>0</v>
      </c>
      <c r="H3988" s="1335">
        <v>0</v>
      </c>
      <c r="I3988" s="1421">
        <f>ROUND(IF(AND(F3988:H3988),C3988*E3988*F3988*G3988*H3988,IF(AND(F3988,G3988),C3988*E3988*F3988*G3988,IF(AND(F3988,H3988),C3988*E3988*F3988*H3988,IF(AND(G3988,H3988),C3988*E3988*G3988*H3988,IF(F3988,C3988*E3988*F3988,IF(G3988,C3988*E3988*G3988,IF(H3988,C3988*E3988*H3988,C3988*E3988))))))),2)</f>
        <v>1</v>
      </c>
      <c r="J3988" s="1357" t="s">
        <v>115</v>
      </c>
      <c r="K3988" s="1169"/>
      <c r="L3988" s="1156"/>
      <c r="M3988" s="1169"/>
      <c r="N3988" s="1161" t="s">
        <v>2318</v>
      </c>
    </row>
    <row r="3989" spans="1:14" s="1170" customFormat="1" ht="16.5" hidden="1" customHeight="1">
      <c r="A3989" s="1156"/>
      <c r="B3989" s="1230"/>
      <c r="C3989" s="1332"/>
      <c r="D3989" s="1333"/>
      <c r="E3989" s="1334"/>
      <c r="F3989" s="1335"/>
      <c r="G3989" s="1335"/>
      <c r="H3989" s="1335"/>
      <c r="I3989" s="1421"/>
      <c r="J3989" s="1357"/>
      <c r="K3989" s="1169"/>
      <c r="L3989" s="1156"/>
      <c r="M3989" s="1169"/>
      <c r="N3989" s="1161" t="s">
        <v>2318</v>
      </c>
    </row>
    <row r="3990" spans="1:14" ht="15.75" hidden="1">
      <c r="A3990" s="1156"/>
      <c r="B3990" s="1169"/>
      <c r="C3990" s="1337"/>
      <c r="D3990" s="1171"/>
      <c r="E3990" s="1165"/>
      <c r="F3990" s="1166"/>
      <c r="G3990" s="1343"/>
      <c r="H3990" s="1156"/>
      <c r="I3990" s="1421"/>
      <c r="J3990" s="1357" t="s">
        <v>115</v>
      </c>
      <c r="K3990" s="1221">
        <f>'Ele Data'!I1126</f>
        <v>1822</v>
      </c>
      <c r="L3990" s="1159" t="s">
        <v>2318</v>
      </c>
      <c r="M3990" s="1224">
        <f>ROUND(I3990*K3990,0)</f>
        <v>0</v>
      </c>
      <c r="N3990" s="1161" t="s">
        <v>2318</v>
      </c>
    </row>
    <row r="3991" spans="1:14" ht="110.25" hidden="1" customHeight="1">
      <c r="A3991" s="1156">
        <v>23</v>
      </c>
      <c r="B3991" s="1826" t="s">
        <v>2263</v>
      </c>
      <c r="C3991" s="1826"/>
      <c r="D3991" s="1826"/>
      <c r="E3991" s="1826"/>
      <c r="F3991" s="1826"/>
      <c r="G3991" s="1826"/>
      <c r="H3991" s="1826"/>
      <c r="I3991" s="1157"/>
      <c r="J3991" s="1158"/>
      <c r="K3991" s="1156"/>
      <c r="L3991" s="1156"/>
      <c r="M3991" s="1160"/>
      <c r="N3991" s="1161" t="s">
        <v>2318</v>
      </c>
    </row>
    <row r="3992" spans="1:14" s="1170" customFormat="1" ht="16.5" hidden="1" customHeight="1">
      <c r="A3992" s="1156"/>
      <c r="B3992" s="1169" t="s">
        <v>2107</v>
      </c>
      <c r="C3992" s="1351"/>
      <c r="D3992" s="1418"/>
      <c r="E3992" s="1352"/>
      <c r="F3992" s="1234"/>
      <c r="G3992" s="1234"/>
      <c r="H3992" s="1235"/>
      <c r="I3992" s="1353"/>
      <c r="J3992" s="1357"/>
      <c r="K3992" s="1169"/>
      <c r="L3992" s="1156"/>
      <c r="M3992" s="1169"/>
      <c r="N3992" s="1161" t="s">
        <v>2318</v>
      </c>
    </row>
    <row r="3993" spans="1:14" s="1170" customFormat="1" ht="16.5" hidden="1" customHeight="1">
      <c r="A3993" s="1156"/>
      <c r="B3993" s="1230"/>
      <c r="C3993" s="1332">
        <v>1</v>
      </c>
      <c r="D3993" s="1333" t="s">
        <v>273</v>
      </c>
      <c r="E3993" s="1334">
        <v>1</v>
      </c>
      <c r="F3993" s="1335">
        <v>0</v>
      </c>
      <c r="G3993" s="1335">
        <v>0</v>
      </c>
      <c r="H3993" s="1335">
        <v>0</v>
      </c>
      <c r="I3993" s="1421">
        <f>ROUND(IF(AND(F3993:H3993),C3993*E3993*F3993*G3993*H3993,IF(AND(F3993,G3993),C3993*E3993*F3993*G3993,IF(AND(F3993,H3993),C3993*E3993*F3993*H3993,IF(AND(G3993,H3993),C3993*E3993*G3993*H3993,IF(F3993,C3993*E3993*F3993,IF(G3993,C3993*E3993*G3993,IF(H3993,C3993*E3993*H3993,C3993*E3993))))))),2)</f>
        <v>1</v>
      </c>
      <c r="J3993" s="1357" t="s">
        <v>115</v>
      </c>
      <c r="K3993" s="1169"/>
      <c r="L3993" s="1156"/>
      <c r="M3993" s="1169"/>
      <c r="N3993" s="1161" t="s">
        <v>2318</v>
      </c>
    </row>
    <row r="3994" spans="1:14" s="1170" customFormat="1" ht="16.5" hidden="1" customHeight="1">
      <c r="A3994" s="1156"/>
      <c r="B3994" s="1230"/>
      <c r="C3994" s="1332"/>
      <c r="D3994" s="1333"/>
      <c r="E3994" s="1334"/>
      <c r="F3994" s="1335"/>
      <c r="G3994" s="1335"/>
      <c r="H3994" s="1335"/>
      <c r="I3994" s="1421"/>
      <c r="J3994" s="1357"/>
      <c r="K3994" s="1169"/>
      <c r="L3994" s="1156"/>
      <c r="M3994" s="1169"/>
      <c r="N3994" s="1161" t="s">
        <v>2318</v>
      </c>
    </row>
    <row r="3995" spans="1:14" ht="15.75" hidden="1">
      <c r="A3995" s="1156"/>
      <c r="B3995" s="1169"/>
      <c r="C3995" s="1337"/>
      <c r="D3995" s="1171"/>
      <c r="E3995" s="1165"/>
      <c r="F3995" s="1166"/>
      <c r="G3995" s="1343"/>
      <c r="H3995" s="1156"/>
      <c r="I3995" s="1421"/>
      <c r="J3995" s="1357" t="s">
        <v>115</v>
      </c>
      <c r="K3995" s="1221">
        <f>'Ele Data'!I1129</f>
        <v>5428</v>
      </c>
      <c r="L3995" s="1159" t="s">
        <v>2318</v>
      </c>
      <c r="M3995" s="1224">
        <f>ROUND(I3995*K3995,0)</f>
        <v>0</v>
      </c>
      <c r="N3995" s="1161" t="s">
        <v>2318</v>
      </c>
    </row>
    <row r="3996" spans="1:14" ht="43.5" hidden="1" customHeight="1">
      <c r="A3996" s="1156">
        <v>16</v>
      </c>
      <c r="B3996" s="1826" t="s">
        <v>794</v>
      </c>
      <c r="C3996" s="1826"/>
      <c r="D3996" s="1826"/>
      <c r="E3996" s="1826"/>
      <c r="F3996" s="1826"/>
      <c r="G3996" s="1826"/>
      <c r="H3996" s="1826"/>
      <c r="I3996" s="1157"/>
      <c r="J3996" s="1158"/>
      <c r="K3996" s="1156"/>
      <c r="L3996" s="1156"/>
      <c r="M3996" s="1160"/>
      <c r="N3996" s="1161" t="s">
        <v>2318</v>
      </c>
    </row>
    <row r="3997" spans="1:14" s="1170" customFormat="1" ht="16.5" hidden="1" customHeight="1">
      <c r="A3997" s="1156"/>
      <c r="B3997" s="1230" t="s">
        <v>424</v>
      </c>
      <c r="C3997" s="1351"/>
      <c r="D3997" s="1418"/>
      <c r="E3997" s="1352"/>
      <c r="F3997" s="1234"/>
      <c r="G3997" s="1234"/>
      <c r="H3997" s="1235"/>
      <c r="I3997" s="1353"/>
      <c r="J3997" s="1357"/>
      <c r="K3997" s="1169"/>
      <c r="L3997" s="1156"/>
      <c r="M3997" s="1169"/>
      <c r="N3997" s="1161" t="s">
        <v>2318</v>
      </c>
    </row>
    <row r="3998" spans="1:14" s="1170" customFormat="1" ht="16.5" hidden="1" customHeight="1">
      <c r="A3998" s="1156"/>
      <c r="B3998" s="1230"/>
      <c r="C3998" s="1332">
        <v>1</v>
      </c>
      <c r="D3998" s="1333" t="s">
        <v>273</v>
      </c>
      <c r="E3998" s="1334">
        <v>1</v>
      </c>
      <c r="F3998" s="1335">
        <v>0</v>
      </c>
      <c r="G3998" s="1335">
        <v>0</v>
      </c>
      <c r="H3998" s="1335">
        <v>0</v>
      </c>
      <c r="I3998" s="1421">
        <f>ROUND(IF(AND(F3998:H3998),C3998*E3998*F3998*G3998*H3998,IF(AND(F3998,G3998),C3998*E3998*F3998*G3998,IF(AND(F3998,H3998),C3998*E3998*F3998*H3998,IF(AND(G3998,H3998),C3998*E3998*G3998*H3998,IF(F3998,C3998*E3998*F3998,IF(G3998,C3998*E3998*G3998,IF(H3998,C3998*E3998*H3998,C3998*E3998))))))),2)</f>
        <v>1</v>
      </c>
      <c r="J3998" s="1357" t="s">
        <v>115</v>
      </c>
      <c r="K3998" s="1169"/>
      <c r="L3998" s="1156"/>
      <c r="M3998" s="1169"/>
      <c r="N3998" s="1161" t="s">
        <v>2318</v>
      </c>
    </row>
    <row r="3999" spans="1:14" s="1170" customFormat="1" ht="16.5" hidden="1" customHeight="1">
      <c r="A3999" s="1156"/>
      <c r="B3999" s="1230"/>
      <c r="C3999" s="1332"/>
      <c r="D3999" s="1333"/>
      <c r="E3999" s="1334"/>
      <c r="F3999" s="1335"/>
      <c r="G3999" s="1335"/>
      <c r="H3999" s="1335"/>
      <c r="I3999" s="1421"/>
      <c r="J3999" s="1357"/>
      <c r="K3999" s="1169"/>
      <c r="L3999" s="1156"/>
      <c r="M3999" s="1169"/>
      <c r="N3999" s="1161" t="s">
        <v>2318</v>
      </c>
    </row>
    <row r="4000" spans="1:14" ht="15.75" hidden="1">
      <c r="A4000" s="1156"/>
      <c r="B4000" s="1169"/>
      <c r="C4000" s="1337"/>
      <c r="D4000" s="1171"/>
      <c r="E4000" s="1165"/>
      <c r="F4000" s="1166"/>
      <c r="G4000" s="1343"/>
      <c r="H4000" s="1156"/>
      <c r="I4000" s="1421"/>
      <c r="J4000" s="1357" t="s">
        <v>115</v>
      </c>
      <c r="K4000" s="1221">
        <f>'Ele Data'!I928</f>
        <v>1634</v>
      </c>
      <c r="L4000" s="1159" t="s">
        <v>2318</v>
      </c>
      <c r="M4000" s="1224">
        <f>ROUND(I4000*K4000,0)</f>
        <v>0</v>
      </c>
      <c r="N4000" s="1161" t="s">
        <v>2318</v>
      </c>
    </row>
    <row r="4001" spans="1:14" ht="66" hidden="1" customHeight="1">
      <c r="A4001" s="1156">
        <v>59</v>
      </c>
      <c r="B4001" s="1826" t="s">
        <v>698</v>
      </c>
      <c r="C4001" s="1826"/>
      <c r="D4001" s="1826"/>
      <c r="E4001" s="1826"/>
      <c r="F4001" s="1826"/>
      <c r="G4001" s="1826"/>
      <c r="H4001" s="1826"/>
      <c r="I4001" s="1157"/>
      <c r="J4001" s="1158"/>
      <c r="K4001" s="1156"/>
      <c r="L4001" s="1156"/>
      <c r="M4001" s="1160"/>
      <c r="N4001" s="1161" t="s">
        <v>2318</v>
      </c>
    </row>
    <row r="4002" spans="1:14" s="1170" customFormat="1" ht="16.5" hidden="1" customHeight="1">
      <c r="A4002" s="1156"/>
      <c r="B4002" s="1169" t="s">
        <v>3728</v>
      </c>
      <c r="C4002" s="1351"/>
      <c r="D4002" s="1548" t="s">
        <v>3739</v>
      </c>
      <c r="E4002" s="1352"/>
      <c r="F4002" s="1234"/>
      <c r="G4002" s="1234"/>
      <c r="H4002" s="1235"/>
      <c r="I4002" s="1353"/>
      <c r="J4002" s="1357"/>
      <c r="K4002" s="1169"/>
      <c r="L4002" s="1156"/>
      <c r="M4002" s="1169"/>
      <c r="N4002" s="1161" t="s">
        <v>2318</v>
      </c>
    </row>
    <row r="4003" spans="1:14" s="1170" customFormat="1" ht="16.5" hidden="1" customHeight="1">
      <c r="A4003" s="1156"/>
      <c r="B4003" s="1230"/>
      <c r="C4003" s="1360">
        <v>1</v>
      </c>
      <c r="D4003" s="1361" t="s">
        <v>273</v>
      </c>
      <c r="E4003" s="1362">
        <v>1</v>
      </c>
      <c r="F4003" s="1363">
        <v>0</v>
      </c>
      <c r="G4003" s="1363">
        <v>0</v>
      </c>
      <c r="H4003" s="1363">
        <v>0</v>
      </c>
      <c r="I4003" s="1421">
        <f t="shared" ref="I4003" si="209">ROUND(IF(AND(F4003:H4003),C4003*E4003*F4003*G4003*H4003,IF(AND(F4003,G4003),C4003*E4003*F4003*G4003,IF(AND(F4003,H4003),C4003*E4003*F4003*H4003,IF(AND(G4003,H4003),C4003*E4003*G4003*H4003,IF(F4003,C4003*E4003*F4003,IF(G4003,C4003*E4003*G4003,IF(H4003,C4003*E4003*H4003,C4003*E4003))))))),2)</f>
        <v>1</v>
      </c>
      <c r="J4003" s="1357" t="s">
        <v>115</v>
      </c>
      <c r="K4003" s="1169"/>
      <c r="L4003" s="1156"/>
      <c r="M4003" s="1169"/>
      <c r="N4003" s="1161" t="s">
        <v>2318</v>
      </c>
    </row>
    <row r="4004" spans="1:14" s="1170" customFormat="1" ht="16.5" hidden="1" customHeight="1">
      <c r="A4004" s="1156"/>
      <c r="B4004" s="1230"/>
      <c r="C4004" s="1332"/>
      <c r="D4004" s="1333"/>
      <c r="E4004" s="1334"/>
      <c r="F4004" s="1335"/>
      <c r="G4004" s="1335"/>
      <c r="H4004" s="1335"/>
      <c r="I4004" s="1336"/>
      <c r="J4004" s="1357"/>
      <c r="K4004" s="1169"/>
      <c r="L4004" s="1156"/>
      <c r="M4004" s="1169"/>
      <c r="N4004" s="1161" t="s">
        <v>2318</v>
      </c>
    </row>
    <row r="4005" spans="1:14" ht="15.75" hidden="1">
      <c r="A4005" s="1156"/>
      <c r="B4005" s="1169"/>
      <c r="C4005" s="1337"/>
      <c r="D4005" s="1171"/>
      <c r="E4005" s="1165"/>
      <c r="F4005" s="1166"/>
      <c r="G4005" s="1343"/>
      <c r="H4005" s="1156"/>
      <c r="I4005" s="1421"/>
      <c r="J4005" s="1357" t="s">
        <v>115</v>
      </c>
      <c r="K4005" s="1221">
        <f>'Ele Data'!I1094</f>
        <v>3662</v>
      </c>
      <c r="L4005" s="1159" t="s">
        <v>2318</v>
      </c>
      <c r="M4005" s="1224">
        <f>ROUND(I4005*K4005,0)</f>
        <v>0</v>
      </c>
      <c r="N4005" s="1161" t="s">
        <v>2318</v>
      </c>
    </row>
    <row r="4006" spans="1:14" ht="44.25" hidden="1" customHeight="1">
      <c r="A4006" s="1156">
        <v>60</v>
      </c>
      <c r="B4006" s="1826" t="s">
        <v>941</v>
      </c>
      <c r="C4006" s="1826"/>
      <c r="D4006" s="1826"/>
      <c r="E4006" s="1826"/>
      <c r="F4006" s="1826"/>
      <c r="G4006" s="1826"/>
      <c r="H4006" s="1826"/>
      <c r="I4006" s="1157"/>
      <c r="J4006" s="1158"/>
      <c r="K4006" s="1156"/>
      <c r="L4006" s="1156"/>
      <c r="M4006" s="1160"/>
      <c r="N4006" s="1161" t="s">
        <v>2318</v>
      </c>
    </row>
    <row r="4007" spans="1:14" s="1170" customFormat="1" ht="16.5" hidden="1" customHeight="1">
      <c r="A4007" s="1156"/>
      <c r="B4007" s="1169" t="s">
        <v>3666</v>
      </c>
      <c r="C4007" s="1351"/>
      <c r="D4007" s="1548" t="s">
        <v>3739</v>
      </c>
      <c r="E4007" s="1352"/>
      <c r="F4007" s="1234"/>
      <c r="G4007" s="1234"/>
      <c r="H4007" s="1235"/>
      <c r="I4007" s="1353"/>
      <c r="J4007" s="1357"/>
      <c r="K4007" s="1169"/>
      <c r="L4007" s="1156"/>
      <c r="M4007" s="1169"/>
      <c r="N4007" s="1161" t="s">
        <v>2318</v>
      </c>
    </row>
    <row r="4008" spans="1:14" s="1170" customFormat="1" ht="16.5" hidden="1" customHeight="1">
      <c r="A4008" s="1156"/>
      <c r="B4008" s="1230"/>
      <c r="C4008" s="1360">
        <v>1</v>
      </c>
      <c r="D4008" s="1361" t="s">
        <v>273</v>
      </c>
      <c r="E4008" s="1362">
        <v>1</v>
      </c>
      <c r="F4008" s="1363">
        <v>0</v>
      </c>
      <c r="G4008" s="1363">
        <v>0</v>
      </c>
      <c r="H4008" s="1363">
        <v>0</v>
      </c>
      <c r="I4008" s="1421">
        <f t="shared" ref="I4008" si="210">ROUND(IF(AND(F4008:H4008),C4008*E4008*F4008*G4008*H4008,IF(AND(F4008,G4008),C4008*E4008*F4008*G4008,IF(AND(F4008,H4008),C4008*E4008*F4008*H4008,IF(AND(G4008,H4008),C4008*E4008*G4008*H4008,IF(F4008,C4008*E4008*F4008,IF(G4008,C4008*E4008*G4008,IF(H4008,C4008*E4008*H4008,C4008*E4008))))))),2)</f>
        <v>1</v>
      </c>
      <c r="J4008" s="1357" t="s">
        <v>115</v>
      </c>
      <c r="K4008" s="1169"/>
      <c r="L4008" s="1156"/>
      <c r="M4008" s="1169"/>
      <c r="N4008" s="1161" t="s">
        <v>2318</v>
      </c>
    </row>
    <row r="4009" spans="1:14" s="1170" customFormat="1" ht="16.5" hidden="1" customHeight="1">
      <c r="A4009" s="1156"/>
      <c r="B4009" s="1230"/>
      <c r="C4009" s="1332"/>
      <c r="D4009" s="1333"/>
      <c r="E4009" s="1334"/>
      <c r="F4009" s="1335"/>
      <c r="G4009" s="1335"/>
      <c r="H4009" s="1335"/>
      <c r="I4009" s="1336"/>
      <c r="J4009" s="1357"/>
      <c r="K4009" s="1169"/>
      <c r="L4009" s="1156"/>
      <c r="M4009" s="1169"/>
      <c r="N4009" s="1161" t="s">
        <v>2318</v>
      </c>
    </row>
    <row r="4010" spans="1:14" ht="15.75" hidden="1">
      <c r="A4010" s="1156"/>
      <c r="B4010" s="1169"/>
      <c r="C4010" s="1337"/>
      <c r="D4010" s="1171"/>
      <c r="E4010" s="1165"/>
      <c r="F4010" s="1166"/>
      <c r="G4010" s="1343"/>
      <c r="H4010" s="1156"/>
      <c r="I4010" s="1421"/>
      <c r="J4010" s="1357" t="s">
        <v>115</v>
      </c>
      <c r="K4010" s="1221">
        <f>'Ele Data'!I1104</f>
        <v>1089.96</v>
      </c>
      <c r="L4010" s="1159" t="s">
        <v>2318</v>
      </c>
      <c r="M4010" s="1224">
        <f>ROUND(I4010*K4010,0)</f>
        <v>0</v>
      </c>
      <c r="N4010" s="1161" t="s">
        <v>2318</v>
      </c>
    </row>
    <row r="4011" spans="1:14" ht="78" hidden="1" customHeight="1">
      <c r="A4011" s="1156">
        <v>45</v>
      </c>
      <c r="B4011" s="1826" t="s">
        <v>450</v>
      </c>
      <c r="C4011" s="1826"/>
      <c r="D4011" s="1826"/>
      <c r="E4011" s="1826"/>
      <c r="F4011" s="1826"/>
      <c r="G4011" s="1826"/>
      <c r="H4011" s="1826"/>
      <c r="I4011" s="1157"/>
      <c r="J4011" s="1158"/>
      <c r="K4011" s="1156"/>
      <c r="L4011" s="1156"/>
      <c r="M4011" s="1160"/>
      <c r="N4011" s="1161" t="s">
        <v>2318</v>
      </c>
    </row>
    <row r="4012" spans="1:14" s="1170" customFormat="1" ht="16.5" hidden="1" customHeight="1">
      <c r="A4012" s="1156"/>
      <c r="B4012" s="1169" t="s">
        <v>3395</v>
      </c>
      <c r="C4012" s="1351"/>
      <c r="D4012" s="1171"/>
      <c r="E4012" s="1352"/>
      <c r="F4012" s="1234"/>
      <c r="G4012" s="1234"/>
      <c r="H4012" s="1235"/>
      <c r="I4012" s="1353"/>
      <c r="J4012" s="1357"/>
      <c r="K4012" s="1169"/>
      <c r="L4012" s="1156"/>
      <c r="M4012" s="1169"/>
      <c r="N4012" s="1161" t="s">
        <v>2318</v>
      </c>
    </row>
    <row r="4013" spans="1:14" s="1170" customFormat="1" ht="16.5" hidden="1" customHeight="1">
      <c r="A4013" s="1156"/>
      <c r="B4013" s="1230"/>
      <c r="C4013" s="1332">
        <v>1</v>
      </c>
      <c r="D4013" s="1333" t="s">
        <v>273</v>
      </c>
      <c r="E4013" s="1334">
        <v>1</v>
      </c>
      <c r="F4013" s="1335">
        <v>0</v>
      </c>
      <c r="G4013" s="1335">
        <v>0</v>
      </c>
      <c r="H4013" s="1335">
        <v>0</v>
      </c>
      <c r="I4013" s="1421">
        <f>ROUND(IF(AND(F4013:H4013),C4013*E4013*F4013*G4013*H4013,IF(AND(F4013,G4013),C4013*E4013*F4013*G4013,IF(AND(F4013,H4013),C4013*E4013*F4013*H4013,IF(AND(G4013,H4013),C4013*E4013*G4013*H4013,IF(F4013,C4013*E4013*F4013,IF(G4013,C4013*E4013*G4013,IF(H4013,C4013*E4013*H4013,C4013*E4013))))))),2)</f>
        <v>1</v>
      </c>
      <c r="J4013" s="1357" t="s">
        <v>115</v>
      </c>
      <c r="K4013" s="1169"/>
      <c r="L4013" s="1156"/>
      <c r="M4013" s="1169"/>
      <c r="N4013" s="1161" t="s">
        <v>2318</v>
      </c>
    </row>
    <row r="4014" spans="1:14" ht="15.75" hidden="1">
      <c r="A4014" s="1156"/>
      <c r="B4014" s="1169"/>
      <c r="C4014" s="1337"/>
      <c r="D4014" s="1171"/>
      <c r="E4014" s="1165"/>
      <c r="F4014" s="1166"/>
      <c r="G4014" s="1343"/>
      <c r="H4014" s="1156"/>
      <c r="I4014" s="1421"/>
      <c r="J4014" s="1357" t="s">
        <v>115</v>
      </c>
      <c r="K4014" s="1221">
        <f>'Ele Data'!I1123</f>
        <v>4142.4250000000002</v>
      </c>
      <c r="L4014" s="1159" t="s">
        <v>2318</v>
      </c>
      <c r="M4014" s="1224">
        <f>ROUND(I4014*K4014,0)</f>
        <v>0</v>
      </c>
      <c r="N4014" s="1161" t="s">
        <v>2318</v>
      </c>
    </row>
    <row r="4015" spans="1:14" s="1575" customFormat="1" ht="24" customHeight="1">
      <c r="A4015" s="1570">
        <v>50</v>
      </c>
      <c r="B4015" s="1827" t="s">
        <v>1456</v>
      </c>
      <c r="C4015" s="1827"/>
      <c r="D4015" s="1854"/>
      <c r="E4015" s="1827"/>
      <c r="F4015" s="1827"/>
      <c r="G4015" s="1827"/>
      <c r="H4015" s="1827"/>
      <c r="I4015" s="1571"/>
      <c r="J4015" s="1572"/>
      <c r="K4015" s="1570"/>
      <c r="L4015" s="1573"/>
      <c r="M4015" s="1574">
        <f>'Differ- Material'!F119</f>
        <v>7906</v>
      </c>
    </row>
    <row r="4016" spans="1:14" s="1575" customFormat="1" ht="24" customHeight="1">
      <c r="A4016" s="1570">
        <v>51</v>
      </c>
      <c r="B4016" s="1827" t="s">
        <v>3425</v>
      </c>
      <c r="C4016" s="1827"/>
      <c r="D4016" s="1854"/>
      <c r="E4016" s="1827"/>
      <c r="F4016" s="1827"/>
      <c r="G4016" s="1827"/>
      <c r="H4016" s="1827"/>
      <c r="I4016" s="1571"/>
      <c r="J4016" s="1572"/>
      <c r="K4016" s="1570"/>
      <c r="L4016" s="1573"/>
      <c r="M4016" s="1576">
        <f>'Differ- Material'!F88</f>
        <v>22044</v>
      </c>
    </row>
    <row r="4017" spans="1:15" ht="24" hidden="1" customHeight="1">
      <c r="A4017" s="1156">
        <v>35</v>
      </c>
      <c r="B4017" s="1826" t="s">
        <v>2541</v>
      </c>
      <c r="C4017" s="1826"/>
      <c r="D4017" s="1826"/>
      <c r="E4017" s="1826"/>
      <c r="F4017" s="1826"/>
      <c r="G4017" s="1826"/>
      <c r="H4017" s="1826"/>
      <c r="I4017" s="1157"/>
      <c r="J4017" s="1158"/>
      <c r="K4017" s="1156"/>
      <c r="L4017" s="1159"/>
      <c r="M4017" s="1569"/>
    </row>
    <row r="4018" spans="1:15">
      <c r="A4018" s="1156"/>
      <c r="B4018" s="1169"/>
      <c r="C4018" s="1337"/>
      <c r="D4018" s="1171"/>
      <c r="E4018" s="1165"/>
      <c r="F4018" s="1166"/>
      <c r="G4018" s="1343"/>
      <c r="H4018" s="1156"/>
      <c r="I4018" s="1364"/>
      <c r="J4018" s="1168"/>
      <c r="K4018" s="1221"/>
      <c r="L4018" s="1159"/>
      <c r="M4018" s="1224"/>
    </row>
    <row r="4019" spans="1:15">
      <c r="A4019" s="1156"/>
      <c r="B4019" s="1850" t="s">
        <v>535</v>
      </c>
      <c r="C4019" s="1851"/>
      <c r="D4019" s="1852"/>
      <c r="E4019" s="1851"/>
      <c r="F4019" s="1851"/>
      <c r="G4019" s="1851"/>
      <c r="H4019" s="1853"/>
      <c r="I4019" s="1336"/>
      <c r="J4019" s="1378"/>
      <c r="K4019" s="1221"/>
      <c r="L4019" s="1159"/>
      <c r="M4019" s="1379">
        <f>SUM(M8:M4018)</f>
        <v>2146251</v>
      </c>
      <c r="N4019" s="1260"/>
      <c r="O4019" s="1260"/>
    </row>
    <row r="4020" spans="1:15" s="1384" customFormat="1" ht="20.25" customHeight="1">
      <c r="A4020" s="1380">
        <v>52</v>
      </c>
      <c r="B4020" s="1848" t="s">
        <v>2436</v>
      </c>
      <c r="C4020" s="1848"/>
      <c r="D4020" s="1849"/>
      <c r="E4020" s="1848"/>
      <c r="F4020" s="1848"/>
      <c r="G4020" s="1848"/>
      <c r="H4020" s="1848"/>
      <c r="I4020" s="1381">
        <f>M4019-INPUT!G18</f>
        <v>2136034</v>
      </c>
      <c r="J4020" s="1382"/>
      <c r="K4020" s="1380"/>
      <c r="L4020" s="1380"/>
      <c r="M4020" s="1383">
        <f>ROUND(I4020*0.5%,0)</f>
        <v>10680</v>
      </c>
    </row>
    <row r="4021" spans="1:15" s="1384" customFormat="1" ht="20.25" customHeight="1">
      <c r="A4021" s="1380">
        <v>53</v>
      </c>
      <c r="B4021" s="1848" t="s">
        <v>444</v>
      </c>
      <c r="C4021" s="1848"/>
      <c r="D4021" s="1849"/>
      <c r="E4021" s="1848"/>
      <c r="F4021" s="1848"/>
      <c r="G4021" s="1848"/>
      <c r="H4021" s="1848"/>
      <c r="I4021" s="1381"/>
      <c r="J4021" s="1382"/>
      <c r="K4021" s="1380"/>
      <c r="L4021" s="1380"/>
      <c r="M4021" s="1383">
        <f>'SEIG P-A '!H232</f>
        <v>22792</v>
      </c>
    </row>
    <row r="4022" spans="1:15" s="1384" customFormat="1" ht="20.25" hidden="1" customHeight="1">
      <c r="A4022" s="1380">
        <v>70</v>
      </c>
      <c r="B4022" s="1848" t="s">
        <v>3368</v>
      </c>
      <c r="C4022" s="1848"/>
      <c r="D4022" s="1848"/>
      <c r="E4022" s="1848"/>
      <c r="F4022" s="1848"/>
      <c r="G4022" s="1848"/>
      <c r="H4022" s="1848"/>
      <c r="I4022" s="1381"/>
      <c r="J4022" s="1382"/>
      <c r="K4022" s="1380"/>
      <c r="L4022" s="1380"/>
      <c r="M4022" s="1569"/>
    </row>
    <row r="4023" spans="1:15" s="1384" customFormat="1" ht="20.25" hidden="1" customHeight="1">
      <c r="A4023" s="1380">
        <v>48</v>
      </c>
      <c r="B4023" s="1848" t="s">
        <v>249</v>
      </c>
      <c r="C4023" s="1848"/>
      <c r="D4023" s="1848"/>
      <c r="E4023" s="1848"/>
      <c r="F4023" s="1848"/>
      <c r="G4023" s="1848"/>
      <c r="H4023" s="1848"/>
      <c r="I4023" s="1381"/>
      <c r="J4023" s="1382"/>
      <c r="K4023" s="1380"/>
      <c r="L4023" s="1380"/>
      <c r="M4023" s="1383">
        <v>0</v>
      </c>
    </row>
    <row r="4024" spans="1:15" s="1384" customFormat="1" ht="20.25" customHeight="1">
      <c r="A4024" s="1380">
        <v>54</v>
      </c>
      <c r="B4024" s="1848" t="s">
        <v>292</v>
      </c>
      <c r="C4024" s="1848"/>
      <c r="D4024" s="1849"/>
      <c r="E4024" s="1848"/>
      <c r="F4024" s="1848"/>
      <c r="G4024" s="1848"/>
      <c r="H4024" s="1848"/>
      <c r="I4024" s="1381"/>
      <c r="J4024" s="1382"/>
      <c r="K4024" s="1380"/>
      <c r="L4024" s="1380"/>
      <c r="M4024" s="1383">
        <f>N4024</f>
        <v>277</v>
      </c>
      <c r="N4024" s="1385">
        <f>N4025-M4019-M4020-M4021-M4022-M4023</f>
        <v>277</v>
      </c>
    </row>
    <row r="4025" spans="1:15" s="1384" customFormat="1" ht="20.25" customHeight="1">
      <c r="A4025" s="1380"/>
      <c r="B4025" s="1386" t="s">
        <v>117</v>
      </c>
      <c r="C4025" s="1387"/>
      <c r="D4025" s="1388"/>
      <c r="E4025" s="1389"/>
      <c r="F4025" s="1758"/>
      <c r="G4025" s="1758"/>
      <c r="H4025" s="1758"/>
      <c r="I4025" s="1381"/>
      <c r="J4025" s="1382"/>
      <c r="K4025" s="1380"/>
      <c r="L4025" s="1380"/>
      <c r="M4025" s="1390">
        <f>SUBTOTAL(9,M4019:M4024)</f>
        <v>2180000</v>
      </c>
      <c r="N4025" s="1384">
        <v>2180000</v>
      </c>
    </row>
    <row r="4027" spans="1:15">
      <c r="H4027" s="1162"/>
      <c r="I4027" s="1162"/>
      <c r="J4027" s="1402"/>
      <c r="M4027" s="1260"/>
    </row>
    <row r="4028" spans="1:15">
      <c r="H4028" s="1162"/>
      <c r="I4028" s="1162"/>
      <c r="J4028" s="1402"/>
      <c r="M4028" s="1260"/>
    </row>
    <row r="4029" spans="1:15">
      <c r="H4029" s="1204" t="str">
        <f>'lead 19-20'!$H$31</f>
        <v>Deputy Executive Engineer</v>
      </c>
      <c r="I4029" s="1395"/>
      <c r="J4029" s="1403"/>
      <c r="K4029" s="1396"/>
      <c r="L4029" s="1397" t="str">
        <f>'lead 19-20'!$K$31</f>
        <v>Assistant  Engineer</v>
      </c>
    </row>
    <row r="4030" spans="1:15">
      <c r="H4030" s="1204" t="str">
        <f>'lead 19-20'!$H$32</f>
        <v>PRI Sub Division</v>
      </c>
      <c r="I4030" s="1395"/>
      <c r="J4030" s="1403"/>
      <c r="K4030" s="1396"/>
      <c r="L4030" s="1397" t="str">
        <f>'lead 19-20'!$K$32</f>
        <v>Mandal Praja parishad</v>
      </c>
    </row>
    <row r="4031" spans="1:15">
      <c r="H4031" s="1204" t="str">
        <f>'lead 19-20'!$H$33</f>
        <v>Kanigiri</v>
      </c>
      <c r="I4031" s="1205"/>
      <c r="J4031" s="1404"/>
      <c r="K4031" s="1323"/>
      <c r="L4031" s="1397" t="str">
        <f>'lead 19-20'!$K$33</f>
        <v>Kanigiri</v>
      </c>
    </row>
    <row r="4037" spans="3:12" s="1256" customFormat="1">
      <c r="C4037" s="1162"/>
      <c r="D4037" s="1205"/>
      <c r="E4037" s="1391"/>
      <c r="F4037" s="1392"/>
      <c r="G4037" s="1393"/>
      <c r="H4037" s="1205"/>
      <c r="J4037" s="1405"/>
      <c r="K4037" s="1398"/>
      <c r="L4037" s="1394"/>
    </row>
  </sheetData>
  <autoFilter ref="A6:N4017">
    <filterColumn colId="0">
      <colorFilter dxfId="5"/>
    </filterColumn>
    <filterColumn colId="2" showButton="0"/>
    <filterColumn colId="3" showButton="0"/>
  </autoFilter>
  <mergeCells count="614">
    <mergeCell ref="B2223:H2223"/>
    <mergeCell ref="B2228:H2228"/>
    <mergeCell ref="B2114:H2114"/>
    <mergeCell ref="B2121:H2121"/>
    <mergeCell ref="B2134:H2134"/>
    <mergeCell ref="B2150:H2150"/>
    <mergeCell ref="B2233:H2233"/>
    <mergeCell ref="B2155:H2155"/>
    <mergeCell ref="B2160:H2160"/>
    <mergeCell ref="B2165:H2165"/>
    <mergeCell ref="B2170:H2170"/>
    <mergeCell ref="B2208:H2208"/>
    <mergeCell ref="B2006:H2006"/>
    <mergeCell ref="B2011:H2011"/>
    <mergeCell ref="B2021:H2021"/>
    <mergeCell ref="B2026:H2026"/>
    <mergeCell ref="B2031:H2031"/>
    <mergeCell ref="B2145:H2145"/>
    <mergeCell ref="B2302:H2302"/>
    <mergeCell ref="B2307:H2307"/>
    <mergeCell ref="B2312:H2312"/>
    <mergeCell ref="B2067:H2067"/>
    <mergeCell ref="B2087:H2087"/>
    <mergeCell ref="B2036:H2036"/>
    <mergeCell ref="B2041:H2041"/>
    <mergeCell ref="B2048:H2048"/>
    <mergeCell ref="B2016:H2016"/>
    <mergeCell ref="B2082:H2082"/>
    <mergeCell ref="B2060:H2060"/>
    <mergeCell ref="B2055:H2055"/>
    <mergeCell ref="B2092:H2092"/>
    <mergeCell ref="B2097:H2097"/>
    <mergeCell ref="B2102:H2102"/>
    <mergeCell ref="B2140:H2140"/>
    <mergeCell ref="B2129:H2129"/>
    <mergeCell ref="B2273:H2273"/>
    <mergeCell ref="B2109:H2109"/>
    <mergeCell ref="B2292:H2292"/>
    <mergeCell ref="B2282:H2282"/>
    <mergeCell ref="B2287:H2287"/>
    <mergeCell ref="B2368:H2368"/>
    <mergeCell ref="B2297:H2297"/>
    <mergeCell ref="B2175:H2175"/>
    <mergeCell ref="B2183:H2183"/>
    <mergeCell ref="B2191:H2191"/>
    <mergeCell ref="B2200:H2200"/>
    <mergeCell ref="B2337:H2337"/>
    <mergeCell ref="B2344:H2344"/>
    <mergeCell ref="B2358:H2358"/>
    <mergeCell ref="B2363:H2363"/>
    <mergeCell ref="B2317:H2317"/>
    <mergeCell ref="B2324:H2324"/>
    <mergeCell ref="B2331:H2331"/>
    <mergeCell ref="B2238:H2238"/>
    <mergeCell ref="B2243:H2243"/>
    <mergeCell ref="B2248:H2248"/>
    <mergeCell ref="B2253:H2253"/>
    <mergeCell ref="B2260:H2260"/>
    <mergeCell ref="B2268:H2268"/>
    <mergeCell ref="B2207:H2207"/>
    <mergeCell ref="B2437:H2437"/>
    <mergeCell ref="B2373:H2373"/>
    <mergeCell ref="B2378:H2378"/>
    <mergeCell ref="B2383:H2383"/>
    <mergeCell ref="B2388:H2388"/>
    <mergeCell ref="B2395:H2395"/>
    <mergeCell ref="B2403:H2403"/>
    <mergeCell ref="B2408:H2408"/>
    <mergeCell ref="B2417:H2417"/>
    <mergeCell ref="B2422:H2422"/>
    <mergeCell ref="B2427:H2427"/>
    <mergeCell ref="B2432:H2432"/>
    <mergeCell ref="B2512:H2512"/>
    <mergeCell ref="B2442:H2442"/>
    <mergeCell ref="B2447:H2447"/>
    <mergeCell ref="B2452:H2452"/>
    <mergeCell ref="B2459:H2459"/>
    <mergeCell ref="B2466:H2466"/>
    <mergeCell ref="B2471:H2471"/>
    <mergeCell ref="B2478:H2478"/>
    <mergeCell ref="B2492:H2492"/>
    <mergeCell ref="B2497:H2497"/>
    <mergeCell ref="B2502:H2502"/>
    <mergeCell ref="B2507:H2507"/>
    <mergeCell ref="B2479:H2479"/>
    <mergeCell ref="B2519:H2519"/>
    <mergeCell ref="B2524:H2524"/>
    <mergeCell ref="B2534:H2534"/>
    <mergeCell ref="B2542:H2542"/>
    <mergeCell ref="B2547:H2547"/>
    <mergeCell ref="B2596:H2596"/>
    <mergeCell ref="B2612:H2612"/>
    <mergeCell ref="B2617:H2617"/>
    <mergeCell ref="B2622:H2622"/>
    <mergeCell ref="B2601:H2601"/>
    <mergeCell ref="B2556:H2556"/>
    <mergeCell ref="B2561:H2561"/>
    <mergeCell ref="B2566:H2566"/>
    <mergeCell ref="B2571:H2571"/>
    <mergeCell ref="B2576:H2576"/>
    <mergeCell ref="B2581:H2581"/>
    <mergeCell ref="B2586:H2586"/>
    <mergeCell ref="B2591:H2591"/>
    <mergeCell ref="B2606:H2606"/>
    <mergeCell ref="B2637:H2637"/>
    <mergeCell ref="B2642:H2642"/>
    <mergeCell ref="B2648:H2648"/>
    <mergeCell ref="B2653:H2653"/>
    <mergeCell ref="B2627:H2627"/>
    <mergeCell ref="B2632:H2632"/>
    <mergeCell ref="B2668:H2668"/>
    <mergeCell ref="B2673:H2673"/>
    <mergeCell ref="B2678:H2678"/>
    <mergeCell ref="B2663:H2663"/>
    <mergeCell ref="B2658:H2658"/>
    <mergeCell ref="B2683:H2683"/>
    <mergeCell ref="B2688:H2688"/>
    <mergeCell ref="B2729:H2729"/>
    <mergeCell ref="B2734:H2734"/>
    <mergeCell ref="B2806:H2806"/>
    <mergeCell ref="B2811:H2811"/>
    <mergeCell ref="B2791:H2791"/>
    <mergeCell ref="B2796:H2796"/>
    <mergeCell ref="B2739:H2739"/>
    <mergeCell ref="B2694:H2694"/>
    <mergeCell ref="B2699:H2699"/>
    <mergeCell ref="B2704:H2704"/>
    <mergeCell ref="B2709:H2709"/>
    <mergeCell ref="B2714:H2714"/>
    <mergeCell ref="B2719:H2719"/>
    <mergeCell ref="B2724:H2724"/>
    <mergeCell ref="B2760:H2760"/>
    <mergeCell ref="B2765:H2765"/>
    <mergeCell ref="B2744:H2744"/>
    <mergeCell ref="B2750:H2750"/>
    <mergeCell ref="B2755:H2755"/>
    <mergeCell ref="B2880:H2880"/>
    <mergeCell ref="B2832:H2832"/>
    <mergeCell ref="B2837:H2837"/>
    <mergeCell ref="B2842:H2842"/>
    <mergeCell ref="B2848:H2848"/>
    <mergeCell ref="B2853:H2853"/>
    <mergeCell ref="B2770:H2770"/>
    <mergeCell ref="B2775:H2775"/>
    <mergeCell ref="B2780:H2780"/>
    <mergeCell ref="B2786:H2786"/>
    <mergeCell ref="B2859:H2859"/>
    <mergeCell ref="B2864:H2864"/>
    <mergeCell ref="B2869:H2869"/>
    <mergeCell ref="B2875:H2875"/>
    <mergeCell ref="B2801:H2801"/>
    <mergeCell ref="B2826:H2826"/>
    <mergeCell ref="B2816:H2816"/>
    <mergeCell ref="B2821:H2821"/>
    <mergeCell ref="B2943:H2943"/>
    <mergeCell ref="B2886:H2886"/>
    <mergeCell ref="B2892:H2892"/>
    <mergeCell ref="B2897:H2897"/>
    <mergeCell ref="B2902:H2902"/>
    <mergeCell ref="B2907:H2907"/>
    <mergeCell ref="B2912:H2912"/>
    <mergeCell ref="B2917:H2917"/>
    <mergeCell ref="B3014:H3014"/>
    <mergeCell ref="B2979:H2979"/>
    <mergeCell ref="B2984:H2984"/>
    <mergeCell ref="B2989:H2989"/>
    <mergeCell ref="B2994:H2994"/>
    <mergeCell ref="B2999:H2999"/>
    <mergeCell ref="B3009:H3009"/>
    <mergeCell ref="B2922:H2922"/>
    <mergeCell ref="B2928:H2928"/>
    <mergeCell ref="B2933:H2933"/>
    <mergeCell ref="B2938:H2938"/>
    <mergeCell ref="B3066:H3066"/>
    <mergeCell ref="B3055:H3055"/>
    <mergeCell ref="B3060:H3060"/>
    <mergeCell ref="B3004:H3004"/>
    <mergeCell ref="B2948:H2948"/>
    <mergeCell ref="B2953:H2953"/>
    <mergeCell ref="B2958:H2958"/>
    <mergeCell ref="B2963:H2963"/>
    <mergeCell ref="B2968:H2968"/>
    <mergeCell ref="B2974:H2974"/>
    <mergeCell ref="B3045:H3045"/>
    <mergeCell ref="B3050:H3050"/>
    <mergeCell ref="B3019:H3019"/>
    <mergeCell ref="B3024:H3024"/>
    <mergeCell ref="B3030:H3030"/>
    <mergeCell ref="B3035:H3035"/>
    <mergeCell ref="B3040:H3040"/>
    <mergeCell ref="B3071:H3071"/>
    <mergeCell ref="B3076:H3076"/>
    <mergeCell ref="B3081:H3081"/>
    <mergeCell ref="B3086:H3086"/>
    <mergeCell ref="B3091:H3091"/>
    <mergeCell ref="B3096:H3096"/>
    <mergeCell ref="B3178:H3178"/>
    <mergeCell ref="B3194:H3194"/>
    <mergeCell ref="B3201:H3201"/>
    <mergeCell ref="B3298:H3298"/>
    <mergeCell ref="B3303:H3303"/>
    <mergeCell ref="B3313:H3313"/>
    <mergeCell ref="B3318:H3318"/>
    <mergeCell ref="B3323:H3323"/>
    <mergeCell ref="B3206:H3206"/>
    <mergeCell ref="B3101:H3101"/>
    <mergeCell ref="B3106:H3106"/>
    <mergeCell ref="B3126:H3126"/>
    <mergeCell ref="B3134:H3134"/>
    <mergeCell ref="B3211:H3211"/>
    <mergeCell ref="B3139:H3139"/>
    <mergeCell ref="B3144:H3144"/>
    <mergeCell ref="B3149:H3149"/>
    <mergeCell ref="B3157:H3157"/>
    <mergeCell ref="B3162:H3162"/>
    <mergeCell ref="B3167:H3167"/>
    <mergeCell ref="B3172:H3172"/>
    <mergeCell ref="B3189:H3189"/>
    <mergeCell ref="B3183:H3183"/>
    <mergeCell ref="B3261:H3261"/>
    <mergeCell ref="B3216:H3216"/>
    <mergeCell ref="B3221:H3221"/>
    <mergeCell ref="B3226:H3226"/>
    <mergeCell ref="B3231:H3231"/>
    <mergeCell ref="B3236:H3236"/>
    <mergeCell ref="B3241:H3241"/>
    <mergeCell ref="B3246:H3246"/>
    <mergeCell ref="B3251:H3251"/>
    <mergeCell ref="B3256:H3256"/>
    <mergeCell ref="B3547:H3547"/>
    <mergeCell ref="B3517:H3517"/>
    <mergeCell ref="B3522:H3522"/>
    <mergeCell ref="B3527:H3527"/>
    <mergeCell ref="B3532:H3532"/>
    <mergeCell ref="B3537:H3537"/>
    <mergeCell ref="B3542:H3542"/>
    <mergeCell ref="B3490:H3490"/>
    <mergeCell ref="B3495:H3495"/>
    <mergeCell ref="B3500:H3500"/>
    <mergeCell ref="B3505:H3505"/>
    <mergeCell ref="B3368:H3368"/>
    <mergeCell ref="B3376:H3376"/>
    <mergeCell ref="B3381:H3381"/>
    <mergeCell ref="B3403:H3403"/>
    <mergeCell ref="B3409:H3409"/>
    <mergeCell ref="B3510:H3510"/>
    <mergeCell ref="B3454:H3454"/>
    <mergeCell ref="B3459:H3459"/>
    <mergeCell ref="B3464:H3464"/>
    <mergeCell ref="B3469:H3469"/>
    <mergeCell ref="B3474:H3474"/>
    <mergeCell ref="B3479:H3479"/>
    <mergeCell ref="B3484:H3484"/>
    <mergeCell ref="B3449:H3449"/>
    <mergeCell ref="B3391:H3391"/>
    <mergeCell ref="B3396:H3396"/>
    <mergeCell ref="B3386:H3386"/>
    <mergeCell ref="B3334:H3334"/>
    <mergeCell ref="B3339:H3339"/>
    <mergeCell ref="B3345:H3345"/>
    <mergeCell ref="B3353:H3353"/>
    <mergeCell ref="B3358:H3358"/>
    <mergeCell ref="B3308:H3308"/>
    <mergeCell ref="B3444:H3444"/>
    <mergeCell ref="B3112:H3112"/>
    <mergeCell ref="B3119:H3119"/>
    <mergeCell ref="B3328:H3328"/>
    <mergeCell ref="B3266:H3266"/>
    <mergeCell ref="B3271:H3271"/>
    <mergeCell ref="B3276:H3276"/>
    <mergeCell ref="B3281:H3281"/>
    <mergeCell ref="B3286:H3286"/>
    <mergeCell ref="B3291:H3291"/>
    <mergeCell ref="B3414:H3414"/>
    <mergeCell ref="B3419:H3419"/>
    <mergeCell ref="B3424:H3424"/>
    <mergeCell ref="B3429:H3429"/>
    <mergeCell ref="B3434:H3434"/>
    <mergeCell ref="B3439:H3439"/>
    <mergeCell ref="B3363:H3363"/>
    <mergeCell ref="B3606:H3606"/>
    <mergeCell ref="B3553:H3553"/>
    <mergeCell ref="B3558:H3558"/>
    <mergeCell ref="B3565:H3565"/>
    <mergeCell ref="B3573:H3573"/>
    <mergeCell ref="B3578:H3578"/>
    <mergeCell ref="B3583:H3583"/>
    <mergeCell ref="B3588:H3588"/>
    <mergeCell ref="B3596:H3596"/>
    <mergeCell ref="B3601:H3601"/>
    <mergeCell ref="B3670:H3670"/>
    <mergeCell ref="B3611:H3611"/>
    <mergeCell ref="B3617:H3617"/>
    <mergeCell ref="B3622:H3622"/>
    <mergeCell ref="B3628:H3628"/>
    <mergeCell ref="B3633:H3633"/>
    <mergeCell ref="B3640:H3640"/>
    <mergeCell ref="B3645:H3645"/>
    <mergeCell ref="B3650:H3650"/>
    <mergeCell ref="B3655:H3655"/>
    <mergeCell ref="B3660:H3660"/>
    <mergeCell ref="B3665:H3665"/>
    <mergeCell ref="B3856:H3856"/>
    <mergeCell ref="B3730:H3730"/>
    <mergeCell ref="B3675:H3675"/>
    <mergeCell ref="B3680:H3680"/>
    <mergeCell ref="B3685:H3685"/>
    <mergeCell ref="B3690:H3690"/>
    <mergeCell ref="B3695:H3695"/>
    <mergeCell ref="B3700:H3700"/>
    <mergeCell ref="B3705:H3705"/>
    <mergeCell ref="B3710:H3710"/>
    <mergeCell ref="B3715:H3715"/>
    <mergeCell ref="B3720:H3720"/>
    <mergeCell ref="B3725:H3725"/>
    <mergeCell ref="B3837:H3837"/>
    <mergeCell ref="B3762:H3762"/>
    <mergeCell ref="B3767:H3767"/>
    <mergeCell ref="B3773:H3773"/>
    <mergeCell ref="B3778:H3778"/>
    <mergeCell ref="B3785:H3785"/>
    <mergeCell ref="B3793:H3793"/>
    <mergeCell ref="B3842:H3842"/>
    <mergeCell ref="B3847:H3847"/>
    <mergeCell ref="B3863:H3863"/>
    <mergeCell ref="B3798:H3798"/>
    <mergeCell ref="B3737:H3737"/>
    <mergeCell ref="B3742:H3742"/>
    <mergeCell ref="B3747:H3747"/>
    <mergeCell ref="B4011:H4011"/>
    <mergeCell ref="B3933:H3933"/>
    <mergeCell ref="B3938:H3938"/>
    <mergeCell ref="B3950:H3950"/>
    <mergeCell ref="B3962:H3962"/>
    <mergeCell ref="B3974:H3974"/>
    <mergeCell ref="B3981:H3981"/>
    <mergeCell ref="B3986:H3986"/>
    <mergeCell ref="B3752:H3752"/>
    <mergeCell ref="B3757:H3757"/>
    <mergeCell ref="B3918:H3918"/>
    <mergeCell ref="B3923:H3923"/>
    <mergeCell ref="B3868:H3868"/>
    <mergeCell ref="B3803:H3803"/>
    <mergeCell ref="B3808:H3808"/>
    <mergeCell ref="B3816:H3816"/>
    <mergeCell ref="B3821:H3821"/>
    <mergeCell ref="B3826:H3826"/>
    <mergeCell ref="B3831:H3831"/>
    <mergeCell ref="B1965:H1965"/>
    <mergeCell ref="B4020:H4020"/>
    <mergeCell ref="B4021:H4021"/>
    <mergeCell ref="B4022:H4022"/>
    <mergeCell ref="B4023:H4023"/>
    <mergeCell ref="B4024:H4024"/>
    <mergeCell ref="B3991:H3991"/>
    <mergeCell ref="B3996:H3996"/>
    <mergeCell ref="B4001:H4001"/>
    <mergeCell ref="B4006:H4006"/>
    <mergeCell ref="B4019:H4019"/>
    <mergeCell ref="B4017:H4017"/>
    <mergeCell ref="B4016:H4016"/>
    <mergeCell ref="B4015:H4015"/>
    <mergeCell ref="B3928:H3928"/>
    <mergeCell ref="B3873:H3873"/>
    <mergeCell ref="B3878:H3878"/>
    <mergeCell ref="B3883:H3883"/>
    <mergeCell ref="B3888:H3888"/>
    <mergeCell ref="B3893:H3893"/>
    <mergeCell ref="B3898:H3898"/>
    <mergeCell ref="B3903:H3903"/>
    <mergeCell ref="B3908:H3908"/>
    <mergeCell ref="B3913:H3913"/>
    <mergeCell ref="B1627:H1627"/>
    <mergeCell ref="B1711:H1711"/>
    <mergeCell ref="B1786:H1786"/>
    <mergeCell ref="B1835:H1835"/>
    <mergeCell ref="B1995:H1995"/>
    <mergeCell ref="B2000:H2000"/>
    <mergeCell ref="B1890:H1890"/>
    <mergeCell ref="B1895:H1895"/>
    <mergeCell ref="B1910:H1910"/>
    <mergeCell ref="B1915:H1915"/>
    <mergeCell ref="B1930:H1930"/>
    <mergeCell ref="B1935:H1935"/>
    <mergeCell ref="B1950:H1950"/>
    <mergeCell ref="B1955:H1955"/>
    <mergeCell ref="B1990:H1990"/>
    <mergeCell ref="B1940:H1940"/>
    <mergeCell ref="B1960:H1960"/>
    <mergeCell ref="B1980:H1980"/>
    <mergeCell ref="B1975:H1975"/>
    <mergeCell ref="B1970:H1970"/>
    <mergeCell ref="B1900:H1900"/>
    <mergeCell ref="B1920:H1920"/>
    <mergeCell ref="B1925:H1925"/>
    <mergeCell ref="B1945:H1945"/>
    <mergeCell ref="B1598:H1598"/>
    <mergeCell ref="B1549:H1549"/>
    <mergeCell ref="B1521:H1521"/>
    <mergeCell ref="B1477:H1477"/>
    <mergeCell ref="B1502:H1502"/>
    <mergeCell ref="B1528:H1528"/>
    <mergeCell ref="B243:H243"/>
    <mergeCell ref="B277:H277"/>
    <mergeCell ref="B270:H270"/>
    <mergeCell ref="B297:H297"/>
    <mergeCell ref="B302:H302"/>
    <mergeCell ref="B284:H284"/>
    <mergeCell ref="B886:H886"/>
    <mergeCell ref="B925:H925"/>
    <mergeCell ref="B933:H933"/>
    <mergeCell ref="B640:H640"/>
    <mergeCell ref="B685:H685"/>
    <mergeCell ref="B317:H317"/>
    <mergeCell ref="B322:H322"/>
    <mergeCell ref="B350:H350"/>
    <mergeCell ref="B355:H355"/>
    <mergeCell ref="B393:H393"/>
    <mergeCell ref="B401:H401"/>
    <mergeCell ref="B620:H620"/>
    <mergeCell ref="B1880:H1880"/>
    <mergeCell ref="B1856:H1856"/>
    <mergeCell ref="B1689:H1689"/>
    <mergeCell ref="B1757:H1757"/>
    <mergeCell ref="B1829:H1829"/>
    <mergeCell ref="B1605:H1605"/>
    <mergeCell ref="B773:H773"/>
    <mergeCell ref="B781:H781"/>
    <mergeCell ref="B834:H834"/>
    <mergeCell ref="B853:H853"/>
    <mergeCell ref="B893:H893"/>
    <mergeCell ref="B1178:H1178"/>
    <mergeCell ref="B1187:H1187"/>
    <mergeCell ref="B1470:H1470"/>
    <mergeCell ref="B1495:H1495"/>
    <mergeCell ref="B1577:H1577"/>
    <mergeCell ref="B1214:H1214"/>
    <mergeCell ref="B1221:H1221"/>
    <mergeCell ref="B1243:H1243"/>
    <mergeCell ref="B1251:H1251"/>
    <mergeCell ref="B1279:H1279"/>
    <mergeCell ref="B1290:H1290"/>
    <mergeCell ref="B1324:H1324"/>
    <mergeCell ref="B1202:H1202"/>
    <mergeCell ref="B1885:H1885"/>
    <mergeCell ref="B1905:H1905"/>
    <mergeCell ref="B501:H501"/>
    <mergeCell ref="B526:H526"/>
    <mergeCell ref="B548:H548"/>
    <mergeCell ref="B572:H572"/>
    <mergeCell ref="B600:H600"/>
    <mergeCell ref="B507:H507"/>
    <mergeCell ref="B532:H532"/>
    <mergeCell ref="B554:H554"/>
    <mergeCell ref="B579:H579"/>
    <mergeCell ref="B566:H566"/>
    <mergeCell ref="B586:H586"/>
    <mergeCell ref="B593:H593"/>
    <mergeCell ref="B610:H610"/>
    <mergeCell ref="B645:H645"/>
    <mergeCell ref="B667:H667"/>
    <mergeCell ref="B1868:H1868"/>
    <mergeCell ref="B1874:H1874"/>
    <mergeCell ref="B673:H673"/>
    <mergeCell ref="B679:H679"/>
    <mergeCell ref="B697:H697"/>
    <mergeCell ref="B703:H703"/>
    <mergeCell ref="B691:H691"/>
    <mergeCell ref="B1862:H1862"/>
    <mergeCell ref="B709:H709"/>
    <mergeCell ref="B1226:H1226"/>
    <mergeCell ref="B1260:H1260"/>
    <mergeCell ref="B1313:H1313"/>
    <mergeCell ref="B1484:H1484"/>
    <mergeCell ref="B1489:H1489"/>
    <mergeCell ref="B1508:H1508"/>
    <mergeCell ref="B1514:H1514"/>
    <mergeCell ref="B1542:H1542"/>
    <mergeCell ref="B1535:H1535"/>
    <mergeCell ref="B1563:H1563"/>
    <mergeCell ref="B1570:H1570"/>
    <mergeCell ref="B1591:H1591"/>
    <mergeCell ref="B1584:H1584"/>
    <mergeCell ref="B1556:H1556"/>
    <mergeCell ref="B1648:H1648"/>
    <mergeCell ref="B1666:H1666"/>
    <mergeCell ref="B1732:H1732"/>
    <mergeCell ref="B1750:H1750"/>
    <mergeCell ref="B1797:H1797"/>
    <mergeCell ref="B1822:H1822"/>
    <mergeCell ref="B1851:H1851"/>
    <mergeCell ref="B1845:H1845"/>
    <mergeCell ref="B629:H629"/>
    <mergeCell ref="B441:H441"/>
    <mergeCell ref="B1329:H1329"/>
    <mergeCell ref="B1373:H1373"/>
    <mergeCell ref="B1368:H1368"/>
    <mergeCell ref="B1404:H1404"/>
    <mergeCell ref="B1411:H1411"/>
    <mergeCell ref="B1433:H1433"/>
    <mergeCell ref="B1440:H1440"/>
    <mergeCell ref="B468:H468"/>
    <mergeCell ref="B495:H495"/>
    <mergeCell ref="B490:H490"/>
    <mergeCell ref="B513:H513"/>
    <mergeCell ref="B520:H520"/>
    <mergeCell ref="B537:H537"/>
    <mergeCell ref="B543:H543"/>
    <mergeCell ref="B560:H560"/>
    <mergeCell ref="B1101:H1101"/>
    <mergeCell ref="B1168:H1168"/>
    <mergeCell ref="B1207:H1207"/>
    <mergeCell ref="B1233:H1233"/>
    <mergeCell ref="B1267:H1267"/>
    <mergeCell ref="B917:H917"/>
    <mergeCell ref="B948:H948"/>
    <mergeCell ref="B1458:H1458"/>
    <mergeCell ref="B1465:H1465"/>
    <mergeCell ref="B1453:H1453"/>
    <mergeCell ref="B1345:H1345"/>
    <mergeCell ref="B1387:H1387"/>
    <mergeCell ref="B1418:H1418"/>
    <mergeCell ref="B1358:H1358"/>
    <mergeCell ref="B1394:H1394"/>
    <mergeCell ref="B1425:H1425"/>
    <mergeCell ref="B1447:H1447"/>
    <mergeCell ref="B20:H20"/>
    <mergeCell ref="B26:H26"/>
    <mergeCell ref="B62:H62"/>
    <mergeCell ref="B55:H55"/>
    <mergeCell ref="B111:H111"/>
    <mergeCell ref="B121:H121"/>
    <mergeCell ref="B147:H147"/>
    <mergeCell ref="B156:H156"/>
    <mergeCell ref="B177:H177"/>
    <mergeCell ref="B171:H171"/>
    <mergeCell ref="A1:M1"/>
    <mergeCell ref="A2:B2"/>
    <mergeCell ref="C2:M2"/>
    <mergeCell ref="I3:K3"/>
    <mergeCell ref="L3:M3"/>
    <mergeCell ref="A4:A5"/>
    <mergeCell ref="B4:B5"/>
    <mergeCell ref="C4:E5"/>
    <mergeCell ref="F4:H4"/>
    <mergeCell ref="I4:J5"/>
    <mergeCell ref="L4:L5"/>
    <mergeCell ref="K4:K5"/>
    <mergeCell ref="M4:M5"/>
    <mergeCell ref="B981:H981"/>
    <mergeCell ref="B1034:H1034"/>
    <mergeCell ref="B1060:H1060"/>
    <mergeCell ref="B1156:H1156"/>
    <mergeCell ref="B953:H953"/>
    <mergeCell ref="B959:H959"/>
    <mergeCell ref="B997:H997"/>
    <mergeCell ref="B1010:H1010"/>
    <mergeCell ref="B1041:H1041"/>
    <mergeCell ref="B1048:H1048"/>
    <mergeCell ref="B1067:H1067"/>
    <mergeCell ref="B1074:H1074"/>
    <mergeCell ref="B1146:H1146"/>
    <mergeCell ref="B1119:H1119"/>
    <mergeCell ref="B965:H965"/>
    <mergeCell ref="B1027:H1027"/>
    <mergeCell ref="B1055:H1055"/>
    <mergeCell ref="C6:E6"/>
    <mergeCell ref="B1079:H1079"/>
    <mergeCell ref="B754:H754"/>
    <mergeCell ref="B821:H821"/>
    <mergeCell ref="B873:H873"/>
    <mergeCell ref="B1300:H1300"/>
    <mergeCell ref="B14:H14"/>
    <mergeCell ref="B49:H49"/>
    <mergeCell ref="B97:H97"/>
    <mergeCell ref="B138:H138"/>
    <mergeCell ref="B716:H716"/>
    <mergeCell ref="B723:H723"/>
    <mergeCell ref="B730:H730"/>
    <mergeCell ref="B195:H195"/>
    <mergeCell ref="B224:H224"/>
    <mergeCell ref="B262:H262"/>
    <mergeCell ref="B292:H292"/>
    <mergeCell ref="B312:H312"/>
    <mergeCell ref="B343:H343"/>
    <mergeCell ref="B385:H385"/>
    <mergeCell ref="B429:H429"/>
    <mergeCell ref="B736:H736"/>
    <mergeCell ref="B799:H799"/>
    <mergeCell ref="B861:H861"/>
    <mergeCell ref="B2345:H2345"/>
    <mergeCell ref="B909:H909"/>
    <mergeCell ref="B941:H941"/>
    <mergeCell ref="B9:H9"/>
    <mergeCell ref="B32:H32"/>
    <mergeCell ref="B69:H69"/>
    <mergeCell ref="B129:H129"/>
    <mergeCell ref="B165:H165"/>
    <mergeCell ref="B189:H189"/>
    <mergeCell ref="B213:H213"/>
    <mergeCell ref="B249:H249"/>
    <mergeCell ref="B661:H661"/>
    <mergeCell ref="B307:H307"/>
    <mergeCell ref="B327:H327"/>
    <mergeCell ref="B367:H367"/>
    <mergeCell ref="B407:H407"/>
    <mergeCell ref="B476:H476"/>
    <mergeCell ref="B484:H484"/>
    <mergeCell ref="B183:H183"/>
    <mergeCell ref="B201:H201"/>
    <mergeCell ref="B207:H207"/>
    <mergeCell ref="B237:H237"/>
    <mergeCell ref="B656:H656"/>
    <mergeCell ref="B650:H650"/>
  </mergeCells>
  <phoneticPr fontId="188" type="noConversion"/>
  <printOptions horizontalCentered="1"/>
  <pageMargins left="0.15" right="0.1" top="0.2" bottom="0.23" header="0.25" footer="0.08"/>
  <pageSetup paperSize="9" scale="95" pageOrder="overThenDown" orientation="portrait" r:id="rId1"/>
  <headerFooter alignWithMargins="0"/>
</worksheet>
</file>

<file path=xl/worksheets/sheet9.xml><?xml version="1.0" encoding="utf-8"?>
<worksheet xmlns="http://schemas.openxmlformats.org/spreadsheetml/2006/main" xmlns:r="http://schemas.openxmlformats.org/officeDocument/2006/relationships">
  <sheetPr>
    <tabColor rgb="FF00B050"/>
  </sheetPr>
  <dimension ref="A1:O1557"/>
  <sheetViews>
    <sheetView showZeros="0" defaultGridColor="0" view="pageBreakPreview" colorId="22" zoomScale="115" zoomScaleNormal="115" zoomScaleSheetLayoutView="115" workbookViewId="0">
      <selection activeCell="B8" sqref="B8:H8"/>
    </sheetView>
  </sheetViews>
  <sheetFormatPr defaultColWidth="9.140625" defaultRowHeight="12.75"/>
  <cols>
    <col min="1" max="1" width="3.5703125" style="58" customWidth="1"/>
    <col min="2" max="2" width="31.42578125" style="58" customWidth="1"/>
    <col min="3" max="3" width="3.5703125" style="58" customWidth="1"/>
    <col min="4" max="4" width="1.7109375" style="58" customWidth="1"/>
    <col min="5" max="5" width="5.140625" style="598" customWidth="1"/>
    <col min="6" max="6" width="6.7109375" style="599" customWidth="1"/>
    <col min="7" max="7" width="6.140625" style="600" customWidth="1"/>
    <col min="8" max="8" width="7.42578125" style="12" customWidth="1"/>
    <col min="9" max="9" width="8.7109375" style="601" customWidth="1"/>
    <col min="10" max="10" width="5.28515625" style="601" customWidth="1"/>
    <col min="11" max="11" width="8.42578125" style="12" customWidth="1"/>
    <col min="12" max="12" width="8.85546875" style="602" customWidth="1"/>
    <col min="13" max="13" width="10.85546875" style="601" customWidth="1"/>
    <col min="14" max="15" width="10.42578125" style="58" bestFit="1" customWidth="1"/>
    <col min="16" max="16384" width="9.140625" style="58"/>
  </cols>
  <sheetData>
    <row r="1" spans="1:14" ht="26.25" customHeight="1">
      <c r="A1" s="1820" t="s">
        <v>898</v>
      </c>
      <c r="B1" s="1820"/>
      <c r="C1" s="1820"/>
      <c r="D1" s="1820"/>
      <c r="E1" s="1820"/>
      <c r="F1" s="1820"/>
      <c r="G1" s="1820"/>
      <c r="H1" s="1820"/>
      <c r="I1" s="1820"/>
      <c r="J1" s="1820"/>
      <c r="K1" s="1820"/>
      <c r="L1" s="1820"/>
      <c r="M1" s="1820"/>
    </row>
    <row r="2" spans="1:14" ht="42" customHeight="1">
      <c r="A2" s="1821" t="s">
        <v>896</v>
      </c>
      <c r="B2" s="1821"/>
      <c r="C2" s="1822" t="str">
        <f>'lead 19-20'!C2</f>
        <v>Providing Additional Space for Agriculture Staff in  Baduguleru GP of Kanigiri Mandal</v>
      </c>
      <c r="D2" s="1822"/>
      <c r="E2" s="1822"/>
      <c r="F2" s="1822"/>
      <c r="G2" s="1822"/>
      <c r="H2" s="1822"/>
      <c r="I2" s="1822"/>
      <c r="J2" s="1822"/>
      <c r="K2" s="1822"/>
      <c r="L2" s="1822"/>
      <c r="M2" s="1822"/>
    </row>
    <row r="3" spans="1:14" ht="19.5" customHeight="1">
      <c r="A3" s="1821" t="s">
        <v>897</v>
      </c>
      <c r="B3" s="1821"/>
      <c r="C3" s="1822" t="s">
        <v>496</v>
      </c>
      <c r="D3" s="1822"/>
      <c r="E3" s="1822"/>
      <c r="F3" s="1822"/>
      <c r="G3" s="1822"/>
      <c r="H3" s="1822"/>
      <c r="I3" s="1822"/>
      <c r="J3" s="1822"/>
      <c r="K3" s="1822"/>
      <c r="L3" s="1822"/>
      <c r="M3" s="1822"/>
    </row>
    <row r="4" spans="1:14" ht="15" customHeight="1">
      <c r="A4" s="525"/>
      <c r="B4" s="1862"/>
      <c r="C4" s="1862"/>
      <c r="D4" s="1862"/>
      <c r="E4" s="1862"/>
      <c r="F4" s="1862"/>
      <c r="G4" s="1862"/>
      <c r="H4" s="526"/>
      <c r="I4" s="1818"/>
      <c r="J4" s="1818"/>
      <c r="K4" s="1818"/>
      <c r="L4" s="1819"/>
      <c r="M4" s="1819"/>
    </row>
    <row r="5" spans="1:14" s="527" customFormat="1" ht="12.75" customHeight="1">
      <c r="A5" s="1824" t="s">
        <v>271</v>
      </c>
      <c r="B5" s="1824" t="s">
        <v>272</v>
      </c>
      <c r="C5" s="1824" t="s">
        <v>115</v>
      </c>
      <c r="D5" s="1824"/>
      <c r="E5" s="1824"/>
      <c r="F5" s="1824" t="s">
        <v>123</v>
      </c>
      <c r="G5" s="1824"/>
      <c r="H5" s="1824"/>
      <c r="I5" s="1863" t="s">
        <v>6</v>
      </c>
      <c r="J5" s="1864"/>
      <c r="K5" s="1824" t="s">
        <v>8</v>
      </c>
      <c r="L5" s="1823" t="s">
        <v>9</v>
      </c>
      <c r="M5" s="1824" t="s">
        <v>10</v>
      </c>
    </row>
    <row r="6" spans="1:14" s="527" customFormat="1" ht="21.75" customHeight="1">
      <c r="A6" s="1824"/>
      <c r="B6" s="1824"/>
      <c r="C6" s="1824"/>
      <c r="D6" s="1824"/>
      <c r="E6" s="1824"/>
      <c r="F6" s="528" t="s">
        <v>12</v>
      </c>
      <c r="G6" s="528" t="s">
        <v>13</v>
      </c>
      <c r="H6" s="939" t="s">
        <v>14</v>
      </c>
      <c r="I6" s="1863"/>
      <c r="J6" s="1864"/>
      <c r="K6" s="1824"/>
      <c r="L6" s="1823"/>
      <c r="M6" s="1824"/>
    </row>
    <row r="7" spans="1:14" s="527" customFormat="1" ht="15.75">
      <c r="A7" s="939">
        <v>1</v>
      </c>
      <c r="B7" s="939">
        <v>2</v>
      </c>
      <c r="C7" s="1824">
        <v>3</v>
      </c>
      <c r="D7" s="1824"/>
      <c r="E7" s="1824"/>
      <c r="F7" s="938">
        <v>4</v>
      </c>
      <c r="G7" s="938">
        <v>5</v>
      </c>
      <c r="H7" s="939">
        <v>6</v>
      </c>
      <c r="I7" s="529">
        <v>7</v>
      </c>
      <c r="J7" s="530"/>
      <c r="K7" s="939">
        <v>8</v>
      </c>
      <c r="L7" s="938">
        <v>9</v>
      </c>
      <c r="M7" s="939">
        <v>10</v>
      </c>
    </row>
    <row r="8" spans="1:14" ht="93.75" customHeight="1">
      <c r="A8" s="16">
        <v>1</v>
      </c>
      <c r="B8" s="1858" t="s">
        <v>1573</v>
      </c>
      <c r="C8" s="1858"/>
      <c r="D8" s="1858"/>
      <c r="E8" s="1858"/>
      <c r="F8" s="1858"/>
      <c r="G8" s="1858"/>
      <c r="H8" s="1858"/>
      <c r="I8" s="537"/>
      <c r="J8" s="538"/>
      <c r="K8" s="16"/>
      <c r="L8" s="208"/>
      <c r="M8" s="38"/>
      <c r="N8" s="536" t="s">
        <v>2218</v>
      </c>
    </row>
    <row r="9" spans="1:14" s="544" customFormat="1" ht="16.5" customHeight="1">
      <c r="A9" s="16"/>
      <c r="B9" s="39" t="s">
        <v>3099</v>
      </c>
      <c r="C9" s="537"/>
      <c r="D9" s="1145" t="s">
        <v>3342</v>
      </c>
      <c r="E9" s="540"/>
      <c r="F9" s="541"/>
      <c r="G9" s="541"/>
      <c r="H9" s="541"/>
      <c r="I9" s="542"/>
      <c r="J9" s="553"/>
      <c r="K9" s="39"/>
      <c r="L9" s="16"/>
      <c r="M9" s="39"/>
      <c r="N9" s="536" t="s">
        <v>2218</v>
      </c>
    </row>
    <row r="10" spans="1:14" s="544" customFormat="1" ht="16.5" customHeight="1">
      <c r="A10" s="16"/>
      <c r="B10" s="39"/>
      <c r="C10" s="537">
        <v>1</v>
      </c>
      <c r="D10" s="539" t="s">
        <v>273</v>
      </c>
      <c r="E10" s="540">
        <v>2</v>
      </c>
      <c r="F10" s="541">
        <v>0.23</v>
      </c>
      <c r="G10" s="541">
        <v>0.38</v>
      </c>
      <c r="H10" s="541">
        <v>1.2</v>
      </c>
      <c r="I10" s="545">
        <f t="shared" ref="I10:I12" si="0">ROUND(IF(AND(F10:H10),C10*E10*F10*G10*H10,IF(AND(F10,G10),C10*E10*F10*G10,IF(AND(F10,H10),C10*E10*F10*H10,IF(AND(G10,H10),C10*E10*G10*H10,IF(F10,C10*E10*F10,IF(G10,C10*E10*G10,IF(H10,C10*E10*H10,C10*E10))))))),2)</f>
        <v>0.21</v>
      </c>
      <c r="J10" s="553" t="s">
        <v>5</v>
      </c>
      <c r="K10" s="39"/>
      <c r="L10" s="16"/>
      <c r="M10" s="39"/>
      <c r="N10" s="536" t="s">
        <v>2218</v>
      </c>
    </row>
    <row r="11" spans="1:14" s="544" customFormat="1" ht="16.5" customHeight="1">
      <c r="A11" s="16"/>
      <c r="B11" s="39"/>
      <c r="C11" s="537">
        <v>1</v>
      </c>
      <c r="D11" s="539" t="s">
        <v>273</v>
      </c>
      <c r="E11" s="540">
        <v>3</v>
      </c>
      <c r="F11" s="541">
        <v>0.23</v>
      </c>
      <c r="G11" s="541">
        <v>0.38</v>
      </c>
      <c r="H11" s="541">
        <v>2.87</v>
      </c>
      <c r="I11" s="545">
        <f t="shared" si="0"/>
        <v>0.75</v>
      </c>
      <c r="J11" s="553" t="s">
        <v>5</v>
      </c>
      <c r="K11" s="39"/>
      <c r="L11" s="208"/>
      <c r="M11" s="39"/>
      <c r="N11" s="536" t="s">
        <v>2218</v>
      </c>
    </row>
    <row r="12" spans="1:14" s="544" customFormat="1" ht="16.5" customHeight="1">
      <c r="A12" s="16"/>
      <c r="B12" s="39"/>
      <c r="C12" s="537">
        <v>1</v>
      </c>
      <c r="D12" s="539" t="s">
        <v>273</v>
      </c>
      <c r="E12" s="540">
        <v>10</v>
      </c>
      <c r="F12" s="541">
        <v>0.23</v>
      </c>
      <c r="G12" s="541">
        <v>0.38</v>
      </c>
      <c r="H12" s="541">
        <v>2.8</v>
      </c>
      <c r="I12" s="545">
        <f t="shared" si="0"/>
        <v>2.4500000000000002</v>
      </c>
      <c r="J12" s="553" t="s">
        <v>5</v>
      </c>
      <c r="K12" s="39"/>
      <c r="L12" s="208"/>
      <c r="M12" s="39"/>
      <c r="N12" s="536" t="s">
        <v>2218</v>
      </c>
    </row>
    <row r="13" spans="1:14" s="544" customFormat="1" ht="16.5" customHeight="1">
      <c r="A13" s="16"/>
      <c r="B13" s="39" t="s">
        <v>3100</v>
      </c>
      <c r="C13" s="537"/>
      <c r="D13" s="1145" t="s">
        <v>3344</v>
      </c>
      <c r="E13" s="540"/>
      <c r="F13" s="541"/>
      <c r="G13" s="541"/>
      <c r="H13" s="541"/>
      <c r="I13" s="542"/>
      <c r="J13" s="553"/>
      <c r="K13" s="39"/>
      <c r="L13" s="16"/>
      <c r="M13" s="39"/>
      <c r="N13" s="536" t="s">
        <v>2218</v>
      </c>
    </row>
    <row r="14" spans="1:14" s="544" customFormat="1" ht="16.5" customHeight="1">
      <c r="A14" s="16"/>
      <c r="B14" s="39"/>
      <c r="C14" s="537">
        <v>1</v>
      </c>
      <c r="D14" s="539" t="s">
        <v>273</v>
      </c>
      <c r="E14" s="540">
        <v>2</v>
      </c>
      <c r="F14" s="541">
        <v>0.23</v>
      </c>
      <c r="G14" s="541">
        <v>0.38</v>
      </c>
      <c r="H14" s="541">
        <v>1.22</v>
      </c>
      <c r="I14" s="545">
        <f t="shared" ref="I14" si="1">ROUND(IF(AND(F14:H14),C14*E14*F14*G14*H14,IF(AND(F14,G14),C14*E14*F14*G14,IF(AND(F14,H14),C14*E14*F14*H14,IF(AND(G14,H14),C14*E14*G14*H14,IF(F14,C14*E14*F14,IF(G14,C14*E14*G14,IF(H14,C14*E14*H14,C14*E14))))))),2)</f>
        <v>0.21</v>
      </c>
      <c r="J14" s="553" t="s">
        <v>5</v>
      </c>
      <c r="K14" s="39"/>
      <c r="L14" s="16"/>
      <c r="M14" s="39"/>
      <c r="N14" s="536" t="s">
        <v>2218</v>
      </c>
    </row>
    <row r="15" spans="1:14" s="544" customFormat="1" ht="16.5" customHeight="1">
      <c r="A15" s="16"/>
      <c r="B15" s="39"/>
      <c r="C15" s="537"/>
      <c r="D15" s="539"/>
      <c r="E15" s="540"/>
      <c r="F15" s="541"/>
      <c r="G15" s="541"/>
      <c r="H15" s="541"/>
      <c r="I15" s="545"/>
      <c r="J15" s="553"/>
      <c r="K15" s="39"/>
      <c r="L15" s="208"/>
      <c r="M15" s="39"/>
      <c r="N15" s="536" t="s">
        <v>2218</v>
      </c>
    </row>
    <row r="16" spans="1:14" ht="15.75">
      <c r="A16" s="16"/>
      <c r="B16" s="39"/>
      <c r="C16" s="554"/>
      <c r="D16" s="555"/>
      <c r="E16" s="540"/>
      <c r="F16" s="541"/>
      <c r="G16" s="40"/>
      <c r="H16" s="16"/>
      <c r="I16" s="552"/>
      <c r="J16" s="553" t="s">
        <v>5</v>
      </c>
      <c r="K16" s="10">
        <f>data!F155</f>
        <v>9806.8100000000013</v>
      </c>
      <c r="L16" s="208" t="s">
        <v>2218</v>
      </c>
      <c r="M16" s="9">
        <f>ROUND(I16*K16,0)</f>
        <v>0</v>
      </c>
      <c r="N16" s="536" t="s">
        <v>2218</v>
      </c>
    </row>
    <row r="17" spans="1:14" ht="93.75" customHeight="1">
      <c r="A17" s="16">
        <v>1</v>
      </c>
      <c r="B17" s="1858" t="s">
        <v>1573</v>
      </c>
      <c r="C17" s="1858"/>
      <c r="D17" s="1858"/>
      <c r="E17" s="1858"/>
      <c r="F17" s="1858"/>
      <c r="G17" s="1858"/>
      <c r="H17" s="1858"/>
      <c r="I17" s="537"/>
      <c r="J17" s="538"/>
      <c r="K17" s="16"/>
      <c r="L17" s="208"/>
      <c r="M17" s="38"/>
      <c r="N17" s="536" t="s">
        <v>2306</v>
      </c>
    </row>
    <row r="18" spans="1:14" s="544" customFormat="1" ht="16.5" customHeight="1">
      <c r="A18" s="16"/>
      <c r="B18" s="39" t="s">
        <v>2877</v>
      </c>
      <c r="C18" s="537"/>
      <c r="D18" s="539"/>
      <c r="E18" s="540"/>
      <c r="F18" s="541"/>
      <c r="G18" s="541"/>
      <c r="H18" s="541"/>
      <c r="I18" s="542"/>
      <c r="J18" s="553"/>
      <c r="K18" s="39"/>
      <c r="L18" s="16"/>
      <c r="M18" s="39"/>
      <c r="N18" s="536" t="s">
        <v>2306</v>
      </c>
    </row>
    <row r="19" spans="1:14" s="544" customFormat="1" ht="16.5" customHeight="1">
      <c r="A19" s="16"/>
      <c r="B19" s="39" t="s">
        <v>1493</v>
      </c>
      <c r="C19" s="537">
        <v>1</v>
      </c>
      <c r="D19" s="539" t="s">
        <v>273</v>
      </c>
      <c r="E19" s="540">
        <v>11</v>
      </c>
      <c r="F19" s="541">
        <v>0.36</v>
      </c>
      <c r="G19" s="541">
        <v>0.48</v>
      </c>
      <c r="H19" s="541">
        <v>0.05</v>
      </c>
      <c r="I19" s="545">
        <f>ROUND(IF(AND(F19:H19),C19*E19*F19*G19*H19,IF(AND(F19,G19),C19*E19*F19*G19,IF(AND(F19,H19),C19*E19*F19*H19,IF(AND(G19,H19),C19*E19*G19*H19,IF(F19,C19*E19*F19,IF(G19,C19*E19*G19,IF(H19,C19*E19*H19,C19*E19))))))),2)</f>
        <v>0.1</v>
      </c>
      <c r="J19" s="553" t="s">
        <v>5</v>
      </c>
      <c r="K19" s="39"/>
      <c r="L19" s="16"/>
      <c r="M19" s="39"/>
      <c r="N19" s="536" t="s">
        <v>2306</v>
      </c>
    </row>
    <row r="20" spans="1:14" s="544" customFormat="1" ht="16.5" customHeight="1">
      <c r="A20" s="16"/>
      <c r="B20" s="547"/>
      <c r="C20" s="548"/>
      <c r="D20" s="549"/>
      <c r="E20" s="550"/>
      <c r="F20" s="551"/>
      <c r="G20" s="551"/>
      <c r="H20" s="551"/>
      <c r="I20" s="552"/>
      <c r="J20" s="553"/>
      <c r="K20" s="39"/>
      <c r="L20" s="208"/>
      <c r="M20" s="39"/>
      <c r="N20" s="536" t="s">
        <v>2306</v>
      </c>
    </row>
    <row r="21" spans="1:14" ht="15.75">
      <c r="A21" s="16"/>
      <c r="B21" s="39"/>
      <c r="C21" s="554"/>
      <c r="D21" s="555"/>
      <c r="E21" s="540"/>
      <c r="F21" s="541"/>
      <c r="G21" s="40"/>
      <c r="H21" s="16"/>
      <c r="I21" s="552"/>
      <c r="J21" s="553" t="s">
        <v>5</v>
      </c>
      <c r="K21" s="10">
        <f>data!F1071</f>
        <v>10177.17</v>
      </c>
      <c r="L21" s="208" t="s">
        <v>2306</v>
      </c>
      <c r="M21" s="9">
        <f>ROUND(I21*K21,0)</f>
        <v>0</v>
      </c>
      <c r="N21" s="536" t="s">
        <v>2306</v>
      </c>
    </row>
    <row r="22" spans="1:14" ht="93.75" customHeight="1">
      <c r="A22" s="16">
        <v>1</v>
      </c>
      <c r="B22" s="1858" t="s">
        <v>1573</v>
      </c>
      <c r="C22" s="1858"/>
      <c r="D22" s="1858"/>
      <c r="E22" s="1858"/>
      <c r="F22" s="1858"/>
      <c r="G22" s="1858"/>
      <c r="H22" s="1858"/>
      <c r="I22" s="537"/>
      <c r="J22" s="538"/>
      <c r="K22" s="16"/>
      <c r="L22" s="208"/>
      <c r="M22" s="38"/>
      <c r="N22" s="536" t="s">
        <v>2317</v>
      </c>
    </row>
    <row r="23" spans="1:14" s="544" customFormat="1" ht="16.5" customHeight="1">
      <c r="A23" s="16"/>
      <c r="B23" s="39" t="s">
        <v>3099</v>
      </c>
      <c r="C23" s="537"/>
      <c r="D23" s="539"/>
      <c r="E23" s="540"/>
      <c r="F23" s="541"/>
      <c r="G23" s="541"/>
      <c r="H23" s="541"/>
      <c r="I23" s="542"/>
      <c r="J23" s="553"/>
      <c r="K23" s="39"/>
      <c r="L23" s="16"/>
      <c r="M23" s="39"/>
      <c r="N23" s="536" t="s">
        <v>2317</v>
      </c>
    </row>
    <row r="24" spans="1:14" s="544" customFormat="1" ht="16.5" customHeight="1">
      <c r="A24" s="16"/>
      <c r="B24" s="39"/>
      <c r="C24" s="537">
        <v>1</v>
      </c>
      <c r="D24" s="539" t="s">
        <v>273</v>
      </c>
      <c r="E24" s="540">
        <v>2</v>
      </c>
      <c r="F24" s="541">
        <v>0.23</v>
      </c>
      <c r="G24" s="541">
        <v>0.38</v>
      </c>
      <c r="H24" s="541">
        <v>1.2</v>
      </c>
      <c r="I24" s="545">
        <f t="shared" ref="I24:I26" si="2">ROUND(IF(AND(F24:H24),C24*E24*F24*G24*H24,IF(AND(F24,G24),C24*E24*F24*G24,IF(AND(F24,H24),C24*E24*F24*H24,IF(AND(G24,H24),C24*E24*G24*H24,IF(F24,C24*E24*F24,IF(G24,C24*E24*G24,IF(H24,C24*E24*H24,C24*E24))))))),2)</f>
        <v>0.21</v>
      </c>
      <c r="J24" s="553" t="s">
        <v>5</v>
      </c>
      <c r="K24" s="39"/>
      <c r="L24" s="16"/>
      <c r="M24" s="39"/>
      <c r="N24" s="536" t="s">
        <v>2317</v>
      </c>
    </row>
    <row r="25" spans="1:14" s="544" customFormat="1" ht="16.5" customHeight="1">
      <c r="A25" s="16"/>
      <c r="B25" s="39"/>
      <c r="C25" s="537">
        <v>1</v>
      </c>
      <c r="D25" s="539" t="s">
        <v>273</v>
      </c>
      <c r="E25" s="540">
        <v>3</v>
      </c>
      <c r="F25" s="541">
        <v>0.23</v>
      </c>
      <c r="G25" s="541">
        <v>0.38</v>
      </c>
      <c r="H25" s="541">
        <v>2.87</v>
      </c>
      <c r="I25" s="545">
        <f t="shared" si="2"/>
        <v>0.75</v>
      </c>
      <c r="J25" s="553" t="s">
        <v>5</v>
      </c>
      <c r="K25" s="39"/>
      <c r="L25" s="16"/>
      <c r="M25" s="39"/>
      <c r="N25" s="536" t="s">
        <v>2317</v>
      </c>
    </row>
    <row r="26" spans="1:14" s="544" customFormat="1" ht="16.5" customHeight="1">
      <c r="A26" s="16"/>
      <c r="B26" s="39"/>
      <c r="C26" s="537">
        <v>1</v>
      </c>
      <c r="D26" s="539" t="s">
        <v>273</v>
      </c>
      <c r="E26" s="540">
        <v>10</v>
      </c>
      <c r="F26" s="541">
        <v>0.23</v>
      </c>
      <c r="G26" s="541">
        <v>0.38</v>
      </c>
      <c r="H26" s="541">
        <v>2.8</v>
      </c>
      <c r="I26" s="545">
        <f t="shared" si="2"/>
        <v>2.4500000000000002</v>
      </c>
      <c r="J26" s="553" t="s">
        <v>5</v>
      </c>
      <c r="K26" s="39"/>
      <c r="L26" s="16"/>
      <c r="M26" s="39"/>
      <c r="N26" s="536" t="s">
        <v>2317</v>
      </c>
    </row>
    <row r="27" spans="1:14" s="544" customFormat="1" ht="16.5" customHeight="1">
      <c r="A27" s="16"/>
      <c r="B27" s="39" t="s">
        <v>3100</v>
      </c>
      <c r="C27" s="537"/>
      <c r="D27" s="539"/>
      <c r="E27" s="540"/>
      <c r="F27" s="541"/>
      <c r="G27" s="541"/>
      <c r="H27" s="541"/>
      <c r="I27" s="542"/>
      <c r="J27" s="553"/>
      <c r="K27" s="39"/>
      <c r="L27" s="16"/>
      <c r="M27" s="39"/>
      <c r="N27" s="536" t="s">
        <v>2317</v>
      </c>
    </row>
    <row r="28" spans="1:14" s="544" customFormat="1" ht="16.5" customHeight="1">
      <c r="A28" s="16"/>
      <c r="B28" s="39"/>
      <c r="C28" s="537">
        <v>1</v>
      </c>
      <c r="D28" s="539" t="s">
        <v>273</v>
      </c>
      <c r="E28" s="540">
        <v>2</v>
      </c>
      <c r="F28" s="541">
        <v>0.23</v>
      </c>
      <c r="G28" s="541">
        <v>0.38</v>
      </c>
      <c r="H28" s="541">
        <v>1.22</v>
      </c>
      <c r="I28" s="545">
        <f t="shared" ref="I28" si="3">ROUND(IF(AND(F28:H28),C28*E28*F28*G28*H28,IF(AND(F28,G28),C28*E28*F28*G28,IF(AND(F28,H28),C28*E28*F28*H28,IF(AND(G28,H28),C28*E28*G28*H28,IF(F28,C28*E28*F28,IF(G28,C28*E28*G28,IF(H28,C28*E28*H28,C28*E28))))))),2)</f>
        <v>0.21</v>
      </c>
      <c r="J28" s="553" t="s">
        <v>5</v>
      </c>
      <c r="K28" s="39"/>
      <c r="L28" s="16"/>
      <c r="M28" s="39"/>
      <c r="N28" s="536" t="s">
        <v>2317</v>
      </c>
    </row>
    <row r="29" spans="1:14" s="544" customFormat="1" ht="16.5" customHeight="1">
      <c r="A29" s="16"/>
      <c r="B29" s="547"/>
      <c r="C29" s="548"/>
      <c r="D29" s="549"/>
      <c r="E29" s="550"/>
      <c r="F29" s="551"/>
      <c r="G29" s="551"/>
      <c r="H29" s="551"/>
      <c r="I29" s="552"/>
      <c r="J29" s="553"/>
      <c r="K29" s="39"/>
      <c r="L29" s="208"/>
      <c r="M29" s="39"/>
      <c r="N29" s="536" t="s">
        <v>2317</v>
      </c>
    </row>
    <row r="30" spans="1:14" ht="15.75">
      <c r="A30" s="16"/>
      <c r="B30" s="39"/>
      <c r="C30" s="554"/>
      <c r="D30" s="555"/>
      <c r="E30" s="540"/>
      <c r="F30" s="541"/>
      <c r="G30" s="40"/>
      <c r="H30" s="16"/>
      <c r="I30" s="552"/>
      <c r="J30" s="553" t="s">
        <v>5</v>
      </c>
      <c r="K30" s="10">
        <f>data!F1988</f>
        <v>10761.36</v>
      </c>
      <c r="L30" s="208" t="s">
        <v>2317</v>
      </c>
      <c r="M30" s="9">
        <f>ROUND(I30*K30,0)</f>
        <v>0</v>
      </c>
      <c r="N30" s="536" t="s">
        <v>2317</v>
      </c>
    </row>
    <row r="31" spans="1:14" ht="93.75" customHeight="1">
      <c r="A31" s="16">
        <v>1</v>
      </c>
      <c r="B31" s="1858" t="s">
        <v>1573</v>
      </c>
      <c r="C31" s="1858"/>
      <c r="D31" s="1858"/>
      <c r="E31" s="1858"/>
      <c r="F31" s="1858"/>
      <c r="G31" s="1858"/>
      <c r="H31" s="1858"/>
      <c r="I31" s="537"/>
      <c r="J31" s="538"/>
      <c r="K31" s="16"/>
      <c r="L31" s="208"/>
      <c r="M31" s="38"/>
      <c r="N31" s="536" t="s">
        <v>2318</v>
      </c>
    </row>
    <row r="32" spans="1:14" s="544" customFormat="1" ht="16.5" customHeight="1">
      <c r="A32" s="16"/>
      <c r="B32" s="39" t="s">
        <v>2877</v>
      </c>
      <c r="C32" s="537"/>
      <c r="D32" s="539"/>
      <c r="E32" s="540"/>
      <c r="F32" s="541"/>
      <c r="G32" s="541"/>
      <c r="H32" s="541"/>
      <c r="I32" s="542"/>
      <c r="J32" s="553"/>
      <c r="K32" s="39"/>
      <c r="L32" s="16"/>
      <c r="M32" s="39"/>
      <c r="N32" s="536" t="s">
        <v>2318</v>
      </c>
    </row>
    <row r="33" spans="1:14" s="544" customFormat="1" ht="16.5" customHeight="1">
      <c r="A33" s="16"/>
      <c r="B33" s="39" t="s">
        <v>1493</v>
      </c>
      <c r="C33" s="537">
        <v>1</v>
      </c>
      <c r="D33" s="539" t="s">
        <v>273</v>
      </c>
      <c r="E33" s="540">
        <v>11</v>
      </c>
      <c r="F33" s="541">
        <v>0.36</v>
      </c>
      <c r="G33" s="541">
        <v>0.48</v>
      </c>
      <c r="H33" s="541">
        <v>0.05</v>
      </c>
      <c r="I33" s="545">
        <f>ROUND(IF(AND(F33:H33),C33*E33*F33*G33*H33,IF(AND(F33,G33),C33*E33*F33*G33,IF(AND(F33,H33),C33*E33*F33*H33,IF(AND(G33,H33),C33*E33*G33*H33,IF(F33,C33*E33*F33,IF(G33,C33*E33*G33,IF(H33,C33*E33*H33,C33*E33))))))),2)</f>
        <v>0.1</v>
      </c>
      <c r="J33" s="553" t="s">
        <v>5</v>
      </c>
      <c r="K33" s="39"/>
      <c r="L33" s="16"/>
      <c r="M33" s="39"/>
      <c r="N33" s="536" t="s">
        <v>2318</v>
      </c>
    </row>
    <row r="34" spans="1:14" s="544" customFormat="1" ht="16.5" customHeight="1">
      <c r="A34" s="16"/>
      <c r="B34" s="547"/>
      <c r="C34" s="548"/>
      <c r="D34" s="549"/>
      <c r="E34" s="550"/>
      <c r="F34" s="551"/>
      <c r="G34" s="551"/>
      <c r="H34" s="551"/>
      <c r="I34" s="552"/>
      <c r="J34" s="553"/>
      <c r="K34" s="39"/>
      <c r="L34" s="208"/>
      <c r="M34" s="39"/>
      <c r="N34" s="536" t="s">
        <v>2318</v>
      </c>
    </row>
    <row r="35" spans="1:14" ht="15.75">
      <c r="A35" s="16"/>
      <c r="B35" s="39"/>
      <c r="C35" s="554"/>
      <c r="D35" s="555"/>
      <c r="E35" s="540"/>
      <c r="F35" s="541"/>
      <c r="G35" s="40"/>
      <c r="H35" s="16"/>
      <c r="I35" s="552"/>
      <c r="J35" s="553" t="s">
        <v>5</v>
      </c>
      <c r="K35" s="10">
        <f>data!F2905</f>
        <v>11192.01</v>
      </c>
      <c r="L35" s="208" t="s">
        <v>2318</v>
      </c>
      <c r="M35" s="9">
        <f>ROUND(I35*K35,0)</f>
        <v>0</v>
      </c>
      <c r="N35" s="536" t="s">
        <v>2318</v>
      </c>
    </row>
    <row r="36" spans="1:14" ht="17.25" customHeight="1">
      <c r="A36" s="16">
        <v>2</v>
      </c>
      <c r="B36" s="1858" t="s">
        <v>303</v>
      </c>
      <c r="C36" s="1858"/>
      <c r="D36" s="1858"/>
      <c r="E36" s="1858"/>
      <c r="F36" s="1858"/>
      <c r="G36" s="1858"/>
      <c r="H36" s="1858"/>
      <c r="I36" s="537"/>
      <c r="J36" s="538"/>
      <c r="K36" s="16"/>
      <c r="L36" s="208"/>
      <c r="M36" s="38"/>
      <c r="N36" s="536" t="s">
        <v>2218</v>
      </c>
    </row>
    <row r="37" spans="1:14" s="544" customFormat="1" ht="16.5" customHeight="1">
      <c r="A37" s="16"/>
      <c r="B37" s="39" t="s">
        <v>3100</v>
      </c>
      <c r="C37" s="537"/>
      <c r="D37" s="1145" t="s">
        <v>3344</v>
      </c>
      <c r="E37" s="540"/>
      <c r="F37" s="541"/>
      <c r="G37" s="541"/>
      <c r="H37" s="541"/>
      <c r="I37" s="542"/>
      <c r="J37" s="553"/>
      <c r="K37" s="39"/>
      <c r="L37" s="208"/>
      <c r="M37" s="39"/>
      <c r="N37" s="536" t="s">
        <v>2218</v>
      </c>
    </row>
    <row r="38" spans="1:14" s="544" customFormat="1" ht="16.5" customHeight="1">
      <c r="A38" s="16"/>
      <c r="B38" s="39"/>
      <c r="C38" s="537">
        <v>1</v>
      </c>
      <c r="D38" s="539" t="s">
        <v>273</v>
      </c>
      <c r="E38" s="540">
        <v>1</v>
      </c>
      <c r="F38" s="541">
        <v>2.72</v>
      </c>
      <c r="G38" s="541">
        <v>0.23</v>
      </c>
      <c r="H38" s="541">
        <v>0.3</v>
      </c>
      <c r="I38" s="545">
        <f t="shared" ref="I38:I39" si="4">ROUND(IF(AND(F38:H38),C38*E38*F38*G38*H38,IF(AND(F38,G38),C38*E38*F38*G38,IF(AND(F38,H38),C38*E38*F38*H38,IF(AND(G38,H38),C38*E38*G38*H38,IF(F38,C38*E38*F38,IF(G38,C38*E38*G38,IF(H38,C38*E38*H38,C38*E38))))))),2)</f>
        <v>0.19</v>
      </c>
      <c r="J38" s="553" t="s">
        <v>5</v>
      </c>
      <c r="K38" s="39"/>
      <c r="L38" s="208"/>
      <c r="M38" s="39"/>
      <c r="N38" s="536" t="s">
        <v>2218</v>
      </c>
    </row>
    <row r="39" spans="1:14" s="544" customFormat="1" ht="16.5" customHeight="1">
      <c r="A39" s="16"/>
      <c r="B39" s="39" t="s">
        <v>3145</v>
      </c>
      <c r="C39" s="537">
        <v>1</v>
      </c>
      <c r="D39" s="539" t="s">
        <v>273</v>
      </c>
      <c r="E39" s="540">
        <v>2</v>
      </c>
      <c r="F39" s="541">
        <v>1</v>
      </c>
      <c r="G39" s="541">
        <v>0.23</v>
      </c>
      <c r="H39" s="541">
        <v>0.3</v>
      </c>
      <c r="I39" s="545">
        <f t="shared" si="4"/>
        <v>0.14000000000000001</v>
      </c>
      <c r="J39" s="553" t="s">
        <v>5</v>
      </c>
      <c r="K39" s="39"/>
      <c r="L39" s="208"/>
      <c r="M39" s="39"/>
      <c r="N39" s="536" t="s">
        <v>2218</v>
      </c>
    </row>
    <row r="40" spans="1:14" s="544" customFormat="1" ht="16.5" customHeight="1">
      <c r="A40" s="16"/>
      <c r="B40" s="39" t="s">
        <v>3101</v>
      </c>
      <c r="C40" s="537"/>
      <c r="D40" s="1145" t="s">
        <v>3345</v>
      </c>
      <c r="E40" s="540"/>
      <c r="F40" s="541"/>
      <c r="G40" s="541"/>
      <c r="H40" s="541"/>
      <c r="I40" s="542"/>
      <c r="J40" s="553"/>
      <c r="K40" s="39"/>
      <c r="L40" s="208"/>
      <c r="M40" s="39"/>
      <c r="N40" s="536" t="s">
        <v>2218</v>
      </c>
    </row>
    <row r="41" spans="1:14" s="544" customFormat="1" ht="16.5" customHeight="1">
      <c r="A41" s="16"/>
      <c r="B41" s="39" t="s">
        <v>3148</v>
      </c>
      <c r="C41" s="537">
        <v>1</v>
      </c>
      <c r="D41" s="539" t="s">
        <v>273</v>
      </c>
      <c r="E41" s="540">
        <v>1</v>
      </c>
      <c r="F41" s="541">
        <v>3.27</v>
      </c>
      <c r="G41" s="541">
        <v>0.23</v>
      </c>
      <c r="H41" s="541">
        <v>0.3</v>
      </c>
      <c r="I41" s="545">
        <f t="shared" ref="I41:I52" si="5">ROUND(IF(AND(F41:H41),C41*E41*F41*G41*H41,IF(AND(F41,G41),C41*E41*F41*G41,IF(AND(F41,H41),C41*E41*F41*H41,IF(AND(G41,H41),C41*E41*G41*H41,IF(F41,C41*E41*F41,IF(G41,C41*E41*G41,IF(H41,C41*E41*H41,C41*E41))))))),2)</f>
        <v>0.23</v>
      </c>
      <c r="J41" s="553" t="s">
        <v>5</v>
      </c>
      <c r="K41" s="39"/>
      <c r="L41" s="208"/>
      <c r="M41" s="39"/>
      <c r="N41" s="536" t="s">
        <v>2218</v>
      </c>
    </row>
    <row r="42" spans="1:14" s="544" customFormat="1" ht="16.5" customHeight="1">
      <c r="A42" s="16"/>
      <c r="B42" s="39"/>
      <c r="C42" s="537">
        <v>1</v>
      </c>
      <c r="D42" s="539" t="s">
        <v>273</v>
      </c>
      <c r="E42" s="540">
        <v>1</v>
      </c>
      <c r="F42" s="541">
        <v>5.45</v>
      </c>
      <c r="G42" s="541">
        <v>0.23</v>
      </c>
      <c r="H42" s="541">
        <v>0.38</v>
      </c>
      <c r="I42" s="545">
        <f t="shared" si="5"/>
        <v>0.48</v>
      </c>
      <c r="J42" s="553" t="s">
        <v>5</v>
      </c>
      <c r="K42" s="39"/>
      <c r="L42" s="208"/>
      <c r="M42" s="39"/>
      <c r="N42" s="536" t="s">
        <v>2218</v>
      </c>
    </row>
    <row r="43" spans="1:14" s="544" customFormat="1" ht="16.5" customHeight="1">
      <c r="A43" s="16"/>
      <c r="B43" s="39" t="s">
        <v>3149</v>
      </c>
      <c r="C43" s="537">
        <v>1</v>
      </c>
      <c r="D43" s="539" t="s">
        <v>273</v>
      </c>
      <c r="E43" s="540">
        <v>1</v>
      </c>
      <c r="F43" s="541">
        <v>3.27</v>
      </c>
      <c r="G43" s="541">
        <v>0.23</v>
      </c>
      <c r="H43" s="541">
        <v>0.3</v>
      </c>
      <c r="I43" s="545">
        <f t="shared" si="5"/>
        <v>0.23</v>
      </c>
      <c r="J43" s="553" t="s">
        <v>5</v>
      </c>
      <c r="K43" s="39"/>
      <c r="L43" s="208"/>
      <c r="M43" s="39"/>
      <c r="N43" s="536" t="s">
        <v>2218</v>
      </c>
    </row>
    <row r="44" spans="1:14" s="544" customFormat="1" ht="16.5" customHeight="1">
      <c r="A44" s="16"/>
      <c r="B44" s="39"/>
      <c r="C44" s="537">
        <v>1</v>
      </c>
      <c r="D44" s="539" t="s">
        <v>273</v>
      </c>
      <c r="E44" s="540">
        <v>1</v>
      </c>
      <c r="F44" s="541">
        <v>5.45</v>
      </c>
      <c r="G44" s="541">
        <v>0.23</v>
      </c>
      <c r="H44" s="541">
        <v>0.38</v>
      </c>
      <c r="I44" s="545">
        <f t="shared" si="5"/>
        <v>0.48</v>
      </c>
      <c r="J44" s="553" t="s">
        <v>5</v>
      </c>
      <c r="K44" s="39"/>
      <c r="L44" s="208"/>
      <c r="M44" s="39"/>
      <c r="N44" s="536" t="s">
        <v>2218</v>
      </c>
    </row>
    <row r="45" spans="1:14" s="544" customFormat="1" ht="16.5" customHeight="1">
      <c r="A45" s="16"/>
      <c r="B45" s="39" t="s">
        <v>3150</v>
      </c>
      <c r="C45" s="537">
        <v>1</v>
      </c>
      <c r="D45" s="539" t="s">
        <v>273</v>
      </c>
      <c r="E45" s="540">
        <v>1</v>
      </c>
      <c r="F45" s="541">
        <v>3.27</v>
      </c>
      <c r="G45" s="541">
        <v>0.23</v>
      </c>
      <c r="H45" s="541">
        <v>0.3</v>
      </c>
      <c r="I45" s="545">
        <f t="shared" si="5"/>
        <v>0.23</v>
      </c>
      <c r="J45" s="553" t="s">
        <v>5</v>
      </c>
      <c r="K45" s="39"/>
      <c r="L45" s="208"/>
      <c r="M45" s="39"/>
      <c r="N45" s="536" t="s">
        <v>2218</v>
      </c>
    </row>
    <row r="46" spans="1:14" s="544" customFormat="1" ht="16.5" customHeight="1">
      <c r="A46" s="16"/>
      <c r="B46" s="39"/>
      <c r="C46" s="537">
        <v>1</v>
      </c>
      <c r="D46" s="539" t="s">
        <v>273</v>
      </c>
      <c r="E46" s="540">
        <v>1</v>
      </c>
      <c r="F46" s="541">
        <v>5.45</v>
      </c>
      <c r="G46" s="541">
        <v>0.23</v>
      </c>
      <c r="H46" s="541">
        <v>0.38</v>
      </c>
      <c r="I46" s="545">
        <f t="shared" si="5"/>
        <v>0.48</v>
      </c>
      <c r="J46" s="553" t="s">
        <v>5</v>
      </c>
      <c r="K46" s="39"/>
      <c r="L46" s="208"/>
      <c r="M46" s="39"/>
      <c r="N46" s="536" t="s">
        <v>2218</v>
      </c>
    </row>
    <row r="47" spans="1:14" s="544" customFormat="1" ht="16.5" customHeight="1">
      <c r="A47" s="16"/>
      <c r="B47" s="39" t="s">
        <v>2926</v>
      </c>
      <c r="C47" s="537">
        <v>1</v>
      </c>
      <c r="D47" s="539" t="s">
        <v>273</v>
      </c>
      <c r="E47" s="540">
        <v>1</v>
      </c>
      <c r="F47" s="541">
        <v>4.2699999999999996</v>
      </c>
      <c r="G47" s="541">
        <v>0.23</v>
      </c>
      <c r="H47" s="541">
        <v>0.3</v>
      </c>
      <c r="I47" s="545">
        <f t="shared" si="5"/>
        <v>0.28999999999999998</v>
      </c>
      <c r="J47" s="553" t="s">
        <v>5</v>
      </c>
      <c r="K47" s="39"/>
      <c r="L47" s="208"/>
      <c r="M47" s="39"/>
      <c r="N47" s="536" t="s">
        <v>2218</v>
      </c>
    </row>
    <row r="48" spans="1:14" s="544" customFormat="1" ht="16.5" customHeight="1">
      <c r="A48" s="16"/>
      <c r="B48" s="39"/>
      <c r="C48" s="537">
        <v>1</v>
      </c>
      <c r="D48" s="539" t="s">
        <v>273</v>
      </c>
      <c r="E48" s="540">
        <v>1</v>
      </c>
      <c r="F48" s="541">
        <v>5.45</v>
      </c>
      <c r="G48" s="541">
        <v>0.23</v>
      </c>
      <c r="H48" s="541">
        <v>0.38</v>
      </c>
      <c r="I48" s="545">
        <f t="shared" si="5"/>
        <v>0.48</v>
      </c>
      <c r="J48" s="553" t="s">
        <v>5</v>
      </c>
      <c r="K48" s="39"/>
      <c r="L48" s="208"/>
      <c r="M48" s="39"/>
      <c r="N48" s="536" t="s">
        <v>2218</v>
      </c>
    </row>
    <row r="49" spans="1:14" s="544" customFormat="1" ht="16.5" customHeight="1">
      <c r="A49" s="16"/>
      <c r="B49" s="39" t="s">
        <v>2927</v>
      </c>
      <c r="C49" s="537">
        <v>1</v>
      </c>
      <c r="D49" s="539" t="s">
        <v>273</v>
      </c>
      <c r="E49" s="540">
        <v>1</v>
      </c>
      <c r="F49" s="541">
        <v>4.2699999999999996</v>
      </c>
      <c r="G49" s="541">
        <v>0.23</v>
      </c>
      <c r="H49" s="541">
        <v>0.3</v>
      </c>
      <c r="I49" s="545">
        <f t="shared" si="5"/>
        <v>0.28999999999999998</v>
      </c>
      <c r="J49" s="553" t="s">
        <v>5</v>
      </c>
      <c r="K49" s="39"/>
      <c r="L49" s="208"/>
      <c r="M49" s="39"/>
      <c r="N49" s="536" t="s">
        <v>2218</v>
      </c>
    </row>
    <row r="50" spans="1:14" s="544" customFormat="1" ht="16.5" customHeight="1">
      <c r="A50" s="16"/>
      <c r="B50" s="39"/>
      <c r="C50" s="537">
        <v>1</v>
      </c>
      <c r="D50" s="539" t="s">
        <v>273</v>
      </c>
      <c r="E50" s="540">
        <v>1</v>
      </c>
      <c r="F50" s="541">
        <v>5.45</v>
      </c>
      <c r="G50" s="541">
        <v>0.23</v>
      </c>
      <c r="H50" s="541">
        <v>0.38</v>
      </c>
      <c r="I50" s="545">
        <f t="shared" si="5"/>
        <v>0.48</v>
      </c>
      <c r="J50" s="553" t="s">
        <v>5</v>
      </c>
      <c r="K50" s="39"/>
      <c r="L50" s="208"/>
      <c r="M50" s="39"/>
      <c r="N50" s="536" t="s">
        <v>2218</v>
      </c>
    </row>
    <row r="51" spans="1:14" s="544" customFormat="1" ht="16.5" customHeight="1">
      <c r="A51" s="16"/>
      <c r="B51" s="39" t="s">
        <v>2564</v>
      </c>
      <c r="C51" s="537">
        <v>1</v>
      </c>
      <c r="D51" s="539" t="s">
        <v>273</v>
      </c>
      <c r="E51" s="540">
        <v>1</v>
      </c>
      <c r="F51" s="541">
        <v>2.72</v>
      </c>
      <c r="G51" s="541">
        <v>0.23</v>
      </c>
      <c r="H51" s="541">
        <v>0.38</v>
      </c>
      <c r="I51" s="545">
        <f t="shared" si="5"/>
        <v>0.24</v>
      </c>
      <c r="J51" s="553" t="s">
        <v>5</v>
      </c>
      <c r="K51" s="39"/>
      <c r="L51" s="208"/>
      <c r="M51" s="39"/>
      <c r="N51" s="536" t="s">
        <v>2218</v>
      </c>
    </row>
    <row r="52" spans="1:14" s="544" customFormat="1" ht="16.5" customHeight="1">
      <c r="A52" s="16"/>
      <c r="B52" s="39" t="s">
        <v>2563</v>
      </c>
      <c r="C52" s="537">
        <v>1</v>
      </c>
      <c r="D52" s="539" t="s">
        <v>273</v>
      </c>
      <c r="E52" s="540">
        <v>1</v>
      </c>
      <c r="F52" s="541">
        <v>10.42</v>
      </c>
      <c r="G52" s="541">
        <v>0.23</v>
      </c>
      <c r="H52" s="541">
        <v>0.3</v>
      </c>
      <c r="I52" s="545">
        <f t="shared" si="5"/>
        <v>0.72</v>
      </c>
      <c r="J52" s="553" t="s">
        <v>5</v>
      </c>
      <c r="K52" s="39"/>
      <c r="L52" s="208"/>
      <c r="M52" s="39"/>
      <c r="N52" s="536" t="s">
        <v>2218</v>
      </c>
    </row>
    <row r="53" spans="1:14" s="544" customFormat="1" ht="16.5" customHeight="1">
      <c r="A53" s="16"/>
      <c r="B53" s="39" t="s">
        <v>2954</v>
      </c>
      <c r="C53" s="537">
        <v>1</v>
      </c>
      <c r="D53" s="539" t="s">
        <v>273</v>
      </c>
      <c r="E53" s="540">
        <v>5</v>
      </c>
      <c r="F53" s="541">
        <v>0.23</v>
      </c>
      <c r="G53" s="541">
        <v>0.23</v>
      </c>
      <c r="H53" s="541">
        <v>0.3</v>
      </c>
      <c r="I53" s="545">
        <f>-ROUND(IF(AND(F53:H53),C53*E53*F53*G53*H53,IF(AND(F53,G53),C53*E53*F53*G53,IF(AND(F53,H53),C53*E53*F53*H53,IF(AND(G53,H53),C53*E53*G53*H53,IF(F53,C53*E53*F53,IF(G53,C53*E53*G53,IF(H53,C53*E53*H53,C53*E53))))))),2)</f>
        <v>-0.08</v>
      </c>
      <c r="J53" s="553" t="s">
        <v>5</v>
      </c>
      <c r="K53" s="39"/>
      <c r="L53" s="208"/>
      <c r="M53" s="39"/>
      <c r="N53" s="536" t="s">
        <v>2218</v>
      </c>
    </row>
    <row r="54" spans="1:14" s="544" customFormat="1" ht="16.5" customHeight="1">
      <c r="A54" s="16"/>
      <c r="B54" s="39" t="s">
        <v>2928</v>
      </c>
      <c r="C54" s="537">
        <v>1</v>
      </c>
      <c r="D54" s="539" t="s">
        <v>273</v>
      </c>
      <c r="E54" s="540">
        <v>1</v>
      </c>
      <c r="F54" s="541">
        <v>13.37</v>
      </c>
      <c r="G54" s="541">
        <v>0.23</v>
      </c>
      <c r="H54" s="541">
        <v>0.3</v>
      </c>
      <c r="I54" s="545">
        <f t="shared" ref="I54" si="6">ROUND(IF(AND(F54:H54),C54*E54*F54*G54*H54,IF(AND(F54,G54),C54*E54*F54*G54,IF(AND(F54,H54),C54*E54*F54*H54,IF(AND(G54,H54),C54*E54*G54*H54,IF(F54,C54*E54*F54,IF(G54,C54*E54*G54,IF(H54,C54*E54*H54,C54*E54))))))),2)</f>
        <v>0.92</v>
      </c>
      <c r="J54" s="553" t="s">
        <v>5</v>
      </c>
      <c r="K54" s="39"/>
      <c r="L54" s="208"/>
      <c r="M54" s="39"/>
      <c r="N54" s="536" t="s">
        <v>2218</v>
      </c>
    </row>
    <row r="55" spans="1:14" s="544" customFormat="1" ht="16.5" customHeight="1">
      <c r="A55" s="16"/>
      <c r="B55" s="39" t="s">
        <v>2954</v>
      </c>
      <c r="C55" s="537">
        <v>1</v>
      </c>
      <c r="D55" s="539" t="s">
        <v>273</v>
      </c>
      <c r="E55" s="540">
        <v>5</v>
      </c>
      <c r="F55" s="541">
        <v>0.23</v>
      </c>
      <c r="G55" s="541">
        <v>0.23</v>
      </c>
      <c r="H55" s="541">
        <v>0.3</v>
      </c>
      <c r="I55" s="545">
        <f>-ROUND(IF(AND(F55:H55),C55*E55*F55*G55*H55,IF(AND(F55,G55),C55*E55*F55*G55,IF(AND(F55,H55),C55*E55*F55*H55,IF(AND(G55,H55),C55*E55*G55*H55,IF(F55,C55*E55*F55,IF(G55,C55*E55*G55,IF(H55,C55*E55*H55,C55*E55))))))),2)</f>
        <v>-0.08</v>
      </c>
      <c r="J55" s="553" t="s">
        <v>5</v>
      </c>
      <c r="K55" s="39"/>
      <c r="L55" s="208"/>
      <c r="M55" s="39"/>
      <c r="N55" s="536" t="s">
        <v>2218</v>
      </c>
    </row>
    <row r="56" spans="1:14" s="544" customFormat="1" ht="16.5" customHeight="1">
      <c r="A56" s="16"/>
      <c r="B56" s="39" t="s">
        <v>2929</v>
      </c>
      <c r="C56" s="537">
        <v>1</v>
      </c>
      <c r="D56" s="539" t="s">
        <v>273</v>
      </c>
      <c r="E56" s="540">
        <v>1</v>
      </c>
      <c r="F56" s="541">
        <v>13.37</v>
      </c>
      <c r="G56" s="541">
        <v>0.23</v>
      </c>
      <c r="H56" s="541">
        <v>0.3</v>
      </c>
      <c r="I56" s="545">
        <f t="shared" ref="I56" si="7">ROUND(IF(AND(F56:H56),C56*E56*F56*G56*H56,IF(AND(F56,G56),C56*E56*F56*G56,IF(AND(F56,H56),C56*E56*F56*H56,IF(AND(G56,H56),C56*E56*G56*H56,IF(F56,C56*E56*F56,IF(G56,C56*E56*G56,IF(H56,C56*E56*H56,C56*E56))))))),2)</f>
        <v>0.92</v>
      </c>
      <c r="J56" s="553" t="s">
        <v>5</v>
      </c>
      <c r="K56" s="39"/>
      <c r="L56" s="208"/>
      <c r="M56" s="39"/>
      <c r="N56" s="536" t="s">
        <v>2218</v>
      </c>
    </row>
    <row r="57" spans="1:14" s="544" customFormat="1" ht="16.5" customHeight="1">
      <c r="A57" s="16"/>
      <c r="B57" s="39" t="s">
        <v>2954</v>
      </c>
      <c r="C57" s="537">
        <v>1</v>
      </c>
      <c r="D57" s="539" t="s">
        <v>273</v>
      </c>
      <c r="E57" s="540">
        <v>5</v>
      </c>
      <c r="F57" s="541">
        <v>0.23</v>
      </c>
      <c r="G57" s="541">
        <v>0.23</v>
      </c>
      <c r="H57" s="541">
        <v>0.3</v>
      </c>
      <c r="I57" s="545">
        <f>-ROUND(IF(AND(F57:H57),C57*E57*F57*G57*H57,IF(AND(F57,G57),C57*E57*F57*G57,IF(AND(F57,H57),C57*E57*F57*H57,IF(AND(G57,H57),C57*E57*G57*H57,IF(F57,C57*E57*F57,IF(G57,C57*E57*G57,IF(H57,C57*E57*H57,C57*E57))))))),2)</f>
        <v>-0.08</v>
      </c>
      <c r="J57" s="553" t="s">
        <v>5</v>
      </c>
      <c r="K57" s="39"/>
      <c r="L57" s="208"/>
      <c r="M57" s="39"/>
      <c r="N57" s="536" t="s">
        <v>2218</v>
      </c>
    </row>
    <row r="58" spans="1:14" s="544" customFormat="1" ht="16.5" customHeight="1">
      <c r="A58" s="16"/>
      <c r="B58" s="39"/>
      <c r="C58" s="537"/>
      <c r="D58" s="539"/>
      <c r="E58" s="540"/>
      <c r="F58" s="541"/>
      <c r="G58" s="541"/>
      <c r="H58" s="541"/>
      <c r="I58" s="545"/>
      <c r="J58" s="553"/>
      <c r="K58" s="39"/>
      <c r="L58" s="208"/>
      <c r="M58" s="39"/>
      <c r="N58" s="536" t="s">
        <v>2218</v>
      </c>
    </row>
    <row r="59" spans="1:14" ht="15.75">
      <c r="A59" s="16"/>
      <c r="B59" s="39"/>
      <c r="C59" s="554"/>
      <c r="D59" s="555"/>
      <c r="E59" s="540"/>
      <c r="F59" s="541"/>
      <c r="G59" s="40"/>
      <c r="H59" s="16"/>
      <c r="I59" s="552"/>
      <c r="J59" s="553" t="s">
        <v>5</v>
      </c>
      <c r="K59" s="10">
        <f>data!F182</f>
        <v>9468.130000000001</v>
      </c>
      <c r="L59" s="208" t="s">
        <v>2218</v>
      </c>
      <c r="M59" s="9">
        <f>ROUND(I59*K59,0)</f>
        <v>0</v>
      </c>
      <c r="N59" s="536" t="s">
        <v>2218</v>
      </c>
    </row>
    <row r="60" spans="1:14" ht="17.25" customHeight="1">
      <c r="A60" s="16">
        <v>2</v>
      </c>
      <c r="B60" s="1859" t="s">
        <v>303</v>
      </c>
      <c r="C60" s="1860"/>
      <c r="D60" s="1860"/>
      <c r="E60" s="1860"/>
      <c r="F60" s="1860"/>
      <c r="G60" s="1860"/>
      <c r="H60" s="1861"/>
      <c r="I60" s="537"/>
      <c r="J60" s="538"/>
      <c r="K60" s="16"/>
      <c r="L60" s="208"/>
      <c r="M60" s="38"/>
      <c r="N60" s="536" t="s">
        <v>2306</v>
      </c>
    </row>
    <row r="61" spans="1:14" s="544" customFormat="1" ht="16.5" customHeight="1">
      <c r="A61" s="16"/>
      <c r="B61" s="39" t="s">
        <v>2878</v>
      </c>
      <c r="C61" s="537"/>
      <c r="D61" s="539"/>
      <c r="E61" s="540"/>
      <c r="F61" s="541"/>
      <c r="G61" s="541"/>
      <c r="H61" s="541"/>
      <c r="I61" s="542"/>
      <c r="J61" s="553"/>
      <c r="K61" s="39"/>
      <c r="L61" s="208"/>
      <c r="M61" s="39"/>
      <c r="N61" s="536" t="s">
        <v>2306</v>
      </c>
    </row>
    <row r="62" spans="1:14" s="544" customFormat="1" ht="16.5" customHeight="1">
      <c r="A62" s="16"/>
      <c r="B62" s="39" t="s">
        <v>1528</v>
      </c>
      <c r="C62" s="537">
        <v>1</v>
      </c>
      <c r="D62" s="539" t="s">
        <v>273</v>
      </c>
      <c r="E62" s="540">
        <v>1</v>
      </c>
      <c r="F62" s="541">
        <v>2.72</v>
      </c>
      <c r="G62" s="541">
        <v>0.23</v>
      </c>
      <c r="H62" s="541">
        <v>0.3</v>
      </c>
      <c r="I62" s="545">
        <f t="shared" ref="I62:I64" si="8">ROUND(IF(AND(F62:H62),C62*E62*F62*G62*H62,IF(AND(F62,G62),C62*E62*F62*G62,IF(AND(F62,H62),C62*E62*F62*H62,IF(AND(G62,H62),C62*E62*G62*H62,IF(F62,C62*E62*F62,IF(G62,C62*E62*G62,IF(H62,C62*E62*H62,C62*E62))))))),2)</f>
        <v>0.19</v>
      </c>
      <c r="J62" s="553" t="s">
        <v>5</v>
      </c>
      <c r="K62" s="39"/>
      <c r="L62" s="208"/>
      <c r="M62" s="39"/>
      <c r="N62" s="536" t="s">
        <v>2306</v>
      </c>
    </row>
    <row r="63" spans="1:14" s="544" customFormat="1" ht="16.5" customHeight="1">
      <c r="A63" s="16"/>
      <c r="B63" s="39" t="s">
        <v>1529</v>
      </c>
      <c r="C63" s="537">
        <v>1</v>
      </c>
      <c r="D63" s="539" t="s">
        <v>273</v>
      </c>
      <c r="E63" s="540">
        <v>2</v>
      </c>
      <c r="F63" s="541">
        <v>1</v>
      </c>
      <c r="G63" s="541">
        <v>0.23</v>
      </c>
      <c r="H63" s="541">
        <v>0.3</v>
      </c>
      <c r="I63" s="545">
        <f t="shared" si="8"/>
        <v>0.14000000000000001</v>
      </c>
      <c r="J63" s="553" t="s">
        <v>5</v>
      </c>
      <c r="K63" s="39"/>
      <c r="L63" s="208"/>
      <c r="M63" s="39"/>
      <c r="N63" s="536" t="s">
        <v>2306</v>
      </c>
    </row>
    <row r="64" spans="1:14" s="544" customFormat="1" ht="16.5" customHeight="1">
      <c r="A64" s="16"/>
      <c r="B64" s="39" t="s">
        <v>2554</v>
      </c>
      <c r="C64" s="537">
        <v>11</v>
      </c>
      <c r="D64" s="539" t="s">
        <v>273</v>
      </c>
      <c r="E64" s="540">
        <v>0.5</v>
      </c>
      <c r="F64" s="541">
        <v>1.3</v>
      </c>
      <c r="G64" s="541">
        <v>0.3</v>
      </c>
      <c r="H64" s="541">
        <v>0.15</v>
      </c>
      <c r="I64" s="545">
        <f t="shared" si="8"/>
        <v>0.32</v>
      </c>
      <c r="J64" s="553" t="s">
        <v>5</v>
      </c>
      <c r="K64" s="39"/>
      <c r="L64" s="208"/>
      <c r="M64" s="39"/>
      <c r="N64" s="536" t="s">
        <v>2306</v>
      </c>
    </row>
    <row r="65" spans="1:14" s="544" customFormat="1" ht="16.5" customHeight="1">
      <c r="A65" s="16"/>
      <c r="B65" s="39" t="s">
        <v>2879</v>
      </c>
      <c r="C65" s="537"/>
      <c r="D65" s="539"/>
      <c r="E65" s="540"/>
      <c r="F65" s="541"/>
      <c r="G65" s="541"/>
      <c r="H65" s="541"/>
      <c r="I65" s="545"/>
      <c r="J65" s="553"/>
      <c r="K65" s="39"/>
      <c r="L65" s="208"/>
      <c r="M65" s="39"/>
      <c r="N65" s="536" t="s">
        <v>2306</v>
      </c>
    </row>
    <row r="66" spans="1:14" s="544" customFormat="1" ht="16.5" customHeight="1">
      <c r="A66" s="16"/>
      <c r="B66" s="39" t="s">
        <v>2560</v>
      </c>
      <c r="C66" s="537">
        <v>1</v>
      </c>
      <c r="D66" s="539" t="s">
        <v>273</v>
      </c>
      <c r="E66" s="540">
        <v>5</v>
      </c>
      <c r="F66" s="541">
        <v>3.16</v>
      </c>
      <c r="G66" s="541">
        <v>0.23</v>
      </c>
      <c r="H66" s="541">
        <v>0.3</v>
      </c>
      <c r="I66" s="545">
        <f t="shared" ref="I66:I70" si="9">ROUND(IF(AND(F66:H66),C66*E66*F66*G66*H66,IF(AND(F66,G66),C66*E66*F66*G66,IF(AND(F66,H66),C66*E66*F66*H66,IF(AND(G66,H66),C66*E66*G66*H66,IF(F66,C66*E66*F66,IF(G66,C66*E66*G66,IF(H66,C66*E66*H66,C66*E66))))))),2)</f>
        <v>1.0900000000000001</v>
      </c>
      <c r="J66" s="553" t="s">
        <v>5</v>
      </c>
      <c r="K66" s="39"/>
      <c r="L66" s="208"/>
      <c r="M66" s="39"/>
      <c r="N66" s="536" t="s">
        <v>2306</v>
      </c>
    </row>
    <row r="67" spans="1:14" s="544" customFormat="1" ht="16.5" customHeight="1">
      <c r="A67" s="16"/>
      <c r="B67" s="39" t="s">
        <v>2561</v>
      </c>
      <c r="C67" s="537">
        <v>1</v>
      </c>
      <c r="D67" s="539" t="s">
        <v>273</v>
      </c>
      <c r="E67" s="540">
        <v>5</v>
      </c>
      <c r="F67" s="541">
        <v>4.99</v>
      </c>
      <c r="G67" s="541">
        <v>0.23</v>
      </c>
      <c r="H67" s="541">
        <v>0.38</v>
      </c>
      <c r="I67" s="545">
        <f t="shared" si="9"/>
        <v>2.1800000000000002</v>
      </c>
      <c r="J67" s="553" t="s">
        <v>5</v>
      </c>
      <c r="K67" s="39"/>
      <c r="L67" s="208"/>
      <c r="M67" s="39"/>
      <c r="N67" s="536" t="s">
        <v>2306</v>
      </c>
    </row>
    <row r="68" spans="1:14" s="544" customFormat="1" ht="16.5" customHeight="1">
      <c r="A68" s="16"/>
      <c r="B68" s="39" t="s">
        <v>2562</v>
      </c>
      <c r="C68" s="537">
        <v>1</v>
      </c>
      <c r="D68" s="539" t="s">
        <v>273</v>
      </c>
      <c r="E68" s="540">
        <v>2</v>
      </c>
      <c r="F68" s="541">
        <v>12.475</v>
      </c>
      <c r="G68" s="541">
        <v>0.23</v>
      </c>
      <c r="H68" s="541">
        <v>0.3</v>
      </c>
      <c r="I68" s="545">
        <f t="shared" si="9"/>
        <v>1.72</v>
      </c>
      <c r="J68" s="553" t="s">
        <v>5</v>
      </c>
      <c r="K68" s="39"/>
      <c r="L68" s="208"/>
      <c r="M68" s="39"/>
      <c r="N68" s="536" t="s">
        <v>2306</v>
      </c>
    </row>
    <row r="69" spans="1:14" s="544" customFormat="1" ht="16.5" customHeight="1">
      <c r="A69" s="16"/>
      <c r="B69" s="39" t="s">
        <v>2563</v>
      </c>
      <c r="C69" s="537">
        <v>1</v>
      </c>
      <c r="D69" s="539" t="s">
        <v>273</v>
      </c>
      <c r="E69" s="540">
        <v>1</v>
      </c>
      <c r="F69" s="541">
        <v>9.52</v>
      </c>
      <c r="G69" s="541">
        <v>0.23</v>
      </c>
      <c r="H69" s="541">
        <v>0.3</v>
      </c>
      <c r="I69" s="545">
        <f t="shared" si="9"/>
        <v>0.66</v>
      </c>
      <c r="J69" s="553" t="s">
        <v>5</v>
      </c>
      <c r="K69" s="39"/>
      <c r="L69" s="208"/>
      <c r="M69" s="39"/>
      <c r="N69" s="536" t="s">
        <v>2306</v>
      </c>
    </row>
    <row r="70" spans="1:14" s="544" customFormat="1" ht="16.5" customHeight="1">
      <c r="A70" s="16"/>
      <c r="B70" s="39" t="s">
        <v>2564</v>
      </c>
      <c r="C70" s="537">
        <v>1</v>
      </c>
      <c r="D70" s="539" t="s">
        <v>273</v>
      </c>
      <c r="E70" s="540">
        <v>1</v>
      </c>
      <c r="F70" s="541">
        <v>4.95</v>
      </c>
      <c r="G70" s="541">
        <v>0.23</v>
      </c>
      <c r="H70" s="541">
        <v>0.3</v>
      </c>
      <c r="I70" s="545">
        <f t="shared" si="9"/>
        <v>0.34</v>
      </c>
      <c r="J70" s="553" t="s">
        <v>5</v>
      </c>
      <c r="K70" s="39"/>
      <c r="L70" s="208"/>
      <c r="M70" s="39"/>
      <c r="N70" s="536" t="s">
        <v>2306</v>
      </c>
    </row>
    <row r="71" spans="1:14" s="544" customFormat="1" ht="16.5" customHeight="1">
      <c r="A71" s="16"/>
      <c r="B71" s="39" t="s">
        <v>2880</v>
      </c>
      <c r="C71" s="537"/>
      <c r="D71" s="539"/>
      <c r="E71" s="540"/>
      <c r="F71" s="541"/>
      <c r="G71" s="541"/>
      <c r="H71" s="541"/>
      <c r="I71" s="542"/>
      <c r="J71" s="553"/>
      <c r="K71" s="39"/>
      <c r="L71" s="208"/>
      <c r="M71" s="39"/>
      <c r="N71" s="536" t="s">
        <v>2306</v>
      </c>
    </row>
    <row r="72" spans="1:14" s="544" customFormat="1" ht="16.5" customHeight="1">
      <c r="A72" s="16"/>
      <c r="B72" s="39" t="s">
        <v>2554</v>
      </c>
      <c r="C72" s="537">
        <v>11</v>
      </c>
      <c r="D72" s="539" t="s">
        <v>273</v>
      </c>
      <c r="E72" s="540">
        <v>0.5</v>
      </c>
      <c r="F72" s="541">
        <v>1.3</v>
      </c>
      <c r="G72" s="541">
        <v>0.3</v>
      </c>
      <c r="H72" s="541">
        <v>0.15</v>
      </c>
      <c r="I72" s="545">
        <f t="shared" ref="I72" si="10">ROUND(IF(AND(F72:H72),C72*E72*F72*G72*H72,IF(AND(F72,G72),C72*E72*F72*G72,IF(AND(F72,H72),C72*E72*F72*H72,IF(AND(G72,H72),C72*E72*G72*H72,IF(F72,C72*E72*F72,IF(G72,C72*E72*G72,IF(H72,C72*E72*H72,C72*E72))))))),2)</f>
        <v>0.32</v>
      </c>
      <c r="J72" s="553" t="s">
        <v>5</v>
      </c>
      <c r="K72" s="39"/>
      <c r="L72" s="208"/>
      <c r="M72" s="39"/>
      <c r="N72" s="536" t="s">
        <v>2306</v>
      </c>
    </row>
    <row r="73" spans="1:14" s="544" customFormat="1" ht="16.5" customHeight="1">
      <c r="A73" s="16"/>
      <c r="B73" s="547"/>
      <c r="C73" s="548"/>
      <c r="D73" s="549"/>
      <c r="E73" s="550"/>
      <c r="F73" s="551"/>
      <c r="G73" s="551"/>
      <c r="H73" s="551"/>
      <c r="I73" s="552"/>
      <c r="J73" s="553"/>
      <c r="K73" s="39"/>
      <c r="L73" s="208"/>
      <c r="M73" s="39"/>
      <c r="N73" s="536" t="s">
        <v>2306</v>
      </c>
    </row>
    <row r="74" spans="1:14" ht="15.75">
      <c r="A74" s="16"/>
      <c r="B74" s="39"/>
      <c r="C74" s="554"/>
      <c r="D74" s="555"/>
      <c r="E74" s="540"/>
      <c r="F74" s="541"/>
      <c r="G74" s="40"/>
      <c r="H74" s="16"/>
      <c r="I74" s="552"/>
      <c r="J74" s="553" t="s">
        <v>5</v>
      </c>
      <c r="K74" s="10">
        <f>data!F1098</f>
        <v>9694.16</v>
      </c>
      <c r="L74" s="208" t="s">
        <v>2306</v>
      </c>
      <c r="M74" s="9">
        <f>ROUND(I74*K74,0)</f>
        <v>0</v>
      </c>
      <c r="N74" s="536" t="s">
        <v>2306</v>
      </c>
    </row>
    <row r="75" spans="1:14" ht="17.25" customHeight="1">
      <c r="A75" s="16">
        <v>2</v>
      </c>
      <c r="B75" s="1858" t="s">
        <v>303</v>
      </c>
      <c r="C75" s="1858"/>
      <c r="D75" s="1858"/>
      <c r="E75" s="1858"/>
      <c r="F75" s="1858"/>
      <c r="G75" s="1858"/>
      <c r="H75" s="1858"/>
      <c r="I75" s="537"/>
      <c r="J75" s="538"/>
      <c r="K75" s="16"/>
      <c r="L75" s="208"/>
      <c r="M75" s="38"/>
      <c r="N75" s="536" t="s">
        <v>2317</v>
      </c>
    </row>
    <row r="76" spans="1:14" s="544" customFormat="1" ht="16.5" customHeight="1">
      <c r="A76" s="16"/>
      <c r="B76" s="39" t="s">
        <v>3100</v>
      </c>
      <c r="C76" s="537"/>
      <c r="D76" s="539"/>
      <c r="E76" s="540"/>
      <c r="F76" s="541"/>
      <c r="G76" s="541"/>
      <c r="H76" s="541"/>
      <c r="I76" s="542"/>
      <c r="J76" s="553"/>
      <c r="K76" s="39"/>
      <c r="L76" s="208"/>
      <c r="M76" s="39"/>
      <c r="N76" s="536" t="s">
        <v>2317</v>
      </c>
    </row>
    <row r="77" spans="1:14" s="544" customFormat="1" ht="16.5" customHeight="1">
      <c r="A77" s="16"/>
      <c r="B77" s="39"/>
      <c r="C77" s="537">
        <v>1</v>
      </c>
      <c r="D77" s="539" t="s">
        <v>273</v>
      </c>
      <c r="E77" s="540">
        <v>1</v>
      </c>
      <c r="F77" s="541">
        <v>2.72</v>
      </c>
      <c r="G77" s="541">
        <v>0.23</v>
      </c>
      <c r="H77" s="541">
        <v>0.3</v>
      </c>
      <c r="I77" s="545">
        <f t="shared" ref="I77:I78" si="11">ROUND(IF(AND(F77:H77),C77*E77*F77*G77*H77,IF(AND(F77,G77),C77*E77*F77*G77,IF(AND(F77,H77),C77*E77*F77*H77,IF(AND(G77,H77),C77*E77*G77*H77,IF(F77,C77*E77*F77,IF(G77,C77*E77*G77,IF(H77,C77*E77*H77,C77*E77))))))),2)</f>
        <v>0.19</v>
      </c>
      <c r="J77" s="553" t="s">
        <v>5</v>
      </c>
      <c r="K77" s="39"/>
      <c r="L77" s="208"/>
      <c r="M77" s="39"/>
      <c r="N77" s="536" t="s">
        <v>2317</v>
      </c>
    </row>
    <row r="78" spans="1:14" s="544" customFormat="1" ht="16.5" customHeight="1">
      <c r="A78" s="16"/>
      <c r="B78" s="39"/>
      <c r="C78" s="537">
        <v>1</v>
      </c>
      <c r="D78" s="539" t="s">
        <v>273</v>
      </c>
      <c r="E78" s="540">
        <v>2</v>
      </c>
      <c r="F78" s="541">
        <v>1</v>
      </c>
      <c r="G78" s="541">
        <v>0.23</v>
      </c>
      <c r="H78" s="541">
        <v>0.3</v>
      </c>
      <c r="I78" s="545">
        <f t="shared" si="11"/>
        <v>0.14000000000000001</v>
      </c>
      <c r="J78" s="553" t="s">
        <v>5</v>
      </c>
      <c r="K78" s="39"/>
      <c r="L78" s="208"/>
      <c r="M78" s="39"/>
      <c r="N78" s="536" t="s">
        <v>2317</v>
      </c>
    </row>
    <row r="79" spans="1:14" s="544" customFormat="1" ht="16.5" customHeight="1">
      <c r="A79" s="16"/>
      <c r="B79" s="39" t="s">
        <v>3101</v>
      </c>
      <c r="C79" s="537"/>
      <c r="D79" s="539"/>
      <c r="E79" s="540"/>
      <c r="F79" s="541"/>
      <c r="G79" s="541"/>
      <c r="H79" s="541"/>
      <c r="I79" s="542"/>
      <c r="J79" s="553"/>
      <c r="K79" s="39"/>
      <c r="L79" s="208"/>
      <c r="M79" s="39"/>
      <c r="N79" s="536" t="s">
        <v>2317</v>
      </c>
    </row>
    <row r="80" spans="1:14" s="544" customFormat="1" ht="16.5" customHeight="1">
      <c r="A80" s="16"/>
      <c r="B80" s="39"/>
      <c r="C80" s="537">
        <v>1</v>
      </c>
      <c r="D80" s="539" t="s">
        <v>273</v>
      </c>
      <c r="E80" s="540">
        <v>1</v>
      </c>
      <c r="F80" s="541">
        <v>3.27</v>
      </c>
      <c r="G80" s="541">
        <v>0.23</v>
      </c>
      <c r="H80" s="541">
        <v>0.3</v>
      </c>
      <c r="I80" s="545">
        <f t="shared" ref="I80:I91" si="12">ROUND(IF(AND(F80:H80),C80*E80*F80*G80*H80,IF(AND(F80,G80),C80*E80*F80*G80,IF(AND(F80,H80),C80*E80*F80*H80,IF(AND(G80,H80),C80*E80*G80*H80,IF(F80,C80*E80*F80,IF(G80,C80*E80*G80,IF(H80,C80*E80*H80,C80*E80))))))),2)</f>
        <v>0.23</v>
      </c>
      <c r="J80" s="553" t="s">
        <v>5</v>
      </c>
      <c r="K80" s="39"/>
      <c r="L80" s="208"/>
      <c r="M80" s="39"/>
      <c r="N80" s="536" t="s">
        <v>2317</v>
      </c>
    </row>
    <row r="81" spans="1:14" s="544" customFormat="1" ht="16.5" customHeight="1">
      <c r="A81" s="16"/>
      <c r="B81" s="39"/>
      <c r="C81" s="537">
        <v>1</v>
      </c>
      <c r="D81" s="539" t="s">
        <v>273</v>
      </c>
      <c r="E81" s="540">
        <v>1</v>
      </c>
      <c r="F81" s="541">
        <v>5.45</v>
      </c>
      <c r="G81" s="541">
        <v>0.23</v>
      </c>
      <c r="H81" s="541">
        <v>0.38</v>
      </c>
      <c r="I81" s="545">
        <f t="shared" si="12"/>
        <v>0.48</v>
      </c>
      <c r="J81" s="553" t="s">
        <v>5</v>
      </c>
      <c r="K81" s="39"/>
      <c r="L81" s="208"/>
      <c r="M81" s="39"/>
      <c r="N81" s="536" t="s">
        <v>2317</v>
      </c>
    </row>
    <row r="82" spans="1:14" s="544" customFormat="1" ht="16.5" customHeight="1">
      <c r="A82" s="16"/>
      <c r="B82" s="39"/>
      <c r="C82" s="537">
        <v>1</v>
      </c>
      <c r="D82" s="539" t="s">
        <v>273</v>
      </c>
      <c r="E82" s="540">
        <v>1</v>
      </c>
      <c r="F82" s="541">
        <v>3.27</v>
      </c>
      <c r="G82" s="541">
        <v>0.23</v>
      </c>
      <c r="H82" s="541">
        <v>0.3</v>
      </c>
      <c r="I82" s="545">
        <f t="shared" si="12"/>
        <v>0.23</v>
      </c>
      <c r="J82" s="553" t="s">
        <v>5</v>
      </c>
      <c r="K82" s="39"/>
      <c r="L82" s="208"/>
      <c r="M82" s="39"/>
      <c r="N82" s="536" t="s">
        <v>2317</v>
      </c>
    </row>
    <row r="83" spans="1:14" s="544" customFormat="1" ht="16.5" customHeight="1">
      <c r="A83" s="16"/>
      <c r="B83" s="39"/>
      <c r="C83" s="537">
        <v>1</v>
      </c>
      <c r="D83" s="539" t="s">
        <v>273</v>
      </c>
      <c r="E83" s="540">
        <v>1</v>
      </c>
      <c r="F83" s="541">
        <v>5.45</v>
      </c>
      <c r="G83" s="541">
        <v>0.23</v>
      </c>
      <c r="H83" s="541">
        <v>0.38</v>
      </c>
      <c r="I83" s="545">
        <f t="shared" si="12"/>
        <v>0.48</v>
      </c>
      <c r="J83" s="553" t="s">
        <v>5</v>
      </c>
      <c r="K83" s="39"/>
      <c r="L83" s="208"/>
      <c r="M83" s="39"/>
      <c r="N83" s="536" t="s">
        <v>2317</v>
      </c>
    </row>
    <row r="84" spans="1:14" s="544" customFormat="1" ht="16.5" customHeight="1">
      <c r="A84" s="16"/>
      <c r="B84" s="39"/>
      <c r="C84" s="537">
        <v>1</v>
      </c>
      <c r="D84" s="539" t="s">
        <v>273</v>
      </c>
      <c r="E84" s="540">
        <v>1</v>
      </c>
      <c r="F84" s="541">
        <v>3.27</v>
      </c>
      <c r="G84" s="541">
        <v>0.23</v>
      </c>
      <c r="H84" s="541">
        <v>0.3</v>
      </c>
      <c r="I84" s="545">
        <f t="shared" si="12"/>
        <v>0.23</v>
      </c>
      <c r="J84" s="553" t="s">
        <v>5</v>
      </c>
      <c r="K84" s="39"/>
      <c r="L84" s="208"/>
      <c r="M84" s="39"/>
      <c r="N84" s="536" t="s">
        <v>2317</v>
      </c>
    </row>
    <row r="85" spans="1:14" s="544" customFormat="1" ht="16.5" customHeight="1">
      <c r="A85" s="16"/>
      <c r="B85" s="39"/>
      <c r="C85" s="537">
        <v>1</v>
      </c>
      <c r="D85" s="539" t="s">
        <v>273</v>
      </c>
      <c r="E85" s="540">
        <v>1</v>
      </c>
      <c r="F85" s="541">
        <v>5.45</v>
      </c>
      <c r="G85" s="541">
        <v>0.23</v>
      </c>
      <c r="H85" s="541">
        <v>0.38</v>
      </c>
      <c r="I85" s="545">
        <f t="shared" si="12"/>
        <v>0.48</v>
      </c>
      <c r="J85" s="553" t="s">
        <v>5</v>
      </c>
      <c r="K85" s="39"/>
      <c r="L85" s="208"/>
      <c r="M85" s="39"/>
      <c r="N85" s="536" t="s">
        <v>2317</v>
      </c>
    </row>
    <row r="86" spans="1:14" s="544" customFormat="1" ht="16.5" customHeight="1">
      <c r="A86" s="16"/>
      <c r="B86" s="39"/>
      <c r="C86" s="537">
        <v>1</v>
      </c>
      <c r="D86" s="539" t="s">
        <v>273</v>
      </c>
      <c r="E86" s="540">
        <v>1</v>
      </c>
      <c r="F86" s="541">
        <v>4.2699999999999996</v>
      </c>
      <c r="G86" s="541">
        <v>0.23</v>
      </c>
      <c r="H86" s="541">
        <v>0.3</v>
      </c>
      <c r="I86" s="545">
        <f t="shared" si="12"/>
        <v>0.28999999999999998</v>
      </c>
      <c r="J86" s="553" t="s">
        <v>5</v>
      </c>
      <c r="K86" s="39"/>
      <c r="L86" s="208"/>
      <c r="M86" s="39"/>
      <c r="N86" s="536" t="s">
        <v>2317</v>
      </c>
    </row>
    <row r="87" spans="1:14" s="544" customFormat="1" ht="16.5" customHeight="1">
      <c r="A87" s="16"/>
      <c r="B87" s="39"/>
      <c r="C87" s="537">
        <v>1</v>
      </c>
      <c r="D87" s="539" t="s">
        <v>273</v>
      </c>
      <c r="E87" s="540">
        <v>1</v>
      </c>
      <c r="F87" s="541">
        <v>5.45</v>
      </c>
      <c r="G87" s="541">
        <v>0.23</v>
      </c>
      <c r="H87" s="541">
        <v>0.38</v>
      </c>
      <c r="I87" s="545">
        <f t="shared" si="12"/>
        <v>0.48</v>
      </c>
      <c r="J87" s="553" t="s">
        <v>5</v>
      </c>
      <c r="K87" s="39"/>
      <c r="L87" s="208"/>
      <c r="M87" s="39"/>
      <c r="N87" s="536" t="s">
        <v>2317</v>
      </c>
    </row>
    <row r="88" spans="1:14" s="544" customFormat="1" ht="16.5" customHeight="1">
      <c r="A88" s="16"/>
      <c r="B88" s="39"/>
      <c r="C88" s="537">
        <v>1</v>
      </c>
      <c r="D88" s="539" t="s">
        <v>273</v>
      </c>
      <c r="E88" s="540">
        <v>1</v>
      </c>
      <c r="F88" s="541">
        <v>4.2699999999999996</v>
      </c>
      <c r="G88" s="541">
        <v>0.23</v>
      </c>
      <c r="H88" s="541">
        <v>0.3</v>
      </c>
      <c r="I88" s="545">
        <f t="shared" si="12"/>
        <v>0.28999999999999998</v>
      </c>
      <c r="J88" s="553" t="s">
        <v>5</v>
      </c>
      <c r="K88" s="39"/>
      <c r="L88" s="208"/>
      <c r="M88" s="39"/>
      <c r="N88" s="536" t="s">
        <v>2317</v>
      </c>
    </row>
    <row r="89" spans="1:14" s="544" customFormat="1" ht="16.5" customHeight="1">
      <c r="A89" s="16"/>
      <c r="B89" s="39"/>
      <c r="C89" s="537">
        <v>1</v>
      </c>
      <c r="D89" s="539" t="s">
        <v>273</v>
      </c>
      <c r="E89" s="540">
        <v>1</v>
      </c>
      <c r="F89" s="541">
        <v>5.45</v>
      </c>
      <c r="G89" s="541">
        <v>0.23</v>
      </c>
      <c r="H89" s="541">
        <v>0.38</v>
      </c>
      <c r="I89" s="545">
        <f t="shared" si="12"/>
        <v>0.48</v>
      </c>
      <c r="J89" s="553" t="s">
        <v>5</v>
      </c>
      <c r="K89" s="39"/>
      <c r="L89" s="208"/>
      <c r="M89" s="39"/>
      <c r="N89" s="536" t="s">
        <v>2317</v>
      </c>
    </row>
    <row r="90" spans="1:14" s="544" customFormat="1" ht="16.5" customHeight="1">
      <c r="A90" s="16"/>
      <c r="B90" s="39"/>
      <c r="C90" s="537">
        <v>1</v>
      </c>
      <c r="D90" s="539" t="s">
        <v>273</v>
      </c>
      <c r="E90" s="540">
        <v>1</v>
      </c>
      <c r="F90" s="541">
        <v>2.72</v>
      </c>
      <c r="G90" s="541">
        <v>0.23</v>
      </c>
      <c r="H90" s="541">
        <v>0.38</v>
      </c>
      <c r="I90" s="545">
        <f t="shared" si="12"/>
        <v>0.24</v>
      </c>
      <c r="J90" s="553" t="s">
        <v>5</v>
      </c>
      <c r="K90" s="39"/>
      <c r="L90" s="208"/>
      <c r="M90" s="39"/>
      <c r="N90" s="536" t="s">
        <v>2317</v>
      </c>
    </row>
    <row r="91" spans="1:14" s="544" customFormat="1" ht="16.5" customHeight="1">
      <c r="A91" s="16"/>
      <c r="B91" s="39"/>
      <c r="C91" s="537">
        <v>1</v>
      </c>
      <c r="D91" s="539" t="s">
        <v>273</v>
      </c>
      <c r="E91" s="540">
        <v>1</v>
      </c>
      <c r="F91" s="541">
        <v>10.42</v>
      </c>
      <c r="G91" s="541">
        <v>0.23</v>
      </c>
      <c r="H91" s="541">
        <v>0.3</v>
      </c>
      <c r="I91" s="545">
        <f t="shared" si="12"/>
        <v>0.72</v>
      </c>
      <c r="J91" s="553" t="s">
        <v>5</v>
      </c>
      <c r="K91" s="39"/>
      <c r="L91" s="208"/>
      <c r="M91" s="39"/>
      <c r="N91" s="536" t="s">
        <v>2317</v>
      </c>
    </row>
    <row r="92" spans="1:14" s="544" customFormat="1" ht="16.5" customHeight="1">
      <c r="A92" s="16"/>
      <c r="B92" s="39"/>
      <c r="C92" s="537">
        <v>1</v>
      </c>
      <c r="D92" s="539" t="s">
        <v>273</v>
      </c>
      <c r="E92" s="540">
        <v>5</v>
      </c>
      <c r="F92" s="541">
        <v>0.23</v>
      </c>
      <c r="G92" s="541">
        <v>0.23</v>
      </c>
      <c r="H92" s="541">
        <v>0.3</v>
      </c>
      <c r="I92" s="545">
        <f>-ROUND(IF(AND(F92:H92),C92*E92*F92*G92*H92,IF(AND(F92,G92),C92*E92*F92*G92,IF(AND(F92,H92),C92*E92*F92*H92,IF(AND(G92,H92),C92*E92*G92*H92,IF(F92,C92*E92*F92,IF(G92,C92*E92*G92,IF(H92,C92*E92*H92,C92*E92))))))),2)</f>
        <v>-0.08</v>
      </c>
      <c r="J92" s="553" t="s">
        <v>5</v>
      </c>
      <c r="K92" s="39"/>
      <c r="L92" s="208"/>
      <c r="M92" s="39"/>
      <c r="N92" s="536" t="s">
        <v>2317</v>
      </c>
    </row>
    <row r="93" spans="1:14" s="544" customFormat="1" ht="16.5" customHeight="1">
      <c r="A93" s="16"/>
      <c r="B93" s="39"/>
      <c r="C93" s="537">
        <v>1</v>
      </c>
      <c r="D93" s="539" t="s">
        <v>273</v>
      </c>
      <c r="E93" s="540">
        <v>1</v>
      </c>
      <c r="F93" s="541">
        <v>13.37</v>
      </c>
      <c r="G93" s="541">
        <v>0.23</v>
      </c>
      <c r="H93" s="541">
        <v>0.3</v>
      </c>
      <c r="I93" s="545">
        <f t="shared" ref="I93" si="13">ROUND(IF(AND(F93:H93),C93*E93*F93*G93*H93,IF(AND(F93,G93),C93*E93*F93*G93,IF(AND(F93,H93),C93*E93*F93*H93,IF(AND(G93,H93),C93*E93*G93*H93,IF(F93,C93*E93*F93,IF(G93,C93*E93*G93,IF(H93,C93*E93*H93,C93*E93))))))),2)</f>
        <v>0.92</v>
      </c>
      <c r="J93" s="553" t="s">
        <v>5</v>
      </c>
      <c r="K93" s="39"/>
      <c r="L93" s="208"/>
      <c r="M93" s="39"/>
      <c r="N93" s="536" t="s">
        <v>2317</v>
      </c>
    </row>
    <row r="94" spans="1:14" s="544" customFormat="1" ht="16.5" customHeight="1">
      <c r="A94" s="16"/>
      <c r="B94" s="39"/>
      <c r="C94" s="537">
        <v>1</v>
      </c>
      <c r="D94" s="539" t="s">
        <v>273</v>
      </c>
      <c r="E94" s="540">
        <v>5</v>
      </c>
      <c r="F94" s="541">
        <v>0.23</v>
      </c>
      <c r="G94" s="541">
        <v>0.23</v>
      </c>
      <c r="H94" s="541">
        <v>0.3</v>
      </c>
      <c r="I94" s="545">
        <f>-ROUND(IF(AND(F94:H94),C94*E94*F94*G94*H94,IF(AND(F94,G94),C94*E94*F94*G94,IF(AND(F94,H94),C94*E94*F94*H94,IF(AND(G94,H94),C94*E94*G94*H94,IF(F94,C94*E94*F94,IF(G94,C94*E94*G94,IF(H94,C94*E94*H94,C94*E94))))))),2)</f>
        <v>-0.08</v>
      </c>
      <c r="J94" s="553" t="s">
        <v>5</v>
      </c>
      <c r="K94" s="39"/>
      <c r="L94" s="208"/>
      <c r="M94" s="39"/>
      <c r="N94" s="536" t="s">
        <v>2317</v>
      </c>
    </row>
    <row r="95" spans="1:14" s="544" customFormat="1" ht="16.5" customHeight="1">
      <c r="A95" s="16"/>
      <c r="B95" s="39"/>
      <c r="C95" s="537">
        <v>1</v>
      </c>
      <c r="D95" s="539" t="s">
        <v>273</v>
      </c>
      <c r="E95" s="540">
        <v>1</v>
      </c>
      <c r="F95" s="541">
        <v>13.37</v>
      </c>
      <c r="G95" s="541">
        <v>0.23</v>
      </c>
      <c r="H95" s="541">
        <v>0.3</v>
      </c>
      <c r="I95" s="545">
        <f t="shared" ref="I95" si="14">ROUND(IF(AND(F95:H95),C95*E95*F95*G95*H95,IF(AND(F95,G95),C95*E95*F95*G95,IF(AND(F95,H95),C95*E95*F95*H95,IF(AND(G95,H95),C95*E95*G95*H95,IF(F95,C95*E95*F95,IF(G95,C95*E95*G95,IF(H95,C95*E95*H95,C95*E95))))))),2)</f>
        <v>0.92</v>
      </c>
      <c r="J95" s="553" t="s">
        <v>5</v>
      </c>
      <c r="K95" s="39"/>
      <c r="L95" s="208"/>
      <c r="M95" s="39"/>
      <c r="N95" s="536" t="s">
        <v>2317</v>
      </c>
    </row>
    <row r="96" spans="1:14" s="544" customFormat="1" ht="16.5" customHeight="1">
      <c r="A96" s="16"/>
      <c r="B96" s="39"/>
      <c r="C96" s="537">
        <v>1</v>
      </c>
      <c r="D96" s="539" t="s">
        <v>273</v>
      </c>
      <c r="E96" s="540">
        <v>5</v>
      </c>
      <c r="F96" s="541">
        <v>0.23</v>
      </c>
      <c r="G96" s="541">
        <v>0.23</v>
      </c>
      <c r="H96" s="541">
        <v>0.3</v>
      </c>
      <c r="I96" s="545">
        <f>-ROUND(IF(AND(F96:H96),C96*E96*F96*G96*H96,IF(AND(F96,G96),C96*E96*F96*G96,IF(AND(F96,H96),C96*E96*F96*H96,IF(AND(G96,H96),C96*E96*G96*H96,IF(F96,C96*E96*F96,IF(G96,C96*E96*G96,IF(H96,C96*E96*H96,C96*E96))))))),2)</f>
        <v>-0.08</v>
      </c>
      <c r="J96" s="553" t="s">
        <v>5</v>
      </c>
      <c r="K96" s="39"/>
      <c r="L96" s="208"/>
      <c r="M96" s="39"/>
      <c r="N96" s="536" t="s">
        <v>2317</v>
      </c>
    </row>
    <row r="97" spans="1:14" s="544" customFormat="1" ht="16.5" customHeight="1">
      <c r="A97" s="16"/>
      <c r="B97" s="547"/>
      <c r="C97" s="548"/>
      <c r="D97" s="549"/>
      <c r="E97" s="550"/>
      <c r="F97" s="551"/>
      <c r="G97" s="551"/>
      <c r="H97" s="551"/>
      <c r="I97" s="552"/>
      <c r="J97" s="553"/>
      <c r="K97" s="39"/>
      <c r="L97" s="208"/>
      <c r="M97" s="39"/>
      <c r="N97" s="536" t="s">
        <v>2317</v>
      </c>
    </row>
    <row r="98" spans="1:14" ht="15.75">
      <c r="A98" s="16"/>
      <c r="B98" s="39"/>
      <c r="C98" s="554"/>
      <c r="D98" s="555"/>
      <c r="E98" s="540"/>
      <c r="F98" s="541"/>
      <c r="G98" s="40"/>
      <c r="H98" s="16"/>
      <c r="I98" s="552"/>
      <c r="J98" s="553" t="s">
        <v>5</v>
      </c>
      <c r="K98" s="10">
        <f>data!F2015</f>
        <v>10194.73</v>
      </c>
      <c r="L98" s="208" t="s">
        <v>2317</v>
      </c>
      <c r="M98" s="9">
        <f>ROUND(I98*K98,0)</f>
        <v>0</v>
      </c>
      <c r="N98" s="536" t="s">
        <v>2317</v>
      </c>
    </row>
    <row r="99" spans="1:14" ht="17.25" customHeight="1">
      <c r="A99" s="16">
        <v>2</v>
      </c>
      <c r="B99" s="1858" t="s">
        <v>303</v>
      </c>
      <c r="C99" s="1858"/>
      <c r="D99" s="1858"/>
      <c r="E99" s="1858"/>
      <c r="F99" s="1858"/>
      <c r="G99" s="1858"/>
      <c r="H99" s="1858"/>
      <c r="I99" s="537"/>
      <c r="J99" s="538"/>
      <c r="K99" s="16"/>
      <c r="L99" s="208"/>
      <c r="M99" s="38"/>
      <c r="N99" s="536" t="s">
        <v>2318</v>
      </c>
    </row>
    <row r="100" spans="1:14" s="544" customFormat="1" ht="16.5" customHeight="1">
      <c r="A100" s="16"/>
      <c r="B100" s="39" t="s">
        <v>2881</v>
      </c>
      <c r="C100" s="537"/>
      <c r="D100" s="539"/>
      <c r="E100" s="540"/>
      <c r="F100" s="541"/>
      <c r="G100" s="541"/>
      <c r="H100" s="541"/>
      <c r="I100" s="542"/>
      <c r="J100" s="553"/>
      <c r="K100" s="39"/>
      <c r="L100" s="208"/>
      <c r="M100" s="39"/>
      <c r="N100" s="536" t="s">
        <v>2318</v>
      </c>
    </row>
    <row r="101" spans="1:14" s="544" customFormat="1" ht="16.5" customHeight="1">
      <c r="A101" s="16"/>
      <c r="B101" s="39" t="s">
        <v>1528</v>
      </c>
      <c r="C101" s="537">
        <v>1</v>
      </c>
      <c r="D101" s="539" t="s">
        <v>273</v>
      </c>
      <c r="E101" s="540">
        <v>1</v>
      </c>
      <c r="F101" s="541">
        <v>2.65</v>
      </c>
      <c r="G101" s="541">
        <v>0.23</v>
      </c>
      <c r="H101" s="541">
        <v>0.3</v>
      </c>
      <c r="I101" s="545">
        <f>ROUND(IF(AND(F101:H101),C101*E101*F101*G101*H101,IF(AND(F101,G101),C101*E101*F101*G101,IF(AND(F101,H101),C101*E101*F101*H101,IF(AND(G101,H101),C101*E101*G101*H101,IF(F101,C101*E101*F101,IF(G101,C101*E101*G101,IF(H101,C101*E101*H101,C101*E101))))))),2)</f>
        <v>0.18</v>
      </c>
      <c r="J101" s="553" t="s">
        <v>5</v>
      </c>
      <c r="K101" s="39"/>
      <c r="L101" s="208"/>
      <c r="M101" s="39"/>
      <c r="N101" s="536" t="s">
        <v>2318</v>
      </c>
    </row>
    <row r="102" spans="1:14" s="544" customFormat="1" ht="16.5" customHeight="1">
      <c r="A102" s="16"/>
      <c r="B102" s="39" t="s">
        <v>1529</v>
      </c>
      <c r="C102" s="537">
        <v>1</v>
      </c>
      <c r="D102" s="539" t="s">
        <v>273</v>
      </c>
      <c r="E102" s="540">
        <v>2</v>
      </c>
      <c r="F102" s="541">
        <v>1</v>
      </c>
      <c r="G102" s="541">
        <v>0.23</v>
      </c>
      <c r="H102" s="541">
        <v>0.3</v>
      </c>
      <c r="I102" s="545">
        <f>ROUND(IF(AND(F102:H102),C102*E102*F102*G102*H102,IF(AND(F102,G102),C102*E102*F102*G102,IF(AND(F102,H102),C102*E102*F102*H102,IF(AND(G102,H102),C102*E102*G102*H102,IF(F102,C102*E102*F102,IF(G102,C102*E102*G102,IF(H102,C102*E102*H102,C102*E102))))))),2)</f>
        <v>0.14000000000000001</v>
      </c>
      <c r="J102" s="553" t="s">
        <v>5</v>
      </c>
      <c r="K102" s="39"/>
      <c r="L102" s="208"/>
      <c r="M102" s="39"/>
      <c r="N102" s="536" t="s">
        <v>2318</v>
      </c>
    </row>
    <row r="103" spans="1:14" s="544" customFormat="1" ht="16.5" customHeight="1">
      <c r="A103" s="16"/>
      <c r="B103" s="547"/>
      <c r="C103" s="548"/>
      <c r="D103" s="549"/>
      <c r="E103" s="550"/>
      <c r="F103" s="551"/>
      <c r="G103" s="551"/>
      <c r="H103" s="551"/>
      <c r="I103" s="552"/>
      <c r="J103" s="553"/>
      <c r="K103" s="39"/>
      <c r="L103" s="208"/>
      <c r="M103" s="39"/>
      <c r="N103" s="536" t="s">
        <v>2318</v>
      </c>
    </row>
    <row r="104" spans="1:14" ht="15.75">
      <c r="A104" s="16"/>
      <c r="B104" s="39"/>
      <c r="C104" s="554"/>
      <c r="D104" s="555"/>
      <c r="E104" s="540"/>
      <c r="F104" s="541"/>
      <c r="G104" s="40"/>
      <c r="H104" s="16"/>
      <c r="I104" s="552"/>
      <c r="J104" s="553" t="s">
        <v>5</v>
      </c>
      <c r="K104" s="10">
        <f>data!F2932</f>
        <v>10490.18</v>
      </c>
      <c r="L104" s="208" t="s">
        <v>2318</v>
      </c>
      <c r="M104" s="9">
        <f>ROUND(I104*K104,0)</f>
        <v>0</v>
      </c>
      <c r="N104" s="536" t="s">
        <v>2318</v>
      </c>
    </row>
    <row r="105" spans="1:14" ht="17.25" customHeight="1">
      <c r="A105" s="16">
        <v>3</v>
      </c>
      <c r="B105" s="1858" t="s">
        <v>304</v>
      </c>
      <c r="C105" s="1858"/>
      <c r="D105" s="1858"/>
      <c r="E105" s="1858"/>
      <c r="F105" s="1858"/>
      <c r="G105" s="1858"/>
      <c r="H105" s="1858"/>
      <c r="I105" s="537"/>
      <c r="J105" s="538"/>
      <c r="K105" s="16"/>
      <c r="L105" s="208"/>
      <c r="M105" s="38"/>
      <c r="N105" s="536" t="s">
        <v>2218</v>
      </c>
    </row>
    <row r="106" spans="1:14" s="544" customFormat="1" ht="16.5" customHeight="1">
      <c r="A106" s="16"/>
      <c r="B106" s="39" t="s">
        <v>3100</v>
      </c>
      <c r="C106" s="537"/>
      <c r="D106" s="1145" t="s">
        <v>3343</v>
      </c>
      <c r="E106" s="540"/>
      <c r="F106" s="541"/>
      <c r="G106" s="541"/>
      <c r="H106" s="541"/>
      <c r="I106" s="542"/>
      <c r="J106" s="553"/>
      <c r="K106" s="39"/>
      <c r="L106" s="16"/>
      <c r="M106" s="39"/>
      <c r="N106" s="536" t="s">
        <v>2218</v>
      </c>
    </row>
    <row r="107" spans="1:14" s="544" customFormat="1" ht="16.5" customHeight="1">
      <c r="A107" s="16"/>
      <c r="B107" s="39" t="s">
        <v>3146</v>
      </c>
      <c r="C107" s="537">
        <v>1</v>
      </c>
      <c r="D107" s="539" t="s">
        <v>273</v>
      </c>
      <c r="E107" s="540">
        <v>1</v>
      </c>
      <c r="F107" s="541">
        <v>3.25</v>
      </c>
      <c r="G107" s="541">
        <v>1.35</v>
      </c>
      <c r="H107" s="541">
        <v>0</v>
      </c>
      <c r="I107" s="545">
        <f t="shared" ref="I107:I108" si="15">ROUND(IF(AND(F107:H107),C107*E107*F107*G107*H107,IF(AND(F107,G107),C107*E107*F107*G107,IF(AND(F107,H107),C107*E107*F107*H107,IF(AND(G107,H107),C107*E107*G107*H107,IF(F107,C107*E107*F107,IF(G107,C107*E107*G107,IF(H107,C107*E107*H107,C107*E107))))))),2)</f>
        <v>4.3899999999999997</v>
      </c>
      <c r="J107" s="553" t="s">
        <v>102</v>
      </c>
      <c r="K107" s="39"/>
      <c r="L107" s="16"/>
      <c r="M107" s="39"/>
      <c r="N107" s="536" t="s">
        <v>2218</v>
      </c>
    </row>
    <row r="108" spans="1:14" s="544" customFormat="1" ht="16.5" customHeight="1">
      <c r="A108" s="16"/>
      <c r="B108" s="39" t="s">
        <v>267</v>
      </c>
      <c r="C108" s="537">
        <v>1</v>
      </c>
      <c r="D108" s="539" t="s">
        <v>273</v>
      </c>
      <c r="E108" s="540">
        <v>1</v>
      </c>
      <c r="F108" s="541">
        <v>3.4</v>
      </c>
      <c r="G108" s="541">
        <v>1.35</v>
      </c>
      <c r="H108" s="541">
        <v>0</v>
      </c>
      <c r="I108" s="545">
        <f t="shared" si="15"/>
        <v>4.59</v>
      </c>
      <c r="J108" s="553" t="s">
        <v>102</v>
      </c>
      <c r="K108" s="39"/>
      <c r="L108" s="16"/>
      <c r="M108" s="39"/>
      <c r="N108" s="536" t="s">
        <v>2218</v>
      </c>
    </row>
    <row r="109" spans="1:14" s="544" customFormat="1" ht="16.5" customHeight="1">
      <c r="A109" s="16"/>
      <c r="B109" s="39" t="s">
        <v>3102</v>
      </c>
      <c r="C109" s="537"/>
      <c r="D109" s="1145" t="s">
        <v>3345</v>
      </c>
      <c r="E109" s="1145"/>
      <c r="F109" s="541"/>
      <c r="G109" s="541"/>
      <c r="H109" s="541"/>
      <c r="I109" s="542"/>
      <c r="J109" s="553"/>
      <c r="K109" s="39"/>
      <c r="L109" s="16"/>
      <c r="M109" s="39"/>
      <c r="N109" s="536" t="s">
        <v>2218</v>
      </c>
    </row>
    <row r="110" spans="1:14" s="544" customFormat="1" ht="16.5" customHeight="1">
      <c r="A110" s="16"/>
      <c r="B110" s="39" t="s">
        <v>3147</v>
      </c>
      <c r="C110" s="537">
        <v>1</v>
      </c>
      <c r="D110" s="539" t="s">
        <v>273</v>
      </c>
      <c r="E110" s="540">
        <v>1</v>
      </c>
      <c r="F110" s="541">
        <v>3.25</v>
      </c>
      <c r="G110" s="541">
        <v>1.35</v>
      </c>
      <c r="H110" s="541">
        <v>0</v>
      </c>
      <c r="I110" s="545">
        <f t="shared" ref="I110" si="16">ROUND(IF(AND(F110:H110),C110*E110*F110*G110*H110,IF(AND(F110,G110),C110*E110*F110*G110,IF(AND(F110,H110),C110*E110*F110*H110,IF(AND(G110,H110),C110*E110*G110*H110,IF(F110,C110*E110*F110,IF(G110,C110*E110*G110,IF(H110,C110*E110*H110,C110*E110))))))),2)</f>
        <v>4.3899999999999997</v>
      </c>
      <c r="J110" s="553" t="s">
        <v>102</v>
      </c>
      <c r="K110" s="39"/>
      <c r="L110" s="16"/>
      <c r="M110" s="39"/>
      <c r="N110" s="536" t="s">
        <v>2218</v>
      </c>
    </row>
    <row r="111" spans="1:14" s="544" customFormat="1" ht="16.5" customHeight="1">
      <c r="A111" s="16"/>
      <c r="B111" s="547"/>
      <c r="C111" s="548"/>
      <c r="D111" s="549"/>
      <c r="E111" s="550"/>
      <c r="F111" s="551"/>
      <c r="G111" s="551"/>
      <c r="H111" s="551"/>
      <c r="I111" s="552"/>
      <c r="J111" s="553"/>
      <c r="K111" s="39"/>
      <c r="L111" s="208"/>
      <c r="M111" s="39"/>
      <c r="N111" s="536" t="s">
        <v>2218</v>
      </c>
    </row>
    <row r="112" spans="1:14" ht="15.75">
      <c r="A112" s="16"/>
      <c r="B112" s="39"/>
      <c r="C112" s="554"/>
      <c r="D112" s="555"/>
      <c r="E112" s="540"/>
      <c r="F112" s="541"/>
      <c r="G112" s="40"/>
      <c r="H112" s="16"/>
      <c r="I112" s="552"/>
      <c r="J112" s="553" t="s">
        <v>102</v>
      </c>
      <c r="K112" s="10">
        <f>data!F203</f>
        <v>1356.1200000000001</v>
      </c>
      <c r="L112" s="208" t="s">
        <v>2218</v>
      </c>
      <c r="M112" s="9">
        <f>ROUND(I112*K112,0)</f>
        <v>0</v>
      </c>
      <c r="N112" s="536" t="s">
        <v>2218</v>
      </c>
    </row>
    <row r="113" spans="1:14" ht="17.25" customHeight="1">
      <c r="A113" s="16">
        <v>3</v>
      </c>
      <c r="B113" s="1858" t="s">
        <v>304</v>
      </c>
      <c r="C113" s="1858"/>
      <c r="D113" s="1858"/>
      <c r="E113" s="1858"/>
      <c r="F113" s="1858"/>
      <c r="G113" s="1858"/>
      <c r="H113" s="1858"/>
      <c r="I113" s="537"/>
      <c r="J113" s="538"/>
      <c r="K113" s="16"/>
      <c r="L113" s="208"/>
      <c r="M113" s="38"/>
      <c r="N113" s="536" t="s">
        <v>2306</v>
      </c>
    </row>
    <row r="114" spans="1:14" s="544" customFormat="1" ht="16.5" customHeight="1">
      <c r="A114" s="16"/>
      <c r="B114" s="39" t="s">
        <v>2878</v>
      </c>
      <c r="C114" s="537"/>
      <c r="D114" s="539"/>
      <c r="E114" s="540"/>
      <c r="F114" s="541"/>
      <c r="G114" s="541"/>
      <c r="H114" s="541"/>
      <c r="I114" s="542"/>
      <c r="J114" s="553"/>
      <c r="K114" s="39"/>
      <c r="L114" s="16"/>
      <c r="M114" s="39"/>
      <c r="N114" s="536" t="s">
        <v>2306</v>
      </c>
    </row>
    <row r="115" spans="1:14" s="544" customFormat="1" ht="16.5" customHeight="1">
      <c r="A115" s="16"/>
      <c r="B115" s="39" t="s">
        <v>801</v>
      </c>
      <c r="C115" s="537">
        <v>1</v>
      </c>
      <c r="D115" s="539" t="s">
        <v>273</v>
      </c>
      <c r="E115" s="540">
        <v>1</v>
      </c>
      <c r="F115" s="541">
        <v>3.56</v>
      </c>
      <c r="G115" s="541">
        <v>1.3</v>
      </c>
      <c r="H115" s="541">
        <v>0</v>
      </c>
      <c r="I115" s="545">
        <f t="shared" ref="I115:I116" si="17">ROUND(IF(AND(F115:H115),C115*E115*F115*G115*H115,IF(AND(F115,G115),C115*E115*F115*G115,IF(AND(F115,H115),C115*E115*F115*H115,IF(AND(G115,H115),C115*E115*G115*H115,IF(F115,C115*E115*F115,IF(G115,C115*E115*G115,IF(H115,C115*E115*H115,C115*E115))))))),2)</f>
        <v>4.63</v>
      </c>
      <c r="J115" s="553" t="s">
        <v>102</v>
      </c>
      <c r="K115" s="39"/>
      <c r="L115" s="16"/>
      <c r="M115" s="39"/>
      <c r="N115" s="536" t="s">
        <v>2306</v>
      </c>
    </row>
    <row r="116" spans="1:14" s="544" customFormat="1" ht="16.5" customHeight="1">
      <c r="A116" s="16"/>
      <c r="B116" s="39" t="s">
        <v>267</v>
      </c>
      <c r="C116" s="537">
        <v>1</v>
      </c>
      <c r="D116" s="539" t="s">
        <v>273</v>
      </c>
      <c r="E116" s="540">
        <v>1</v>
      </c>
      <c r="F116" s="541">
        <v>3.18</v>
      </c>
      <c r="G116" s="541">
        <v>1.38</v>
      </c>
      <c r="H116" s="541">
        <v>0</v>
      </c>
      <c r="I116" s="545">
        <f t="shared" si="17"/>
        <v>4.3899999999999997</v>
      </c>
      <c r="J116" s="553" t="s">
        <v>102</v>
      </c>
      <c r="K116" s="39"/>
      <c r="L116" s="16"/>
      <c r="M116" s="39"/>
      <c r="N116" s="536" t="s">
        <v>2306</v>
      </c>
    </row>
    <row r="117" spans="1:14" s="544" customFormat="1" ht="16.5" customHeight="1">
      <c r="A117" s="16"/>
      <c r="B117" s="39" t="s">
        <v>2879</v>
      </c>
      <c r="C117" s="537"/>
      <c r="D117" s="539"/>
      <c r="E117" s="540"/>
      <c r="F117" s="541"/>
      <c r="G117" s="541"/>
      <c r="H117" s="541"/>
      <c r="I117" s="545"/>
      <c r="J117" s="553"/>
      <c r="K117" s="39"/>
      <c r="L117" s="16"/>
      <c r="M117" s="39"/>
      <c r="N117" s="536" t="s">
        <v>2306</v>
      </c>
    </row>
    <row r="118" spans="1:14" s="544" customFormat="1" ht="16.5" customHeight="1">
      <c r="A118" s="16"/>
      <c r="B118" s="39" t="s">
        <v>800</v>
      </c>
      <c r="C118" s="537">
        <v>1</v>
      </c>
      <c r="D118" s="539" t="s">
        <v>273</v>
      </c>
      <c r="E118" s="540">
        <v>1</v>
      </c>
      <c r="F118" s="541">
        <v>3.56</v>
      </c>
      <c r="G118" s="541">
        <v>1.3</v>
      </c>
      <c r="H118" s="541">
        <v>0</v>
      </c>
      <c r="I118" s="545">
        <f t="shared" ref="I118" si="18">ROUND(IF(AND(F118:H118),C118*E118*F118*G118*H118,IF(AND(F118,G118),C118*E118*F118*G118,IF(AND(F118,H118),C118*E118*F118*H118,IF(AND(G118,H118),C118*E118*G118*H118,IF(F118,C118*E118*F118,IF(G118,C118*E118*G118,IF(H118,C118*E118*H118,C118*E118))))))),2)</f>
        <v>4.63</v>
      </c>
      <c r="J118" s="553" t="s">
        <v>102</v>
      </c>
      <c r="K118" s="39"/>
      <c r="L118" s="16"/>
      <c r="M118" s="39"/>
      <c r="N118" s="536" t="s">
        <v>2306</v>
      </c>
    </row>
    <row r="119" spans="1:14" s="544" customFormat="1" ht="16.5" customHeight="1">
      <c r="A119" s="16"/>
      <c r="B119" s="547"/>
      <c r="C119" s="548"/>
      <c r="D119" s="549"/>
      <c r="E119" s="550"/>
      <c r="F119" s="551"/>
      <c r="G119" s="551"/>
      <c r="H119" s="551"/>
      <c r="I119" s="552"/>
      <c r="J119" s="553"/>
      <c r="K119" s="39"/>
      <c r="L119" s="208"/>
      <c r="M119" s="39"/>
      <c r="N119" s="536" t="s">
        <v>2306</v>
      </c>
    </row>
    <row r="120" spans="1:14" ht="15.75">
      <c r="A120" s="16"/>
      <c r="B120" s="39"/>
      <c r="C120" s="554"/>
      <c r="D120" s="555"/>
      <c r="E120" s="540"/>
      <c r="F120" s="541"/>
      <c r="G120" s="40"/>
      <c r="H120" s="16"/>
      <c r="I120" s="552"/>
      <c r="J120" s="553" t="s">
        <v>102</v>
      </c>
      <c r="K120" s="10">
        <f>data!F1119</f>
        <v>1399.27</v>
      </c>
      <c r="L120" s="208" t="s">
        <v>2306</v>
      </c>
      <c r="M120" s="9">
        <f>ROUND(I120*K120,0)</f>
        <v>0</v>
      </c>
      <c r="N120" s="536" t="s">
        <v>2306</v>
      </c>
    </row>
    <row r="121" spans="1:14" ht="17.25" customHeight="1">
      <c r="A121" s="16">
        <v>3</v>
      </c>
      <c r="B121" s="1858" t="s">
        <v>304</v>
      </c>
      <c r="C121" s="1858"/>
      <c r="D121" s="1858"/>
      <c r="E121" s="1858"/>
      <c r="F121" s="1858"/>
      <c r="G121" s="1858"/>
      <c r="H121" s="1858"/>
      <c r="I121" s="537"/>
      <c r="J121" s="538"/>
      <c r="K121" s="16"/>
      <c r="L121" s="208"/>
      <c r="M121" s="38"/>
      <c r="N121" s="536" t="s">
        <v>2317</v>
      </c>
    </row>
    <row r="122" spans="1:14" s="544" customFormat="1" ht="16.5" customHeight="1">
      <c r="A122" s="16"/>
      <c r="B122" s="39" t="s">
        <v>3100</v>
      </c>
      <c r="C122" s="537"/>
      <c r="D122" s="539"/>
      <c r="E122" s="540"/>
      <c r="F122" s="541"/>
      <c r="G122" s="541"/>
      <c r="H122" s="541"/>
      <c r="I122" s="542"/>
      <c r="J122" s="553"/>
      <c r="K122" s="39"/>
      <c r="L122" s="16"/>
      <c r="M122" s="39"/>
      <c r="N122" s="536" t="s">
        <v>2317</v>
      </c>
    </row>
    <row r="123" spans="1:14" s="544" customFormat="1" ht="16.5" customHeight="1">
      <c r="A123" s="16"/>
      <c r="B123" s="39"/>
      <c r="C123" s="537">
        <v>1</v>
      </c>
      <c r="D123" s="539" t="s">
        <v>273</v>
      </c>
      <c r="E123" s="540">
        <v>1</v>
      </c>
      <c r="F123" s="541">
        <v>3.25</v>
      </c>
      <c r="G123" s="541">
        <v>1.35</v>
      </c>
      <c r="H123" s="541">
        <v>0</v>
      </c>
      <c r="I123" s="545">
        <f t="shared" ref="I123:I124" si="19">ROUND(IF(AND(F123:H123),C123*E123*F123*G123*H123,IF(AND(F123,G123),C123*E123*F123*G123,IF(AND(F123,H123),C123*E123*F123*H123,IF(AND(G123,H123),C123*E123*G123*H123,IF(F123,C123*E123*F123,IF(G123,C123*E123*G123,IF(H123,C123*E123*H123,C123*E123))))))),2)</f>
        <v>4.3899999999999997</v>
      </c>
      <c r="J123" s="553" t="s">
        <v>102</v>
      </c>
      <c r="K123" s="39"/>
      <c r="L123" s="16"/>
      <c r="M123" s="39"/>
      <c r="N123" s="536" t="s">
        <v>2317</v>
      </c>
    </row>
    <row r="124" spans="1:14" s="544" customFormat="1" ht="16.5" customHeight="1">
      <c r="A124" s="16"/>
      <c r="B124" s="39"/>
      <c r="C124" s="537">
        <v>1</v>
      </c>
      <c r="D124" s="539" t="s">
        <v>273</v>
      </c>
      <c r="E124" s="540">
        <v>1</v>
      </c>
      <c r="F124" s="541">
        <v>3.4</v>
      </c>
      <c r="G124" s="541">
        <v>1.35</v>
      </c>
      <c r="H124" s="541">
        <v>0</v>
      </c>
      <c r="I124" s="545">
        <f t="shared" si="19"/>
        <v>4.59</v>
      </c>
      <c r="J124" s="553" t="s">
        <v>102</v>
      </c>
      <c r="K124" s="39"/>
      <c r="L124" s="16"/>
      <c r="M124" s="39"/>
      <c r="N124" s="536" t="s">
        <v>2317</v>
      </c>
    </row>
    <row r="125" spans="1:14" s="544" customFormat="1" ht="16.5" customHeight="1">
      <c r="A125" s="16"/>
      <c r="B125" s="39" t="s">
        <v>3102</v>
      </c>
      <c r="C125" s="537"/>
      <c r="D125" s="539"/>
      <c r="E125" s="540"/>
      <c r="F125" s="541"/>
      <c r="G125" s="541"/>
      <c r="H125" s="541"/>
      <c r="I125" s="542"/>
      <c r="J125" s="553"/>
      <c r="K125" s="39"/>
      <c r="L125" s="16"/>
      <c r="M125" s="39"/>
      <c r="N125" s="536" t="s">
        <v>2317</v>
      </c>
    </row>
    <row r="126" spans="1:14" s="544" customFormat="1" ht="16.5" customHeight="1">
      <c r="A126" s="16"/>
      <c r="B126" s="39"/>
      <c r="C126" s="537">
        <v>1</v>
      </c>
      <c r="D126" s="539" t="s">
        <v>273</v>
      </c>
      <c r="E126" s="540">
        <v>1</v>
      </c>
      <c r="F126" s="541">
        <v>3.25</v>
      </c>
      <c r="G126" s="541">
        <v>1.35</v>
      </c>
      <c r="H126" s="541">
        <v>0</v>
      </c>
      <c r="I126" s="545">
        <f t="shared" ref="I126" si="20">ROUND(IF(AND(F126:H126),C126*E126*F126*G126*H126,IF(AND(F126,G126),C126*E126*F126*G126,IF(AND(F126,H126),C126*E126*F126*H126,IF(AND(G126,H126),C126*E126*G126*H126,IF(F126,C126*E126*F126,IF(G126,C126*E126*G126,IF(H126,C126*E126*H126,C126*E126))))))),2)</f>
        <v>4.3899999999999997</v>
      </c>
      <c r="J126" s="553" t="s">
        <v>102</v>
      </c>
      <c r="K126" s="39"/>
      <c r="L126" s="16"/>
      <c r="M126" s="39"/>
      <c r="N126" s="536" t="s">
        <v>2317</v>
      </c>
    </row>
    <row r="127" spans="1:14" s="544" customFormat="1" ht="16.5" customHeight="1">
      <c r="A127" s="16"/>
      <c r="B127" s="547"/>
      <c r="C127" s="548"/>
      <c r="D127" s="549"/>
      <c r="E127" s="550"/>
      <c r="F127" s="551"/>
      <c r="G127" s="551"/>
      <c r="H127" s="551"/>
      <c r="I127" s="552"/>
      <c r="J127" s="553"/>
      <c r="K127" s="39"/>
      <c r="L127" s="208"/>
      <c r="M127" s="39"/>
      <c r="N127" s="536" t="s">
        <v>2317</v>
      </c>
    </row>
    <row r="128" spans="1:14" ht="15.75">
      <c r="A128" s="16"/>
      <c r="B128" s="39"/>
      <c r="C128" s="554"/>
      <c r="D128" s="555"/>
      <c r="E128" s="540"/>
      <c r="F128" s="541"/>
      <c r="G128" s="40"/>
      <c r="H128" s="16"/>
      <c r="I128" s="552"/>
      <c r="J128" s="553" t="s">
        <v>102</v>
      </c>
      <c r="K128" s="10">
        <f>data!F2036</f>
        <v>1486.3000000000002</v>
      </c>
      <c r="L128" s="208" t="s">
        <v>2317</v>
      </c>
      <c r="M128" s="9">
        <f>ROUND(I128*K128,0)</f>
        <v>0</v>
      </c>
      <c r="N128" s="536" t="s">
        <v>2317</v>
      </c>
    </row>
    <row r="129" spans="1:14" ht="17.25" customHeight="1">
      <c r="A129" s="16">
        <v>3</v>
      </c>
      <c r="B129" s="1858" t="s">
        <v>304</v>
      </c>
      <c r="C129" s="1858"/>
      <c r="D129" s="1858"/>
      <c r="E129" s="1858"/>
      <c r="F129" s="1858"/>
      <c r="G129" s="1858"/>
      <c r="H129" s="1858"/>
      <c r="I129" s="537"/>
      <c r="J129" s="538"/>
      <c r="K129" s="16"/>
      <c r="L129" s="208"/>
      <c r="M129" s="38"/>
      <c r="N129" s="536" t="s">
        <v>2318</v>
      </c>
    </row>
    <row r="130" spans="1:14" s="544" customFormat="1" ht="16.5" customHeight="1">
      <c r="A130" s="16"/>
      <c r="B130" s="39" t="s">
        <v>2881</v>
      </c>
      <c r="C130" s="537"/>
      <c r="D130" s="539"/>
      <c r="E130" s="540"/>
      <c r="F130" s="541"/>
      <c r="G130" s="541"/>
      <c r="H130" s="541"/>
      <c r="I130" s="542"/>
      <c r="J130" s="553"/>
      <c r="K130" s="39"/>
      <c r="L130" s="16"/>
      <c r="M130" s="39"/>
      <c r="N130" s="536" t="s">
        <v>2318</v>
      </c>
    </row>
    <row r="131" spans="1:14" s="544" customFormat="1" ht="16.5" customHeight="1">
      <c r="A131" s="16"/>
      <c r="B131" s="39" t="s">
        <v>1627</v>
      </c>
      <c r="C131" s="537">
        <v>1</v>
      </c>
      <c r="D131" s="539" t="s">
        <v>273</v>
      </c>
      <c r="E131" s="540">
        <v>1</v>
      </c>
      <c r="F131" s="541">
        <v>3.2</v>
      </c>
      <c r="G131" s="541">
        <v>1.22</v>
      </c>
      <c r="H131" s="541">
        <v>0</v>
      </c>
      <c r="I131" s="545">
        <f>ROUND(IF(AND(F131:H131),C131*E131*F131*G131*H131,IF(AND(F131,G131),C131*E131*F131*G131,IF(AND(F131,H131),C131*E131*F131*H131,IF(AND(G131,H131),C131*E131*G131*H131,IF(F131,C131*E131*F131,IF(G131,C131*E131*G131,IF(H131,C131*E131*H131,C131*E131))))))),2)</f>
        <v>3.9</v>
      </c>
      <c r="J131" s="553" t="s">
        <v>102</v>
      </c>
      <c r="K131" s="39"/>
      <c r="L131" s="16"/>
      <c r="M131" s="39"/>
      <c r="N131" s="536" t="s">
        <v>2318</v>
      </c>
    </row>
    <row r="132" spans="1:14" s="544" customFormat="1" ht="16.5" customHeight="1">
      <c r="A132" s="16"/>
      <c r="B132" s="547"/>
      <c r="C132" s="548"/>
      <c r="D132" s="549"/>
      <c r="E132" s="550"/>
      <c r="F132" s="551"/>
      <c r="G132" s="551"/>
      <c r="H132" s="551"/>
      <c r="I132" s="552"/>
      <c r="J132" s="553"/>
      <c r="K132" s="39"/>
      <c r="L132" s="208"/>
      <c r="M132" s="39"/>
      <c r="N132" s="536" t="s">
        <v>2318</v>
      </c>
    </row>
    <row r="133" spans="1:14" ht="15.75">
      <c r="A133" s="16"/>
      <c r="B133" s="39"/>
      <c r="C133" s="554"/>
      <c r="D133" s="555"/>
      <c r="E133" s="540"/>
      <c r="F133" s="541"/>
      <c r="G133" s="40"/>
      <c r="H133" s="16"/>
      <c r="I133" s="552"/>
      <c r="J133" s="553" t="s">
        <v>102</v>
      </c>
      <c r="K133" s="10">
        <f>data!F2953</f>
        <v>1538.77</v>
      </c>
      <c r="L133" s="208" t="s">
        <v>2318</v>
      </c>
      <c r="M133" s="9">
        <f>ROUND(I133*K133,0)</f>
        <v>0</v>
      </c>
      <c r="N133" s="536" t="s">
        <v>2318</v>
      </c>
    </row>
    <row r="134" spans="1:14" ht="17.25" customHeight="1">
      <c r="A134" s="16">
        <v>4</v>
      </c>
      <c r="B134" s="1859" t="s">
        <v>305</v>
      </c>
      <c r="C134" s="1860"/>
      <c r="D134" s="1860"/>
      <c r="E134" s="1860"/>
      <c r="F134" s="1860"/>
      <c r="G134" s="1860"/>
      <c r="H134" s="1861"/>
      <c r="I134" s="537"/>
      <c r="J134" s="538"/>
      <c r="K134" s="16"/>
      <c r="L134" s="208"/>
      <c r="M134" s="38"/>
      <c r="N134" s="536" t="s">
        <v>2218</v>
      </c>
    </row>
    <row r="135" spans="1:14" s="544" customFormat="1" ht="16.5" customHeight="1">
      <c r="A135" s="16"/>
      <c r="B135" s="39" t="s">
        <v>3101</v>
      </c>
      <c r="C135" s="537"/>
      <c r="D135" s="1145" t="s">
        <v>3345</v>
      </c>
      <c r="E135" s="540"/>
      <c r="F135" s="541"/>
      <c r="G135" s="541"/>
      <c r="H135" s="541"/>
      <c r="I135" s="542"/>
      <c r="J135" s="553"/>
      <c r="K135" s="39"/>
      <c r="L135" s="16"/>
      <c r="M135" s="39"/>
      <c r="N135" s="536" t="s">
        <v>2218</v>
      </c>
    </row>
    <row r="136" spans="1:14" s="544" customFormat="1" ht="16.5" customHeight="1">
      <c r="A136" s="16"/>
      <c r="B136" s="39"/>
      <c r="C136" s="537">
        <v>1</v>
      </c>
      <c r="D136" s="539" t="s">
        <v>273</v>
      </c>
      <c r="E136" s="540">
        <v>1</v>
      </c>
      <c r="F136" s="541">
        <v>9.4499999999999993</v>
      </c>
      <c r="G136" s="541">
        <v>10.45</v>
      </c>
      <c r="H136" s="541">
        <v>0</v>
      </c>
      <c r="I136" s="545">
        <f t="shared" ref="I136:I138" si="21">ROUND(IF(AND(F136:H136),C136*E136*F136*G136*H136,IF(AND(F136,G136),C136*E136*F136*G136,IF(AND(F136,H136),C136*E136*F136*H136,IF(AND(G136,H136),C136*E136*G136*H136,IF(F136,C136*E136*F136,IF(G136,C136*E136*G136,IF(H136,C136*E136*H136,C136*E136))))))),2)</f>
        <v>98.75</v>
      </c>
      <c r="J136" s="553" t="s">
        <v>102</v>
      </c>
      <c r="K136" s="39"/>
      <c r="L136" s="16"/>
      <c r="M136" s="39"/>
      <c r="N136" s="536" t="s">
        <v>2218</v>
      </c>
    </row>
    <row r="137" spans="1:14" s="544" customFormat="1" ht="16.5" customHeight="1">
      <c r="A137" s="16"/>
      <c r="B137" s="39"/>
      <c r="C137" s="537">
        <v>1</v>
      </c>
      <c r="D137" s="539" t="s">
        <v>273</v>
      </c>
      <c r="E137" s="540">
        <v>1</v>
      </c>
      <c r="F137" s="541">
        <v>5.6</v>
      </c>
      <c r="G137" s="541">
        <v>3.6</v>
      </c>
      <c r="H137" s="541">
        <v>0</v>
      </c>
      <c r="I137" s="545">
        <f t="shared" si="21"/>
        <v>20.16</v>
      </c>
      <c r="J137" s="553" t="s">
        <v>102</v>
      </c>
      <c r="K137" s="39"/>
      <c r="L137" s="16"/>
      <c r="M137" s="39"/>
      <c r="N137" s="536" t="s">
        <v>2218</v>
      </c>
    </row>
    <row r="138" spans="1:14" s="544" customFormat="1" ht="16.5" customHeight="1">
      <c r="A138" s="16"/>
      <c r="B138" s="39"/>
      <c r="C138" s="537">
        <v>1</v>
      </c>
      <c r="D138" s="539" t="s">
        <v>273</v>
      </c>
      <c r="E138" s="540">
        <v>1</v>
      </c>
      <c r="F138" s="541">
        <v>4.3</v>
      </c>
      <c r="G138" s="541">
        <v>0.3</v>
      </c>
      <c r="H138" s="541">
        <v>0</v>
      </c>
      <c r="I138" s="545">
        <f t="shared" si="21"/>
        <v>1.29</v>
      </c>
      <c r="J138" s="553" t="s">
        <v>102</v>
      </c>
      <c r="K138" s="39"/>
      <c r="L138" s="16"/>
      <c r="M138" s="39"/>
      <c r="N138" s="536" t="s">
        <v>2218</v>
      </c>
    </row>
    <row r="139" spans="1:14" s="544" customFormat="1" ht="16.5" customHeight="1">
      <c r="A139" s="16"/>
      <c r="B139" s="574"/>
      <c r="C139" s="575"/>
      <c r="D139" s="558"/>
      <c r="E139" s="576"/>
      <c r="F139" s="577"/>
      <c r="G139" s="577"/>
      <c r="H139" s="578"/>
      <c r="I139" s="560"/>
      <c r="J139" s="553"/>
      <c r="K139" s="39"/>
      <c r="L139" s="208"/>
      <c r="M139" s="39"/>
      <c r="N139" s="536" t="s">
        <v>2218</v>
      </c>
    </row>
    <row r="140" spans="1:14" ht="15.75">
      <c r="A140" s="16"/>
      <c r="B140" s="39"/>
      <c r="C140" s="554"/>
      <c r="D140" s="555"/>
      <c r="E140" s="540"/>
      <c r="F140" s="541"/>
      <c r="G140" s="40"/>
      <c r="H140" s="16"/>
      <c r="I140" s="552"/>
      <c r="J140" s="553" t="s">
        <v>102</v>
      </c>
      <c r="K140" s="10">
        <f>data!F196</f>
        <v>1231.97</v>
      </c>
      <c r="L140" s="208" t="s">
        <v>2218</v>
      </c>
      <c r="M140" s="9">
        <f>ROUND(I140*K140,0)</f>
        <v>0</v>
      </c>
      <c r="N140" s="536" t="s">
        <v>2218</v>
      </c>
    </row>
    <row r="141" spans="1:14" ht="17.25" customHeight="1">
      <c r="A141" s="16">
        <v>4</v>
      </c>
      <c r="B141" s="1858" t="s">
        <v>305</v>
      </c>
      <c r="C141" s="1858"/>
      <c r="D141" s="1858"/>
      <c r="E141" s="1858"/>
      <c r="F141" s="1858"/>
      <c r="G141" s="1858"/>
      <c r="H141" s="1858"/>
      <c r="I141" s="537"/>
      <c r="J141" s="538"/>
      <c r="K141" s="16"/>
      <c r="L141" s="208"/>
      <c r="M141" s="38"/>
      <c r="N141" s="536" t="s">
        <v>2306</v>
      </c>
    </row>
    <row r="142" spans="1:14" s="544" customFormat="1" ht="16.5" customHeight="1">
      <c r="A142" s="16"/>
      <c r="B142" s="39" t="s">
        <v>2879</v>
      </c>
      <c r="C142" s="537"/>
      <c r="D142" s="539"/>
      <c r="E142" s="540"/>
      <c r="F142" s="541"/>
      <c r="G142" s="541"/>
      <c r="H142" s="541"/>
      <c r="I142" s="542"/>
      <c r="J142" s="553"/>
      <c r="K142" s="39"/>
      <c r="L142" s="16"/>
      <c r="M142" s="39"/>
      <c r="N142" s="536" t="s">
        <v>2306</v>
      </c>
    </row>
    <row r="143" spans="1:14" s="544" customFormat="1" ht="16.5" customHeight="1">
      <c r="A143" s="16"/>
      <c r="B143" s="39"/>
      <c r="C143" s="537">
        <v>1</v>
      </c>
      <c r="D143" s="539" t="s">
        <v>273</v>
      </c>
      <c r="E143" s="540">
        <v>1</v>
      </c>
      <c r="F143" s="541">
        <v>13.25</v>
      </c>
      <c r="G143" s="541">
        <v>9.65</v>
      </c>
      <c r="H143" s="541">
        <v>0</v>
      </c>
      <c r="I143" s="545">
        <f t="shared" ref="I143" si="22">ROUND(IF(AND(F143:H143),C143*E143*F143*G143*H143,IF(AND(F143,G143),C143*E143*F143*G143,IF(AND(F143,H143),C143*E143*F143*H143,IF(AND(G143,H143),C143*E143*G143*H143,IF(F143,C143*E143*F143,IF(G143,C143*E143*G143,IF(H143,C143*E143*H143,C143*E143))))))),2)</f>
        <v>127.86</v>
      </c>
      <c r="J143" s="553" t="s">
        <v>102</v>
      </c>
      <c r="K143" s="39"/>
      <c r="L143" s="16"/>
      <c r="M143" s="39"/>
      <c r="N143" s="536" t="s">
        <v>2306</v>
      </c>
    </row>
    <row r="144" spans="1:14" s="544" customFormat="1" ht="16.5" customHeight="1">
      <c r="A144" s="16"/>
      <c r="B144" s="39" t="s">
        <v>2565</v>
      </c>
      <c r="C144" s="537">
        <v>1</v>
      </c>
      <c r="D144" s="539" t="s">
        <v>273</v>
      </c>
      <c r="E144" s="540">
        <v>1</v>
      </c>
      <c r="F144" s="541">
        <v>2.72</v>
      </c>
      <c r="G144" s="541">
        <v>3.77</v>
      </c>
      <c r="H144" s="541">
        <v>0</v>
      </c>
      <c r="I144" s="545">
        <f>-ROUND(IF(AND(F144:H144),C144*E144*F144*G144*H144,IF(AND(F144,G144),C144*E144*F144*G144,IF(AND(F144,H144),C144*E144*F144*H144,IF(AND(G144,H144),C144*E144*G144*H144,IF(F144,C144*E144*F144,IF(G144,C144*E144*G144,IF(H144,C144*E144*H144,C144*E144))))))),2)</f>
        <v>-10.25</v>
      </c>
      <c r="J144" s="553" t="s">
        <v>102</v>
      </c>
      <c r="K144" s="39"/>
      <c r="L144" s="16"/>
      <c r="M144" s="39"/>
      <c r="N144" s="536" t="s">
        <v>2306</v>
      </c>
    </row>
    <row r="145" spans="1:14" s="544" customFormat="1" ht="16.5" customHeight="1">
      <c r="A145" s="16"/>
      <c r="B145" s="574"/>
      <c r="C145" s="575"/>
      <c r="D145" s="558"/>
      <c r="E145" s="576"/>
      <c r="F145" s="577"/>
      <c r="G145" s="577"/>
      <c r="H145" s="578"/>
      <c r="I145" s="560"/>
      <c r="J145" s="553"/>
      <c r="K145" s="39"/>
      <c r="L145" s="208"/>
      <c r="M145" s="39"/>
      <c r="N145" s="536" t="s">
        <v>2306</v>
      </c>
    </row>
    <row r="146" spans="1:14" ht="15.75">
      <c r="A146" s="16"/>
      <c r="B146" s="39"/>
      <c r="C146" s="554"/>
      <c r="D146" s="555"/>
      <c r="E146" s="540"/>
      <c r="F146" s="541"/>
      <c r="G146" s="40"/>
      <c r="H146" s="16"/>
      <c r="I146" s="552"/>
      <c r="J146" s="553" t="s">
        <v>102</v>
      </c>
      <c r="K146" s="10">
        <f>data!F1112</f>
        <v>1269.73</v>
      </c>
      <c r="L146" s="208" t="s">
        <v>2306</v>
      </c>
      <c r="M146" s="9">
        <f>ROUND(I146*K146,0)</f>
        <v>0</v>
      </c>
      <c r="N146" s="536" t="s">
        <v>2306</v>
      </c>
    </row>
    <row r="147" spans="1:14" ht="17.25" customHeight="1">
      <c r="A147" s="16">
        <v>4</v>
      </c>
      <c r="B147" s="1858" t="s">
        <v>305</v>
      </c>
      <c r="C147" s="1858"/>
      <c r="D147" s="1858"/>
      <c r="E147" s="1858"/>
      <c r="F147" s="1858"/>
      <c r="G147" s="1858"/>
      <c r="H147" s="1858"/>
      <c r="I147" s="537"/>
      <c r="J147" s="538"/>
      <c r="K147" s="16"/>
      <c r="L147" s="208"/>
      <c r="M147" s="38"/>
      <c r="N147" s="536" t="s">
        <v>2317</v>
      </c>
    </row>
    <row r="148" spans="1:14" s="544" customFormat="1" ht="16.5" customHeight="1">
      <c r="A148" s="16"/>
      <c r="B148" s="39" t="s">
        <v>3101</v>
      </c>
      <c r="C148" s="537"/>
      <c r="D148" s="539"/>
      <c r="E148" s="540"/>
      <c r="F148" s="541"/>
      <c r="G148" s="541"/>
      <c r="H148" s="541"/>
      <c r="I148" s="542"/>
      <c r="J148" s="553"/>
      <c r="K148" s="39"/>
      <c r="L148" s="16"/>
      <c r="M148" s="39"/>
      <c r="N148" s="536" t="s">
        <v>2317</v>
      </c>
    </row>
    <row r="149" spans="1:14" s="544" customFormat="1" ht="16.5" customHeight="1">
      <c r="A149" s="16"/>
      <c r="B149" s="39"/>
      <c r="C149" s="537">
        <v>1</v>
      </c>
      <c r="D149" s="539" t="s">
        <v>273</v>
      </c>
      <c r="E149" s="540">
        <v>1</v>
      </c>
      <c r="F149" s="541">
        <v>9.4499999999999993</v>
      </c>
      <c r="G149" s="541">
        <v>10.45</v>
      </c>
      <c r="H149" s="541">
        <v>0</v>
      </c>
      <c r="I149" s="545">
        <f t="shared" ref="I149:I151" si="23">ROUND(IF(AND(F149:H149),C149*E149*F149*G149*H149,IF(AND(F149,G149),C149*E149*F149*G149,IF(AND(F149,H149),C149*E149*F149*H149,IF(AND(G149,H149),C149*E149*G149*H149,IF(F149,C149*E149*F149,IF(G149,C149*E149*G149,IF(H149,C149*E149*H149,C149*E149))))))),2)</f>
        <v>98.75</v>
      </c>
      <c r="J149" s="553" t="s">
        <v>102</v>
      </c>
      <c r="K149" s="39"/>
      <c r="L149" s="16"/>
      <c r="M149" s="39"/>
      <c r="N149" s="536" t="s">
        <v>2317</v>
      </c>
    </row>
    <row r="150" spans="1:14" s="544" customFormat="1" ht="16.5" customHeight="1">
      <c r="A150" s="16"/>
      <c r="B150" s="39"/>
      <c r="C150" s="537">
        <v>1</v>
      </c>
      <c r="D150" s="539" t="s">
        <v>273</v>
      </c>
      <c r="E150" s="540">
        <v>1</v>
      </c>
      <c r="F150" s="541">
        <v>5.6</v>
      </c>
      <c r="G150" s="541">
        <v>3.6</v>
      </c>
      <c r="H150" s="541">
        <v>0</v>
      </c>
      <c r="I150" s="545">
        <f t="shared" si="23"/>
        <v>20.16</v>
      </c>
      <c r="J150" s="553" t="s">
        <v>102</v>
      </c>
      <c r="K150" s="39"/>
      <c r="L150" s="16"/>
      <c r="M150" s="39"/>
      <c r="N150" s="536" t="s">
        <v>2317</v>
      </c>
    </row>
    <row r="151" spans="1:14" s="544" customFormat="1" ht="16.5" customHeight="1">
      <c r="A151" s="16"/>
      <c r="B151" s="39"/>
      <c r="C151" s="537">
        <v>1</v>
      </c>
      <c r="D151" s="539" t="s">
        <v>273</v>
      </c>
      <c r="E151" s="540">
        <v>1</v>
      </c>
      <c r="F151" s="541">
        <v>4.3</v>
      </c>
      <c r="G151" s="541">
        <v>0.3</v>
      </c>
      <c r="H151" s="541">
        <v>0</v>
      </c>
      <c r="I151" s="545">
        <f t="shared" si="23"/>
        <v>1.29</v>
      </c>
      <c r="J151" s="553" t="s">
        <v>102</v>
      </c>
      <c r="K151" s="39"/>
      <c r="L151" s="16"/>
      <c r="M151" s="39"/>
      <c r="N151" s="536" t="s">
        <v>2317</v>
      </c>
    </row>
    <row r="152" spans="1:14" s="544" customFormat="1" ht="16.5" customHeight="1">
      <c r="A152" s="16"/>
      <c r="B152" s="574"/>
      <c r="C152" s="575"/>
      <c r="D152" s="558"/>
      <c r="E152" s="576"/>
      <c r="F152" s="577"/>
      <c r="G152" s="577"/>
      <c r="H152" s="578"/>
      <c r="I152" s="560"/>
      <c r="J152" s="553"/>
      <c r="K152" s="39"/>
      <c r="L152" s="208"/>
      <c r="M152" s="39"/>
      <c r="N152" s="536" t="s">
        <v>2317</v>
      </c>
    </row>
    <row r="153" spans="1:14" ht="15.75">
      <c r="A153" s="16"/>
      <c r="B153" s="39"/>
      <c r="C153" s="554"/>
      <c r="D153" s="555"/>
      <c r="E153" s="540"/>
      <c r="F153" s="541"/>
      <c r="G153" s="40"/>
      <c r="H153" s="16"/>
      <c r="I153" s="552"/>
      <c r="J153" s="553" t="s">
        <v>102</v>
      </c>
      <c r="K153" s="10">
        <f>data!F2029</f>
        <v>1350.5700000000002</v>
      </c>
      <c r="L153" s="208" t="s">
        <v>2317</v>
      </c>
      <c r="M153" s="9">
        <f>ROUND(I153*K153,0)</f>
        <v>0</v>
      </c>
      <c r="N153" s="536" t="s">
        <v>2317</v>
      </c>
    </row>
    <row r="154" spans="1:14" ht="17.25" customHeight="1">
      <c r="A154" s="16">
        <v>4</v>
      </c>
      <c r="B154" s="1858" t="s">
        <v>305</v>
      </c>
      <c r="C154" s="1858"/>
      <c r="D154" s="1858"/>
      <c r="E154" s="1858"/>
      <c r="F154" s="1858"/>
      <c r="G154" s="1858"/>
      <c r="H154" s="1858"/>
      <c r="I154" s="537"/>
      <c r="J154" s="538"/>
      <c r="K154" s="16"/>
      <c r="L154" s="208"/>
      <c r="M154" s="38"/>
      <c r="N154" s="536" t="s">
        <v>2318</v>
      </c>
    </row>
    <row r="155" spans="1:14" s="544" customFormat="1" ht="16.5" customHeight="1">
      <c r="A155" s="16"/>
      <c r="B155" s="39" t="s">
        <v>2882</v>
      </c>
      <c r="C155" s="537"/>
      <c r="D155" s="539"/>
      <c r="E155" s="540"/>
      <c r="F155" s="541"/>
      <c r="G155" s="541"/>
      <c r="H155" s="541"/>
      <c r="I155" s="542"/>
      <c r="J155" s="553"/>
      <c r="K155" s="39"/>
      <c r="L155" s="16"/>
      <c r="M155" s="39"/>
      <c r="N155" s="536" t="s">
        <v>2318</v>
      </c>
    </row>
    <row r="156" spans="1:14" s="544" customFormat="1" ht="16.5" customHeight="1">
      <c r="A156" s="16"/>
      <c r="B156" s="39"/>
      <c r="C156" s="537">
        <v>1</v>
      </c>
      <c r="D156" s="539" t="s">
        <v>273</v>
      </c>
      <c r="E156" s="540">
        <v>1</v>
      </c>
      <c r="F156" s="541">
        <v>16.100000000000001</v>
      </c>
      <c r="G156" s="541">
        <v>10.15</v>
      </c>
      <c r="H156" s="541">
        <v>0</v>
      </c>
      <c r="I156" s="545">
        <f>ROUND(IF(AND(F156:H156),C156*E156*F156*G156*H156,IF(AND(F156,G156),C156*E156*F156*G156,IF(AND(F156,H156),C156*E156*F156*H156,IF(AND(G156,H156),C156*E156*G156*H156,IF(F156,C156*E156*F156,IF(G156,C156*E156*G156,IF(H156,C156*E156*H156,C156*E156))))))),2)</f>
        <v>163.41999999999999</v>
      </c>
      <c r="J156" s="553" t="s">
        <v>102</v>
      </c>
      <c r="K156" s="39"/>
      <c r="L156" s="16"/>
      <c r="M156" s="39"/>
      <c r="N156" s="536" t="s">
        <v>2318</v>
      </c>
    </row>
    <row r="157" spans="1:14" s="544" customFormat="1" ht="16.5" customHeight="1">
      <c r="A157" s="16"/>
      <c r="B157" s="39" t="s">
        <v>1527</v>
      </c>
      <c r="C157" s="537">
        <v>1</v>
      </c>
      <c r="D157" s="539" t="s">
        <v>273</v>
      </c>
      <c r="E157" s="540">
        <v>1</v>
      </c>
      <c r="F157" s="541">
        <v>3.87</v>
      </c>
      <c r="G157" s="541">
        <v>2.65</v>
      </c>
      <c r="H157" s="541">
        <v>0</v>
      </c>
      <c r="I157" s="545">
        <f>-ROUND(IF(AND(F157:H157),C157*E157*F157*G157*H157,IF(AND(F157,G157),C157*E157*F157*G157,IF(AND(F157,H157),C157*E157*F157*H157,IF(AND(G157,H157),C157*E157*G157*H157,IF(F157,C157*E157*F157,IF(G157,C157*E157*G157,IF(H157,C157*E157*H157,C157*E157))))))),2)</f>
        <v>-10.26</v>
      </c>
      <c r="J157" s="553" t="s">
        <v>102</v>
      </c>
      <c r="K157" s="39"/>
      <c r="L157" s="16"/>
      <c r="M157" s="39"/>
      <c r="N157" s="536" t="s">
        <v>2318</v>
      </c>
    </row>
    <row r="158" spans="1:14" s="544" customFormat="1" ht="16.5" customHeight="1">
      <c r="A158" s="16"/>
      <c r="B158" s="574"/>
      <c r="C158" s="575"/>
      <c r="D158" s="558"/>
      <c r="E158" s="576"/>
      <c r="F158" s="577"/>
      <c r="G158" s="577"/>
      <c r="H158" s="578"/>
      <c r="I158" s="560"/>
      <c r="J158" s="553"/>
      <c r="K158" s="39"/>
      <c r="L158" s="208"/>
      <c r="M158" s="39"/>
      <c r="N158" s="536" t="s">
        <v>2318</v>
      </c>
    </row>
    <row r="159" spans="1:14" ht="15.75">
      <c r="A159" s="16"/>
      <c r="B159" s="39"/>
      <c r="C159" s="554"/>
      <c r="D159" s="555"/>
      <c r="E159" s="540"/>
      <c r="F159" s="541"/>
      <c r="G159" s="40"/>
      <c r="H159" s="16"/>
      <c r="I159" s="552"/>
      <c r="J159" s="553" t="s">
        <v>102</v>
      </c>
      <c r="K159" s="10">
        <f>data!F2946</f>
        <v>1395.89</v>
      </c>
      <c r="L159" s="208" t="s">
        <v>2318</v>
      </c>
      <c r="M159" s="9">
        <f>ROUND(I159*K159,0)</f>
        <v>0</v>
      </c>
      <c r="N159" s="536" t="s">
        <v>2318</v>
      </c>
    </row>
    <row r="160" spans="1:14" ht="17.25" customHeight="1">
      <c r="A160" s="16">
        <v>13</v>
      </c>
      <c r="B160" s="1858" t="s">
        <v>582</v>
      </c>
      <c r="C160" s="1858"/>
      <c r="D160" s="1858"/>
      <c r="E160" s="1858"/>
      <c r="F160" s="1858"/>
      <c r="G160" s="1858"/>
      <c r="H160" s="1858"/>
      <c r="I160" s="537"/>
      <c r="J160" s="538"/>
      <c r="K160" s="16"/>
      <c r="L160" s="208"/>
      <c r="M160" s="38"/>
      <c r="N160" s="536" t="s">
        <v>2218</v>
      </c>
    </row>
    <row r="161" spans="1:14" s="544" customFormat="1" ht="16.5" customHeight="1">
      <c r="A161" s="16"/>
      <c r="B161" s="39" t="s">
        <v>2883</v>
      </c>
      <c r="C161" s="537"/>
      <c r="D161" s="539"/>
      <c r="E161" s="540"/>
      <c r="F161" s="541"/>
      <c r="G161" s="541"/>
      <c r="H161" s="541"/>
      <c r="I161" s="542"/>
      <c r="J161" s="553"/>
      <c r="K161" s="39"/>
      <c r="L161" s="208"/>
      <c r="M161" s="39"/>
      <c r="N161" s="536" t="s">
        <v>2218</v>
      </c>
    </row>
    <row r="162" spans="1:14" s="544" customFormat="1" ht="16.5" customHeight="1">
      <c r="A162" s="16"/>
      <c r="B162" s="39" t="s">
        <v>1241</v>
      </c>
      <c r="C162" s="537">
        <v>1</v>
      </c>
      <c r="D162" s="539" t="s">
        <v>273</v>
      </c>
      <c r="E162" s="540">
        <v>1</v>
      </c>
      <c r="F162" s="541">
        <v>3.95</v>
      </c>
      <c r="G162" s="541">
        <v>2.1</v>
      </c>
      <c r="H162" s="541">
        <v>0</v>
      </c>
      <c r="I162" s="545">
        <f>ROUND(IF(AND(F162:H162),C162*E162*F162*G162*H162,IF(AND(F162,G162),C162*E162*F162*G162,IF(AND(F162,H162),C162*E162*F162*H162,IF(AND(G162,H162),C162*E162*G162*H162,IF(F162,C162*E162*F162,IF(G162,C162*E162*G162,IF(H162,C162*E162*H162,C162*E162))))))),2)</f>
        <v>8.3000000000000007</v>
      </c>
      <c r="J162" s="553" t="s">
        <v>102</v>
      </c>
      <c r="K162" s="39"/>
      <c r="L162" s="208"/>
      <c r="M162" s="39"/>
      <c r="N162" s="536" t="s">
        <v>2218</v>
      </c>
    </row>
    <row r="163" spans="1:14" s="544" customFormat="1" ht="16.5" customHeight="1">
      <c r="A163" s="16"/>
      <c r="B163" s="574"/>
      <c r="C163" s="575"/>
      <c r="D163" s="558"/>
      <c r="E163" s="576"/>
      <c r="F163" s="577"/>
      <c r="G163" s="577"/>
      <c r="H163" s="578"/>
      <c r="I163" s="560"/>
      <c r="J163" s="553"/>
      <c r="K163" s="39"/>
      <c r="L163" s="208"/>
      <c r="M163" s="39"/>
      <c r="N163" s="536" t="s">
        <v>2218</v>
      </c>
    </row>
    <row r="164" spans="1:14" ht="15.75">
      <c r="A164" s="16"/>
      <c r="B164" s="39"/>
      <c r="C164" s="554"/>
      <c r="D164" s="555"/>
      <c r="E164" s="540"/>
      <c r="F164" s="541"/>
      <c r="G164" s="40"/>
      <c r="H164" s="16"/>
      <c r="I164" s="552"/>
      <c r="J164" s="553" t="s">
        <v>102</v>
      </c>
      <c r="K164" s="10">
        <f>data!F189</f>
        <v>1107.81</v>
      </c>
      <c r="L164" s="208" t="s">
        <v>2218</v>
      </c>
      <c r="M164" s="9">
        <f>ROUND(I164*K164,0)</f>
        <v>0</v>
      </c>
      <c r="N164" s="536" t="s">
        <v>2218</v>
      </c>
    </row>
    <row r="165" spans="1:14" ht="17.25" customHeight="1">
      <c r="A165" s="16">
        <v>13</v>
      </c>
      <c r="B165" s="1858" t="s">
        <v>582</v>
      </c>
      <c r="C165" s="1858"/>
      <c r="D165" s="1858"/>
      <c r="E165" s="1858"/>
      <c r="F165" s="1858"/>
      <c r="G165" s="1858"/>
      <c r="H165" s="1858"/>
      <c r="I165" s="537"/>
      <c r="J165" s="538"/>
      <c r="K165" s="16"/>
      <c r="L165" s="208"/>
      <c r="M165" s="38"/>
      <c r="N165" s="536" t="s">
        <v>2306</v>
      </c>
    </row>
    <row r="166" spans="1:14" s="544" customFormat="1" ht="16.5" customHeight="1">
      <c r="A166" s="16"/>
      <c r="B166" s="39" t="s">
        <v>2883</v>
      </c>
      <c r="C166" s="537"/>
      <c r="D166" s="539"/>
      <c r="E166" s="540"/>
      <c r="F166" s="541"/>
      <c r="G166" s="541"/>
      <c r="H166" s="541"/>
      <c r="I166" s="542"/>
      <c r="J166" s="553"/>
      <c r="K166" s="39"/>
      <c r="L166" s="208"/>
      <c r="M166" s="39"/>
      <c r="N166" s="536" t="s">
        <v>2306</v>
      </c>
    </row>
    <row r="167" spans="1:14" s="544" customFormat="1" ht="16.5" customHeight="1">
      <c r="A167" s="16"/>
      <c r="B167" s="39" t="s">
        <v>1241</v>
      </c>
      <c r="C167" s="537">
        <v>1</v>
      </c>
      <c r="D167" s="539" t="s">
        <v>273</v>
      </c>
      <c r="E167" s="540">
        <v>1</v>
      </c>
      <c r="F167" s="541">
        <v>3.95</v>
      </c>
      <c r="G167" s="541">
        <v>2.1</v>
      </c>
      <c r="H167" s="541">
        <v>0</v>
      </c>
      <c r="I167" s="545">
        <f>ROUND(IF(AND(F167:H167),C167*E167*F167*G167*H167,IF(AND(F167,G167),C167*E167*F167*G167,IF(AND(F167,H167),C167*E167*F167*H167,IF(AND(G167,H167),C167*E167*G167*H167,IF(F167,C167*E167*F167,IF(G167,C167*E167*G167,IF(H167,C167*E167*H167,C167*E167))))))),2)</f>
        <v>8.3000000000000007</v>
      </c>
      <c r="J167" s="553" t="s">
        <v>102</v>
      </c>
      <c r="K167" s="39"/>
      <c r="L167" s="208"/>
      <c r="M167" s="39"/>
      <c r="N167" s="536" t="s">
        <v>2306</v>
      </c>
    </row>
    <row r="168" spans="1:14" s="544" customFormat="1" ht="16.5" customHeight="1">
      <c r="A168" s="16"/>
      <c r="B168" s="574"/>
      <c r="C168" s="575"/>
      <c r="D168" s="558"/>
      <c r="E168" s="576"/>
      <c r="F168" s="577"/>
      <c r="G168" s="577"/>
      <c r="H168" s="578"/>
      <c r="I168" s="560"/>
      <c r="J168" s="553"/>
      <c r="K168" s="39"/>
      <c r="L168" s="208"/>
      <c r="M168" s="39"/>
      <c r="N168" s="536" t="s">
        <v>2306</v>
      </c>
    </row>
    <row r="169" spans="1:14" ht="15.75">
      <c r="A169" s="16"/>
      <c r="B169" s="39"/>
      <c r="C169" s="554"/>
      <c r="D169" s="555"/>
      <c r="E169" s="540"/>
      <c r="F169" s="541"/>
      <c r="G169" s="40"/>
      <c r="H169" s="16"/>
      <c r="I169" s="552"/>
      <c r="J169" s="553" t="s">
        <v>102</v>
      </c>
      <c r="K169" s="10">
        <f>data!F1105</f>
        <v>1140.19</v>
      </c>
      <c r="L169" s="208" t="s">
        <v>2306</v>
      </c>
      <c r="M169" s="9">
        <f>ROUND(I169*K169,0)</f>
        <v>0</v>
      </c>
      <c r="N169" s="536" t="s">
        <v>2306</v>
      </c>
    </row>
    <row r="170" spans="1:14" ht="17.25" customHeight="1">
      <c r="A170" s="16">
        <v>13</v>
      </c>
      <c r="B170" s="1858" t="s">
        <v>582</v>
      </c>
      <c r="C170" s="1858"/>
      <c r="D170" s="1858"/>
      <c r="E170" s="1858"/>
      <c r="F170" s="1858"/>
      <c r="G170" s="1858"/>
      <c r="H170" s="1858"/>
      <c r="I170" s="537"/>
      <c r="J170" s="538"/>
      <c r="K170" s="16"/>
      <c r="L170" s="208"/>
      <c r="M170" s="38"/>
      <c r="N170" s="536" t="s">
        <v>2317</v>
      </c>
    </row>
    <row r="171" spans="1:14" s="544" customFormat="1" ht="16.5" customHeight="1">
      <c r="A171" s="16"/>
      <c r="B171" s="39" t="s">
        <v>2883</v>
      </c>
      <c r="C171" s="537"/>
      <c r="D171" s="539"/>
      <c r="E171" s="540"/>
      <c r="F171" s="541"/>
      <c r="G171" s="541"/>
      <c r="H171" s="541"/>
      <c r="I171" s="542"/>
      <c r="J171" s="553"/>
      <c r="K171" s="39"/>
      <c r="L171" s="208"/>
      <c r="M171" s="39"/>
      <c r="N171" s="536" t="s">
        <v>2317</v>
      </c>
    </row>
    <row r="172" spans="1:14" s="544" customFormat="1" ht="16.5" customHeight="1">
      <c r="A172" s="16"/>
      <c r="B172" s="39" t="s">
        <v>1241</v>
      </c>
      <c r="C172" s="537">
        <v>1</v>
      </c>
      <c r="D172" s="539" t="s">
        <v>273</v>
      </c>
      <c r="E172" s="540">
        <v>1</v>
      </c>
      <c r="F172" s="541">
        <v>3.95</v>
      </c>
      <c r="G172" s="541">
        <v>2.1</v>
      </c>
      <c r="H172" s="541">
        <v>0</v>
      </c>
      <c r="I172" s="545">
        <f>ROUND(IF(AND(F172:H172),C172*E172*F172*G172*H172,IF(AND(F172,G172),C172*E172*F172*G172,IF(AND(F172,H172),C172*E172*F172*H172,IF(AND(G172,H172),C172*E172*G172*H172,IF(F172,C172*E172*F172,IF(G172,C172*E172*G172,IF(H172,C172*E172*H172,C172*E172))))))),2)</f>
        <v>8.3000000000000007</v>
      </c>
      <c r="J172" s="553" t="s">
        <v>102</v>
      </c>
      <c r="K172" s="39"/>
      <c r="L172" s="208"/>
      <c r="M172" s="39"/>
      <c r="N172" s="536" t="s">
        <v>2317</v>
      </c>
    </row>
    <row r="173" spans="1:14" s="544" customFormat="1" ht="16.5" customHeight="1">
      <c r="A173" s="16"/>
      <c r="B173" s="574"/>
      <c r="C173" s="575"/>
      <c r="D173" s="558"/>
      <c r="E173" s="576"/>
      <c r="F173" s="577"/>
      <c r="G173" s="577"/>
      <c r="H173" s="578"/>
      <c r="I173" s="560"/>
      <c r="J173" s="553"/>
      <c r="K173" s="39"/>
      <c r="L173" s="208"/>
      <c r="M173" s="39"/>
      <c r="N173" s="536" t="s">
        <v>2317</v>
      </c>
    </row>
    <row r="174" spans="1:14" ht="15.75">
      <c r="A174" s="16"/>
      <c r="B174" s="39"/>
      <c r="C174" s="554"/>
      <c r="D174" s="555"/>
      <c r="E174" s="540"/>
      <c r="F174" s="541"/>
      <c r="G174" s="40"/>
      <c r="H174" s="16"/>
      <c r="I174" s="552"/>
      <c r="J174" s="553" t="s">
        <v>102</v>
      </c>
      <c r="K174" s="10">
        <f>data!F2022</f>
        <v>1214.83</v>
      </c>
      <c r="L174" s="208" t="s">
        <v>2317</v>
      </c>
      <c r="M174" s="9">
        <f>ROUND(I174*K174,0)</f>
        <v>0</v>
      </c>
      <c r="N174" s="536" t="s">
        <v>2317</v>
      </c>
    </row>
    <row r="175" spans="1:14" ht="17.25" customHeight="1">
      <c r="A175" s="16">
        <v>13</v>
      </c>
      <c r="B175" s="1858" t="s">
        <v>582</v>
      </c>
      <c r="C175" s="1858"/>
      <c r="D175" s="1858"/>
      <c r="E175" s="1858"/>
      <c r="F175" s="1858"/>
      <c r="G175" s="1858"/>
      <c r="H175" s="1858"/>
      <c r="I175" s="537"/>
      <c r="J175" s="538"/>
      <c r="K175" s="16"/>
      <c r="L175" s="208"/>
      <c r="M175" s="38"/>
      <c r="N175" s="536" t="s">
        <v>2318</v>
      </c>
    </row>
    <row r="176" spans="1:14" s="544" customFormat="1" ht="16.5" customHeight="1">
      <c r="A176" s="16"/>
      <c r="B176" s="39" t="s">
        <v>2883</v>
      </c>
      <c r="C176" s="537"/>
      <c r="D176" s="539"/>
      <c r="E176" s="540"/>
      <c r="F176" s="541"/>
      <c r="G176" s="541"/>
      <c r="H176" s="541"/>
      <c r="I176" s="542"/>
      <c r="J176" s="553"/>
      <c r="K176" s="39"/>
      <c r="L176" s="208"/>
      <c r="M176" s="39"/>
      <c r="N176" s="536" t="s">
        <v>2318</v>
      </c>
    </row>
    <row r="177" spans="1:14" s="544" customFormat="1" ht="16.5" customHeight="1">
      <c r="A177" s="16"/>
      <c r="B177" s="39" t="s">
        <v>1241</v>
      </c>
      <c r="C177" s="537">
        <v>1</v>
      </c>
      <c r="D177" s="539" t="s">
        <v>273</v>
      </c>
      <c r="E177" s="540">
        <v>1</v>
      </c>
      <c r="F177" s="541">
        <v>3.95</v>
      </c>
      <c r="G177" s="541">
        <v>2.1</v>
      </c>
      <c r="H177" s="541">
        <v>0</v>
      </c>
      <c r="I177" s="545">
        <f>ROUND(IF(AND(F177:H177),C177*E177*F177*G177*H177,IF(AND(F177,G177),C177*E177*F177*G177,IF(AND(F177,H177),C177*E177*F177*H177,IF(AND(G177,H177),C177*E177*G177*H177,IF(F177,C177*E177*F177,IF(G177,C177*E177*G177,IF(H177,C177*E177*H177,C177*E177))))))),2)</f>
        <v>8.3000000000000007</v>
      </c>
      <c r="J177" s="553" t="s">
        <v>102</v>
      </c>
      <c r="K177" s="39"/>
      <c r="L177" s="208"/>
      <c r="M177" s="39"/>
      <c r="N177" s="536" t="s">
        <v>2318</v>
      </c>
    </row>
    <row r="178" spans="1:14" s="544" customFormat="1" ht="16.5" customHeight="1">
      <c r="A178" s="16"/>
      <c r="B178" s="574"/>
      <c r="C178" s="575"/>
      <c r="D178" s="558"/>
      <c r="E178" s="576"/>
      <c r="F178" s="577"/>
      <c r="G178" s="577"/>
      <c r="H178" s="578"/>
      <c r="I178" s="560"/>
      <c r="J178" s="553"/>
      <c r="K178" s="39"/>
      <c r="L178" s="208"/>
      <c r="M178" s="39"/>
      <c r="N178" s="536" t="s">
        <v>2318</v>
      </c>
    </row>
    <row r="179" spans="1:14" ht="15.75">
      <c r="A179" s="16"/>
      <c r="B179" s="39"/>
      <c r="C179" s="554"/>
      <c r="D179" s="555"/>
      <c r="E179" s="540"/>
      <c r="F179" s="541"/>
      <c r="G179" s="40"/>
      <c r="H179" s="16"/>
      <c r="I179" s="552"/>
      <c r="J179" s="553" t="s">
        <v>102</v>
      </c>
      <c r="K179" s="10">
        <f>data!F2939</f>
        <v>1253.01</v>
      </c>
      <c r="L179" s="208" t="s">
        <v>2318</v>
      </c>
      <c r="M179" s="9">
        <f>ROUND(I179*K179,0)</f>
        <v>0</v>
      </c>
      <c r="N179" s="536" t="s">
        <v>2318</v>
      </c>
    </row>
    <row r="180" spans="1:14" ht="18.75" customHeight="1">
      <c r="A180" s="16">
        <v>16</v>
      </c>
      <c r="B180" s="1858" t="s">
        <v>1315</v>
      </c>
      <c r="C180" s="1858"/>
      <c r="D180" s="1858"/>
      <c r="E180" s="1858"/>
      <c r="F180" s="1858"/>
      <c r="G180" s="1858"/>
      <c r="H180" s="1858"/>
      <c r="I180" s="537"/>
      <c r="J180" s="538"/>
      <c r="K180" s="16"/>
      <c r="L180" s="208"/>
      <c r="M180" s="38"/>
      <c r="N180" s="536" t="s">
        <v>2218</v>
      </c>
    </row>
    <row r="181" spans="1:14" s="544" customFormat="1" ht="16.5" customHeight="1">
      <c r="A181" s="16"/>
      <c r="B181" s="39" t="s">
        <v>2819</v>
      </c>
      <c r="C181" s="537"/>
      <c r="D181" s="539"/>
      <c r="E181" s="540"/>
      <c r="F181" s="541"/>
      <c r="G181" s="541"/>
      <c r="H181" s="541"/>
      <c r="I181" s="542"/>
      <c r="J181" s="553"/>
      <c r="K181" s="39"/>
      <c r="L181" s="208"/>
      <c r="M181" s="39"/>
      <c r="N181" s="536" t="s">
        <v>2218</v>
      </c>
    </row>
    <row r="182" spans="1:14" s="544" customFormat="1" ht="16.5" customHeight="1">
      <c r="A182" s="16"/>
      <c r="B182" s="39" t="s">
        <v>1230</v>
      </c>
      <c r="C182" s="537">
        <v>1</v>
      </c>
      <c r="D182" s="539" t="s">
        <v>273</v>
      </c>
      <c r="E182" s="540">
        <v>5</v>
      </c>
      <c r="F182" s="541">
        <v>1.52</v>
      </c>
      <c r="G182" s="541">
        <v>0.23</v>
      </c>
      <c r="H182" s="541">
        <v>0</v>
      </c>
      <c r="I182" s="545">
        <f>ROUND(IF(AND(F182:H182),C182*E182*F182*G182*H182,IF(AND(F182,G182),C182*E182*F182*G182,IF(AND(F182,H182),C182*E182*F182*H182,IF(AND(G182,H182),C182*E182*G182*H182,IF(F182,C182*E182*F182,IF(G182,C182*E182*G182,IF(H182,C182*E182*H182,C182*E182))))))),2)</f>
        <v>1.75</v>
      </c>
      <c r="J182" s="553" t="s">
        <v>102</v>
      </c>
      <c r="K182" s="39"/>
      <c r="L182" s="208"/>
      <c r="M182" s="39"/>
      <c r="N182" s="536" t="s">
        <v>2218</v>
      </c>
    </row>
    <row r="183" spans="1:14" s="544" customFormat="1" ht="16.5" customHeight="1">
      <c r="A183" s="16"/>
      <c r="B183" s="39" t="s">
        <v>1243</v>
      </c>
      <c r="C183" s="537">
        <v>1</v>
      </c>
      <c r="D183" s="539" t="s">
        <v>273</v>
      </c>
      <c r="E183" s="540">
        <v>1</v>
      </c>
      <c r="F183" s="541">
        <v>1.4</v>
      </c>
      <c r="G183" s="541">
        <v>1.4</v>
      </c>
      <c r="H183" s="541">
        <v>0</v>
      </c>
      <c r="I183" s="545">
        <f>ROUND(IF(AND(F183:H183),C183*E183*F183*G183*H183,IF(AND(F183,G183),C183*E183*F183*G183,IF(AND(F183,H183),C183*E183*F183*H183,IF(AND(G183,H183),C183*E183*G183*H183,IF(F183,C183*E183*F183,IF(G183,C183*E183*G183,IF(H183,C183*E183*H183,C183*E183))))))),2)</f>
        <v>1.96</v>
      </c>
      <c r="J183" s="553" t="s">
        <v>102</v>
      </c>
      <c r="K183" s="39"/>
      <c r="L183" s="208"/>
      <c r="M183" s="39"/>
      <c r="N183" s="536" t="s">
        <v>2218</v>
      </c>
    </row>
    <row r="184" spans="1:14" s="544" customFormat="1" ht="16.5" customHeight="1">
      <c r="A184" s="16"/>
      <c r="B184" s="547"/>
      <c r="C184" s="548"/>
      <c r="D184" s="549"/>
      <c r="E184" s="550"/>
      <c r="F184" s="551"/>
      <c r="G184" s="551"/>
      <c r="H184" s="551"/>
      <c r="I184" s="552"/>
      <c r="J184" s="553"/>
      <c r="K184" s="39"/>
      <c r="L184" s="208"/>
      <c r="M184" s="39"/>
      <c r="N184" s="536" t="s">
        <v>2218</v>
      </c>
    </row>
    <row r="185" spans="1:14" ht="15.75">
      <c r="A185" s="16"/>
      <c r="B185" s="39"/>
      <c r="C185" s="554"/>
      <c r="D185" s="555"/>
      <c r="E185" s="540"/>
      <c r="F185" s="541"/>
      <c r="G185" s="40"/>
      <c r="H185" s="16"/>
      <c r="I185" s="552"/>
      <c r="J185" s="553" t="s">
        <v>102</v>
      </c>
      <c r="K185" s="10">
        <f>data!F245</f>
        <v>608.34999999999991</v>
      </c>
      <c r="L185" s="208" t="s">
        <v>2218</v>
      </c>
      <c r="M185" s="9">
        <f>ROUND(I185*K185,0)</f>
        <v>0</v>
      </c>
      <c r="N185" s="536" t="s">
        <v>2218</v>
      </c>
    </row>
    <row r="186" spans="1:14" ht="18.75" customHeight="1">
      <c r="A186" s="16">
        <v>16</v>
      </c>
      <c r="B186" s="1858" t="s">
        <v>1315</v>
      </c>
      <c r="C186" s="1858"/>
      <c r="D186" s="1858"/>
      <c r="E186" s="1858"/>
      <c r="F186" s="1858"/>
      <c r="G186" s="1858"/>
      <c r="H186" s="1858"/>
      <c r="I186" s="537"/>
      <c r="J186" s="538"/>
      <c r="K186" s="16"/>
      <c r="L186" s="208"/>
      <c r="M186" s="38"/>
      <c r="N186" s="536" t="s">
        <v>2306</v>
      </c>
    </row>
    <row r="187" spans="1:14" s="544" customFormat="1" ht="16.5" customHeight="1">
      <c r="A187" s="16"/>
      <c r="B187" s="39" t="s">
        <v>2819</v>
      </c>
      <c r="C187" s="537"/>
      <c r="D187" s="539"/>
      <c r="E187" s="540"/>
      <c r="F187" s="541"/>
      <c r="G187" s="541"/>
      <c r="H187" s="541"/>
      <c r="I187" s="542"/>
      <c r="J187" s="553"/>
      <c r="K187" s="39"/>
      <c r="L187" s="208"/>
      <c r="M187" s="39"/>
      <c r="N187" s="536" t="s">
        <v>2306</v>
      </c>
    </row>
    <row r="188" spans="1:14" s="544" customFormat="1" ht="16.5" customHeight="1">
      <c r="A188" s="16"/>
      <c r="B188" s="39" t="s">
        <v>1230</v>
      </c>
      <c r="C188" s="537">
        <v>1</v>
      </c>
      <c r="D188" s="539" t="s">
        <v>273</v>
      </c>
      <c r="E188" s="540">
        <v>5</v>
      </c>
      <c r="F188" s="541">
        <v>1.52</v>
      </c>
      <c r="G188" s="541">
        <v>0.23</v>
      </c>
      <c r="H188" s="541">
        <v>0</v>
      </c>
      <c r="I188" s="545">
        <f>ROUND(IF(AND(F188:H188),C188*E188*F188*G188*H188,IF(AND(F188,G188),C188*E188*F188*G188,IF(AND(F188,H188),C188*E188*F188*H188,IF(AND(G188,H188),C188*E188*G188*H188,IF(F188,C188*E188*F188,IF(G188,C188*E188*G188,IF(H188,C188*E188*H188,C188*E188))))))),2)</f>
        <v>1.75</v>
      </c>
      <c r="J188" s="553" t="s">
        <v>102</v>
      </c>
      <c r="K188" s="39"/>
      <c r="L188" s="208"/>
      <c r="M188" s="39"/>
      <c r="N188" s="536" t="s">
        <v>2306</v>
      </c>
    </row>
    <row r="189" spans="1:14" s="544" customFormat="1" ht="16.5" customHeight="1">
      <c r="A189" s="16"/>
      <c r="B189" s="39" t="s">
        <v>1243</v>
      </c>
      <c r="C189" s="537">
        <v>1</v>
      </c>
      <c r="D189" s="539" t="s">
        <v>273</v>
      </c>
      <c r="E189" s="540">
        <v>1</v>
      </c>
      <c r="F189" s="541">
        <v>1.4</v>
      </c>
      <c r="G189" s="541">
        <v>1.4</v>
      </c>
      <c r="H189" s="541">
        <v>0</v>
      </c>
      <c r="I189" s="545">
        <f>ROUND(IF(AND(F189:H189),C189*E189*F189*G189*H189,IF(AND(F189,G189),C189*E189*F189*G189,IF(AND(F189,H189),C189*E189*F189*H189,IF(AND(G189,H189),C189*E189*G189*H189,IF(F189,C189*E189*F189,IF(G189,C189*E189*G189,IF(H189,C189*E189*H189,C189*E189))))))),2)</f>
        <v>1.96</v>
      </c>
      <c r="J189" s="553" t="s">
        <v>102</v>
      </c>
      <c r="K189" s="39"/>
      <c r="L189" s="208"/>
      <c r="M189" s="39"/>
      <c r="N189" s="536" t="s">
        <v>2306</v>
      </c>
    </row>
    <row r="190" spans="1:14" s="544" customFormat="1" ht="16.5" customHeight="1">
      <c r="A190" s="16"/>
      <c r="B190" s="547"/>
      <c r="C190" s="548"/>
      <c r="D190" s="549"/>
      <c r="E190" s="550"/>
      <c r="F190" s="551"/>
      <c r="G190" s="551"/>
      <c r="H190" s="551"/>
      <c r="I190" s="552"/>
      <c r="J190" s="553"/>
      <c r="K190" s="39"/>
      <c r="L190" s="208"/>
      <c r="M190" s="39"/>
      <c r="N190" s="536" t="s">
        <v>2306</v>
      </c>
    </row>
    <row r="191" spans="1:14" ht="15.75">
      <c r="A191" s="16"/>
      <c r="B191" s="39"/>
      <c r="C191" s="554"/>
      <c r="D191" s="555"/>
      <c r="E191" s="540"/>
      <c r="F191" s="541"/>
      <c r="G191" s="40"/>
      <c r="H191" s="16"/>
      <c r="I191" s="552"/>
      <c r="J191" s="553" t="s">
        <v>102</v>
      </c>
      <c r="K191" s="10">
        <f>data!F1161</f>
        <v>629.79</v>
      </c>
      <c r="L191" s="208" t="s">
        <v>2306</v>
      </c>
      <c r="M191" s="9">
        <f>ROUND(I191*K191,0)</f>
        <v>0</v>
      </c>
      <c r="N191" s="536" t="s">
        <v>2306</v>
      </c>
    </row>
    <row r="192" spans="1:14" ht="18.75" customHeight="1">
      <c r="A192" s="16">
        <v>16</v>
      </c>
      <c r="B192" s="1858" t="s">
        <v>1315</v>
      </c>
      <c r="C192" s="1858"/>
      <c r="D192" s="1858"/>
      <c r="E192" s="1858"/>
      <c r="F192" s="1858"/>
      <c r="G192" s="1858"/>
      <c r="H192" s="1858"/>
      <c r="I192" s="537"/>
      <c r="J192" s="538"/>
      <c r="K192" s="16"/>
      <c r="L192" s="208"/>
      <c r="M192" s="38"/>
      <c r="N192" s="536" t="s">
        <v>2317</v>
      </c>
    </row>
    <row r="193" spans="1:14" s="544" customFormat="1" ht="16.5" customHeight="1">
      <c r="A193" s="16"/>
      <c r="B193" s="39" t="s">
        <v>2819</v>
      </c>
      <c r="C193" s="537"/>
      <c r="D193" s="539"/>
      <c r="E193" s="540"/>
      <c r="F193" s="541"/>
      <c r="G193" s="541"/>
      <c r="H193" s="541"/>
      <c r="I193" s="542"/>
      <c r="J193" s="553"/>
      <c r="K193" s="39"/>
      <c r="L193" s="208"/>
      <c r="M193" s="39"/>
      <c r="N193" s="536" t="s">
        <v>2317</v>
      </c>
    </row>
    <row r="194" spans="1:14" s="544" customFormat="1" ht="16.5" customHeight="1">
      <c r="A194" s="16"/>
      <c r="B194" s="39" t="s">
        <v>1230</v>
      </c>
      <c r="C194" s="537">
        <v>1</v>
      </c>
      <c r="D194" s="539" t="s">
        <v>273</v>
      </c>
      <c r="E194" s="540">
        <v>5</v>
      </c>
      <c r="F194" s="541">
        <v>1.52</v>
      </c>
      <c r="G194" s="541">
        <v>0.23</v>
      </c>
      <c r="H194" s="541">
        <v>0</v>
      </c>
      <c r="I194" s="545">
        <f>ROUND(IF(AND(F194:H194),C194*E194*F194*G194*H194,IF(AND(F194,G194),C194*E194*F194*G194,IF(AND(F194,H194),C194*E194*F194*H194,IF(AND(G194,H194),C194*E194*G194*H194,IF(F194,C194*E194*F194,IF(G194,C194*E194*G194,IF(H194,C194*E194*H194,C194*E194))))))),2)</f>
        <v>1.75</v>
      </c>
      <c r="J194" s="553" t="s">
        <v>102</v>
      </c>
      <c r="K194" s="39"/>
      <c r="L194" s="208"/>
      <c r="M194" s="39"/>
      <c r="N194" s="536" t="s">
        <v>2317</v>
      </c>
    </row>
    <row r="195" spans="1:14" s="544" customFormat="1" ht="16.5" customHeight="1">
      <c r="A195" s="16"/>
      <c r="B195" s="39" t="s">
        <v>1243</v>
      </c>
      <c r="C195" s="537">
        <v>1</v>
      </c>
      <c r="D195" s="539" t="s">
        <v>273</v>
      </c>
      <c r="E195" s="540">
        <v>1</v>
      </c>
      <c r="F195" s="541">
        <v>1.4</v>
      </c>
      <c r="G195" s="541">
        <v>1.4</v>
      </c>
      <c r="H195" s="541">
        <v>0</v>
      </c>
      <c r="I195" s="545">
        <f>ROUND(IF(AND(F195:H195),C195*E195*F195*G195*H195,IF(AND(F195,G195),C195*E195*F195*G195,IF(AND(F195,H195),C195*E195*F195*H195,IF(AND(G195,H195),C195*E195*G195*H195,IF(F195,C195*E195*F195,IF(G195,C195*E195*G195,IF(H195,C195*E195*H195,C195*E195))))))),2)</f>
        <v>1.96</v>
      </c>
      <c r="J195" s="553" t="s">
        <v>102</v>
      </c>
      <c r="K195" s="39"/>
      <c r="L195" s="208"/>
      <c r="M195" s="39"/>
      <c r="N195" s="536" t="s">
        <v>2317</v>
      </c>
    </row>
    <row r="196" spans="1:14" s="544" customFormat="1" ht="16.5" customHeight="1">
      <c r="A196" s="16"/>
      <c r="B196" s="547"/>
      <c r="C196" s="548"/>
      <c r="D196" s="549"/>
      <c r="E196" s="550"/>
      <c r="F196" s="551"/>
      <c r="G196" s="551"/>
      <c r="H196" s="551"/>
      <c r="I196" s="552"/>
      <c r="J196" s="553"/>
      <c r="K196" s="39"/>
      <c r="L196" s="208"/>
      <c r="M196" s="39"/>
      <c r="N196" s="536" t="s">
        <v>2317</v>
      </c>
    </row>
    <row r="197" spans="1:14" ht="15.75">
      <c r="A197" s="16"/>
      <c r="B197" s="39"/>
      <c r="C197" s="554"/>
      <c r="D197" s="555"/>
      <c r="E197" s="540"/>
      <c r="F197" s="541"/>
      <c r="G197" s="40"/>
      <c r="H197" s="16"/>
      <c r="I197" s="552"/>
      <c r="J197" s="553" t="s">
        <v>102</v>
      </c>
      <c r="K197" s="10">
        <f>data!F2078</f>
        <v>670.91</v>
      </c>
      <c r="L197" s="208" t="s">
        <v>2317</v>
      </c>
      <c r="M197" s="9">
        <f>ROUND(I197*K197,0)</f>
        <v>0</v>
      </c>
      <c r="N197" s="536" t="s">
        <v>2317</v>
      </c>
    </row>
    <row r="198" spans="1:14" ht="18.75" customHeight="1">
      <c r="A198" s="16">
        <v>16</v>
      </c>
      <c r="B198" s="1858" t="s">
        <v>1315</v>
      </c>
      <c r="C198" s="1858"/>
      <c r="D198" s="1858"/>
      <c r="E198" s="1858"/>
      <c r="F198" s="1858"/>
      <c r="G198" s="1858"/>
      <c r="H198" s="1858"/>
      <c r="I198" s="537"/>
      <c r="J198" s="538"/>
      <c r="K198" s="16"/>
      <c r="L198" s="208"/>
      <c r="M198" s="38"/>
      <c r="N198" s="536" t="s">
        <v>2318</v>
      </c>
    </row>
    <row r="199" spans="1:14" s="544" customFormat="1" ht="16.5" customHeight="1">
      <c r="A199" s="16"/>
      <c r="B199" s="39" t="s">
        <v>2819</v>
      </c>
      <c r="C199" s="537"/>
      <c r="D199" s="539"/>
      <c r="E199" s="540"/>
      <c r="F199" s="541"/>
      <c r="G199" s="541"/>
      <c r="H199" s="541"/>
      <c r="I199" s="542"/>
      <c r="J199" s="553"/>
      <c r="K199" s="39"/>
      <c r="L199" s="208"/>
      <c r="M199" s="39"/>
      <c r="N199" s="536" t="s">
        <v>2318</v>
      </c>
    </row>
    <row r="200" spans="1:14" s="544" customFormat="1" ht="16.5" customHeight="1">
      <c r="A200" s="16"/>
      <c r="B200" s="39" t="s">
        <v>1230</v>
      </c>
      <c r="C200" s="537">
        <v>1</v>
      </c>
      <c r="D200" s="539" t="s">
        <v>273</v>
      </c>
      <c r="E200" s="540">
        <v>5</v>
      </c>
      <c r="F200" s="541">
        <v>1.52</v>
      </c>
      <c r="G200" s="541">
        <v>0.23</v>
      </c>
      <c r="H200" s="541">
        <v>0</v>
      </c>
      <c r="I200" s="545">
        <f>ROUND(IF(AND(F200:H200),C200*E200*F200*G200*H200,IF(AND(F200,G200),C200*E200*F200*G200,IF(AND(F200,H200),C200*E200*F200*H200,IF(AND(G200,H200),C200*E200*G200*H200,IF(F200,C200*E200*F200,IF(G200,C200*E200*G200,IF(H200,C200*E200*H200,C200*E200))))))),2)</f>
        <v>1.75</v>
      </c>
      <c r="J200" s="553" t="s">
        <v>102</v>
      </c>
      <c r="K200" s="39"/>
      <c r="L200" s="208"/>
      <c r="M200" s="39"/>
      <c r="N200" s="536" t="s">
        <v>2318</v>
      </c>
    </row>
    <row r="201" spans="1:14" s="544" customFormat="1" ht="16.5" customHeight="1">
      <c r="A201" s="16"/>
      <c r="B201" s="39" t="s">
        <v>1243</v>
      </c>
      <c r="C201" s="537">
        <v>1</v>
      </c>
      <c r="D201" s="539" t="s">
        <v>273</v>
      </c>
      <c r="E201" s="540">
        <v>1</v>
      </c>
      <c r="F201" s="541">
        <v>1.4</v>
      </c>
      <c r="G201" s="541">
        <v>1.4</v>
      </c>
      <c r="H201" s="541">
        <v>0</v>
      </c>
      <c r="I201" s="545">
        <f>ROUND(IF(AND(F201:H201),C201*E201*F201*G201*H201,IF(AND(F201,G201),C201*E201*F201*G201,IF(AND(F201,H201),C201*E201*F201*H201,IF(AND(G201,H201),C201*E201*G201*H201,IF(F201,C201*E201*F201,IF(G201,C201*E201*G201,IF(H201,C201*E201*H201,C201*E201))))))),2)</f>
        <v>1.96</v>
      </c>
      <c r="J201" s="553" t="s">
        <v>102</v>
      </c>
      <c r="K201" s="39"/>
      <c r="L201" s="208"/>
      <c r="M201" s="39"/>
      <c r="N201" s="536" t="s">
        <v>2318</v>
      </c>
    </row>
    <row r="202" spans="1:14" s="544" customFormat="1" ht="16.5" customHeight="1">
      <c r="A202" s="16"/>
      <c r="B202" s="547"/>
      <c r="C202" s="548"/>
      <c r="D202" s="549"/>
      <c r="E202" s="550"/>
      <c r="F202" s="551"/>
      <c r="G202" s="551"/>
      <c r="H202" s="551"/>
      <c r="I202" s="552"/>
      <c r="J202" s="553"/>
      <c r="K202" s="39"/>
      <c r="L202" s="208"/>
      <c r="M202" s="39"/>
      <c r="N202" s="536" t="s">
        <v>2318</v>
      </c>
    </row>
    <row r="203" spans="1:14" ht="15.75">
      <c r="A203" s="16"/>
      <c r="B203" s="39"/>
      <c r="C203" s="554"/>
      <c r="D203" s="555"/>
      <c r="E203" s="540"/>
      <c r="F203" s="541"/>
      <c r="G203" s="40"/>
      <c r="H203" s="16"/>
      <c r="I203" s="552"/>
      <c r="J203" s="553" t="s">
        <v>102</v>
      </c>
      <c r="K203" s="10">
        <f>data!F2995</f>
        <v>694.54</v>
      </c>
      <c r="L203" s="208" t="s">
        <v>2318</v>
      </c>
      <c r="M203" s="9">
        <f>ROUND(I203*K203,0)</f>
        <v>0</v>
      </c>
      <c r="N203" s="536" t="s">
        <v>2318</v>
      </c>
    </row>
    <row r="204" spans="1:14" ht="18.75" customHeight="1">
      <c r="A204" s="16">
        <v>16</v>
      </c>
      <c r="B204" s="1858" t="s">
        <v>1317</v>
      </c>
      <c r="C204" s="1858"/>
      <c r="D204" s="1858"/>
      <c r="E204" s="1858"/>
      <c r="F204" s="1858"/>
      <c r="G204" s="1858"/>
      <c r="H204" s="1858"/>
      <c r="I204" s="537"/>
      <c r="J204" s="538"/>
      <c r="K204" s="16"/>
      <c r="L204" s="208"/>
      <c r="M204" s="38"/>
      <c r="N204" s="536" t="s">
        <v>2218</v>
      </c>
    </row>
    <row r="205" spans="1:14" s="544" customFormat="1" ht="16.5" customHeight="1">
      <c r="A205" s="16"/>
      <c r="B205" s="39" t="s">
        <v>2819</v>
      </c>
      <c r="C205" s="537"/>
      <c r="D205" s="539"/>
      <c r="E205" s="540"/>
      <c r="F205" s="541"/>
      <c r="G205" s="541"/>
      <c r="H205" s="541"/>
      <c r="I205" s="542"/>
      <c r="J205" s="553"/>
      <c r="K205" s="39"/>
      <c r="L205" s="208"/>
      <c r="M205" s="39"/>
      <c r="N205" s="536" t="s">
        <v>2218</v>
      </c>
    </row>
    <row r="206" spans="1:14" s="544" customFormat="1" ht="16.5" customHeight="1">
      <c r="A206" s="16"/>
      <c r="B206" s="39" t="s">
        <v>1230</v>
      </c>
      <c r="C206" s="537">
        <v>1</v>
      </c>
      <c r="D206" s="539" t="s">
        <v>273</v>
      </c>
      <c r="E206" s="540">
        <v>5</v>
      </c>
      <c r="F206" s="541">
        <v>1.52</v>
      </c>
      <c r="G206" s="541">
        <v>0.23</v>
      </c>
      <c r="H206" s="541">
        <v>0</v>
      </c>
      <c r="I206" s="545">
        <f>ROUND(IF(AND(F206:H206),C206*E206*F206*G206*H206,IF(AND(F206,G206),C206*E206*F206*G206,IF(AND(F206,H206),C206*E206*F206*H206,IF(AND(G206,H206),C206*E206*G206*H206,IF(F206,C206*E206*F206,IF(G206,C206*E206*G206,IF(H206,C206*E206*H206,C206*E206))))))),2)</f>
        <v>1.75</v>
      </c>
      <c r="J206" s="553" t="s">
        <v>102</v>
      </c>
      <c r="K206" s="39"/>
      <c r="L206" s="208"/>
      <c r="M206" s="39"/>
      <c r="N206" s="536" t="s">
        <v>2218</v>
      </c>
    </row>
    <row r="207" spans="1:14" s="544" customFormat="1" ht="16.5" customHeight="1">
      <c r="A207" s="16"/>
      <c r="B207" s="39"/>
      <c r="C207" s="537">
        <v>1</v>
      </c>
      <c r="D207" s="539" t="s">
        <v>273</v>
      </c>
      <c r="E207" s="540">
        <v>4</v>
      </c>
      <c r="F207" s="541">
        <v>1.83</v>
      </c>
      <c r="G207" s="541">
        <v>0.23</v>
      </c>
      <c r="H207" s="541">
        <v>0</v>
      </c>
      <c r="I207" s="545">
        <f>ROUND(IF(AND(F207:H207),C207*E207*F207*G207*H207,IF(AND(F207,G207),C207*E207*F207*G207,IF(AND(F207,H207),C207*E207*F207*H207,IF(AND(G207,H207),C207*E207*G207*H207,IF(F207,C207*E207*F207,IF(G207,C207*E207*G207,IF(H207,C207*E207*H207,C207*E207))))))),2)</f>
        <v>1.68</v>
      </c>
      <c r="J207" s="553" t="s">
        <v>102</v>
      </c>
      <c r="K207" s="39"/>
      <c r="L207" s="208"/>
      <c r="M207" s="39"/>
      <c r="N207" s="536" t="s">
        <v>2218</v>
      </c>
    </row>
    <row r="208" spans="1:14" s="544" customFormat="1" ht="16.5" customHeight="1">
      <c r="A208" s="16"/>
      <c r="B208" s="547"/>
      <c r="C208" s="548"/>
      <c r="D208" s="549"/>
      <c r="E208" s="550"/>
      <c r="F208" s="551"/>
      <c r="G208" s="551"/>
      <c r="H208" s="551"/>
      <c r="I208" s="552"/>
      <c r="J208" s="553"/>
      <c r="K208" s="39"/>
      <c r="L208" s="208"/>
      <c r="M208" s="39"/>
      <c r="N208" s="536" t="s">
        <v>2218</v>
      </c>
    </row>
    <row r="209" spans="1:14" ht="15.75">
      <c r="A209" s="16"/>
      <c r="B209" s="39"/>
      <c r="C209" s="554"/>
      <c r="D209" s="555"/>
      <c r="E209" s="540"/>
      <c r="F209" s="541"/>
      <c r="G209" s="40"/>
      <c r="H209" s="16"/>
      <c r="I209" s="552"/>
      <c r="J209" s="553" t="s">
        <v>102</v>
      </c>
      <c r="K209" s="10">
        <f>data!F252</f>
        <v>485.58</v>
      </c>
      <c r="L209" s="208" t="s">
        <v>2218</v>
      </c>
      <c r="M209" s="9">
        <f>ROUND(I209*K209,0)</f>
        <v>0</v>
      </c>
      <c r="N209" s="536" t="s">
        <v>2218</v>
      </c>
    </row>
    <row r="210" spans="1:14" ht="18.75" customHeight="1">
      <c r="A210" s="16">
        <v>16</v>
      </c>
      <c r="B210" s="1858" t="s">
        <v>1317</v>
      </c>
      <c r="C210" s="1858"/>
      <c r="D210" s="1858"/>
      <c r="E210" s="1858"/>
      <c r="F210" s="1858"/>
      <c r="G210" s="1858"/>
      <c r="H210" s="1858"/>
      <c r="I210" s="537"/>
      <c r="J210" s="538"/>
      <c r="K210" s="16"/>
      <c r="L210" s="208"/>
      <c r="M210" s="38"/>
      <c r="N210" s="536" t="s">
        <v>2306</v>
      </c>
    </row>
    <row r="211" spans="1:14" s="544" customFormat="1" ht="16.5" customHeight="1">
      <c r="A211" s="16"/>
      <c r="B211" s="39" t="s">
        <v>2819</v>
      </c>
      <c r="C211" s="537"/>
      <c r="D211" s="539"/>
      <c r="E211" s="540"/>
      <c r="F211" s="541"/>
      <c r="G211" s="541"/>
      <c r="H211" s="541"/>
      <c r="I211" s="542"/>
      <c r="J211" s="553"/>
      <c r="K211" s="39"/>
      <c r="L211" s="208"/>
      <c r="M211" s="39"/>
      <c r="N211" s="536" t="s">
        <v>2306</v>
      </c>
    </row>
    <row r="212" spans="1:14" s="544" customFormat="1" ht="16.5" customHeight="1">
      <c r="A212" s="16"/>
      <c r="B212" s="39" t="s">
        <v>1230</v>
      </c>
      <c r="C212" s="537">
        <v>1</v>
      </c>
      <c r="D212" s="539" t="s">
        <v>273</v>
      </c>
      <c r="E212" s="540">
        <v>5</v>
      </c>
      <c r="F212" s="541">
        <v>1.52</v>
      </c>
      <c r="G212" s="541">
        <v>0.23</v>
      </c>
      <c r="H212" s="541">
        <v>0</v>
      </c>
      <c r="I212" s="545">
        <f>ROUND(IF(AND(F212:H212),C212*E212*F212*G212*H212,IF(AND(F212,G212),C212*E212*F212*G212,IF(AND(F212,H212),C212*E212*F212*H212,IF(AND(G212,H212),C212*E212*G212*H212,IF(F212,C212*E212*F212,IF(G212,C212*E212*G212,IF(H212,C212*E212*H212,C212*E212))))))),2)</f>
        <v>1.75</v>
      </c>
      <c r="J212" s="553" t="s">
        <v>102</v>
      </c>
      <c r="K212" s="39"/>
      <c r="L212" s="208"/>
      <c r="M212" s="39"/>
      <c r="N212" s="536" t="s">
        <v>2306</v>
      </c>
    </row>
    <row r="213" spans="1:14" s="544" customFormat="1" ht="16.5" customHeight="1">
      <c r="A213" s="16"/>
      <c r="B213" s="39"/>
      <c r="C213" s="537">
        <v>1</v>
      </c>
      <c r="D213" s="539" t="s">
        <v>273</v>
      </c>
      <c r="E213" s="540">
        <v>4</v>
      </c>
      <c r="F213" s="541">
        <v>1.83</v>
      </c>
      <c r="G213" s="541">
        <v>0.23</v>
      </c>
      <c r="H213" s="541">
        <v>0</v>
      </c>
      <c r="I213" s="545">
        <f>ROUND(IF(AND(F213:H213),C213*E213*F213*G213*H213,IF(AND(F213,G213),C213*E213*F213*G213,IF(AND(F213,H213),C213*E213*F213*H213,IF(AND(G213,H213),C213*E213*G213*H213,IF(F213,C213*E213*F213,IF(G213,C213*E213*G213,IF(H213,C213*E213*H213,C213*E213))))))),2)</f>
        <v>1.68</v>
      </c>
      <c r="J213" s="553" t="s">
        <v>102</v>
      </c>
      <c r="K213" s="39"/>
      <c r="L213" s="208"/>
      <c r="M213" s="39"/>
      <c r="N213" s="536" t="s">
        <v>2306</v>
      </c>
    </row>
    <row r="214" spans="1:14" s="544" customFormat="1" ht="16.5" customHeight="1">
      <c r="A214" s="16"/>
      <c r="B214" s="547"/>
      <c r="C214" s="548"/>
      <c r="D214" s="549"/>
      <c r="E214" s="550"/>
      <c r="F214" s="551"/>
      <c r="G214" s="551"/>
      <c r="H214" s="551"/>
      <c r="I214" s="552"/>
      <c r="J214" s="553"/>
      <c r="K214" s="39"/>
      <c r="L214" s="208"/>
      <c r="M214" s="39"/>
      <c r="N214" s="536" t="s">
        <v>2306</v>
      </c>
    </row>
    <row r="215" spans="1:14" ht="15.75">
      <c r="A215" s="16"/>
      <c r="B215" s="39"/>
      <c r="C215" s="554"/>
      <c r="D215" s="555"/>
      <c r="E215" s="540"/>
      <c r="F215" s="541"/>
      <c r="G215" s="40"/>
      <c r="H215" s="16"/>
      <c r="I215" s="552"/>
      <c r="J215" s="553" t="s">
        <v>102</v>
      </c>
      <c r="K215" s="10">
        <f>data!F1168</f>
        <v>501.74</v>
      </c>
      <c r="L215" s="208" t="s">
        <v>2306</v>
      </c>
      <c r="M215" s="9">
        <f>ROUND(I215*K215,0)</f>
        <v>0</v>
      </c>
      <c r="N215" s="536" t="s">
        <v>2306</v>
      </c>
    </row>
    <row r="216" spans="1:14" ht="18.75" customHeight="1">
      <c r="A216" s="16">
        <v>16</v>
      </c>
      <c r="B216" s="1858" t="s">
        <v>1317</v>
      </c>
      <c r="C216" s="1858"/>
      <c r="D216" s="1858"/>
      <c r="E216" s="1858"/>
      <c r="F216" s="1858"/>
      <c r="G216" s="1858"/>
      <c r="H216" s="1858"/>
      <c r="I216" s="537"/>
      <c r="J216" s="538"/>
      <c r="K216" s="16"/>
      <c r="L216" s="208"/>
      <c r="M216" s="38"/>
      <c r="N216" s="536" t="s">
        <v>2317</v>
      </c>
    </row>
    <row r="217" spans="1:14" s="544" customFormat="1" ht="16.5" customHeight="1">
      <c r="A217" s="16"/>
      <c r="B217" s="39" t="s">
        <v>2819</v>
      </c>
      <c r="C217" s="537"/>
      <c r="D217" s="539"/>
      <c r="E217" s="540"/>
      <c r="F217" s="541"/>
      <c r="G217" s="541"/>
      <c r="H217" s="541"/>
      <c r="I217" s="542"/>
      <c r="J217" s="553"/>
      <c r="K217" s="39"/>
      <c r="L217" s="208"/>
      <c r="M217" s="39"/>
      <c r="N217" s="536" t="s">
        <v>2317</v>
      </c>
    </row>
    <row r="218" spans="1:14" s="544" customFormat="1" ht="16.5" customHeight="1">
      <c r="A218" s="16"/>
      <c r="B218" s="39" t="s">
        <v>1230</v>
      </c>
      <c r="C218" s="537">
        <v>1</v>
      </c>
      <c r="D218" s="539" t="s">
        <v>273</v>
      </c>
      <c r="E218" s="540">
        <v>5</v>
      </c>
      <c r="F218" s="541">
        <v>1.52</v>
      </c>
      <c r="G218" s="541">
        <v>0.23</v>
      </c>
      <c r="H218" s="541">
        <v>0</v>
      </c>
      <c r="I218" s="545">
        <f>ROUND(IF(AND(F218:H218),C218*E218*F218*G218*H218,IF(AND(F218,G218),C218*E218*F218*G218,IF(AND(F218,H218),C218*E218*F218*H218,IF(AND(G218,H218),C218*E218*G218*H218,IF(F218,C218*E218*F218,IF(G218,C218*E218*G218,IF(H218,C218*E218*H218,C218*E218))))))),2)</f>
        <v>1.75</v>
      </c>
      <c r="J218" s="553" t="s">
        <v>102</v>
      </c>
      <c r="K218" s="39"/>
      <c r="L218" s="208"/>
      <c r="M218" s="39"/>
      <c r="N218" s="536" t="s">
        <v>2317</v>
      </c>
    </row>
    <row r="219" spans="1:14" s="544" customFormat="1" ht="16.5" customHeight="1">
      <c r="A219" s="16"/>
      <c r="B219" s="39"/>
      <c r="C219" s="537">
        <v>1</v>
      </c>
      <c r="D219" s="539" t="s">
        <v>273</v>
      </c>
      <c r="E219" s="540">
        <v>4</v>
      </c>
      <c r="F219" s="541">
        <v>1.83</v>
      </c>
      <c r="G219" s="541">
        <v>0.23</v>
      </c>
      <c r="H219" s="541">
        <v>0</v>
      </c>
      <c r="I219" s="545">
        <f>ROUND(IF(AND(F219:H219),C219*E219*F219*G219*H219,IF(AND(F219,G219),C219*E219*F219*G219,IF(AND(F219,H219),C219*E219*F219*H219,IF(AND(G219,H219),C219*E219*G219*H219,IF(F219,C219*E219*F219,IF(G219,C219*E219*G219,IF(H219,C219*E219*H219,C219*E219))))))),2)</f>
        <v>1.68</v>
      </c>
      <c r="J219" s="553" t="s">
        <v>102</v>
      </c>
      <c r="K219" s="39"/>
      <c r="L219" s="208"/>
      <c r="M219" s="39"/>
      <c r="N219" s="536" t="s">
        <v>2317</v>
      </c>
    </row>
    <row r="220" spans="1:14" s="544" customFormat="1" ht="16.5" customHeight="1">
      <c r="A220" s="16"/>
      <c r="B220" s="547"/>
      <c r="C220" s="548"/>
      <c r="D220" s="549"/>
      <c r="E220" s="550"/>
      <c r="F220" s="551"/>
      <c r="G220" s="551"/>
      <c r="H220" s="551"/>
      <c r="I220" s="552"/>
      <c r="J220" s="553"/>
      <c r="K220" s="39"/>
      <c r="L220" s="208"/>
      <c r="M220" s="39"/>
      <c r="N220" s="536" t="s">
        <v>2317</v>
      </c>
    </row>
    <row r="221" spans="1:14" ht="15.75">
      <c r="A221" s="16"/>
      <c r="B221" s="39"/>
      <c r="C221" s="554"/>
      <c r="D221" s="555"/>
      <c r="E221" s="540"/>
      <c r="F221" s="541"/>
      <c r="G221" s="40"/>
      <c r="H221" s="16"/>
      <c r="I221" s="552"/>
      <c r="J221" s="553" t="s">
        <v>102</v>
      </c>
      <c r="K221" s="10">
        <f>data!F2085</f>
        <v>536.78</v>
      </c>
      <c r="L221" s="208" t="s">
        <v>2317</v>
      </c>
      <c r="M221" s="9">
        <f>ROUND(I221*K221,0)</f>
        <v>0</v>
      </c>
      <c r="N221" s="536" t="s">
        <v>2317</v>
      </c>
    </row>
    <row r="222" spans="1:14" ht="18.75" customHeight="1">
      <c r="A222" s="16">
        <v>16</v>
      </c>
      <c r="B222" s="1858" t="s">
        <v>1317</v>
      </c>
      <c r="C222" s="1858"/>
      <c r="D222" s="1858"/>
      <c r="E222" s="1858"/>
      <c r="F222" s="1858"/>
      <c r="G222" s="1858"/>
      <c r="H222" s="1858"/>
      <c r="I222" s="537"/>
      <c r="J222" s="538"/>
      <c r="K222" s="16"/>
      <c r="L222" s="208"/>
      <c r="M222" s="38"/>
      <c r="N222" s="536" t="s">
        <v>2318</v>
      </c>
    </row>
    <row r="223" spans="1:14" s="544" customFormat="1" ht="16.5" customHeight="1">
      <c r="A223" s="16"/>
      <c r="B223" s="39" t="s">
        <v>2819</v>
      </c>
      <c r="C223" s="537"/>
      <c r="D223" s="539"/>
      <c r="E223" s="540"/>
      <c r="F223" s="541"/>
      <c r="G223" s="541"/>
      <c r="H223" s="541"/>
      <c r="I223" s="542"/>
      <c r="J223" s="553"/>
      <c r="K223" s="39"/>
      <c r="L223" s="208"/>
      <c r="M223" s="39"/>
      <c r="N223" s="536" t="s">
        <v>2318</v>
      </c>
    </row>
    <row r="224" spans="1:14" s="544" customFormat="1" ht="16.5" customHeight="1">
      <c r="A224" s="16"/>
      <c r="B224" s="39" t="s">
        <v>1230</v>
      </c>
      <c r="C224" s="537">
        <v>1</v>
      </c>
      <c r="D224" s="539" t="s">
        <v>273</v>
      </c>
      <c r="E224" s="540">
        <v>5</v>
      </c>
      <c r="F224" s="541">
        <v>1.52</v>
      </c>
      <c r="G224" s="541">
        <v>0.23</v>
      </c>
      <c r="H224" s="541">
        <v>0</v>
      </c>
      <c r="I224" s="545">
        <f>ROUND(IF(AND(F224:H224),C224*E224*F224*G224*H224,IF(AND(F224,G224),C224*E224*F224*G224,IF(AND(F224,H224),C224*E224*F224*H224,IF(AND(G224,H224),C224*E224*G224*H224,IF(F224,C224*E224*F224,IF(G224,C224*E224*G224,IF(H224,C224*E224*H224,C224*E224))))))),2)</f>
        <v>1.75</v>
      </c>
      <c r="J224" s="553" t="s">
        <v>102</v>
      </c>
      <c r="K224" s="39"/>
      <c r="L224" s="208"/>
      <c r="M224" s="39"/>
      <c r="N224" s="536" t="s">
        <v>2318</v>
      </c>
    </row>
    <row r="225" spans="1:14" s="544" customFormat="1" ht="16.5" customHeight="1">
      <c r="A225" s="16"/>
      <c r="B225" s="39"/>
      <c r="C225" s="537">
        <v>1</v>
      </c>
      <c r="D225" s="539" t="s">
        <v>273</v>
      </c>
      <c r="E225" s="540">
        <v>4</v>
      </c>
      <c r="F225" s="541">
        <v>1.83</v>
      </c>
      <c r="G225" s="541">
        <v>0.23</v>
      </c>
      <c r="H225" s="541">
        <v>0</v>
      </c>
      <c r="I225" s="545">
        <f>ROUND(IF(AND(F225:H225),C225*E225*F225*G225*H225,IF(AND(F225,G225),C225*E225*F225*G225,IF(AND(F225,H225),C225*E225*F225*H225,IF(AND(G225,H225),C225*E225*G225*H225,IF(F225,C225*E225*F225,IF(G225,C225*E225*G225,IF(H225,C225*E225*H225,C225*E225))))))),2)</f>
        <v>1.68</v>
      </c>
      <c r="J225" s="553" t="s">
        <v>102</v>
      </c>
      <c r="K225" s="39"/>
      <c r="L225" s="208"/>
      <c r="M225" s="39"/>
      <c r="N225" s="536" t="s">
        <v>2318</v>
      </c>
    </row>
    <row r="226" spans="1:14" s="544" customFormat="1" ht="16.5" customHeight="1">
      <c r="A226" s="16"/>
      <c r="B226" s="547"/>
      <c r="C226" s="548"/>
      <c r="D226" s="549"/>
      <c r="E226" s="550"/>
      <c r="F226" s="551"/>
      <c r="G226" s="551"/>
      <c r="H226" s="551"/>
      <c r="I226" s="552"/>
      <c r="J226" s="553"/>
      <c r="K226" s="39"/>
      <c r="L226" s="208"/>
      <c r="M226" s="39"/>
      <c r="N226" s="536" t="s">
        <v>2318</v>
      </c>
    </row>
    <row r="227" spans="1:14" ht="15.75">
      <c r="A227" s="16"/>
      <c r="B227" s="39"/>
      <c r="C227" s="554"/>
      <c r="D227" s="555"/>
      <c r="E227" s="540"/>
      <c r="F227" s="541"/>
      <c r="G227" s="40"/>
      <c r="H227" s="16"/>
      <c r="I227" s="552"/>
      <c r="J227" s="553" t="s">
        <v>102</v>
      </c>
      <c r="K227" s="10">
        <f>data!F3002</f>
        <v>553.39</v>
      </c>
      <c r="L227" s="208" t="s">
        <v>2318</v>
      </c>
      <c r="M227" s="9">
        <f>ROUND(I227*K227,0)</f>
        <v>0</v>
      </c>
      <c r="N227" s="536" t="s">
        <v>2318</v>
      </c>
    </row>
    <row r="228" spans="1:14" ht="89.25" customHeight="1">
      <c r="A228" s="16">
        <v>5</v>
      </c>
      <c r="B228" s="1858" t="s">
        <v>2064</v>
      </c>
      <c r="C228" s="1858"/>
      <c r="D228" s="1858"/>
      <c r="E228" s="1858"/>
      <c r="F228" s="1858"/>
      <c r="G228" s="1858"/>
      <c r="H228" s="1858"/>
      <c r="I228" s="537"/>
      <c r="J228" s="538"/>
      <c r="K228" s="16"/>
      <c r="L228" s="208"/>
      <c r="M228" s="38"/>
      <c r="N228" s="536" t="s">
        <v>2218</v>
      </c>
    </row>
    <row r="229" spans="1:14" s="544" customFormat="1" ht="16.5" customHeight="1">
      <c r="A229" s="16"/>
      <c r="B229" s="39" t="s">
        <v>3103</v>
      </c>
      <c r="C229" s="537"/>
      <c r="D229" s="1145" t="s">
        <v>3350</v>
      </c>
      <c r="E229" s="540"/>
      <c r="F229" s="541"/>
      <c r="G229" s="541"/>
      <c r="H229" s="541"/>
      <c r="I229" s="542"/>
      <c r="J229" s="553"/>
      <c r="K229" s="39"/>
      <c r="L229" s="208"/>
      <c r="M229" s="39"/>
      <c r="N229" s="536" t="s">
        <v>2218</v>
      </c>
    </row>
    <row r="230" spans="1:14" s="544" customFormat="1" ht="16.5" customHeight="1">
      <c r="A230" s="16"/>
      <c r="B230" s="39" t="s">
        <v>3157</v>
      </c>
      <c r="C230" s="537">
        <v>1</v>
      </c>
      <c r="D230" s="539" t="s">
        <v>273</v>
      </c>
      <c r="E230" s="540">
        <v>1</v>
      </c>
      <c r="F230" s="541">
        <v>4.99</v>
      </c>
      <c r="G230" s="541">
        <v>0.23</v>
      </c>
      <c r="H230" s="541">
        <v>0.15</v>
      </c>
      <c r="I230" s="545">
        <f t="shared" ref="I230:I236" si="24">ROUND(IF(AND(F230:H230),C230*E230*F230*G230*H230,IF(AND(F230,G230),C230*E230*F230*G230,IF(AND(F230,H230),C230*E230*F230*H230,IF(AND(G230,H230),C230*E230*G230*H230,IF(F230,C230*E230*F230,IF(G230,C230*E230*G230,IF(H230,C230*E230*H230,C230*E230))))))),2)</f>
        <v>0.17</v>
      </c>
      <c r="J230" s="553" t="s">
        <v>5</v>
      </c>
      <c r="K230" s="39"/>
      <c r="L230" s="208"/>
      <c r="M230" s="39"/>
      <c r="N230" s="536" t="s">
        <v>2218</v>
      </c>
    </row>
    <row r="231" spans="1:14" s="544" customFormat="1" ht="16.5" customHeight="1">
      <c r="A231" s="16"/>
      <c r="B231" s="39" t="s">
        <v>3158</v>
      </c>
      <c r="C231" s="537">
        <v>1</v>
      </c>
      <c r="D231" s="539" t="s">
        <v>273</v>
      </c>
      <c r="E231" s="540">
        <v>1</v>
      </c>
      <c r="F231" s="541">
        <v>3.12</v>
      </c>
      <c r="G231" s="541">
        <v>0.23</v>
      </c>
      <c r="H231" s="541">
        <v>0.15</v>
      </c>
      <c r="I231" s="545">
        <f t="shared" si="24"/>
        <v>0.11</v>
      </c>
      <c r="J231" s="553" t="s">
        <v>5</v>
      </c>
      <c r="K231" s="39"/>
      <c r="L231" s="208"/>
      <c r="M231" s="39"/>
      <c r="N231" s="536" t="s">
        <v>2218</v>
      </c>
    </row>
    <row r="232" spans="1:14" s="544" customFormat="1" ht="16.5" customHeight="1">
      <c r="A232" s="16"/>
      <c r="B232" s="39"/>
      <c r="C232" s="537">
        <v>1</v>
      </c>
      <c r="D232" s="539" t="s">
        <v>273</v>
      </c>
      <c r="E232" s="540">
        <v>1</v>
      </c>
      <c r="F232" s="541">
        <v>3.16</v>
      </c>
      <c r="G232" s="541">
        <v>0.23</v>
      </c>
      <c r="H232" s="541">
        <v>0.15</v>
      </c>
      <c r="I232" s="545">
        <f t="shared" si="24"/>
        <v>0.11</v>
      </c>
      <c r="J232" s="553" t="s">
        <v>5</v>
      </c>
      <c r="K232" s="39"/>
      <c r="L232" s="208"/>
      <c r="M232" s="39"/>
      <c r="N232" s="536" t="s">
        <v>2218</v>
      </c>
    </row>
    <row r="233" spans="1:14" s="544" customFormat="1" ht="16.5" customHeight="1">
      <c r="A233" s="16"/>
      <c r="B233" s="39" t="s">
        <v>3159</v>
      </c>
      <c r="C233" s="537">
        <v>1</v>
      </c>
      <c r="D233" s="539" t="s">
        <v>273</v>
      </c>
      <c r="E233" s="540">
        <v>1</v>
      </c>
      <c r="F233" s="541">
        <v>2.72</v>
      </c>
      <c r="G233" s="541">
        <v>0.23</v>
      </c>
      <c r="H233" s="541">
        <v>0.15</v>
      </c>
      <c r="I233" s="545">
        <f t="shared" si="24"/>
        <v>0.09</v>
      </c>
      <c r="J233" s="553" t="s">
        <v>5</v>
      </c>
      <c r="K233" s="39"/>
      <c r="L233" s="208"/>
      <c r="M233" s="39"/>
      <c r="N233" s="536" t="s">
        <v>2218</v>
      </c>
    </row>
    <row r="234" spans="1:14" s="544" customFormat="1" ht="16.5" customHeight="1">
      <c r="A234" s="16"/>
      <c r="B234" s="39"/>
      <c r="C234" s="537">
        <v>1</v>
      </c>
      <c r="D234" s="539" t="s">
        <v>273</v>
      </c>
      <c r="E234" s="540">
        <v>2</v>
      </c>
      <c r="F234" s="541">
        <v>2.59</v>
      </c>
      <c r="G234" s="541">
        <v>0.23</v>
      </c>
      <c r="H234" s="541">
        <v>0.15</v>
      </c>
      <c r="I234" s="545">
        <f t="shared" si="24"/>
        <v>0.18</v>
      </c>
      <c r="J234" s="553" t="s">
        <v>5</v>
      </c>
      <c r="K234" s="39"/>
      <c r="L234" s="208"/>
      <c r="M234" s="39"/>
      <c r="N234" s="536" t="s">
        <v>2218</v>
      </c>
    </row>
    <row r="235" spans="1:14" s="544" customFormat="1" ht="16.5" customHeight="1">
      <c r="A235" s="16"/>
      <c r="B235" s="39"/>
      <c r="C235" s="537">
        <v>1</v>
      </c>
      <c r="D235" s="539" t="s">
        <v>273</v>
      </c>
      <c r="E235" s="540">
        <v>2</v>
      </c>
      <c r="F235" s="541">
        <v>2.78</v>
      </c>
      <c r="G235" s="541">
        <v>0.23</v>
      </c>
      <c r="H235" s="541">
        <v>0.15</v>
      </c>
      <c r="I235" s="545">
        <f t="shared" si="24"/>
        <v>0.19</v>
      </c>
      <c r="J235" s="553" t="s">
        <v>5</v>
      </c>
      <c r="K235" s="39"/>
      <c r="L235" s="208"/>
      <c r="M235" s="39"/>
      <c r="N235" s="536" t="s">
        <v>2218</v>
      </c>
    </row>
    <row r="236" spans="1:14" s="544" customFormat="1" ht="16.5" customHeight="1">
      <c r="A236" s="16"/>
      <c r="B236" s="39"/>
      <c r="C236" s="537">
        <v>1</v>
      </c>
      <c r="D236" s="539" t="s">
        <v>273</v>
      </c>
      <c r="E236" s="540">
        <v>1</v>
      </c>
      <c r="F236" s="541">
        <v>3.23</v>
      </c>
      <c r="G236" s="541">
        <v>0.23</v>
      </c>
      <c r="H236" s="541">
        <v>0.15</v>
      </c>
      <c r="I236" s="545">
        <f t="shared" si="24"/>
        <v>0.11</v>
      </c>
      <c r="J236" s="553" t="s">
        <v>5</v>
      </c>
      <c r="K236" s="39"/>
      <c r="L236" s="208"/>
      <c r="M236" s="39"/>
      <c r="N236" s="536" t="s">
        <v>2218</v>
      </c>
    </row>
    <row r="237" spans="1:14" s="544" customFormat="1" ht="16.5" customHeight="1">
      <c r="A237" s="16"/>
      <c r="B237" s="547"/>
      <c r="C237" s="548"/>
      <c r="D237" s="549"/>
      <c r="E237" s="550"/>
      <c r="F237" s="541"/>
      <c r="G237" s="541"/>
      <c r="H237" s="541"/>
      <c r="I237" s="552"/>
      <c r="J237" s="553"/>
      <c r="K237" s="39"/>
      <c r="L237" s="208"/>
      <c r="M237" s="39"/>
      <c r="N237" s="536" t="s">
        <v>2218</v>
      </c>
    </row>
    <row r="238" spans="1:14" ht="15.75">
      <c r="A238" s="16"/>
      <c r="B238" s="39"/>
      <c r="C238" s="554"/>
      <c r="D238" s="555"/>
      <c r="E238" s="540"/>
      <c r="F238" s="541"/>
      <c r="G238" s="40"/>
      <c r="H238" s="16"/>
      <c r="I238" s="552"/>
      <c r="J238" s="553" t="s">
        <v>5</v>
      </c>
      <c r="K238" s="10">
        <f>data!F161</f>
        <v>9842.01</v>
      </c>
      <c r="L238" s="208" t="s">
        <v>2218</v>
      </c>
      <c r="M238" s="9">
        <f>ROUND(I238*K238,0)</f>
        <v>0</v>
      </c>
      <c r="N238" s="536" t="s">
        <v>2218</v>
      </c>
    </row>
    <row r="239" spans="1:14" ht="89.25" customHeight="1">
      <c r="A239" s="16">
        <v>5</v>
      </c>
      <c r="B239" s="1858" t="s">
        <v>2064</v>
      </c>
      <c r="C239" s="1858"/>
      <c r="D239" s="1858"/>
      <c r="E239" s="1858"/>
      <c r="F239" s="1858"/>
      <c r="G239" s="1858"/>
      <c r="H239" s="1858"/>
      <c r="I239" s="537"/>
      <c r="J239" s="538"/>
      <c r="K239" s="16"/>
      <c r="L239" s="208"/>
      <c r="M239" s="38"/>
      <c r="N239" s="536" t="s">
        <v>2306</v>
      </c>
    </row>
    <row r="240" spans="1:14" s="544" customFormat="1" ht="16.5" customHeight="1">
      <c r="A240" s="16"/>
      <c r="B240" s="207" t="s">
        <v>2841</v>
      </c>
      <c r="C240" s="537"/>
      <c r="D240" s="539"/>
      <c r="E240" s="540"/>
      <c r="F240" s="541"/>
      <c r="G240" s="541"/>
      <c r="H240" s="541"/>
      <c r="I240" s="542"/>
      <c r="J240" s="553"/>
      <c r="K240" s="39"/>
      <c r="L240" s="208"/>
      <c r="M240" s="39"/>
      <c r="N240" s="536" t="s">
        <v>2306</v>
      </c>
    </row>
    <row r="241" spans="1:14" s="544" customFormat="1" ht="16.5" customHeight="1">
      <c r="A241" s="16"/>
      <c r="B241" s="39" t="s">
        <v>2953</v>
      </c>
      <c r="C241" s="537">
        <v>1</v>
      </c>
      <c r="D241" s="539" t="s">
        <v>273</v>
      </c>
      <c r="E241" s="540">
        <v>1</v>
      </c>
      <c r="F241" s="541">
        <v>9.06</v>
      </c>
      <c r="G241" s="541">
        <v>0.23</v>
      </c>
      <c r="H241" s="541">
        <v>0.15</v>
      </c>
      <c r="I241" s="545">
        <f>ROUND(IF(AND(F241:H241),C241*E241*F241*G241*H241,IF(AND(F241,G241),C241*E241*F241*G241,IF(AND(F241,H241),C241*E241*F241*H241,IF(AND(G241,H241),C241*E241*G241*H241,IF(F241,C241*E241*F241,IF(G241,C241*E241*G241,IF(H241,C241*E241*H241,C241*E241))))))),2)</f>
        <v>0.31</v>
      </c>
      <c r="J241" s="553" t="s">
        <v>5</v>
      </c>
      <c r="K241" s="39"/>
      <c r="L241" s="208"/>
      <c r="M241" s="39"/>
      <c r="N241" s="536" t="s">
        <v>2306</v>
      </c>
    </row>
    <row r="242" spans="1:14" s="544" customFormat="1" ht="16.5" customHeight="1">
      <c r="A242" s="16"/>
      <c r="B242" s="39" t="s">
        <v>2954</v>
      </c>
      <c r="C242" s="537">
        <v>1</v>
      </c>
      <c r="D242" s="539" t="s">
        <v>273</v>
      </c>
      <c r="E242" s="540">
        <v>2</v>
      </c>
      <c r="F242" s="541">
        <v>0.23</v>
      </c>
      <c r="G242" s="541">
        <v>0.23</v>
      </c>
      <c r="H242" s="541">
        <v>0.15</v>
      </c>
      <c r="I242" s="545">
        <f>-ROUND(IF(AND(F242:H242),C242*E242*F242*G242*H242,IF(AND(F242,G242),C242*E242*F242*G242,IF(AND(F242,H242),C242*E242*F242*H242,IF(AND(G242,H242),C242*E242*G242*H242,IF(F242,C242*E242*F242,IF(G242,C242*E242*G242,IF(H242,C242*E242*H242,C242*E242))))))),2)</f>
        <v>-0.02</v>
      </c>
      <c r="J242" s="553" t="s">
        <v>5</v>
      </c>
      <c r="K242" s="39"/>
      <c r="L242" s="208"/>
      <c r="M242" s="39"/>
      <c r="N242" s="536" t="s">
        <v>2306</v>
      </c>
    </row>
    <row r="243" spans="1:14" s="544" customFormat="1" ht="16.5" customHeight="1">
      <c r="A243" s="16"/>
      <c r="B243" s="39" t="s">
        <v>2955</v>
      </c>
      <c r="C243" s="537">
        <v>1</v>
      </c>
      <c r="D243" s="539" t="s">
        <v>273</v>
      </c>
      <c r="E243" s="540">
        <v>1</v>
      </c>
      <c r="F243" s="541">
        <v>8.08</v>
      </c>
      <c r="G243" s="541">
        <v>0.23</v>
      </c>
      <c r="H243" s="541">
        <v>0.15</v>
      </c>
      <c r="I243" s="545">
        <f t="shared" ref="I243:I255" si="25">ROUND(IF(AND(F243:H243),C243*E243*F243*G243*H243,IF(AND(F243,G243),C243*E243*F243*G243,IF(AND(F243,H243),C243*E243*F243*H243,IF(AND(G243,H243),C243*E243*G243*H243,IF(F243,C243*E243*F243,IF(G243,C243*E243*G243,IF(H243,C243*E243*H243,C243*E243))))))),2)</f>
        <v>0.28000000000000003</v>
      </c>
      <c r="J243" s="553" t="s">
        <v>5</v>
      </c>
      <c r="K243" s="39"/>
      <c r="L243" s="208"/>
      <c r="M243" s="39"/>
      <c r="N243" s="536" t="s">
        <v>2306</v>
      </c>
    </row>
    <row r="244" spans="1:14" s="544" customFormat="1" ht="16.5" customHeight="1">
      <c r="A244" s="16"/>
      <c r="B244" s="39" t="s">
        <v>2954</v>
      </c>
      <c r="C244" s="537">
        <v>1</v>
      </c>
      <c r="D244" s="539" t="s">
        <v>273</v>
      </c>
      <c r="E244" s="540">
        <v>1</v>
      </c>
      <c r="F244" s="541">
        <v>0.38</v>
      </c>
      <c r="G244" s="541">
        <v>0.23</v>
      </c>
      <c r="H244" s="541">
        <v>0.15</v>
      </c>
      <c r="I244" s="545">
        <f>-ROUND(IF(AND(F244:H244),C244*E244*F244*G244*H244,IF(AND(F244,G244),C244*E244*F244*G244,IF(AND(F244,H244),C244*E244*F244*H244,IF(AND(G244,H244),C244*E244*G244*H244,IF(F244,C244*E244*F244,IF(G244,C244*E244*G244,IF(H244,C244*E244*H244,C244*E244))))))),2)</f>
        <v>-0.01</v>
      </c>
      <c r="J244" s="553" t="s">
        <v>5</v>
      </c>
      <c r="K244" s="39"/>
      <c r="L244" s="208"/>
      <c r="M244" s="39"/>
      <c r="N244" s="536" t="s">
        <v>2306</v>
      </c>
    </row>
    <row r="245" spans="1:14" s="544" customFormat="1" ht="16.5" customHeight="1">
      <c r="A245" s="16"/>
      <c r="B245" s="39" t="s">
        <v>2956</v>
      </c>
      <c r="C245" s="537">
        <v>1</v>
      </c>
      <c r="D245" s="539" t="s">
        <v>273</v>
      </c>
      <c r="E245" s="540">
        <v>1</v>
      </c>
      <c r="F245" s="541">
        <v>8.91</v>
      </c>
      <c r="G245" s="541">
        <v>0.23</v>
      </c>
      <c r="H245" s="541">
        <v>0.15</v>
      </c>
      <c r="I245" s="545">
        <f t="shared" si="25"/>
        <v>0.31</v>
      </c>
      <c r="J245" s="553" t="s">
        <v>5</v>
      </c>
      <c r="K245" s="39"/>
      <c r="L245" s="208"/>
      <c r="M245" s="39"/>
      <c r="N245" s="536" t="s">
        <v>2306</v>
      </c>
    </row>
    <row r="246" spans="1:14" s="544" customFormat="1" ht="16.5" customHeight="1">
      <c r="A246" s="16"/>
      <c r="B246" s="39" t="s">
        <v>2954</v>
      </c>
      <c r="C246" s="537">
        <v>1</v>
      </c>
      <c r="D246" s="539" t="s">
        <v>273</v>
      </c>
      <c r="E246" s="540">
        <v>1</v>
      </c>
      <c r="F246" s="541">
        <v>0.23</v>
      </c>
      <c r="G246" s="541">
        <v>0.23</v>
      </c>
      <c r="H246" s="541">
        <v>0.15</v>
      </c>
      <c r="I246" s="545">
        <f>-ROUND(IF(AND(F246:H246),C246*E246*F246*G246*H246,IF(AND(F246,G246),C246*E246*F246*G246,IF(AND(F246,H246),C246*E246*F246*H246,IF(AND(G246,H246),C246*E246*G246*H246,IF(F246,C246*E246*F246,IF(G246,C246*E246*G246,IF(H246,C246*E246*H246,C246*E246))))))),2)</f>
        <v>-0.01</v>
      </c>
      <c r="J246" s="553" t="s">
        <v>5</v>
      </c>
      <c r="K246" s="39"/>
      <c r="L246" s="208"/>
      <c r="M246" s="39"/>
      <c r="N246" s="536" t="s">
        <v>2306</v>
      </c>
    </row>
    <row r="247" spans="1:14" s="544" customFormat="1" ht="16.5" customHeight="1">
      <c r="A247" s="16"/>
      <c r="B247" s="39"/>
      <c r="C247" s="537">
        <v>1</v>
      </c>
      <c r="D247" s="539" t="s">
        <v>273</v>
      </c>
      <c r="E247" s="540">
        <v>1</v>
      </c>
      <c r="F247" s="541">
        <v>0.38</v>
      </c>
      <c r="G247" s="541">
        <v>0.23</v>
      </c>
      <c r="H247" s="541">
        <v>0.15</v>
      </c>
      <c r="I247" s="545">
        <f>-ROUND(IF(AND(F247:H247),C247*E247*F247*G247*H247,IF(AND(F247,G247),C247*E247*F247*G247,IF(AND(F247,H247),C247*E247*F247*H247,IF(AND(G247,H247),C247*E247*G247*H247,IF(F247,C247*E247*F247,IF(G247,C247*E247*G247,IF(H247,C247*E247*H247,C247*E247))))))),2)</f>
        <v>-0.01</v>
      </c>
      <c r="J247" s="553" t="s">
        <v>5</v>
      </c>
      <c r="K247" s="39"/>
      <c r="L247" s="208"/>
      <c r="M247" s="39"/>
      <c r="N247" s="536" t="s">
        <v>2306</v>
      </c>
    </row>
    <row r="248" spans="1:14" s="544" customFormat="1" ht="16.5" customHeight="1">
      <c r="A248" s="16"/>
      <c r="B248" s="39" t="s">
        <v>2941</v>
      </c>
      <c r="C248" s="537">
        <v>1</v>
      </c>
      <c r="D248" s="539" t="s">
        <v>273</v>
      </c>
      <c r="E248" s="540">
        <v>1</v>
      </c>
      <c r="F248" s="541">
        <v>2.86</v>
      </c>
      <c r="G248" s="541">
        <v>0.23</v>
      </c>
      <c r="H248" s="541">
        <v>0.15</v>
      </c>
      <c r="I248" s="545">
        <f t="shared" si="25"/>
        <v>0.1</v>
      </c>
      <c r="J248" s="553" t="s">
        <v>5</v>
      </c>
      <c r="K248" s="39"/>
      <c r="L248" s="208"/>
      <c r="M248" s="39"/>
      <c r="N248" s="536" t="s">
        <v>2306</v>
      </c>
    </row>
    <row r="249" spans="1:14" s="544" customFormat="1" ht="16.5" customHeight="1">
      <c r="A249" s="16"/>
      <c r="B249" s="39" t="s">
        <v>2957</v>
      </c>
      <c r="C249" s="537">
        <v>1</v>
      </c>
      <c r="D249" s="539" t="s">
        <v>273</v>
      </c>
      <c r="E249" s="540">
        <v>3</v>
      </c>
      <c r="F249" s="541">
        <v>2.86</v>
      </c>
      <c r="G249" s="541">
        <v>0.115</v>
      </c>
      <c r="H249" s="541">
        <v>0.15</v>
      </c>
      <c r="I249" s="545">
        <f t="shared" si="25"/>
        <v>0.15</v>
      </c>
      <c r="J249" s="553" t="s">
        <v>5</v>
      </c>
      <c r="K249" s="39"/>
      <c r="L249" s="208"/>
      <c r="M249" s="39"/>
      <c r="N249" s="536" t="s">
        <v>2306</v>
      </c>
    </row>
    <row r="250" spans="1:14" s="544" customFormat="1" ht="16.5" customHeight="1">
      <c r="A250" s="16"/>
      <c r="B250" s="39" t="s">
        <v>2958</v>
      </c>
      <c r="C250" s="537">
        <v>1</v>
      </c>
      <c r="D250" s="539" t="s">
        <v>273</v>
      </c>
      <c r="E250" s="540">
        <v>1</v>
      </c>
      <c r="F250" s="541">
        <v>4.84</v>
      </c>
      <c r="G250" s="541">
        <v>0.115</v>
      </c>
      <c r="H250" s="541">
        <v>0.15</v>
      </c>
      <c r="I250" s="545">
        <f t="shared" si="25"/>
        <v>0.08</v>
      </c>
      <c r="J250" s="553" t="s">
        <v>5</v>
      </c>
      <c r="K250" s="39"/>
      <c r="L250" s="208"/>
      <c r="M250" s="39"/>
      <c r="N250" s="536" t="s">
        <v>2306</v>
      </c>
    </row>
    <row r="251" spans="1:14" s="544" customFormat="1" ht="16.5" customHeight="1">
      <c r="A251" s="16"/>
      <c r="B251" s="39" t="s">
        <v>2959</v>
      </c>
      <c r="C251" s="537">
        <v>1</v>
      </c>
      <c r="D251" s="539" t="s">
        <v>273</v>
      </c>
      <c r="E251" s="540">
        <v>1</v>
      </c>
      <c r="F251" s="541">
        <v>2.6</v>
      </c>
      <c r="G251" s="541">
        <v>0.115</v>
      </c>
      <c r="H251" s="541">
        <v>0.15</v>
      </c>
      <c r="I251" s="545">
        <f t="shared" si="25"/>
        <v>0.04</v>
      </c>
      <c r="J251" s="553" t="s">
        <v>5</v>
      </c>
      <c r="K251" s="39"/>
      <c r="L251" s="208"/>
      <c r="M251" s="39"/>
      <c r="N251" s="536" t="s">
        <v>2306</v>
      </c>
    </row>
    <row r="252" spans="1:14" s="544" customFormat="1" ht="16.5" customHeight="1">
      <c r="A252" s="16"/>
      <c r="B252" s="39" t="s">
        <v>2960</v>
      </c>
      <c r="C252" s="537">
        <v>1</v>
      </c>
      <c r="D252" s="539" t="s">
        <v>273</v>
      </c>
      <c r="E252" s="540">
        <v>1</v>
      </c>
      <c r="F252" s="541">
        <v>2.78</v>
      </c>
      <c r="G252" s="541">
        <v>0.115</v>
      </c>
      <c r="H252" s="541">
        <v>0.15</v>
      </c>
      <c r="I252" s="545">
        <f t="shared" si="25"/>
        <v>0.05</v>
      </c>
      <c r="J252" s="553" t="s">
        <v>5</v>
      </c>
      <c r="K252" s="39"/>
      <c r="L252" s="208"/>
      <c r="M252" s="39"/>
      <c r="N252" s="536" t="s">
        <v>2306</v>
      </c>
    </row>
    <row r="253" spans="1:14" s="544" customFormat="1" ht="16.5" customHeight="1">
      <c r="A253" s="16"/>
      <c r="B253" s="39" t="s">
        <v>2961</v>
      </c>
      <c r="C253" s="537">
        <v>1</v>
      </c>
      <c r="D253" s="539" t="s">
        <v>273</v>
      </c>
      <c r="E253" s="540">
        <v>1</v>
      </c>
      <c r="F253" s="541">
        <v>3.24</v>
      </c>
      <c r="G253" s="541">
        <v>0.115</v>
      </c>
      <c r="H253" s="541">
        <v>0.15</v>
      </c>
      <c r="I253" s="545">
        <f t="shared" si="25"/>
        <v>0.06</v>
      </c>
      <c r="J253" s="553" t="s">
        <v>5</v>
      </c>
      <c r="K253" s="39"/>
      <c r="L253" s="208"/>
      <c r="M253" s="39"/>
      <c r="N253" s="536" t="s">
        <v>2306</v>
      </c>
    </row>
    <row r="254" spans="1:14" s="544" customFormat="1" ht="16.5" customHeight="1">
      <c r="A254" s="16"/>
      <c r="B254" s="39" t="s">
        <v>2947</v>
      </c>
      <c r="C254" s="537">
        <v>1</v>
      </c>
      <c r="D254" s="539" t="s">
        <v>273</v>
      </c>
      <c r="E254" s="540">
        <v>1</v>
      </c>
      <c r="F254" s="541">
        <v>8.93</v>
      </c>
      <c r="G254" s="541">
        <v>0.115</v>
      </c>
      <c r="H254" s="541">
        <v>0.15</v>
      </c>
      <c r="I254" s="545">
        <f t="shared" si="25"/>
        <v>0.15</v>
      </c>
      <c r="J254" s="553" t="s">
        <v>5</v>
      </c>
      <c r="K254" s="39"/>
      <c r="L254" s="208"/>
      <c r="M254" s="39"/>
      <c r="N254" s="536" t="s">
        <v>2306</v>
      </c>
    </row>
    <row r="255" spans="1:14" s="544" customFormat="1" ht="16.5" customHeight="1">
      <c r="A255" s="16"/>
      <c r="B255" s="39" t="s">
        <v>2950</v>
      </c>
      <c r="C255" s="537">
        <v>1</v>
      </c>
      <c r="D255" s="539" t="s">
        <v>273</v>
      </c>
      <c r="E255" s="540">
        <v>2</v>
      </c>
      <c r="F255" s="541">
        <v>3.02</v>
      </c>
      <c r="G255" s="541">
        <v>0.115</v>
      </c>
      <c r="H255" s="541">
        <v>0.15</v>
      </c>
      <c r="I255" s="545">
        <f t="shared" si="25"/>
        <v>0.1</v>
      </c>
      <c r="J255" s="553" t="s">
        <v>5</v>
      </c>
      <c r="K255" s="39"/>
      <c r="L255" s="208"/>
      <c r="M255" s="39"/>
      <c r="N255" s="536" t="s">
        <v>2306</v>
      </c>
    </row>
    <row r="256" spans="1:14" s="544" customFormat="1" ht="16.5" customHeight="1">
      <c r="A256" s="16"/>
      <c r="B256" s="39" t="s">
        <v>2962</v>
      </c>
      <c r="C256" s="537">
        <v>1</v>
      </c>
      <c r="D256" s="539" t="s">
        <v>273</v>
      </c>
      <c r="E256" s="540">
        <v>1</v>
      </c>
      <c r="F256" s="541">
        <v>1.62</v>
      </c>
      <c r="G256" s="541">
        <v>0.115</v>
      </c>
      <c r="H256" s="541">
        <v>0.15</v>
      </c>
      <c r="I256" s="545">
        <f t="shared" ref="I256" si="26">ROUND(IF(AND(F256:H256),C256*E256*F256*G256*H256,IF(AND(F256,G256),C256*E256*F256*G256,IF(AND(F256,H256),C256*E256*F256*H256,IF(AND(G256,H256),C256*E256*G256*H256,IF(F256,C256*E256*F256,IF(G256,C256*E256*G256,IF(H256,C256*E256*H256,C256*E256))))))),2)</f>
        <v>0.03</v>
      </c>
      <c r="J256" s="553" t="s">
        <v>5</v>
      </c>
      <c r="K256" s="39"/>
      <c r="L256" s="208"/>
      <c r="M256" s="39"/>
      <c r="N256" s="536" t="s">
        <v>2306</v>
      </c>
    </row>
    <row r="257" spans="1:14" s="544" customFormat="1" ht="16.5" customHeight="1">
      <c r="A257" s="16"/>
      <c r="B257" s="39"/>
      <c r="C257" s="537">
        <v>1</v>
      </c>
      <c r="D257" s="539" t="s">
        <v>273</v>
      </c>
      <c r="E257" s="540">
        <v>1</v>
      </c>
      <c r="F257" s="541">
        <v>1.55</v>
      </c>
      <c r="G257" s="541">
        <v>0.115</v>
      </c>
      <c r="H257" s="541">
        <v>0.15</v>
      </c>
      <c r="I257" s="545">
        <f t="shared" ref="I257" si="27">ROUND(IF(AND(F257:H257),C257*E257*F257*G257*H257,IF(AND(F257,G257),C257*E257*F257*G257,IF(AND(F257,H257),C257*E257*F257*H257,IF(AND(G257,H257),C257*E257*G257*H257,IF(F257,C257*E257*F257,IF(G257,C257*E257*G257,IF(H257,C257*E257*H257,C257*E257))))))),2)</f>
        <v>0.03</v>
      </c>
      <c r="J257" s="553" t="s">
        <v>5</v>
      </c>
      <c r="K257" s="39"/>
      <c r="L257" s="208"/>
      <c r="M257" s="39"/>
      <c r="N257" s="536" t="s">
        <v>2306</v>
      </c>
    </row>
    <row r="258" spans="1:14" s="544" customFormat="1" ht="16.5" customHeight="1">
      <c r="A258" s="16"/>
      <c r="B258" s="547"/>
      <c r="C258" s="548"/>
      <c r="D258" s="549"/>
      <c r="E258" s="550"/>
      <c r="F258" s="541"/>
      <c r="G258" s="541"/>
      <c r="H258" s="541"/>
      <c r="I258" s="552"/>
      <c r="J258" s="553"/>
      <c r="K258" s="39"/>
      <c r="L258" s="208"/>
      <c r="M258" s="39"/>
      <c r="N258" s="536" t="s">
        <v>2306</v>
      </c>
    </row>
    <row r="259" spans="1:14" ht="15.75">
      <c r="A259" s="16"/>
      <c r="B259" s="39"/>
      <c r="C259" s="554"/>
      <c r="D259" s="555"/>
      <c r="E259" s="540"/>
      <c r="F259" s="541"/>
      <c r="G259" s="40"/>
      <c r="H259" s="16"/>
      <c r="I259" s="552"/>
      <c r="J259" s="553" t="s">
        <v>5</v>
      </c>
      <c r="K259" s="10">
        <f>data!F1077</f>
        <v>10212.370000000001</v>
      </c>
      <c r="L259" s="208" t="s">
        <v>2306</v>
      </c>
      <c r="M259" s="9">
        <f>ROUND(I259*K259,0)</f>
        <v>0</v>
      </c>
      <c r="N259" s="536" t="s">
        <v>2306</v>
      </c>
    </row>
    <row r="260" spans="1:14" ht="89.25" customHeight="1">
      <c r="A260" s="16">
        <v>7</v>
      </c>
      <c r="B260" s="1858" t="s">
        <v>2064</v>
      </c>
      <c r="C260" s="1858"/>
      <c r="D260" s="1858"/>
      <c r="E260" s="1858"/>
      <c r="F260" s="1858"/>
      <c r="G260" s="1858"/>
      <c r="H260" s="1858"/>
      <c r="I260" s="537"/>
      <c r="J260" s="538"/>
      <c r="K260" s="16"/>
      <c r="L260" s="208"/>
      <c r="M260" s="38"/>
      <c r="N260" s="536" t="s">
        <v>2317</v>
      </c>
    </row>
    <row r="261" spans="1:14" s="544" customFormat="1" ht="16.5" customHeight="1">
      <c r="A261" s="16"/>
      <c r="B261" s="39" t="s">
        <v>3103</v>
      </c>
      <c r="C261" s="537"/>
      <c r="D261" s="539"/>
      <c r="E261" s="540"/>
      <c r="F261" s="541"/>
      <c r="G261" s="541"/>
      <c r="H261" s="541"/>
      <c r="I261" s="542"/>
      <c r="J261" s="553"/>
      <c r="K261" s="39"/>
      <c r="L261" s="208"/>
      <c r="M261" s="39"/>
      <c r="N261" s="536" t="s">
        <v>2317</v>
      </c>
    </row>
    <row r="262" spans="1:14" s="544" customFormat="1" ht="16.5" customHeight="1">
      <c r="A262" s="16"/>
      <c r="B262" s="39"/>
      <c r="C262" s="537">
        <v>1</v>
      </c>
      <c r="D262" s="539" t="s">
        <v>273</v>
      </c>
      <c r="E262" s="540">
        <v>1</v>
      </c>
      <c r="F262" s="541">
        <v>4.99</v>
      </c>
      <c r="G262" s="541">
        <v>0.23</v>
      </c>
      <c r="H262" s="541">
        <v>0.15</v>
      </c>
      <c r="I262" s="545">
        <f t="shared" ref="I262:I268" si="28">ROUND(IF(AND(F262:H262),C262*E262*F262*G262*H262,IF(AND(F262,G262),C262*E262*F262*G262,IF(AND(F262,H262),C262*E262*F262*H262,IF(AND(G262,H262),C262*E262*G262*H262,IF(F262,C262*E262*F262,IF(G262,C262*E262*G262,IF(H262,C262*E262*H262,C262*E262))))))),2)</f>
        <v>0.17</v>
      </c>
      <c r="J262" s="553" t="s">
        <v>5</v>
      </c>
      <c r="K262" s="39"/>
      <c r="L262" s="208"/>
      <c r="M262" s="39"/>
      <c r="N262" s="536" t="s">
        <v>2317</v>
      </c>
    </row>
    <row r="263" spans="1:14" s="544" customFormat="1" ht="16.5" customHeight="1">
      <c r="A263" s="16"/>
      <c r="B263" s="39"/>
      <c r="C263" s="537">
        <v>1</v>
      </c>
      <c r="D263" s="539" t="s">
        <v>273</v>
      </c>
      <c r="E263" s="540">
        <v>1</v>
      </c>
      <c r="F263" s="541">
        <v>3.12</v>
      </c>
      <c r="G263" s="541">
        <v>0.23</v>
      </c>
      <c r="H263" s="541">
        <v>0.15</v>
      </c>
      <c r="I263" s="545">
        <f t="shared" si="28"/>
        <v>0.11</v>
      </c>
      <c r="J263" s="553" t="s">
        <v>5</v>
      </c>
      <c r="K263" s="39"/>
      <c r="L263" s="208"/>
      <c r="M263" s="39"/>
      <c r="N263" s="536" t="s">
        <v>2317</v>
      </c>
    </row>
    <row r="264" spans="1:14" s="544" customFormat="1" ht="16.5" customHeight="1">
      <c r="A264" s="16"/>
      <c r="B264" s="39"/>
      <c r="C264" s="537">
        <v>1</v>
      </c>
      <c r="D264" s="539" t="s">
        <v>273</v>
      </c>
      <c r="E264" s="540">
        <v>1</v>
      </c>
      <c r="F264" s="541">
        <v>3.16</v>
      </c>
      <c r="G264" s="541">
        <v>0.23</v>
      </c>
      <c r="H264" s="541">
        <v>0.15</v>
      </c>
      <c r="I264" s="545">
        <f t="shared" si="28"/>
        <v>0.11</v>
      </c>
      <c r="J264" s="553" t="s">
        <v>5</v>
      </c>
      <c r="K264" s="39"/>
      <c r="L264" s="208"/>
      <c r="M264" s="39"/>
      <c r="N264" s="536" t="s">
        <v>2317</v>
      </c>
    </row>
    <row r="265" spans="1:14" s="544" customFormat="1" ht="16.5" customHeight="1">
      <c r="A265" s="16"/>
      <c r="B265" s="39"/>
      <c r="C265" s="537">
        <v>1</v>
      </c>
      <c r="D265" s="539" t="s">
        <v>273</v>
      </c>
      <c r="E265" s="540">
        <v>1</v>
      </c>
      <c r="F265" s="541">
        <v>2.72</v>
      </c>
      <c r="G265" s="541">
        <v>0.23</v>
      </c>
      <c r="H265" s="541">
        <v>0.15</v>
      </c>
      <c r="I265" s="545">
        <f t="shared" si="28"/>
        <v>0.09</v>
      </c>
      <c r="J265" s="553" t="s">
        <v>5</v>
      </c>
      <c r="K265" s="39"/>
      <c r="L265" s="208"/>
      <c r="M265" s="39"/>
      <c r="N265" s="536" t="s">
        <v>2317</v>
      </c>
    </row>
    <row r="266" spans="1:14" s="544" customFormat="1" ht="16.5" customHeight="1">
      <c r="A266" s="16"/>
      <c r="B266" s="39"/>
      <c r="C266" s="537">
        <v>1</v>
      </c>
      <c r="D266" s="539" t="s">
        <v>273</v>
      </c>
      <c r="E266" s="540">
        <v>2</v>
      </c>
      <c r="F266" s="541">
        <v>2.59</v>
      </c>
      <c r="G266" s="541">
        <v>0.23</v>
      </c>
      <c r="H266" s="541">
        <v>0.15</v>
      </c>
      <c r="I266" s="545">
        <f t="shared" si="28"/>
        <v>0.18</v>
      </c>
      <c r="J266" s="553" t="s">
        <v>5</v>
      </c>
      <c r="K266" s="39"/>
      <c r="L266" s="208"/>
      <c r="M266" s="39"/>
      <c r="N266" s="536" t="s">
        <v>2317</v>
      </c>
    </row>
    <row r="267" spans="1:14" s="544" customFormat="1" ht="16.5" customHeight="1">
      <c r="A267" s="16"/>
      <c r="B267" s="39"/>
      <c r="C267" s="537">
        <v>1</v>
      </c>
      <c r="D267" s="539" t="s">
        <v>273</v>
      </c>
      <c r="E267" s="540">
        <v>2</v>
      </c>
      <c r="F267" s="541">
        <v>2.78</v>
      </c>
      <c r="G267" s="541">
        <v>0.23</v>
      </c>
      <c r="H267" s="541">
        <v>0.15</v>
      </c>
      <c r="I267" s="545">
        <f t="shared" si="28"/>
        <v>0.19</v>
      </c>
      <c r="J267" s="553" t="s">
        <v>5</v>
      </c>
      <c r="K267" s="39"/>
      <c r="L267" s="208"/>
      <c r="M267" s="39"/>
      <c r="N267" s="536" t="s">
        <v>2317</v>
      </c>
    </row>
    <row r="268" spans="1:14" s="544" customFormat="1" ht="16.5" customHeight="1">
      <c r="A268" s="16"/>
      <c r="B268" s="39"/>
      <c r="C268" s="537">
        <v>1</v>
      </c>
      <c r="D268" s="539" t="s">
        <v>273</v>
      </c>
      <c r="E268" s="540">
        <v>1</v>
      </c>
      <c r="F268" s="541">
        <v>3.23</v>
      </c>
      <c r="G268" s="541">
        <v>0.23</v>
      </c>
      <c r="H268" s="541">
        <v>0.15</v>
      </c>
      <c r="I268" s="545">
        <f t="shared" si="28"/>
        <v>0.11</v>
      </c>
      <c r="J268" s="553" t="s">
        <v>5</v>
      </c>
      <c r="K268" s="39"/>
      <c r="L268" s="208"/>
      <c r="M268" s="39"/>
      <c r="N268" s="536" t="s">
        <v>2317</v>
      </c>
    </row>
    <row r="269" spans="1:14" s="544" customFormat="1" ht="16.5" customHeight="1">
      <c r="A269" s="16"/>
      <c r="B269" s="547"/>
      <c r="C269" s="548"/>
      <c r="D269" s="549"/>
      <c r="E269" s="550"/>
      <c r="F269" s="541"/>
      <c r="G269" s="541"/>
      <c r="H269" s="541"/>
      <c r="I269" s="552"/>
      <c r="J269" s="553"/>
      <c r="K269" s="39"/>
      <c r="L269" s="208"/>
      <c r="M269" s="39"/>
      <c r="N269" s="536" t="s">
        <v>2317</v>
      </c>
    </row>
    <row r="270" spans="1:14" ht="15.75">
      <c r="A270" s="16"/>
      <c r="B270" s="39"/>
      <c r="C270" s="554"/>
      <c r="D270" s="555"/>
      <c r="E270" s="540"/>
      <c r="F270" s="541"/>
      <c r="G270" s="40"/>
      <c r="H270" s="16"/>
      <c r="I270" s="552"/>
      <c r="J270" s="553" t="s">
        <v>5</v>
      </c>
      <c r="K270" s="10">
        <f>data!F1994</f>
        <v>10781.86</v>
      </c>
      <c r="L270" s="208" t="s">
        <v>2317</v>
      </c>
      <c r="M270" s="9">
        <f>ROUND(I270*K270,0)</f>
        <v>0</v>
      </c>
      <c r="N270" s="536" t="s">
        <v>2317</v>
      </c>
    </row>
    <row r="271" spans="1:14" ht="89.25" customHeight="1">
      <c r="A271" s="16">
        <v>7</v>
      </c>
      <c r="B271" s="1858" t="s">
        <v>2064</v>
      </c>
      <c r="C271" s="1858"/>
      <c r="D271" s="1858"/>
      <c r="E271" s="1858"/>
      <c r="F271" s="1858"/>
      <c r="G271" s="1858"/>
      <c r="H271" s="1858"/>
      <c r="I271" s="537"/>
      <c r="J271" s="538"/>
      <c r="K271" s="16"/>
      <c r="L271" s="208"/>
      <c r="M271" s="38"/>
      <c r="N271" s="536" t="s">
        <v>2318</v>
      </c>
    </row>
    <row r="272" spans="1:14" s="544" customFormat="1" ht="16.5" customHeight="1">
      <c r="A272" s="16"/>
      <c r="B272" s="39" t="s">
        <v>2836</v>
      </c>
      <c r="C272" s="537"/>
      <c r="D272" s="539"/>
      <c r="E272" s="540"/>
      <c r="F272" s="541"/>
      <c r="G272" s="541"/>
      <c r="H272" s="541"/>
      <c r="I272" s="542"/>
      <c r="J272" s="553"/>
      <c r="K272" s="39"/>
      <c r="L272" s="208"/>
      <c r="M272" s="39"/>
      <c r="N272" s="536" t="s">
        <v>2318</v>
      </c>
    </row>
    <row r="273" spans="1:14" s="544" customFormat="1" ht="16.5" customHeight="1">
      <c r="A273" s="16"/>
      <c r="B273" s="39"/>
      <c r="C273" s="537">
        <v>1</v>
      </c>
      <c r="D273" s="539" t="s">
        <v>273</v>
      </c>
      <c r="E273" s="540">
        <v>2</v>
      </c>
      <c r="F273" s="541">
        <v>2.8</v>
      </c>
      <c r="G273" s="541">
        <v>0.23</v>
      </c>
      <c r="H273" s="541">
        <v>0.15</v>
      </c>
      <c r="I273" s="579">
        <f>ROUND(IF(AND(F273:H273),C273*E273*F273*G273*H273,IF(AND(F273,G273),C273*E273*F273*G273,IF(AND(F273,H273),C273*E273*F273*H273,IF(AND(G273,H273),C273*E273*G273*H273,IF(F273,C273*E273*F273,IF(G273,C273*E273*G273,IF(H273,C273*E273*H273,C273*E273))))))),2)</f>
        <v>0.19</v>
      </c>
      <c r="J273" s="553" t="s">
        <v>5</v>
      </c>
      <c r="K273" s="39"/>
      <c r="L273" s="208"/>
      <c r="M273" s="39"/>
      <c r="N273" s="536" t="s">
        <v>2318</v>
      </c>
    </row>
    <row r="274" spans="1:14" s="544" customFormat="1" ht="16.5" customHeight="1">
      <c r="A274" s="16"/>
      <c r="B274" s="39"/>
      <c r="C274" s="537">
        <v>1</v>
      </c>
      <c r="D274" s="539" t="s">
        <v>273</v>
      </c>
      <c r="E274" s="540">
        <v>2</v>
      </c>
      <c r="F274" s="541">
        <v>2.8</v>
      </c>
      <c r="G274" s="541">
        <v>0.23</v>
      </c>
      <c r="H274" s="541">
        <v>0.15</v>
      </c>
      <c r="I274" s="579">
        <f>ROUND(IF(AND(F274:H274),C274*E274*F274*G274*H274,IF(AND(F274,G274),C274*E274*F274*G274,IF(AND(F274,H274),C274*E274*F274*H274,IF(AND(G274,H274),C274*E274*G274*H274,IF(F274,C274*E274*F274,IF(G274,C274*E274*G274,IF(H274,C274*E274*H274,C274*E274))))))),2)</f>
        <v>0.19</v>
      </c>
      <c r="J274" s="553" t="s">
        <v>5</v>
      </c>
      <c r="K274" s="39"/>
      <c r="L274" s="208"/>
      <c r="M274" s="39"/>
      <c r="N274" s="536" t="s">
        <v>2318</v>
      </c>
    </row>
    <row r="275" spans="1:14" s="544" customFormat="1" ht="16.5" customHeight="1">
      <c r="A275" s="16"/>
      <c r="B275" s="547"/>
      <c r="C275" s="548"/>
      <c r="D275" s="549"/>
      <c r="E275" s="550"/>
      <c r="F275" s="541"/>
      <c r="G275" s="541"/>
      <c r="H275" s="541"/>
      <c r="I275" s="552"/>
      <c r="J275" s="553"/>
      <c r="K275" s="39"/>
      <c r="L275" s="208"/>
      <c r="M275" s="39"/>
      <c r="N275" s="536" t="s">
        <v>2318</v>
      </c>
    </row>
    <row r="276" spans="1:14" ht="15.75">
      <c r="A276" s="16"/>
      <c r="B276" s="39"/>
      <c r="C276" s="554"/>
      <c r="D276" s="555"/>
      <c r="E276" s="540"/>
      <c r="F276" s="541"/>
      <c r="G276" s="40"/>
      <c r="H276" s="16"/>
      <c r="I276" s="552"/>
      <c r="J276" s="553" t="s">
        <v>5</v>
      </c>
      <c r="K276" s="10">
        <f>data!F2911</f>
        <v>11212.51</v>
      </c>
      <c r="L276" s="208" t="s">
        <v>2318</v>
      </c>
      <c r="M276" s="9">
        <f>ROUND(I276*K276,0)</f>
        <v>0</v>
      </c>
      <c r="N276" s="536" t="s">
        <v>2318</v>
      </c>
    </row>
    <row r="277" spans="1:14" ht="17.25" customHeight="1">
      <c r="A277" s="16">
        <v>6</v>
      </c>
      <c r="B277" s="1858" t="s">
        <v>648</v>
      </c>
      <c r="C277" s="1858"/>
      <c r="D277" s="1858"/>
      <c r="E277" s="1858"/>
      <c r="F277" s="1858"/>
      <c r="G277" s="1858"/>
      <c r="H277" s="1858"/>
      <c r="I277" s="537"/>
      <c r="J277" s="538"/>
      <c r="K277" s="16"/>
      <c r="L277" s="208"/>
      <c r="M277" s="38"/>
      <c r="N277" s="536" t="s">
        <v>2218</v>
      </c>
    </row>
    <row r="278" spans="1:14" s="544" customFormat="1" ht="16.5" customHeight="1">
      <c r="A278" s="16"/>
      <c r="B278" s="39" t="s">
        <v>3104</v>
      </c>
      <c r="C278" s="537"/>
      <c r="D278" s="1145" t="s">
        <v>3350</v>
      </c>
      <c r="E278" s="540"/>
      <c r="F278" s="541"/>
      <c r="G278" s="541"/>
      <c r="H278" s="541"/>
      <c r="I278" s="542"/>
      <c r="J278" s="553"/>
      <c r="K278" s="39"/>
      <c r="L278" s="208"/>
      <c r="M278" s="39"/>
      <c r="N278" s="536" t="s">
        <v>2218</v>
      </c>
    </row>
    <row r="279" spans="1:14" s="544" customFormat="1" ht="16.5" customHeight="1">
      <c r="A279" s="16"/>
      <c r="B279" s="39" t="s">
        <v>584</v>
      </c>
      <c r="C279" s="537">
        <v>1</v>
      </c>
      <c r="D279" s="539" t="s">
        <v>273</v>
      </c>
      <c r="E279" s="540">
        <v>6</v>
      </c>
      <c r="F279" s="541">
        <v>1.8</v>
      </c>
      <c r="G279" s="541">
        <v>0</v>
      </c>
      <c r="H279" s="541">
        <v>0</v>
      </c>
      <c r="I279" s="545">
        <f t="shared" ref="I279:I280" si="29">ROUND(IF(AND(F279:H279),C279*E279*F279*G279*H279,IF(AND(F279,G279),C279*E279*F279*G279,IF(AND(F279,H279),C279*E279*F279*H279,IF(AND(G279,H279),C279*E279*G279*H279,IF(F279,C279*E279*F279,IF(G279,C279*E279*G279,IF(H279,C279*E279*H279,C279*E279))))))),2)</f>
        <v>10.8</v>
      </c>
      <c r="J279" s="553" t="s">
        <v>277</v>
      </c>
      <c r="K279" s="39"/>
      <c r="L279" s="208"/>
      <c r="M279" s="39"/>
      <c r="N279" s="536" t="s">
        <v>2218</v>
      </c>
    </row>
    <row r="280" spans="1:14" s="544" customFormat="1" ht="16.5" customHeight="1">
      <c r="A280" s="16"/>
      <c r="B280" s="39" t="s">
        <v>1547</v>
      </c>
      <c r="C280" s="537">
        <v>1</v>
      </c>
      <c r="D280" s="539" t="s">
        <v>273</v>
      </c>
      <c r="E280" s="540">
        <v>1</v>
      </c>
      <c r="F280" s="541">
        <v>8.3800000000000008</v>
      </c>
      <c r="G280" s="541">
        <v>0</v>
      </c>
      <c r="H280" s="541">
        <v>0</v>
      </c>
      <c r="I280" s="545">
        <f t="shared" si="29"/>
        <v>8.3800000000000008</v>
      </c>
      <c r="J280" s="553" t="s">
        <v>277</v>
      </c>
      <c r="K280" s="39"/>
      <c r="L280" s="208"/>
      <c r="M280" s="39"/>
      <c r="N280" s="536" t="s">
        <v>2218</v>
      </c>
    </row>
    <row r="281" spans="1:14" s="544" customFormat="1" ht="15.75">
      <c r="A281" s="16"/>
      <c r="B281" s="547"/>
      <c r="C281" s="548"/>
      <c r="D281" s="549"/>
      <c r="E281" s="550"/>
      <c r="F281" s="551"/>
      <c r="G281" s="551"/>
      <c r="H281" s="551"/>
      <c r="I281" s="552"/>
      <c r="J281" s="553"/>
      <c r="K281" s="39"/>
      <c r="L281" s="208"/>
      <c r="M281" s="39"/>
      <c r="N281" s="536" t="s">
        <v>2218</v>
      </c>
    </row>
    <row r="282" spans="1:14" ht="15.75">
      <c r="A282" s="16"/>
      <c r="B282" s="39"/>
      <c r="C282" s="554"/>
      <c r="D282" s="555"/>
      <c r="E282" s="540"/>
      <c r="F282" s="541"/>
      <c r="G282" s="40"/>
      <c r="H282" s="16"/>
      <c r="I282" s="552"/>
      <c r="J282" s="553" t="s">
        <v>277</v>
      </c>
      <c r="K282" s="10">
        <f>data!F224</f>
        <v>568.34999999999991</v>
      </c>
      <c r="L282" s="208" t="s">
        <v>2218</v>
      </c>
      <c r="M282" s="9">
        <f>ROUND(I282*K282,0)</f>
        <v>0</v>
      </c>
      <c r="N282" s="536" t="s">
        <v>2218</v>
      </c>
    </row>
    <row r="283" spans="1:14" ht="17.25" customHeight="1">
      <c r="A283" s="16">
        <v>6</v>
      </c>
      <c r="B283" s="1858" t="s">
        <v>648</v>
      </c>
      <c r="C283" s="1858"/>
      <c r="D283" s="1858"/>
      <c r="E283" s="1858"/>
      <c r="F283" s="1858"/>
      <c r="G283" s="1858"/>
      <c r="H283" s="1858"/>
      <c r="I283" s="537"/>
      <c r="J283" s="538"/>
      <c r="K283" s="16"/>
      <c r="L283" s="208"/>
      <c r="M283" s="38"/>
      <c r="N283" s="536" t="s">
        <v>2306</v>
      </c>
    </row>
    <row r="284" spans="1:14" s="544" customFormat="1" ht="16.5" customHeight="1">
      <c r="A284" s="16"/>
      <c r="B284" s="207" t="s">
        <v>2884</v>
      </c>
      <c r="C284" s="537"/>
      <c r="D284" s="539"/>
      <c r="E284" s="540"/>
      <c r="F284" s="541"/>
      <c r="G284" s="541"/>
      <c r="H284" s="541"/>
      <c r="I284" s="542"/>
      <c r="J284" s="553"/>
      <c r="K284" s="39"/>
      <c r="L284" s="208"/>
      <c r="M284" s="39"/>
      <c r="N284" s="536" t="s">
        <v>2306</v>
      </c>
    </row>
    <row r="285" spans="1:14" s="544" customFormat="1" ht="16.5" customHeight="1">
      <c r="A285" s="16"/>
      <c r="B285" s="39"/>
      <c r="C285" s="537">
        <v>1</v>
      </c>
      <c r="D285" s="539" t="s">
        <v>273</v>
      </c>
      <c r="E285" s="540">
        <v>7</v>
      </c>
      <c r="F285" s="541">
        <v>1.65</v>
      </c>
      <c r="G285" s="541">
        <v>0</v>
      </c>
      <c r="H285" s="541">
        <v>0</v>
      </c>
      <c r="I285" s="545">
        <f>ROUND(IF(AND(F285:H285),C285*E285*F285*G285*H285,IF(AND(F285,G285),C285*E285*F285*G285,IF(AND(F285,H285),C285*E285*F285*H285,IF(AND(G285,H285),C285*E285*G285*H285,IF(F285,C285*E285*F285,IF(G285,C285*E285*G285,IF(H285,C285*E285*H285,C285*E285))))))),2)</f>
        <v>11.55</v>
      </c>
      <c r="J285" s="553" t="s">
        <v>277</v>
      </c>
      <c r="K285" s="39"/>
      <c r="L285" s="208"/>
      <c r="M285" s="39"/>
      <c r="N285" s="536" t="s">
        <v>2306</v>
      </c>
    </row>
    <row r="286" spans="1:14" s="544" customFormat="1" ht="16.5" customHeight="1">
      <c r="A286" s="16"/>
      <c r="B286" s="39"/>
      <c r="C286" s="537">
        <v>1</v>
      </c>
      <c r="D286" s="539" t="s">
        <v>273</v>
      </c>
      <c r="E286" s="540">
        <v>1</v>
      </c>
      <c r="F286" s="541">
        <v>1.05</v>
      </c>
      <c r="G286" s="541">
        <v>0</v>
      </c>
      <c r="H286" s="541">
        <v>0</v>
      </c>
      <c r="I286" s="545">
        <f>ROUND(IF(AND(F286:H286),C286*E286*F286*G286*H286,IF(AND(F286,G286),C286*E286*F286*G286,IF(AND(F286,H286),C286*E286*F286*H286,IF(AND(G286,H286),C286*E286*G286*H286,IF(F286,C286*E286*F286,IF(G286,C286*E286*G286,IF(H286,C286*E286*H286,C286*E286))))))),2)</f>
        <v>1.05</v>
      </c>
      <c r="J286" s="553" t="s">
        <v>277</v>
      </c>
      <c r="K286" s="39"/>
      <c r="L286" s="208"/>
      <c r="M286" s="39"/>
      <c r="N286" s="536" t="s">
        <v>2306</v>
      </c>
    </row>
    <row r="287" spans="1:14" s="544" customFormat="1" ht="15.75">
      <c r="A287" s="16"/>
      <c r="B287" s="547"/>
      <c r="C287" s="548"/>
      <c r="D287" s="549"/>
      <c r="E287" s="550"/>
      <c r="F287" s="551"/>
      <c r="G287" s="551"/>
      <c r="H287" s="551"/>
      <c r="I287" s="552"/>
      <c r="J287" s="553"/>
      <c r="K287" s="39"/>
      <c r="L287" s="208"/>
      <c r="M287" s="39"/>
      <c r="N287" s="536" t="s">
        <v>2306</v>
      </c>
    </row>
    <row r="288" spans="1:14" ht="15.75">
      <c r="A288" s="16"/>
      <c r="B288" s="39"/>
      <c r="C288" s="554"/>
      <c r="D288" s="555"/>
      <c r="E288" s="540"/>
      <c r="F288" s="541"/>
      <c r="G288" s="40"/>
      <c r="H288" s="16"/>
      <c r="I288" s="552"/>
      <c r="J288" s="553" t="s">
        <v>277</v>
      </c>
      <c r="K288" s="10">
        <f>data!F1140</f>
        <v>582.93999999999994</v>
      </c>
      <c r="L288" s="208" t="s">
        <v>2306</v>
      </c>
      <c r="M288" s="9">
        <f>ROUND(I288*K288,0)</f>
        <v>0</v>
      </c>
      <c r="N288" s="536" t="s">
        <v>2306</v>
      </c>
    </row>
    <row r="289" spans="1:14" ht="17.25" customHeight="1">
      <c r="A289" s="16">
        <v>8</v>
      </c>
      <c r="B289" s="1858" t="s">
        <v>648</v>
      </c>
      <c r="C289" s="1858"/>
      <c r="D289" s="1858"/>
      <c r="E289" s="1858"/>
      <c r="F289" s="1858"/>
      <c r="G289" s="1858"/>
      <c r="H289" s="1858"/>
      <c r="I289" s="537"/>
      <c r="J289" s="538"/>
      <c r="K289" s="16"/>
      <c r="L289" s="208"/>
      <c r="M289" s="38"/>
      <c r="N289" s="536" t="s">
        <v>2317</v>
      </c>
    </row>
    <row r="290" spans="1:14" s="544" customFormat="1" ht="16.5" customHeight="1">
      <c r="A290" s="16"/>
      <c r="B290" s="39" t="s">
        <v>3104</v>
      </c>
      <c r="C290" s="537"/>
      <c r="D290" s="539"/>
      <c r="E290" s="540"/>
      <c r="F290" s="541"/>
      <c r="G290" s="541"/>
      <c r="H290" s="541"/>
      <c r="I290" s="542"/>
      <c r="J290" s="553"/>
      <c r="K290" s="39"/>
      <c r="L290" s="208"/>
      <c r="M290" s="39"/>
      <c r="N290" s="536" t="s">
        <v>2317</v>
      </c>
    </row>
    <row r="291" spans="1:14" s="544" customFormat="1" ht="16.5" customHeight="1">
      <c r="A291" s="16"/>
      <c r="B291" s="39"/>
      <c r="C291" s="537">
        <v>1</v>
      </c>
      <c r="D291" s="539" t="s">
        <v>273</v>
      </c>
      <c r="E291" s="540">
        <v>5</v>
      </c>
      <c r="F291" s="541">
        <v>1.8</v>
      </c>
      <c r="G291" s="541">
        <v>0</v>
      </c>
      <c r="H291" s="541">
        <v>0</v>
      </c>
      <c r="I291" s="545">
        <f t="shared" ref="I291:I293" si="30">ROUND(IF(AND(F291:H291),C291*E291*F291*G291*H291,IF(AND(F291,G291),C291*E291*F291*G291,IF(AND(F291,H291),C291*E291*F291*H291,IF(AND(G291,H291),C291*E291*G291*H291,IF(F291,C291*E291*F291,IF(G291,C291*E291*G291,IF(H291,C291*E291*H291,C291*E291))))))),2)</f>
        <v>9</v>
      </c>
      <c r="J291" s="553" t="s">
        <v>277</v>
      </c>
      <c r="K291" s="39"/>
      <c r="L291" s="208"/>
      <c r="M291" s="39"/>
      <c r="N291" s="536" t="s">
        <v>2317</v>
      </c>
    </row>
    <row r="292" spans="1:14" s="544" customFormat="1" ht="16.5" customHeight="1">
      <c r="A292" s="16"/>
      <c r="B292" s="39"/>
      <c r="C292" s="537">
        <v>1</v>
      </c>
      <c r="D292" s="539" t="s">
        <v>273</v>
      </c>
      <c r="E292" s="540">
        <v>6</v>
      </c>
      <c r="F292" s="541">
        <v>1.8</v>
      </c>
      <c r="G292" s="541">
        <v>0</v>
      </c>
      <c r="H292" s="541">
        <v>0</v>
      </c>
      <c r="I292" s="545">
        <f t="shared" si="30"/>
        <v>10.8</v>
      </c>
      <c r="J292" s="553" t="s">
        <v>277</v>
      </c>
      <c r="K292" s="39"/>
      <c r="L292" s="208"/>
      <c r="M292" s="39"/>
      <c r="N292" s="536" t="s">
        <v>2317</v>
      </c>
    </row>
    <row r="293" spans="1:14" s="544" customFormat="1" ht="16.5" customHeight="1">
      <c r="A293" s="16"/>
      <c r="B293" s="39"/>
      <c r="C293" s="537">
        <v>1</v>
      </c>
      <c r="D293" s="539" t="s">
        <v>273</v>
      </c>
      <c r="E293" s="540">
        <v>1</v>
      </c>
      <c r="F293" s="541">
        <v>8.3800000000000008</v>
      </c>
      <c r="G293" s="541">
        <v>0</v>
      </c>
      <c r="H293" s="541">
        <v>0</v>
      </c>
      <c r="I293" s="545">
        <f t="shared" si="30"/>
        <v>8.3800000000000008</v>
      </c>
      <c r="J293" s="553" t="s">
        <v>277</v>
      </c>
      <c r="K293" s="39"/>
      <c r="L293" s="208"/>
      <c r="M293" s="39"/>
      <c r="N293" s="536" t="s">
        <v>2317</v>
      </c>
    </row>
    <row r="294" spans="1:14" s="544" customFormat="1" ht="15.75">
      <c r="A294" s="16"/>
      <c r="B294" s="547"/>
      <c r="C294" s="548"/>
      <c r="D294" s="549"/>
      <c r="E294" s="550"/>
      <c r="F294" s="551"/>
      <c r="G294" s="551"/>
      <c r="H294" s="551"/>
      <c r="I294" s="552"/>
      <c r="J294" s="553"/>
      <c r="K294" s="39"/>
      <c r="L294" s="208"/>
      <c r="M294" s="39"/>
      <c r="N294" s="536" t="s">
        <v>2317</v>
      </c>
    </row>
    <row r="295" spans="1:14" ht="15.75">
      <c r="A295" s="16"/>
      <c r="B295" s="39"/>
      <c r="C295" s="554"/>
      <c r="D295" s="555"/>
      <c r="E295" s="540"/>
      <c r="F295" s="541"/>
      <c r="G295" s="40"/>
      <c r="H295" s="16"/>
      <c r="I295" s="552"/>
      <c r="J295" s="553" t="s">
        <v>277</v>
      </c>
      <c r="K295" s="10">
        <f>data!F2057</f>
        <v>613.88</v>
      </c>
      <c r="L295" s="208" t="s">
        <v>2317</v>
      </c>
      <c r="M295" s="9">
        <f>ROUND(I295*K295,0)</f>
        <v>0</v>
      </c>
      <c r="N295" s="536" t="s">
        <v>2317</v>
      </c>
    </row>
    <row r="296" spans="1:14" ht="17.25" customHeight="1">
      <c r="A296" s="16">
        <v>8</v>
      </c>
      <c r="B296" s="1858" t="s">
        <v>648</v>
      </c>
      <c r="C296" s="1858"/>
      <c r="D296" s="1858"/>
      <c r="E296" s="1858"/>
      <c r="F296" s="1858"/>
      <c r="G296" s="1858"/>
      <c r="H296" s="1858"/>
      <c r="I296" s="537"/>
      <c r="J296" s="538"/>
      <c r="K296" s="16"/>
      <c r="L296" s="208"/>
      <c r="M296" s="38"/>
      <c r="N296" s="536" t="s">
        <v>2318</v>
      </c>
    </row>
    <row r="297" spans="1:14" s="544" customFormat="1" ht="16.5" customHeight="1">
      <c r="A297" s="16"/>
      <c r="B297" s="39" t="s">
        <v>2885</v>
      </c>
      <c r="C297" s="537"/>
      <c r="D297" s="539"/>
      <c r="E297" s="540"/>
      <c r="F297" s="541"/>
      <c r="G297" s="541"/>
      <c r="H297" s="541"/>
      <c r="I297" s="542"/>
      <c r="J297" s="553"/>
      <c r="K297" s="39"/>
      <c r="L297" s="208"/>
      <c r="M297" s="39"/>
      <c r="N297" s="536" t="s">
        <v>2318</v>
      </c>
    </row>
    <row r="298" spans="1:14" s="544" customFormat="1" ht="16.5" customHeight="1">
      <c r="A298" s="16"/>
      <c r="B298" s="39"/>
      <c r="C298" s="537">
        <v>1</v>
      </c>
      <c r="D298" s="539" t="s">
        <v>273</v>
      </c>
      <c r="E298" s="540">
        <v>7</v>
      </c>
      <c r="F298" s="541">
        <v>1.8</v>
      </c>
      <c r="G298" s="541">
        <v>0</v>
      </c>
      <c r="H298" s="541">
        <v>0</v>
      </c>
      <c r="I298" s="545">
        <f>ROUND(IF(AND(F298:H298),C298*E298*F298*G298*H298,IF(AND(F298,G298),C298*E298*F298*G298,IF(AND(F298,H298),C298*E298*F298*H298,IF(AND(G298,H298),C298*E298*G298*H298,IF(F298,C298*E298*F298,IF(G298,C298*E298*G298,IF(H298,C298*E298*H298,C298*E298))))))),2)</f>
        <v>12.6</v>
      </c>
      <c r="J298" s="553" t="s">
        <v>277</v>
      </c>
      <c r="K298" s="39"/>
      <c r="L298" s="208"/>
      <c r="M298" s="39"/>
      <c r="N298" s="536" t="s">
        <v>2318</v>
      </c>
    </row>
    <row r="299" spans="1:14" s="544" customFormat="1" ht="16.5" customHeight="1">
      <c r="A299" s="16"/>
      <c r="B299" s="39"/>
      <c r="C299" s="537">
        <v>1</v>
      </c>
      <c r="D299" s="539" t="s">
        <v>273</v>
      </c>
      <c r="E299" s="540">
        <v>1</v>
      </c>
      <c r="F299" s="541">
        <v>3</v>
      </c>
      <c r="G299" s="541">
        <v>0</v>
      </c>
      <c r="H299" s="541">
        <v>0</v>
      </c>
      <c r="I299" s="545">
        <f>ROUND(IF(AND(F299:H299),C299*E299*F299*G299*H299,IF(AND(F299,G299),C299*E299*F299*G299,IF(AND(F299,H299),C299*E299*F299*H299,IF(AND(G299,H299),C299*E299*G299*H299,IF(F299,C299*E299*F299,IF(G299,C299*E299*G299,IF(H299,C299*E299*H299,C299*E299))))))),2)</f>
        <v>3</v>
      </c>
      <c r="J299" s="553" t="s">
        <v>277</v>
      </c>
      <c r="K299" s="39"/>
      <c r="L299" s="208"/>
      <c r="M299" s="39"/>
      <c r="N299" s="536" t="s">
        <v>2318</v>
      </c>
    </row>
    <row r="300" spans="1:14" s="544" customFormat="1" ht="15.75">
      <c r="A300" s="16"/>
      <c r="B300" s="547"/>
      <c r="C300" s="548"/>
      <c r="D300" s="549"/>
      <c r="E300" s="550"/>
      <c r="F300" s="551"/>
      <c r="G300" s="551"/>
      <c r="H300" s="551"/>
      <c r="I300" s="552"/>
      <c r="J300" s="553"/>
      <c r="K300" s="39"/>
      <c r="L300" s="208"/>
      <c r="M300" s="39"/>
      <c r="N300" s="536" t="s">
        <v>2318</v>
      </c>
    </row>
    <row r="301" spans="1:14" ht="15.75">
      <c r="A301" s="16"/>
      <c r="B301" s="39"/>
      <c r="C301" s="554"/>
      <c r="D301" s="555"/>
      <c r="E301" s="540"/>
      <c r="F301" s="541"/>
      <c r="G301" s="40"/>
      <c r="H301" s="16"/>
      <c r="I301" s="552"/>
      <c r="J301" s="553" t="s">
        <v>277</v>
      </c>
      <c r="K301" s="10">
        <f>data!F2974</f>
        <v>630.35</v>
      </c>
      <c r="L301" s="208" t="s">
        <v>2318</v>
      </c>
      <c r="M301" s="9">
        <f>ROUND(I301*K301,0)</f>
        <v>0</v>
      </c>
      <c r="N301" s="536" t="s">
        <v>2318</v>
      </c>
    </row>
    <row r="302" spans="1:14" ht="64.5" customHeight="1">
      <c r="A302" s="16">
        <v>7</v>
      </c>
      <c r="B302" s="1858" t="s">
        <v>151</v>
      </c>
      <c r="C302" s="1858"/>
      <c r="D302" s="1858"/>
      <c r="E302" s="1858"/>
      <c r="F302" s="1858"/>
      <c r="G302" s="1858"/>
      <c r="H302" s="1858"/>
      <c r="I302" s="537"/>
      <c r="J302" s="538"/>
      <c r="K302" s="16"/>
      <c r="L302" s="208"/>
      <c r="M302" s="38"/>
      <c r="N302" s="536" t="s">
        <v>2218</v>
      </c>
    </row>
    <row r="303" spans="1:14" s="544" customFormat="1" ht="16.5" customHeight="1">
      <c r="A303" s="16"/>
      <c r="B303" s="39" t="s">
        <v>2886</v>
      </c>
      <c r="C303" s="537"/>
      <c r="D303" s="539"/>
      <c r="E303" s="540"/>
      <c r="F303" s="541"/>
      <c r="G303" s="541"/>
      <c r="H303" s="541"/>
      <c r="I303" s="542"/>
      <c r="J303" s="553"/>
      <c r="K303" s="39"/>
      <c r="L303" s="16"/>
      <c r="M303" s="39"/>
      <c r="N303" s="536" t="s">
        <v>2218</v>
      </c>
    </row>
    <row r="304" spans="1:14" s="544" customFormat="1" ht="16.5" customHeight="1">
      <c r="A304" s="16"/>
      <c r="B304" s="39"/>
      <c r="C304" s="537">
        <v>1</v>
      </c>
      <c r="D304" s="539" t="s">
        <v>273</v>
      </c>
      <c r="E304" s="540">
        <v>1</v>
      </c>
      <c r="F304" s="541">
        <v>13.25</v>
      </c>
      <c r="G304" s="541">
        <v>9.65</v>
      </c>
      <c r="H304" s="541">
        <v>0</v>
      </c>
      <c r="I304" s="545">
        <f t="shared" ref="I304" si="31">ROUND(IF(AND(F304:H304),C304*E304*F304*G304*H304,IF(AND(F304,G304),C304*E304*F304*G304,IF(AND(F304,H304),C304*E304*F304*H304,IF(AND(G304,H304),C304*E304*G304*H304,IF(F304,C304*E304*F304,IF(G304,C304*E304*G304,IF(H304,C304*E304*H304,C304*E304))))))),2)</f>
        <v>127.86</v>
      </c>
      <c r="J304" s="553" t="s">
        <v>102</v>
      </c>
      <c r="K304" s="39"/>
      <c r="L304" s="16"/>
      <c r="M304" s="39"/>
      <c r="N304" s="536" t="s">
        <v>2218</v>
      </c>
    </row>
    <row r="305" spans="1:14" s="544" customFormat="1" ht="16.5" customHeight="1">
      <c r="A305" s="16"/>
      <c r="B305" s="39" t="s">
        <v>2565</v>
      </c>
      <c r="C305" s="537">
        <v>1</v>
      </c>
      <c r="D305" s="539" t="s">
        <v>273</v>
      </c>
      <c r="E305" s="540">
        <v>1</v>
      </c>
      <c r="F305" s="541">
        <v>2.72</v>
      </c>
      <c r="G305" s="541">
        <v>3.77</v>
      </c>
      <c r="H305" s="541">
        <v>0</v>
      </c>
      <c r="I305" s="545">
        <f>-ROUND(IF(AND(F305:H305),C305*E305*F305*G305*H305,IF(AND(F305,G305),C305*E305*F305*G305,IF(AND(F305,H305),C305*E305*F305*H305,IF(AND(G305,H305),C305*E305*G305*H305,IF(F305,C305*E305*F305,IF(G305,C305*E305*G305,IF(H305,C305*E305*H305,C305*E305))))))),2)</f>
        <v>-10.25</v>
      </c>
      <c r="J305" s="553" t="s">
        <v>102</v>
      </c>
      <c r="K305" s="39"/>
      <c r="L305" s="16"/>
      <c r="M305" s="39"/>
      <c r="N305" s="536" t="s">
        <v>2218</v>
      </c>
    </row>
    <row r="306" spans="1:14" s="544" customFormat="1" ht="16.5" customHeight="1">
      <c r="A306" s="16"/>
      <c r="B306" s="547"/>
      <c r="C306" s="548"/>
      <c r="D306" s="549"/>
      <c r="E306" s="550"/>
      <c r="F306" s="551"/>
      <c r="G306" s="551"/>
      <c r="H306" s="551"/>
      <c r="I306" s="552"/>
      <c r="J306" s="553"/>
      <c r="K306" s="39"/>
      <c r="L306" s="208"/>
      <c r="M306" s="39"/>
      <c r="N306" s="536" t="s">
        <v>2218</v>
      </c>
    </row>
    <row r="307" spans="1:14" ht="15.75">
      <c r="A307" s="16"/>
      <c r="B307" s="39"/>
      <c r="C307" s="554"/>
      <c r="D307" s="555"/>
      <c r="E307" s="540"/>
      <c r="F307" s="541"/>
      <c r="G307" s="40"/>
      <c r="H307" s="16"/>
      <c r="I307" s="552"/>
      <c r="J307" s="553" t="s">
        <v>102</v>
      </c>
      <c r="K307" s="10">
        <f>data!F568</f>
        <v>278.81</v>
      </c>
      <c r="L307" s="208" t="s">
        <v>2218</v>
      </c>
      <c r="M307" s="9">
        <f>ROUND(I307*K307,0)</f>
        <v>0</v>
      </c>
      <c r="N307" s="536" t="s">
        <v>2218</v>
      </c>
    </row>
    <row r="308" spans="1:14" ht="64.5" customHeight="1">
      <c r="A308" s="16">
        <v>7</v>
      </c>
      <c r="B308" s="1858" t="s">
        <v>151</v>
      </c>
      <c r="C308" s="1858"/>
      <c r="D308" s="1858"/>
      <c r="E308" s="1858"/>
      <c r="F308" s="1858"/>
      <c r="G308" s="1858"/>
      <c r="H308" s="1858"/>
      <c r="I308" s="537"/>
      <c r="J308" s="538"/>
      <c r="K308" s="16"/>
      <c r="L308" s="208"/>
      <c r="M308" s="38"/>
      <c r="N308" s="536" t="s">
        <v>2306</v>
      </c>
    </row>
    <row r="309" spans="1:14" s="544" customFormat="1" ht="16.5" customHeight="1">
      <c r="A309" s="16"/>
      <c r="B309" s="39" t="s">
        <v>2971</v>
      </c>
      <c r="C309" s="537"/>
      <c r="D309" s="539"/>
      <c r="E309" s="540"/>
      <c r="F309" s="541"/>
      <c r="G309" s="541"/>
      <c r="H309" s="541"/>
      <c r="I309" s="542"/>
      <c r="J309" s="553"/>
      <c r="K309" s="39"/>
      <c r="L309" s="16"/>
      <c r="M309" s="39"/>
      <c r="N309" s="536" t="s">
        <v>2306</v>
      </c>
    </row>
    <row r="310" spans="1:14" s="544" customFormat="1" ht="16.5" customHeight="1">
      <c r="A310" s="16"/>
      <c r="B310" s="39"/>
      <c r="C310" s="537">
        <v>1</v>
      </c>
      <c r="D310" s="539" t="s">
        <v>273</v>
      </c>
      <c r="E310" s="540">
        <v>1</v>
      </c>
      <c r="F310" s="541">
        <v>13.28</v>
      </c>
      <c r="G310" s="541">
        <v>9.8699999999999992</v>
      </c>
      <c r="H310" s="541">
        <v>0</v>
      </c>
      <c r="I310" s="545">
        <f t="shared" ref="I310" si="32">ROUND(IF(AND(F310:H310),C310*E310*F310*G310*H310,IF(AND(F310,G310),C310*E310*F310*G310,IF(AND(F310,H310),C310*E310*F310*H310,IF(AND(G310,H310),C310*E310*G310*H310,IF(F310,C310*E310*F310,IF(G310,C310*E310*G310,IF(H310,C310*E310*H310,C310*E310))))))),2)</f>
        <v>131.07</v>
      </c>
      <c r="J310" s="553" t="s">
        <v>102</v>
      </c>
      <c r="K310" s="39"/>
      <c r="L310" s="16"/>
      <c r="M310" s="39"/>
      <c r="N310" s="536" t="s">
        <v>2306</v>
      </c>
    </row>
    <row r="311" spans="1:14" s="544" customFormat="1" ht="16.5" customHeight="1">
      <c r="A311" s="16"/>
      <c r="B311" s="39" t="s">
        <v>2555</v>
      </c>
      <c r="C311" s="537">
        <v>1</v>
      </c>
      <c r="D311" s="539" t="s">
        <v>273</v>
      </c>
      <c r="E311" s="540">
        <v>1</v>
      </c>
      <c r="F311" s="541">
        <v>3.18</v>
      </c>
      <c r="G311" s="541">
        <v>3.92</v>
      </c>
      <c r="H311" s="541">
        <v>0</v>
      </c>
      <c r="I311" s="545">
        <f>-ROUND(IF(AND(F311:H311),C311*E311*F311*G311*H311,IF(AND(F311,G311),C311*E311*F311*G311,IF(AND(F311,H311),C311*E311*F311*H311,IF(AND(G311,H311),C311*E311*G311*H311,IF(F311,C311*E311*F311,IF(G311,C311*E311*G311,IF(H311,C311*E311*H311,C311*E311))))))),2)</f>
        <v>-12.47</v>
      </c>
      <c r="J311" s="553" t="s">
        <v>102</v>
      </c>
      <c r="K311" s="39"/>
      <c r="L311" s="16"/>
      <c r="M311" s="39"/>
      <c r="N311" s="536" t="s">
        <v>2306</v>
      </c>
    </row>
    <row r="312" spans="1:14" s="544" customFormat="1" ht="16.5" customHeight="1">
      <c r="A312" s="16"/>
      <c r="B312" s="39" t="s">
        <v>2930</v>
      </c>
      <c r="C312" s="537">
        <v>1</v>
      </c>
      <c r="D312" s="539" t="s">
        <v>273</v>
      </c>
      <c r="E312" s="540">
        <v>1</v>
      </c>
      <c r="F312" s="541">
        <v>6.17</v>
      </c>
      <c r="G312" s="541">
        <v>0.88</v>
      </c>
      <c r="H312" s="541">
        <v>0</v>
      </c>
      <c r="I312" s="545">
        <f t="shared" ref="I312" si="33">ROUND(IF(AND(F312:H312),C312*E312*F312*G312*H312,IF(AND(F312,G312),C312*E312*F312*G312,IF(AND(F312,H312),C312*E312*F312*H312,IF(AND(G312,H312),C312*E312*G312*H312,IF(F312,C312*E312*F312,IF(G312,C312*E312*G312,IF(H312,C312*E312*H312,C312*E312))))))),2)</f>
        <v>5.43</v>
      </c>
      <c r="J312" s="553" t="s">
        <v>102</v>
      </c>
      <c r="K312" s="39"/>
      <c r="L312" s="16"/>
      <c r="M312" s="39"/>
      <c r="N312" s="536" t="s">
        <v>2306</v>
      </c>
    </row>
    <row r="313" spans="1:14" s="544" customFormat="1" ht="16.5" customHeight="1">
      <c r="A313" s="16"/>
      <c r="B313" s="547"/>
      <c r="C313" s="548"/>
      <c r="D313" s="549"/>
      <c r="E313" s="550"/>
      <c r="F313" s="551"/>
      <c r="G313" s="551"/>
      <c r="H313" s="551"/>
      <c r="I313" s="552"/>
      <c r="J313" s="553"/>
      <c r="K313" s="39"/>
      <c r="L313" s="208"/>
      <c r="M313" s="39"/>
      <c r="N313" s="536" t="s">
        <v>2306</v>
      </c>
    </row>
    <row r="314" spans="1:14" ht="15.75">
      <c r="A314" s="16"/>
      <c r="B314" s="39"/>
      <c r="C314" s="554"/>
      <c r="D314" s="555"/>
      <c r="E314" s="540"/>
      <c r="F314" s="541"/>
      <c r="G314" s="40"/>
      <c r="H314" s="16"/>
      <c r="I314" s="552"/>
      <c r="J314" s="553" t="s">
        <v>102</v>
      </c>
      <c r="K314" s="10">
        <f>data!F1485</f>
        <v>300.63</v>
      </c>
      <c r="L314" s="208" t="s">
        <v>2306</v>
      </c>
      <c r="M314" s="9">
        <f>ROUND(I314*K314,0)</f>
        <v>0</v>
      </c>
      <c r="N314" s="536" t="s">
        <v>2306</v>
      </c>
    </row>
    <row r="315" spans="1:14" ht="64.5" customHeight="1">
      <c r="A315" s="16">
        <v>7</v>
      </c>
      <c r="B315" s="1858" t="s">
        <v>151</v>
      </c>
      <c r="C315" s="1858"/>
      <c r="D315" s="1858"/>
      <c r="E315" s="1858"/>
      <c r="F315" s="1858"/>
      <c r="G315" s="1858"/>
      <c r="H315" s="1858"/>
      <c r="I315" s="537"/>
      <c r="J315" s="538"/>
      <c r="K315" s="16"/>
      <c r="L315" s="208"/>
      <c r="M315" s="38"/>
      <c r="N315" s="536" t="s">
        <v>2317</v>
      </c>
    </row>
    <row r="316" spans="1:14" s="544" customFormat="1" ht="16.5" customHeight="1">
      <c r="A316" s="16"/>
      <c r="B316" s="39" t="s">
        <v>2887</v>
      </c>
      <c r="C316" s="537"/>
      <c r="D316" s="539"/>
      <c r="E316" s="540"/>
      <c r="F316" s="541"/>
      <c r="G316" s="541"/>
      <c r="H316" s="541"/>
      <c r="I316" s="542"/>
      <c r="J316" s="553"/>
      <c r="K316" s="39"/>
      <c r="L316" s="16"/>
      <c r="M316" s="39"/>
      <c r="N316" s="536" t="s">
        <v>2317</v>
      </c>
    </row>
    <row r="317" spans="1:14" s="544" customFormat="1" ht="16.5" customHeight="1">
      <c r="A317" s="16"/>
      <c r="B317" s="39" t="s">
        <v>1628</v>
      </c>
      <c r="C317" s="537">
        <v>1</v>
      </c>
      <c r="D317" s="539" t="s">
        <v>273</v>
      </c>
      <c r="E317" s="540">
        <v>1</v>
      </c>
      <c r="F317" s="541">
        <v>10.45</v>
      </c>
      <c r="G317" s="541">
        <v>8.85</v>
      </c>
      <c r="H317" s="541">
        <v>0</v>
      </c>
      <c r="I317" s="545">
        <f>ROUND(IF(AND(F317:H317),C317*E317*F317*G317*H317,IF(AND(F317,G317),C317*E317*F317*G317,IF(AND(F317,H317),C317*E317*F317*H317,IF(AND(G317,H317),C317*E317*G317*H317,IF(F317,C317*E317*F317,IF(G317,C317*E317*G317,IF(H317,C317*E317*H317,C317*E317))))))),2)</f>
        <v>92.48</v>
      </c>
      <c r="J317" s="553" t="s">
        <v>102</v>
      </c>
      <c r="K317" s="39"/>
      <c r="L317" s="16"/>
      <c r="M317" s="39"/>
      <c r="N317" s="536" t="s">
        <v>2317</v>
      </c>
    </row>
    <row r="318" spans="1:14" s="544" customFormat="1" ht="16.5" customHeight="1">
      <c r="A318" s="16"/>
      <c r="B318" s="39"/>
      <c r="C318" s="537">
        <v>1</v>
      </c>
      <c r="D318" s="539" t="s">
        <v>273</v>
      </c>
      <c r="E318" s="540">
        <v>1</v>
      </c>
      <c r="F318" s="541">
        <v>5.5</v>
      </c>
      <c r="G318" s="541">
        <v>5.5</v>
      </c>
      <c r="H318" s="541">
        <v>0</v>
      </c>
      <c r="I318" s="545">
        <f>ROUND(IF(AND(F318:H318),C318*E318*F318*G318*H318,IF(AND(F318,G318),C318*E318*F318*G318,IF(AND(F318,H318),C318*E318*F318*H318,IF(AND(G318,H318),C318*E318*G318*H318,IF(F318,C318*E318*F318,IF(G318,C318*E318*G318,IF(H318,C318*E318*H318,C318*E318))))))),2)</f>
        <v>30.25</v>
      </c>
      <c r="J318" s="553" t="s">
        <v>102</v>
      </c>
      <c r="K318" s="39"/>
      <c r="L318" s="16"/>
      <c r="M318" s="39"/>
      <c r="N318" s="536" t="s">
        <v>2317</v>
      </c>
    </row>
    <row r="319" spans="1:14" s="544" customFormat="1" ht="16.5" customHeight="1">
      <c r="A319" s="16"/>
      <c r="B319" s="547"/>
      <c r="C319" s="548"/>
      <c r="D319" s="549"/>
      <c r="E319" s="550"/>
      <c r="F319" s="551"/>
      <c r="G319" s="551"/>
      <c r="H319" s="551"/>
      <c r="I319" s="552"/>
      <c r="J319" s="553"/>
      <c r="K319" s="39"/>
      <c r="L319" s="208"/>
      <c r="M319" s="39"/>
      <c r="N319" s="536" t="s">
        <v>2317</v>
      </c>
    </row>
    <row r="320" spans="1:14" ht="15.75">
      <c r="A320" s="16"/>
      <c r="B320" s="39"/>
      <c r="C320" s="554"/>
      <c r="D320" s="555"/>
      <c r="E320" s="540"/>
      <c r="F320" s="541"/>
      <c r="G320" s="40"/>
      <c r="H320" s="16"/>
      <c r="I320" s="552"/>
      <c r="J320" s="553" t="s">
        <v>102</v>
      </c>
      <c r="K320" s="10">
        <f>data!F2402</f>
        <v>319.08</v>
      </c>
      <c r="L320" s="208" t="s">
        <v>2317</v>
      </c>
      <c r="M320" s="9">
        <f>ROUND(I320*K320,0)</f>
        <v>0</v>
      </c>
      <c r="N320" s="536" t="s">
        <v>2317</v>
      </c>
    </row>
    <row r="321" spans="1:14" ht="64.5" customHeight="1">
      <c r="A321" s="16">
        <v>7</v>
      </c>
      <c r="B321" s="1858" t="s">
        <v>151</v>
      </c>
      <c r="C321" s="1858"/>
      <c r="D321" s="1858"/>
      <c r="E321" s="1858"/>
      <c r="F321" s="1858"/>
      <c r="G321" s="1858"/>
      <c r="H321" s="1858"/>
      <c r="I321" s="537"/>
      <c r="J321" s="538"/>
      <c r="K321" s="16"/>
      <c r="L321" s="208"/>
      <c r="M321" s="38"/>
      <c r="N321" s="536" t="s">
        <v>2318</v>
      </c>
    </row>
    <row r="322" spans="1:14" s="544" customFormat="1" ht="16.5" customHeight="1">
      <c r="A322" s="16"/>
      <c r="B322" s="39" t="s">
        <v>2887</v>
      </c>
      <c r="C322" s="537"/>
      <c r="D322" s="539"/>
      <c r="E322" s="540"/>
      <c r="F322" s="541"/>
      <c r="G322" s="541"/>
      <c r="H322" s="541"/>
      <c r="I322" s="542"/>
      <c r="J322" s="553"/>
      <c r="K322" s="39"/>
      <c r="L322" s="16"/>
      <c r="M322" s="39"/>
      <c r="N322" s="536" t="s">
        <v>2318</v>
      </c>
    </row>
    <row r="323" spans="1:14" s="544" customFormat="1" ht="16.5" customHeight="1">
      <c r="A323" s="16"/>
      <c r="B323" s="39" t="s">
        <v>1628</v>
      </c>
      <c r="C323" s="537">
        <v>1</v>
      </c>
      <c r="D323" s="539" t="s">
        <v>273</v>
      </c>
      <c r="E323" s="540">
        <v>1</v>
      </c>
      <c r="F323" s="541">
        <v>10.45</v>
      </c>
      <c r="G323" s="541">
        <v>8.85</v>
      </c>
      <c r="H323" s="541">
        <v>0</v>
      </c>
      <c r="I323" s="545">
        <f>ROUND(IF(AND(F323:H323),C323*E323*F323*G323*H323,IF(AND(F323,G323),C323*E323*F323*G323,IF(AND(F323,H323),C323*E323*F323*H323,IF(AND(G323,H323),C323*E323*G323*H323,IF(F323,C323*E323*F323,IF(G323,C323*E323*G323,IF(H323,C323*E323*H323,C323*E323))))))),2)</f>
        <v>92.48</v>
      </c>
      <c r="J323" s="553" t="s">
        <v>102</v>
      </c>
      <c r="K323" s="39"/>
      <c r="L323" s="16"/>
      <c r="M323" s="39"/>
      <c r="N323" s="536" t="s">
        <v>2318</v>
      </c>
    </row>
    <row r="324" spans="1:14" s="544" customFormat="1" ht="16.5" customHeight="1">
      <c r="A324" s="16"/>
      <c r="B324" s="39"/>
      <c r="C324" s="537">
        <v>1</v>
      </c>
      <c r="D324" s="539" t="s">
        <v>273</v>
      </c>
      <c r="E324" s="540">
        <v>1</v>
      </c>
      <c r="F324" s="541">
        <v>5.5</v>
      </c>
      <c r="G324" s="541">
        <v>5.5</v>
      </c>
      <c r="H324" s="541">
        <v>0</v>
      </c>
      <c r="I324" s="545">
        <f>ROUND(IF(AND(F324:H324),C324*E324*F324*G324*H324,IF(AND(F324,G324),C324*E324*F324*G324,IF(AND(F324,H324),C324*E324*F324*H324,IF(AND(G324,H324),C324*E324*G324*H324,IF(F324,C324*E324*F324,IF(G324,C324*E324*G324,IF(H324,C324*E324*H324,C324*E324))))))),2)</f>
        <v>30.25</v>
      </c>
      <c r="J324" s="553" t="s">
        <v>102</v>
      </c>
      <c r="K324" s="39"/>
      <c r="L324" s="16"/>
      <c r="M324" s="39"/>
      <c r="N324" s="536" t="s">
        <v>2318</v>
      </c>
    </row>
    <row r="325" spans="1:14" s="544" customFormat="1" ht="16.5" customHeight="1">
      <c r="A325" s="16"/>
      <c r="B325" s="547"/>
      <c r="C325" s="548"/>
      <c r="D325" s="549"/>
      <c r="E325" s="550"/>
      <c r="F325" s="551"/>
      <c r="G325" s="551"/>
      <c r="H325" s="551"/>
      <c r="I325" s="552"/>
      <c r="J325" s="553"/>
      <c r="K325" s="39"/>
      <c r="L325" s="208"/>
      <c r="M325" s="39"/>
      <c r="N325" s="536" t="s">
        <v>2318</v>
      </c>
    </row>
    <row r="326" spans="1:14" ht="15.75">
      <c r="A326" s="16"/>
      <c r="B326" s="39"/>
      <c r="C326" s="554"/>
      <c r="D326" s="555"/>
      <c r="E326" s="540"/>
      <c r="F326" s="541"/>
      <c r="G326" s="40"/>
      <c r="H326" s="16"/>
      <c r="I326" s="552"/>
      <c r="J326" s="553" t="s">
        <v>102</v>
      </c>
      <c r="K326" s="10">
        <f>data!F3319</f>
        <v>339.16</v>
      </c>
      <c r="L326" s="208" t="s">
        <v>2318</v>
      </c>
      <c r="M326" s="9">
        <f>ROUND(I326*K326,0)</f>
        <v>0</v>
      </c>
      <c r="N326" s="536" t="s">
        <v>2318</v>
      </c>
    </row>
    <row r="327" spans="1:14" ht="64.5" customHeight="1">
      <c r="A327" s="16">
        <v>13</v>
      </c>
      <c r="B327" s="1858" t="s">
        <v>1314</v>
      </c>
      <c r="C327" s="1858"/>
      <c r="D327" s="1858"/>
      <c r="E327" s="1858"/>
      <c r="F327" s="1858"/>
      <c r="G327" s="1858"/>
      <c r="H327" s="1858"/>
      <c r="I327" s="537"/>
      <c r="J327" s="538"/>
      <c r="K327" s="16"/>
      <c r="L327" s="208"/>
      <c r="M327" s="38"/>
      <c r="N327" s="536" t="s">
        <v>2218</v>
      </c>
    </row>
    <row r="328" spans="1:14" s="544" customFormat="1" ht="16.5" customHeight="1">
      <c r="A328" s="16"/>
      <c r="B328" s="39" t="s">
        <v>2888</v>
      </c>
      <c r="C328" s="537"/>
      <c r="D328" s="539"/>
      <c r="E328" s="540"/>
      <c r="F328" s="541"/>
      <c r="G328" s="541"/>
      <c r="H328" s="541"/>
      <c r="I328" s="542"/>
      <c r="J328" s="553"/>
      <c r="K328" s="39"/>
      <c r="L328" s="208"/>
      <c r="M328" s="39"/>
      <c r="N328" s="536" t="s">
        <v>2218</v>
      </c>
    </row>
    <row r="329" spans="1:14" s="544" customFormat="1" ht="16.5" customHeight="1">
      <c r="A329" s="16"/>
      <c r="B329" s="39"/>
      <c r="C329" s="537">
        <v>1</v>
      </c>
      <c r="D329" s="539" t="s">
        <v>273</v>
      </c>
      <c r="E329" s="540">
        <v>1</v>
      </c>
      <c r="F329" s="541">
        <v>10.45</v>
      </c>
      <c r="G329" s="541">
        <v>12</v>
      </c>
      <c r="H329" s="541">
        <v>0</v>
      </c>
      <c r="I329" s="545">
        <f>ROUND(IF(AND(F329:H329),C329*E329*F329*G329*H329,IF(AND(F329,G329),C329*E329*F329*G329,IF(AND(F329,H329),C329*E329*F329*H329,IF(AND(G329,H329),C329*E329*G329*H329,IF(F329,C329*E329*F329,IF(G329,C329*E329*G329,IF(H329,C329*E329*H329,C329*E329))))))),2)</f>
        <v>125.4</v>
      </c>
      <c r="J329" s="553" t="s">
        <v>102</v>
      </c>
      <c r="K329" s="39"/>
      <c r="L329" s="208"/>
      <c r="M329" s="39"/>
      <c r="N329" s="536" t="s">
        <v>2218</v>
      </c>
    </row>
    <row r="330" spans="1:14" s="544" customFormat="1" ht="16.5" customHeight="1">
      <c r="A330" s="16"/>
      <c r="B330" s="39"/>
      <c r="C330" s="537">
        <v>1</v>
      </c>
      <c r="D330" s="539" t="s">
        <v>273</v>
      </c>
      <c r="E330" s="540">
        <v>1</v>
      </c>
      <c r="F330" s="541">
        <v>3.52</v>
      </c>
      <c r="G330" s="541">
        <v>0.92</v>
      </c>
      <c r="H330" s="541">
        <v>0</v>
      </c>
      <c r="I330" s="545">
        <f>ROUND(IF(AND(F330:H330),C330*E330*F330*G330*H330,IF(AND(F330,G330),C330*E330*F330*G330,IF(AND(F330,H330),C330*E330*F330*H330,IF(AND(G330,H330),C330*E330*G330*H330,IF(F330,C330*E330*F330,IF(G330,C330*E330*G330,IF(H330,C330*E330*H330,C330*E330))))))),2)</f>
        <v>3.24</v>
      </c>
      <c r="J330" s="553" t="s">
        <v>102</v>
      </c>
      <c r="K330" s="39"/>
      <c r="L330" s="208"/>
      <c r="M330" s="39"/>
      <c r="N330" s="536" t="s">
        <v>2218</v>
      </c>
    </row>
    <row r="331" spans="1:14" s="544" customFormat="1" ht="16.5" customHeight="1">
      <c r="A331" s="16"/>
      <c r="B331" s="547"/>
      <c r="C331" s="548"/>
      <c r="D331" s="549"/>
      <c r="E331" s="550"/>
      <c r="F331" s="551"/>
      <c r="G331" s="551"/>
      <c r="H331" s="551"/>
      <c r="I331" s="552"/>
      <c r="J331" s="553"/>
      <c r="K331" s="39"/>
      <c r="L331" s="208"/>
      <c r="M331" s="39"/>
      <c r="N331" s="536" t="s">
        <v>2218</v>
      </c>
    </row>
    <row r="332" spans="1:14" ht="15.75">
      <c r="A332" s="16"/>
      <c r="B332" s="39"/>
      <c r="C332" s="554"/>
      <c r="D332" s="555"/>
      <c r="E332" s="540"/>
      <c r="F332" s="541"/>
      <c r="G332" s="40"/>
      <c r="H332" s="16"/>
      <c r="I332" s="552"/>
      <c r="J332" s="553" t="s">
        <v>102</v>
      </c>
      <c r="K332" s="10">
        <f>data!F583</f>
        <v>356.32</v>
      </c>
      <c r="L332" s="208" t="s">
        <v>2218</v>
      </c>
      <c r="M332" s="9">
        <f>ROUND(I332*K332,0)</f>
        <v>0</v>
      </c>
      <c r="N332" s="536" t="s">
        <v>2218</v>
      </c>
    </row>
    <row r="333" spans="1:14" ht="64.5" customHeight="1">
      <c r="A333" s="16">
        <v>13</v>
      </c>
      <c r="B333" s="1858" t="s">
        <v>1314</v>
      </c>
      <c r="C333" s="1858"/>
      <c r="D333" s="1858"/>
      <c r="E333" s="1858"/>
      <c r="F333" s="1858"/>
      <c r="G333" s="1858"/>
      <c r="H333" s="1858"/>
      <c r="I333" s="537"/>
      <c r="J333" s="538"/>
      <c r="K333" s="16"/>
      <c r="L333" s="208"/>
      <c r="M333" s="38"/>
      <c r="N333" s="536" t="s">
        <v>2306</v>
      </c>
    </row>
    <row r="334" spans="1:14" s="544" customFormat="1" ht="16.5" customHeight="1">
      <c r="A334" s="16"/>
      <c r="B334" s="39" t="s">
        <v>2888</v>
      </c>
      <c r="C334" s="537"/>
      <c r="D334" s="539"/>
      <c r="E334" s="540"/>
      <c r="F334" s="541"/>
      <c r="G334" s="541"/>
      <c r="H334" s="541"/>
      <c r="I334" s="542"/>
      <c r="J334" s="553"/>
      <c r="K334" s="39"/>
      <c r="L334" s="208"/>
      <c r="M334" s="39"/>
      <c r="N334" s="536" t="s">
        <v>2306</v>
      </c>
    </row>
    <row r="335" spans="1:14" s="544" customFormat="1" ht="16.5" customHeight="1">
      <c r="A335" s="16"/>
      <c r="B335" s="39"/>
      <c r="C335" s="537">
        <v>1</v>
      </c>
      <c r="D335" s="539" t="s">
        <v>273</v>
      </c>
      <c r="E335" s="540">
        <v>1</v>
      </c>
      <c r="F335" s="541">
        <v>10.45</v>
      </c>
      <c r="G335" s="541">
        <v>12</v>
      </c>
      <c r="H335" s="541">
        <v>0</v>
      </c>
      <c r="I335" s="545">
        <f>ROUND(IF(AND(F335:H335),C335*E335*F335*G335*H335,IF(AND(F335,G335),C335*E335*F335*G335,IF(AND(F335,H335),C335*E335*F335*H335,IF(AND(G335,H335),C335*E335*G335*H335,IF(F335,C335*E335*F335,IF(G335,C335*E335*G335,IF(H335,C335*E335*H335,C335*E335))))))),2)</f>
        <v>125.4</v>
      </c>
      <c r="J335" s="553" t="s">
        <v>102</v>
      </c>
      <c r="K335" s="39"/>
      <c r="L335" s="208"/>
      <c r="M335" s="39"/>
      <c r="N335" s="536" t="s">
        <v>2306</v>
      </c>
    </row>
    <row r="336" spans="1:14" s="544" customFormat="1" ht="16.5" customHeight="1">
      <c r="A336" s="16"/>
      <c r="B336" s="39"/>
      <c r="C336" s="537">
        <v>1</v>
      </c>
      <c r="D336" s="539" t="s">
        <v>273</v>
      </c>
      <c r="E336" s="540">
        <v>1</v>
      </c>
      <c r="F336" s="541">
        <v>3.52</v>
      </c>
      <c r="G336" s="541">
        <v>0.92</v>
      </c>
      <c r="H336" s="541">
        <v>0</v>
      </c>
      <c r="I336" s="545">
        <f>ROUND(IF(AND(F336:H336),C336*E336*F336*G336*H336,IF(AND(F336,G336),C336*E336*F336*G336,IF(AND(F336,H336),C336*E336*F336*H336,IF(AND(G336,H336),C336*E336*G336*H336,IF(F336,C336*E336*F336,IF(G336,C336*E336*G336,IF(H336,C336*E336*H336,C336*E336))))))),2)</f>
        <v>3.24</v>
      </c>
      <c r="J336" s="553" t="s">
        <v>102</v>
      </c>
      <c r="K336" s="39"/>
      <c r="L336" s="208"/>
      <c r="M336" s="39"/>
      <c r="N336" s="536" t="s">
        <v>2306</v>
      </c>
    </row>
    <row r="337" spans="1:14" s="544" customFormat="1" ht="16.5" customHeight="1">
      <c r="A337" s="16"/>
      <c r="B337" s="547"/>
      <c r="C337" s="548"/>
      <c r="D337" s="549"/>
      <c r="E337" s="550"/>
      <c r="F337" s="551"/>
      <c r="G337" s="551"/>
      <c r="H337" s="551"/>
      <c r="I337" s="552"/>
      <c r="J337" s="553"/>
      <c r="K337" s="39"/>
      <c r="L337" s="208"/>
      <c r="M337" s="39"/>
      <c r="N337" s="536" t="s">
        <v>2306</v>
      </c>
    </row>
    <row r="338" spans="1:14" ht="15.75">
      <c r="A338" s="16"/>
      <c r="B338" s="39"/>
      <c r="C338" s="554"/>
      <c r="D338" s="555"/>
      <c r="E338" s="540"/>
      <c r="F338" s="541"/>
      <c r="G338" s="40"/>
      <c r="H338" s="16"/>
      <c r="I338" s="552"/>
      <c r="J338" s="553" t="s">
        <v>102</v>
      </c>
      <c r="K338" s="10">
        <f>data!F1500</f>
        <v>385.97</v>
      </c>
      <c r="L338" s="208" t="s">
        <v>2306</v>
      </c>
      <c r="M338" s="9">
        <f>ROUND(I338*K338,0)</f>
        <v>0</v>
      </c>
      <c r="N338" s="536" t="s">
        <v>2306</v>
      </c>
    </row>
    <row r="339" spans="1:14" ht="64.5" customHeight="1">
      <c r="A339" s="16">
        <v>13</v>
      </c>
      <c r="B339" s="1858" t="s">
        <v>1314</v>
      </c>
      <c r="C339" s="1858"/>
      <c r="D339" s="1858"/>
      <c r="E339" s="1858"/>
      <c r="F339" s="1858"/>
      <c r="G339" s="1858"/>
      <c r="H339" s="1858"/>
      <c r="I339" s="537"/>
      <c r="J339" s="538"/>
      <c r="K339" s="16"/>
      <c r="L339" s="208"/>
      <c r="M339" s="38"/>
      <c r="N339" s="536" t="s">
        <v>2317</v>
      </c>
    </row>
    <row r="340" spans="1:14" s="544" customFormat="1" ht="16.5" customHeight="1">
      <c r="A340" s="16"/>
      <c r="B340" s="39" t="s">
        <v>2888</v>
      </c>
      <c r="C340" s="537"/>
      <c r="D340" s="539"/>
      <c r="E340" s="540"/>
      <c r="F340" s="541"/>
      <c r="G340" s="541"/>
      <c r="H340" s="541"/>
      <c r="I340" s="542"/>
      <c r="J340" s="553"/>
      <c r="K340" s="39"/>
      <c r="L340" s="208"/>
      <c r="M340" s="39"/>
      <c r="N340" s="536" t="s">
        <v>2317</v>
      </c>
    </row>
    <row r="341" spans="1:14" s="544" customFormat="1" ht="16.5" customHeight="1">
      <c r="A341" s="16"/>
      <c r="B341" s="39"/>
      <c r="C341" s="537">
        <v>1</v>
      </c>
      <c r="D341" s="539" t="s">
        <v>273</v>
      </c>
      <c r="E341" s="540">
        <v>1</v>
      </c>
      <c r="F341" s="541">
        <v>10.45</v>
      </c>
      <c r="G341" s="541">
        <v>12</v>
      </c>
      <c r="H341" s="541">
        <v>0</v>
      </c>
      <c r="I341" s="545">
        <f>ROUND(IF(AND(F341:H341),C341*E341*F341*G341*H341,IF(AND(F341,G341),C341*E341*F341*G341,IF(AND(F341,H341),C341*E341*F341*H341,IF(AND(G341,H341),C341*E341*G341*H341,IF(F341,C341*E341*F341,IF(G341,C341*E341*G341,IF(H341,C341*E341*H341,C341*E341))))))),2)</f>
        <v>125.4</v>
      </c>
      <c r="J341" s="553" t="s">
        <v>102</v>
      </c>
      <c r="K341" s="39"/>
      <c r="L341" s="208"/>
      <c r="M341" s="39"/>
      <c r="N341" s="536" t="s">
        <v>2317</v>
      </c>
    </row>
    <row r="342" spans="1:14" s="544" customFormat="1" ht="16.5" customHeight="1">
      <c r="A342" s="16"/>
      <c r="B342" s="39"/>
      <c r="C342" s="537">
        <v>1</v>
      </c>
      <c r="D342" s="539" t="s">
        <v>273</v>
      </c>
      <c r="E342" s="540">
        <v>1</v>
      </c>
      <c r="F342" s="541">
        <v>3.52</v>
      </c>
      <c r="G342" s="541">
        <v>0.92</v>
      </c>
      <c r="H342" s="541">
        <v>0</v>
      </c>
      <c r="I342" s="545">
        <f>ROUND(IF(AND(F342:H342),C342*E342*F342*G342*H342,IF(AND(F342,G342),C342*E342*F342*G342,IF(AND(F342,H342),C342*E342*F342*H342,IF(AND(G342,H342),C342*E342*G342*H342,IF(F342,C342*E342*F342,IF(G342,C342*E342*G342,IF(H342,C342*E342*H342,C342*E342))))))),2)</f>
        <v>3.24</v>
      </c>
      <c r="J342" s="553" t="s">
        <v>102</v>
      </c>
      <c r="K342" s="39"/>
      <c r="L342" s="208"/>
      <c r="M342" s="39"/>
      <c r="N342" s="536" t="s">
        <v>2317</v>
      </c>
    </row>
    <row r="343" spans="1:14" s="544" customFormat="1" ht="16.5" customHeight="1">
      <c r="A343" s="16"/>
      <c r="B343" s="547"/>
      <c r="C343" s="548"/>
      <c r="D343" s="549"/>
      <c r="E343" s="550"/>
      <c r="F343" s="551"/>
      <c r="G343" s="551"/>
      <c r="H343" s="551"/>
      <c r="I343" s="552"/>
      <c r="J343" s="553"/>
      <c r="K343" s="39"/>
      <c r="L343" s="208"/>
      <c r="M343" s="39"/>
      <c r="N343" s="536" t="s">
        <v>2317</v>
      </c>
    </row>
    <row r="344" spans="1:14" ht="15.75">
      <c r="A344" s="16"/>
      <c r="B344" s="39"/>
      <c r="C344" s="554"/>
      <c r="D344" s="555"/>
      <c r="E344" s="540"/>
      <c r="F344" s="541"/>
      <c r="G344" s="40"/>
      <c r="H344" s="16"/>
      <c r="I344" s="552"/>
      <c r="J344" s="553" t="s">
        <v>102</v>
      </c>
      <c r="K344" s="10">
        <f>data!F2417</f>
        <v>410.82</v>
      </c>
      <c r="L344" s="208" t="s">
        <v>2317</v>
      </c>
      <c r="M344" s="9">
        <f>ROUND(I344*K344,0)</f>
        <v>0</v>
      </c>
      <c r="N344" s="536" t="s">
        <v>2317</v>
      </c>
    </row>
    <row r="345" spans="1:14" ht="64.5" customHeight="1">
      <c r="A345" s="16">
        <v>13</v>
      </c>
      <c r="B345" s="1858" t="s">
        <v>1314</v>
      </c>
      <c r="C345" s="1858"/>
      <c r="D345" s="1858"/>
      <c r="E345" s="1858"/>
      <c r="F345" s="1858"/>
      <c r="G345" s="1858"/>
      <c r="H345" s="1858"/>
      <c r="I345" s="537"/>
      <c r="J345" s="538"/>
      <c r="K345" s="16"/>
      <c r="L345" s="208"/>
      <c r="M345" s="38"/>
      <c r="N345" s="536" t="s">
        <v>2318</v>
      </c>
    </row>
    <row r="346" spans="1:14" s="544" customFormat="1" ht="16.5" customHeight="1">
      <c r="A346" s="16"/>
      <c r="B346" s="39" t="s">
        <v>2888</v>
      </c>
      <c r="C346" s="537"/>
      <c r="D346" s="539"/>
      <c r="E346" s="540"/>
      <c r="F346" s="541"/>
      <c r="G346" s="541"/>
      <c r="H346" s="541"/>
      <c r="I346" s="542"/>
      <c r="J346" s="553"/>
      <c r="K346" s="39"/>
      <c r="L346" s="208"/>
      <c r="M346" s="39"/>
      <c r="N346" s="536" t="s">
        <v>2318</v>
      </c>
    </row>
    <row r="347" spans="1:14" s="544" customFormat="1" ht="16.5" customHeight="1">
      <c r="A347" s="16"/>
      <c r="B347" s="39"/>
      <c r="C347" s="537">
        <v>1</v>
      </c>
      <c r="D347" s="539" t="s">
        <v>273</v>
      </c>
      <c r="E347" s="540">
        <v>1</v>
      </c>
      <c r="F347" s="541">
        <v>10.45</v>
      </c>
      <c r="G347" s="541">
        <v>12</v>
      </c>
      <c r="H347" s="541">
        <v>0</v>
      </c>
      <c r="I347" s="545">
        <f>ROUND(IF(AND(F347:H347),C347*E347*F347*G347*H347,IF(AND(F347,G347),C347*E347*F347*G347,IF(AND(F347,H347),C347*E347*F347*H347,IF(AND(G347,H347),C347*E347*G347*H347,IF(F347,C347*E347*F347,IF(G347,C347*E347*G347,IF(H347,C347*E347*H347,C347*E347))))))),2)</f>
        <v>125.4</v>
      </c>
      <c r="J347" s="553" t="s">
        <v>102</v>
      </c>
      <c r="K347" s="39"/>
      <c r="L347" s="208"/>
      <c r="M347" s="39"/>
      <c r="N347" s="536" t="s">
        <v>2318</v>
      </c>
    </row>
    <row r="348" spans="1:14" s="544" customFormat="1" ht="16.5" customHeight="1">
      <c r="A348" s="16"/>
      <c r="B348" s="39"/>
      <c r="C348" s="537">
        <v>1</v>
      </c>
      <c r="D348" s="539" t="s">
        <v>273</v>
      </c>
      <c r="E348" s="540">
        <v>1</v>
      </c>
      <c r="F348" s="541">
        <v>3.52</v>
      </c>
      <c r="G348" s="541">
        <v>0.92</v>
      </c>
      <c r="H348" s="541">
        <v>0</v>
      </c>
      <c r="I348" s="545">
        <f>ROUND(IF(AND(F348:H348),C348*E348*F348*G348*H348,IF(AND(F348,G348),C348*E348*F348*G348,IF(AND(F348,H348),C348*E348*F348*H348,IF(AND(G348,H348),C348*E348*G348*H348,IF(F348,C348*E348*F348,IF(G348,C348*E348*G348,IF(H348,C348*E348*H348,C348*E348))))))),2)</f>
        <v>3.24</v>
      </c>
      <c r="J348" s="553" t="s">
        <v>102</v>
      </c>
      <c r="K348" s="39"/>
      <c r="L348" s="208"/>
      <c r="M348" s="39"/>
      <c r="N348" s="536" t="s">
        <v>2318</v>
      </c>
    </row>
    <row r="349" spans="1:14" s="544" customFormat="1" ht="16.5" customHeight="1">
      <c r="A349" s="16"/>
      <c r="B349" s="547"/>
      <c r="C349" s="548"/>
      <c r="D349" s="549"/>
      <c r="E349" s="550"/>
      <c r="F349" s="551"/>
      <c r="G349" s="551"/>
      <c r="H349" s="551"/>
      <c r="I349" s="552"/>
      <c r="J349" s="553"/>
      <c r="K349" s="39"/>
      <c r="L349" s="208"/>
      <c r="M349" s="39"/>
      <c r="N349" s="536" t="s">
        <v>2318</v>
      </c>
    </row>
    <row r="350" spans="1:14" ht="15.75">
      <c r="A350" s="16"/>
      <c r="B350" s="39"/>
      <c r="C350" s="554"/>
      <c r="D350" s="555"/>
      <c r="E350" s="540"/>
      <c r="F350" s="541"/>
      <c r="G350" s="40"/>
      <c r="H350" s="16"/>
      <c r="I350" s="552"/>
      <c r="J350" s="553" t="s">
        <v>102</v>
      </c>
      <c r="K350" s="10">
        <f>data!F3334</f>
        <v>438.06</v>
      </c>
      <c r="L350" s="208" t="s">
        <v>2318</v>
      </c>
      <c r="M350" s="9">
        <f>ROUND(I350*K350,0)</f>
        <v>0</v>
      </c>
      <c r="N350" s="536" t="s">
        <v>2318</v>
      </c>
    </row>
    <row r="351" spans="1:14" ht="69.75" customHeight="1">
      <c r="A351" s="16">
        <v>15</v>
      </c>
      <c r="B351" s="1858" t="s">
        <v>306</v>
      </c>
      <c r="C351" s="1858"/>
      <c r="D351" s="1858"/>
      <c r="E351" s="1858"/>
      <c r="F351" s="1858"/>
      <c r="G351" s="1858"/>
      <c r="H351" s="1858"/>
      <c r="I351" s="537"/>
      <c r="J351" s="538"/>
      <c r="K351" s="16"/>
      <c r="L351" s="208"/>
      <c r="M351" s="38"/>
      <c r="N351" s="536" t="s">
        <v>2218</v>
      </c>
    </row>
    <row r="352" spans="1:14" s="544" customFormat="1" ht="16.5" customHeight="1">
      <c r="A352" s="16"/>
      <c r="B352" s="39" t="s">
        <v>2889</v>
      </c>
      <c r="C352" s="537"/>
      <c r="D352" s="539"/>
      <c r="E352" s="540"/>
      <c r="F352" s="541"/>
      <c r="G352" s="541"/>
      <c r="H352" s="541"/>
      <c r="I352" s="542"/>
      <c r="J352" s="553"/>
      <c r="K352" s="39"/>
      <c r="L352" s="16"/>
      <c r="M352" s="39"/>
      <c r="N352" s="536" t="s">
        <v>2218</v>
      </c>
    </row>
    <row r="353" spans="1:14" s="544" customFormat="1" ht="16.5" customHeight="1">
      <c r="A353" s="16"/>
      <c r="B353" s="39" t="s">
        <v>1246</v>
      </c>
      <c r="C353" s="537">
        <v>1</v>
      </c>
      <c r="D353" s="539" t="s">
        <v>273</v>
      </c>
      <c r="E353" s="540">
        <v>1</v>
      </c>
      <c r="F353" s="541">
        <v>2.89</v>
      </c>
      <c r="G353" s="541">
        <v>0.23</v>
      </c>
      <c r="H353" s="541">
        <v>1.38</v>
      </c>
      <c r="I353" s="545">
        <f>ROUND(IF(AND(F353:H353),C353*E353*F353*G353*H353,IF(AND(F353,G353),C353*E353*F353*G353,IF(AND(F353,H353),C353*E353*F353*H353,IF(AND(G353,H353),C353*E353*G353*H353,IF(F353,C353*E353*F353,IF(G353,C353*E353*G353,IF(H353,C353*E353*H353,C353*E353))))))),2)</f>
        <v>0.92</v>
      </c>
      <c r="J353" s="553" t="s">
        <v>5</v>
      </c>
      <c r="K353" s="39"/>
      <c r="L353" s="16"/>
      <c r="M353" s="39"/>
      <c r="N353" s="536" t="s">
        <v>2218</v>
      </c>
    </row>
    <row r="354" spans="1:14" s="544" customFormat="1" ht="16.5" customHeight="1">
      <c r="A354" s="16"/>
      <c r="B354" s="39" t="s">
        <v>814</v>
      </c>
      <c r="C354" s="537">
        <v>1</v>
      </c>
      <c r="D354" s="539" t="s">
        <v>273</v>
      </c>
      <c r="E354" s="540">
        <v>1</v>
      </c>
      <c r="F354" s="541">
        <v>12.47</v>
      </c>
      <c r="G354" s="541">
        <v>0.23</v>
      </c>
      <c r="H354" s="541">
        <v>1.38</v>
      </c>
      <c r="I354" s="545">
        <f>ROUND(IF(AND(F354:H354),C354*E354*F354*G354*H354,IF(AND(F354,G354),C354*E354*F354*G354,IF(AND(F354,H354),C354*E354*F354*H354,IF(AND(G354,H354),C354*E354*G354*H354,IF(F354,C354*E354*F354,IF(G354,C354*E354*G354,IF(H354,C354*E354*H354,C354*E354))))))),2)</f>
        <v>3.96</v>
      </c>
      <c r="J354" s="553" t="s">
        <v>5</v>
      </c>
      <c r="K354" s="39"/>
      <c r="L354" s="16"/>
      <c r="M354" s="39"/>
      <c r="N354" s="536" t="s">
        <v>2218</v>
      </c>
    </row>
    <row r="355" spans="1:14" s="544" customFormat="1" ht="16.5" customHeight="1">
      <c r="A355" s="16"/>
      <c r="B355" s="547"/>
      <c r="C355" s="548"/>
      <c r="D355" s="549"/>
      <c r="E355" s="550"/>
      <c r="F355" s="551"/>
      <c r="G355" s="551"/>
      <c r="H355" s="551"/>
      <c r="I355" s="552"/>
      <c r="J355" s="553"/>
      <c r="K355" s="39"/>
      <c r="L355" s="208"/>
      <c r="M355" s="39"/>
      <c r="N355" s="536" t="s">
        <v>2218</v>
      </c>
    </row>
    <row r="356" spans="1:14" ht="15.75">
      <c r="A356" s="16"/>
      <c r="B356" s="39"/>
      <c r="C356" s="554"/>
      <c r="D356" s="555"/>
      <c r="E356" s="540"/>
      <c r="F356" s="541"/>
      <c r="G356" s="40"/>
      <c r="H356" s="16"/>
      <c r="I356" s="552"/>
      <c r="J356" s="553" t="s">
        <v>5</v>
      </c>
      <c r="K356" s="10">
        <f>data!F393</f>
        <v>5904.8700000000008</v>
      </c>
      <c r="L356" s="208" t="s">
        <v>2218</v>
      </c>
      <c r="M356" s="9">
        <f>ROUND(I356*K356,0)</f>
        <v>0</v>
      </c>
      <c r="N356" s="536" t="s">
        <v>2218</v>
      </c>
    </row>
    <row r="357" spans="1:14" ht="69.75" customHeight="1">
      <c r="A357" s="16">
        <v>15</v>
      </c>
      <c r="B357" s="1858" t="s">
        <v>306</v>
      </c>
      <c r="C357" s="1858"/>
      <c r="D357" s="1858"/>
      <c r="E357" s="1858"/>
      <c r="F357" s="1858"/>
      <c r="G357" s="1858"/>
      <c r="H357" s="1858"/>
      <c r="I357" s="537"/>
      <c r="J357" s="538"/>
      <c r="K357" s="16"/>
      <c r="L357" s="208"/>
      <c r="M357" s="38"/>
      <c r="N357" s="536" t="s">
        <v>2306</v>
      </c>
    </row>
    <row r="358" spans="1:14" s="544" customFormat="1" ht="16.5" customHeight="1">
      <c r="A358" s="16"/>
      <c r="B358" s="39" t="s">
        <v>2889</v>
      </c>
      <c r="C358" s="537"/>
      <c r="D358" s="539"/>
      <c r="E358" s="540"/>
      <c r="F358" s="541"/>
      <c r="G358" s="541"/>
      <c r="H358" s="541"/>
      <c r="I358" s="542"/>
      <c r="J358" s="553"/>
      <c r="K358" s="39"/>
      <c r="L358" s="16"/>
      <c r="M358" s="39"/>
      <c r="N358" s="536" t="s">
        <v>2306</v>
      </c>
    </row>
    <row r="359" spans="1:14" s="544" customFormat="1" ht="16.5" customHeight="1">
      <c r="A359" s="16"/>
      <c r="B359" s="39" t="s">
        <v>1246</v>
      </c>
      <c r="C359" s="537">
        <v>1</v>
      </c>
      <c r="D359" s="539" t="s">
        <v>273</v>
      </c>
      <c r="E359" s="540">
        <v>1</v>
      </c>
      <c r="F359" s="541">
        <v>2.89</v>
      </c>
      <c r="G359" s="541">
        <v>0.23</v>
      </c>
      <c r="H359" s="541">
        <v>1.38</v>
      </c>
      <c r="I359" s="545">
        <f>ROUND(IF(AND(F359:H359),C359*E359*F359*G359*H359,IF(AND(F359,G359),C359*E359*F359*G359,IF(AND(F359,H359),C359*E359*F359*H359,IF(AND(G359,H359),C359*E359*G359*H359,IF(F359,C359*E359*F359,IF(G359,C359*E359*G359,IF(H359,C359*E359*H359,C359*E359))))))),2)</f>
        <v>0.92</v>
      </c>
      <c r="J359" s="553" t="s">
        <v>5</v>
      </c>
      <c r="K359" s="39"/>
      <c r="L359" s="16"/>
      <c r="M359" s="39"/>
      <c r="N359" s="536" t="s">
        <v>2306</v>
      </c>
    </row>
    <row r="360" spans="1:14" s="544" customFormat="1" ht="16.5" customHeight="1">
      <c r="A360" s="16"/>
      <c r="B360" s="39" t="s">
        <v>814</v>
      </c>
      <c r="C360" s="537">
        <v>1</v>
      </c>
      <c r="D360" s="539" t="s">
        <v>273</v>
      </c>
      <c r="E360" s="540">
        <v>1</v>
      </c>
      <c r="F360" s="541">
        <v>12.47</v>
      </c>
      <c r="G360" s="541">
        <v>0.23</v>
      </c>
      <c r="H360" s="541">
        <v>1.38</v>
      </c>
      <c r="I360" s="545">
        <f>ROUND(IF(AND(F360:H360),C360*E360*F360*G360*H360,IF(AND(F360,G360),C360*E360*F360*G360,IF(AND(F360,H360),C360*E360*F360*H360,IF(AND(G360,H360),C360*E360*G360*H360,IF(F360,C360*E360*F360,IF(G360,C360*E360*G360,IF(H360,C360*E360*H360,C360*E360))))))),2)</f>
        <v>3.96</v>
      </c>
      <c r="J360" s="553" t="s">
        <v>5</v>
      </c>
      <c r="K360" s="39"/>
      <c r="L360" s="16"/>
      <c r="M360" s="39"/>
      <c r="N360" s="536" t="s">
        <v>2306</v>
      </c>
    </row>
    <row r="361" spans="1:14" s="544" customFormat="1" ht="16.5" customHeight="1">
      <c r="A361" s="16"/>
      <c r="B361" s="547"/>
      <c r="C361" s="548"/>
      <c r="D361" s="549"/>
      <c r="E361" s="550"/>
      <c r="F361" s="551"/>
      <c r="G361" s="551"/>
      <c r="H361" s="551"/>
      <c r="I361" s="552"/>
      <c r="J361" s="553"/>
      <c r="K361" s="39"/>
      <c r="L361" s="208"/>
      <c r="M361" s="39"/>
      <c r="N361" s="536" t="s">
        <v>2306</v>
      </c>
    </row>
    <row r="362" spans="1:14" ht="15.75">
      <c r="A362" s="16"/>
      <c r="B362" s="39"/>
      <c r="C362" s="554"/>
      <c r="D362" s="555"/>
      <c r="E362" s="540"/>
      <c r="F362" s="541"/>
      <c r="G362" s="40"/>
      <c r="H362" s="16"/>
      <c r="I362" s="552"/>
      <c r="J362" s="553" t="s">
        <v>5</v>
      </c>
      <c r="K362" s="10">
        <f>data!F1310</f>
        <v>6078.69</v>
      </c>
      <c r="L362" s="208" t="s">
        <v>2306</v>
      </c>
      <c r="M362" s="9">
        <f>ROUND(I362*K362,0)</f>
        <v>0</v>
      </c>
      <c r="N362" s="536" t="s">
        <v>2306</v>
      </c>
    </row>
    <row r="363" spans="1:14" ht="69.75" customHeight="1">
      <c r="A363" s="16">
        <v>15</v>
      </c>
      <c r="B363" s="1858" t="s">
        <v>306</v>
      </c>
      <c r="C363" s="1858"/>
      <c r="D363" s="1858"/>
      <c r="E363" s="1858"/>
      <c r="F363" s="1858"/>
      <c r="G363" s="1858"/>
      <c r="H363" s="1858"/>
      <c r="I363" s="537"/>
      <c r="J363" s="538"/>
      <c r="K363" s="16"/>
      <c r="L363" s="208"/>
      <c r="M363" s="38"/>
      <c r="N363" s="536" t="s">
        <v>2317</v>
      </c>
    </row>
    <row r="364" spans="1:14" s="544" customFormat="1" ht="16.5" customHeight="1">
      <c r="A364" s="16"/>
      <c r="B364" s="39" t="s">
        <v>2889</v>
      </c>
      <c r="C364" s="537"/>
      <c r="D364" s="539"/>
      <c r="E364" s="540"/>
      <c r="F364" s="541"/>
      <c r="G364" s="541"/>
      <c r="H364" s="541"/>
      <c r="I364" s="542"/>
      <c r="J364" s="553"/>
      <c r="K364" s="39"/>
      <c r="L364" s="16"/>
      <c r="M364" s="39"/>
      <c r="N364" s="536" t="s">
        <v>2317</v>
      </c>
    </row>
    <row r="365" spans="1:14" s="544" customFormat="1" ht="16.5" customHeight="1">
      <c r="A365" s="16"/>
      <c r="B365" s="39" t="s">
        <v>1246</v>
      </c>
      <c r="C365" s="537">
        <v>1</v>
      </c>
      <c r="D365" s="539" t="s">
        <v>273</v>
      </c>
      <c r="E365" s="540">
        <v>1</v>
      </c>
      <c r="F365" s="541">
        <v>2.89</v>
      </c>
      <c r="G365" s="541">
        <v>0.23</v>
      </c>
      <c r="H365" s="541">
        <v>1.38</v>
      </c>
      <c r="I365" s="545">
        <f>ROUND(IF(AND(F365:H365),C365*E365*F365*G365*H365,IF(AND(F365,G365),C365*E365*F365*G365,IF(AND(F365,H365),C365*E365*F365*H365,IF(AND(G365,H365),C365*E365*G365*H365,IF(F365,C365*E365*F365,IF(G365,C365*E365*G365,IF(H365,C365*E365*H365,C365*E365))))))),2)</f>
        <v>0.92</v>
      </c>
      <c r="J365" s="553" t="s">
        <v>5</v>
      </c>
      <c r="K365" s="39"/>
      <c r="L365" s="16"/>
      <c r="M365" s="39"/>
      <c r="N365" s="536" t="s">
        <v>2317</v>
      </c>
    </row>
    <row r="366" spans="1:14" s="544" customFormat="1" ht="16.5" customHeight="1">
      <c r="A366" s="16"/>
      <c r="B366" s="39" t="s">
        <v>814</v>
      </c>
      <c r="C366" s="537">
        <v>1</v>
      </c>
      <c r="D366" s="539" t="s">
        <v>273</v>
      </c>
      <c r="E366" s="540">
        <v>1</v>
      </c>
      <c r="F366" s="541">
        <v>12.47</v>
      </c>
      <c r="G366" s="541">
        <v>0.23</v>
      </c>
      <c r="H366" s="541">
        <v>1.38</v>
      </c>
      <c r="I366" s="545">
        <f>ROUND(IF(AND(F366:H366),C366*E366*F366*G366*H366,IF(AND(F366,G366),C366*E366*F366*G366,IF(AND(F366,H366),C366*E366*F366*H366,IF(AND(G366,H366),C366*E366*G366*H366,IF(F366,C366*E366*F366,IF(G366,C366*E366*G366,IF(H366,C366*E366*H366,C366*E366))))))),2)</f>
        <v>3.96</v>
      </c>
      <c r="J366" s="553" t="s">
        <v>5</v>
      </c>
      <c r="K366" s="39"/>
      <c r="L366" s="16"/>
      <c r="M366" s="39"/>
      <c r="N366" s="536" t="s">
        <v>2317</v>
      </c>
    </row>
    <row r="367" spans="1:14" s="544" customFormat="1" ht="16.5" customHeight="1">
      <c r="A367" s="16"/>
      <c r="B367" s="547"/>
      <c r="C367" s="548"/>
      <c r="D367" s="549"/>
      <c r="E367" s="550"/>
      <c r="F367" s="551"/>
      <c r="G367" s="551"/>
      <c r="H367" s="551"/>
      <c r="I367" s="552"/>
      <c r="J367" s="553"/>
      <c r="K367" s="39"/>
      <c r="L367" s="208"/>
      <c r="M367" s="39"/>
      <c r="N367" s="536" t="s">
        <v>2317</v>
      </c>
    </row>
    <row r="368" spans="1:14" ht="15.75">
      <c r="A368" s="16"/>
      <c r="B368" s="39"/>
      <c r="C368" s="554"/>
      <c r="D368" s="555"/>
      <c r="E368" s="540"/>
      <c r="F368" s="541"/>
      <c r="G368" s="40"/>
      <c r="H368" s="16"/>
      <c r="I368" s="552"/>
      <c r="J368" s="553" t="s">
        <v>5</v>
      </c>
      <c r="K368" s="10">
        <f>data!F2227</f>
        <v>6501.9000000000005</v>
      </c>
      <c r="L368" s="208" t="s">
        <v>2317</v>
      </c>
      <c r="M368" s="9">
        <f>ROUND(I368*K368,0)</f>
        <v>0</v>
      </c>
      <c r="N368" s="536" t="s">
        <v>2317</v>
      </c>
    </row>
    <row r="369" spans="1:14" ht="69.75" customHeight="1">
      <c r="A369" s="16">
        <v>15</v>
      </c>
      <c r="B369" s="1858" t="s">
        <v>306</v>
      </c>
      <c r="C369" s="1858"/>
      <c r="D369" s="1858"/>
      <c r="E369" s="1858"/>
      <c r="F369" s="1858"/>
      <c r="G369" s="1858"/>
      <c r="H369" s="1858"/>
      <c r="I369" s="537"/>
      <c r="J369" s="538"/>
      <c r="K369" s="16"/>
      <c r="L369" s="208"/>
      <c r="M369" s="38"/>
      <c r="N369" s="536" t="s">
        <v>2318</v>
      </c>
    </row>
    <row r="370" spans="1:14" s="544" customFormat="1" ht="16.5" customHeight="1">
      <c r="A370" s="16"/>
      <c r="B370" s="39" t="s">
        <v>2889</v>
      </c>
      <c r="C370" s="537"/>
      <c r="D370" s="539"/>
      <c r="E370" s="540"/>
      <c r="F370" s="541"/>
      <c r="G370" s="541"/>
      <c r="H370" s="541"/>
      <c r="I370" s="542"/>
      <c r="J370" s="553"/>
      <c r="K370" s="39"/>
      <c r="L370" s="16"/>
      <c r="M370" s="39"/>
      <c r="N370" s="536" t="s">
        <v>2318</v>
      </c>
    </row>
    <row r="371" spans="1:14" s="544" customFormat="1" ht="16.5" customHeight="1">
      <c r="A371" s="16"/>
      <c r="B371" s="39" t="s">
        <v>1246</v>
      </c>
      <c r="C371" s="537">
        <v>1</v>
      </c>
      <c r="D371" s="539" t="s">
        <v>273</v>
      </c>
      <c r="E371" s="540">
        <v>1</v>
      </c>
      <c r="F371" s="541">
        <v>2.89</v>
      </c>
      <c r="G371" s="541">
        <v>0.23</v>
      </c>
      <c r="H371" s="541">
        <v>1.38</v>
      </c>
      <c r="I371" s="545">
        <f>ROUND(IF(AND(F371:H371),C371*E371*F371*G371*H371,IF(AND(F371,G371),C371*E371*F371*G371,IF(AND(F371,H371),C371*E371*F371*H371,IF(AND(G371,H371),C371*E371*G371*H371,IF(F371,C371*E371*F371,IF(G371,C371*E371*G371,IF(H371,C371*E371*H371,C371*E371))))))),2)</f>
        <v>0.92</v>
      </c>
      <c r="J371" s="553" t="s">
        <v>5</v>
      </c>
      <c r="K371" s="39"/>
      <c r="L371" s="16"/>
      <c r="M371" s="39"/>
      <c r="N371" s="536" t="s">
        <v>2318</v>
      </c>
    </row>
    <row r="372" spans="1:14" s="544" customFormat="1" ht="16.5" customHeight="1">
      <c r="A372" s="16"/>
      <c r="B372" s="39" t="s">
        <v>814</v>
      </c>
      <c r="C372" s="537">
        <v>1</v>
      </c>
      <c r="D372" s="539" t="s">
        <v>273</v>
      </c>
      <c r="E372" s="540">
        <v>1</v>
      </c>
      <c r="F372" s="541">
        <v>12.47</v>
      </c>
      <c r="G372" s="541">
        <v>0.23</v>
      </c>
      <c r="H372" s="541">
        <v>1.38</v>
      </c>
      <c r="I372" s="545">
        <f>ROUND(IF(AND(F372:H372),C372*E372*F372*G372*H372,IF(AND(F372,G372),C372*E372*F372*G372,IF(AND(F372,H372),C372*E372*F372*H372,IF(AND(G372,H372),C372*E372*G372*H372,IF(F372,C372*E372*F372,IF(G372,C372*E372*G372,IF(H372,C372*E372*H372,C372*E372))))))),2)</f>
        <v>3.96</v>
      </c>
      <c r="J372" s="553" t="s">
        <v>5</v>
      </c>
      <c r="K372" s="39"/>
      <c r="L372" s="16"/>
      <c r="M372" s="39"/>
      <c r="N372" s="536" t="s">
        <v>2318</v>
      </c>
    </row>
    <row r="373" spans="1:14" s="544" customFormat="1" ht="16.5" customHeight="1">
      <c r="A373" s="16"/>
      <c r="B373" s="547"/>
      <c r="C373" s="548"/>
      <c r="D373" s="549"/>
      <c r="E373" s="550"/>
      <c r="F373" s="551"/>
      <c r="G373" s="551"/>
      <c r="H373" s="551"/>
      <c r="I373" s="552"/>
      <c r="J373" s="553"/>
      <c r="K373" s="39"/>
      <c r="L373" s="208"/>
      <c r="M373" s="39"/>
      <c r="N373" s="536" t="s">
        <v>2318</v>
      </c>
    </row>
    <row r="374" spans="1:14" ht="15.75">
      <c r="A374" s="16"/>
      <c r="B374" s="39"/>
      <c r="C374" s="554"/>
      <c r="D374" s="555"/>
      <c r="E374" s="540"/>
      <c r="F374" s="541"/>
      <c r="G374" s="40"/>
      <c r="H374" s="16"/>
      <c r="I374" s="552"/>
      <c r="J374" s="553" t="s">
        <v>5</v>
      </c>
      <c r="K374" s="10">
        <f>data!F3144</f>
        <v>7227.5599999999995</v>
      </c>
      <c r="L374" s="208" t="s">
        <v>2318</v>
      </c>
      <c r="M374" s="9">
        <f>ROUND(I374*K374,0)</f>
        <v>0</v>
      </c>
      <c r="N374" s="536" t="s">
        <v>2318</v>
      </c>
    </row>
    <row r="375" spans="1:14" ht="69.75" customHeight="1">
      <c r="A375" s="16">
        <v>7</v>
      </c>
      <c r="B375" s="1858" t="s">
        <v>649</v>
      </c>
      <c r="C375" s="1858"/>
      <c r="D375" s="1858"/>
      <c r="E375" s="1858"/>
      <c r="F375" s="1858"/>
      <c r="G375" s="1858"/>
      <c r="H375" s="1858"/>
      <c r="I375" s="537"/>
      <c r="J375" s="538"/>
      <c r="K375" s="16"/>
      <c r="L375" s="208"/>
      <c r="M375" s="38"/>
      <c r="N375" s="536" t="s">
        <v>2218</v>
      </c>
    </row>
    <row r="376" spans="1:14" s="544" customFormat="1" ht="16.5" customHeight="1">
      <c r="A376" s="16"/>
      <c r="B376" s="39" t="s">
        <v>3105</v>
      </c>
      <c r="C376" s="537"/>
      <c r="D376" s="1145" t="s">
        <v>3349</v>
      </c>
      <c r="E376" s="540"/>
      <c r="F376" s="541"/>
      <c r="G376" s="541"/>
      <c r="H376" s="541"/>
      <c r="I376" s="542"/>
      <c r="J376" s="553"/>
      <c r="K376" s="39"/>
      <c r="L376" s="208"/>
      <c r="M376" s="39"/>
      <c r="N376" s="536" t="s">
        <v>2218</v>
      </c>
    </row>
    <row r="377" spans="1:14" s="544" customFormat="1" ht="16.5" customHeight="1">
      <c r="A377" s="16"/>
      <c r="B377" s="39" t="s">
        <v>2136</v>
      </c>
      <c r="C377" s="537">
        <v>1</v>
      </c>
      <c r="D377" s="539" t="s">
        <v>273</v>
      </c>
      <c r="E377" s="540">
        <v>1</v>
      </c>
      <c r="F377" s="541">
        <v>9.2899999999999991</v>
      </c>
      <c r="G377" s="541">
        <v>0.23</v>
      </c>
      <c r="H377" s="541">
        <v>2.1</v>
      </c>
      <c r="I377" s="545">
        <f t="shared" ref="I377:I380" si="34">ROUND(IF(AND(F377:H377),C377*E377*F377*G377*H377,IF(AND(F377,G377),C377*E377*F377*G377,IF(AND(F377,H377),C377*E377*F377*H377,IF(AND(G377,H377),C377*E377*G377*H377,IF(F377,C377*E377*F377,IF(G377,C377*E377*G377,IF(H377,C377*E377*H377,C377*E377))))))),2)</f>
        <v>4.49</v>
      </c>
      <c r="J377" s="553" t="s">
        <v>5</v>
      </c>
      <c r="K377" s="39"/>
      <c r="L377" s="208"/>
      <c r="M377" s="39"/>
      <c r="N377" s="536" t="s">
        <v>2218</v>
      </c>
    </row>
    <row r="378" spans="1:14" s="544" customFormat="1" ht="16.5" customHeight="1">
      <c r="A378" s="16"/>
      <c r="B378" s="39"/>
      <c r="C378" s="537">
        <v>1</v>
      </c>
      <c r="D378" s="539" t="s">
        <v>273</v>
      </c>
      <c r="E378" s="540">
        <v>1</v>
      </c>
      <c r="F378" s="541">
        <v>12.47</v>
      </c>
      <c r="G378" s="541">
        <v>0.23</v>
      </c>
      <c r="H378" s="541">
        <v>2.1</v>
      </c>
      <c r="I378" s="545">
        <f t="shared" si="34"/>
        <v>6.02</v>
      </c>
      <c r="J378" s="553" t="s">
        <v>5</v>
      </c>
      <c r="K378" s="39"/>
      <c r="L378" s="208"/>
      <c r="M378" s="39"/>
      <c r="N378" s="536" t="s">
        <v>2218</v>
      </c>
    </row>
    <row r="379" spans="1:14" s="544" customFormat="1" ht="16.5" customHeight="1">
      <c r="A379" s="16"/>
      <c r="B379" s="39" t="s">
        <v>3143</v>
      </c>
      <c r="C379" s="537">
        <v>1</v>
      </c>
      <c r="D379" s="539" t="s">
        <v>273</v>
      </c>
      <c r="E379" s="540">
        <v>1</v>
      </c>
      <c r="F379" s="541">
        <v>8.3800000000000008</v>
      </c>
      <c r="G379" s="541">
        <v>0.23</v>
      </c>
      <c r="H379" s="541">
        <v>2.1</v>
      </c>
      <c r="I379" s="545">
        <f t="shared" si="34"/>
        <v>4.05</v>
      </c>
      <c r="J379" s="553" t="s">
        <v>5</v>
      </c>
      <c r="K379" s="39"/>
      <c r="L379" s="208"/>
      <c r="M379" s="39"/>
      <c r="N379" s="536" t="s">
        <v>2218</v>
      </c>
    </row>
    <row r="380" spans="1:14" s="544" customFormat="1" ht="16.5" customHeight="1">
      <c r="A380" s="16"/>
      <c r="B380" s="39" t="s">
        <v>1547</v>
      </c>
      <c r="C380" s="537">
        <v>1</v>
      </c>
      <c r="D380" s="539" t="s">
        <v>273</v>
      </c>
      <c r="E380" s="540">
        <v>1</v>
      </c>
      <c r="F380" s="541">
        <v>8.3800000000000008</v>
      </c>
      <c r="G380" s="541">
        <v>0.23</v>
      </c>
      <c r="H380" s="541">
        <v>2.1</v>
      </c>
      <c r="I380" s="545">
        <f t="shared" si="34"/>
        <v>4.05</v>
      </c>
      <c r="J380" s="553" t="s">
        <v>5</v>
      </c>
      <c r="K380" s="39"/>
      <c r="L380" s="208"/>
      <c r="M380" s="39"/>
      <c r="N380" s="536" t="s">
        <v>2218</v>
      </c>
    </row>
    <row r="381" spans="1:14" s="544" customFormat="1" ht="16.5" customHeight="1">
      <c r="A381" s="16"/>
      <c r="B381" s="39" t="s">
        <v>579</v>
      </c>
      <c r="C381" s="537">
        <v>1</v>
      </c>
      <c r="D381" s="539" t="s">
        <v>273</v>
      </c>
      <c r="E381" s="540">
        <v>1</v>
      </c>
      <c r="F381" s="541">
        <v>1.2</v>
      </c>
      <c r="G381" s="541">
        <v>0.23</v>
      </c>
      <c r="H381" s="541">
        <v>2.1</v>
      </c>
      <c r="I381" s="545">
        <f>-ROUND(IF(AND(F381:H381),C381*E381*F381*G381*H381,IF(AND(F381,G381),C381*E381*F381*G381,IF(AND(F381,H381),C381*E381*F381*H381,IF(AND(G381,H381),C381*E381*G381*H381,IF(F381,C381*E381*F381,IF(G381,C381*E381*G381,IF(H381,C381*E381*H381,C381*E381))))))),2)</f>
        <v>-0.57999999999999996</v>
      </c>
      <c r="J381" s="553" t="s">
        <v>5</v>
      </c>
      <c r="K381" s="39"/>
      <c r="L381" s="208"/>
      <c r="M381" s="39"/>
      <c r="N381" s="536" t="s">
        <v>2218</v>
      </c>
    </row>
    <row r="382" spans="1:14" s="544" customFormat="1" ht="16.5" customHeight="1">
      <c r="A382" s="16"/>
      <c r="B382" s="39" t="s">
        <v>2360</v>
      </c>
      <c r="C382" s="537">
        <v>1</v>
      </c>
      <c r="D382" s="539" t="s">
        <v>273</v>
      </c>
      <c r="E382" s="540">
        <v>7</v>
      </c>
      <c r="F382" s="541">
        <v>1.5</v>
      </c>
      <c r="G382" s="541">
        <v>0.23</v>
      </c>
      <c r="H382" s="541">
        <v>1.35</v>
      </c>
      <c r="I382" s="545">
        <f>-ROUND(IF(AND(F382:H382),C382*E382*F382*G382*H382,IF(AND(F382,G382),C382*E382*F382*G382,IF(AND(F382,H382),C382*E382*F382*H382,IF(AND(G382,H382),C382*E382*G382*H382,IF(F382,C382*E382*F382,IF(G382,C382*E382*G382,IF(H382,C382*E382*H382,C382*E382))))))),2)</f>
        <v>-3.26</v>
      </c>
      <c r="J382" s="553" t="s">
        <v>5</v>
      </c>
      <c r="K382" s="39"/>
      <c r="L382" s="208"/>
      <c r="M382" s="39"/>
      <c r="N382" s="536" t="s">
        <v>2218</v>
      </c>
    </row>
    <row r="383" spans="1:14" s="544" customFormat="1" ht="16.5" customHeight="1">
      <c r="A383" s="16"/>
      <c r="B383" s="39" t="s">
        <v>579</v>
      </c>
      <c r="C383" s="537">
        <v>1</v>
      </c>
      <c r="D383" s="539" t="s">
        <v>273</v>
      </c>
      <c r="E383" s="540">
        <v>1</v>
      </c>
      <c r="F383" s="541">
        <v>1.2</v>
      </c>
      <c r="G383" s="541">
        <v>0.23</v>
      </c>
      <c r="H383" s="541">
        <v>2.1</v>
      </c>
      <c r="I383" s="545">
        <f>-ROUND(IF(AND(F383:H383),C383*E383*F383*G383*H383,IF(AND(F383,G383),C383*E383*F383*G383,IF(AND(F383,H383),C383*E383*F383*H383,IF(AND(G383,H383),C383*E383*G383*H383,IF(F383,C383*E383*F383,IF(G383,C383*E383*G383,IF(H383,C383*E383*H383,C383*E383))))))),2)</f>
        <v>-0.57999999999999996</v>
      </c>
      <c r="J383" s="553" t="s">
        <v>5</v>
      </c>
      <c r="K383" s="39"/>
      <c r="L383" s="208"/>
      <c r="M383" s="39"/>
      <c r="N383" s="536" t="s">
        <v>2218</v>
      </c>
    </row>
    <row r="384" spans="1:14" s="544" customFormat="1" ht="16.5" customHeight="1">
      <c r="A384" s="16"/>
      <c r="B384" s="39" t="s">
        <v>579</v>
      </c>
      <c r="C384" s="537">
        <v>1</v>
      </c>
      <c r="D384" s="539" t="s">
        <v>273</v>
      </c>
      <c r="E384" s="540">
        <v>2</v>
      </c>
      <c r="F384" s="541">
        <v>0.75</v>
      </c>
      <c r="G384" s="541">
        <v>0.23</v>
      </c>
      <c r="H384" s="541">
        <v>2.1</v>
      </c>
      <c r="I384" s="545">
        <f>-ROUND(IF(AND(F384:H384),C384*E384*F384*G384*H384,IF(AND(F384,G384),C384*E384*F384*G384,IF(AND(F384,H384),C384*E384*F384*H384,IF(AND(G384,H384),C384*E384*G384*H384,IF(F384,C384*E384*F384,IF(G384,C384*E384*G384,IF(H384,C384*E384*H384,C384*E384))))))),2)</f>
        <v>-0.72</v>
      </c>
      <c r="J384" s="553" t="s">
        <v>5</v>
      </c>
      <c r="K384" s="39"/>
      <c r="L384" s="208"/>
      <c r="M384" s="39"/>
      <c r="N384" s="536" t="s">
        <v>2218</v>
      </c>
    </row>
    <row r="385" spans="1:14" s="544" customFormat="1" ht="16.5" customHeight="1">
      <c r="A385" s="16"/>
      <c r="B385" s="39" t="s">
        <v>3106</v>
      </c>
      <c r="C385" s="537"/>
      <c r="D385" s="1145" t="s">
        <v>3350</v>
      </c>
      <c r="E385" s="540"/>
      <c r="F385" s="541"/>
      <c r="G385" s="541"/>
      <c r="H385" s="541"/>
      <c r="I385" s="542"/>
      <c r="J385" s="553"/>
      <c r="K385" s="39"/>
      <c r="L385" s="208"/>
      <c r="M385" s="39"/>
      <c r="N385" s="536" t="s">
        <v>2218</v>
      </c>
    </row>
    <row r="386" spans="1:14" s="544" customFormat="1" ht="16.5" customHeight="1">
      <c r="A386" s="16"/>
      <c r="B386" s="39" t="s">
        <v>2136</v>
      </c>
      <c r="C386" s="537">
        <v>1</v>
      </c>
      <c r="D386" s="539" t="s">
        <v>273</v>
      </c>
      <c r="E386" s="540">
        <v>1</v>
      </c>
      <c r="F386" s="541">
        <v>9.2899999999999991</v>
      </c>
      <c r="G386" s="541">
        <v>0.23</v>
      </c>
      <c r="H386" s="541">
        <v>0.62</v>
      </c>
      <c r="I386" s="545">
        <f t="shared" ref="I386:I389" si="35">ROUND(IF(AND(F386:H386),C386*E386*F386*G386*H386,IF(AND(F386,G386),C386*E386*F386*G386,IF(AND(F386,H386),C386*E386*F386*H386,IF(AND(G386,H386),C386*E386*G386*H386,IF(F386,C386*E386*F386,IF(G386,C386*E386*G386,IF(H386,C386*E386*H386,C386*E386))))))),2)</f>
        <v>1.32</v>
      </c>
      <c r="J386" s="553" t="s">
        <v>5</v>
      </c>
      <c r="K386" s="39"/>
      <c r="L386" s="208"/>
      <c r="M386" s="39"/>
      <c r="N386" s="536" t="s">
        <v>2218</v>
      </c>
    </row>
    <row r="387" spans="1:14" s="544" customFormat="1" ht="16.5" customHeight="1">
      <c r="A387" s="16"/>
      <c r="B387" s="39"/>
      <c r="C387" s="537">
        <v>1</v>
      </c>
      <c r="D387" s="539" t="s">
        <v>273</v>
      </c>
      <c r="E387" s="540">
        <v>1</v>
      </c>
      <c r="F387" s="541">
        <v>12.47</v>
      </c>
      <c r="G387" s="541">
        <v>0.23</v>
      </c>
      <c r="H387" s="541">
        <v>0.62</v>
      </c>
      <c r="I387" s="545">
        <f t="shared" si="35"/>
        <v>1.78</v>
      </c>
      <c r="J387" s="553" t="s">
        <v>5</v>
      </c>
      <c r="K387" s="39"/>
      <c r="L387" s="208"/>
      <c r="M387" s="39"/>
      <c r="N387" s="536" t="s">
        <v>2218</v>
      </c>
    </row>
    <row r="388" spans="1:14" s="544" customFormat="1" ht="16.5" customHeight="1">
      <c r="A388" s="16"/>
      <c r="B388" s="39" t="s">
        <v>3143</v>
      </c>
      <c r="C388" s="537">
        <v>1</v>
      </c>
      <c r="D388" s="539" t="s">
        <v>273</v>
      </c>
      <c r="E388" s="540">
        <v>2</v>
      </c>
      <c r="F388" s="541">
        <v>4.99</v>
      </c>
      <c r="G388" s="541">
        <v>0.23</v>
      </c>
      <c r="H388" s="541">
        <v>0.55000000000000004</v>
      </c>
      <c r="I388" s="545">
        <f t="shared" si="35"/>
        <v>1.26</v>
      </c>
      <c r="J388" s="553" t="s">
        <v>5</v>
      </c>
      <c r="K388" s="39"/>
      <c r="L388" s="208"/>
      <c r="M388" s="39"/>
      <c r="N388" s="536" t="s">
        <v>2218</v>
      </c>
    </row>
    <row r="389" spans="1:14" s="544" customFormat="1" ht="16.5" customHeight="1">
      <c r="A389" s="16"/>
      <c r="B389" s="39" t="s">
        <v>1547</v>
      </c>
      <c r="C389" s="537">
        <v>1</v>
      </c>
      <c r="D389" s="539" t="s">
        <v>273</v>
      </c>
      <c r="E389" s="540">
        <v>2</v>
      </c>
      <c r="F389" s="541">
        <v>3.16</v>
      </c>
      <c r="G389" s="541">
        <v>0.23</v>
      </c>
      <c r="H389" s="541">
        <v>0.7</v>
      </c>
      <c r="I389" s="545">
        <f t="shared" si="35"/>
        <v>1.02</v>
      </c>
      <c r="J389" s="553" t="s">
        <v>5</v>
      </c>
      <c r="K389" s="39"/>
      <c r="L389" s="208"/>
      <c r="M389" s="39"/>
      <c r="N389" s="536" t="s">
        <v>2218</v>
      </c>
    </row>
    <row r="390" spans="1:14" s="544" customFormat="1" ht="16.5" customHeight="1">
      <c r="A390" s="16"/>
      <c r="B390" s="39" t="s">
        <v>281</v>
      </c>
      <c r="C390" s="537">
        <v>1</v>
      </c>
      <c r="D390" s="539" t="s">
        <v>273</v>
      </c>
      <c r="E390" s="540">
        <v>1</v>
      </c>
      <c r="F390" s="541">
        <v>0.23</v>
      </c>
      <c r="G390" s="541">
        <v>0.38</v>
      </c>
      <c r="H390" s="541">
        <v>0.62</v>
      </c>
      <c r="I390" s="545">
        <f t="shared" ref="I390" si="36">-ROUND(IF(AND(F390:H390),C390*E390*F390*G390*H390,IF(AND(F390,G390),C390*E390*F390*G390,IF(AND(F390,H390),C390*E390*F390*H390,IF(AND(G390,H390),C390*E390*G390*H390,IF(F390,C390*E390*F390,IF(G390,C390*E390*G390,IF(H390,C390*E390*H390,C390*E390))))))),2)</f>
        <v>-0.05</v>
      </c>
      <c r="J390" s="553" t="s">
        <v>5</v>
      </c>
      <c r="K390" s="39"/>
      <c r="L390" s="208"/>
      <c r="M390" s="39"/>
      <c r="N390" s="536" t="s">
        <v>2218</v>
      </c>
    </row>
    <row r="391" spans="1:14" s="544" customFormat="1" ht="16.5" customHeight="1">
      <c r="A391" s="16"/>
      <c r="B391" s="39" t="s">
        <v>581</v>
      </c>
      <c r="C391" s="537">
        <v>1</v>
      </c>
      <c r="D391" s="539" t="s">
        <v>273</v>
      </c>
      <c r="E391" s="540">
        <v>12</v>
      </c>
      <c r="F391" s="541">
        <v>0.6</v>
      </c>
      <c r="G391" s="541">
        <v>0.23</v>
      </c>
      <c r="H391" s="541">
        <v>0.3</v>
      </c>
      <c r="I391" s="545">
        <f>-ROUND(IF(AND(F391:H391),C391*E391*F391*G391*H391,IF(AND(F391,G391),C391*E391*F391*G391,IF(AND(F391,H391),C391*E391*F391*H391,IF(AND(G391,H391),C391*E391*G391*H391,IF(F391,C391*E391*F391,IF(G391,C391*E391*G391,IF(H391,C391*E391*H391,C391*E391))))))),2)</f>
        <v>-0.5</v>
      </c>
      <c r="J391" s="553" t="s">
        <v>5</v>
      </c>
      <c r="K391" s="39"/>
      <c r="L391" s="208"/>
      <c r="M391" s="39"/>
      <c r="N391" s="536" t="s">
        <v>2218</v>
      </c>
    </row>
    <row r="392" spans="1:14" s="544" customFormat="1" ht="16.5" customHeight="1">
      <c r="A392" s="16"/>
      <c r="B392" s="39" t="s">
        <v>3094</v>
      </c>
      <c r="C392" s="537"/>
      <c r="D392" s="1145" t="s">
        <v>3332</v>
      </c>
      <c r="E392" s="540"/>
      <c r="F392" s="541"/>
      <c r="G392" s="541"/>
      <c r="H392" s="541"/>
      <c r="I392" s="542"/>
      <c r="J392" s="553"/>
      <c r="K392" s="39"/>
      <c r="L392" s="208"/>
      <c r="M392" s="39"/>
      <c r="N392" s="536" t="s">
        <v>2218</v>
      </c>
    </row>
    <row r="393" spans="1:14" s="544" customFormat="1" ht="16.5" customHeight="1">
      <c r="A393" s="16"/>
      <c r="B393" s="39" t="s">
        <v>3058</v>
      </c>
      <c r="C393" s="537">
        <v>1</v>
      </c>
      <c r="D393" s="539" t="s">
        <v>273</v>
      </c>
      <c r="E393" s="540">
        <v>1</v>
      </c>
      <c r="F393" s="541">
        <v>2.68</v>
      </c>
      <c r="G393" s="541">
        <v>0.23</v>
      </c>
      <c r="H393" s="541">
        <v>1.2</v>
      </c>
      <c r="I393" s="545">
        <f t="shared" ref="I393" si="37">ROUND(IF(AND(F393:H393),C393*E393*F393*G393*H393,IF(AND(F393,G393),C393*E393*F393*G393,IF(AND(F393,H393),C393*E393*F393*H393,IF(AND(G393,H393),C393*E393*G393*H393,IF(F393,C393*E393*F393,IF(G393,C393*E393*G393,IF(H393,C393*E393*H393,C393*E393))))))),2)</f>
        <v>0.74</v>
      </c>
      <c r="J393" s="553" t="s">
        <v>5</v>
      </c>
      <c r="K393" s="39"/>
      <c r="L393" s="208"/>
      <c r="M393" s="39"/>
      <c r="N393" s="536" t="s">
        <v>2218</v>
      </c>
    </row>
    <row r="394" spans="1:14" s="544" customFormat="1" ht="16.5" customHeight="1">
      <c r="A394" s="16"/>
      <c r="B394" s="39" t="s">
        <v>1535</v>
      </c>
      <c r="C394" s="537">
        <v>1</v>
      </c>
      <c r="D394" s="539" t="s">
        <v>273</v>
      </c>
      <c r="E394" s="540">
        <v>1</v>
      </c>
      <c r="F394" s="541">
        <v>1.2</v>
      </c>
      <c r="G394" s="541">
        <v>0.23</v>
      </c>
      <c r="H394" s="541">
        <v>1.1000000000000001</v>
      </c>
      <c r="I394" s="545">
        <f>-ROUND(IF(AND(F394:H394),C394*E394*F394*G394*H394,IF(AND(F394,G394),C394*E394*F394*G394,IF(AND(F394,H394),C394*E394*F394*H394,IF(AND(G394,H394),C394*E394*G394*H394,IF(F394,C394*E394*F394,IF(G394,C394*E394*G394,IF(H394,C394*E394*H394,C394*E394))))))),2)</f>
        <v>-0.3</v>
      </c>
      <c r="J394" s="553" t="s">
        <v>5</v>
      </c>
      <c r="K394" s="39"/>
      <c r="L394" s="208"/>
      <c r="M394" s="39"/>
      <c r="N394" s="536" t="s">
        <v>2218</v>
      </c>
    </row>
    <row r="395" spans="1:14" s="544" customFormat="1" ht="16.5" customHeight="1">
      <c r="A395" s="16"/>
      <c r="B395" s="547"/>
      <c r="C395" s="548"/>
      <c r="D395" s="549"/>
      <c r="E395" s="550"/>
      <c r="F395" s="551"/>
      <c r="G395" s="551"/>
      <c r="H395" s="551"/>
      <c r="I395" s="552"/>
      <c r="J395" s="553"/>
      <c r="K395" s="39"/>
      <c r="L395" s="208"/>
      <c r="M395" s="39"/>
      <c r="N395" s="536" t="s">
        <v>2218</v>
      </c>
    </row>
    <row r="396" spans="1:14" ht="15.75">
      <c r="A396" s="16"/>
      <c r="B396" s="39"/>
      <c r="C396" s="554"/>
      <c r="D396" s="555"/>
      <c r="E396" s="540"/>
      <c r="F396" s="541"/>
      <c r="G396" s="40"/>
      <c r="H396" s="16"/>
      <c r="I396" s="552"/>
      <c r="J396" s="553" t="s">
        <v>5</v>
      </c>
      <c r="K396" s="10">
        <f>data!F376</f>
        <v>5961.27</v>
      </c>
      <c r="L396" s="208" t="s">
        <v>2218</v>
      </c>
      <c r="M396" s="9">
        <f>ROUND(I396*K396,0)</f>
        <v>0</v>
      </c>
      <c r="N396" s="536" t="s">
        <v>2218</v>
      </c>
    </row>
    <row r="397" spans="1:14" ht="69.75" customHeight="1">
      <c r="A397" s="16">
        <v>8</v>
      </c>
      <c r="B397" s="1858" t="s">
        <v>649</v>
      </c>
      <c r="C397" s="1858"/>
      <c r="D397" s="1858"/>
      <c r="E397" s="1858"/>
      <c r="F397" s="1858"/>
      <c r="G397" s="1858"/>
      <c r="H397" s="1858"/>
      <c r="I397" s="537"/>
      <c r="J397" s="538"/>
      <c r="K397" s="16"/>
      <c r="L397" s="208"/>
      <c r="M397" s="38"/>
      <c r="N397" s="536" t="s">
        <v>2306</v>
      </c>
    </row>
    <row r="398" spans="1:14" s="544" customFormat="1" ht="16.5" customHeight="1">
      <c r="A398" s="16"/>
      <c r="B398" s="39" t="s">
        <v>2836</v>
      </c>
      <c r="C398" s="537"/>
      <c r="D398" s="539"/>
      <c r="E398" s="540"/>
      <c r="F398" s="541"/>
      <c r="G398" s="541"/>
      <c r="H398" s="541"/>
      <c r="I398" s="542"/>
      <c r="J398" s="553"/>
      <c r="K398" s="39"/>
      <c r="L398" s="208"/>
      <c r="M398" s="39"/>
      <c r="N398" s="536" t="s">
        <v>2306</v>
      </c>
    </row>
    <row r="399" spans="1:14" s="544" customFormat="1" ht="16.5" customHeight="1">
      <c r="A399" s="16"/>
      <c r="B399" s="39" t="s">
        <v>2935</v>
      </c>
      <c r="C399" s="537">
        <v>1</v>
      </c>
      <c r="D399" s="539" t="s">
        <v>273</v>
      </c>
      <c r="E399" s="540">
        <v>1</v>
      </c>
      <c r="F399" s="541">
        <v>8.91</v>
      </c>
      <c r="G399" s="541">
        <v>0.23</v>
      </c>
      <c r="H399" s="541">
        <v>2.1</v>
      </c>
      <c r="I399" s="545">
        <f t="shared" ref="I399" si="38">ROUND(IF(AND(F399:H399),C399*E399*F399*G399*H399,IF(AND(F399,G399),C399*E399*F399*G399,IF(AND(F399,H399),C399*E399*F399*H399,IF(AND(G399,H399),C399*E399*G399*H399,IF(F399,C399*E399*F399,IF(G399,C399*E399*G399,IF(H399,C399*E399*H399,C399*E399))))))),2)</f>
        <v>4.3</v>
      </c>
      <c r="J399" s="553" t="s">
        <v>5</v>
      </c>
      <c r="K399" s="39"/>
      <c r="L399" s="208"/>
      <c r="M399" s="39"/>
      <c r="N399" s="536" t="s">
        <v>2306</v>
      </c>
    </row>
    <row r="400" spans="1:14" s="544" customFormat="1" ht="16.5" customHeight="1">
      <c r="A400" s="16"/>
      <c r="B400" s="39" t="s">
        <v>2934</v>
      </c>
      <c r="C400" s="537">
        <v>1</v>
      </c>
      <c r="D400" s="539" t="s">
        <v>273</v>
      </c>
      <c r="E400" s="540">
        <v>1</v>
      </c>
      <c r="F400" s="541">
        <v>0.38</v>
      </c>
      <c r="G400" s="541">
        <v>0.23</v>
      </c>
      <c r="H400" s="541">
        <v>2.1</v>
      </c>
      <c r="I400" s="545">
        <f>-ROUND(IF(AND(F400:H400),C400*E400*F400*G400*H400,IF(AND(F400,G400),C400*E400*F400*G400,IF(AND(F400,H400),C400*E400*F400*H400,IF(AND(G400,H400),C400*E400*G400*H400,IF(F400,C400*E400*F400,IF(G400,C400*E400*G400,IF(H400,C400*E400*H400,C400*E400))))))),2)</f>
        <v>-0.18</v>
      </c>
      <c r="J400" s="553" t="s">
        <v>5</v>
      </c>
      <c r="K400" s="39"/>
      <c r="L400" s="208"/>
      <c r="M400" s="39"/>
      <c r="N400" s="536" t="s">
        <v>2306</v>
      </c>
    </row>
    <row r="401" spans="1:14" s="544" customFormat="1" ht="16.5" customHeight="1">
      <c r="A401" s="16"/>
      <c r="B401" s="39" t="s">
        <v>2934</v>
      </c>
      <c r="C401" s="537">
        <v>1</v>
      </c>
      <c r="D401" s="539" t="s">
        <v>273</v>
      </c>
      <c r="E401" s="540">
        <v>1</v>
      </c>
      <c r="F401" s="541">
        <v>0.23</v>
      </c>
      <c r="G401" s="541">
        <v>0.23</v>
      </c>
      <c r="H401" s="541">
        <v>2.1</v>
      </c>
      <c r="I401" s="545">
        <f>-ROUND(IF(AND(F401:H401),C401*E401*F401*G401*H401,IF(AND(F401,G401),C401*E401*F401*G401,IF(AND(F401,H401),C401*E401*F401*H401,IF(AND(G401,H401),C401*E401*G401*H401,IF(F401,C401*E401*F401,IF(G401,C401*E401*G401,IF(H401,C401*E401*H401,C401*E401))))))),2)</f>
        <v>-0.11</v>
      </c>
      <c r="J401" s="553" t="s">
        <v>5</v>
      </c>
      <c r="K401" s="39"/>
      <c r="L401" s="208"/>
      <c r="M401" s="39"/>
      <c r="N401" s="536" t="s">
        <v>2306</v>
      </c>
    </row>
    <row r="402" spans="1:14" s="544" customFormat="1" ht="16.5" customHeight="1">
      <c r="A402" s="16"/>
      <c r="B402" s="39" t="s">
        <v>2360</v>
      </c>
      <c r="C402" s="537">
        <v>1</v>
      </c>
      <c r="D402" s="539" t="s">
        <v>273</v>
      </c>
      <c r="E402" s="540">
        <v>2</v>
      </c>
      <c r="F402" s="541">
        <v>1.4</v>
      </c>
      <c r="G402" s="541">
        <v>0.23</v>
      </c>
      <c r="H402" s="541">
        <v>1.45</v>
      </c>
      <c r="I402" s="545">
        <f>-ROUND(IF(AND(F402:H402),C402*E402*F402*G402*H402,IF(AND(F402,G402),C402*E402*F402*G402,IF(AND(F402,H402),C402*E402*F402*H402,IF(AND(G402,H402),C402*E402*G402*H402,IF(F402,C402*E402*F402,IF(G402,C402*E402*G402,IF(H402,C402*E402*H402,C402*E402))))))),2)</f>
        <v>-0.93</v>
      </c>
      <c r="J402" s="553" t="s">
        <v>5</v>
      </c>
      <c r="K402" s="39"/>
      <c r="L402" s="208"/>
      <c r="M402" s="39"/>
      <c r="N402" s="536" t="s">
        <v>2306</v>
      </c>
    </row>
    <row r="403" spans="1:14" s="544" customFormat="1" ht="16.5" customHeight="1">
      <c r="A403" s="16"/>
      <c r="B403" s="39" t="s">
        <v>579</v>
      </c>
      <c r="C403" s="537">
        <v>1</v>
      </c>
      <c r="D403" s="539" t="s">
        <v>273</v>
      </c>
      <c r="E403" s="540">
        <v>1</v>
      </c>
      <c r="F403" s="541">
        <v>0.75</v>
      </c>
      <c r="G403" s="541">
        <v>0.23</v>
      </c>
      <c r="H403" s="541">
        <v>2.1</v>
      </c>
      <c r="I403" s="545">
        <f>-ROUND(IF(AND(F403:H403),C403*E403*F403*G403*H403,IF(AND(F403,G403),C403*E403*F403*G403,IF(AND(F403,H403),C403*E403*F403*H403,IF(AND(G403,H403),C403*E403*G403*H403,IF(F403,C403*E403*F403,IF(G403,C403*E403*G403,IF(H403,C403*E403*H403,C403*E403))))))),2)</f>
        <v>-0.36</v>
      </c>
      <c r="J403" s="553" t="s">
        <v>5</v>
      </c>
      <c r="K403" s="39"/>
      <c r="L403" s="208"/>
      <c r="M403" s="39"/>
      <c r="N403" s="536" t="s">
        <v>2306</v>
      </c>
    </row>
    <row r="404" spans="1:14" s="544" customFormat="1" ht="16.5" customHeight="1">
      <c r="A404" s="16"/>
      <c r="B404" s="39" t="s">
        <v>2936</v>
      </c>
      <c r="C404" s="537">
        <v>1</v>
      </c>
      <c r="D404" s="539" t="s">
        <v>273</v>
      </c>
      <c r="E404" s="540">
        <v>1</v>
      </c>
      <c r="F404" s="541">
        <v>8.08</v>
      </c>
      <c r="G404" s="541">
        <v>0.23</v>
      </c>
      <c r="H404" s="541">
        <v>2.1</v>
      </c>
      <c r="I404" s="545">
        <f t="shared" ref="I404:I411" si="39">ROUND(IF(AND(F404:H404),C404*E404*F404*G404*H404,IF(AND(F404,G404),C404*E404*F404*G404,IF(AND(F404,H404),C404*E404*F404*H404,IF(AND(G404,H404),C404*E404*G404*H404,IF(F404,C404*E404*F404,IF(G404,C404*E404*G404,IF(H404,C404*E404*H404,C404*E404))))))),2)</f>
        <v>3.9</v>
      </c>
      <c r="J404" s="553" t="s">
        <v>5</v>
      </c>
      <c r="K404" s="39"/>
      <c r="L404" s="208"/>
      <c r="M404" s="39"/>
      <c r="N404" s="536" t="s">
        <v>2306</v>
      </c>
    </row>
    <row r="405" spans="1:14" s="544" customFormat="1" ht="16.5" customHeight="1">
      <c r="A405" s="16"/>
      <c r="B405" s="39" t="s">
        <v>281</v>
      </c>
      <c r="C405" s="537">
        <v>1</v>
      </c>
      <c r="D405" s="539" t="s">
        <v>273</v>
      </c>
      <c r="E405" s="540">
        <v>1</v>
      </c>
      <c r="F405" s="541">
        <v>0.38</v>
      </c>
      <c r="G405" s="541">
        <v>0.23</v>
      </c>
      <c r="H405" s="541">
        <v>2.1</v>
      </c>
      <c r="I405" s="545">
        <f>-ROUND(IF(AND(F405:H405),C405*E405*F405*G405*H405,IF(AND(F405,G405),C405*E405*F405*G405,IF(AND(F405,H405),C405*E405*F405*H405,IF(AND(G405,H405),C405*E405*G405*H405,IF(F405,C405*E405*F405,IF(G405,C405*E405*G405,IF(H405,C405*E405*H405,C405*E405))))))),2)</f>
        <v>-0.18</v>
      </c>
      <c r="J405" s="553" t="s">
        <v>5</v>
      </c>
      <c r="K405" s="39"/>
      <c r="L405" s="208"/>
      <c r="M405" s="39"/>
      <c r="N405" s="536" t="s">
        <v>2306</v>
      </c>
    </row>
    <row r="406" spans="1:14" s="544" customFormat="1" ht="16.5" customHeight="1">
      <c r="A406" s="16"/>
      <c r="B406" s="39" t="s">
        <v>2360</v>
      </c>
      <c r="C406" s="537">
        <v>1</v>
      </c>
      <c r="D406" s="539" t="s">
        <v>273</v>
      </c>
      <c r="E406" s="540">
        <v>2</v>
      </c>
      <c r="F406" s="541">
        <v>1.4</v>
      </c>
      <c r="G406" s="541">
        <v>0.23</v>
      </c>
      <c r="H406" s="541">
        <v>1.45</v>
      </c>
      <c r="I406" s="545">
        <f>-ROUND(IF(AND(F406:H406),C406*E406*F406*G406*H406,IF(AND(F406,G406),C406*E406*F406*G406,IF(AND(F406,H406),C406*E406*F406*H406,IF(AND(G406,H406),C406*E406*G406*H406,IF(F406,C406*E406*F406,IF(G406,C406*E406*G406,IF(H406,C406*E406*H406,C406*E406))))))),2)</f>
        <v>-0.93</v>
      </c>
      <c r="J406" s="553" t="s">
        <v>5</v>
      </c>
      <c r="K406" s="39"/>
      <c r="L406" s="208"/>
      <c r="M406" s="39"/>
      <c r="N406" s="536" t="s">
        <v>2306</v>
      </c>
    </row>
    <row r="407" spans="1:14" s="544" customFormat="1" ht="16.5" customHeight="1">
      <c r="A407" s="16"/>
      <c r="B407" s="39" t="s">
        <v>2937</v>
      </c>
      <c r="C407" s="537">
        <v>1</v>
      </c>
      <c r="D407" s="539" t="s">
        <v>273</v>
      </c>
      <c r="E407" s="540">
        <v>1</v>
      </c>
      <c r="F407" s="541">
        <v>9.06</v>
      </c>
      <c r="G407" s="541">
        <v>0.23</v>
      </c>
      <c r="H407" s="541">
        <v>2.1</v>
      </c>
      <c r="I407" s="545">
        <f t="shared" si="39"/>
        <v>4.38</v>
      </c>
      <c r="J407" s="553" t="s">
        <v>5</v>
      </c>
      <c r="K407" s="39"/>
      <c r="L407" s="208"/>
      <c r="M407" s="39"/>
      <c r="N407" s="536" t="s">
        <v>2306</v>
      </c>
    </row>
    <row r="408" spans="1:14" s="544" customFormat="1" ht="16.5" customHeight="1">
      <c r="A408" s="16"/>
      <c r="B408" s="39" t="s">
        <v>281</v>
      </c>
      <c r="C408" s="537">
        <v>1</v>
      </c>
      <c r="D408" s="539" t="s">
        <v>273</v>
      </c>
      <c r="E408" s="540">
        <v>2</v>
      </c>
      <c r="F408" s="541">
        <v>0.23</v>
      </c>
      <c r="G408" s="541">
        <v>0.23</v>
      </c>
      <c r="H408" s="541">
        <v>2.1</v>
      </c>
      <c r="I408" s="545">
        <f>-ROUND(IF(AND(F408:H408),C408*E408*F408*G408*H408,IF(AND(F408,G408),C408*E408*F408*G408,IF(AND(F408,H408),C408*E408*F408*H408,IF(AND(G408,H408),C408*E408*G408*H408,IF(F408,C408*E408*F408,IF(G408,C408*E408*G408,IF(H408,C408*E408*H408,C408*E408))))))),2)</f>
        <v>-0.22</v>
      </c>
      <c r="J408" s="553" t="s">
        <v>5</v>
      </c>
      <c r="K408" s="39"/>
      <c r="L408" s="208"/>
      <c r="M408" s="39"/>
      <c r="N408" s="536" t="s">
        <v>2306</v>
      </c>
    </row>
    <row r="409" spans="1:14" s="544" customFormat="1" ht="16.5" customHeight="1">
      <c r="A409" s="16"/>
      <c r="B409" s="39" t="s">
        <v>2360</v>
      </c>
      <c r="C409" s="537">
        <v>1</v>
      </c>
      <c r="D409" s="539" t="s">
        <v>273</v>
      </c>
      <c r="E409" s="540">
        <v>3</v>
      </c>
      <c r="F409" s="541">
        <v>1.4</v>
      </c>
      <c r="G409" s="541">
        <v>0.23</v>
      </c>
      <c r="H409" s="541">
        <v>1.45</v>
      </c>
      <c r="I409" s="545">
        <f>-ROUND(IF(AND(F409:H409),C409*E409*F409*G409*H409,IF(AND(F409,G409),C409*E409*F409*G409,IF(AND(F409,H409),C409*E409*F409*H409,IF(AND(G409,H409),C409*E409*G409*H409,IF(F409,C409*E409*F409,IF(G409,C409*E409*G409,IF(H409,C409*E409*H409,C409*E409))))))),2)</f>
        <v>-1.4</v>
      </c>
      <c r="J409" s="553" t="s">
        <v>5</v>
      </c>
      <c r="K409" s="39"/>
      <c r="L409" s="208"/>
      <c r="M409" s="39"/>
      <c r="N409" s="536" t="s">
        <v>2306</v>
      </c>
    </row>
    <row r="410" spans="1:14" s="544" customFormat="1" ht="16.5" customHeight="1">
      <c r="A410" s="16"/>
      <c r="B410" s="39" t="s">
        <v>2938</v>
      </c>
      <c r="C410" s="537">
        <v>1</v>
      </c>
      <c r="D410" s="539" t="s">
        <v>273</v>
      </c>
      <c r="E410" s="540">
        <v>2</v>
      </c>
      <c r="F410" s="541">
        <v>1</v>
      </c>
      <c r="G410" s="541">
        <v>0.23</v>
      </c>
      <c r="H410" s="541">
        <v>1.2</v>
      </c>
      <c r="I410" s="545">
        <f t="shared" si="39"/>
        <v>0.55000000000000004</v>
      </c>
      <c r="J410" s="553" t="s">
        <v>5</v>
      </c>
      <c r="K410" s="39"/>
      <c r="L410" s="208"/>
      <c r="M410" s="39"/>
      <c r="N410" s="536" t="s">
        <v>2306</v>
      </c>
    </row>
    <row r="411" spans="1:14" s="544" customFormat="1" ht="16.5" customHeight="1">
      <c r="A411" s="16"/>
      <c r="B411" s="39" t="s">
        <v>2939</v>
      </c>
      <c r="C411" s="537">
        <v>1</v>
      </c>
      <c r="D411" s="539" t="s">
        <v>273</v>
      </c>
      <c r="E411" s="540">
        <v>1</v>
      </c>
      <c r="F411" s="541">
        <v>2.72</v>
      </c>
      <c r="G411" s="541">
        <v>0.23</v>
      </c>
      <c r="H411" s="541">
        <v>1.5</v>
      </c>
      <c r="I411" s="545">
        <f t="shared" si="39"/>
        <v>0.94</v>
      </c>
      <c r="J411" s="553" t="s">
        <v>5</v>
      </c>
      <c r="K411" s="39"/>
      <c r="L411" s="208"/>
      <c r="M411" s="39"/>
      <c r="N411" s="536" t="s">
        <v>2306</v>
      </c>
    </row>
    <row r="412" spans="1:14" s="544" customFormat="1" ht="16.5" customHeight="1">
      <c r="A412" s="16"/>
      <c r="B412" s="39" t="s">
        <v>2940</v>
      </c>
      <c r="C412" s="537">
        <v>1</v>
      </c>
      <c r="D412" s="539" t="s">
        <v>273</v>
      </c>
      <c r="E412" s="540">
        <v>1</v>
      </c>
      <c r="F412" s="541">
        <v>1.27</v>
      </c>
      <c r="G412" s="541">
        <v>0.23</v>
      </c>
      <c r="H412" s="541">
        <v>1.5</v>
      </c>
      <c r="I412" s="545">
        <f>-ROUND(IF(AND(F412:H412),C412*E412*F412*G412*H412,IF(AND(F412,G412),C412*E412*F412*G412,IF(AND(F412,H412),C412*E412*F412*H412,IF(AND(G412,H412),C412*E412*G412*H412,IF(F412,C412*E412*F412,IF(G412,C412*E412*G412,IF(H412,C412*E412*H412,C412*E412))))))),2)</f>
        <v>-0.44</v>
      </c>
      <c r="J412" s="553" t="s">
        <v>5</v>
      </c>
      <c r="K412" s="39"/>
      <c r="L412" s="208"/>
      <c r="M412" s="39"/>
      <c r="N412" s="536" t="s">
        <v>2306</v>
      </c>
    </row>
    <row r="413" spans="1:14" s="544" customFormat="1" ht="16.5" customHeight="1">
      <c r="A413" s="16"/>
      <c r="B413" s="39" t="s">
        <v>2941</v>
      </c>
      <c r="C413" s="537">
        <v>1</v>
      </c>
      <c r="D413" s="539" t="s">
        <v>273</v>
      </c>
      <c r="E413" s="540">
        <v>1</v>
      </c>
      <c r="F413" s="541">
        <v>2.86</v>
      </c>
      <c r="G413" s="541">
        <v>0.23</v>
      </c>
      <c r="H413" s="541">
        <v>2.1</v>
      </c>
      <c r="I413" s="545">
        <f t="shared" ref="I413:I415" si="40">ROUND(IF(AND(F413:H413),C413*E413*F413*G413*H413,IF(AND(F413,G413),C413*E413*F413*G413,IF(AND(F413,H413),C413*E413*F413*H413,IF(AND(G413,H413),C413*E413*G413*H413,IF(F413,C413*E413*F413,IF(G413,C413*E413*G413,IF(H413,C413*E413*H413,C413*E413))))))),2)</f>
        <v>1.38</v>
      </c>
      <c r="J413" s="553" t="s">
        <v>5</v>
      </c>
      <c r="K413" s="39"/>
      <c r="L413" s="208"/>
      <c r="M413" s="39"/>
      <c r="N413" s="536" t="s">
        <v>2306</v>
      </c>
    </row>
    <row r="414" spans="1:14" s="544" customFormat="1" ht="16.5" customHeight="1">
      <c r="A414" s="16"/>
      <c r="B414" s="39" t="s">
        <v>2942</v>
      </c>
      <c r="C414" s="537">
        <v>1</v>
      </c>
      <c r="D414" s="539" t="s">
        <v>273</v>
      </c>
      <c r="E414" s="540">
        <v>1</v>
      </c>
      <c r="F414" s="541">
        <v>4.84</v>
      </c>
      <c r="G414" s="541">
        <v>0.23</v>
      </c>
      <c r="H414" s="541">
        <v>0.9</v>
      </c>
      <c r="I414" s="545">
        <f t="shared" si="40"/>
        <v>1</v>
      </c>
      <c r="J414" s="553" t="s">
        <v>5</v>
      </c>
      <c r="K414" s="39"/>
      <c r="L414" s="208"/>
      <c r="M414" s="39"/>
      <c r="N414" s="536" t="s">
        <v>2306</v>
      </c>
    </row>
    <row r="415" spans="1:14" s="544" customFormat="1" ht="16.5" customHeight="1">
      <c r="A415" s="16"/>
      <c r="B415" s="39" t="s">
        <v>2943</v>
      </c>
      <c r="C415" s="537">
        <v>1</v>
      </c>
      <c r="D415" s="539" t="s">
        <v>273</v>
      </c>
      <c r="E415" s="540">
        <v>1</v>
      </c>
      <c r="F415" s="541">
        <v>2.72</v>
      </c>
      <c r="G415" s="541">
        <v>0.23</v>
      </c>
      <c r="H415" s="541">
        <v>0.9</v>
      </c>
      <c r="I415" s="545">
        <f t="shared" si="40"/>
        <v>0.56000000000000005</v>
      </c>
      <c r="J415" s="553" t="s">
        <v>5</v>
      </c>
      <c r="K415" s="39"/>
      <c r="L415" s="208"/>
      <c r="M415" s="39"/>
      <c r="N415" s="536" t="s">
        <v>2306</v>
      </c>
    </row>
    <row r="416" spans="1:14" s="544" customFormat="1" ht="16.5" customHeight="1">
      <c r="A416" s="16"/>
      <c r="B416" s="39" t="s">
        <v>2944</v>
      </c>
      <c r="C416" s="537">
        <v>1</v>
      </c>
      <c r="D416" s="539" t="s">
        <v>273</v>
      </c>
      <c r="E416" s="540">
        <v>1</v>
      </c>
      <c r="F416" s="541">
        <v>1.2</v>
      </c>
      <c r="G416" s="541">
        <v>0.23</v>
      </c>
      <c r="H416" s="541">
        <v>0.9</v>
      </c>
      <c r="I416" s="545">
        <f>-ROUND(IF(AND(F416:H416),C416*E416*F416*G416*H416,IF(AND(F416,G416),C416*E416*F416*G416,IF(AND(F416,H416),C416*E416*F416*H416,IF(AND(G416,H416),C416*E416*G416*H416,IF(F416,C416*E416*F416,IF(G416,C416*E416*G416,IF(H416,C416*E416*H416,C416*E416))))))),2)</f>
        <v>-0.25</v>
      </c>
      <c r="J416" s="553" t="s">
        <v>5</v>
      </c>
      <c r="K416" s="39"/>
      <c r="L416" s="208"/>
      <c r="M416" s="39"/>
      <c r="N416" s="536" t="s">
        <v>2306</v>
      </c>
    </row>
    <row r="417" spans="1:14" s="544" customFormat="1" ht="16.5" customHeight="1">
      <c r="A417" s="16"/>
      <c r="B417" s="39" t="s">
        <v>2965</v>
      </c>
      <c r="C417" s="537"/>
      <c r="D417" s="539"/>
      <c r="E417" s="540"/>
      <c r="F417" s="541"/>
      <c r="G417" s="541"/>
      <c r="H417" s="541"/>
      <c r="I417" s="542"/>
      <c r="J417" s="553"/>
      <c r="K417" s="39"/>
      <c r="L417" s="208"/>
      <c r="M417" s="39"/>
      <c r="N417" s="536" t="s">
        <v>2306</v>
      </c>
    </row>
    <row r="418" spans="1:14" s="544" customFormat="1" ht="16.5" customHeight="1">
      <c r="A418" s="16"/>
      <c r="B418" s="39" t="s">
        <v>2939</v>
      </c>
      <c r="C418" s="537">
        <v>1</v>
      </c>
      <c r="D418" s="539" t="s">
        <v>273</v>
      </c>
      <c r="E418" s="540">
        <v>1</v>
      </c>
      <c r="F418" s="541">
        <v>2.72</v>
      </c>
      <c r="G418" s="541">
        <v>0.23</v>
      </c>
      <c r="H418" s="541">
        <v>1.2250000000000001</v>
      </c>
      <c r="I418" s="545">
        <f t="shared" ref="I418" si="41">ROUND(IF(AND(F418:H418),C418*E418*F418*G418*H418,IF(AND(F418,G418),C418*E418*F418*G418,IF(AND(F418,H418),C418*E418*F418*H418,IF(AND(G418,H418),C418*E418*G418*H418,IF(F418,C418*E418*F418,IF(G418,C418*E418*G418,IF(H418,C418*E418*H418,C418*E418))))))),2)</f>
        <v>0.77</v>
      </c>
      <c r="J418" s="553" t="s">
        <v>5</v>
      </c>
      <c r="K418" s="39"/>
      <c r="L418" s="208"/>
      <c r="M418" s="39"/>
      <c r="N418" s="536" t="s">
        <v>2306</v>
      </c>
    </row>
    <row r="419" spans="1:14" s="544" customFormat="1" ht="16.5" customHeight="1">
      <c r="A419" s="16"/>
      <c r="B419" s="39" t="s">
        <v>2938</v>
      </c>
      <c r="C419" s="537">
        <v>1</v>
      </c>
      <c r="D419" s="539" t="s">
        <v>273</v>
      </c>
      <c r="E419" s="540">
        <v>2</v>
      </c>
      <c r="F419" s="541">
        <v>1</v>
      </c>
      <c r="G419" s="541">
        <v>0.23</v>
      </c>
      <c r="H419" s="541">
        <v>1.2250000000000001</v>
      </c>
      <c r="I419" s="545">
        <f t="shared" ref="I419:I428" si="42">ROUND(IF(AND(F419:H419),C419*E419*F419*G419*H419,IF(AND(F419,G419),C419*E419*F419*G419,IF(AND(F419,H419),C419*E419*F419*H419,IF(AND(G419,H419),C419*E419*G419*H419,IF(F419,C419*E419*F419,IF(G419,C419*E419*G419,IF(H419,C419*E419*H419,C419*E419))))))),2)</f>
        <v>0.56000000000000005</v>
      </c>
      <c r="J419" s="553" t="s">
        <v>5</v>
      </c>
      <c r="K419" s="39"/>
      <c r="L419" s="208"/>
      <c r="M419" s="39"/>
      <c r="N419" s="536" t="s">
        <v>2306</v>
      </c>
    </row>
    <row r="420" spans="1:14" s="544" customFormat="1" ht="16.5" customHeight="1">
      <c r="A420" s="16"/>
      <c r="B420" s="39" t="s">
        <v>2940</v>
      </c>
      <c r="C420" s="537">
        <v>1</v>
      </c>
      <c r="D420" s="539" t="s">
        <v>273</v>
      </c>
      <c r="E420" s="540">
        <v>1</v>
      </c>
      <c r="F420" s="541">
        <v>1.27</v>
      </c>
      <c r="G420" s="541">
        <v>0.23</v>
      </c>
      <c r="H420" s="541">
        <v>1.2</v>
      </c>
      <c r="I420" s="545">
        <f>-ROUND(IF(AND(F420:H420),C420*E420*F420*G420*H420,IF(AND(F420,G420),C420*E420*F420*G420,IF(AND(F420,H420),C420*E420*F420*H420,IF(AND(G420,H420),C420*E420*G420*H420,IF(F420,C420*E420*F420,IF(G420,C420*E420*G420,IF(H420,C420*E420*H420,C420*E420))))))),2)</f>
        <v>-0.35</v>
      </c>
      <c r="J420" s="553" t="s">
        <v>5</v>
      </c>
      <c r="K420" s="39"/>
      <c r="L420" s="208"/>
      <c r="M420" s="39"/>
      <c r="N420" s="536" t="s">
        <v>2306</v>
      </c>
    </row>
    <row r="421" spans="1:14" s="544" customFormat="1" ht="16.5" customHeight="1">
      <c r="A421" s="16"/>
      <c r="B421" s="39" t="s">
        <v>2953</v>
      </c>
      <c r="C421" s="537">
        <v>1</v>
      </c>
      <c r="D421" s="539" t="s">
        <v>273</v>
      </c>
      <c r="E421" s="540">
        <v>1</v>
      </c>
      <c r="F421" s="541">
        <v>9.06</v>
      </c>
      <c r="G421" s="541">
        <v>0.23</v>
      </c>
      <c r="H421" s="541">
        <v>0.625</v>
      </c>
      <c r="I421" s="545">
        <f t="shared" si="42"/>
        <v>1.3</v>
      </c>
      <c r="J421" s="553" t="s">
        <v>5</v>
      </c>
      <c r="K421" s="39"/>
      <c r="L421" s="208"/>
      <c r="M421" s="39"/>
      <c r="N421" s="536" t="s">
        <v>2306</v>
      </c>
    </row>
    <row r="422" spans="1:14" s="544" customFormat="1" ht="16.5" customHeight="1">
      <c r="A422" s="16"/>
      <c r="B422" s="39" t="s">
        <v>281</v>
      </c>
      <c r="C422" s="537">
        <v>1</v>
      </c>
      <c r="D422" s="539" t="s">
        <v>273</v>
      </c>
      <c r="E422" s="540">
        <v>2</v>
      </c>
      <c r="F422" s="541">
        <v>0.23</v>
      </c>
      <c r="G422" s="541">
        <v>0.23</v>
      </c>
      <c r="H422" s="541">
        <v>0.625</v>
      </c>
      <c r="I422" s="545">
        <f>-ROUND(IF(AND(F422:H422),C422*E422*F422*G422*H422,IF(AND(F422,G422),C422*E422*F422*G422,IF(AND(F422,H422),C422*E422*F422*H422,IF(AND(G422,H422),C422*E422*G422*H422,IF(F422,C422*E422*F422,IF(G422,C422*E422*G422,IF(H422,C422*E422*H422,C422*E422))))))),2)</f>
        <v>-7.0000000000000007E-2</v>
      </c>
      <c r="J422" s="553" t="s">
        <v>5</v>
      </c>
      <c r="K422" s="39"/>
      <c r="L422" s="208"/>
      <c r="M422" s="39"/>
      <c r="N422" s="536" t="s">
        <v>2306</v>
      </c>
    </row>
    <row r="423" spans="1:14" s="544" customFormat="1" ht="16.5" customHeight="1">
      <c r="A423" s="16"/>
      <c r="B423" s="39" t="s">
        <v>2963</v>
      </c>
      <c r="C423" s="537">
        <v>1</v>
      </c>
      <c r="D423" s="539" t="s">
        <v>273</v>
      </c>
      <c r="E423" s="540">
        <v>1</v>
      </c>
      <c r="F423" s="541">
        <v>2.86</v>
      </c>
      <c r="G423" s="541">
        <v>0.23</v>
      </c>
      <c r="H423" s="541">
        <v>0.625</v>
      </c>
      <c r="I423" s="545">
        <f t="shared" si="42"/>
        <v>0.41</v>
      </c>
      <c r="J423" s="553" t="s">
        <v>5</v>
      </c>
      <c r="K423" s="39"/>
      <c r="L423" s="208"/>
      <c r="M423" s="39"/>
      <c r="N423" s="536" t="s">
        <v>2306</v>
      </c>
    </row>
    <row r="424" spans="1:14" s="544" customFormat="1" ht="16.5" customHeight="1">
      <c r="A424" s="16"/>
      <c r="B424" s="39" t="s">
        <v>2964</v>
      </c>
      <c r="C424" s="537">
        <v>1</v>
      </c>
      <c r="D424" s="539" t="s">
        <v>273</v>
      </c>
      <c r="E424" s="540">
        <v>1</v>
      </c>
      <c r="F424" s="541">
        <v>4.84</v>
      </c>
      <c r="G424" s="541">
        <v>0.23</v>
      </c>
      <c r="H424" s="541">
        <v>0.54500000000000004</v>
      </c>
      <c r="I424" s="545">
        <f t="shared" si="42"/>
        <v>0.61</v>
      </c>
      <c r="J424" s="553" t="s">
        <v>5</v>
      </c>
      <c r="K424" s="39"/>
      <c r="L424" s="208"/>
      <c r="M424" s="39"/>
      <c r="N424" s="536" t="s">
        <v>2306</v>
      </c>
    </row>
    <row r="425" spans="1:14" s="544" customFormat="1" ht="16.5" customHeight="1">
      <c r="A425" s="16"/>
      <c r="B425" s="39" t="s">
        <v>2956</v>
      </c>
      <c r="C425" s="537">
        <v>1</v>
      </c>
      <c r="D425" s="539" t="s">
        <v>273</v>
      </c>
      <c r="E425" s="540">
        <v>1</v>
      </c>
      <c r="F425" s="541">
        <v>8.91</v>
      </c>
      <c r="G425" s="541">
        <v>0.23</v>
      </c>
      <c r="H425" s="541">
        <v>0.625</v>
      </c>
      <c r="I425" s="545">
        <f t="shared" si="42"/>
        <v>1.28</v>
      </c>
      <c r="J425" s="553" t="s">
        <v>5</v>
      </c>
      <c r="K425" s="39"/>
      <c r="L425" s="208"/>
      <c r="M425" s="39"/>
      <c r="N425" s="536" t="s">
        <v>2306</v>
      </c>
    </row>
    <row r="426" spans="1:14" s="544" customFormat="1" ht="16.5" customHeight="1">
      <c r="A426" s="16"/>
      <c r="B426" s="39" t="s">
        <v>281</v>
      </c>
      <c r="C426" s="537">
        <v>1</v>
      </c>
      <c r="D426" s="539" t="s">
        <v>273</v>
      </c>
      <c r="E426" s="540">
        <v>1</v>
      </c>
      <c r="F426" s="541">
        <v>0.23</v>
      </c>
      <c r="G426" s="541">
        <v>0.23</v>
      </c>
      <c r="H426" s="541">
        <v>0.625</v>
      </c>
      <c r="I426" s="545">
        <f>-ROUND(IF(AND(F426:H426),C426*E426*F426*G426*H426,IF(AND(F426,G426),C426*E426*F426*G426,IF(AND(F426,H426),C426*E426*F426*H426,IF(AND(G426,H426),C426*E426*G426*H426,IF(F426,C426*E426*F426,IF(G426,C426*E426*G426,IF(H426,C426*E426*H426,C426*E426))))))),2)</f>
        <v>-0.03</v>
      </c>
      <c r="J426" s="553" t="s">
        <v>5</v>
      </c>
      <c r="K426" s="39"/>
      <c r="L426" s="208"/>
      <c r="M426" s="39"/>
      <c r="N426" s="536" t="s">
        <v>2306</v>
      </c>
    </row>
    <row r="427" spans="1:14" s="544" customFormat="1" ht="16.5" customHeight="1">
      <c r="A427" s="16"/>
      <c r="B427" s="39"/>
      <c r="C427" s="537">
        <v>1</v>
      </c>
      <c r="D427" s="539" t="s">
        <v>273</v>
      </c>
      <c r="E427" s="540">
        <v>1</v>
      </c>
      <c r="F427" s="541">
        <v>0.38</v>
      </c>
      <c r="G427" s="541">
        <v>0.23</v>
      </c>
      <c r="H427" s="541">
        <v>0.625</v>
      </c>
      <c r="I427" s="545">
        <f>-ROUND(IF(AND(F427:H427),C427*E427*F427*G427*H427,IF(AND(F427,G427),C427*E427*F427*G427,IF(AND(F427,H427),C427*E427*F427*H427,IF(AND(G427,H427),C427*E427*G427*H427,IF(F427,C427*E427*F427,IF(G427,C427*E427*G427,IF(H427,C427*E427*H427,C427*E427))))))),2)</f>
        <v>-0.05</v>
      </c>
      <c r="J427" s="553" t="s">
        <v>5</v>
      </c>
      <c r="K427" s="39"/>
      <c r="L427" s="208"/>
      <c r="M427" s="39"/>
      <c r="N427" s="536" t="s">
        <v>2306</v>
      </c>
    </row>
    <row r="428" spans="1:14" s="544" customFormat="1" ht="16.5" customHeight="1">
      <c r="A428" s="16"/>
      <c r="B428" s="39" t="s">
        <v>2941</v>
      </c>
      <c r="C428" s="537">
        <v>1</v>
      </c>
      <c r="D428" s="539" t="s">
        <v>273</v>
      </c>
      <c r="E428" s="540">
        <v>1</v>
      </c>
      <c r="F428" s="541">
        <v>2.86</v>
      </c>
      <c r="G428" s="541">
        <v>0.23</v>
      </c>
      <c r="H428" s="541">
        <v>0.625</v>
      </c>
      <c r="I428" s="545">
        <f t="shared" si="42"/>
        <v>0.41</v>
      </c>
      <c r="J428" s="553" t="s">
        <v>5</v>
      </c>
      <c r="K428" s="39"/>
      <c r="L428" s="208"/>
      <c r="M428" s="39"/>
      <c r="N428" s="536" t="s">
        <v>2306</v>
      </c>
    </row>
    <row r="429" spans="1:14" s="544" customFormat="1" ht="16.5" customHeight="1">
      <c r="A429" s="16"/>
      <c r="B429" s="39" t="s">
        <v>581</v>
      </c>
      <c r="C429" s="537">
        <v>1</v>
      </c>
      <c r="D429" s="539" t="s">
        <v>273</v>
      </c>
      <c r="E429" s="540">
        <v>6</v>
      </c>
      <c r="F429" s="541">
        <v>0.6</v>
      </c>
      <c r="G429" s="541">
        <v>0.23</v>
      </c>
      <c r="H429" s="541">
        <v>0.3</v>
      </c>
      <c r="I429" s="545">
        <f>-ROUND(IF(AND(F429:H429),C429*E429*F429*G429*H429,IF(AND(F429,G429),C429*E429*F429*G429,IF(AND(F429,H429),C429*E429*F429*H429,IF(AND(G429,H429),C429*E429*G429*H429,IF(F429,C429*E429*F429,IF(G429,C429*E429*G429,IF(H429,C429*E429*H429,C429*E429))))))),2)</f>
        <v>-0.25</v>
      </c>
      <c r="J429" s="553" t="s">
        <v>5</v>
      </c>
      <c r="K429" s="39"/>
      <c r="L429" s="208"/>
      <c r="M429" s="39"/>
      <c r="N429" s="536" t="s">
        <v>2306</v>
      </c>
    </row>
    <row r="430" spans="1:14" s="544" customFormat="1" ht="16.5" customHeight="1">
      <c r="A430" s="16"/>
      <c r="B430" s="39" t="s">
        <v>2966</v>
      </c>
      <c r="C430" s="537">
        <v>1</v>
      </c>
      <c r="D430" s="539" t="s">
        <v>273</v>
      </c>
      <c r="E430" s="540">
        <v>3</v>
      </c>
      <c r="F430" s="541">
        <v>0.3</v>
      </c>
      <c r="G430" s="541">
        <v>0.23</v>
      </c>
      <c r="H430" s="541">
        <v>0.3</v>
      </c>
      <c r="I430" s="545">
        <f>-ROUND(IF(AND(F430:H430),C430*E430*F430*G430*H430,IF(AND(F430,G430),C430*E430*F430*G430,IF(AND(F430,H430),C430*E430*F430*H430,IF(AND(G430,H430),C430*E430*G430*H430,IF(F430,C430*E430*F430,IF(G430,C430*E430*G430,IF(H430,C430*E430*H430,C430*E430))))))),2)</f>
        <v>-0.06</v>
      </c>
      <c r="J430" s="553" t="s">
        <v>5</v>
      </c>
      <c r="K430" s="39"/>
      <c r="L430" s="208"/>
      <c r="M430" s="39"/>
      <c r="N430" s="536" t="s">
        <v>2306</v>
      </c>
    </row>
    <row r="431" spans="1:14" s="544" customFormat="1" ht="16.5" customHeight="1">
      <c r="A431" s="16"/>
      <c r="B431" s="39" t="s">
        <v>2965</v>
      </c>
      <c r="C431" s="537"/>
      <c r="D431" s="539"/>
      <c r="E431" s="540"/>
      <c r="F431" s="541"/>
      <c r="G431" s="541"/>
      <c r="H431" s="541"/>
      <c r="I431" s="545"/>
      <c r="J431" s="553"/>
      <c r="K431" s="39"/>
      <c r="L431" s="208"/>
      <c r="M431" s="39"/>
      <c r="N431" s="536" t="s">
        <v>2306</v>
      </c>
    </row>
    <row r="432" spans="1:14" s="544" customFormat="1" ht="16.5" customHeight="1">
      <c r="A432" s="16"/>
      <c r="B432" s="39" t="s">
        <v>801</v>
      </c>
      <c r="C432" s="537">
        <v>0.5</v>
      </c>
      <c r="D432" s="539" t="s">
        <v>273</v>
      </c>
      <c r="E432" s="540">
        <v>11</v>
      </c>
      <c r="F432" s="541">
        <v>1.3</v>
      </c>
      <c r="G432" s="541">
        <v>0.3</v>
      </c>
      <c r="H432" s="541">
        <v>0.15</v>
      </c>
      <c r="I432" s="545">
        <f>ROUND(IF(AND(F432:H432),C432*E432*F432*G432*H432,IF(AND(F432,G432),C432*E432*F432*G432,IF(AND(F432,H432),C432*E432*F432*H432,IF(AND(G432,H432),C432*E432*G432*H432,IF(F432,C432*E432*F432,IF(G432,C432*E432*G432,IF(H432,C432*E432*H432,C432*E432))))))),2)</f>
        <v>0.32</v>
      </c>
      <c r="J432" s="553" t="s">
        <v>5</v>
      </c>
      <c r="K432" s="39"/>
      <c r="L432" s="208"/>
      <c r="M432" s="39"/>
      <c r="N432" s="536" t="s">
        <v>2306</v>
      </c>
    </row>
    <row r="433" spans="1:14" s="544" customFormat="1" ht="16.5" customHeight="1">
      <c r="A433" s="16"/>
      <c r="B433" s="39" t="s">
        <v>800</v>
      </c>
      <c r="C433" s="537">
        <v>0.5</v>
      </c>
      <c r="D433" s="539" t="s">
        <v>273</v>
      </c>
      <c r="E433" s="540">
        <v>10</v>
      </c>
      <c r="F433" s="541">
        <v>1.3</v>
      </c>
      <c r="G433" s="541">
        <v>0.3</v>
      </c>
      <c r="H433" s="541">
        <v>0.15</v>
      </c>
      <c r="I433" s="545">
        <f>ROUND(IF(AND(F433:H433),C433*E433*F433*G433*H433,IF(AND(F433,G433),C433*E433*F433*G433,IF(AND(F433,H433),C433*E433*F433*H433,IF(AND(G433,H433),C433*E433*G433*H433,IF(F433,C433*E433*F433,IF(G433,C433*E433*G433,IF(H433,C433*E433*H433,C433*E433))))))),2)</f>
        <v>0.28999999999999998</v>
      </c>
      <c r="J433" s="553" t="s">
        <v>5</v>
      </c>
      <c r="K433" s="39"/>
      <c r="L433" s="208"/>
      <c r="M433" s="39"/>
      <c r="N433" s="536" t="s">
        <v>2306</v>
      </c>
    </row>
    <row r="434" spans="1:14" s="544" customFormat="1" ht="16.5" customHeight="1">
      <c r="A434" s="16"/>
      <c r="B434" s="547"/>
      <c r="C434" s="548"/>
      <c r="D434" s="549"/>
      <c r="E434" s="550"/>
      <c r="F434" s="551"/>
      <c r="G434" s="551"/>
      <c r="H434" s="551"/>
      <c r="I434" s="552"/>
      <c r="J434" s="553"/>
      <c r="K434" s="39"/>
      <c r="L434" s="208"/>
      <c r="M434" s="39"/>
      <c r="N434" s="536" t="s">
        <v>2306</v>
      </c>
    </row>
    <row r="435" spans="1:14" ht="15.75">
      <c r="A435" s="16"/>
      <c r="B435" s="39"/>
      <c r="C435" s="554"/>
      <c r="D435" s="555"/>
      <c r="E435" s="540"/>
      <c r="F435" s="541"/>
      <c r="G435" s="40"/>
      <c r="H435" s="16"/>
      <c r="I435" s="552"/>
      <c r="J435" s="553" t="s">
        <v>5</v>
      </c>
      <c r="K435" s="10">
        <f>data!F1293</f>
        <v>6135.0899999999992</v>
      </c>
      <c r="L435" s="208" t="s">
        <v>2306</v>
      </c>
      <c r="M435" s="9">
        <f>ROUND(I435*K435,0)</f>
        <v>0</v>
      </c>
      <c r="N435" s="536" t="s">
        <v>2306</v>
      </c>
    </row>
    <row r="436" spans="1:14" ht="69.75" customHeight="1">
      <c r="A436" s="16">
        <v>9</v>
      </c>
      <c r="B436" s="1858" t="s">
        <v>649</v>
      </c>
      <c r="C436" s="1858"/>
      <c r="D436" s="1858"/>
      <c r="E436" s="1858"/>
      <c r="F436" s="1858"/>
      <c r="G436" s="1858"/>
      <c r="H436" s="1858"/>
      <c r="I436" s="537"/>
      <c r="J436" s="538"/>
      <c r="K436" s="16"/>
      <c r="L436" s="208"/>
      <c r="M436" s="38"/>
      <c r="N436" s="536" t="s">
        <v>2317</v>
      </c>
    </row>
    <row r="437" spans="1:14" s="544" customFormat="1" ht="16.5" customHeight="1">
      <c r="A437" s="16"/>
      <c r="B437" s="39" t="s">
        <v>3105</v>
      </c>
      <c r="C437" s="537"/>
      <c r="D437" s="539"/>
      <c r="E437" s="540"/>
      <c r="F437" s="541"/>
      <c r="G437" s="541"/>
      <c r="H437" s="541"/>
      <c r="I437" s="542"/>
      <c r="J437" s="553"/>
      <c r="K437" s="39"/>
      <c r="L437" s="208"/>
      <c r="M437" s="39"/>
      <c r="N437" s="536" t="s">
        <v>2317</v>
      </c>
    </row>
    <row r="438" spans="1:14" s="544" customFormat="1" ht="16.5" customHeight="1">
      <c r="A438" s="16"/>
      <c r="B438" s="39"/>
      <c r="C438" s="537">
        <v>1</v>
      </c>
      <c r="D438" s="539" t="s">
        <v>273</v>
      </c>
      <c r="E438" s="540">
        <v>1</v>
      </c>
      <c r="F438" s="541">
        <v>9.2899999999999991</v>
      </c>
      <c r="G438" s="541">
        <v>0.23</v>
      </c>
      <c r="H438" s="541">
        <v>2.1</v>
      </c>
      <c r="I438" s="545">
        <f t="shared" ref="I438:I441" si="43">ROUND(IF(AND(F438:H438),C438*E438*F438*G438*H438,IF(AND(F438,G438),C438*E438*F438*G438,IF(AND(F438,H438),C438*E438*F438*H438,IF(AND(G438,H438),C438*E438*G438*H438,IF(F438,C438*E438*F438,IF(G438,C438*E438*G438,IF(H438,C438*E438*H438,C438*E438))))))),2)</f>
        <v>4.49</v>
      </c>
      <c r="J438" s="553" t="s">
        <v>5</v>
      </c>
      <c r="K438" s="39"/>
      <c r="L438" s="208"/>
      <c r="M438" s="39"/>
      <c r="N438" s="536" t="s">
        <v>2317</v>
      </c>
    </row>
    <row r="439" spans="1:14" s="544" customFormat="1" ht="16.5" customHeight="1">
      <c r="A439" s="16"/>
      <c r="B439" s="39"/>
      <c r="C439" s="537">
        <v>1</v>
      </c>
      <c r="D439" s="539" t="s">
        <v>273</v>
      </c>
      <c r="E439" s="540">
        <v>1</v>
      </c>
      <c r="F439" s="541">
        <v>12.47</v>
      </c>
      <c r="G439" s="541">
        <v>0.23</v>
      </c>
      <c r="H439" s="541">
        <v>2.1</v>
      </c>
      <c r="I439" s="545">
        <f t="shared" si="43"/>
        <v>6.02</v>
      </c>
      <c r="J439" s="553" t="s">
        <v>5</v>
      </c>
      <c r="K439" s="39"/>
      <c r="L439" s="208"/>
      <c r="M439" s="39"/>
      <c r="N439" s="536" t="s">
        <v>2317</v>
      </c>
    </row>
    <row r="440" spans="1:14" s="544" customFormat="1" ht="16.5" customHeight="1">
      <c r="A440" s="16"/>
      <c r="B440" s="39"/>
      <c r="C440" s="537">
        <v>1</v>
      </c>
      <c r="D440" s="539" t="s">
        <v>273</v>
      </c>
      <c r="E440" s="540">
        <v>1</v>
      </c>
      <c r="F440" s="541">
        <v>8.3800000000000008</v>
      </c>
      <c r="G440" s="541">
        <v>0.23</v>
      </c>
      <c r="H440" s="541">
        <v>2.1</v>
      </c>
      <c r="I440" s="545">
        <f t="shared" si="43"/>
        <v>4.05</v>
      </c>
      <c r="J440" s="553" t="s">
        <v>5</v>
      </c>
      <c r="K440" s="39"/>
      <c r="L440" s="208"/>
      <c r="M440" s="39"/>
      <c r="N440" s="536" t="s">
        <v>2317</v>
      </c>
    </row>
    <row r="441" spans="1:14" s="544" customFormat="1" ht="16.5" customHeight="1">
      <c r="A441" s="16"/>
      <c r="B441" s="39"/>
      <c r="C441" s="537">
        <v>1</v>
      </c>
      <c r="D441" s="539" t="s">
        <v>273</v>
      </c>
      <c r="E441" s="540">
        <v>1</v>
      </c>
      <c r="F441" s="541">
        <v>8.3800000000000008</v>
      </c>
      <c r="G441" s="541">
        <v>0.23</v>
      </c>
      <c r="H441" s="541">
        <v>2.1</v>
      </c>
      <c r="I441" s="545">
        <f t="shared" si="43"/>
        <v>4.05</v>
      </c>
      <c r="J441" s="553" t="s">
        <v>5</v>
      </c>
      <c r="K441" s="39"/>
      <c r="L441" s="208"/>
      <c r="M441" s="39"/>
      <c r="N441" s="536" t="s">
        <v>2317</v>
      </c>
    </row>
    <row r="442" spans="1:14" s="544" customFormat="1" ht="16.5" customHeight="1">
      <c r="A442" s="16"/>
      <c r="B442" s="39"/>
      <c r="C442" s="537">
        <v>1</v>
      </c>
      <c r="D442" s="539" t="s">
        <v>273</v>
      </c>
      <c r="E442" s="540">
        <v>1</v>
      </c>
      <c r="F442" s="541">
        <v>1.2</v>
      </c>
      <c r="G442" s="541">
        <v>0.23</v>
      </c>
      <c r="H442" s="541">
        <v>2.1</v>
      </c>
      <c r="I442" s="545">
        <f>-ROUND(IF(AND(F442:H442),C442*E442*F442*G442*H442,IF(AND(F442,G442),C442*E442*F442*G442,IF(AND(F442,H442),C442*E442*F442*H442,IF(AND(G442,H442),C442*E442*G442*H442,IF(F442,C442*E442*F442,IF(G442,C442*E442*G442,IF(H442,C442*E442*H442,C442*E442))))))),2)</f>
        <v>-0.57999999999999996</v>
      </c>
      <c r="J442" s="553" t="s">
        <v>5</v>
      </c>
      <c r="K442" s="39"/>
      <c r="L442" s="208"/>
      <c r="M442" s="39"/>
      <c r="N442" s="536" t="s">
        <v>2317</v>
      </c>
    </row>
    <row r="443" spans="1:14" s="544" customFormat="1" ht="16.5" customHeight="1">
      <c r="A443" s="16"/>
      <c r="B443" s="39"/>
      <c r="C443" s="537">
        <v>1</v>
      </c>
      <c r="D443" s="539" t="s">
        <v>273</v>
      </c>
      <c r="E443" s="540">
        <v>7</v>
      </c>
      <c r="F443" s="541">
        <v>1.5</v>
      </c>
      <c r="G443" s="541">
        <v>0.23</v>
      </c>
      <c r="H443" s="541">
        <v>1.35</v>
      </c>
      <c r="I443" s="545">
        <f>-ROUND(IF(AND(F443:H443),C443*E443*F443*G443*H443,IF(AND(F443,G443),C443*E443*F443*G443,IF(AND(F443,H443),C443*E443*F443*H443,IF(AND(G443,H443),C443*E443*G443*H443,IF(F443,C443*E443*F443,IF(G443,C443*E443*G443,IF(H443,C443*E443*H443,C443*E443))))))),2)</f>
        <v>-3.26</v>
      </c>
      <c r="J443" s="553" t="s">
        <v>5</v>
      </c>
      <c r="K443" s="39"/>
      <c r="L443" s="208"/>
      <c r="M443" s="39"/>
      <c r="N443" s="536" t="s">
        <v>2317</v>
      </c>
    </row>
    <row r="444" spans="1:14" s="544" customFormat="1" ht="16.5" customHeight="1">
      <c r="A444" s="16"/>
      <c r="B444" s="39"/>
      <c r="C444" s="537">
        <v>1</v>
      </c>
      <c r="D444" s="539" t="s">
        <v>273</v>
      </c>
      <c r="E444" s="540">
        <v>1</v>
      </c>
      <c r="F444" s="541">
        <v>1.2</v>
      </c>
      <c r="G444" s="541">
        <v>0.23</v>
      </c>
      <c r="H444" s="541">
        <v>2.1</v>
      </c>
      <c r="I444" s="545">
        <f>-ROUND(IF(AND(F444:H444),C444*E444*F444*G444*H444,IF(AND(F444,G444),C444*E444*F444*G444,IF(AND(F444,H444),C444*E444*F444*H444,IF(AND(G444,H444),C444*E444*G444*H444,IF(F444,C444*E444*F444,IF(G444,C444*E444*G444,IF(H444,C444*E444*H444,C444*E444))))))),2)</f>
        <v>-0.57999999999999996</v>
      </c>
      <c r="J444" s="553" t="s">
        <v>5</v>
      </c>
      <c r="K444" s="39"/>
      <c r="L444" s="208"/>
      <c r="M444" s="39"/>
      <c r="N444" s="536" t="s">
        <v>2317</v>
      </c>
    </row>
    <row r="445" spans="1:14" s="544" customFormat="1" ht="16.5" customHeight="1">
      <c r="A445" s="16"/>
      <c r="B445" s="39"/>
      <c r="C445" s="537">
        <v>1</v>
      </c>
      <c r="D445" s="539" t="s">
        <v>273</v>
      </c>
      <c r="E445" s="540">
        <v>2</v>
      </c>
      <c r="F445" s="541">
        <v>0.75</v>
      </c>
      <c r="G445" s="541">
        <v>0.23</v>
      </c>
      <c r="H445" s="541">
        <v>2.1</v>
      </c>
      <c r="I445" s="545">
        <f>-ROUND(IF(AND(F445:H445),C445*E445*F445*G445*H445,IF(AND(F445,G445),C445*E445*F445*G445,IF(AND(F445,H445),C445*E445*F445*H445,IF(AND(G445,H445),C445*E445*G445*H445,IF(F445,C445*E445*F445,IF(G445,C445*E445*G445,IF(H445,C445*E445*H445,C445*E445))))))),2)</f>
        <v>-0.72</v>
      </c>
      <c r="J445" s="553" t="s">
        <v>5</v>
      </c>
      <c r="K445" s="39"/>
      <c r="L445" s="208"/>
      <c r="M445" s="39"/>
      <c r="N445" s="536" t="s">
        <v>2317</v>
      </c>
    </row>
    <row r="446" spans="1:14" s="544" customFormat="1" ht="16.5" customHeight="1">
      <c r="A446" s="16"/>
      <c r="B446" s="39" t="s">
        <v>3106</v>
      </c>
      <c r="C446" s="537"/>
      <c r="D446" s="539"/>
      <c r="E446" s="540"/>
      <c r="F446" s="541"/>
      <c r="G446" s="541"/>
      <c r="H446" s="541"/>
      <c r="I446" s="542"/>
      <c r="J446" s="553"/>
      <c r="K446" s="39"/>
      <c r="L446" s="208"/>
      <c r="M446" s="39"/>
      <c r="N446" s="536" t="s">
        <v>2317</v>
      </c>
    </row>
    <row r="447" spans="1:14" s="544" customFormat="1" ht="16.5" customHeight="1">
      <c r="A447" s="16"/>
      <c r="B447" s="39"/>
      <c r="C447" s="537">
        <v>1</v>
      </c>
      <c r="D447" s="539" t="s">
        <v>273</v>
      </c>
      <c r="E447" s="540">
        <v>1</v>
      </c>
      <c r="F447" s="541">
        <v>9.2899999999999991</v>
      </c>
      <c r="G447" s="541">
        <v>0.23</v>
      </c>
      <c r="H447" s="541">
        <v>0.62</v>
      </c>
      <c r="I447" s="545">
        <f t="shared" ref="I447:I450" si="44">ROUND(IF(AND(F447:H447),C447*E447*F447*G447*H447,IF(AND(F447,G447),C447*E447*F447*G447,IF(AND(F447,H447),C447*E447*F447*H447,IF(AND(G447,H447),C447*E447*G447*H447,IF(F447,C447*E447*F447,IF(G447,C447*E447*G447,IF(H447,C447*E447*H447,C447*E447))))))),2)</f>
        <v>1.32</v>
      </c>
      <c r="J447" s="553" t="s">
        <v>5</v>
      </c>
      <c r="K447" s="39"/>
      <c r="L447" s="208"/>
      <c r="M447" s="39"/>
      <c r="N447" s="536" t="s">
        <v>2317</v>
      </c>
    </row>
    <row r="448" spans="1:14" s="544" customFormat="1" ht="16.5" customHeight="1">
      <c r="A448" s="16"/>
      <c r="B448" s="39"/>
      <c r="C448" s="537">
        <v>1</v>
      </c>
      <c r="D448" s="539" t="s">
        <v>273</v>
      </c>
      <c r="E448" s="540">
        <v>1</v>
      </c>
      <c r="F448" s="541">
        <v>12.47</v>
      </c>
      <c r="G448" s="541">
        <v>0.23</v>
      </c>
      <c r="H448" s="541">
        <v>0.62</v>
      </c>
      <c r="I448" s="545">
        <f t="shared" si="44"/>
        <v>1.78</v>
      </c>
      <c r="J448" s="553" t="s">
        <v>5</v>
      </c>
      <c r="K448" s="39"/>
      <c r="L448" s="208"/>
      <c r="M448" s="39"/>
      <c r="N448" s="536" t="s">
        <v>2317</v>
      </c>
    </row>
    <row r="449" spans="1:14" s="544" customFormat="1" ht="16.5" customHeight="1">
      <c r="A449" s="16"/>
      <c r="B449" s="39"/>
      <c r="C449" s="537">
        <v>1</v>
      </c>
      <c r="D449" s="539" t="s">
        <v>273</v>
      </c>
      <c r="E449" s="540">
        <v>2</v>
      </c>
      <c r="F449" s="541">
        <v>4.99</v>
      </c>
      <c r="G449" s="541">
        <v>0.23</v>
      </c>
      <c r="H449" s="541">
        <v>0.55000000000000004</v>
      </c>
      <c r="I449" s="545">
        <f t="shared" si="44"/>
        <v>1.26</v>
      </c>
      <c r="J449" s="553" t="s">
        <v>5</v>
      </c>
      <c r="K449" s="39"/>
      <c r="L449" s="208"/>
      <c r="M449" s="39"/>
      <c r="N449" s="536" t="s">
        <v>2317</v>
      </c>
    </row>
    <row r="450" spans="1:14" s="544" customFormat="1" ht="16.5" customHeight="1">
      <c r="A450" s="16"/>
      <c r="B450" s="39"/>
      <c r="C450" s="537">
        <v>1</v>
      </c>
      <c r="D450" s="539" t="s">
        <v>273</v>
      </c>
      <c r="E450" s="540">
        <v>2</v>
      </c>
      <c r="F450" s="541">
        <v>3.16</v>
      </c>
      <c r="G450" s="541">
        <v>0.23</v>
      </c>
      <c r="H450" s="541">
        <v>0.7</v>
      </c>
      <c r="I450" s="545">
        <f t="shared" si="44"/>
        <v>1.02</v>
      </c>
      <c r="J450" s="553" t="s">
        <v>5</v>
      </c>
      <c r="K450" s="39"/>
      <c r="L450" s="208"/>
      <c r="M450" s="39"/>
      <c r="N450" s="536" t="s">
        <v>2317</v>
      </c>
    </row>
    <row r="451" spans="1:14" s="544" customFormat="1" ht="16.5" customHeight="1">
      <c r="A451" s="16"/>
      <c r="B451" s="39"/>
      <c r="C451" s="537">
        <v>1</v>
      </c>
      <c r="D451" s="539" t="s">
        <v>273</v>
      </c>
      <c r="E451" s="540">
        <v>1</v>
      </c>
      <c r="F451" s="541">
        <v>0.23</v>
      </c>
      <c r="G451" s="541">
        <v>0.38</v>
      </c>
      <c r="H451" s="541">
        <v>0.62</v>
      </c>
      <c r="I451" s="545">
        <f t="shared" ref="I451" si="45">-ROUND(IF(AND(F451:H451),C451*E451*F451*G451*H451,IF(AND(F451,G451),C451*E451*F451*G451,IF(AND(F451,H451),C451*E451*F451*H451,IF(AND(G451,H451),C451*E451*G451*H451,IF(F451,C451*E451*F451,IF(G451,C451*E451*G451,IF(H451,C451*E451*H451,C451*E451))))))),2)</f>
        <v>-0.05</v>
      </c>
      <c r="J451" s="553" t="s">
        <v>5</v>
      </c>
      <c r="K451" s="39"/>
      <c r="L451" s="208"/>
      <c r="M451" s="39"/>
      <c r="N451" s="536" t="s">
        <v>2317</v>
      </c>
    </row>
    <row r="452" spans="1:14" s="544" customFormat="1" ht="16.5" customHeight="1">
      <c r="A452" s="16"/>
      <c r="B452" s="39"/>
      <c r="C452" s="537">
        <v>1</v>
      </c>
      <c r="D452" s="539" t="s">
        <v>273</v>
      </c>
      <c r="E452" s="540">
        <v>12</v>
      </c>
      <c r="F452" s="541">
        <v>0.6</v>
      </c>
      <c r="G452" s="541">
        <v>0.23</v>
      </c>
      <c r="H452" s="541">
        <v>0.3</v>
      </c>
      <c r="I452" s="545">
        <f>-ROUND(IF(AND(F452:H452),C452*E452*F452*G452*H452,IF(AND(F452,G452),C452*E452*F452*G452,IF(AND(F452,H452),C452*E452*F452*H452,IF(AND(G452,H452),C452*E452*G452*H452,IF(F452,C452*E452*F452,IF(G452,C452*E452*G452,IF(H452,C452*E452*H452,C452*E452))))))),2)</f>
        <v>-0.5</v>
      </c>
      <c r="J452" s="553" t="s">
        <v>5</v>
      </c>
      <c r="K452" s="39"/>
      <c r="L452" s="208"/>
      <c r="M452" s="39"/>
      <c r="N452" s="536" t="s">
        <v>2317</v>
      </c>
    </row>
    <row r="453" spans="1:14" s="544" customFormat="1" ht="16.5" customHeight="1">
      <c r="A453" s="16"/>
      <c r="B453" s="547"/>
      <c r="C453" s="548"/>
      <c r="D453" s="549"/>
      <c r="E453" s="550"/>
      <c r="F453" s="551"/>
      <c r="G453" s="551"/>
      <c r="H453" s="551"/>
      <c r="I453" s="552"/>
      <c r="J453" s="553"/>
      <c r="K453" s="39"/>
      <c r="L453" s="208"/>
      <c r="M453" s="39"/>
      <c r="N453" s="536" t="s">
        <v>2317</v>
      </c>
    </row>
    <row r="454" spans="1:14" ht="15.75">
      <c r="A454" s="16"/>
      <c r="B454" s="39"/>
      <c r="C454" s="554"/>
      <c r="D454" s="555"/>
      <c r="E454" s="540"/>
      <c r="F454" s="541"/>
      <c r="G454" s="40"/>
      <c r="H454" s="16"/>
      <c r="I454" s="552"/>
      <c r="J454" s="553" t="s">
        <v>5</v>
      </c>
      <c r="K454" s="10">
        <f>data!F2210</f>
        <v>6558.3</v>
      </c>
      <c r="L454" s="208" t="s">
        <v>2317</v>
      </c>
      <c r="M454" s="9">
        <f>ROUND(I454*K454,0)</f>
        <v>0</v>
      </c>
      <c r="N454" s="536" t="s">
        <v>2317</v>
      </c>
    </row>
    <row r="455" spans="1:14" ht="69.75" customHeight="1">
      <c r="A455" s="16">
        <v>9</v>
      </c>
      <c r="B455" s="1858" t="s">
        <v>649</v>
      </c>
      <c r="C455" s="1858"/>
      <c r="D455" s="1858"/>
      <c r="E455" s="1858"/>
      <c r="F455" s="1858"/>
      <c r="G455" s="1858"/>
      <c r="H455" s="1858"/>
      <c r="I455" s="537"/>
      <c r="J455" s="538"/>
      <c r="K455" s="16"/>
      <c r="L455" s="208"/>
      <c r="M455" s="38"/>
      <c r="N455" s="536" t="s">
        <v>2318</v>
      </c>
    </row>
    <row r="456" spans="1:14" s="544" customFormat="1" ht="16.5" customHeight="1">
      <c r="A456" s="16"/>
      <c r="B456" s="39" t="s">
        <v>3094</v>
      </c>
      <c r="C456" s="537"/>
      <c r="D456" s="539"/>
      <c r="E456" s="540"/>
      <c r="F456" s="541"/>
      <c r="G456" s="541"/>
      <c r="H456" s="541"/>
      <c r="I456" s="542"/>
      <c r="J456" s="553"/>
      <c r="K456" s="39"/>
      <c r="L456" s="208"/>
      <c r="M456" s="39"/>
      <c r="N456" s="536" t="s">
        <v>2318</v>
      </c>
    </row>
    <row r="457" spans="1:14" s="544" customFormat="1" ht="16.5" customHeight="1">
      <c r="A457" s="16"/>
      <c r="B457" s="39"/>
      <c r="C457" s="537">
        <v>1</v>
      </c>
      <c r="D457" s="539" t="s">
        <v>273</v>
      </c>
      <c r="E457" s="540">
        <v>1</v>
      </c>
      <c r="F457" s="541">
        <v>2.68</v>
      </c>
      <c r="G457" s="541">
        <v>0.23</v>
      </c>
      <c r="H457" s="541">
        <v>1.2</v>
      </c>
      <c r="I457" s="545">
        <f t="shared" ref="I457" si="46">ROUND(IF(AND(F457:H457),C457*E457*F457*G457*H457,IF(AND(F457,G457),C457*E457*F457*G457,IF(AND(F457,H457),C457*E457*F457*H457,IF(AND(G457,H457),C457*E457*G457*H457,IF(F457,C457*E457*F457,IF(G457,C457*E457*G457,IF(H457,C457*E457*H457,C457*E457))))))),2)</f>
        <v>0.74</v>
      </c>
      <c r="J457" s="553" t="s">
        <v>5</v>
      </c>
      <c r="K457" s="39"/>
      <c r="L457" s="208"/>
      <c r="M457" s="39"/>
      <c r="N457" s="536" t="s">
        <v>2318</v>
      </c>
    </row>
    <row r="458" spans="1:14" s="544" customFormat="1" ht="16.5" customHeight="1">
      <c r="A458" s="16"/>
      <c r="B458" s="39"/>
      <c r="C458" s="537">
        <v>1</v>
      </c>
      <c r="D458" s="539" t="s">
        <v>273</v>
      </c>
      <c r="E458" s="540">
        <v>1</v>
      </c>
      <c r="F458" s="541">
        <v>1.2</v>
      </c>
      <c r="G458" s="541">
        <v>0.23</v>
      </c>
      <c r="H458" s="541">
        <v>1.1000000000000001</v>
      </c>
      <c r="I458" s="545">
        <f>-ROUND(IF(AND(F458:H458),C458*E458*F458*G458*H458,IF(AND(F458,G458),C458*E458*F458*G458,IF(AND(F458,H458),C458*E458*F458*H458,IF(AND(G458,H458),C458*E458*G458*H458,IF(F458,C458*E458*F458,IF(G458,C458*E458*G458,IF(H458,C458*E458*H458,C458*E458))))))),2)</f>
        <v>-0.3</v>
      </c>
      <c r="J458" s="553" t="s">
        <v>5</v>
      </c>
      <c r="K458" s="39"/>
      <c r="L458" s="208"/>
      <c r="M458" s="39"/>
      <c r="N458" s="536" t="s">
        <v>2318</v>
      </c>
    </row>
    <row r="459" spans="1:14" s="544" customFormat="1" ht="16.5" customHeight="1">
      <c r="A459" s="16"/>
      <c r="B459" s="547"/>
      <c r="C459" s="548"/>
      <c r="D459" s="549"/>
      <c r="E459" s="550"/>
      <c r="F459" s="551"/>
      <c r="G459" s="551"/>
      <c r="H459" s="551"/>
      <c r="I459" s="552"/>
      <c r="J459" s="553"/>
      <c r="K459" s="39"/>
      <c r="L459" s="208"/>
      <c r="M459" s="39"/>
      <c r="N459" s="536" t="s">
        <v>2318</v>
      </c>
    </row>
    <row r="460" spans="1:14" ht="15.75">
      <c r="A460" s="16"/>
      <c r="B460" s="39"/>
      <c r="C460" s="554"/>
      <c r="D460" s="555"/>
      <c r="E460" s="540"/>
      <c r="F460" s="541"/>
      <c r="G460" s="40"/>
      <c r="H460" s="16"/>
      <c r="I460" s="552"/>
      <c r="J460" s="553" t="s">
        <v>5</v>
      </c>
      <c r="K460" s="10">
        <f>data!F3127</f>
        <v>7283.96</v>
      </c>
      <c r="L460" s="208" t="s">
        <v>2318</v>
      </c>
      <c r="M460" s="9">
        <f>ROUND(I460*K460,0)</f>
        <v>0</v>
      </c>
      <c r="N460" s="536" t="s">
        <v>2318</v>
      </c>
    </row>
    <row r="461" spans="1:14" ht="132.75" customHeight="1">
      <c r="A461" s="16">
        <v>8</v>
      </c>
      <c r="B461" s="1858" t="s">
        <v>901</v>
      </c>
      <c r="C461" s="1858"/>
      <c r="D461" s="1858"/>
      <c r="E461" s="1858"/>
      <c r="F461" s="1858"/>
      <c r="G461" s="1858"/>
      <c r="H461" s="1858"/>
      <c r="I461" s="537"/>
      <c r="J461" s="538"/>
      <c r="K461" s="16"/>
      <c r="L461" s="208"/>
      <c r="M461" s="38"/>
      <c r="N461" s="536" t="s">
        <v>2218</v>
      </c>
    </row>
    <row r="462" spans="1:14" s="544" customFormat="1" ht="16.5" customHeight="1">
      <c r="A462" s="16"/>
      <c r="B462" s="39" t="s">
        <v>3107</v>
      </c>
      <c r="C462" s="537"/>
      <c r="D462" s="1145" t="s">
        <v>3349</v>
      </c>
      <c r="E462" s="540"/>
      <c r="F462" s="541"/>
      <c r="G462" s="541"/>
      <c r="H462" s="541"/>
      <c r="I462" s="542"/>
      <c r="J462" s="950"/>
      <c r="K462" s="39"/>
      <c r="L462" s="208"/>
      <c r="M462" s="39"/>
      <c r="N462" s="536" t="s">
        <v>2218</v>
      </c>
    </row>
    <row r="463" spans="1:14" s="544" customFormat="1" ht="16.5" customHeight="1">
      <c r="A463" s="16"/>
      <c r="B463" s="39" t="s">
        <v>3151</v>
      </c>
      <c r="C463" s="537">
        <v>1</v>
      </c>
      <c r="D463" s="539" t="s">
        <v>273</v>
      </c>
      <c r="E463" s="540">
        <v>1</v>
      </c>
      <c r="F463" s="541">
        <v>12</v>
      </c>
      <c r="G463" s="541">
        <v>0</v>
      </c>
      <c r="H463" s="541">
        <v>2.1</v>
      </c>
      <c r="I463" s="545">
        <f t="shared" ref="I463:I469" si="47">ROUND(IF(AND(F463:H463),C463*E463*F463*G463*H463,IF(AND(F463,G463),C463*E463*F463*G463,IF(AND(F463,H463),C463*E463*F463*H463,IF(AND(G463,H463),C463*E463*G463*H463,IF(F463,C463*E463*F463,IF(G463,C463*E463*G463,IF(H463,C463*E463*H463,C463*E463))))))),2)</f>
        <v>25.2</v>
      </c>
      <c r="J463" s="546" t="s">
        <v>102</v>
      </c>
      <c r="K463" s="39"/>
      <c r="L463" s="208"/>
      <c r="M463" s="39"/>
      <c r="N463" s="536" t="s">
        <v>2218</v>
      </c>
    </row>
    <row r="464" spans="1:14" s="544" customFormat="1" ht="16.5" customHeight="1">
      <c r="A464" s="16"/>
      <c r="B464" s="39"/>
      <c r="C464" s="537">
        <v>1</v>
      </c>
      <c r="D464" s="539" t="s">
        <v>273</v>
      </c>
      <c r="E464" s="540">
        <v>1</v>
      </c>
      <c r="F464" s="541">
        <v>9.06</v>
      </c>
      <c r="G464" s="541">
        <v>0</v>
      </c>
      <c r="H464" s="541">
        <v>2.1</v>
      </c>
      <c r="I464" s="545">
        <f t="shared" si="47"/>
        <v>19.03</v>
      </c>
      <c r="J464" s="546" t="s">
        <v>102</v>
      </c>
      <c r="K464" s="39"/>
      <c r="L464" s="208"/>
      <c r="M464" s="39"/>
      <c r="N464" s="536" t="s">
        <v>2218</v>
      </c>
    </row>
    <row r="465" spans="1:14" s="544" customFormat="1" ht="16.5" customHeight="1">
      <c r="A465" s="16"/>
      <c r="B465" s="39" t="s">
        <v>3152</v>
      </c>
      <c r="C465" s="537">
        <v>1</v>
      </c>
      <c r="D465" s="539" t="s">
        <v>273</v>
      </c>
      <c r="E465" s="540">
        <v>3</v>
      </c>
      <c r="F465" s="541">
        <v>2.86</v>
      </c>
      <c r="G465" s="541">
        <v>0</v>
      </c>
      <c r="H465" s="541">
        <v>2.1</v>
      </c>
      <c r="I465" s="545">
        <f t="shared" si="47"/>
        <v>18.02</v>
      </c>
      <c r="J465" s="546" t="s">
        <v>102</v>
      </c>
      <c r="K465" s="39"/>
      <c r="L465" s="208"/>
      <c r="M465" s="39"/>
      <c r="N465" s="536" t="s">
        <v>2218</v>
      </c>
    </row>
    <row r="466" spans="1:14" s="544" customFormat="1" ht="16.5" customHeight="1">
      <c r="A466" s="16"/>
      <c r="B466" s="39" t="s">
        <v>3153</v>
      </c>
      <c r="C466" s="537">
        <v>1</v>
      </c>
      <c r="D466" s="539" t="s">
        <v>273</v>
      </c>
      <c r="E466" s="540">
        <v>1</v>
      </c>
      <c r="F466" s="541">
        <v>3.12</v>
      </c>
      <c r="G466" s="541">
        <v>0</v>
      </c>
      <c r="H466" s="541">
        <v>2.1</v>
      </c>
      <c r="I466" s="545">
        <f t="shared" si="47"/>
        <v>6.55</v>
      </c>
      <c r="J466" s="546" t="s">
        <v>102</v>
      </c>
      <c r="K466" s="39"/>
      <c r="L466" s="208"/>
      <c r="M466" s="39"/>
      <c r="N466" s="536" t="s">
        <v>2218</v>
      </c>
    </row>
    <row r="467" spans="1:14" s="544" customFormat="1" ht="16.5" customHeight="1">
      <c r="A467" s="16"/>
      <c r="B467" s="39" t="s">
        <v>3154</v>
      </c>
      <c r="C467" s="537">
        <v>1</v>
      </c>
      <c r="D467" s="539" t="s">
        <v>273</v>
      </c>
      <c r="E467" s="540">
        <v>1</v>
      </c>
      <c r="F467" s="541">
        <v>3.3</v>
      </c>
      <c r="G467" s="541">
        <v>0</v>
      </c>
      <c r="H467" s="541">
        <v>2.1</v>
      </c>
      <c r="I467" s="545">
        <f t="shared" si="47"/>
        <v>6.93</v>
      </c>
      <c r="J467" s="546" t="s">
        <v>102</v>
      </c>
      <c r="K467" s="39"/>
      <c r="L467" s="208"/>
      <c r="M467" s="39"/>
      <c r="N467" s="536" t="s">
        <v>2218</v>
      </c>
    </row>
    <row r="468" spans="1:14" s="544" customFormat="1" ht="16.5" customHeight="1">
      <c r="A468" s="16"/>
      <c r="B468" s="39"/>
      <c r="C468" s="537">
        <v>1</v>
      </c>
      <c r="D468" s="539" t="s">
        <v>273</v>
      </c>
      <c r="E468" s="540">
        <v>2</v>
      </c>
      <c r="F468" s="541">
        <v>1.5</v>
      </c>
      <c r="G468" s="541">
        <v>0</v>
      </c>
      <c r="H468" s="541">
        <v>2.1</v>
      </c>
      <c r="I468" s="545">
        <f t="shared" si="47"/>
        <v>6.3</v>
      </c>
      <c r="J468" s="546" t="s">
        <v>102</v>
      </c>
      <c r="K468" s="39"/>
      <c r="L468" s="208"/>
      <c r="M468" s="39"/>
      <c r="N468" s="536" t="s">
        <v>2218</v>
      </c>
    </row>
    <row r="469" spans="1:14" s="544" customFormat="1" ht="16.5" customHeight="1">
      <c r="A469" s="16"/>
      <c r="B469" s="39" t="s">
        <v>3155</v>
      </c>
      <c r="C469" s="537">
        <v>1</v>
      </c>
      <c r="D469" s="539" t="s">
        <v>273</v>
      </c>
      <c r="E469" s="540">
        <v>1</v>
      </c>
      <c r="F469" s="541">
        <v>10.53</v>
      </c>
      <c r="G469" s="541">
        <v>0</v>
      </c>
      <c r="H469" s="541">
        <v>0.9</v>
      </c>
      <c r="I469" s="545">
        <f t="shared" si="47"/>
        <v>9.48</v>
      </c>
      <c r="J469" s="546" t="s">
        <v>102</v>
      </c>
      <c r="K469" s="39"/>
      <c r="L469" s="208"/>
      <c r="M469" s="39"/>
      <c r="N469" s="536" t="s">
        <v>2218</v>
      </c>
    </row>
    <row r="470" spans="1:14" s="544" customFormat="1" ht="16.5" customHeight="1">
      <c r="A470" s="16"/>
      <c r="B470" s="39" t="s">
        <v>579</v>
      </c>
      <c r="C470" s="537">
        <v>1</v>
      </c>
      <c r="D470" s="539" t="s">
        <v>273</v>
      </c>
      <c r="E470" s="540">
        <v>4</v>
      </c>
      <c r="F470" s="541">
        <v>1.2</v>
      </c>
      <c r="G470" s="541">
        <v>0</v>
      </c>
      <c r="H470" s="541">
        <v>2.1</v>
      </c>
      <c r="I470" s="545">
        <f>-ROUND(IF(AND(F470:H470),C470*E470*F470*G470*H470,IF(AND(F470,G470),C470*E470*F470*G470,IF(AND(F470,H470),C470*E470*F470*H470,IF(AND(G470,H470),C470*E470*G470*H470,IF(F470,C470*E470*F470,IF(G470,C470*E470*G470,IF(H470,C470*E470*H470,C470*E470))))))),2)</f>
        <v>-10.08</v>
      </c>
      <c r="J470" s="546" t="s">
        <v>102</v>
      </c>
      <c r="K470" s="39"/>
      <c r="L470" s="208"/>
      <c r="M470" s="39"/>
      <c r="N470" s="536" t="s">
        <v>2218</v>
      </c>
    </row>
    <row r="471" spans="1:14" s="544" customFormat="1" ht="16.5" customHeight="1">
      <c r="A471" s="16"/>
      <c r="B471" s="39" t="s">
        <v>579</v>
      </c>
      <c r="C471" s="537">
        <v>1</v>
      </c>
      <c r="D471" s="539" t="s">
        <v>273</v>
      </c>
      <c r="E471" s="540">
        <v>3</v>
      </c>
      <c r="F471" s="541">
        <v>1.05</v>
      </c>
      <c r="G471" s="541">
        <v>0</v>
      </c>
      <c r="H471" s="541">
        <v>2.1</v>
      </c>
      <c r="I471" s="545">
        <f>-ROUND(IF(AND(F471:H471),C471*E471*F471*G471*H471,IF(AND(F471,G471),C471*E471*F471*G471,IF(AND(F471,H471),C471*E471*F471*H471,IF(AND(G471,H471),C471*E471*G471*H471,IF(F471,C471*E471*F471,IF(G471,C471*E471*G471,IF(H471,C471*E471*H471,C471*E471))))))),2)</f>
        <v>-6.62</v>
      </c>
      <c r="J471" s="546" t="s">
        <v>102</v>
      </c>
      <c r="K471" s="39"/>
      <c r="L471" s="208"/>
      <c r="M471" s="39"/>
      <c r="N471" s="536" t="s">
        <v>2218</v>
      </c>
    </row>
    <row r="472" spans="1:14" s="544" customFormat="1" ht="16.5" customHeight="1">
      <c r="A472" s="16"/>
      <c r="B472" s="39" t="s">
        <v>3156</v>
      </c>
      <c r="C472" s="537">
        <v>1</v>
      </c>
      <c r="D472" s="539" t="s">
        <v>273</v>
      </c>
      <c r="E472" s="540">
        <v>3</v>
      </c>
      <c r="F472" s="541">
        <v>0.75</v>
      </c>
      <c r="G472" s="541">
        <v>0</v>
      </c>
      <c r="H472" s="541">
        <v>2.1</v>
      </c>
      <c r="I472" s="545">
        <f>-ROUND(IF(AND(F472:H472),C472*E472*F472*G472*H472,IF(AND(F472,G472),C472*E472*F472*G472,IF(AND(F472,H472),C472*E472*F472*H472,IF(AND(G472,H472),C472*E472*G472*H472,IF(F472,C472*E472*F472,IF(G472,C472*E472*G472,IF(H472,C472*E472*H472,C472*E472))))))),2)</f>
        <v>-4.7300000000000004</v>
      </c>
      <c r="J472" s="546" t="s">
        <v>102</v>
      </c>
      <c r="K472" s="39"/>
      <c r="L472" s="208"/>
      <c r="M472" s="39"/>
      <c r="N472" s="536" t="s">
        <v>2218</v>
      </c>
    </row>
    <row r="473" spans="1:14" s="544" customFormat="1" ht="16.5" customHeight="1">
      <c r="A473" s="16"/>
      <c r="B473" s="39" t="s">
        <v>3108</v>
      </c>
      <c r="C473" s="537"/>
      <c r="D473" s="1145" t="s">
        <v>3350</v>
      </c>
      <c r="E473" s="540"/>
      <c r="F473" s="541"/>
      <c r="G473" s="541"/>
      <c r="H473" s="541"/>
      <c r="I473" s="542"/>
      <c r="J473" s="950"/>
      <c r="K473" s="39"/>
      <c r="L473" s="208"/>
      <c r="M473" s="39"/>
      <c r="N473" s="536" t="s">
        <v>2218</v>
      </c>
    </row>
    <row r="474" spans="1:14" s="544" customFormat="1" ht="16.5" customHeight="1">
      <c r="A474" s="16"/>
      <c r="B474" s="39" t="s">
        <v>3151</v>
      </c>
      <c r="C474" s="537">
        <v>1</v>
      </c>
      <c r="D474" s="539" t="s">
        <v>273</v>
      </c>
      <c r="E474" s="540">
        <v>1</v>
      </c>
      <c r="F474" s="541">
        <v>12</v>
      </c>
      <c r="G474" s="541">
        <v>0</v>
      </c>
      <c r="H474" s="541">
        <v>0.62</v>
      </c>
      <c r="I474" s="545">
        <f t="shared" ref="I474:I479" si="48">ROUND(IF(AND(F474:H474),C474*E474*F474*G474*H474,IF(AND(F474,G474),C474*E474*F474*G474,IF(AND(F474,H474),C474*E474*F474*H474,IF(AND(G474,H474),C474*E474*G474*H474,IF(F474,C474*E474*F474,IF(G474,C474*E474*G474,IF(H474,C474*E474*H474,C474*E474))))))),2)</f>
        <v>7.44</v>
      </c>
      <c r="J474" s="546" t="s">
        <v>102</v>
      </c>
      <c r="K474" s="39"/>
      <c r="L474" s="208"/>
      <c r="M474" s="39"/>
      <c r="N474" s="536" t="s">
        <v>2218</v>
      </c>
    </row>
    <row r="475" spans="1:14" s="544" customFormat="1" ht="16.5" customHeight="1">
      <c r="A475" s="16"/>
      <c r="B475" s="39"/>
      <c r="C475" s="537">
        <v>1</v>
      </c>
      <c r="D475" s="539" t="s">
        <v>273</v>
      </c>
      <c r="E475" s="540">
        <v>1</v>
      </c>
      <c r="F475" s="541">
        <v>9.06</v>
      </c>
      <c r="G475" s="541">
        <v>0</v>
      </c>
      <c r="H475" s="541">
        <v>0.62</v>
      </c>
      <c r="I475" s="545">
        <f t="shared" si="48"/>
        <v>5.62</v>
      </c>
      <c r="J475" s="546" t="s">
        <v>102</v>
      </c>
      <c r="K475" s="39"/>
      <c r="L475" s="208"/>
      <c r="M475" s="39"/>
      <c r="N475" s="536" t="s">
        <v>2218</v>
      </c>
    </row>
    <row r="476" spans="1:14" s="544" customFormat="1" ht="16.5" customHeight="1">
      <c r="A476" s="16"/>
      <c r="B476" s="39" t="s">
        <v>3152</v>
      </c>
      <c r="C476" s="537">
        <v>1</v>
      </c>
      <c r="D476" s="539" t="s">
        <v>273</v>
      </c>
      <c r="E476" s="540">
        <v>3</v>
      </c>
      <c r="F476" s="541">
        <v>2.86</v>
      </c>
      <c r="G476" s="541">
        <v>0</v>
      </c>
      <c r="H476" s="541">
        <v>0.77</v>
      </c>
      <c r="I476" s="545">
        <f t="shared" si="48"/>
        <v>6.61</v>
      </c>
      <c r="J476" s="546" t="s">
        <v>102</v>
      </c>
      <c r="K476" s="39"/>
      <c r="L476" s="208"/>
      <c r="M476" s="39"/>
      <c r="N476" s="536" t="s">
        <v>2218</v>
      </c>
    </row>
    <row r="477" spans="1:14" s="544" customFormat="1" ht="16.5" customHeight="1">
      <c r="A477" s="16"/>
      <c r="B477" s="39" t="s">
        <v>3153</v>
      </c>
      <c r="C477" s="537">
        <v>1</v>
      </c>
      <c r="D477" s="539" t="s">
        <v>273</v>
      </c>
      <c r="E477" s="540">
        <v>1</v>
      </c>
      <c r="F477" s="541">
        <v>3.12</v>
      </c>
      <c r="G477" s="541">
        <v>0</v>
      </c>
      <c r="H477" s="541">
        <v>0.7</v>
      </c>
      <c r="I477" s="545">
        <f t="shared" si="48"/>
        <v>2.1800000000000002</v>
      </c>
      <c r="J477" s="546" t="s">
        <v>102</v>
      </c>
      <c r="K477" s="39"/>
      <c r="L477" s="208"/>
      <c r="M477" s="39"/>
      <c r="N477" s="536" t="s">
        <v>2218</v>
      </c>
    </row>
    <row r="478" spans="1:14" s="544" customFormat="1" ht="16.5" customHeight="1">
      <c r="A478" s="16"/>
      <c r="B478" s="39" t="s">
        <v>3154</v>
      </c>
      <c r="C478" s="537">
        <v>1</v>
      </c>
      <c r="D478" s="539" t="s">
        <v>273</v>
      </c>
      <c r="E478" s="540">
        <v>1</v>
      </c>
      <c r="F478" s="541">
        <v>3.3</v>
      </c>
      <c r="G478" s="541">
        <v>0</v>
      </c>
      <c r="H478" s="541">
        <v>0.9</v>
      </c>
      <c r="I478" s="545">
        <f t="shared" si="48"/>
        <v>2.97</v>
      </c>
      <c r="J478" s="546" t="s">
        <v>102</v>
      </c>
      <c r="K478" s="39"/>
      <c r="L478" s="208"/>
      <c r="M478" s="39"/>
      <c r="N478" s="536" t="s">
        <v>2218</v>
      </c>
    </row>
    <row r="479" spans="1:14" s="544" customFormat="1" ht="16.5" customHeight="1">
      <c r="A479" s="16"/>
      <c r="B479" s="39"/>
      <c r="C479" s="537">
        <v>1</v>
      </c>
      <c r="D479" s="539" t="s">
        <v>273</v>
      </c>
      <c r="E479" s="540">
        <v>2</v>
      </c>
      <c r="F479" s="541">
        <v>1.5</v>
      </c>
      <c r="G479" s="541">
        <v>0</v>
      </c>
      <c r="H479" s="541">
        <v>0.6</v>
      </c>
      <c r="I479" s="545">
        <f t="shared" si="48"/>
        <v>1.8</v>
      </c>
      <c r="J479" s="546" t="s">
        <v>102</v>
      </c>
      <c r="K479" s="39"/>
      <c r="L479" s="208"/>
      <c r="M479" s="39"/>
      <c r="N479" s="536" t="s">
        <v>2218</v>
      </c>
    </row>
    <row r="480" spans="1:14" s="544" customFormat="1" ht="16.5" customHeight="1">
      <c r="A480" s="16"/>
      <c r="B480" s="39" t="s">
        <v>3095</v>
      </c>
      <c r="C480" s="537"/>
      <c r="D480" s="1145" t="s">
        <v>3332</v>
      </c>
      <c r="E480" s="540"/>
      <c r="F480" s="541"/>
      <c r="G480" s="541"/>
      <c r="H480" s="541"/>
      <c r="I480" s="542"/>
      <c r="J480" s="553"/>
      <c r="K480" s="39"/>
      <c r="L480" s="208"/>
      <c r="M480" s="39"/>
      <c r="N480" s="536" t="s">
        <v>2218</v>
      </c>
    </row>
    <row r="481" spans="1:14" s="544" customFormat="1" ht="16.5" customHeight="1">
      <c r="A481" s="16"/>
      <c r="B481" s="39" t="s">
        <v>3161</v>
      </c>
      <c r="C481" s="537">
        <v>1</v>
      </c>
      <c r="D481" s="539" t="s">
        <v>273</v>
      </c>
      <c r="E481" s="540">
        <v>1</v>
      </c>
      <c r="F481" s="541">
        <v>2.68</v>
      </c>
      <c r="G481" s="541">
        <v>0</v>
      </c>
      <c r="H481" s="541">
        <v>1.2</v>
      </c>
      <c r="I481" s="545">
        <f t="shared" ref="I481:I485" si="49">ROUND(IF(AND(F481:H481),C481*E481*F481*G481*H481,IF(AND(F481,G481),C481*E481*F481*G481,IF(AND(F481,H481),C481*E481*F481*H481,IF(AND(G481,H481),C481*E481*G481*H481,IF(F481,C481*E481*F481,IF(G481,C481*E481*G481,IF(H481,C481*E481*H481,C481*E481))))))),2)</f>
        <v>3.22</v>
      </c>
      <c r="J481" s="553" t="s">
        <v>102</v>
      </c>
      <c r="K481" s="39"/>
      <c r="L481" s="208"/>
      <c r="M481" s="39"/>
      <c r="N481" s="536" t="s">
        <v>2218</v>
      </c>
    </row>
    <row r="482" spans="1:14" s="544" customFormat="1" ht="16.5" customHeight="1">
      <c r="A482" s="16"/>
      <c r="B482" s="39" t="s">
        <v>3159</v>
      </c>
      <c r="C482" s="537">
        <v>1</v>
      </c>
      <c r="D482" s="539" t="s">
        <v>273</v>
      </c>
      <c r="E482" s="540">
        <v>2</v>
      </c>
      <c r="F482" s="541">
        <v>0.85</v>
      </c>
      <c r="G482" s="541">
        <v>0</v>
      </c>
      <c r="H482" s="541">
        <v>1.2</v>
      </c>
      <c r="I482" s="545">
        <f t="shared" si="49"/>
        <v>2.04</v>
      </c>
      <c r="J482" s="553" t="s">
        <v>102</v>
      </c>
      <c r="K482" s="39"/>
      <c r="L482" s="208"/>
      <c r="M482" s="39"/>
      <c r="N482" s="536" t="s">
        <v>2218</v>
      </c>
    </row>
    <row r="483" spans="1:14" s="544" customFormat="1" ht="16.5" customHeight="1">
      <c r="A483" s="16"/>
      <c r="B483" s="39" t="s">
        <v>3058</v>
      </c>
      <c r="C483" s="537">
        <v>1</v>
      </c>
      <c r="D483" s="539" t="s">
        <v>273</v>
      </c>
      <c r="E483" s="540">
        <v>2</v>
      </c>
      <c r="F483" s="541">
        <v>0.85</v>
      </c>
      <c r="G483" s="541">
        <v>0</v>
      </c>
      <c r="H483" s="541">
        <v>1.2</v>
      </c>
      <c r="I483" s="545">
        <f t="shared" si="49"/>
        <v>2.04</v>
      </c>
      <c r="J483" s="553" t="s">
        <v>102</v>
      </c>
      <c r="K483" s="39"/>
      <c r="L483" s="208"/>
      <c r="M483" s="39"/>
      <c r="N483" s="536" t="s">
        <v>2218</v>
      </c>
    </row>
    <row r="484" spans="1:14" s="544" customFormat="1" ht="16.5" customHeight="1">
      <c r="A484" s="16"/>
      <c r="B484" s="39" t="s">
        <v>3162</v>
      </c>
      <c r="C484" s="537">
        <v>1</v>
      </c>
      <c r="D484" s="539" t="s">
        <v>273</v>
      </c>
      <c r="E484" s="540">
        <v>1</v>
      </c>
      <c r="F484" s="541">
        <v>5.5</v>
      </c>
      <c r="G484" s="541">
        <v>0</v>
      </c>
      <c r="H484" s="541">
        <v>0.9</v>
      </c>
      <c r="I484" s="545">
        <f t="shared" si="49"/>
        <v>4.95</v>
      </c>
      <c r="J484" s="553" t="s">
        <v>102</v>
      </c>
      <c r="K484" s="39"/>
      <c r="L484" s="208"/>
      <c r="M484" s="39"/>
      <c r="N484" s="536" t="s">
        <v>2218</v>
      </c>
    </row>
    <row r="485" spans="1:14" s="544" customFormat="1" ht="16.5" customHeight="1">
      <c r="A485" s="16"/>
      <c r="B485" s="39" t="s">
        <v>3159</v>
      </c>
      <c r="C485" s="537">
        <v>1</v>
      </c>
      <c r="D485" s="539" t="s">
        <v>273</v>
      </c>
      <c r="E485" s="540">
        <v>2</v>
      </c>
      <c r="F485" s="541">
        <v>2.5</v>
      </c>
      <c r="G485" s="541">
        <v>0</v>
      </c>
      <c r="H485" s="541">
        <v>0.9</v>
      </c>
      <c r="I485" s="545">
        <f t="shared" si="49"/>
        <v>4.5</v>
      </c>
      <c r="J485" s="553" t="s">
        <v>102</v>
      </c>
      <c r="K485" s="39"/>
      <c r="L485" s="208"/>
      <c r="M485" s="39"/>
      <c r="N485" s="536" t="s">
        <v>2218</v>
      </c>
    </row>
    <row r="486" spans="1:14" s="544" customFormat="1" ht="16.5" customHeight="1">
      <c r="A486" s="16"/>
      <c r="B486" s="39"/>
      <c r="C486" s="537"/>
      <c r="D486" s="539"/>
      <c r="E486" s="540"/>
      <c r="F486" s="541"/>
      <c r="G486" s="541"/>
      <c r="H486" s="541"/>
      <c r="I486" s="545"/>
      <c r="J486" s="553"/>
      <c r="K486" s="39"/>
      <c r="L486" s="208"/>
      <c r="M486" s="39"/>
      <c r="N486" s="536" t="s">
        <v>2218</v>
      </c>
    </row>
    <row r="487" spans="1:14" ht="15.75">
      <c r="A487" s="16"/>
      <c r="B487" s="39"/>
      <c r="C487" s="554"/>
      <c r="D487" s="555"/>
      <c r="E487" s="540"/>
      <c r="F487" s="541"/>
      <c r="G487" s="40"/>
      <c r="H487" s="16"/>
      <c r="I487" s="552"/>
      <c r="J487" s="553" t="s">
        <v>102</v>
      </c>
      <c r="K487" s="10">
        <f>data!F411</f>
        <v>767.73</v>
      </c>
      <c r="L487" s="208" t="s">
        <v>2218</v>
      </c>
      <c r="M487" s="9">
        <f>ROUND(I487*K487/1,0)</f>
        <v>0</v>
      </c>
      <c r="N487" s="536" t="s">
        <v>2218</v>
      </c>
    </row>
    <row r="488" spans="1:14" ht="132.75" customHeight="1">
      <c r="A488" s="16">
        <v>9</v>
      </c>
      <c r="B488" s="1858" t="s">
        <v>901</v>
      </c>
      <c r="C488" s="1858"/>
      <c r="D488" s="1858"/>
      <c r="E488" s="1858"/>
      <c r="F488" s="1858"/>
      <c r="G488" s="1858"/>
      <c r="H488" s="1858"/>
      <c r="I488" s="537"/>
      <c r="J488" s="538"/>
      <c r="K488" s="16"/>
      <c r="L488" s="208"/>
      <c r="M488" s="38"/>
      <c r="N488" s="536" t="s">
        <v>2306</v>
      </c>
    </row>
    <row r="489" spans="1:14" s="544" customFormat="1" ht="16.5" customHeight="1">
      <c r="A489" s="16"/>
      <c r="B489" s="39" t="s">
        <v>2852</v>
      </c>
      <c r="C489" s="537"/>
      <c r="D489" s="539"/>
      <c r="E489" s="540"/>
      <c r="F489" s="541"/>
      <c r="G489" s="541"/>
      <c r="H489" s="541"/>
      <c r="I489" s="542"/>
      <c r="J489" s="553"/>
      <c r="K489" s="39"/>
      <c r="L489" s="208"/>
      <c r="M489" s="39"/>
      <c r="N489" s="536" t="s">
        <v>2306</v>
      </c>
    </row>
    <row r="490" spans="1:14" s="544" customFormat="1" ht="16.5" customHeight="1">
      <c r="A490" s="16"/>
      <c r="B490" s="39" t="s">
        <v>2945</v>
      </c>
      <c r="C490" s="537">
        <v>1</v>
      </c>
      <c r="D490" s="539" t="s">
        <v>273</v>
      </c>
      <c r="E490" s="540">
        <v>1</v>
      </c>
      <c r="F490" s="541">
        <v>8.23</v>
      </c>
      <c r="G490" s="541">
        <v>0</v>
      </c>
      <c r="H490" s="541">
        <v>2.1</v>
      </c>
      <c r="I490" s="545">
        <f t="shared" ref="I490" si="50">ROUND(IF(AND(F490:H490),C490*E490*F490*G490*H490,IF(AND(F490,G490),C490*E490*F490*G490,IF(AND(F490,H490),C490*E490*F490*H490,IF(AND(G490,H490),C490*E490*G490*H490,IF(F490,C490*E490*F490,IF(G490,C490*E490*G490,IF(H490,C490*E490*H490,C490*E490))))))),2)</f>
        <v>17.28</v>
      </c>
      <c r="J490" s="553" t="s">
        <v>102</v>
      </c>
      <c r="K490" s="39"/>
      <c r="L490" s="208"/>
      <c r="M490" s="39"/>
      <c r="N490" s="536" t="s">
        <v>2306</v>
      </c>
    </row>
    <row r="491" spans="1:14" s="544" customFormat="1" ht="16.5" customHeight="1">
      <c r="A491" s="16"/>
      <c r="B491" s="39" t="s">
        <v>281</v>
      </c>
      <c r="C491" s="537">
        <v>1</v>
      </c>
      <c r="D491" s="539" t="s">
        <v>273</v>
      </c>
      <c r="E491" s="540">
        <v>1</v>
      </c>
      <c r="F491" s="541">
        <v>0.38</v>
      </c>
      <c r="G491" s="541">
        <v>0</v>
      </c>
      <c r="H491" s="541">
        <v>2.1</v>
      </c>
      <c r="I491" s="545">
        <f>-ROUND(IF(AND(F491:H491),C491*E491*F491*G491*H491,IF(AND(F491,G491),C491*E491*F491*G491,IF(AND(F491,H491),C491*E491*F491*H491,IF(AND(G491,H491),C491*E491*G491*H491,IF(F491,C491*E491*F491,IF(G491,C491*E491*G491,IF(H491,C491*E491*H491,C491*E491))))))),2)</f>
        <v>-0.8</v>
      </c>
      <c r="J491" s="553" t="s">
        <v>102</v>
      </c>
      <c r="K491" s="39"/>
      <c r="L491" s="208"/>
      <c r="M491" s="39"/>
      <c r="N491" s="536" t="s">
        <v>2306</v>
      </c>
    </row>
    <row r="492" spans="1:14" s="544" customFormat="1" ht="16.5" customHeight="1">
      <c r="A492" s="16"/>
      <c r="B492" s="39" t="s">
        <v>2741</v>
      </c>
      <c r="C492" s="537">
        <v>1</v>
      </c>
      <c r="D492" s="539" t="s">
        <v>273</v>
      </c>
      <c r="E492" s="540">
        <v>1</v>
      </c>
      <c r="F492" s="541">
        <v>1.2</v>
      </c>
      <c r="G492" s="541">
        <v>0</v>
      </c>
      <c r="H492" s="541">
        <v>2.1</v>
      </c>
      <c r="I492" s="545">
        <f>-ROUND(IF(AND(F492:H492),C492*E492*F492*G492*H492,IF(AND(F492,G492),C492*E492*F492*G492,IF(AND(F492,H492),C492*E492*F492*H492,IF(AND(G492,H492),C492*E492*G492*H492,IF(F492,C492*E492*F492,IF(G492,C492*E492*G492,IF(H492,C492*E492*H492,C492*E492))))))),2)</f>
        <v>-2.52</v>
      </c>
      <c r="J492" s="553" t="s">
        <v>102</v>
      </c>
      <c r="K492" s="39"/>
      <c r="L492" s="208"/>
      <c r="M492" s="39"/>
      <c r="N492" s="536" t="s">
        <v>2306</v>
      </c>
    </row>
    <row r="493" spans="1:14" s="544" customFormat="1" ht="16.5" customHeight="1">
      <c r="A493" s="16"/>
      <c r="B493" s="39" t="s">
        <v>2741</v>
      </c>
      <c r="C493" s="537">
        <v>1</v>
      </c>
      <c r="D493" s="539" t="s">
        <v>273</v>
      </c>
      <c r="E493" s="540">
        <v>1</v>
      </c>
      <c r="F493" s="541">
        <v>1</v>
      </c>
      <c r="G493" s="541">
        <v>0</v>
      </c>
      <c r="H493" s="541">
        <v>2.1</v>
      </c>
      <c r="I493" s="545">
        <f>-ROUND(IF(AND(F493:H493),C493*E493*F493*G493*H493,IF(AND(F493,G493),C493*E493*F493*G493,IF(AND(F493,H493),C493*E493*F493*H493,IF(AND(G493,H493),C493*E493*G493*H493,IF(F493,C493*E493*F493,IF(G493,C493*E493*G493,IF(H493,C493*E493*H493,C493*E493))))))),2)</f>
        <v>-2.1</v>
      </c>
      <c r="J493" s="553" t="s">
        <v>102</v>
      </c>
      <c r="K493" s="39"/>
      <c r="L493" s="208"/>
      <c r="M493" s="39"/>
      <c r="N493" s="536" t="s">
        <v>2306</v>
      </c>
    </row>
    <row r="494" spans="1:14" s="544" customFormat="1" ht="16.5" customHeight="1">
      <c r="A494" s="16"/>
      <c r="B494" s="39" t="s">
        <v>2946</v>
      </c>
      <c r="C494" s="537">
        <v>1</v>
      </c>
      <c r="D494" s="539" t="s">
        <v>273</v>
      </c>
      <c r="E494" s="540">
        <v>2</v>
      </c>
      <c r="F494" s="541">
        <v>2.84</v>
      </c>
      <c r="G494" s="541">
        <v>0</v>
      </c>
      <c r="H494" s="541">
        <v>2.1</v>
      </c>
      <c r="I494" s="545">
        <f t="shared" ref="I494:I505" si="51">ROUND(IF(AND(F494:H494),C494*E494*F494*G494*H494,IF(AND(F494,G494),C494*E494*F494*G494,IF(AND(F494,H494),C494*E494*F494*H494,IF(AND(G494,H494),C494*E494*G494*H494,IF(F494,C494*E494*F494,IF(G494,C494*E494*G494,IF(H494,C494*E494*H494,C494*E494))))))),2)</f>
        <v>11.93</v>
      </c>
      <c r="J494" s="553" t="s">
        <v>102</v>
      </c>
      <c r="K494" s="39"/>
      <c r="L494" s="208"/>
      <c r="M494" s="39"/>
      <c r="N494" s="536" t="s">
        <v>2306</v>
      </c>
    </row>
    <row r="495" spans="1:14" s="544" customFormat="1" ht="16.5" customHeight="1">
      <c r="A495" s="16"/>
      <c r="B495" s="39" t="s">
        <v>2947</v>
      </c>
      <c r="C495" s="537">
        <v>1</v>
      </c>
      <c r="D495" s="539" t="s">
        <v>273</v>
      </c>
      <c r="E495" s="540">
        <v>1</v>
      </c>
      <c r="F495" s="541">
        <v>8.93</v>
      </c>
      <c r="G495" s="541">
        <v>0</v>
      </c>
      <c r="H495" s="541">
        <v>2.1</v>
      </c>
      <c r="I495" s="545">
        <f t="shared" ref="I495:I501" si="52">ROUND(IF(AND(F495:H495),C495*E495*F495*G495*H495,IF(AND(F495,G495),C495*E495*F495*G495,IF(AND(F495,H495),C495*E495*F495*H495,IF(AND(G495,H495),C495*E495*G495*H495,IF(F495,C495*E495*F495,IF(G495,C495*E495*G495,IF(H495,C495*E495*H495,C495*E495))))))),2)</f>
        <v>18.75</v>
      </c>
      <c r="J495" s="553" t="s">
        <v>102</v>
      </c>
      <c r="K495" s="39"/>
      <c r="L495" s="208"/>
      <c r="M495" s="39"/>
      <c r="N495" s="536" t="s">
        <v>2306</v>
      </c>
    </row>
    <row r="496" spans="1:14" s="544" customFormat="1" ht="16.5" customHeight="1">
      <c r="A496" s="16"/>
      <c r="B496" s="39" t="s">
        <v>281</v>
      </c>
      <c r="C496" s="537">
        <v>1</v>
      </c>
      <c r="D496" s="539" t="s">
        <v>273</v>
      </c>
      <c r="E496" s="540">
        <v>2</v>
      </c>
      <c r="F496" s="541">
        <v>0.23</v>
      </c>
      <c r="G496" s="541">
        <v>0</v>
      </c>
      <c r="H496" s="541">
        <v>2.1</v>
      </c>
      <c r="I496" s="545">
        <f>-ROUND(IF(AND(F496:H496),C496*E496*F496*G496*H496,IF(AND(F496,G496),C496*E496*F496*G496,IF(AND(F496,H496),C496*E496*F496*H496,IF(AND(G496,H496),C496*E496*G496*H496,IF(F496,C496*E496*F496,IF(G496,C496*E496*G496,IF(H496,C496*E496*H496,C496*E496))))))),2)</f>
        <v>-0.97</v>
      </c>
      <c r="J496" s="553" t="s">
        <v>102</v>
      </c>
      <c r="K496" s="39"/>
      <c r="L496" s="208"/>
      <c r="M496" s="39"/>
      <c r="N496" s="536" t="s">
        <v>2306</v>
      </c>
    </row>
    <row r="497" spans="1:14" s="544" customFormat="1" ht="16.5" customHeight="1">
      <c r="A497" s="16"/>
      <c r="B497" s="39" t="s">
        <v>2741</v>
      </c>
      <c r="C497" s="537">
        <v>1</v>
      </c>
      <c r="D497" s="539" t="s">
        <v>273</v>
      </c>
      <c r="E497" s="540">
        <v>3</v>
      </c>
      <c r="F497" s="541">
        <v>1</v>
      </c>
      <c r="G497" s="541">
        <v>0</v>
      </c>
      <c r="H497" s="541">
        <v>2.1</v>
      </c>
      <c r="I497" s="545">
        <f>-ROUND(IF(AND(F497:H497),C497*E497*F497*G497*H497,IF(AND(F497,G497),C497*E497*F497*G497,IF(AND(F497,H497),C497*E497*F497*H497,IF(AND(G497,H497),C497*E497*G497*H497,IF(F497,C497*E497*F497,IF(G497,C497*E497*G497,IF(H497,C497*E497*H497,C497*E497))))))),2)</f>
        <v>-6.3</v>
      </c>
      <c r="J497" s="553" t="s">
        <v>102</v>
      </c>
      <c r="K497" s="39"/>
      <c r="L497" s="208"/>
      <c r="M497" s="39"/>
      <c r="N497" s="536" t="s">
        <v>2306</v>
      </c>
    </row>
    <row r="498" spans="1:14" s="544" customFormat="1" ht="16.5" customHeight="1">
      <c r="A498" s="16"/>
      <c r="B498" s="39" t="s">
        <v>2948</v>
      </c>
      <c r="C498" s="537">
        <v>1</v>
      </c>
      <c r="D498" s="539" t="s">
        <v>273</v>
      </c>
      <c r="E498" s="540">
        <v>1</v>
      </c>
      <c r="F498" s="541">
        <v>8.93</v>
      </c>
      <c r="G498" s="541">
        <v>0</v>
      </c>
      <c r="H498" s="541">
        <v>2.1</v>
      </c>
      <c r="I498" s="545">
        <f t="shared" si="52"/>
        <v>18.75</v>
      </c>
      <c r="J498" s="553" t="s">
        <v>102</v>
      </c>
      <c r="K498" s="39"/>
      <c r="L498" s="208"/>
      <c r="M498" s="39"/>
      <c r="N498" s="536" t="s">
        <v>2306</v>
      </c>
    </row>
    <row r="499" spans="1:14" s="544" customFormat="1" ht="16.5" customHeight="1">
      <c r="A499" s="16"/>
      <c r="B499" s="39" t="s">
        <v>579</v>
      </c>
      <c r="C499" s="537">
        <v>1</v>
      </c>
      <c r="D499" s="539" t="s">
        <v>273</v>
      </c>
      <c r="E499" s="540">
        <v>1</v>
      </c>
      <c r="F499" s="541">
        <v>1</v>
      </c>
      <c r="G499" s="541">
        <v>0</v>
      </c>
      <c r="H499" s="541">
        <v>2.1</v>
      </c>
      <c r="I499" s="545">
        <f>-ROUND(IF(AND(F499:H499),C499*E499*F499*G499*H499,IF(AND(F499,G499),C499*E499*F499*G499,IF(AND(F499,H499),C499*E499*F499*H499,IF(AND(G499,H499),C499*E499*G499*H499,IF(F499,C499*E499*F499,IF(G499,C499*E499*G499,IF(H499,C499*E499*H499,C499*E499))))))),2)</f>
        <v>-2.1</v>
      </c>
      <c r="J499" s="553" t="s">
        <v>102</v>
      </c>
      <c r="K499" s="39"/>
      <c r="L499" s="208"/>
      <c r="M499" s="39"/>
      <c r="N499" s="536" t="s">
        <v>2306</v>
      </c>
    </row>
    <row r="500" spans="1:14" s="544" customFormat="1" ht="16.5" customHeight="1">
      <c r="A500" s="16"/>
      <c r="B500" s="39" t="s">
        <v>2949</v>
      </c>
      <c r="C500" s="537">
        <v>1</v>
      </c>
      <c r="D500" s="539" t="s">
        <v>273</v>
      </c>
      <c r="E500" s="540">
        <v>2</v>
      </c>
      <c r="F500" s="541">
        <v>0.75</v>
      </c>
      <c r="G500" s="541">
        <v>0</v>
      </c>
      <c r="H500" s="541">
        <v>2.1</v>
      </c>
      <c r="I500" s="545">
        <f>-ROUND(IF(AND(F500:H500),C500*E500*F500*G500*H500,IF(AND(F500,G500),C500*E500*F500*G500,IF(AND(F500,H500),C500*E500*F500*H500,IF(AND(G500,H500),C500*E500*G500*H500,IF(F500,C500*E500*F500,IF(G500,C500*E500*G500,IF(H500,C500*E500*H500,C500*E500))))))),2)</f>
        <v>-3.15</v>
      </c>
      <c r="J500" s="553" t="s">
        <v>102</v>
      </c>
      <c r="K500" s="39"/>
      <c r="L500" s="208"/>
      <c r="M500" s="39"/>
      <c r="N500" s="536" t="s">
        <v>2306</v>
      </c>
    </row>
    <row r="501" spans="1:14" s="544" customFormat="1" ht="16.5" customHeight="1">
      <c r="A501" s="16"/>
      <c r="B501" s="39" t="s">
        <v>2950</v>
      </c>
      <c r="C501" s="537">
        <v>1</v>
      </c>
      <c r="D501" s="539" t="s">
        <v>273</v>
      </c>
      <c r="E501" s="540">
        <v>1</v>
      </c>
      <c r="F501" s="541">
        <v>3.02</v>
      </c>
      <c r="G501" s="541">
        <v>0</v>
      </c>
      <c r="H501" s="541">
        <v>2.1</v>
      </c>
      <c r="I501" s="545">
        <f t="shared" si="52"/>
        <v>6.34</v>
      </c>
      <c r="J501" s="553" t="s">
        <v>102</v>
      </c>
      <c r="K501" s="39"/>
      <c r="L501" s="208"/>
      <c r="M501" s="39"/>
      <c r="N501" s="536" t="s">
        <v>2306</v>
      </c>
    </row>
    <row r="502" spans="1:14" s="544" customFormat="1" ht="16.5" customHeight="1">
      <c r="A502" s="16"/>
      <c r="B502" s="39" t="s">
        <v>2951</v>
      </c>
      <c r="C502" s="537">
        <v>1</v>
      </c>
      <c r="D502" s="539" t="s">
        <v>273</v>
      </c>
      <c r="E502" s="540">
        <v>1</v>
      </c>
      <c r="F502" s="541">
        <v>3.02</v>
      </c>
      <c r="G502" s="541">
        <v>0</v>
      </c>
      <c r="H502" s="541">
        <v>2.1</v>
      </c>
      <c r="I502" s="545">
        <f t="shared" si="51"/>
        <v>6.34</v>
      </c>
      <c r="J502" s="553" t="s">
        <v>102</v>
      </c>
      <c r="K502" s="39"/>
      <c r="L502" s="208"/>
      <c r="M502" s="39"/>
      <c r="N502" s="536" t="s">
        <v>2306</v>
      </c>
    </row>
    <row r="503" spans="1:14" s="544" customFormat="1" ht="16.5" customHeight="1">
      <c r="A503" s="16"/>
      <c r="B503" s="39" t="s">
        <v>579</v>
      </c>
      <c r="C503" s="537">
        <v>1</v>
      </c>
      <c r="D503" s="539" t="s">
        <v>273</v>
      </c>
      <c r="E503" s="540">
        <v>1</v>
      </c>
      <c r="F503" s="541">
        <v>0.75</v>
      </c>
      <c r="G503" s="541">
        <v>0</v>
      </c>
      <c r="H503" s="541">
        <v>2.1</v>
      </c>
      <c r="I503" s="545">
        <f>-ROUND(IF(AND(F503:H503),C503*E503*F503*G503*H503,IF(AND(F503,G503),C503*E503*F503*G503,IF(AND(F503,H503),C503*E503*F503*H503,IF(AND(G503,H503),C503*E503*G503*H503,IF(F503,C503*E503*F503,IF(G503,C503*E503*G503,IF(H503,C503*E503*H503,C503*E503))))))),2)</f>
        <v>-1.58</v>
      </c>
      <c r="J503" s="553" t="s">
        <v>102</v>
      </c>
      <c r="K503" s="39"/>
      <c r="L503" s="208"/>
      <c r="M503" s="39"/>
      <c r="N503" s="536" t="s">
        <v>2306</v>
      </c>
    </row>
    <row r="504" spans="1:14" s="544" customFormat="1" ht="16.5" customHeight="1">
      <c r="A504" s="16"/>
      <c r="B504" s="39" t="s">
        <v>2952</v>
      </c>
      <c r="C504" s="537">
        <v>1</v>
      </c>
      <c r="D504" s="539" t="s">
        <v>273</v>
      </c>
      <c r="E504" s="540">
        <v>1</v>
      </c>
      <c r="F504" s="541">
        <v>1.62</v>
      </c>
      <c r="G504" s="541">
        <v>0</v>
      </c>
      <c r="H504" s="541">
        <v>2.1</v>
      </c>
      <c r="I504" s="545">
        <f t="shared" si="51"/>
        <v>3.4</v>
      </c>
      <c r="J504" s="553" t="s">
        <v>102</v>
      </c>
      <c r="K504" s="39"/>
      <c r="L504" s="208"/>
      <c r="M504" s="39"/>
      <c r="N504" s="536" t="s">
        <v>2306</v>
      </c>
    </row>
    <row r="505" spans="1:14" s="544" customFormat="1" ht="16.5" customHeight="1">
      <c r="A505" s="16"/>
      <c r="B505" s="39"/>
      <c r="C505" s="537">
        <v>1</v>
      </c>
      <c r="D505" s="539" t="s">
        <v>273</v>
      </c>
      <c r="E505" s="540">
        <v>1</v>
      </c>
      <c r="F505" s="541">
        <v>1.55</v>
      </c>
      <c r="G505" s="541">
        <v>0</v>
      </c>
      <c r="H505" s="541">
        <v>2.1</v>
      </c>
      <c r="I505" s="545">
        <f t="shared" si="51"/>
        <v>3.26</v>
      </c>
      <c r="J505" s="553" t="s">
        <v>102</v>
      </c>
      <c r="K505" s="39"/>
      <c r="L505" s="208"/>
      <c r="M505" s="39"/>
      <c r="N505" s="536" t="s">
        <v>2306</v>
      </c>
    </row>
    <row r="506" spans="1:14" s="544" customFormat="1" ht="16.5" customHeight="1">
      <c r="A506" s="16"/>
      <c r="B506" s="39" t="s">
        <v>2893</v>
      </c>
      <c r="C506" s="537"/>
      <c r="D506" s="539"/>
      <c r="E506" s="540"/>
      <c r="F506" s="541"/>
      <c r="G506" s="541"/>
      <c r="H506" s="541"/>
      <c r="I506" s="542"/>
      <c r="J506" s="553"/>
      <c r="K506" s="39"/>
      <c r="L506" s="208"/>
      <c r="M506" s="39"/>
      <c r="N506" s="536" t="s">
        <v>2306</v>
      </c>
    </row>
    <row r="507" spans="1:14" s="544" customFormat="1" ht="16.5" customHeight="1">
      <c r="A507" s="16"/>
      <c r="B507" s="39" t="s">
        <v>2567</v>
      </c>
      <c r="C507" s="537">
        <v>1</v>
      </c>
      <c r="D507" s="539" t="s">
        <v>273</v>
      </c>
      <c r="E507" s="540">
        <v>3</v>
      </c>
      <c r="F507" s="541">
        <v>2.86</v>
      </c>
      <c r="G507" s="541">
        <v>0</v>
      </c>
      <c r="H507" s="541">
        <v>0.625</v>
      </c>
      <c r="I507" s="545">
        <f>ROUND(IF(AND(F507:H507),C507*E507*F507*G507*H507,IF(AND(F507,G507),C507*E507*F507*G507,IF(AND(F507,H507),C507*E507*F507*H507,IF(AND(G507,H507),C507*E507*G507*H507,IF(F507,C507*E507*F507,IF(G507,C507*E507*G507,IF(H507,C507*E507*H507,C507*E507))))))),2)</f>
        <v>5.36</v>
      </c>
      <c r="J507" s="553" t="s">
        <v>102</v>
      </c>
      <c r="K507" s="39"/>
      <c r="L507" s="208"/>
      <c r="M507" s="39"/>
      <c r="N507" s="536" t="s">
        <v>2306</v>
      </c>
    </row>
    <row r="508" spans="1:14" s="544" customFormat="1" ht="16.5" customHeight="1">
      <c r="A508" s="16"/>
      <c r="B508" s="39" t="s">
        <v>2967</v>
      </c>
      <c r="C508" s="537">
        <v>1</v>
      </c>
      <c r="D508" s="539" t="s">
        <v>273</v>
      </c>
      <c r="E508" s="540">
        <v>1</v>
      </c>
      <c r="F508" s="541">
        <v>4.99</v>
      </c>
      <c r="G508" s="541">
        <v>0</v>
      </c>
      <c r="H508" s="541">
        <v>0.54500000000000004</v>
      </c>
      <c r="I508" s="545">
        <f t="shared" ref="I508:I518" si="53">ROUND(IF(AND(F508:H508),C508*E508*F508*G508*H508,IF(AND(F508,G508),C508*E508*F508*G508,IF(AND(F508,H508),C508*E508*F508*H508,IF(AND(G508,H508),C508*E508*G508*H508,IF(F508,C508*E508*F508,IF(G508,C508*E508*G508,IF(H508,C508*E508*H508,C508*E508))))))),2)</f>
        <v>2.72</v>
      </c>
      <c r="J508" s="553" t="s">
        <v>102</v>
      </c>
      <c r="K508" s="39"/>
      <c r="L508" s="208"/>
      <c r="M508" s="39"/>
      <c r="N508" s="536" t="s">
        <v>2306</v>
      </c>
    </row>
    <row r="509" spans="1:14" s="544" customFormat="1" ht="16.5" customHeight="1">
      <c r="A509" s="16"/>
      <c r="B509" s="39" t="s">
        <v>2566</v>
      </c>
      <c r="C509" s="537">
        <v>1</v>
      </c>
      <c r="D509" s="539" t="s">
        <v>273</v>
      </c>
      <c r="E509" s="540">
        <v>1</v>
      </c>
      <c r="F509" s="541">
        <v>8.93</v>
      </c>
      <c r="G509" s="541">
        <v>0</v>
      </c>
      <c r="H509" s="541">
        <v>0.625</v>
      </c>
      <c r="I509" s="545">
        <f t="shared" si="53"/>
        <v>5.58</v>
      </c>
      <c r="J509" s="553" t="s">
        <v>102</v>
      </c>
      <c r="K509" s="39"/>
      <c r="L509" s="208"/>
      <c r="M509" s="39"/>
      <c r="N509" s="536" t="s">
        <v>2306</v>
      </c>
    </row>
    <row r="510" spans="1:14" s="544" customFormat="1" ht="16.5" customHeight="1">
      <c r="A510" s="16"/>
      <c r="B510" s="39" t="s">
        <v>2954</v>
      </c>
      <c r="C510" s="537">
        <v>1</v>
      </c>
      <c r="D510" s="539" t="s">
        <v>273</v>
      </c>
      <c r="E510" s="540">
        <v>2</v>
      </c>
      <c r="F510" s="541">
        <v>0.23</v>
      </c>
      <c r="G510" s="541">
        <v>0</v>
      </c>
      <c r="H510" s="541">
        <v>0.625</v>
      </c>
      <c r="I510" s="545">
        <f>-ROUND(IF(AND(F510:H510),C510*E510*F510*G510*H510,IF(AND(F510,G510),C510*E510*F510*G510,IF(AND(F510,H510),C510*E510*F510*H510,IF(AND(G510,H510),C510*E510*G510*H510,IF(F510,C510*E510*F510,IF(G510,C510*E510*G510,IF(H510,C510*E510*H510,C510*E510))))))),2)</f>
        <v>-0.28999999999999998</v>
      </c>
      <c r="J510" s="553" t="s">
        <v>102</v>
      </c>
      <c r="K510" s="39"/>
      <c r="L510" s="208"/>
      <c r="M510" s="39"/>
      <c r="N510" s="536" t="s">
        <v>2306</v>
      </c>
    </row>
    <row r="511" spans="1:14" s="544" customFormat="1" ht="16.5" customHeight="1">
      <c r="A511" s="16"/>
      <c r="B511" s="39" t="s">
        <v>2566</v>
      </c>
      <c r="C511" s="537">
        <v>1</v>
      </c>
      <c r="D511" s="539" t="s">
        <v>273</v>
      </c>
      <c r="E511" s="540">
        <v>1</v>
      </c>
      <c r="F511" s="541">
        <v>8.93</v>
      </c>
      <c r="G511" s="541">
        <v>0</v>
      </c>
      <c r="H511" s="541">
        <v>0.92500000000000004</v>
      </c>
      <c r="I511" s="545">
        <f t="shared" si="53"/>
        <v>8.26</v>
      </c>
      <c r="J511" s="553" t="s">
        <v>102</v>
      </c>
      <c r="K511" s="39"/>
      <c r="L511" s="208"/>
      <c r="M511" s="39"/>
      <c r="N511" s="536" t="s">
        <v>2306</v>
      </c>
    </row>
    <row r="512" spans="1:14" s="544" customFormat="1" ht="16.5" customHeight="1">
      <c r="A512" s="16"/>
      <c r="B512" s="39" t="s">
        <v>2968</v>
      </c>
      <c r="C512" s="537">
        <v>1</v>
      </c>
      <c r="D512" s="539" t="s">
        <v>273</v>
      </c>
      <c r="E512" s="540">
        <v>2</v>
      </c>
      <c r="F512" s="541">
        <v>0.23</v>
      </c>
      <c r="G512" s="541">
        <v>0</v>
      </c>
      <c r="H512" s="541">
        <v>0.38</v>
      </c>
      <c r="I512" s="545">
        <f>-ROUND(IF(AND(F512:H512),C512*E512*F512*G512*H512,IF(AND(F512,G512),C512*E512*F512*G512,IF(AND(F512,H512),C512*E512*F512*H512,IF(AND(G512,H512),C512*E512*G512*H512,IF(F512,C512*E512*F512,IF(G512,C512*E512*G512,IF(H512,C512*E512*H512,C512*E512))))))),2)</f>
        <v>-0.17</v>
      </c>
      <c r="J512" s="553" t="s">
        <v>102</v>
      </c>
      <c r="K512" s="39"/>
      <c r="L512" s="208"/>
      <c r="M512" s="39"/>
      <c r="N512" s="536" t="s">
        <v>2306</v>
      </c>
    </row>
    <row r="513" spans="1:14" s="544" customFormat="1" ht="16.5" customHeight="1">
      <c r="A513" s="16"/>
      <c r="B513" s="39" t="s">
        <v>2556</v>
      </c>
      <c r="C513" s="537">
        <v>1</v>
      </c>
      <c r="D513" s="539" t="s">
        <v>273</v>
      </c>
      <c r="E513" s="540">
        <v>1</v>
      </c>
      <c r="F513" s="541">
        <v>3.02</v>
      </c>
      <c r="G513" s="541">
        <v>0</v>
      </c>
      <c r="H513" s="541">
        <v>0.54500000000000004</v>
      </c>
      <c r="I513" s="545">
        <f t="shared" si="53"/>
        <v>1.65</v>
      </c>
      <c r="J513" s="553" t="s">
        <v>102</v>
      </c>
      <c r="K513" s="39"/>
      <c r="L513" s="208"/>
      <c r="M513" s="39"/>
      <c r="N513" s="536" t="s">
        <v>2306</v>
      </c>
    </row>
    <row r="514" spans="1:14" s="544" customFormat="1" ht="16.5" customHeight="1">
      <c r="A514" s="16"/>
      <c r="B514" s="39" t="s">
        <v>2969</v>
      </c>
      <c r="C514" s="537">
        <v>1</v>
      </c>
      <c r="D514" s="539" t="s">
        <v>273</v>
      </c>
      <c r="E514" s="540">
        <v>1</v>
      </c>
      <c r="F514" s="541">
        <v>3.02</v>
      </c>
      <c r="G514" s="541">
        <v>0</v>
      </c>
      <c r="H514" s="541">
        <v>0.92500000000000004</v>
      </c>
      <c r="I514" s="545">
        <f t="shared" si="53"/>
        <v>2.79</v>
      </c>
      <c r="J514" s="553" t="s">
        <v>102</v>
      </c>
      <c r="K514" s="39"/>
      <c r="L514" s="208"/>
      <c r="M514" s="39"/>
      <c r="N514" s="536" t="s">
        <v>2306</v>
      </c>
    </row>
    <row r="515" spans="1:14" s="544" customFormat="1" ht="16.5" customHeight="1">
      <c r="A515" s="16"/>
      <c r="B515" s="39" t="s">
        <v>2137</v>
      </c>
      <c r="C515" s="537">
        <v>1</v>
      </c>
      <c r="D515" s="539" t="s">
        <v>273</v>
      </c>
      <c r="E515" s="540">
        <v>1</v>
      </c>
      <c r="F515" s="541">
        <v>1.62</v>
      </c>
      <c r="G515" s="541">
        <v>0</v>
      </c>
      <c r="H515" s="541">
        <v>0.92500000000000004</v>
      </c>
      <c r="I515" s="545">
        <f t="shared" si="53"/>
        <v>1.5</v>
      </c>
      <c r="J515" s="553" t="s">
        <v>102</v>
      </c>
      <c r="K515" s="39"/>
      <c r="L515" s="208"/>
      <c r="M515" s="39"/>
      <c r="N515" s="536" t="s">
        <v>2306</v>
      </c>
    </row>
    <row r="516" spans="1:14" s="544" customFormat="1" ht="16.5" customHeight="1">
      <c r="A516" s="16"/>
      <c r="B516" s="39"/>
      <c r="C516" s="537">
        <v>1</v>
      </c>
      <c r="D516" s="539" t="s">
        <v>273</v>
      </c>
      <c r="E516" s="540">
        <v>1</v>
      </c>
      <c r="F516" s="541">
        <v>1.55</v>
      </c>
      <c r="G516" s="541">
        <v>0</v>
      </c>
      <c r="H516" s="541">
        <v>0.92500000000000004</v>
      </c>
      <c r="I516" s="545">
        <f t="shared" si="53"/>
        <v>1.43</v>
      </c>
      <c r="J516" s="553" t="s">
        <v>102</v>
      </c>
      <c r="K516" s="39"/>
      <c r="L516" s="208"/>
      <c r="M516" s="39"/>
      <c r="N516" s="536" t="s">
        <v>2306</v>
      </c>
    </row>
    <row r="517" spans="1:14" s="544" customFormat="1" ht="16.5" customHeight="1">
      <c r="A517" s="16"/>
      <c r="B517" s="39" t="s">
        <v>1492</v>
      </c>
      <c r="C517" s="537">
        <v>1</v>
      </c>
      <c r="D517" s="539" t="s">
        <v>273</v>
      </c>
      <c r="E517" s="540">
        <v>1</v>
      </c>
      <c r="F517" s="541">
        <v>10.3</v>
      </c>
      <c r="G517" s="541">
        <v>0</v>
      </c>
      <c r="H517" s="541">
        <v>0.6</v>
      </c>
      <c r="I517" s="545">
        <f t="shared" si="53"/>
        <v>6.18</v>
      </c>
      <c r="J517" s="553" t="s">
        <v>102</v>
      </c>
      <c r="K517" s="39"/>
      <c r="L517" s="208"/>
      <c r="M517" s="39"/>
      <c r="N517" s="536" t="s">
        <v>2306</v>
      </c>
    </row>
    <row r="518" spans="1:14" s="544" customFormat="1" ht="16.5" customHeight="1">
      <c r="A518" s="16"/>
      <c r="B518" s="39"/>
      <c r="C518" s="537">
        <v>1</v>
      </c>
      <c r="D518" s="539" t="s">
        <v>273</v>
      </c>
      <c r="E518" s="540">
        <v>1</v>
      </c>
      <c r="F518" s="541">
        <v>24</v>
      </c>
      <c r="G518" s="541">
        <v>0</v>
      </c>
      <c r="H518" s="541">
        <v>0.9</v>
      </c>
      <c r="I518" s="545">
        <f t="shared" si="53"/>
        <v>21.6</v>
      </c>
      <c r="J518" s="553" t="s">
        <v>102</v>
      </c>
      <c r="K518" s="39"/>
      <c r="L518" s="208"/>
      <c r="M518" s="39"/>
      <c r="N518" s="536" t="s">
        <v>2306</v>
      </c>
    </row>
    <row r="519" spans="1:14" s="544" customFormat="1" ht="16.5" customHeight="1">
      <c r="A519" s="16"/>
      <c r="B519" s="39"/>
      <c r="C519" s="537"/>
      <c r="D519" s="539"/>
      <c r="E519" s="540"/>
      <c r="F519" s="541"/>
      <c r="G519" s="541"/>
      <c r="H519" s="541"/>
      <c r="I519" s="545"/>
      <c r="J519" s="553"/>
      <c r="K519" s="39"/>
      <c r="L519" s="208"/>
      <c r="M519" s="39"/>
      <c r="N519" s="536" t="s">
        <v>2306</v>
      </c>
    </row>
    <row r="520" spans="1:14" ht="15.75">
      <c r="A520" s="16"/>
      <c r="B520" s="39"/>
      <c r="C520" s="554"/>
      <c r="D520" s="555"/>
      <c r="E520" s="540"/>
      <c r="F520" s="541"/>
      <c r="G520" s="40"/>
      <c r="H520" s="16"/>
      <c r="I520" s="552"/>
      <c r="J520" s="553" t="s">
        <v>102</v>
      </c>
      <c r="K520" s="10">
        <f>data!F1328</f>
        <v>791.59</v>
      </c>
      <c r="L520" s="208" t="s">
        <v>2306</v>
      </c>
      <c r="M520" s="9">
        <f>ROUND(I520*K520/1,0)</f>
        <v>0</v>
      </c>
      <c r="N520" s="536" t="s">
        <v>2306</v>
      </c>
    </row>
    <row r="521" spans="1:14" ht="132.75" customHeight="1">
      <c r="A521" s="16">
        <v>10</v>
      </c>
      <c r="B521" s="1858" t="s">
        <v>901</v>
      </c>
      <c r="C521" s="1858"/>
      <c r="D521" s="1858"/>
      <c r="E521" s="1858"/>
      <c r="F521" s="1858"/>
      <c r="G521" s="1858"/>
      <c r="H521" s="1858"/>
      <c r="I521" s="537"/>
      <c r="J521" s="538"/>
      <c r="K521" s="16"/>
      <c r="L521" s="208"/>
      <c r="M521" s="38"/>
      <c r="N521" s="536" t="s">
        <v>2317</v>
      </c>
    </row>
    <row r="522" spans="1:14" s="544" customFormat="1" ht="16.5" customHeight="1">
      <c r="A522" s="16"/>
      <c r="B522" s="39" t="s">
        <v>3107</v>
      </c>
      <c r="C522" s="537"/>
      <c r="D522" s="539"/>
      <c r="E522" s="540"/>
      <c r="F522" s="541"/>
      <c r="G522" s="541"/>
      <c r="H522" s="541"/>
      <c r="I522" s="542"/>
      <c r="J522" s="950"/>
      <c r="K522" s="39"/>
      <c r="L522" s="208"/>
      <c r="M522" s="39"/>
      <c r="N522" s="536" t="s">
        <v>2317</v>
      </c>
    </row>
    <row r="523" spans="1:14" s="544" customFormat="1" ht="16.5" customHeight="1">
      <c r="A523" s="16"/>
      <c r="B523" s="39"/>
      <c r="C523" s="537">
        <v>1</v>
      </c>
      <c r="D523" s="539" t="s">
        <v>273</v>
      </c>
      <c r="E523" s="540">
        <v>1</v>
      </c>
      <c r="F523" s="541">
        <v>12</v>
      </c>
      <c r="G523" s="541">
        <v>0</v>
      </c>
      <c r="H523" s="541">
        <v>2.1</v>
      </c>
      <c r="I523" s="545">
        <f t="shared" ref="I523:I529" si="54">ROUND(IF(AND(F523:H523),C523*E523*F523*G523*H523,IF(AND(F523,G523),C523*E523*F523*G523,IF(AND(F523,H523),C523*E523*F523*H523,IF(AND(G523,H523),C523*E523*G523*H523,IF(F523,C523*E523*F523,IF(G523,C523*E523*G523,IF(H523,C523*E523*H523,C523*E523))))))),2)</f>
        <v>25.2</v>
      </c>
      <c r="J523" s="546" t="s">
        <v>102</v>
      </c>
      <c r="K523" s="39"/>
      <c r="L523" s="208"/>
      <c r="M523" s="39"/>
      <c r="N523" s="536" t="s">
        <v>2317</v>
      </c>
    </row>
    <row r="524" spans="1:14" s="544" customFormat="1" ht="16.5" customHeight="1">
      <c r="A524" s="16"/>
      <c r="B524" s="39"/>
      <c r="C524" s="537">
        <v>1</v>
      </c>
      <c r="D524" s="539" t="s">
        <v>273</v>
      </c>
      <c r="E524" s="540">
        <v>1</v>
      </c>
      <c r="F524" s="541">
        <v>9.06</v>
      </c>
      <c r="G524" s="541">
        <v>0</v>
      </c>
      <c r="H524" s="541">
        <v>2.1</v>
      </c>
      <c r="I524" s="545">
        <f t="shared" si="54"/>
        <v>19.03</v>
      </c>
      <c r="J524" s="546" t="s">
        <v>102</v>
      </c>
      <c r="K524" s="39"/>
      <c r="L524" s="208"/>
      <c r="M524" s="39"/>
      <c r="N524" s="536" t="s">
        <v>2317</v>
      </c>
    </row>
    <row r="525" spans="1:14" s="544" customFormat="1" ht="16.5" customHeight="1">
      <c r="A525" s="16"/>
      <c r="B525" s="39"/>
      <c r="C525" s="537">
        <v>1</v>
      </c>
      <c r="D525" s="539" t="s">
        <v>273</v>
      </c>
      <c r="E525" s="540">
        <v>3</v>
      </c>
      <c r="F525" s="541">
        <v>2.86</v>
      </c>
      <c r="G525" s="541">
        <v>0</v>
      </c>
      <c r="H525" s="541">
        <v>2.1</v>
      </c>
      <c r="I525" s="545">
        <f t="shared" si="54"/>
        <v>18.02</v>
      </c>
      <c r="J525" s="546" t="s">
        <v>102</v>
      </c>
      <c r="K525" s="39"/>
      <c r="L525" s="208"/>
      <c r="M525" s="39"/>
      <c r="N525" s="536" t="s">
        <v>2317</v>
      </c>
    </row>
    <row r="526" spans="1:14" s="544" customFormat="1" ht="16.5" customHeight="1">
      <c r="A526" s="16"/>
      <c r="B526" s="39"/>
      <c r="C526" s="537">
        <v>1</v>
      </c>
      <c r="D526" s="539" t="s">
        <v>273</v>
      </c>
      <c r="E526" s="540">
        <v>1</v>
      </c>
      <c r="F526" s="541">
        <v>3.12</v>
      </c>
      <c r="G526" s="541">
        <v>0</v>
      </c>
      <c r="H526" s="541">
        <v>2.1</v>
      </c>
      <c r="I526" s="545">
        <f t="shared" si="54"/>
        <v>6.55</v>
      </c>
      <c r="J526" s="546" t="s">
        <v>102</v>
      </c>
      <c r="K526" s="39"/>
      <c r="L526" s="208"/>
      <c r="M526" s="39"/>
      <c r="N526" s="536" t="s">
        <v>2317</v>
      </c>
    </row>
    <row r="527" spans="1:14" s="544" customFormat="1" ht="16.5" customHeight="1">
      <c r="A527" s="16"/>
      <c r="B527" s="39"/>
      <c r="C527" s="537">
        <v>1</v>
      </c>
      <c r="D527" s="539" t="s">
        <v>273</v>
      </c>
      <c r="E527" s="540">
        <v>1</v>
      </c>
      <c r="F527" s="541">
        <v>3.3</v>
      </c>
      <c r="G527" s="541">
        <v>0</v>
      </c>
      <c r="H527" s="541">
        <v>2.1</v>
      </c>
      <c r="I527" s="545">
        <f t="shared" si="54"/>
        <v>6.93</v>
      </c>
      <c r="J527" s="546" t="s">
        <v>102</v>
      </c>
      <c r="K527" s="39"/>
      <c r="L527" s="208"/>
      <c r="M527" s="39"/>
      <c r="N527" s="536" t="s">
        <v>2317</v>
      </c>
    </row>
    <row r="528" spans="1:14" s="544" customFormat="1" ht="16.5" customHeight="1">
      <c r="A528" s="16"/>
      <c r="B528" s="39"/>
      <c r="C528" s="537">
        <v>1</v>
      </c>
      <c r="D528" s="539" t="s">
        <v>273</v>
      </c>
      <c r="E528" s="540">
        <v>2</v>
      </c>
      <c r="F528" s="541">
        <v>1.5</v>
      </c>
      <c r="G528" s="541">
        <v>0</v>
      </c>
      <c r="H528" s="541">
        <v>2.1</v>
      </c>
      <c r="I528" s="545">
        <f t="shared" si="54"/>
        <v>6.3</v>
      </c>
      <c r="J528" s="546" t="s">
        <v>102</v>
      </c>
      <c r="K528" s="39"/>
      <c r="L528" s="208"/>
      <c r="M528" s="39"/>
      <c r="N528" s="536" t="s">
        <v>2317</v>
      </c>
    </row>
    <row r="529" spans="1:14" s="544" customFormat="1" ht="16.5" customHeight="1">
      <c r="A529" s="16"/>
      <c r="B529" s="39"/>
      <c r="C529" s="537">
        <v>1</v>
      </c>
      <c r="D529" s="539" t="s">
        <v>273</v>
      </c>
      <c r="E529" s="540">
        <v>1</v>
      </c>
      <c r="F529" s="541">
        <v>10.53</v>
      </c>
      <c r="G529" s="541">
        <v>0</v>
      </c>
      <c r="H529" s="541">
        <v>0.9</v>
      </c>
      <c r="I529" s="545">
        <f t="shared" si="54"/>
        <v>9.48</v>
      </c>
      <c r="J529" s="546" t="s">
        <v>102</v>
      </c>
      <c r="K529" s="39"/>
      <c r="L529" s="208"/>
      <c r="M529" s="39"/>
      <c r="N529" s="536" t="s">
        <v>2317</v>
      </c>
    </row>
    <row r="530" spans="1:14" s="544" customFormat="1" ht="16.5" customHeight="1">
      <c r="A530" s="16"/>
      <c r="B530" s="39"/>
      <c r="C530" s="537">
        <v>1</v>
      </c>
      <c r="D530" s="539" t="s">
        <v>273</v>
      </c>
      <c r="E530" s="540">
        <v>4</v>
      </c>
      <c r="F530" s="541">
        <v>1.2</v>
      </c>
      <c r="G530" s="541">
        <v>0</v>
      </c>
      <c r="H530" s="541">
        <v>2.1</v>
      </c>
      <c r="I530" s="545">
        <f>-ROUND(IF(AND(F530:H530),C530*E530*F530*G530*H530,IF(AND(F530,G530),C530*E530*F530*G530,IF(AND(F530,H530),C530*E530*F530*H530,IF(AND(G530,H530),C530*E530*G530*H530,IF(F530,C530*E530*F530,IF(G530,C530*E530*G530,IF(H530,C530*E530*H530,C530*E530))))))),2)</f>
        <v>-10.08</v>
      </c>
      <c r="J530" s="546" t="s">
        <v>102</v>
      </c>
      <c r="K530" s="39"/>
      <c r="L530" s="208"/>
      <c r="M530" s="39"/>
      <c r="N530" s="536" t="s">
        <v>2317</v>
      </c>
    </row>
    <row r="531" spans="1:14" s="544" customFormat="1" ht="16.5" customHeight="1">
      <c r="A531" s="16"/>
      <c r="B531" s="39"/>
      <c r="C531" s="537">
        <v>1</v>
      </c>
      <c r="D531" s="539" t="s">
        <v>273</v>
      </c>
      <c r="E531" s="540">
        <v>3</v>
      </c>
      <c r="F531" s="541">
        <v>1.05</v>
      </c>
      <c r="G531" s="541">
        <v>0</v>
      </c>
      <c r="H531" s="541">
        <v>2.1</v>
      </c>
      <c r="I531" s="545">
        <f>-ROUND(IF(AND(F531:H531),C531*E531*F531*G531*H531,IF(AND(F531,G531),C531*E531*F531*G531,IF(AND(F531,H531),C531*E531*F531*H531,IF(AND(G531,H531),C531*E531*G531*H531,IF(F531,C531*E531*F531,IF(G531,C531*E531*G531,IF(H531,C531*E531*H531,C531*E531))))))),2)</f>
        <v>-6.62</v>
      </c>
      <c r="J531" s="546" t="s">
        <v>102</v>
      </c>
      <c r="K531" s="39"/>
      <c r="L531" s="208"/>
      <c r="M531" s="39"/>
      <c r="N531" s="536" t="s">
        <v>2317</v>
      </c>
    </row>
    <row r="532" spans="1:14" s="544" customFormat="1" ht="16.5" customHeight="1">
      <c r="A532" s="16"/>
      <c r="B532" s="39"/>
      <c r="C532" s="537">
        <v>1</v>
      </c>
      <c r="D532" s="539" t="s">
        <v>273</v>
      </c>
      <c r="E532" s="540">
        <v>3</v>
      </c>
      <c r="F532" s="541">
        <v>0.75</v>
      </c>
      <c r="G532" s="541">
        <v>0</v>
      </c>
      <c r="H532" s="541">
        <v>2.1</v>
      </c>
      <c r="I532" s="545">
        <f>-ROUND(IF(AND(F532:H532),C532*E532*F532*G532*H532,IF(AND(F532,G532),C532*E532*F532*G532,IF(AND(F532,H532),C532*E532*F532*H532,IF(AND(G532,H532),C532*E532*G532*H532,IF(F532,C532*E532*F532,IF(G532,C532*E532*G532,IF(H532,C532*E532*H532,C532*E532))))))),2)</f>
        <v>-4.7300000000000004</v>
      </c>
      <c r="J532" s="546" t="s">
        <v>102</v>
      </c>
      <c r="K532" s="39"/>
      <c r="L532" s="208"/>
      <c r="M532" s="39"/>
      <c r="N532" s="536" t="s">
        <v>2317</v>
      </c>
    </row>
    <row r="533" spans="1:14" s="544" customFormat="1" ht="16.5" customHeight="1">
      <c r="A533" s="16"/>
      <c r="B533" s="39" t="s">
        <v>3108</v>
      </c>
      <c r="C533" s="537"/>
      <c r="D533" s="539"/>
      <c r="E533" s="540"/>
      <c r="F533" s="541"/>
      <c r="G533" s="541"/>
      <c r="H533" s="541"/>
      <c r="I533" s="542"/>
      <c r="J533" s="950"/>
      <c r="K533" s="39"/>
      <c r="L533" s="208"/>
      <c r="M533" s="39"/>
      <c r="N533" s="536" t="s">
        <v>2317</v>
      </c>
    </row>
    <row r="534" spans="1:14" s="544" customFormat="1" ht="16.5" customHeight="1">
      <c r="A534" s="16"/>
      <c r="B534" s="39"/>
      <c r="C534" s="537">
        <v>1</v>
      </c>
      <c r="D534" s="539" t="s">
        <v>273</v>
      </c>
      <c r="E534" s="540">
        <v>1</v>
      </c>
      <c r="F534" s="541">
        <v>12</v>
      </c>
      <c r="G534" s="541">
        <v>0</v>
      </c>
      <c r="H534" s="541">
        <v>0.62</v>
      </c>
      <c r="I534" s="545">
        <f t="shared" ref="I534:I539" si="55">ROUND(IF(AND(F534:H534),C534*E534*F534*G534*H534,IF(AND(F534,G534),C534*E534*F534*G534,IF(AND(F534,H534),C534*E534*F534*H534,IF(AND(G534,H534),C534*E534*G534*H534,IF(F534,C534*E534*F534,IF(G534,C534*E534*G534,IF(H534,C534*E534*H534,C534*E534))))))),2)</f>
        <v>7.44</v>
      </c>
      <c r="J534" s="546" t="s">
        <v>102</v>
      </c>
      <c r="K534" s="39"/>
      <c r="L534" s="208"/>
      <c r="M534" s="39"/>
      <c r="N534" s="536" t="s">
        <v>2317</v>
      </c>
    </row>
    <row r="535" spans="1:14" s="544" customFormat="1" ht="16.5" customHeight="1">
      <c r="A535" s="16"/>
      <c r="B535" s="39"/>
      <c r="C535" s="537">
        <v>1</v>
      </c>
      <c r="D535" s="539" t="s">
        <v>273</v>
      </c>
      <c r="E535" s="540">
        <v>1</v>
      </c>
      <c r="F535" s="541">
        <v>9.06</v>
      </c>
      <c r="G535" s="541">
        <v>0</v>
      </c>
      <c r="H535" s="541">
        <v>0.62</v>
      </c>
      <c r="I535" s="545">
        <f t="shared" si="55"/>
        <v>5.62</v>
      </c>
      <c r="J535" s="546" t="s">
        <v>102</v>
      </c>
      <c r="K535" s="39"/>
      <c r="L535" s="208"/>
      <c r="M535" s="39"/>
      <c r="N535" s="536" t="s">
        <v>2317</v>
      </c>
    </row>
    <row r="536" spans="1:14" s="544" customFormat="1" ht="16.5" customHeight="1">
      <c r="A536" s="16"/>
      <c r="B536" s="39"/>
      <c r="C536" s="537">
        <v>1</v>
      </c>
      <c r="D536" s="539" t="s">
        <v>273</v>
      </c>
      <c r="E536" s="540">
        <v>3</v>
      </c>
      <c r="F536" s="541">
        <v>2.86</v>
      </c>
      <c r="G536" s="541">
        <v>0</v>
      </c>
      <c r="H536" s="541">
        <v>0.77</v>
      </c>
      <c r="I536" s="545">
        <f t="shared" si="55"/>
        <v>6.61</v>
      </c>
      <c r="J536" s="546" t="s">
        <v>102</v>
      </c>
      <c r="K536" s="39"/>
      <c r="L536" s="208"/>
      <c r="M536" s="39"/>
      <c r="N536" s="536" t="s">
        <v>2317</v>
      </c>
    </row>
    <row r="537" spans="1:14" s="544" customFormat="1" ht="16.5" customHeight="1">
      <c r="A537" s="16"/>
      <c r="B537" s="39"/>
      <c r="C537" s="537">
        <v>1</v>
      </c>
      <c r="D537" s="539" t="s">
        <v>273</v>
      </c>
      <c r="E537" s="540">
        <v>1</v>
      </c>
      <c r="F537" s="541">
        <v>3.12</v>
      </c>
      <c r="G537" s="541">
        <v>0</v>
      </c>
      <c r="H537" s="541">
        <v>0.7</v>
      </c>
      <c r="I537" s="545">
        <f t="shared" si="55"/>
        <v>2.1800000000000002</v>
      </c>
      <c r="J537" s="546" t="s">
        <v>102</v>
      </c>
      <c r="K537" s="39"/>
      <c r="L537" s="208"/>
      <c r="M537" s="39"/>
      <c r="N537" s="536" t="s">
        <v>2317</v>
      </c>
    </row>
    <row r="538" spans="1:14" s="544" customFormat="1" ht="16.5" customHeight="1">
      <c r="A538" s="16"/>
      <c r="B538" s="39"/>
      <c r="C538" s="537">
        <v>1</v>
      </c>
      <c r="D538" s="539" t="s">
        <v>273</v>
      </c>
      <c r="E538" s="540">
        <v>1</v>
      </c>
      <c r="F538" s="541">
        <v>3.3</v>
      </c>
      <c r="G538" s="541">
        <v>0</v>
      </c>
      <c r="H538" s="541">
        <v>0.9</v>
      </c>
      <c r="I538" s="545">
        <f t="shared" si="55"/>
        <v>2.97</v>
      </c>
      <c r="J538" s="546" t="s">
        <v>102</v>
      </c>
      <c r="K538" s="39"/>
      <c r="L538" s="208"/>
      <c r="M538" s="39"/>
      <c r="N538" s="536" t="s">
        <v>2317</v>
      </c>
    </row>
    <row r="539" spans="1:14" s="544" customFormat="1" ht="16.5" customHeight="1">
      <c r="A539" s="16"/>
      <c r="B539" s="39"/>
      <c r="C539" s="537">
        <v>1</v>
      </c>
      <c r="D539" s="539" t="s">
        <v>273</v>
      </c>
      <c r="E539" s="540">
        <v>2</v>
      </c>
      <c r="F539" s="541">
        <v>1.5</v>
      </c>
      <c r="G539" s="541">
        <v>0</v>
      </c>
      <c r="H539" s="541">
        <v>0.6</v>
      </c>
      <c r="I539" s="545">
        <f t="shared" si="55"/>
        <v>1.8</v>
      </c>
      <c r="J539" s="546" t="s">
        <v>102</v>
      </c>
      <c r="K539" s="39"/>
      <c r="L539" s="208"/>
      <c r="M539" s="39"/>
      <c r="N539" s="536" t="s">
        <v>2317</v>
      </c>
    </row>
    <row r="540" spans="1:14" s="544" customFormat="1" ht="16.5" customHeight="1">
      <c r="A540" s="16"/>
      <c r="B540" s="39"/>
      <c r="C540" s="537"/>
      <c r="D540" s="539"/>
      <c r="E540" s="540"/>
      <c r="F540" s="541"/>
      <c r="G540" s="541"/>
      <c r="H540" s="541"/>
      <c r="I540" s="545"/>
      <c r="J540" s="553"/>
      <c r="K540" s="39"/>
      <c r="L540" s="208"/>
      <c r="M540" s="39"/>
      <c r="N540" s="536" t="s">
        <v>2317</v>
      </c>
    </row>
    <row r="541" spans="1:14" ht="15.75">
      <c r="A541" s="16"/>
      <c r="B541" s="39"/>
      <c r="C541" s="554"/>
      <c r="D541" s="555"/>
      <c r="E541" s="540"/>
      <c r="F541" s="541"/>
      <c r="G541" s="40"/>
      <c r="H541" s="16"/>
      <c r="I541" s="552"/>
      <c r="J541" s="553" t="s">
        <v>102</v>
      </c>
      <c r="K541" s="10">
        <f>data!F2245</f>
        <v>845.07</v>
      </c>
      <c r="L541" s="208" t="s">
        <v>2317</v>
      </c>
      <c r="M541" s="9">
        <f>ROUND(I541*K541/1,0)</f>
        <v>0</v>
      </c>
      <c r="N541" s="536" t="s">
        <v>2317</v>
      </c>
    </row>
    <row r="542" spans="1:14" ht="132.75" customHeight="1">
      <c r="A542" s="16">
        <v>10</v>
      </c>
      <c r="B542" s="1858" t="s">
        <v>901</v>
      </c>
      <c r="C542" s="1858"/>
      <c r="D542" s="1858"/>
      <c r="E542" s="1858"/>
      <c r="F542" s="1858"/>
      <c r="G542" s="1858"/>
      <c r="H542" s="1858"/>
      <c r="I542" s="537"/>
      <c r="J542" s="538"/>
      <c r="K542" s="16"/>
      <c r="L542" s="208"/>
      <c r="M542" s="38"/>
      <c r="N542" s="536" t="s">
        <v>2318</v>
      </c>
    </row>
    <row r="543" spans="1:14" s="544" customFormat="1" ht="16.5" customHeight="1">
      <c r="A543" s="16"/>
      <c r="B543" s="39" t="s">
        <v>3095</v>
      </c>
      <c r="C543" s="537"/>
      <c r="D543" s="539"/>
      <c r="E543" s="540"/>
      <c r="F543" s="541"/>
      <c r="G543" s="541"/>
      <c r="H543" s="541"/>
      <c r="I543" s="542"/>
      <c r="J543" s="553"/>
      <c r="K543" s="39"/>
      <c r="L543" s="208"/>
      <c r="M543" s="39"/>
      <c r="N543" s="536" t="s">
        <v>2318</v>
      </c>
    </row>
    <row r="544" spans="1:14" s="544" customFormat="1" ht="16.5" customHeight="1">
      <c r="A544" s="16"/>
      <c r="B544" s="39"/>
      <c r="C544" s="537">
        <v>1</v>
      </c>
      <c r="D544" s="539" t="s">
        <v>273</v>
      </c>
      <c r="E544" s="540">
        <v>1</v>
      </c>
      <c r="F544" s="541">
        <v>2.68</v>
      </c>
      <c r="G544" s="541">
        <v>0</v>
      </c>
      <c r="H544" s="541">
        <v>1.2</v>
      </c>
      <c r="I544" s="545">
        <f t="shared" ref="I544:I548" si="56">ROUND(IF(AND(F544:H544),C544*E544*F544*G544*H544,IF(AND(F544,G544),C544*E544*F544*G544,IF(AND(F544,H544),C544*E544*F544*H544,IF(AND(G544,H544),C544*E544*G544*H544,IF(F544,C544*E544*F544,IF(G544,C544*E544*G544,IF(H544,C544*E544*H544,C544*E544))))))),2)</f>
        <v>3.22</v>
      </c>
      <c r="J544" s="553" t="s">
        <v>102</v>
      </c>
      <c r="K544" s="39"/>
      <c r="L544" s="208"/>
      <c r="M544" s="39"/>
      <c r="N544" s="536" t="s">
        <v>2318</v>
      </c>
    </row>
    <row r="545" spans="1:14" s="544" customFormat="1" ht="16.5" customHeight="1">
      <c r="A545" s="16"/>
      <c r="B545" s="39"/>
      <c r="C545" s="537">
        <v>1</v>
      </c>
      <c r="D545" s="539" t="s">
        <v>273</v>
      </c>
      <c r="E545" s="540">
        <v>2</v>
      </c>
      <c r="F545" s="541">
        <v>0.85</v>
      </c>
      <c r="G545" s="541">
        <v>0</v>
      </c>
      <c r="H545" s="541">
        <v>1.2</v>
      </c>
      <c r="I545" s="545">
        <f t="shared" si="56"/>
        <v>2.04</v>
      </c>
      <c r="J545" s="553" t="s">
        <v>102</v>
      </c>
      <c r="K545" s="39"/>
      <c r="L545" s="208"/>
      <c r="M545" s="39"/>
      <c r="N545" s="536" t="s">
        <v>2318</v>
      </c>
    </row>
    <row r="546" spans="1:14" s="544" customFormat="1" ht="16.5" customHeight="1">
      <c r="A546" s="16"/>
      <c r="B546" s="39"/>
      <c r="C546" s="537">
        <v>1</v>
      </c>
      <c r="D546" s="539" t="s">
        <v>273</v>
      </c>
      <c r="E546" s="540">
        <v>2</v>
      </c>
      <c r="F546" s="541">
        <v>0.85</v>
      </c>
      <c r="G546" s="541">
        <v>0</v>
      </c>
      <c r="H546" s="541">
        <v>1.2</v>
      </c>
      <c r="I546" s="545">
        <f t="shared" si="56"/>
        <v>2.04</v>
      </c>
      <c r="J546" s="553" t="s">
        <v>102</v>
      </c>
      <c r="K546" s="39"/>
      <c r="L546" s="208"/>
      <c r="M546" s="39"/>
      <c r="N546" s="536" t="s">
        <v>2318</v>
      </c>
    </row>
    <row r="547" spans="1:14" s="544" customFormat="1" ht="16.5" customHeight="1">
      <c r="A547" s="16"/>
      <c r="B547" s="39"/>
      <c r="C547" s="537">
        <v>1</v>
      </c>
      <c r="D547" s="539" t="s">
        <v>273</v>
      </c>
      <c r="E547" s="540">
        <v>1</v>
      </c>
      <c r="F547" s="541">
        <v>5.5</v>
      </c>
      <c r="G547" s="541">
        <v>0</v>
      </c>
      <c r="H547" s="541">
        <v>0.9</v>
      </c>
      <c r="I547" s="545">
        <f t="shared" si="56"/>
        <v>4.95</v>
      </c>
      <c r="J547" s="553" t="s">
        <v>102</v>
      </c>
      <c r="K547" s="39"/>
      <c r="L547" s="208"/>
      <c r="M547" s="39"/>
      <c r="N547" s="536" t="s">
        <v>2318</v>
      </c>
    </row>
    <row r="548" spans="1:14" s="544" customFormat="1" ht="16.5" customHeight="1">
      <c r="A548" s="16"/>
      <c r="B548" s="39"/>
      <c r="C548" s="537">
        <v>1</v>
      </c>
      <c r="D548" s="539" t="s">
        <v>273</v>
      </c>
      <c r="E548" s="540">
        <v>2</v>
      </c>
      <c r="F548" s="541">
        <v>2.5</v>
      </c>
      <c r="G548" s="541">
        <v>0</v>
      </c>
      <c r="H548" s="541">
        <v>0.9</v>
      </c>
      <c r="I548" s="545">
        <f t="shared" si="56"/>
        <v>4.5</v>
      </c>
      <c r="J548" s="553" t="s">
        <v>102</v>
      </c>
      <c r="K548" s="39"/>
      <c r="L548" s="208"/>
      <c r="M548" s="39"/>
      <c r="N548" s="536" t="s">
        <v>2318</v>
      </c>
    </row>
    <row r="549" spans="1:14" s="544" customFormat="1" ht="16.5" customHeight="1">
      <c r="A549" s="16"/>
      <c r="B549" s="39"/>
      <c r="C549" s="537"/>
      <c r="D549" s="539"/>
      <c r="E549" s="540"/>
      <c r="F549" s="541"/>
      <c r="G549" s="541"/>
      <c r="H549" s="541"/>
      <c r="I549" s="545"/>
      <c r="J549" s="553"/>
      <c r="K549" s="39"/>
      <c r="L549" s="208"/>
      <c r="M549" s="39"/>
      <c r="N549" s="536" t="s">
        <v>2318</v>
      </c>
    </row>
    <row r="550" spans="1:14" ht="15.75">
      <c r="A550" s="16"/>
      <c r="B550" s="39"/>
      <c r="C550" s="554"/>
      <c r="D550" s="555"/>
      <c r="E550" s="540"/>
      <c r="F550" s="541"/>
      <c r="G550" s="40"/>
      <c r="H550" s="16"/>
      <c r="I550" s="552"/>
      <c r="J550" s="553" t="s">
        <v>102</v>
      </c>
      <c r="K550" s="10">
        <f>data!F3162</f>
        <v>929.28</v>
      </c>
      <c r="L550" s="208" t="s">
        <v>2318</v>
      </c>
      <c r="M550" s="9">
        <f>ROUND(I550*K550/1,0)</f>
        <v>0</v>
      </c>
      <c r="N550" s="536" t="s">
        <v>2318</v>
      </c>
    </row>
    <row r="551" spans="1:14" ht="79.5" customHeight="1">
      <c r="A551" s="16">
        <v>20</v>
      </c>
      <c r="B551" s="1858" t="s">
        <v>1201</v>
      </c>
      <c r="C551" s="1858"/>
      <c r="D551" s="1858"/>
      <c r="E551" s="1858"/>
      <c r="F551" s="1858"/>
      <c r="G551" s="1858"/>
      <c r="H551" s="1858"/>
      <c r="I551" s="537"/>
      <c r="J551" s="538"/>
      <c r="K551" s="16"/>
      <c r="L551" s="208"/>
      <c r="M551" s="38"/>
      <c r="N551" s="536" t="s">
        <v>2218</v>
      </c>
    </row>
    <row r="552" spans="1:14" s="544" customFormat="1" ht="16.5" customHeight="1">
      <c r="A552" s="16"/>
      <c r="B552" s="39" t="s">
        <v>2818</v>
      </c>
      <c r="C552" s="537"/>
      <c r="D552" s="539"/>
      <c r="E552" s="540"/>
      <c r="F552" s="541"/>
      <c r="G552" s="541"/>
      <c r="H552" s="541"/>
      <c r="I552" s="542"/>
      <c r="J552" s="553"/>
      <c r="K552" s="39"/>
      <c r="L552" s="208"/>
      <c r="M552" s="39"/>
      <c r="N552" s="536" t="s">
        <v>2218</v>
      </c>
    </row>
    <row r="553" spans="1:14" s="544" customFormat="1" ht="16.5" customHeight="1">
      <c r="A553" s="16"/>
      <c r="B553" s="39" t="s">
        <v>1242</v>
      </c>
      <c r="C553" s="537">
        <v>1</v>
      </c>
      <c r="D553" s="539" t="s">
        <v>273</v>
      </c>
      <c r="E553" s="540">
        <v>2</v>
      </c>
      <c r="F553" s="541">
        <v>0.75</v>
      </c>
      <c r="G553" s="541">
        <v>0.15</v>
      </c>
      <c r="H553" s="541">
        <v>1.05</v>
      </c>
      <c r="I553" s="545">
        <f t="shared" ref="I553:I555" si="57">ROUND(IF(AND(F553:H553),C553*E553*F553*G553*H553,IF(AND(F553,G553),C553*E553*F553*G553,IF(AND(F553,H553),C553*E553*F553*H553,IF(AND(G553,H553),C553*E553*G553*H553,IF(F553,C553*E553*F553,IF(G553,C553*E553*G553,IF(H553,C553*E553*H553,C553*E553))))))),2)</f>
        <v>0.24</v>
      </c>
      <c r="J553" s="553" t="s">
        <v>5</v>
      </c>
      <c r="K553" s="39"/>
      <c r="L553" s="208"/>
      <c r="M553" s="39"/>
      <c r="N553" s="536" t="s">
        <v>2218</v>
      </c>
    </row>
    <row r="554" spans="1:14" s="544" customFormat="1" ht="16.5" customHeight="1">
      <c r="A554" s="16"/>
      <c r="B554" s="39"/>
      <c r="C554" s="537">
        <v>1</v>
      </c>
      <c r="D554" s="539" t="s">
        <v>273</v>
      </c>
      <c r="E554" s="540">
        <v>1</v>
      </c>
      <c r="F554" s="541">
        <v>2.65</v>
      </c>
      <c r="G554" s="541">
        <v>0.15</v>
      </c>
      <c r="H554" s="541">
        <v>1.2</v>
      </c>
      <c r="I554" s="545">
        <f t="shared" si="57"/>
        <v>0.48</v>
      </c>
      <c r="J554" s="553" t="s">
        <v>5</v>
      </c>
      <c r="K554" s="39"/>
      <c r="L554" s="208"/>
      <c r="M554" s="39"/>
      <c r="N554" s="536" t="s">
        <v>2218</v>
      </c>
    </row>
    <row r="555" spans="1:14" s="544" customFormat="1" ht="16.5" customHeight="1">
      <c r="A555" s="16"/>
      <c r="B555" s="39"/>
      <c r="C555" s="537">
        <v>1</v>
      </c>
      <c r="D555" s="539" t="s">
        <v>273</v>
      </c>
      <c r="E555" s="540">
        <v>1</v>
      </c>
      <c r="F555" s="541">
        <v>2.85</v>
      </c>
      <c r="G555" s="541">
        <v>0.15</v>
      </c>
      <c r="H555" s="541">
        <v>1.2</v>
      </c>
      <c r="I555" s="545">
        <f t="shared" si="57"/>
        <v>0.51</v>
      </c>
      <c r="J555" s="553" t="s">
        <v>5</v>
      </c>
      <c r="K555" s="39"/>
      <c r="L555" s="208"/>
      <c r="M555" s="39"/>
      <c r="N555" s="536" t="s">
        <v>2218</v>
      </c>
    </row>
    <row r="556" spans="1:14" s="544" customFormat="1" ht="16.5" customHeight="1">
      <c r="A556" s="16"/>
      <c r="B556" s="547"/>
      <c r="C556" s="548"/>
      <c r="D556" s="549"/>
      <c r="E556" s="550"/>
      <c r="F556" s="551"/>
      <c r="G556" s="551"/>
      <c r="H556" s="551"/>
      <c r="I556" s="552"/>
      <c r="J556" s="553"/>
      <c r="K556" s="39"/>
      <c r="L556" s="208"/>
      <c r="M556" s="39"/>
      <c r="N556" s="536" t="s">
        <v>2218</v>
      </c>
    </row>
    <row r="557" spans="1:14" ht="15.75">
      <c r="A557" s="16"/>
      <c r="B557" s="39"/>
      <c r="C557" s="554"/>
      <c r="D557" s="555"/>
      <c r="E557" s="540"/>
      <c r="F557" s="541"/>
      <c r="G557" s="40"/>
      <c r="H557" s="16"/>
      <c r="I557" s="552"/>
      <c r="J557" s="553" t="s">
        <v>5</v>
      </c>
      <c r="K557" s="10">
        <f>data!F428</f>
        <v>5604.44</v>
      </c>
      <c r="L557" s="208" t="s">
        <v>2218</v>
      </c>
      <c r="M557" s="9">
        <f>ROUND(I557*K557,0)</f>
        <v>0</v>
      </c>
      <c r="N557" s="536" t="s">
        <v>2218</v>
      </c>
    </row>
    <row r="558" spans="1:14" ht="79.5" customHeight="1">
      <c r="A558" s="16">
        <v>20</v>
      </c>
      <c r="B558" s="1858" t="s">
        <v>1201</v>
      </c>
      <c r="C558" s="1858"/>
      <c r="D558" s="1858"/>
      <c r="E558" s="1858"/>
      <c r="F558" s="1858"/>
      <c r="G558" s="1858"/>
      <c r="H558" s="1858"/>
      <c r="I558" s="537"/>
      <c r="J558" s="538"/>
      <c r="K558" s="16"/>
      <c r="L558" s="208"/>
      <c r="M558" s="38"/>
      <c r="N558" s="536" t="s">
        <v>2306</v>
      </c>
    </row>
    <row r="559" spans="1:14" s="544" customFormat="1" ht="16.5" customHeight="1">
      <c r="A559" s="16"/>
      <c r="B559" s="39" t="s">
        <v>2818</v>
      </c>
      <c r="C559" s="537"/>
      <c r="D559" s="539"/>
      <c r="E559" s="540"/>
      <c r="F559" s="541"/>
      <c r="G559" s="541"/>
      <c r="H559" s="541"/>
      <c r="I559" s="542"/>
      <c r="J559" s="553"/>
      <c r="K559" s="39"/>
      <c r="L559" s="208"/>
      <c r="M559" s="39"/>
      <c r="N559" s="536" t="s">
        <v>2306</v>
      </c>
    </row>
    <row r="560" spans="1:14" s="544" customFormat="1" ht="16.5" customHeight="1">
      <c r="A560" s="16"/>
      <c r="B560" s="39" t="s">
        <v>1242</v>
      </c>
      <c r="C560" s="537">
        <v>1</v>
      </c>
      <c r="D560" s="539" t="s">
        <v>273</v>
      </c>
      <c r="E560" s="540">
        <v>2</v>
      </c>
      <c r="F560" s="541">
        <v>0.75</v>
      </c>
      <c r="G560" s="541">
        <v>0.15</v>
      </c>
      <c r="H560" s="541">
        <v>1.05</v>
      </c>
      <c r="I560" s="545">
        <f>ROUND(IF(AND(F560:H560),C560*E560*F560*G560*H560,IF(AND(F560,G560),C560*E560*F560*G560,IF(AND(F560,H560),C560*E560*F560*H560,IF(AND(G560,H560),C560*E560*G560*H560,IF(F560,C560*E560*F560,IF(G560,C560*E560*G560,IF(H560,C560*E560*H560,C560*E560))))))),2)</f>
        <v>0.24</v>
      </c>
      <c r="J560" s="553" t="s">
        <v>5</v>
      </c>
      <c r="K560" s="39"/>
      <c r="L560" s="208"/>
      <c r="M560" s="39"/>
      <c r="N560" s="536" t="s">
        <v>2306</v>
      </c>
    </row>
    <row r="561" spans="1:14" s="544" customFormat="1" ht="16.5" customHeight="1">
      <c r="A561" s="16"/>
      <c r="B561" s="39"/>
      <c r="C561" s="537">
        <v>1</v>
      </c>
      <c r="D561" s="539" t="s">
        <v>273</v>
      </c>
      <c r="E561" s="540">
        <v>1</v>
      </c>
      <c r="F561" s="541">
        <v>2.65</v>
      </c>
      <c r="G561" s="541">
        <v>0.15</v>
      </c>
      <c r="H561" s="541">
        <v>1.2</v>
      </c>
      <c r="I561" s="545">
        <f>ROUND(IF(AND(F561:H561),C561*E561*F561*G561*H561,IF(AND(F561,G561),C561*E561*F561*G561,IF(AND(F561,H561),C561*E561*F561*H561,IF(AND(G561,H561),C561*E561*G561*H561,IF(F561,C561*E561*F561,IF(G561,C561*E561*G561,IF(H561,C561*E561*H561,C561*E561))))))),2)</f>
        <v>0.48</v>
      </c>
      <c r="J561" s="553" t="s">
        <v>5</v>
      </c>
      <c r="K561" s="39"/>
      <c r="L561" s="208"/>
      <c r="M561" s="39"/>
      <c r="N561" s="536" t="s">
        <v>2306</v>
      </c>
    </row>
    <row r="562" spans="1:14" s="544" customFormat="1" ht="16.5" customHeight="1">
      <c r="A562" s="16"/>
      <c r="B562" s="39"/>
      <c r="C562" s="537">
        <v>1</v>
      </c>
      <c r="D562" s="539" t="s">
        <v>273</v>
      </c>
      <c r="E562" s="540">
        <v>1</v>
      </c>
      <c r="F562" s="541">
        <v>2.85</v>
      </c>
      <c r="G562" s="541">
        <v>0.15</v>
      </c>
      <c r="H562" s="541">
        <v>1.2</v>
      </c>
      <c r="I562" s="545">
        <f>ROUND(IF(AND(F562:H562),C562*E562*F562*G562*H562,IF(AND(F562,G562),C562*E562*F562*G562,IF(AND(F562,H562),C562*E562*F562*H562,IF(AND(G562,H562),C562*E562*G562*H562,IF(F562,C562*E562*F562,IF(G562,C562*E562*G562,IF(H562,C562*E562*H562,C562*E562))))))),2)</f>
        <v>0.51</v>
      </c>
      <c r="J562" s="553" t="s">
        <v>5</v>
      </c>
      <c r="K562" s="39"/>
      <c r="L562" s="208"/>
      <c r="M562" s="39"/>
      <c r="N562" s="536" t="s">
        <v>2306</v>
      </c>
    </row>
    <row r="563" spans="1:14" s="544" customFormat="1" ht="16.5" customHeight="1">
      <c r="A563" s="16"/>
      <c r="B563" s="547"/>
      <c r="C563" s="548"/>
      <c r="D563" s="549"/>
      <c r="E563" s="550"/>
      <c r="F563" s="551"/>
      <c r="G563" s="551"/>
      <c r="H563" s="551"/>
      <c r="I563" s="552"/>
      <c r="J563" s="553"/>
      <c r="K563" s="39"/>
      <c r="L563" s="208"/>
      <c r="M563" s="39"/>
      <c r="N563" s="536" t="s">
        <v>2306</v>
      </c>
    </row>
    <row r="564" spans="1:14" ht="15.75">
      <c r="A564" s="16"/>
      <c r="B564" s="39"/>
      <c r="C564" s="554"/>
      <c r="D564" s="555"/>
      <c r="E564" s="540"/>
      <c r="F564" s="541"/>
      <c r="G564" s="40"/>
      <c r="H564" s="16"/>
      <c r="I564" s="552"/>
      <c r="J564" s="553" t="s">
        <v>5</v>
      </c>
      <c r="K564" s="10">
        <f>data!F1345</f>
        <v>5800.61</v>
      </c>
      <c r="L564" s="208" t="s">
        <v>2306</v>
      </c>
      <c r="M564" s="9">
        <f>ROUND(I564*K564,0)</f>
        <v>0</v>
      </c>
      <c r="N564" s="536" t="s">
        <v>2306</v>
      </c>
    </row>
    <row r="565" spans="1:14" ht="79.5" customHeight="1">
      <c r="A565" s="16">
        <v>20</v>
      </c>
      <c r="B565" s="1858" t="s">
        <v>1201</v>
      </c>
      <c r="C565" s="1858"/>
      <c r="D565" s="1858"/>
      <c r="E565" s="1858"/>
      <c r="F565" s="1858"/>
      <c r="G565" s="1858"/>
      <c r="H565" s="1858"/>
      <c r="I565" s="537"/>
      <c r="J565" s="538"/>
      <c r="K565" s="16"/>
      <c r="L565" s="208"/>
      <c r="M565" s="38"/>
      <c r="N565" s="536" t="s">
        <v>2317</v>
      </c>
    </row>
    <row r="566" spans="1:14" s="544" customFormat="1" ht="16.5" customHeight="1">
      <c r="A566" s="16"/>
      <c r="B566" s="39" t="s">
        <v>2818</v>
      </c>
      <c r="C566" s="537"/>
      <c r="D566" s="539"/>
      <c r="E566" s="540"/>
      <c r="F566" s="541"/>
      <c r="G566" s="541"/>
      <c r="H566" s="541"/>
      <c r="I566" s="542"/>
      <c r="J566" s="553"/>
      <c r="K566" s="39"/>
      <c r="L566" s="208"/>
      <c r="M566" s="39"/>
      <c r="N566" s="536" t="s">
        <v>2317</v>
      </c>
    </row>
    <row r="567" spans="1:14" s="544" customFormat="1" ht="16.5" customHeight="1">
      <c r="A567" s="16"/>
      <c r="B567" s="39" t="s">
        <v>1242</v>
      </c>
      <c r="C567" s="537">
        <v>1</v>
      </c>
      <c r="D567" s="539" t="s">
        <v>273</v>
      </c>
      <c r="E567" s="540">
        <v>2</v>
      </c>
      <c r="F567" s="541">
        <v>0.75</v>
      </c>
      <c r="G567" s="541">
        <v>0.15</v>
      </c>
      <c r="H567" s="541">
        <v>1.05</v>
      </c>
      <c r="I567" s="545">
        <f>ROUND(IF(AND(F567:H567),C567*E567*F567*G567*H567,IF(AND(F567,G567),C567*E567*F567*G567,IF(AND(F567,H567),C567*E567*F567*H567,IF(AND(G567,H567),C567*E567*G567*H567,IF(F567,C567*E567*F567,IF(G567,C567*E567*G567,IF(H567,C567*E567*H567,C567*E567))))))),2)</f>
        <v>0.24</v>
      </c>
      <c r="J567" s="553" t="s">
        <v>5</v>
      </c>
      <c r="K567" s="39"/>
      <c r="L567" s="208"/>
      <c r="M567" s="39"/>
      <c r="N567" s="536" t="s">
        <v>2317</v>
      </c>
    </row>
    <row r="568" spans="1:14" s="544" customFormat="1" ht="16.5" customHeight="1">
      <c r="A568" s="16"/>
      <c r="B568" s="39"/>
      <c r="C568" s="537">
        <v>1</v>
      </c>
      <c r="D568" s="539" t="s">
        <v>273</v>
      </c>
      <c r="E568" s="540">
        <v>1</v>
      </c>
      <c r="F568" s="541">
        <v>2.65</v>
      </c>
      <c r="G568" s="541">
        <v>0.15</v>
      </c>
      <c r="H568" s="541">
        <v>1.2</v>
      </c>
      <c r="I568" s="545">
        <f>ROUND(IF(AND(F568:H568),C568*E568*F568*G568*H568,IF(AND(F568,G568),C568*E568*F568*G568,IF(AND(F568,H568),C568*E568*F568*H568,IF(AND(G568,H568),C568*E568*G568*H568,IF(F568,C568*E568*F568,IF(G568,C568*E568*G568,IF(H568,C568*E568*H568,C568*E568))))))),2)</f>
        <v>0.48</v>
      </c>
      <c r="J568" s="553" t="s">
        <v>5</v>
      </c>
      <c r="K568" s="39"/>
      <c r="L568" s="208"/>
      <c r="M568" s="39"/>
      <c r="N568" s="536" t="s">
        <v>2317</v>
      </c>
    </row>
    <row r="569" spans="1:14" s="544" customFormat="1" ht="16.5" customHeight="1">
      <c r="A569" s="16"/>
      <c r="B569" s="39"/>
      <c r="C569" s="537">
        <v>1</v>
      </c>
      <c r="D569" s="539" t="s">
        <v>273</v>
      </c>
      <c r="E569" s="540">
        <v>1</v>
      </c>
      <c r="F569" s="541">
        <v>2.85</v>
      </c>
      <c r="G569" s="541">
        <v>0.15</v>
      </c>
      <c r="H569" s="541">
        <v>1.2</v>
      </c>
      <c r="I569" s="545">
        <f>ROUND(IF(AND(F569:H569),C569*E569*F569*G569*H569,IF(AND(F569,G569),C569*E569*F569*G569,IF(AND(F569,H569),C569*E569*F569*H569,IF(AND(G569,H569),C569*E569*G569*H569,IF(F569,C569*E569*F569,IF(G569,C569*E569*G569,IF(H569,C569*E569*H569,C569*E569))))))),2)</f>
        <v>0.51</v>
      </c>
      <c r="J569" s="553" t="s">
        <v>5</v>
      </c>
      <c r="K569" s="39"/>
      <c r="L569" s="208"/>
      <c r="M569" s="39"/>
      <c r="N569" s="536" t="s">
        <v>2317</v>
      </c>
    </row>
    <row r="570" spans="1:14" s="544" customFormat="1" ht="16.5" customHeight="1">
      <c r="A570" s="16"/>
      <c r="B570" s="547"/>
      <c r="C570" s="548"/>
      <c r="D570" s="549"/>
      <c r="E570" s="550"/>
      <c r="F570" s="551"/>
      <c r="G570" s="551"/>
      <c r="H570" s="551"/>
      <c r="I570" s="552"/>
      <c r="J570" s="553"/>
      <c r="K570" s="39"/>
      <c r="L570" s="208"/>
      <c r="M570" s="39"/>
      <c r="N570" s="536" t="s">
        <v>2317</v>
      </c>
    </row>
    <row r="571" spans="1:14" ht="15.75">
      <c r="A571" s="16"/>
      <c r="B571" s="39"/>
      <c r="C571" s="554"/>
      <c r="D571" s="555"/>
      <c r="E571" s="540"/>
      <c r="F571" s="541"/>
      <c r="G571" s="40"/>
      <c r="H571" s="16"/>
      <c r="I571" s="552"/>
      <c r="J571" s="553" t="s">
        <v>5</v>
      </c>
      <c r="K571" s="10">
        <f>data!F2262</f>
        <v>6321.16</v>
      </c>
      <c r="L571" s="208" t="s">
        <v>2317</v>
      </c>
      <c r="M571" s="9">
        <f>ROUND(I571*K571,0)</f>
        <v>0</v>
      </c>
      <c r="N571" s="536" t="s">
        <v>2317</v>
      </c>
    </row>
    <row r="572" spans="1:14" ht="79.5" customHeight="1">
      <c r="A572" s="16">
        <v>20</v>
      </c>
      <c r="B572" s="1858" t="s">
        <v>1201</v>
      </c>
      <c r="C572" s="1858"/>
      <c r="D572" s="1858"/>
      <c r="E572" s="1858"/>
      <c r="F572" s="1858"/>
      <c r="G572" s="1858"/>
      <c r="H572" s="1858"/>
      <c r="I572" s="537"/>
      <c r="J572" s="538"/>
      <c r="K572" s="16"/>
      <c r="L572" s="208"/>
      <c r="M572" s="38"/>
      <c r="N572" s="536" t="s">
        <v>2318</v>
      </c>
    </row>
    <row r="573" spans="1:14" s="544" customFormat="1" ht="16.5" customHeight="1">
      <c r="A573" s="16"/>
      <c r="B573" s="39" t="s">
        <v>2818</v>
      </c>
      <c r="C573" s="537"/>
      <c r="D573" s="539"/>
      <c r="E573" s="540"/>
      <c r="F573" s="541"/>
      <c r="G573" s="541"/>
      <c r="H573" s="541"/>
      <c r="I573" s="542"/>
      <c r="J573" s="553"/>
      <c r="K573" s="39"/>
      <c r="L573" s="208"/>
      <c r="M573" s="39"/>
      <c r="N573" s="536" t="s">
        <v>2318</v>
      </c>
    </row>
    <row r="574" spans="1:14" s="544" customFormat="1" ht="16.5" customHeight="1">
      <c r="A574" s="16"/>
      <c r="B574" s="39" t="s">
        <v>1242</v>
      </c>
      <c r="C574" s="537">
        <v>1</v>
      </c>
      <c r="D574" s="539" t="s">
        <v>273</v>
      </c>
      <c r="E574" s="540">
        <v>2</v>
      </c>
      <c r="F574" s="541">
        <v>0.75</v>
      </c>
      <c r="G574" s="541">
        <v>0.15</v>
      </c>
      <c r="H574" s="541">
        <v>1.05</v>
      </c>
      <c r="I574" s="545">
        <f>ROUND(IF(AND(F574:H574),C574*E574*F574*G574*H574,IF(AND(F574,G574),C574*E574*F574*G574,IF(AND(F574,H574),C574*E574*F574*H574,IF(AND(G574,H574),C574*E574*G574*H574,IF(F574,C574*E574*F574,IF(G574,C574*E574*G574,IF(H574,C574*E574*H574,C574*E574))))))),2)</f>
        <v>0.24</v>
      </c>
      <c r="J574" s="553" t="s">
        <v>5</v>
      </c>
      <c r="K574" s="39"/>
      <c r="L574" s="208"/>
      <c r="M574" s="39"/>
      <c r="N574" s="536" t="s">
        <v>2318</v>
      </c>
    </row>
    <row r="575" spans="1:14" s="544" customFormat="1" ht="16.5" customHeight="1">
      <c r="A575" s="16"/>
      <c r="B575" s="39"/>
      <c r="C575" s="537">
        <v>1</v>
      </c>
      <c r="D575" s="539" t="s">
        <v>273</v>
      </c>
      <c r="E575" s="540">
        <v>1</v>
      </c>
      <c r="F575" s="541">
        <v>2.65</v>
      </c>
      <c r="G575" s="541">
        <v>0.15</v>
      </c>
      <c r="H575" s="541">
        <v>1.2</v>
      </c>
      <c r="I575" s="545">
        <f>ROUND(IF(AND(F575:H575),C575*E575*F575*G575*H575,IF(AND(F575,G575),C575*E575*F575*G575,IF(AND(F575,H575),C575*E575*F575*H575,IF(AND(G575,H575),C575*E575*G575*H575,IF(F575,C575*E575*F575,IF(G575,C575*E575*G575,IF(H575,C575*E575*H575,C575*E575))))))),2)</f>
        <v>0.48</v>
      </c>
      <c r="J575" s="553" t="s">
        <v>5</v>
      </c>
      <c r="K575" s="39"/>
      <c r="L575" s="208"/>
      <c r="M575" s="39"/>
      <c r="N575" s="536" t="s">
        <v>2318</v>
      </c>
    </row>
    <row r="576" spans="1:14" s="544" customFormat="1" ht="16.5" customHeight="1">
      <c r="A576" s="16"/>
      <c r="B576" s="39"/>
      <c r="C576" s="537">
        <v>1</v>
      </c>
      <c r="D576" s="539" t="s">
        <v>273</v>
      </c>
      <c r="E576" s="540">
        <v>1</v>
      </c>
      <c r="F576" s="541">
        <v>2.85</v>
      </c>
      <c r="G576" s="541">
        <v>0.15</v>
      </c>
      <c r="H576" s="541">
        <v>1.2</v>
      </c>
      <c r="I576" s="545">
        <f>ROUND(IF(AND(F576:H576),C576*E576*F576*G576*H576,IF(AND(F576,G576),C576*E576*F576*G576,IF(AND(F576,H576),C576*E576*F576*H576,IF(AND(G576,H576),C576*E576*G576*H576,IF(F576,C576*E576*F576,IF(G576,C576*E576*G576,IF(H576,C576*E576*H576,C576*E576))))))),2)</f>
        <v>0.51</v>
      </c>
      <c r="J576" s="553" t="s">
        <v>5</v>
      </c>
      <c r="K576" s="39"/>
      <c r="L576" s="208"/>
      <c r="M576" s="39"/>
      <c r="N576" s="536" t="s">
        <v>2318</v>
      </c>
    </row>
    <row r="577" spans="1:14" s="544" customFormat="1" ht="16.5" customHeight="1">
      <c r="A577" s="16"/>
      <c r="B577" s="547"/>
      <c r="C577" s="548"/>
      <c r="D577" s="549"/>
      <c r="E577" s="550"/>
      <c r="F577" s="551"/>
      <c r="G577" s="551"/>
      <c r="H577" s="551"/>
      <c r="I577" s="552"/>
      <c r="J577" s="553"/>
      <c r="K577" s="39"/>
      <c r="L577" s="208"/>
      <c r="M577" s="39"/>
      <c r="N577" s="536" t="s">
        <v>2318</v>
      </c>
    </row>
    <row r="578" spans="1:14" ht="15.75">
      <c r="A578" s="16"/>
      <c r="B578" s="39"/>
      <c r="C578" s="554"/>
      <c r="D578" s="555"/>
      <c r="E578" s="540"/>
      <c r="F578" s="541"/>
      <c r="G578" s="40"/>
      <c r="H578" s="16"/>
      <c r="I578" s="552"/>
      <c r="J578" s="553" t="s">
        <v>5</v>
      </c>
      <c r="K578" s="10">
        <f>data!F3179</f>
        <v>6718.55</v>
      </c>
      <c r="L578" s="208" t="s">
        <v>2318</v>
      </c>
      <c r="M578" s="9">
        <f>ROUND(I578*K578,0)</f>
        <v>0</v>
      </c>
      <c r="N578" s="536" t="s">
        <v>2318</v>
      </c>
    </row>
    <row r="579" spans="1:14" ht="103.5" customHeight="1">
      <c r="A579" s="16">
        <v>19</v>
      </c>
      <c r="B579" s="1858" t="s">
        <v>1171</v>
      </c>
      <c r="C579" s="1858"/>
      <c r="D579" s="1858"/>
      <c r="E579" s="1858"/>
      <c r="F579" s="1858"/>
      <c r="G579" s="1858"/>
      <c r="H579" s="1858"/>
      <c r="I579" s="537"/>
      <c r="J579" s="538"/>
      <c r="K579" s="16"/>
      <c r="L579" s="208"/>
      <c r="M579" s="38"/>
      <c r="N579" s="536" t="s">
        <v>2218</v>
      </c>
    </row>
    <row r="580" spans="1:14" s="544" customFormat="1" ht="16.5" customHeight="1">
      <c r="A580" s="16"/>
      <c r="B580" s="39" t="s">
        <v>2824</v>
      </c>
      <c r="C580" s="537"/>
      <c r="D580" s="539"/>
      <c r="E580" s="540"/>
      <c r="F580" s="541"/>
      <c r="G580" s="541"/>
      <c r="H580" s="541"/>
      <c r="I580" s="542"/>
      <c r="J580" s="553"/>
      <c r="K580" s="39"/>
      <c r="L580" s="208"/>
      <c r="M580" s="39"/>
      <c r="N580" s="536" t="s">
        <v>2218</v>
      </c>
    </row>
    <row r="581" spans="1:14" s="544" customFormat="1" ht="16.5" customHeight="1">
      <c r="A581" s="16"/>
      <c r="B581" s="39"/>
      <c r="C581" s="537">
        <v>1</v>
      </c>
      <c r="D581" s="539" t="s">
        <v>273</v>
      </c>
      <c r="E581" s="540">
        <v>2</v>
      </c>
      <c r="F581" s="541">
        <v>2.0499999999999998</v>
      </c>
      <c r="G581" s="541">
        <v>1.7</v>
      </c>
      <c r="H581" s="541">
        <v>0</v>
      </c>
      <c r="I581" s="545">
        <f>ROUND(IF(AND(F581:H581),C581*E581*F581*G581*H581,IF(AND(F581,G581),C581*E581*F581*G581,IF(AND(F581,H581),C581*E581*F581*H581,IF(AND(G581,H581),C581*E581*G581*H581,IF(F581,C581*E581*F581,IF(G581,C581*E581*G581,IF(H581,C581*E581*H581,C581*E581))))))),2)</f>
        <v>6.97</v>
      </c>
      <c r="J581" s="553" t="s">
        <v>102</v>
      </c>
      <c r="K581" s="39"/>
      <c r="L581" s="208"/>
      <c r="M581" s="39"/>
      <c r="N581" s="536" t="s">
        <v>2218</v>
      </c>
    </row>
    <row r="582" spans="1:14" s="544" customFormat="1" ht="16.5" customHeight="1">
      <c r="A582" s="16"/>
      <c r="B582" s="39"/>
      <c r="C582" s="537">
        <v>1</v>
      </c>
      <c r="D582" s="539" t="s">
        <v>273</v>
      </c>
      <c r="E582" s="540">
        <v>2</v>
      </c>
      <c r="F582" s="541">
        <v>3.6</v>
      </c>
      <c r="G582" s="541">
        <v>0.95</v>
      </c>
      <c r="H582" s="541">
        <v>0</v>
      </c>
      <c r="I582" s="545">
        <f>ROUND(IF(AND(F582:H582),C582*E582*F582*G582*H582,IF(AND(F582,G582),C582*E582*F582*G582,IF(AND(F582,H582),C582*E582*F582*H582,IF(AND(G582,H582),C582*E582*G582*H582,IF(F582,C582*E582*F582,IF(G582,C582*E582*G582,IF(H582,C582*E582*H582,C582*E582))))))),2)</f>
        <v>6.84</v>
      </c>
      <c r="J582" s="553" t="s">
        <v>102</v>
      </c>
      <c r="K582" s="39"/>
      <c r="L582" s="208"/>
      <c r="M582" s="39"/>
      <c r="N582" s="536" t="s">
        <v>2218</v>
      </c>
    </row>
    <row r="583" spans="1:14" s="544" customFormat="1" ht="16.5" customHeight="1">
      <c r="A583" s="16"/>
      <c r="B583" s="39"/>
      <c r="C583" s="537"/>
      <c r="D583" s="539"/>
      <c r="E583" s="540"/>
      <c r="F583" s="541"/>
      <c r="G583" s="541"/>
      <c r="H583" s="541"/>
      <c r="I583" s="545"/>
      <c r="J583" s="553"/>
      <c r="K583" s="39"/>
      <c r="L583" s="208"/>
      <c r="M583" s="39"/>
      <c r="N583" s="536" t="s">
        <v>2218</v>
      </c>
    </row>
    <row r="584" spans="1:14" ht="15.75">
      <c r="A584" s="16"/>
      <c r="B584" s="39"/>
      <c r="C584" s="554"/>
      <c r="D584" s="555"/>
      <c r="E584" s="540"/>
      <c r="F584" s="541"/>
      <c r="G584" s="40"/>
      <c r="H584" s="16"/>
      <c r="I584" s="552"/>
      <c r="J584" s="553" t="s">
        <v>102</v>
      </c>
      <c r="K584" s="10">
        <f>data!F553</f>
        <v>1906.95</v>
      </c>
      <c r="L584" s="208" t="s">
        <v>2218</v>
      </c>
      <c r="M584" s="9">
        <f>ROUND(I584*K584/1,0)</f>
        <v>0</v>
      </c>
      <c r="N584" s="536" t="s">
        <v>2218</v>
      </c>
    </row>
    <row r="585" spans="1:14" ht="103.5" customHeight="1">
      <c r="A585" s="16">
        <v>19</v>
      </c>
      <c r="B585" s="1858" t="s">
        <v>1171</v>
      </c>
      <c r="C585" s="1858"/>
      <c r="D585" s="1858"/>
      <c r="E585" s="1858"/>
      <c r="F585" s="1858"/>
      <c r="G585" s="1858"/>
      <c r="H585" s="1858"/>
      <c r="I585" s="537"/>
      <c r="J585" s="538"/>
      <c r="K585" s="16"/>
      <c r="L585" s="208"/>
      <c r="M585" s="38"/>
      <c r="N585" s="536" t="s">
        <v>2306</v>
      </c>
    </row>
    <row r="586" spans="1:14" s="544" customFormat="1" ht="16.5" customHeight="1">
      <c r="A586" s="16"/>
      <c r="B586" s="39" t="s">
        <v>2824</v>
      </c>
      <c r="C586" s="537"/>
      <c r="D586" s="539"/>
      <c r="E586" s="540"/>
      <c r="F586" s="541"/>
      <c r="G586" s="541"/>
      <c r="H586" s="541"/>
      <c r="I586" s="542"/>
      <c r="J586" s="553"/>
      <c r="K586" s="39"/>
      <c r="L586" s="208"/>
      <c r="M586" s="39"/>
      <c r="N586" s="536" t="s">
        <v>2306</v>
      </c>
    </row>
    <row r="587" spans="1:14" s="544" customFormat="1" ht="16.5" customHeight="1">
      <c r="A587" s="16"/>
      <c r="B587" s="39"/>
      <c r="C587" s="537">
        <v>1</v>
      </c>
      <c r="D587" s="539" t="s">
        <v>273</v>
      </c>
      <c r="E587" s="540">
        <v>2</v>
      </c>
      <c r="F587" s="541">
        <v>2.0499999999999998</v>
      </c>
      <c r="G587" s="541">
        <v>1.7</v>
      </c>
      <c r="H587" s="541">
        <v>0</v>
      </c>
      <c r="I587" s="545">
        <f>ROUND(IF(AND(F587:H587),C587*E587*F587*G587*H587,IF(AND(F587,G587),C587*E587*F587*G587,IF(AND(F587,H587),C587*E587*F587*H587,IF(AND(G587,H587),C587*E587*G587*H587,IF(F587,C587*E587*F587,IF(G587,C587*E587*G587,IF(H587,C587*E587*H587,C587*E587))))))),2)</f>
        <v>6.97</v>
      </c>
      <c r="J587" s="553" t="s">
        <v>102</v>
      </c>
      <c r="K587" s="39"/>
      <c r="L587" s="208"/>
      <c r="M587" s="39"/>
      <c r="N587" s="536" t="s">
        <v>2306</v>
      </c>
    </row>
    <row r="588" spans="1:14" s="544" customFormat="1" ht="16.5" customHeight="1">
      <c r="A588" s="16"/>
      <c r="B588" s="39"/>
      <c r="C588" s="537">
        <v>1</v>
      </c>
      <c r="D588" s="539" t="s">
        <v>273</v>
      </c>
      <c r="E588" s="540">
        <v>2</v>
      </c>
      <c r="F588" s="541">
        <v>3.6</v>
      </c>
      <c r="G588" s="541">
        <v>0.95</v>
      </c>
      <c r="H588" s="541">
        <v>0</v>
      </c>
      <c r="I588" s="545">
        <f>ROUND(IF(AND(F588:H588),C588*E588*F588*G588*H588,IF(AND(F588,G588),C588*E588*F588*G588,IF(AND(F588,H588),C588*E588*F588*H588,IF(AND(G588,H588),C588*E588*G588*H588,IF(F588,C588*E588*F588,IF(G588,C588*E588*G588,IF(H588,C588*E588*H588,C588*E588))))))),2)</f>
        <v>6.84</v>
      </c>
      <c r="J588" s="553" t="s">
        <v>102</v>
      </c>
      <c r="K588" s="39"/>
      <c r="L588" s="208"/>
      <c r="M588" s="39"/>
      <c r="N588" s="536" t="s">
        <v>2306</v>
      </c>
    </row>
    <row r="589" spans="1:14" s="544" customFormat="1" ht="16.5" customHeight="1">
      <c r="A589" s="16"/>
      <c r="B589" s="39"/>
      <c r="C589" s="537"/>
      <c r="D589" s="539"/>
      <c r="E589" s="540"/>
      <c r="F589" s="541"/>
      <c r="G589" s="541"/>
      <c r="H589" s="541"/>
      <c r="I589" s="545"/>
      <c r="J589" s="553"/>
      <c r="K589" s="39"/>
      <c r="L589" s="208"/>
      <c r="M589" s="39"/>
      <c r="N589" s="536" t="s">
        <v>2306</v>
      </c>
    </row>
    <row r="590" spans="1:14" ht="15.75">
      <c r="A590" s="16"/>
      <c r="B590" s="39"/>
      <c r="C590" s="554"/>
      <c r="D590" s="555"/>
      <c r="E590" s="540"/>
      <c r="F590" s="541"/>
      <c r="G590" s="40"/>
      <c r="H590" s="16"/>
      <c r="I590" s="552"/>
      <c r="J590" s="553" t="s">
        <v>102</v>
      </c>
      <c r="K590" s="10">
        <f>data!F1470</f>
        <v>2066.33</v>
      </c>
      <c r="L590" s="208" t="s">
        <v>2306</v>
      </c>
      <c r="M590" s="9">
        <f>ROUND(I590*K590/1,0)</f>
        <v>0</v>
      </c>
      <c r="N590" s="536" t="s">
        <v>2306</v>
      </c>
    </row>
    <row r="591" spans="1:14" ht="103.5" customHeight="1">
      <c r="A591" s="16">
        <v>19</v>
      </c>
      <c r="B591" s="1858" t="s">
        <v>1171</v>
      </c>
      <c r="C591" s="1858"/>
      <c r="D591" s="1858"/>
      <c r="E591" s="1858"/>
      <c r="F591" s="1858"/>
      <c r="G591" s="1858"/>
      <c r="H591" s="1858"/>
      <c r="I591" s="537"/>
      <c r="J591" s="538"/>
      <c r="K591" s="16"/>
      <c r="L591" s="208"/>
      <c r="M591" s="38"/>
      <c r="N591" s="536" t="s">
        <v>2317</v>
      </c>
    </row>
    <row r="592" spans="1:14" s="544" customFormat="1" ht="16.5" customHeight="1">
      <c r="A592" s="16"/>
      <c r="B592" s="39" t="s">
        <v>2824</v>
      </c>
      <c r="C592" s="537"/>
      <c r="D592" s="539"/>
      <c r="E592" s="540"/>
      <c r="F592" s="541"/>
      <c r="G592" s="541"/>
      <c r="H592" s="541"/>
      <c r="I592" s="542"/>
      <c r="J592" s="553"/>
      <c r="K592" s="39"/>
      <c r="L592" s="208"/>
      <c r="M592" s="39"/>
      <c r="N592" s="536" t="s">
        <v>2317</v>
      </c>
    </row>
    <row r="593" spans="1:14" s="544" customFormat="1" ht="16.5" customHeight="1">
      <c r="A593" s="16"/>
      <c r="B593" s="39"/>
      <c r="C593" s="537">
        <v>1</v>
      </c>
      <c r="D593" s="539" t="s">
        <v>273</v>
      </c>
      <c r="E593" s="540">
        <v>2</v>
      </c>
      <c r="F593" s="541">
        <v>2.0499999999999998</v>
      </c>
      <c r="G593" s="541">
        <v>1.7</v>
      </c>
      <c r="H593" s="541">
        <v>0</v>
      </c>
      <c r="I593" s="545">
        <f>ROUND(IF(AND(F593:H593),C593*E593*F593*G593*H593,IF(AND(F593,G593),C593*E593*F593*G593,IF(AND(F593,H593),C593*E593*F593*H593,IF(AND(G593,H593),C593*E593*G593*H593,IF(F593,C593*E593*F593,IF(G593,C593*E593*G593,IF(H593,C593*E593*H593,C593*E593))))))),2)</f>
        <v>6.97</v>
      </c>
      <c r="J593" s="553" t="s">
        <v>102</v>
      </c>
      <c r="K593" s="39"/>
      <c r="L593" s="208"/>
      <c r="M593" s="39"/>
      <c r="N593" s="536" t="s">
        <v>2317</v>
      </c>
    </row>
    <row r="594" spans="1:14" s="544" customFormat="1" ht="16.5" customHeight="1">
      <c r="A594" s="16"/>
      <c r="B594" s="39"/>
      <c r="C594" s="537">
        <v>1</v>
      </c>
      <c r="D594" s="539" t="s">
        <v>273</v>
      </c>
      <c r="E594" s="540">
        <v>2</v>
      </c>
      <c r="F594" s="541">
        <v>3.6</v>
      </c>
      <c r="G594" s="541">
        <v>0.95</v>
      </c>
      <c r="H594" s="541">
        <v>0</v>
      </c>
      <c r="I594" s="545">
        <f>ROUND(IF(AND(F594:H594),C594*E594*F594*G594*H594,IF(AND(F594,G594),C594*E594*F594*G594,IF(AND(F594,H594),C594*E594*F594*H594,IF(AND(G594,H594),C594*E594*G594*H594,IF(F594,C594*E594*F594,IF(G594,C594*E594*G594,IF(H594,C594*E594*H594,C594*E594))))))),2)</f>
        <v>6.84</v>
      </c>
      <c r="J594" s="553" t="s">
        <v>102</v>
      </c>
      <c r="K594" s="39"/>
      <c r="L594" s="208"/>
      <c r="M594" s="39"/>
      <c r="N594" s="536" t="s">
        <v>2317</v>
      </c>
    </row>
    <row r="595" spans="1:14" s="544" customFormat="1" ht="16.5" customHeight="1">
      <c r="A595" s="16"/>
      <c r="B595" s="39"/>
      <c r="C595" s="537"/>
      <c r="D595" s="539"/>
      <c r="E595" s="540"/>
      <c r="F595" s="541"/>
      <c r="G595" s="541"/>
      <c r="H595" s="541"/>
      <c r="I595" s="545"/>
      <c r="J595" s="553"/>
      <c r="K595" s="39"/>
      <c r="L595" s="208"/>
      <c r="M595" s="39"/>
      <c r="N595" s="536" t="s">
        <v>2317</v>
      </c>
    </row>
    <row r="596" spans="1:14" ht="15.75">
      <c r="A596" s="16"/>
      <c r="B596" s="39"/>
      <c r="C596" s="554"/>
      <c r="D596" s="555"/>
      <c r="E596" s="540"/>
      <c r="F596" s="541"/>
      <c r="G596" s="40"/>
      <c r="H596" s="16"/>
      <c r="I596" s="552"/>
      <c r="J596" s="553" t="s">
        <v>102</v>
      </c>
      <c r="K596" s="10">
        <f>data!F2387</f>
        <v>2199.0300000000002</v>
      </c>
      <c r="L596" s="208" t="s">
        <v>2317</v>
      </c>
      <c r="M596" s="9">
        <f>ROUND(I596*K596/1,0)</f>
        <v>0</v>
      </c>
      <c r="N596" s="536" t="s">
        <v>2317</v>
      </c>
    </row>
    <row r="597" spans="1:14" ht="103.5" customHeight="1">
      <c r="A597" s="16">
        <v>19</v>
      </c>
      <c r="B597" s="1858" t="s">
        <v>1171</v>
      </c>
      <c r="C597" s="1858"/>
      <c r="D597" s="1858"/>
      <c r="E597" s="1858"/>
      <c r="F597" s="1858"/>
      <c r="G597" s="1858"/>
      <c r="H597" s="1858"/>
      <c r="I597" s="537"/>
      <c r="J597" s="538"/>
      <c r="K597" s="16"/>
      <c r="L597" s="208"/>
      <c r="M597" s="38"/>
      <c r="N597" s="536" t="s">
        <v>2318</v>
      </c>
    </row>
    <row r="598" spans="1:14" s="544" customFormat="1" ht="16.5" customHeight="1">
      <c r="A598" s="16"/>
      <c r="B598" s="39" t="s">
        <v>2824</v>
      </c>
      <c r="C598" s="537"/>
      <c r="D598" s="539"/>
      <c r="E598" s="540"/>
      <c r="F598" s="541"/>
      <c r="G598" s="541"/>
      <c r="H598" s="541"/>
      <c r="I598" s="542"/>
      <c r="J598" s="553"/>
      <c r="K598" s="39"/>
      <c r="L598" s="208"/>
      <c r="M598" s="39"/>
      <c r="N598" s="536" t="s">
        <v>2318</v>
      </c>
    </row>
    <row r="599" spans="1:14" s="544" customFormat="1" ht="16.5" customHeight="1">
      <c r="A599" s="16"/>
      <c r="B599" s="39"/>
      <c r="C599" s="537">
        <v>1</v>
      </c>
      <c r="D599" s="539" t="s">
        <v>273</v>
      </c>
      <c r="E599" s="540">
        <v>2</v>
      </c>
      <c r="F599" s="541">
        <v>2.0499999999999998</v>
      </c>
      <c r="G599" s="541">
        <v>1.7</v>
      </c>
      <c r="H599" s="541">
        <v>0</v>
      </c>
      <c r="I599" s="545">
        <f>ROUND(IF(AND(F599:H599),C599*E599*F599*G599*H599,IF(AND(F599,G599),C599*E599*F599*G599,IF(AND(F599,H599),C599*E599*F599*H599,IF(AND(G599,H599),C599*E599*G599*H599,IF(F599,C599*E599*F599,IF(G599,C599*E599*G599,IF(H599,C599*E599*H599,C599*E599))))))),2)</f>
        <v>6.97</v>
      </c>
      <c r="J599" s="553" t="s">
        <v>102</v>
      </c>
      <c r="K599" s="39"/>
      <c r="L599" s="208"/>
      <c r="M599" s="39"/>
      <c r="N599" s="536" t="s">
        <v>2318</v>
      </c>
    </row>
    <row r="600" spans="1:14" s="544" customFormat="1" ht="16.5" customHeight="1">
      <c r="A600" s="16"/>
      <c r="B600" s="39"/>
      <c r="C600" s="537">
        <v>1</v>
      </c>
      <c r="D600" s="539" t="s">
        <v>273</v>
      </c>
      <c r="E600" s="540">
        <v>2</v>
      </c>
      <c r="F600" s="541">
        <v>3.6</v>
      </c>
      <c r="G600" s="541">
        <v>0.95</v>
      </c>
      <c r="H600" s="541">
        <v>0</v>
      </c>
      <c r="I600" s="545">
        <f>ROUND(IF(AND(F600:H600),C600*E600*F600*G600*H600,IF(AND(F600,G600),C600*E600*F600*G600,IF(AND(F600,H600),C600*E600*F600*H600,IF(AND(G600,H600),C600*E600*G600*H600,IF(F600,C600*E600*F600,IF(G600,C600*E600*G600,IF(H600,C600*E600*H600,C600*E600))))))),2)</f>
        <v>6.84</v>
      </c>
      <c r="J600" s="553" t="s">
        <v>102</v>
      </c>
      <c r="K600" s="39"/>
      <c r="L600" s="208"/>
      <c r="M600" s="39"/>
      <c r="N600" s="536" t="s">
        <v>2318</v>
      </c>
    </row>
    <row r="601" spans="1:14" s="544" customFormat="1" ht="16.5" customHeight="1">
      <c r="A601" s="16"/>
      <c r="B601" s="39"/>
      <c r="C601" s="537"/>
      <c r="D601" s="539"/>
      <c r="E601" s="540"/>
      <c r="F601" s="541"/>
      <c r="G601" s="541"/>
      <c r="H601" s="541"/>
      <c r="I601" s="545"/>
      <c r="J601" s="553"/>
      <c r="K601" s="39"/>
      <c r="L601" s="208"/>
      <c r="M601" s="39"/>
      <c r="N601" s="536" t="s">
        <v>2318</v>
      </c>
    </row>
    <row r="602" spans="1:14" ht="15.75">
      <c r="A602" s="16"/>
      <c r="B602" s="39"/>
      <c r="C602" s="554"/>
      <c r="D602" s="555"/>
      <c r="E602" s="540"/>
      <c r="F602" s="541"/>
      <c r="G602" s="40"/>
      <c r="H602" s="16"/>
      <c r="I602" s="552"/>
      <c r="J602" s="553" t="s">
        <v>102</v>
      </c>
      <c r="K602" s="10">
        <f>data!F3304</f>
        <v>2346.34</v>
      </c>
      <c r="L602" s="208" t="s">
        <v>2318</v>
      </c>
      <c r="M602" s="9">
        <f>ROUND(I602*K602/1,0)</f>
        <v>0</v>
      </c>
      <c r="N602" s="536" t="s">
        <v>2318</v>
      </c>
    </row>
    <row r="603" spans="1:14" ht="54.75" customHeight="1">
      <c r="A603" s="16">
        <v>9</v>
      </c>
      <c r="B603" s="1858" t="s">
        <v>125</v>
      </c>
      <c r="C603" s="1858"/>
      <c r="D603" s="1858"/>
      <c r="E603" s="1858"/>
      <c r="F603" s="1858"/>
      <c r="G603" s="1858"/>
      <c r="H603" s="1858"/>
      <c r="I603" s="537"/>
      <c r="J603" s="538"/>
      <c r="K603" s="16"/>
      <c r="L603" s="208"/>
      <c r="M603" s="38"/>
      <c r="N603" s="536" t="s">
        <v>2218</v>
      </c>
    </row>
    <row r="604" spans="1:14" s="544" customFormat="1" ht="16.5" customHeight="1">
      <c r="A604" s="16"/>
      <c r="B604" s="39" t="s">
        <v>3109</v>
      </c>
      <c r="C604" s="537"/>
      <c r="D604" s="1145" t="s">
        <v>3335</v>
      </c>
      <c r="E604" s="540"/>
      <c r="F604" s="541"/>
      <c r="G604" s="541"/>
      <c r="H604" s="541"/>
      <c r="I604" s="542"/>
      <c r="J604" s="553"/>
      <c r="K604" s="39"/>
      <c r="L604" s="208"/>
      <c r="M604" s="39"/>
      <c r="N604" s="536" t="s">
        <v>2218</v>
      </c>
    </row>
    <row r="605" spans="1:14" s="544" customFormat="1" ht="16.5" customHeight="1">
      <c r="A605" s="16"/>
      <c r="B605" s="39" t="s">
        <v>2362</v>
      </c>
      <c r="C605" s="537">
        <v>1</v>
      </c>
      <c r="D605" s="539" t="s">
        <v>273</v>
      </c>
      <c r="E605" s="540">
        <v>1</v>
      </c>
      <c r="F605" s="541">
        <v>3.35</v>
      </c>
      <c r="G605" s="541">
        <v>2.4900000000000002</v>
      </c>
      <c r="H605" s="541">
        <v>0</v>
      </c>
      <c r="I605" s="545">
        <f t="shared" ref="I605:I619" si="58">ROUND(IF(AND(F605:H605),C605*E605*F605*G605*H605,IF(AND(F605,G605),C605*E605*F605*G605,IF(AND(F605,H605),C605*E605*F605*H605,IF(AND(G605,H605),C605*E605*G605*H605,IF(F605,C605*E605*F605,IF(G605,C605*E605*G605,IF(H605,C605*E605*H605,C605*E605))))))),2)</f>
        <v>8.34</v>
      </c>
      <c r="J605" s="553" t="s">
        <v>102</v>
      </c>
      <c r="K605" s="39"/>
      <c r="L605" s="208"/>
      <c r="M605" s="39"/>
      <c r="N605" s="536" t="s">
        <v>2218</v>
      </c>
    </row>
    <row r="606" spans="1:14" s="544" customFormat="1" ht="16.5" customHeight="1">
      <c r="A606" s="16"/>
      <c r="B606" s="39" t="s">
        <v>1624</v>
      </c>
      <c r="C606" s="537">
        <v>1</v>
      </c>
      <c r="D606" s="539" t="s">
        <v>273</v>
      </c>
      <c r="E606" s="540">
        <v>1</v>
      </c>
      <c r="F606" s="541">
        <v>3.35</v>
      </c>
      <c r="G606" s="541">
        <v>2.88</v>
      </c>
      <c r="H606" s="541">
        <v>0</v>
      </c>
      <c r="I606" s="545">
        <f t="shared" si="58"/>
        <v>9.65</v>
      </c>
      <c r="J606" s="553" t="s">
        <v>102</v>
      </c>
      <c r="K606" s="39"/>
      <c r="L606" s="208"/>
      <c r="M606" s="39"/>
      <c r="N606" s="536" t="s">
        <v>2218</v>
      </c>
    </row>
    <row r="607" spans="1:14" s="544" customFormat="1" ht="16.5" customHeight="1">
      <c r="A607" s="16"/>
      <c r="B607" s="39" t="s">
        <v>587</v>
      </c>
      <c r="C607" s="537">
        <v>1</v>
      </c>
      <c r="D607" s="539" t="s">
        <v>273</v>
      </c>
      <c r="E607" s="540">
        <v>1</v>
      </c>
      <c r="F607" s="541">
        <v>3.35</v>
      </c>
      <c r="G607" s="541">
        <v>3.12</v>
      </c>
      <c r="H607" s="541">
        <v>0</v>
      </c>
      <c r="I607" s="545">
        <f t="shared" si="58"/>
        <v>10.45</v>
      </c>
      <c r="J607" s="553" t="s">
        <v>102</v>
      </c>
      <c r="K607" s="39"/>
      <c r="L607" s="208"/>
      <c r="M607" s="39"/>
      <c r="N607" s="536" t="s">
        <v>2218</v>
      </c>
    </row>
    <row r="608" spans="1:14" s="544" customFormat="1" ht="16.5" customHeight="1">
      <c r="A608" s="16"/>
      <c r="B608" s="39" t="s">
        <v>586</v>
      </c>
      <c r="C608" s="537">
        <v>1</v>
      </c>
      <c r="D608" s="539" t="s">
        <v>273</v>
      </c>
      <c r="E608" s="540">
        <v>1</v>
      </c>
      <c r="F608" s="541">
        <v>11.93</v>
      </c>
      <c r="G608" s="541">
        <v>1.8</v>
      </c>
      <c r="H608" s="541">
        <v>0</v>
      </c>
      <c r="I608" s="545">
        <f t="shared" si="58"/>
        <v>21.47</v>
      </c>
      <c r="J608" s="553" t="s">
        <v>102</v>
      </c>
      <c r="K608" s="39"/>
      <c r="L608" s="208"/>
      <c r="M608" s="39"/>
      <c r="N608" s="536" t="s">
        <v>2218</v>
      </c>
    </row>
    <row r="609" spans="1:14" s="544" customFormat="1" ht="16.5" customHeight="1">
      <c r="A609" s="16"/>
      <c r="B609" s="39" t="s">
        <v>3168</v>
      </c>
      <c r="C609" s="537">
        <v>1</v>
      </c>
      <c r="D609" s="539" t="s">
        <v>273</v>
      </c>
      <c r="E609" s="540">
        <v>1</v>
      </c>
      <c r="F609" s="541">
        <v>3.3</v>
      </c>
      <c r="G609" s="541">
        <v>1.4</v>
      </c>
      <c r="H609" s="541">
        <v>0</v>
      </c>
      <c r="I609" s="545">
        <f t="shared" si="58"/>
        <v>4.62</v>
      </c>
      <c r="J609" s="553" t="s">
        <v>102</v>
      </c>
      <c r="K609" s="39"/>
      <c r="L609" s="208"/>
      <c r="M609" s="39"/>
      <c r="N609" s="536" t="s">
        <v>2218</v>
      </c>
    </row>
    <row r="610" spans="1:14" s="544" customFormat="1" ht="16.5" customHeight="1">
      <c r="A610" s="16"/>
      <c r="B610" s="39"/>
      <c r="C610" s="537">
        <v>1</v>
      </c>
      <c r="D610" s="539" t="s">
        <v>273</v>
      </c>
      <c r="E610" s="540">
        <v>1</v>
      </c>
      <c r="F610" s="541">
        <v>1.45</v>
      </c>
      <c r="G610" s="541">
        <v>1.5</v>
      </c>
      <c r="H610" s="541">
        <v>0</v>
      </c>
      <c r="I610" s="545">
        <f t="shared" si="58"/>
        <v>2.1800000000000002</v>
      </c>
      <c r="J610" s="553" t="s">
        <v>102</v>
      </c>
      <c r="K610" s="39"/>
      <c r="L610" s="208"/>
      <c r="M610" s="39"/>
      <c r="N610" s="536" t="s">
        <v>2218</v>
      </c>
    </row>
    <row r="611" spans="1:14" s="544" customFormat="1" ht="16.5" customHeight="1">
      <c r="A611" s="16"/>
      <c r="B611" s="39"/>
      <c r="C611" s="537">
        <v>1</v>
      </c>
      <c r="D611" s="539" t="s">
        <v>273</v>
      </c>
      <c r="E611" s="540">
        <v>1</v>
      </c>
      <c r="F611" s="541">
        <v>1.45</v>
      </c>
      <c r="G611" s="541">
        <v>1.5</v>
      </c>
      <c r="H611" s="541">
        <v>0</v>
      </c>
      <c r="I611" s="545">
        <f t="shared" si="58"/>
        <v>2.1800000000000002</v>
      </c>
      <c r="J611" s="553" t="s">
        <v>102</v>
      </c>
      <c r="K611" s="39"/>
      <c r="L611" s="208"/>
      <c r="M611" s="39"/>
      <c r="N611" s="536" t="s">
        <v>2218</v>
      </c>
    </row>
    <row r="612" spans="1:14" s="544" customFormat="1" ht="16.5" customHeight="1">
      <c r="A612" s="16"/>
      <c r="B612" s="39" t="s">
        <v>3169</v>
      </c>
      <c r="C612" s="537">
        <v>1</v>
      </c>
      <c r="D612" s="539" t="s">
        <v>273</v>
      </c>
      <c r="E612" s="540">
        <v>1</v>
      </c>
      <c r="F612" s="541">
        <v>4.9800000000000004</v>
      </c>
      <c r="G612" s="541">
        <v>8.6</v>
      </c>
      <c r="H612" s="541">
        <v>0</v>
      </c>
      <c r="I612" s="545">
        <f t="shared" si="58"/>
        <v>42.83</v>
      </c>
      <c r="J612" s="553" t="s">
        <v>102</v>
      </c>
      <c r="K612" s="39"/>
      <c r="L612" s="208"/>
      <c r="M612" s="39"/>
      <c r="N612" s="536" t="s">
        <v>2218</v>
      </c>
    </row>
    <row r="613" spans="1:14" s="544" customFormat="1" ht="16.5" customHeight="1">
      <c r="A613" s="16"/>
      <c r="B613" s="39" t="s">
        <v>3170</v>
      </c>
      <c r="C613" s="537">
        <v>1</v>
      </c>
      <c r="D613" s="539" t="s">
        <v>273</v>
      </c>
      <c r="E613" s="540">
        <v>1</v>
      </c>
      <c r="F613" s="541">
        <v>5.45</v>
      </c>
      <c r="G613" s="541">
        <v>0.6</v>
      </c>
      <c r="H613" s="541">
        <v>0</v>
      </c>
      <c r="I613" s="545">
        <f t="shared" si="58"/>
        <v>3.27</v>
      </c>
      <c r="J613" s="553" t="s">
        <v>102</v>
      </c>
      <c r="K613" s="39"/>
      <c r="L613" s="208"/>
      <c r="M613" s="39"/>
      <c r="N613" s="536" t="s">
        <v>2218</v>
      </c>
    </row>
    <row r="614" spans="1:14" s="544" customFormat="1" ht="16.5" customHeight="1">
      <c r="A614" s="16"/>
      <c r="B614" s="39" t="s">
        <v>3171</v>
      </c>
      <c r="C614" s="537">
        <v>1</v>
      </c>
      <c r="D614" s="539" t="s">
        <v>273</v>
      </c>
      <c r="E614" s="540">
        <v>1</v>
      </c>
      <c r="F614" s="541">
        <v>8.8000000000000007</v>
      </c>
      <c r="G614" s="541">
        <v>0.9</v>
      </c>
      <c r="H614" s="541">
        <v>0</v>
      </c>
      <c r="I614" s="545">
        <f t="shared" si="58"/>
        <v>7.92</v>
      </c>
      <c r="J614" s="553" t="s">
        <v>102</v>
      </c>
      <c r="K614" s="39"/>
      <c r="L614" s="208"/>
      <c r="M614" s="39"/>
      <c r="N614" s="536" t="s">
        <v>2218</v>
      </c>
    </row>
    <row r="615" spans="1:14" s="544" customFormat="1" ht="16.5" customHeight="1">
      <c r="A615" s="16"/>
      <c r="B615" s="39" t="s">
        <v>2989</v>
      </c>
      <c r="C615" s="537">
        <v>1</v>
      </c>
      <c r="D615" s="539" t="s">
        <v>273</v>
      </c>
      <c r="E615" s="540">
        <v>1</v>
      </c>
      <c r="F615" s="541">
        <v>12</v>
      </c>
      <c r="G615" s="541">
        <v>0</v>
      </c>
      <c r="H615" s="541">
        <v>0.3</v>
      </c>
      <c r="I615" s="545">
        <f t="shared" si="58"/>
        <v>3.6</v>
      </c>
      <c r="J615" s="553" t="s">
        <v>102</v>
      </c>
      <c r="K615" s="39"/>
      <c r="L615" s="208"/>
      <c r="M615" s="39"/>
      <c r="N615" s="536" t="s">
        <v>2218</v>
      </c>
    </row>
    <row r="616" spans="1:14" s="544" customFormat="1" ht="16.5" customHeight="1">
      <c r="A616" s="16"/>
      <c r="B616" s="39"/>
      <c r="C616" s="537">
        <v>1</v>
      </c>
      <c r="D616" s="539" t="s">
        <v>273</v>
      </c>
      <c r="E616" s="540">
        <v>1</v>
      </c>
      <c r="F616" s="541">
        <v>9.25</v>
      </c>
      <c r="G616" s="541">
        <v>0.3</v>
      </c>
      <c r="H616" s="541">
        <v>0</v>
      </c>
      <c r="I616" s="545">
        <f t="shared" si="58"/>
        <v>2.78</v>
      </c>
      <c r="J616" s="553" t="s">
        <v>102</v>
      </c>
      <c r="K616" s="39"/>
      <c r="L616" s="208"/>
      <c r="M616" s="39"/>
      <c r="N616" s="536" t="s">
        <v>2218</v>
      </c>
    </row>
    <row r="617" spans="1:14" s="544" customFormat="1" ht="16.5" customHeight="1">
      <c r="A617" s="16"/>
      <c r="B617" s="39" t="s">
        <v>2372</v>
      </c>
      <c r="C617" s="537">
        <v>1</v>
      </c>
      <c r="D617" s="539" t="s">
        <v>273</v>
      </c>
      <c r="E617" s="540">
        <v>6</v>
      </c>
      <c r="F617" s="541">
        <v>1.8</v>
      </c>
      <c r="G617" s="541">
        <v>0.6</v>
      </c>
      <c r="H617" s="541">
        <v>0</v>
      </c>
      <c r="I617" s="545">
        <f t="shared" si="58"/>
        <v>6.48</v>
      </c>
      <c r="J617" s="553" t="s">
        <v>102</v>
      </c>
      <c r="K617" s="39"/>
      <c r="L617" s="208"/>
      <c r="M617" s="39"/>
      <c r="N617" s="536" t="s">
        <v>2218</v>
      </c>
    </row>
    <row r="618" spans="1:14" s="544" customFormat="1" ht="16.5" customHeight="1">
      <c r="A618" s="16"/>
      <c r="B618" s="39"/>
      <c r="C618" s="537">
        <v>1</v>
      </c>
      <c r="D618" s="539" t="s">
        <v>273</v>
      </c>
      <c r="E618" s="540">
        <v>1</v>
      </c>
      <c r="F618" s="541">
        <v>5.2</v>
      </c>
      <c r="G618" s="541">
        <v>0.6</v>
      </c>
      <c r="H618" s="541">
        <v>0</v>
      </c>
      <c r="I618" s="545">
        <f t="shared" si="58"/>
        <v>3.12</v>
      </c>
      <c r="J618" s="553" t="s">
        <v>102</v>
      </c>
      <c r="K618" s="39"/>
      <c r="L618" s="208"/>
      <c r="M618" s="39"/>
      <c r="N618" s="536" t="s">
        <v>2218</v>
      </c>
    </row>
    <row r="619" spans="1:14" s="544" customFormat="1" ht="16.5" customHeight="1">
      <c r="A619" s="16"/>
      <c r="B619" s="39" t="s">
        <v>3172</v>
      </c>
      <c r="C619" s="537">
        <v>2</v>
      </c>
      <c r="D619" s="539" t="s">
        <v>273</v>
      </c>
      <c r="E619" s="540">
        <v>2</v>
      </c>
      <c r="F619" s="541">
        <v>1.8</v>
      </c>
      <c r="G619" s="541">
        <v>0</v>
      </c>
      <c r="H619" s="541">
        <v>0.38</v>
      </c>
      <c r="I619" s="545">
        <f t="shared" si="58"/>
        <v>2.74</v>
      </c>
      <c r="J619" s="553" t="s">
        <v>102</v>
      </c>
      <c r="K619" s="39"/>
      <c r="L619" s="208"/>
      <c r="M619" s="39"/>
      <c r="N619" s="536" t="s">
        <v>2218</v>
      </c>
    </row>
    <row r="620" spans="1:14" s="544" customFormat="1" ht="16.5" customHeight="1">
      <c r="A620" s="16"/>
      <c r="B620" s="547"/>
      <c r="C620" s="548"/>
      <c r="D620" s="549"/>
      <c r="E620" s="550"/>
      <c r="F620" s="551"/>
      <c r="G620" s="551"/>
      <c r="H620" s="551"/>
      <c r="I620" s="552"/>
      <c r="J620" s="553"/>
      <c r="K620" s="39"/>
      <c r="L620" s="208"/>
      <c r="M620" s="39"/>
      <c r="N620" s="536" t="s">
        <v>2218</v>
      </c>
    </row>
    <row r="621" spans="1:14" ht="15.75">
      <c r="A621" s="16"/>
      <c r="B621" s="39"/>
      <c r="C621" s="554"/>
      <c r="D621" s="555"/>
      <c r="E621" s="540"/>
      <c r="F621" s="541"/>
      <c r="G621" s="40"/>
      <c r="H621" s="16"/>
      <c r="I621" s="552"/>
      <c r="J621" s="553" t="s">
        <v>102</v>
      </c>
      <c r="K621" s="10">
        <f>data!F444</f>
        <v>292.7</v>
      </c>
      <c r="L621" s="208" t="s">
        <v>2218</v>
      </c>
      <c r="M621" s="9">
        <f>ROUND(I621*K621,0)</f>
        <v>0</v>
      </c>
      <c r="N621" s="536" t="s">
        <v>2218</v>
      </c>
    </row>
    <row r="622" spans="1:14" ht="54.75" customHeight="1">
      <c r="A622" s="16">
        <v>10</v>
      </c>
      <c r="B622" s="1858" t="s">
        <v>125</v>
      </c>
      <c r="C622" s="1858"/>
      <c r="D622" s="1858"/>
      <c r="E622" s="1858"/>
      <c r="F622" s="1858"/>
      <c r="G622" s="1858"/>
      <c r="H622" s="1858"/>
      <c r="I622" s="537"/>
      <c r="J622" s="538"/>
      <c r="K622" s="16"/>
      <c r="L622" s="208"/>
      <c r="M622" s="38"/>
      <c r="N622" s="536" t="s">
        <v>2306</v>
      </c>
    </row>
    <row r="623" spans="1:14" s="544" customFormat="1" ht="16.5" customHeight="1">
      <c r="A623" s="16"/>
      <c r="B623" s="39" t="s">
        <v>2892</v>
      </c>
      <c r="C623" s="537"/>
      <c r="D623" s="539"/>
      <c r="E623" s="540"/>
      <c r="F623" s="541"/>
      <c r="G623" s="541"/>
      <c r="H623" s="541"/>
      <c r="I623" s="542"/>
      <c r="J623" s="553"/>
      <c r="K623" s="39"/>
      <c r="L623" s="208"/>
      <c r="M623" s="39"/>
      <c r="N623" s="536" t="s">
        <v>2306</v>
      </c>
    </row>
    <row r="624" spans="1:14" s="544" customFormat="1" ht="16.5" customHeight="1">
      <c r="A624" s="16"/>
      <c r="B624" s="39" t="s">
        <v>223</v>
      </c>
      <c r="C624" s="537">
        <v>1</v>
      </c>
      <c r="D624" s="539" t="s">
        <v>273</v>
      </c>
      <c r="E624" s="540">
        <v>1</v>
      </c>
      <c r="F624" s="541">
        <v>5.7</v>
      </c>
      <c r="G624" s="541">
        <v>3.04</v>
      </c>
      <c r="H624" s="541">
        <v>0</v>
      </c>
      <c r="I624" s="545">
        <f t="shared" ref="I624" si="59">ROUND(IF(AND(F624:H624),C624*E624*F624*G624*H624,IF(AND(F624,G624),C624*E624*F624*G624,IF(AND(F624,H624),C624*E624*F624*H624,IF(AND(G624,H624),C624*E624*G624*H624,IF(F624,C624*E624*F624,IF(G624,C624*E624*G624,IF(H624,C624*E624*H624,C624*E624))))))),2)</f>
        <v>17.329999999999998</v>
      </c>
      <c r="J624" s="553" t="s">
        <v>102</v>
      </c>
      <c r="K624" s="39"/>
      <c r="L624" s="208"/>
      <c r="M624" s="39"/>
      <c r="N624" s="536" t="s">
        <v>2306</v>
      </c>
    </row>
    <row r="625" spans="1:14" s="544" customFormat="1" ht="16.5" customHeight="1">
      <c r="A625" s="16"/>
      <c r="B625" s="39" t="s">
        <v>586</v>
      </c>
      <c r="C625" s="537">
        <v>1</v>
      </c>
      <c r="D625" s="539" t="s">
        <v>273</v>
      </c>
      <c r="E625" s="540">
        <v>1</v>
      </c>
      <c r="F625" s="541">
        <v>9.0399999999999991</v>
      </c>
      <c r="G625" s="541">
        <v>1.8</v>
      </c>
      <c r="H625" s="541">
        <v>0</v>
      </c>
      <c r="I625" s="545">
        <f t="shared" ref="I625:I647" si="60">ROUND(IF(AND(F625:H625),C625*E625*F625*G625*H625,IF(AND(F625,G625),C625*E625*F625*G625,IF(AND(F625,H625),C625*E625*F625*H625,IF(AND(G625,H625),C625*E625*G625*H625,IF(F625,C625*E625*F625,IF(G625,C625*E625*G625,IF(H625,C625*E625*H625,C625*E625))))))),2)</f>
        <v>16.27</v>
      </c>
      <c r="J625" s="553" t="s">
        <v>102</v>
      </c>
      <c r="K625" s="39"/>
      <c r="L625" s="208"/>
      <c r="M625" s="39"/>
      <c r="N625" s="536" t="s">
        <v>2306</v>
      </c>
    </row>
    <row r="626" spans="1:14" s="544" customFormat="1" ht="16.5" customHeight="1">
      <c r="A626" s="16"/>
      <c r="B626" s="39" t="s">
        <v>587</v>
      </c>
      <c r="C626" s="537">
        <v>1</v>
      </c>
      <c r="D626" s="539" t="s">
        <v>273</v>
      </c>
      <c r="E626" s="540">
        <v>1</v>
      </c>
      <c r="F626" s="541">
        <v>3.3</v>
      </c>
      <c r="G626" s="541">
        <v>3.25</v>
      </c>
      <c r="H626" s="541">
        <v>0</v>
      </c>
      <c r="I626" s="545">
        <f t="shared" si="60"/>
        <v>10.73</v>
      </c>
      <c r="J626" s="553" t="s">
        <v>102</v>
      </c>
      <c r="K626" s="39"/>
      <c r="L626" s="208"/>
      <c r="M626" s="39"/>
      <c r="N626" s="536" t="s">
        <v>2306</v>
      </c>
    </row>
    <row r="627" spans="1:14" s="544" customFormat="1" ht="16.5" customHeight="1">
      <c r="A627" s="16"/>
      <c r="B627" s="39" t="s">
        <v>1624</v>
      </c>
      <c r="C627" s="537">
        <v>1</v>
      </c>
      <c r="D627" s="539" t="s">
        <v>273</v>
      </c>
      <c r="E627" s="540">
        <v>1</v>
      </c>
      <c r="F627" s="541">
        <v>2.7</v>
      </c>
      <c r="G627" s="541">
        <v>3.25</v>
      </c>
      <c r="H627" s="541">
        <v>0</v>
      </c>
      <c r="I627" s="545">
        <f t="shared" si="60"/>
        <v>8.7799999999999994</v>
      </c>
      <c r="J627" s="553" t="s">
        <v>102</v>
      </c>
      <c r="K627" s="39"/>
      <c r="L627" s="208"/>
      <c r="M627" s="39"/>
      <c r="N627" s="536" t="s">
        <v>2306</v>
      </c>
    </row>
    <row r="628" spans="1:14" s="544" customFormat="1" ht="16.5" customHeight="1">
      <c r="A628" s="16"/>
      <c r="B628" s="39" t="s">
        <v>2362</v>
      </c>
      <c r="C628" s="537">
        <v>1</v>
      </c>
      <c r="D628" s="539" t="s">
        <v>273</v>
      </c>
      <c r="E628" s="540">
        <v>1</v>
      </c>
      <c r="F628" s="541">
        <v>2.75</v>
      </c>
      <c r="G628" s="541">
        <v>3.25</v>
      </c>
      <c r="H628" s="541">
        <v>0</v>
      </c>
      <c r="I628" s="545">
        <f t="shared" ref="I628:I635" si="61">ROUND(IF(AND(F628:H628),C628*E628*F628*G628*H628,IF(AND(F628,G628),C628*E628*F628*G628,IF(AND(F628,H628),C628*E628*F628*H628,IF(AND(G628,H628),C628*E628*G628*H628,IF(F628,C628*E628*F628,IF(G628,C628*E628*G628,IF(H628,C628*E628*H628,C628*E628))))))),2)</f>
        <v>8.94</v>
      </c>
      <c r="J628" s="553" t="s">
        <v>102</v>
      </c>
      <c r="K628" s="39"/>
      <c r="L628" s="208"/>
      <c r="M628" s="39"/>
      <c r="N628" s="536" t="s">
        <v>2306</v>
      </c>
    </row>
    <row r="629" spans="1:14" s="544" customFormat="1" ht="16.5" customHeight="1">
      <c r="A629" s="16"/>
      <c r="B629" s="39" t="s">
        <v>2976</v>
      </c>
      <c r="C629" s="537">
        <v>1</v>
      </c>
      <c r="D629" s="539" t="s">
        <v>273</v>
      </c>
      <c r="E629" s="540">
        <v>1</v>
      </c>
      <c r="F629" s="541">
        <v>1.56</v>
      </c>
      <c r="G629" s="541">
        <v>1.45</v>
      </c>
      <c r="H629" s="541">
        <v>0</v>
      </c>
      <c r="I629" s="545">
        <f t="shared" si="61"/>
        <v>2.2599999999999998</v>
      </c>
      <c r="J629" s="553" t="s">
        <v>102</v>
      </c>
      <c r="K629" s="39"/>
      <c r="L629" s="208"/>
      <c r="M629" s="39"/>
      <c r="N629" s="536" t="s">
        <v>2306</v>
      </c>
    </row>
    <row r="630" spans="1:14" s="544" customFormat="1" ht="16.5" customHeight="1">
      <c r="A630" s="16"/>
      <c r="B630" s="39" t="s">
        <v>659</v>
      </c>
      <c r="C630" s="537">
        <v>1</v>
      </c>
      <c r="D630" s="539" t="s">
        <v>273</v>
      </c>
      <c r="E630" s="540">
        <v>1</v>
      </c>
      <c r="F630" s="541">
        <v>1.62</v>
      </c>
      <c r="G630" s="541">
        <v>1.45</v>
      </c>
      <c r="H630" s="541">
        <v>0</v>
      </c>
      <c r="I630" s="545">
        <f t="shared" si="61"/>
        <v>2.35</v>
      </c>
      <c r="J630" s="553" t="s">
        <v>102</v>
      </c>
      <c r="K630" s="39"/>
      <c r="L630" s="208"/>
      <c r="M630" s="39"/>
      <c r="N630" s="536" t="s">
        <v>2306</v>
      </c>
    </row>
    <row r="631" spans="1:14" s="544" customFormat="1" ht="16.5" customHeight="1">
      <c r="A631" s="16"/>
      <c r="B631" s="39" t="s">
        <v>2977</v>
      </c>
      <c r="C631" s="537">
        <v>1</v>
      </c>
      <c r="D631" s="539" t="s">
        <v>273</v>
      </c>
      <c r="E631" s="540">
        <v>1</v>
      </c>
      <c r="F631" s="541">
        <v>1.62</v>
      </c>
      <c r="G631" s="541">
        <v>1.45</v>
      </c>
      <c r="H631" s="541">
        <v>0</v>
      </c>
      <c r="I631" s="545">
        <f t="shared" si="61"/>
        <v>2.35</v>
      </c>
      <c r="J631" s="553" t="s">
        <v>102</v>
      </c>
      <c r="K631" s="39"/>
      <c r="L631" s="208"/>
      <c r="M631" s="39"/>
      <c r="N631" s="536" t="s">
        <v>2306</v>
      </c>
    </row>
    <row r="632" spans="1:14" s="544" customFormat="1" ht="16.5" customHeight="1">
      <c r="A632" s="16"/>
      <c r="B632" s="39"/>
      <c r="C632" s="537">
        <v>1</v>
      </c>
      <c r="D632" s="539" t="s">
        <v>273</v>
      </c>
      <c r="E632" s="540">
        <v>1</v>
      </c>
      <c r="F632" s="541">
        <v>1.56</v>
      </c>
      <c r="G632" s="541">
        <v>1.45</v>
      </c>
      <c r="H632" s="541">
        <v>0</v>
      </c>
      <c r="I632" s="545">
        <f t="shared" si="61"/>
        <v>2.2599999999999998</v>
      </c>
      <c r="J632" s="553" t="s">
        <v>102</v>
      </c>
      <c r="K632" s="39"/>
      <c r="L632" s="208"/>
      <c r="M632" s="39"/>
      <c r="N632" s="536" t="s">
        <v>2306</v>
      </c>
    </row>
    <row r="633" spans="1:14" s="544" customFormat="1" ht="16.5" customHeight="1">
      <c r="A633" s="16"/>
      <c r="B633" s="39" t="s">
        <v>2978</v>
      </c>
      <c r="C633" s="537">
        <v>1</v>
      </c>
      <c r="D633" s="539" t="s">
        <v>273</v>
      </c>
      <c r="E633" s="540">
        <v>1</v>
      </c>
      <c r="F633" s="541">
        <v>4.95</v>
      </c>
      <c r="G633" s="541">
        <v>2.72</v>
      </c>
      <c r="H633" s="541">
        <v>0</v>
      </c>
      <c r="I633" s="545">
        <f t="shared" si="61"/>
        <v>13.46</v>
      </c>
      <c r="J633" s="553" t="s">
        <v>102</v>
      </c>
      <c r="K633" s="39"/>
      <c r="L633" s="208"/>
      <c r="M633" s="39"/>
      <c r="N633" s="536" t="s">
        <v>2306</v>
      </c>
    </row>
    <row r="634" spans="1:14" s="544" customFormat="1" ht="16.5" customHeight="1">
      <c r="A634" s="16"/>
      <c r="B634" s="39" t="s">
        <v>2979</v>
      </c>
      <c r="C634" s="537">
        <v>2</v>
      </c>
      <c r="D634" s="539" t="s">
        <v>273</v>
      </c>
      <c r="E634" s="540">
        <v>2</v>
      </c>
      <c r="F634" s="541">
        <v>1.8</v>
      </c>
      <c r="G634" s="541">
        <v>0</v>
      </c>
      <c r="H634" s="541">
        <v>0.38</v>
      </c>
      <c r="I634" s="545">
        <f t="shared" si="61"/>
        <v>2.74</v>
      </c>
      <c r="J634" s="553" t="s">
        <v>102</v>
      </c>
      <c r="K634" s="39"/>
      <c r="L634" s="208"/>
      <c r="M634" s="39"/>
      <c r="N634" s="536" t="s">
        <v>2306</v>
      </c>
    </row>
    <row r="635" spans="1:14" s="544" customFormat="1" ht="16.5" customHeight="1">
      <c r="A635" s="16"/>
      <c r="B635" s="39" t="s">
        <v>2980</v>
      </c>
      <c r="C635" s="537">
        <v>1</v>
      </c>
      <c r="D635" s="539" t="s">
        <v>273</v>
      </c>
      <c r="E635" s="540">
        <v>2</v>
      </c>
      <c r="F635" s="541">
        <v>3.04</v>
      </c>
      <c r="G635" s="541">
        <v>0</v>
      </c>
      <c r="H635" s="541">
        <v>0.38</v>
      </c>
      <c r="I635" s="545">
        <f t="shared" si="61"/>
        <v>2.31</v>
      </c>
      <c r="J635" s="553" t="s">
        <v>102</v>
      </c>
      <c r="K635" s="39"/>
      <c r="L635" s="208"/>
      <c r="M635" s="39"/>
      <c r="N635" s="536" t="s">
        <v>2306</v>
      </c>
    </row>
    <row r="636" spans="1:14" s="544" customFormat="1" ht="16.5" customHeight="1">
      <c r="A636" s="16"/>
      <c r="B636" s="39" t="s">
        <v>2981</v>
      </c>
      <c r="C636" s="537">
        <v>1</v>
      </c>
      <c r="D636" s="539" t="s">
        <v>273</v>
      </c>
      <c r="E636" s="540">
        <v>2</v>
      </c>
      <c r="F636" s="541">
        <v>2.72</v>
      </c>
      <c r="G636" s="541">
        <v>0</v>
      </c>
      <c r="H636" s="541">
        <v>0.3</v>
      </c>
      <c r="I636" s="545">
        <f t="shared" si="60"/>
        <v>1.63</v>
      </c>
      <c r="J636" s="553" t="s">
        <v>102</v>
      </c>
      <c r="K636" s="39"/>
      <c r="L636" s="208"/>
      <c r="M636" s="39"/>
      <c r="N636" s="536" t="s">
        <v>2306</v>
      </c>
    </row>
    <row r="637" spans="1:14" s="544" customFormat="1" ht="16.5" customHeight="1">
      <c r="A637" s="16"/>
      <c r="B637" s="39" t="s">
        <v>2982</v>
      </c>
      <c r="C637" s="537">
        <v>1</v>
      </c>
      <c r="D637" s="539" t="s">
        <v>273</v>
      </c>
      <c r="E637" s="540">
        <v>1</v>
      </c>
      <c r="F637" s="541">
        <v>3.5</v>
      </c>
      <c r="G637" s="541">
        <v>1.3</v>
      </c>
      <c r="H637" s="541">
        <v>0</v>
      </c>
      <c r="I637" s="545">
        <f t="shared" si="60"/>
        <v>4.55</v>
      </c>
      <c r="J637" s="553" t="s">
        <v>102</v>
      </c>
      <c r="K637" s="39"/>
      <c r="L637" s="208"/>
      <c r="M637" s="39"/>
      <c r="N637" s="536" t="s">
        <v>2306</v>
      </c>
    </row>
    <row r="638" spans="1:14" s="544" customFormat="1" ht="16.5" customHeight="1">
      <c r="A638" s="16"/>
      <c r="B638" s="39" t="s">
        <v>2983</v>
      </c>
      <c r="C638" s="537">
        <v>1</v>
      </c>
      <c r="D638" s="539" t="s">
        <v>273</v>
      </c>
      <c r="E638" s="540">
        <v>2</v>
      </c>
      <c r="F638" s="541">
        <v>2.72</v>
      </c>
      <c r="G638" s="541">
        <v>0</v>
      </c>
      <c r="H638" s="541">
        <v>0.3</v>
      </c>
      <c r="I638" s="545">
        <f t="shared" si="60"/>
        <v>1.63</v>
      </c>
      <c r="J638" s="553" t="s">
        <v>102</v>
      </c>
      <c r="K638" s="39"/>
      <c r="L638" s="208"/>
      <c r="M638" s="39"/>
      <c r="N638" s="536" t="s">
        <v>2306</v>
      </c>
    </row>
    <row r="639" spans="1:14" s="544" customFormat="1" ht="16.5" customHeight="1">
      <c r="A639" s="16"/>
      <c r="B639" s="39" t="s">
        <v>2557</v>
      </c>
      <c r="C639" s="537">
        <v>1</v>
      </c>
      <c r="D639" s="539" t="s">
        <v>273</v>
      </c>
      <c r="E639" s="540">
        <v>1</v>
      </c>
      <c r="F639" s="541">
        <v>3.18</v>
      </c>
      <c r="G639" s="541">
        <v>1</v>
      </c>
      <c r="H639" s="541">
        <v>0</v>
      </c>
      <c r="I639" s="545">
        <f t="shared" si="60"/>
        <v>3.18</v>
      </c>
      <c r="J639" s="553" t="s">
        <v>102</v>
      </c>
      <c r="K639" s="39"/>
      <c r="L639" s="208"/>
      <c r="M639" s="39"/>
      <c r="N639" s="536" t="s">
        <v>2306</v>
      </c>
    </row>
    <row r="640" spans="1:14" s="544" customFormat="1" ht="16.5" customHeight="1">
      <c r="A640" s="16"/>
      <c r="B640" s="39" t="s">
        <v>2972</v>
      </c>
      <c r="C640" s="537">
        <v>1</v>
      </c>
      <c r="D640" s="539" t="s">
        <v>273</v>
      </c>
      <c r="E640" s="540">
        <v>1</v>
      </c>
      <c r="F640" s="541">
        <v>3.5</v>
      </c>
      <c r="G640" s="541">
        <v>1.3</v>
      </c>
      <c r="H640" s="541">
        <v>0</v>
      </c>
      <c r="I640" s="545">
        <f t="shared" si="60"/>
        <v>4.55</v>
      </c>
      <c r="J640" s="553" t="s">
        <v>102</v>
      </c>
      <c r="K640" s="39"/>
      <c r="L640" s="208"/>
      <c r="M640" s="39"/>
      <c r="N640" s="536" t="s">
        <v>2306</v>
      </c>
    </row>
    <row r="641" spans="1:14" s="544" customFormat="1" ht="16.5" customHeight="1">
      <c r="A641" s="16"/>
      <c r="B641" s="39" t="s">
        <v>2984</v>
      </c>
      <c r="C641" s="537">
        <v>1</v>
      </c>
      <c r="D641" s="539" t="s">
        <v>273</v>
      </c>
      <c r="E641" s="540">
        <v>1</v>
      </c>
      <c r="F641" s="541">
        <v>13.47</v>
      </c>
      <c r="G641" s="541">
        <v>1</v>
      </c>
      <c r="H641" s="541">
        <v>0</v>
      </c>
      <c r="I641" s="545">
        <f t="shared" si="60"/>
        <v>13.47</v>
      </c>
      <c r="J641" s="553" t="s">
        <v>102</v>
      </c>
      <c r="K641" s="39"/>
      <c r="L641" s="208"/>
      <c r="M641" s="39"/>
      <c r="N641" s="536" t="s">
        <v>2306</v>
      </c>
    </row>
    <row r="642" spans="1:14" s="544" customFormat="1" ht="16.5" customHeight="1">
      <c r="A642" s="16"/>
      <c r="B642" s="39" t="s">
        <v>2973</v>
      </c>
      <c r="C642" s="537">
        <v>5</v>
      </c>
      <c r="D642" s="539" t="s">
        <v>273</v>
      </c>
      <c r="E642" s="540">
        <v>2</v>
      </c>
      <c r="F642" s="541">
        <v>1</v>
      </c>
      <c r="G642" s="541">
        <v>0</v>
      </c>
      <c r="H642" s="541">
        <v>0.38</v>
      </c>
      <c r="I642" s="545">
        <f t="shared" si="60"/>
        <v>3.8</v>
      </c>
      <c r="J642" s="553" t="s">
        <v>102</v>
      </c>
      <c r="K642" s="39"/>
      <c r="L642" s="208"/>
      <c r="M642" s="39"/>
      <c r="N642" s="536" t="s">
        <v>2306</v>
      </c>
    </row>
    <row r="643" spans="1:14" s="544" customFormat="1" ht="16.5" customHeight="1">
      <c r="A643" s="16"/>
      <c r="B643" s="39" t="s">
        <v>2985</v>
      </c>
      <c r="C643" s="537">
        <v>1</v>
      </c>
      <c r="D643" s="539" t="s">
        <v>273</v>
      </c>
      <c r="E643" s="540">
        <v>1</v>
      </c>
      <c r="F643" s="541">
        <v>8.84</v>
      </c>
      <c r="G643" s="541">
        <v>1</v>
      </c>
      <c r="H643" s="541">
        <v>0</v>
      </c>
      <c r="I643" s="545">
        <f t="shared" si="60"/>
        <v>8.84</v>
      </c>
      <c r="J643" s="553" t="s">
        <v>102</v>
      </c>
      <c r="K643" s="39"/>
      <c r="L643" s="208"/>
      <c r="M643" s="39"/>
      <c r="N643" s="536" t="s">
        <v>2306</v>
      </c>
    </row>
    <row r="644" spans="1:14" s="544" customFormat="1" ht="16.5" customHeight="1">
      <c r="A644" s="16"/>
      <c r="B644" s="39" t="s">
        <v>2974</v>
      </c>
      <c r="C644" s="537">
        <v>3</v>
      </c>
      <c r="D644" s="539" t="s">
        <v>273</v>
      </c>
      <c r="E644" s="540">
        <v>2</v>
      </c>
      <c r="F644" s="541">
        <v>1</v>
      </c>
      <c r="G644" s="541">
        <v>0</v>
      </c>
      <c r="H644" s="541">
        <v>0.3</v>
      </c>
      <c r="I644" s="545">
        <f t="shared" si="60"/>
        <v>1.8</v>
      </c>
      <c r="J644" s="553" t="s">
        <v>102</v>
      </c>
      <c r="K644" s="39"/>
      <c r="L644" s="208"/>
      <c r="M644" s="39"/>
      <c r="N644" s="536" t="s">
        <v>2306</v>
      </c>
    </row>
    <row r="645" spans="1:14" s="544" customFormat="1" ht="16.5" customHeight="1">
      <c r="A645" s="16"/>
      <c r="B645" s="39" t="s">
        <v>2975</v>
      </c>
      <c r="C645" s="537">
        <v>1</v>
      </c>
      <c r="D645" s="539" t="s">
        <v>273</v>
      </c>
      <c r="E645" s="540">
        <v>1</v>
      </c>
      <c r="F645" s="541">
        <v>9.2899999999999991</v>
      </c>
      <c r="G645" s="541">
        <v>0.3</v>
      </c>
      <c r="H645" s="541">
        <v>0</v>
      </c>
      <c r="I645" s="545">
        <f t="shared" si="60"/>
        <v>2.79</v>
      </c>
      <c r="J645" s="553" t="s">
        <v>102</v>
      </c>
      <c r="K645" s="39"/>
      <c r="L645" s="208"/>
      <c r="M645" s="39"/>
      <c r="N645" s="536" t="s">
        <v>2306</v>
      </c>
    </row>
    <row r="646" spans="1:14" s="544" customFormat="1" ht="16.5" customHeight="1">
      <c r="A646" s="16"/>
      <c r="B646" s="39" t="s">
        <v>2986</v>
      </c>
      <c r="C646" s="537">
        <v>1</v>
      </c>
      <c r="D646" s="539" t="s">
        <v>273</v>
      </c>
      <c r="E646" s="540">
        <v>1</v>
      </c>
      <c r="F646" s="541">
        <v>6.4</v>
      </c>
      <c r="G646" s="541">
        <v>1</v>
      </c>
      <c r="H646" s="541">
        <v>0</v>
      </c>
      <c r="I646" s="545">
        <f t="shared" si="60"/>
        <v>6.4</v>
      </c>
      <c r="J646" s="553" t="s">
        <v>102</v>
      </c>
      <c r="K646" s="39"/>
      <c r="L646" s="208"/>
      <c r="M646" s="39"/>
      <c r="N646" s="536" t="s">
        <v>2306</v>
      </c>
    </row>
    <row r="647" spans="1:14" s="544" customFormat="1" ht="16.5" customHeight="1">
      <c r="A647" s="16"/>
      <c r="B647" s="39" t="s">
        <v>2987</v>
      </c>
      <c r="C647" s="537">
        <v>2</v>
      </c>
      <c r="D647" s="539" t="s">
        <v>273</v>
      </c>
      <c r="E647" s="540">
        <v>2</v>
      </c>
      <c r="F647" s="541">
        <v>1</v>
      </c>
      <c r="G647" s="541">
        <v>0</v>
      </c>
      <c r="H647" s="541">
        <v>0.3</v>
      </c>
      <c r="I647" s="545">
        <f t="shared" si="60"/>
        <v>1.2</v>
      </c>
      <c r="J647" s="553" t="s">
        <v>102</v>
      </c>
      <c r="K647" s="39"/>
      <c r="L647" s="208"/>
      <c r="M647" s="39"/>
      <c r="N647" s="536" t="s">
        <v>2306</v>
      </c>
    </row>
    <row r="648" spans="1:14" s="544" customFormat="1" ht="16.5" customHeight="1">
      <c r="A648" s="16"/>
      <c r="B648" s="39" t="s">
        <v>2859</v>
      </c>
      <c r="C648" s="537"/>
      <c r="D648" s="539"/>
      <c r="E648" s="540"/>
      <c r="F648" s="541"/>
      <c r="G648" s="541"/>
      <c r="H648" s="541"/>
      <c r="I648" s="542"/>
      <c r="J648" s="553"/>
      <c r="K648" s="39"/>
      <c r="L648" s="208"/>
      <c r="M648" s="39"/>
      <c r="N648" s="536" t="s">
        <v>2306</v>
      </c>
    </row>
    <row r="649" spans="1:14" s="544" customFormat="1" ht="16.5" customHeight="1">
      <c r="A649" s="16"/>
      <c r="B649" s="39" t="s">
        <v>2991</v>
      </c>
      <c r="C649" s="537">
        <v>7</v>
      </c>
      <c r="D649" s="539" t="s">
        <v>273</v>
      </c>
      <c r="E649" s="540">
        <v>2</v>
      </c>
      <c r="F649" s="541">
        <v>1.65</v>
      </c>
      <c r="G649" s="541">
        <v>0.6</v>
      </c>
      <c r="H649" s="541">
        <v>0</v>
      </c>
      <c r="I649" s="545">
        <f t="shared" ref="I649" si="62">ROUND(IF(AND(F649:H649),C649*E649*F649*G649*H649,IF(AND(F649,G649),C649*E649*F649*G649,IF(AND(F649,H649),C649*E649*F649*H649,IF(AND(G649,H649),C649*E649*G649*H649,IF(F649,C649*E649*F649,IF(G649,C649*E649*G649,IF(H649,C649*E649*H649,C649*E649))))))),2)</f>
        <v>13.86</v>
      </c>
      <c r="J649" s="553" t="s">
        <v>102</v>
      </c>
      <c r="K649" s="39"/>
      <c r="L649" s="208"/>
      <c r="M649" s="39"/>
      <c r="N649" s="536" t="s">
        <v>2306</v>
      </c>
    </row>
    <row r="650" spans="1:14" s="544" customFormat="1" ht="16.5" customHeight="1">
      <c r="A650" s="16"/>
      <c r="B650" s="39" t="s">
        <v>2991</v>
      </c>
      <c r="C650" s="537">
        <v>1</v>
      </c>
      <c r="D650" s="539" t="s">
        <v>273</v>
      </c>
      <c r="E650" s="540">
        <v>2</v>
      </c>
      <c r="F650" s="541">
        <v>1.05</v>
      </c>
      <c r="G650" s="541">
        <v>0.6</v>
      </c>
      <c r="H650" s="541">
        <v>0</v>
      </c>
      <c r="I650" s="545">
        <f t="shared" ref="I650" si="63">ROUND(IF(AND(F650:H650),C650*E650*F650*G650*H650,IF(AND(F650,G650),C650*E650*F650*G650,IF(AND(F650,H650),C650*E650*F650*H650,IF(AND(G650,H650),C650*E650*G650*H650,IF(F650,C650*E650*F650,IF(G650,C650*E650*G650,IF(H650,C650*E650*H650,C650*E650))))))),2)</f>
        <v>1.26</v>
      </c>
      <c r="J650" s="553" t="s">
        <v>102</v>
      </c>
      <c r="K650" s="39"/>
      <c r="L650" s="208"/>
      <c r="M650" s="39"/>
      <c r="N650" s="536" t="s">
        <v>2306</v>
      </c>
    </row>
    <row r="651" spans="1:14" s="544" customFormat="1" ht="16.5" customHeight="1">
      <c r="A651" s="16"/>
      <c r="B651" s="547"/>
      <c r="C651" s="548"/>
      <c r="D651" s="549"/>
      <c r="E651" s="550"/>
      <c r="F651" s="551"/>
      <c r="G651" s="551"/>
      <c r="H651" s="551"/>
      <c r="I651" s="552"/>
      <c r="J651" s="553"/>
      <c r="K651" s="39"/>
      <c r="L651" s="208"/>
      <c r="M651" s="39"/>
      <c r="N651" s="536" t="s">
        <v>2306</v>
      </c>
    </row>
    <row r="652" spans="1:14" ht="15.75">
      <c r="A652" s="16"/>
      <c r="B652" s="39"/>
      <c r="C652" s="554"/>
      <c r="D652" s="555"/>
      <c r="E652" s="540"/>
      <c r="F652" s="541"/>
      <c r="G652" s="40"/>
      <c r="H652" s="16"/>
      <c r="I652" s="552"/>
      <c r="J652" s="553" t="s">
        <v>102</v>
      </c>
      <c r="K652" s="10">
        <f>data!F1361</f>
        <v>313.52</v>
      </c>
      <c r="L652" s="208" t="s">
        <v>2306</v>
      </c>
      <c r="M652" s="9">
        <f>ROUND(I652*K652,0)</f>
        <v>0</v>
      </c>
      <c r="N652" s="536" t="s">
        <v>2306</v>
      </c>
    </row>
    <row r="653" spans="1:14" ht="54.75" customHeight="1">
      <c r="A653" s="16">
        <v>11</v>
      </c>
      <c r="B653" s="1858" t="s">
        <v>125</v>
      </c>
      <c r="C653" s="1858"/>
      <c r="D653" s="1858"/>
      <c r="E653" s="1858"/>
      <c r="F653" s="1858"/>
      <c r="G653" s="1858"/>
      <c r="H653" s="1858"/>
      <c r="I653" s="537"/>
      <c r="J653" s="538"/>
      <c r="K653" s="16"/>
      <c r="L653" s="208"/>
      <c r="M653" s="38"/>
      <c r="N653" s="536" t="s">
        <v>2317</v>
      </c>
    </row>
    <row r="654" spans="1:14" s="544" customFormat="1" ht="16.5" customHeight="1">
      <c r="A654" s="16"/>
      <c r="B654" s="39" t="s">
        <v>2827</v>
      </c>
      <c r="C654" s="537"/>
      <c r="D654" s="539"/>
      <c r="E654" s="540"/>
      <c r="F654" s="541"/>
      <c r="G654" s="541"/>
      <c r="H654" s="541"/>
      <c r="I654" s="542"/>
      <c r="J654" s="553"/>
      <c r="K654" s="39"/>
      <c r="L654" s="208"/>
      <c r="M654" s="39"/>
      <c r="N654" s="536" t="s">
        <v>2317</v>
      </c>
    </row>
    <row r="655" spans="1:14" s="544" customFormat="1" ht="16.5" customHeight="1">
      <c r="A655" s="16"/>
      <c r="B655" s="39" t="s">
        <v>587</v>
      </c>
      <c r="C655" s="537">
        <v>1</v>
      </c>
      <c r="D655" s="539" t="s">
        <v>273</v>
      </c>
      <c r="E655" s="540">
        <v>1</v>
      </c>
      <c r="F655" s="541">
        <v>3.35</v>
      </c>
      <c r="G655" s="541">
        <v>0</v>
      </c>
      <c r="H655" s="541">
        <v>3.04</v>
      </c>
      <c r="I655" s="579">
        <f>ROUND(IF(AND(F655:H655),C655*E655*F655*G655*H655,IF(AND(F655,G655),C655*E655*F655*G655,IF(AND(F655,H655),C655*E655*F655*H655,IF(AND(G655,H655),C655*E655*G655*H655,IF(F655,C655*E655*F655,IF(G655,C655*E655*G655,IF(H655,C655*E655*H655,C655*E655))))))),2)</f>
        <v>10.18</v>
      </c>
      <c r="J655" s="553" t="s">
        <v>102</v>
      </c>
      <c r="K655" s="39"/>
      <c r="L655" s="208"/>
      <c r="M655" s="39"/>
      <c r="N655" s="536" t="s">
        <v>2317</v>
      </c>
    </row>
    <row r="656" spans="1:14" s="544" customFormat="1" ht="16.5" customHeight="1">
      <c r="A656" s="16"/>
      <c r="B656" s="39" t="s">
        <v>1169</v>
      </c>
      <c r="C656" s="537">
        <v>1</v>
      </c>
      <c r="D656" s="539" t="s">
        <v>273</v>
      </c>
      <c r="E656" s="540">
        <v>1</v>
      </c>
      <c r="F656" s="541">
        <v>2.75</v>
      </c>
      <c r="G656" s="541">
        <v>2.34</v>
      </c>
      <c r="H656" s="541">
        <v>0</v>
      </c>
      <c r="I656" s="579">
        <f>ROUND(IF(AND(F656:H656),C656*E656*F656*G656*H656,IF(AND(F656,G656),C656*E656*F656*G656,IF(AND(F656,H656),C656*E656*F656*H656,IF(AND(G656,H656),C656*E656*G656*H656,IF(F656,C656*E656*F656,IF(G656,C656*E656*G656,IF(H656,C656*E656*H656,C656*E656))))))),2)</f>
        <v>6.44</v>
      </c>
      <c r="J656" s="553" t="s">
        <v>102</v>
      </c>
      <c r="K656" s="39"/>
      <c r="L656" s="208"/>
      <c r="M656" s="39"/>
      <c r="N656" s="536" t="s">
        <v>2317</v>
      </c>
    </row>
    <row r="657" spans="1:14" s="544" customFormat="1" ht="16.5" customHeight="1">
      <c r="A657" s="16"/>
      <c r="B657" s="39"/>
      <c r="C657" s="537">
        <v>1</v>
      </c>
      <c r="D657" s="539" t="s">
        <v>273</v>
      </c>
      <c r="E657" s="540">
        <v>2</v>
      </c>
      <c r="F657" s="541">
        <v>2.7</v>
      </c>
      <c r="G657" s="541">
        <v>0.3</v>
      </c>
      <c r="H657" s="541">
        <v>0</v>
      </c>
      <c r="I657" s="579">
        <f>ROUND(IF(AND(F657:H657),C657*E657*F657*G657*H657,IF(AND(F657,G657),C657*E657*F657*G657,IF(AND(F657,H657),C657*E657*F657*H657,IF(AND(G657,H657),C657*E657*G657*H657,IF(F657,C657*E657*F657,IF(G657,C657*E657*G657,IF(H657,C657*E657*H657,C657*E657))))))),2)</f>
        <v>1.62</v>
      </c>
      <c r="J657" s="553" t="s">
        <v>102</v>
      </c>
      <c r="K657" s="39"/>
      <c r="L657" s="208"/>
      <c r="M657" s="39"/>
      <c r="N657" s="536" t="s">
        <v>2317</v>
      </c>
    </row>
    <row r="658" spans="1:14" s="544" customFormat="1" ht="16.5" customHeight="1">
      <c r="A658" s="16"/>
      <c r="B658" s="547"/>
      <c r="C658" s="548"/>
      <c r="D658" s="549"/>
      <c r="E658" s="550"/>
      <c r="F658" s="551"/>
      <c r="G658" s="551"/>
      <c r="H658" s="551"/>
      <c r="I658" s="552"/>
      <c r="J658" s="553"/>
      <c r="K658" s="39"/>
      <c r="L658" s="208"/>
      <c r="M658" s="39"/>
      <c r="N658" s="536" t="s">
        <v>2317</v>
      </c>
    </row>
    <row r="659" spans="1:14" ht="15.75">
      <c r="A659" s="16"/>
      <c r="B659" s="39"/>
      <c r="C659" s="554"/>
      <c r="D659" s="555"/>
      <c r="E659" s="540"/>
      <c r="F659" s="541"/>
      <c r="G659" s="40"/>
      <c r="H659" s="16"/>
      <c r="I659" s="552"/>
      <c r="J659" s="553" t="s">
        <v>102</v>
      </c>
      <c r="K659" s="10">
        <f>data!F2278</f>
        <v>332.3</v>
      </c>
      <c r="L659" s="208" t="s">
        <v>2317</v>
      </c>
      <c r="M659" s="9">
        <f>ROUND(I659*K659,0)</f>
        <v>0</v>
      </c>
      <c r="N659" s="536" t="s">
        <v>2317</v>
      </c>
    </row>
    <row r="660" spans="1:14" ht="54.75" customHeight="1">
      <c r="A660" s="16">
        <v>11</v>
      </c>
      <c r="B660" s="1858" t="s">
        <v>125</v>
      </c>
      <c r="C660" s="1858"/>
      <c r="D660" s="1858"/>
      <c r="E660" s="1858"/>
      <c r="F660" s="1858"/>
      <c r="G660" s="1858"/>
      <c r="H660" s="1858"/>
      <c r="I660" s="537"/>
      <c r="J660" s="538"/>
      <c r="K660" s="16"/>
      <c r="L660" s="208"/>
      <c r="M660" s="38"/>
      <c r="N660" s="536" t="s">
        <v>2318</v>
      </c>
    </row>
    <row r="661" spans="1:14" s="544" customFormat="1" ht="16.5" customHeight="1">
      <c r="A661" s="16"/>
      <c r="B661" s="39" t="s">
        <v>3109</v>
      </c>
      <c r="C661" s="537"/>
      <c r="D661" s="539"/>
      <c r="E661" s="540"/>
      <c r="F661" s="541"/>
      <c r="G661" s="541"/>
      <c r="H661" s="541"/>
      <c r="I661" s="542"/>
      <c r="J661" s="553"/>
      <c r="K661" s="39"/>
      <c r="L661" s="208"/>
      <c r="M661" s="39"/>
      <c r="N661" s="536" t="s">
        <v>2318</v>
      </c>
    </row>
    <row r="662" spans="1:14" s="544" customFormat="1" ht="16.5" customHeight="1">
      <c r="A662" s="16"/>
      <c r="B662" s="39"/>
      <c r="C662" s="537">
        <v>1</v>
      </c>
      <c r="D662" s="539" t="s">
        <v>273</v>
      </c>
      <c r="E662" s="540">
        <v>1</v>
      </c>
      <c r="F662" s="541">
        <v>3.35</v>
      </c>
      <c r="G662" s="541">
        <v>2.4900000000000002</v>
      </c>
      <c r="H662" s="541">
        <v>0</v>
      </c>
      <c r="I662" s="545">
        <f t="shared" ref="I662:I676" si="64">ROUND(IF(AND(F662:H662),C662*E662*F662*G662*H662,IF(AND(F662,G662),C662*E662*F662*G662,IF(AND(F662,H662),C662*E662*F662*H662,IF(AND(G662,H662),C662*E662*G662*H662,IF(F662,C662*E662*F662,IF(G662,C662*E662*G662,IF(H662,C662*E662*H662,C662*E662))))))),2)</f>
        <v>8.34</v>
      </c>
      <c r="J662" s="553" t="s">
        <v>102</v>
      </c>
      <c r="K662" s="39"/>
      <c r="L662" s="208"/>
      <c r="M662" s="39"/>
      <c r="N662" s="536" t="s">
        <v>2318</v>
      </c>
    </row>
    <row r="663" spans="1:14" s="544" customFormat="1" ht="16.5" customHeight="1">
      <c r="A663" s="16"/>
      <c r="B663" s="39"/>
      <c r="C663" s="537">
        <v>1</v>
      </c>
      <c r="D663" s="539" t="s">
        <v>273</v>
      </c>
      <c r="E663" s="540">
        <v>1</v>
      </c>
      <c r="F663" s="541">
        <v>3.35</v>
      </c>
      <c r="G663" s="541">
        <v>2.88</v>
      </c>
      <c r="H663" s="541">
        <v>0</v>
      </c>
      <c r="I663" s="545">
        <f t="shared" si="64"/>
        <v>9.65</v>
      </c>
      <c r="J663" s="553" t="s">
        <v>102</v>
      </c>
      <c r="K663" s="39"/>
      <c r="L663" s="208"/>
      <c r="M663" s="39"/>
      <c r="N663" s="536" t="s">
        <v>2318</v>
      </c>
    </row>
    <row r="664" spans="1:14" s="544" customFormat="1" ht="16.5" customHeight="1">
      <c r="A664" s="16"/>
      <c r="B664" s="39"/>
      <c r="C664" s="537">
        <v>1</v>
      </c>
      <c r="D664" s="539" t="s">
        <v>273</v>
      </c>
      <c r="E664" s="540">
        <v>1</v>
      </c>
      <c r="F664" s="541">
        <v>3.35</v>
      </c>
      <c r="G664" s="541">
        <v>3.12</v>
      </c>
      <c r="H664" s="541">
        <v>0</v>
      </c>
      <c r="I664" s="545">
        <f t="shared" si="64"/>
        <v>10.45</v>
      </c>
      <c r="J664" s="553" t="s">
        <v>102</v>
      </c>
      <c r="K664" s="39"/>
      <c r="L664" s="208"/>
      <c r="M664" s="39"/>
      <c r="N664" s="536" t="s">
        <v>2318</v>
      </c>
    </row>
    <row r="665" spans="1:14" s="544" customFormat="1" ht="16.5" customHeight="1">
      <c r="A665" s="16"/>
      <c r="B665" s="39"/>
      <c r="C665" s="537">
        <v>1</v>
      </c>
      <c r="D665" s="539" t="s">
        <v>273</v>
      </c>
      <c r="E665" s="540">
        <v>1</v>
      </c>
      <c r="F665" s="541">
        <v>11.93</v>
      </c>
      <c r="G665" s="541">
        <v>1.8</v>
      </c>
      <c r="H665" s="541">
        <v>0</v>
      </c>
      <c r="I665" s="545">
        <f t="shared" si="64"/>
        <v>21.47</v>
      </c>
      <c r="J665" s="553" t="s">
        <v>102</v>
      </c>
      <c r="K665" s="39"/>
      <c r="L665" s="208"/>
      <c r="M665" s="39"/>
      <c r="N665" s="536" t="s">
        <v>2318</v>
      </c>
    </row>
    <row r="666" spans="1:14" s="544" customFormat="1" ht="16.5" customHeight="1">
      <c r="A666" s="16"/>
      <c r="B666" s="39"/>
      <c r="C666" s="537">
        <v>1</v>
      </c>
      <c r="D666" s="539" t="s">
        <v>273</v>
      </c>
      <c r="E666" s="540">
        <v>1</v>
      </c>
      <c r="F666" s="541">
        <v>3.3</v>
      </c>
      <c r="G666" s="541">
        <v>1.4</v>
      </c>
      <c r="H666" s="541">
        <v>0</v>
      </c>
      <c r="I666" s="545">
        <f t="shared" si="64"/>
        <v>4.62</v>
      </c>
      <c r="J666" s="553" t="s">
        <v>102</v>
      </c>
      <c r="K666" s="39"/>
      <c r="L666" s="208"/>
      <c r="M666" s="39"/>
      <c r="N666" s="536" t="s">
        <v>2318</v>
      </c>
    </row>
    <row r="667" spans="1:14" s="544" customFormat="1" ht="16.5" customHeight="1">
      <c r="A667" s="16"/>
      <c r="B667" s="39"/>
      <c r="C667" s="537">
        <v>1</v>
      </c>
      <c r="D667" s="539" t="s">
        <v>273</v>
      </c>
      <c r="E667" s="540">
        <v>1</v>
      </c>
      <c r="F667" s="541">
        <v>1.45</v>
      </c>
      <c r="G667" s="541">
        <v>1.5</v>
      </c>
      <c r="H667" s="541">
        <v>0</v>
      </c>
      <c r="I667" s="545">
        <f t="shared" si="64"/>
        <v>2.1800000000000002</v>
      </c>
      <c r="J667" s="553" t="s">
        <v>102</v>
      </c>
      <c r="K667" s="39"/>
      <c r="L667" s="208"/>
      <c r="M667" s="39"/>
      <c r="N667" s="536" t="s">
        <v>2318</v>
      </c>
    </row>
    <row r="668" spans="1:14" s="544" customFormat="1" ht="16.5" customHeight="1">
      <c r="A668" s="16"/>
      <c r="B668" s="39"/>
      <c r="C668" s="537">
        <v>1</v>
      </c>
      <c r="D668" s="539" t="s">
        <v>273</v>
      </c>
      <c r="E668" s="540">
        <v>1</v>
      </c>
      <c r="F668" s="541">
        <v>1.45</v>
      </c>
      <c r="G668" s="541">
        <v>1.5</v>
      </c>
      <c r="H668" s="541">
        <v>0</v>
      </c>
      <c r="I668" s="545">
        <f t="shared" si="64"/>
        <v>2.1800000000000002</v>
      </c>
      <c r="J668" s="553" t="s">
        <v>102</v>
      </c>
      <c r="K668" s="39"/>
      <c r="L668" s="208"/>
      <c r="M668" s="39"/>
      <c r="N668" s="536" t="s">
        <v>2318</v>
      </c>
    </row>
    <row r="669" spans="1:14" s="544" customFormat="1" ht="16.5" customHeight="1">
      <c r="A669" s="16"/>
      <c r="B669" s="39"/>
      <c r="C669" s="537">
        <v>1</v>
      </c>
      <c r="D669" s="539" t="s">
        <v>273</v>
      </c>
      <c r="E669" s="540">
        <v>1</v>
      </c>
      <c r="F669" s="541">
        <v>4.9800000000000004</v>
      </c>
      <c r="G669" s="541">
        <v>8.6</v>
      </c>
      <c r="H669" s="541">
        <v>0</v>
      </c>
      <c r="I669" s="545">
        <f t="shared" si="64"/>
        <v>42.83</v>
      </c>
      <c r="J669" s="553" t="s">
        <v>102</v>
      </c>
      <c r="K669" s="39"/>
      <c r="L669" s="208"/>
      <c r="M669" s="39"/>
      <c r="N669" s="536" t="s">
        <v>2318</v>
      </c>
    </row>
    <row r="670" spans="1:14" s="544" customFormat="1" ht="16.5" customHeight="1">
      <c r="A670" s="16"/>
      <c r="B670" s="39"/>
      <c r="C670" s="537">
        <v>1</v>
      </c>
      <c r="D670" s="539" t="s">
        <v>273</v>
      </c>
      <c r="E670" s="540">
        <v>1</v>
      </c>
      <c r="F670" s="541">
        <v>5.45</v>
      </c>
      <c r="G670" s="541">
        <v>0.6</v>
      </c>
      <c r="H670" s="541">
        <v>0</v>
      </c>
      <c r="I670" s="545">
        <f t="shared" si="64"/>
        <v>3.27</v>
      </c>
      <c r="J670" s="553" t="s">
        <v>102</v>
      </c>
      <c r="K670" s="39"/>
      <c r="L670" s="208"/>
      <c r="M670" s="39"/>
      <c r="N670" s="536" t="s">
        <v>2318</v>
      </c>
    </row>
    <row r="671" spans="1:14" s="544" customFormat="1" ht="16.5" customHeight="1">
      <c r="A671" s="16"/>
      <c r="B671" s="39"/>
      <c r="C671" s="537">
        <v>1</v>
      </c>
      <c r="D671" s="539" t="s">
        <v>273</v>
      </c>
      <c r="E671" s="540">
        <v>1</v>
      </c>
      <c r="F671" s="541">
        <v>8.8000000000000007</v>
      </c>
      <c r="G671" s="541">
        <v>0.9</v>
      </c>
      <c r="H671" s="541">
        <v>0</v>
      </c>
      <c r="I671" s="545">
        <f t="shared" si="64"/>
        <v>7.92</v>
      </c>
      <c r="J671" s="553" t="s">
        <v>102</v>
      </c>
      <c r="K671" s="39"/>
      <c r="L671" s="208"/>
      <c r="M671" s="39"/>
      <c r="N671" s="536" t="s">
        <v>2318</v>
      </c>
    </row>
    <row r="672" spans="1:14" s="544" customFormat="1" ht="16.5" customHeight="1">
      <c r="A672" s="16"/>
      <c r="B672" s="39"/>
      <c r="C672" s="537">
        <v>1</v>
      </c>
      <c r="D672" s="539" t="s">
        <v>273</v>
      </c>
      <c r="E672" s="540">
        <v>1</v>
      </c>
      <c r="F672" s="541">
        <v>12</v>
      </c>
      <c r="G672" s="541">
        <v>0</v>
      </c>
      <c r="H672" s="541">
        <v>0.3</v>
      </c>
      <c r="I672" s="545">
        <f t="shared" si="64"/>
        <v>3.6</v>
      </c>
      <c r="J672" s="553" t="s">
        <v>102</v>
      </c>
      <c r="K672" s="39"/>
      <c r="L672" s="208"/>
      <c r="M672" s="39"/>
      <c r="N672" s="536" t="s">
        <v>2318</v>
      </c>
    </row>
    <row r="673" spans="1:14" s="544" customFormat="1" ht="16.5" customHeight="1">
      <c r="A673" s="16"/>
      <c r="B673" s="39"/>
      <c r="C673" s="537">
        <v>1</v>
      </c>
      <c r="D673" s="539" t="s">
        <v>273</v>
      </c>
      <c r="E673" s="540">
        <v>1</v>
      </c>
      <c r="F673" s="541">
        <v>9.25</v>
      </c>
      <c r="G673" s="541">
        <v>0.3</v>
      </c>
      <c r="H673" s="541">
        <v>0</v>
      </c>
      <c r="I673" s="545">
        <f t="shared" si="64"/>
        <v>2.78</v>
      </c>
      <c r="J673" s="553" t="s">
        <v>102</v>
      </c>
      <c r="K673" s="39"/>
      <c r="L673" s="208"/>
      <c r="M673" s="39"/>
      <c r="N673" s="536" t="s">
        <v>2318</v>
      </c>
    </row>
    <row r="674" spans="1:14" s="544" customFormat="1" ht="16.5" customHeight="1">
      <c r="A674" s="16"/>
      <c r="B674" s="39"/>
      <c r="C674" s="537">
        <v>1</v>
      </c>
      <c r="D674" s="539" t="s">
        <v>273</v>
      </c>
      <c r="E674" s="540">
        <v>6</v>
      </c>
      <c r="F674" s="541">
        <v>1.8</v>
      </c>
      <c r="G674" s="541">
        <v>0.6</v>
      </c>
      <c r="H674" s="541">
        <v>0</v>
      </c>
      <c r="I674" s="545">
        <f t="shared" si="64"/>
        <v>6.48</v>
      </c>
      <c r="J674" s="553" t="s">
        <v>102</v>
      </c>
      <c r="K674" s="39"/>
      <c r="L674" s="208"/>
      <c r="M674" s="39"/>
      <c r="N674" s="536" t="s">
        <v>2318</v>
      </c>
    </row>
    <row r="675" spans="1:14" s="544" customFormat="1" ht="16.5" customHeight="1">
      <c r="A675" s="16"/>
      <c r="B675" s="39"/>
      <c r="C675" s="537">
        <v>1</v>
      </c>
      <c r="D675" s="539" t="s">
        <v>273</v>
      </c>
      <c r="E675" s="540">
        <v>1</v>
      </c>
      <c r="F675" s="541">
        <v>5.2</v>
      </c>
      <c r="G675" s="541">
        <v>0.6</v>
      </c>
      <c r="H675" s="541">
        <v>0</v>
      </c>
      <c r="I675" s="545">
        <f t="shared" si="64"/>
        <v>3.12</v>
      </c>
      <c r="J675" s="553" t="s">
        <v>102</v>
      </c>
      <c r="K675" s="39"/>
      <c r="L675" s="208"/>
      <c r="M675" s="39"/>
      <c r="N675" s="536" t="s">
        <v>2318</v>
      </c>
    </row>
    <row r="676" spans="1:14" s="544" customFormat="1" ht="16.5" customHeight="1">
      <c r="A676" s="16"/>
      <c r="B676" s="39"/>
      <c r="C676" s="537">
        <v>2</v>
      </c>
      <c r="D676" s="539" t="s">
        <v>273</v>
      </c>
      <c r="E676" s="540">
        <v>2</v>
      </c>
      <c r="F676" s="541">
        <v>1.8</v>
      </c>
      <c r="G676" s="541">
        <v>0</v>
      </c>
      <c r="H676" s="541">
        <v>0.38</v>
      </c>
      <c r="I676" s="545">
        <f t="shared" si="64"/>
        <v>2.74</v>
      </c>
      <c r="J676" s="553" t="s">
        <v>102</v>
      </c>
      <c r="K676" s="39"/>
      <c r="L676" s="208"/>
      <c r="M676" s="39"/>
      <c r="N676" s="536" t="s">
        <v>2318</v>
      </c>
    </row>
    <row r="677" spans="1:14" s="544" customFormat="1" ht="16.5" customHeight="1">
      <c r="A677" s="16"/>
      <c r="B677" s="547"/>
      <c r="C677" s="548"/>
      <c r="D677" s="549"/>
      <c r="E677" s="550"/>
      <c r="F677" s="551"/>
      <c r="G677" s="551"/>
      <c r="H677" s="551"/>
      <c r="I677" s="552"/>
      <c r="J677" s="553"/>
      <c r="K677" s="39"/>
      <c r="L677" s="208"/>
      <c r="M677" s="39"/>
      <c r="N677" s="536" t="s">
        <v>2318</v>
      </c>
    </row>
    <row r="678" spans="1:14" ht="15.75">
      <c r="A678" s="16"/>
      <c r="B678" s="39"/>
      <c r="C678" s="554"/>
      <c r="D678" s="555"/>
      <c r="E678" s="540"/>
      <c r="F678" s="541"/>
      <c r="G678" s="40"/>
      <c r="H678" s="16"/>
      <c r="I678" s="552"/>
      <c r="J678" s="553" t="s">
        <v>102</v>
      </c>
      <c r="K678" s="10">
        <f>data!F3195</f>
        <v>351.17</v>
      </c>
      <c r="L678" s="208" t="s">
        <v>2318</v>
      </c>
      <c r="M678" s="9">
        <f>ROUND(I678*K678,0)</f>
        <v>0</v>
      </c>
      <c r="N678" s="536" t="s">
        <v>2318</v>
      </c>
    </row>
    <row r="679" spans="1:14" ht="42" customHeight="1">
      <c r="A679" s="16">
        <v>12</v>
      </c>
      <c r="B679" s="1858" t="s">
        <v>126</v>
      </c>
      <c r="C679" s="1858"/>
      <c r="D679" s="1858"/>
      <c r="E679" s="1858"/>
      <c r="F679" s="1858"/>
      <c r="G679" s="1858"/>
      <c r="H679" s="1858"/>
      <c r="I679" s="537"/>
      <c r="J679" s="538"/>
      <c r="K679" s="16"/>
      <c r="L679" s="208"/>
      <c r="M679" s="38"/>
      <c r="N679" s="536" t="s">
        <v>2218</v>
      </c>
    </row>
    <row r="680" spans="1:14" s="544" customFormat="1" ht="16.5" customHeight="1">
      <c r="A680" s="16"/>
      <c r="B680" s="39" t="s">
        <v>2853</v>
      </c>
      <c r="C680" s="566"/>
      <c r="D680" s="567"/>
      <c r="E680" s="568"/>
      <c r="F680" s="569"/>
      <c r="G680" s="569"/>
      <c r="H680" s="570"/>
      <c r="I680" s="571"/>
      <c r="J680" s="553"/>
      <c r="K680" s="39"/>
      <c r="L680" s="208"/>
      <c r="M680" s="39"/>
      <c r="N680" s="536" t="s">
        <v>2218</v>
      </c>
    </row>
    <row r="681" spans="1:14" s="544" customFormat="1" ht="16.5" customHeight="1">
      <c r="A681" s="16"/>
      <c r="B681" s="39" t="s">
        <v>2164</v>
      </c>
      <c r="C681" s="537">
        <v>1</v>
      </c>
      <c r="D681" s="539" t="s">
        <v>273</v>
      </c>
      <c r="E681" s="540">
        <v>1</v>
      </c>
      <c r="F681" s="541">
        <v>13.16</v>
      </c>
      <c r="G681" s="541">
        <v>0</v>
      </c>
      <c r="H681" s="541">
        <v>3.1</v>
      </c>
      <c r="I681" s="579">
        <f t="shared" ref="I681:I683" si="65">ROUND(IF(AND(F681:H681),C681*E681*F681*G681*H681,IF(AND(F681,G681),C681*E681*F681*G681,IF(AND(F681,H681),C681*E681*F681*H681,IF(AND(G681,H681),C681*E681*G681*H681,IF(F681,C681*E681*F681,IF(G681,C681*E681*G681,IF(H681,C681*E681*H681,C681*E681))))))),2)</f>
        <v>40.799999999999997</v>
      </c>
      <c r="J681" s="553" t="s">
        <v>102</v>
      </c>
      <c r="K681" s="39"/>
      <c r="L681" s="208"/>
      <c r="M681" s="39"/>
      <c r="N681" s="536" t="s">
        <v>2218</v>
      </c>
    </row>
    <row r="682" spans="1:14" s="544" customFormat="1" ht="16.5" customHeight="1">
      <c r="A682" s="16"/>
      <c r="B682" s="39" t="s">
        <v>1624</v>
      </c>
      <c r="C682" s="537">
        <v>1</v>
      </c>
      <c r="D682" s="539" t="s">
        <v>273</v>
      </c>
      <c r="E682" s="540">
        <v>1</v>
      </c>
      <c r="F682" s="541">
        <v>12.64</v>
      </c>
      <c r="G682" s="541">
        <v>0</v>
      </c>
      <c r="H682" s="541">
        <v>3.1</v>
      </c>
      <c r="I682" s="579">
        <f t="shared" si="65"/>
        <v>39.18</v>
      </c>
      <c r="J682" s="553" t="s">
        <v>102</v>
      </c>
      <c r="K682" s="39"/>
      <c r="L682" s="208"/>
      <c r="M682" s="39"/>
      <c r="N682" s="536" t="s">
        <v>2218</v>
      </c>
    </row>
    <row r="683" spans="1:14" s="544" customFormat="1" ht="16.5" customHeight="1">
      <c r="A683" s="16"/>
      <c r="B683" s="39" t="s">
        <v>1169</v>
      </c>
      <c r="C683" s="537">
        <v>1</v>
      </c>
      <c r="D683" s="539" t="s">
        <v>273</v>
      </c>
      <c r="E683" s="540">
        <v>1</v>
      </c>
      <c r="F683" s="541">
        <v>11.86</v>
      </c>
      <c r="G683" s="541">
        <v>0</v>
      </c>
      <c r="H683" s="541">
        <v>3.1</v>
      </c>
      <c r="I683" s="579">
        <f t="shared" si="65"/>
        <v>36.770000000000003</v>
      </c>
      <c r="J683" s="553" t="s">
        <v>102</v>
      </c>
      <c r="K683" s="39"/>
      <c r="L683" s="208"/>
      <c r="M683" s="39"/>
      <c r="N683" s="536" t="s">
        <v>2218</v>
      </c>
    </row>
    <row r="684" spans="1:14" s="544" customFormat="1" ht="16.5" customHeight="1">
      <c r="A684" s="16"/>
      <c r="B684" s="39" t="s">
        <v>2188</v>
      </c>
      <c r="C684" s="537">
        <v>1</v>
      </c>
      <c r="D684" s="539" t="s">
        <v>273</v>
      </c>
      <c r="E684" s="540">
        <v>1</v>
      </c>
      <c r="F684" s="541">
        <v>2.95</v>
      </c>
      <c r="G684" s="541">
        <v>0</v>
      </c>
      <c r="H684" s="541">
        <v>0.15</v>
      </c>
      <c r="I684" s="579">
        <f t="shared" ref="I684" si="66">-ROUND(IF(AND(F684:H684),C684*E684*F684*G684*H684,IF(AND(F684,G684),C684*E684*F684*G684,IF(AND(F684,H684),C684*E684*F684*H684,IF(AND(G684,H684),C684*E684*G684*H684,IF(F684,C684*E684*F684,IF(G684,C684*E684*G684,IF(H684,C684*E684*H684,C684*E684))))))),2)</f>
        <v>-0.44</v>
      </c>
      <c r="J684" s="553" t="s">
        <v>102</v>
      </c>
      <c r="K684" s="39"/>
      <c r="L684" s="208"/>
      <c r="M684" s="39"/>
      <c r="N684" s="536" t="s">
        <v>2218</v>
      </c>
    </row>
    <row r="685" spans="1:14" s="544" customFormat="1" ht="16.5" customHeight="1">
      <c r="A685" s="16"/>
      <c r="B685" s="547"/>
      <c r="C685" s="548"/>
      <c r="D685" s="549"/>
      <c r="E685" s="550"/>
      <c r="F685" s="551"/>
      <c r="G685" s="551"/>
      <c r="H685" s="551"/>
      <c r="I685" s="552"/>
      <c r="J685" s="553"/>
      <c r="K685" s="39"/>
      <c r="L685" s="208"/>
      <c r="M685" s="39"/>
      <c r="N685" s="536" t="s">
        <v>2218</v>
      </c>
    </row>
    <row r="686" spans="1:14" ht="15.75">
      <c r="A686" s="16"/>
      <c r="B686" s="39"/>
      <c r="C686" s="554"/>
      <c r="D686" s="555"/>
      <c r="E686" s="540"/>
      <c r="F686" s="541"/>
      <c r="G686" s="40"/>
      <c r="H686" s="16"/>
      <c r="I686" s="552"/>
      <c r="J686" s="553" t="s">
        <v>102</v>
      </c>
      <c r="K686" s="10">
        <f>data!F460</f>
        <v>265.42</v>
      </c>
      <c r="L686" s="208" t="s">
        <v>2218</v>
      </c>
      <c r="M686" s="9">
        <f>ROUND(I686*K686,0)</f>
        <v>0</v>
      </c>
      <c r="N686" s="536" t="s">
        <v>2218</v>
      </c>
    </row>
    <row r="687" spans="1:14" ht="42" customHeight="1">
      <c r="A687" s="16">
        <v>12</v>
      </c>
      <c r="B687" s="1858" t="s">
        <v>126</v>
      </c>
      <c r="C687" s="1858"/>
      <c r="D687" s="1858"/>
      <c r="E687" s="1858"/>
      <c r="F687" s="1858"/>
      <c r="G687" s="1858"/>
      <c r="H687" s="1858"/>
      <c r="I687" s="537"/>
      <c r="J687" s="538"/>
      <c r="K687" s="16"/>
      <c r="L687" s="208"/>
      <c r="M687" s="38"/>
      <c r="N687" s="536" t="s">
        <v>2306</v>
      </c>
    </row>
    <row r="688" spans="1:14" s="544" customFormat="1" ht="16.5" customHeight="1">
      <c r="A688" s="16"/>
      <c r="B688" s="39" t="s">
        <v>2853</v>
      </c>
      <c r="C688" s="566"/>
      <c r="D688" s="567"/>
      <c r="E688" s="568"/>
      <c r="F688" s="569"/>
      <c r="G688" s="569"/>
      <c r="H688" s="570"/>
      <c r="I688" s="571"/>
      <c r="J688" s="553"/>
      <c r="K688" s="39"/>
      <c r="L688" s="208"/>
      <c r="M688" s="39"/>
      <c r="N688" s="536" t="s">
        <v>2306</v>
      </c>
    </row>
    <row r="689" spans="1:14" s="544" customFormat="1" ht="16.5" customHeight="1">
      <c r="A689" s="16"/>
      <c r="B689" s="39" t="s">
        <v>2164</v>
      </c>
      <c r="C689" s="537">
        <v>1</v>
      </c>
      <c r="D689" s="539" t="s">
        <v>273</v>
      </c>
      <c r="E689" s="540">
        <v>1</v>
      </c>
      <c r="F689" s="541">
        <v>13.16</v>
      </c>
      <c r="G689" s="541">
        <v>0</v>
      </c>
      <c r="H689" s="541">
        <v>3.1</v>
      </c>
      <c r="I689" s="579">
        <f>ROUND(IF(AND(F689:H689),C689*E689*F689*G689*H689,IF(AND(F689,G689),C689*E689*F689*G689,IF(AND(F689,H689),C689*E689*F689*H689,IF(AND(G689,H689),C689*E689*G689*H689,IF(F689,C689*E689*F689,IF(G689,C689*E689*G689,IF(H689,C689*E689*H689,C689*E689))))))),2)</f>
        <v>40.799999999999997</v>
      </c>
      <c r="J689" s="553" t="s">
        <v>102</v>
      </c>
      <c r="K689" s="39"/>
      <c r="L689" s="208"/>
      <c r="M689" s="39"/>
      <c r="N689" s="536" t="s">
        <v>2306</v>
      </c>
    </row>
    <row r="690" spans="1:14" s="544" customFormat="1" ht="16.5" customHeight="1">
      <c r="A690" s="16"/>
      <c r="B690" s="39" t="s">
        <v>1624</v>
      </c>
      <c r="C690" s="537">
        <v>1</v>
      </c>
      <c r="D690" s="539" t="s">
        <v>273</v>
      </c>
      <c r="E690" s="540">
        <v>1</v>
      </c>
      <c r="F690" s="541">
        <v>12.64</v>
      </c>
      <c r="G690" s="541">
        <v>0</v>
      </c>
      <c r="H690" s="541">
        <v>3.1</v>
      </c>
      <c r="I690" s="579">
        <f>ROUND(IF(AND(F690:H690),C690*E690*F690*G690*H690,IF(AND(F690,G690),C690*E690*F690*G690,IF(AND(F690,H690),C690*E690*F690*H690,IF(AND(G690,H690),C690*E690*G690*H690,IF(F690,C690*E690*F690,IF(G690,C690*E690*G690,IF(H690,C690*E690*H690,C690*E690))))))),2)</f>
        <v>39.18</v>
      </c>
      <c r="J690" s="553" t="s">
        <v>102</v>
      </c>
      <c r="K690" s="39"/>
      <c r="L690" s="208"/>
      <c r="M690" s="39"/>
      <c r="N690" s="536" t="s">
        <v>2306</v>
      </c>
    </row>
    <row r="691" spans="1:14" s="544" customFormat="1" ht="16.5" customHeight="1">
      <c r="A691" s="16"/>
      <c r="B691" s="39" t="s">
        <v>1169</v>
      </c>
      <c r="C691" s="537">
        <v>1</v>
      </c>
      <c r="D691" s="539" t="s">
        <v>273</v>
      </c>
      <c r="E691" s="540">
        <v>1</v>
      </c>
      <c r="F691" s="541">
        <v>11.86</v>
      </c>
      <c r="G691" s="541">
        <v>0</v>
      </c>
      <c r="H691" s="541">
        <v>3.1</v>
      </c>
      <c r="I691" s="579">
        <f>ROUND(IF(AND(F691:H691),C691*E691*F691*G691*H691,IF(AND(F691,G691),C691*E691*F691*G691,IF(AND(F691,H691),C691*E691*F691*H691,IF(AND(G691,H691),C691*E691*G691*H691,IF(F691,C691*E691*F691,IF(G691,C691*E691*G691,IF(H691,C691*E691*H691,C691*E691))))))),2)</f>
        <v>36.770000000000003</v>
      </c>
      <c r="J691" s="553" t="s">
        <v>102</v>
      </c>
      <c r="K691" s="39"/>
      <c r="L691" s="208"/>
      <c r="M691" s="39"/>
      <c r="N691" s="536" t="s">
        <v>2306</v>
      </c>
    </row>
    <row r="692" spans="1:14" s="544" customFormat="1" ht="16.5" customHeight="1">
      <c r="A692" s="16"/>
      <c r="B692" s="39" t="s">
        <v>2188</v>
      </c>
      <c r="C692" s="537">
        <v>1</v>
      </c>
      <c r="D692" s="539" t="s">
        <v>273</v>
      </c>
      <c r="E692" s="540">
        <v>1</v>
      </c>
      <c r="F692" s="541">
        <v>2.95</v>
      </c>
      <c r="G692" s="541">
        <v>0</v>
      </c>
      <c r="H692" s="541">
        <v>0.15</v>
      </c>
      <c r="I692" s="579">
        <f>-ROUND(IF(AND(F692:H692),C692*E692*F692*G692*H692,IF(AND(F692,G692),C692*E692*F692*G692,IF(AND(F692,H692),C692*E692*F692*H692,IF(AND(G692,H692),C692*E692*G692*H692,IF(F692,C692*E692*F692,IF(G692,C692*E692*G692,IF(H692,C692*E692*H692,C692*E692))))))),2)</f>
        <v>-0.44</v>
      </c>
      <c r="J692" s="553" t="s">
        <v>102</v>
      </c>
      <c r="K692" s="39"/>
      <c r="L692" s="208"/>
      <c r="M692" s="39"/>
      <c r="N692" s="536" t="s">
        <v>2306</v>
      </c>
    </row>
    <row r="693" spans="1:14" s="544" customFormat="1" ht="16.5" customHeight="1">
      <c r="A693" s="16"/>
      <c r="B693" s="547"/>
      <c r="C693" s="548"/>
      <c r="D693" s="549"/>
      <c r="E693" s="550"/>
      <c r="F693" s="551"/>
      <c r="G693" s="551"/>
      <c r="H693" s="551"/>
      <c r="I693" s="552"/>
      <c r="J693" s="553"/>
      <c r="K693" s="39"/>
      <c r="L693" s="208"/>
      <c r="M693" s="39"/>
      <c r="N693" s="536" t="s">
        <v>2306</v>
      </c>
    </row>
    <row r="694" spans="1:14" ht="15.75">
      <c r="A694" s="16"/>
      <c r="B694" s="39"/>
      <c r="C694" s="554"/>
      <c r="D694" s="555"/>
      <c r="E694" s="540"/>
      <c r="F694" s="541"/>
      <c r="G694" s="40"/>
      <c r="H694" s="16"/>
      <c r="I694" s="552"/>
      <c r="J694" s="553" t="s">
        <v>102</v>
      </c>
      <c r="K694" s="10">
        <f>data!F1377</f>
        <v>286.25</v>
      </c>
      <c r="L694" s="208" t="s">
        <v>2306</v>
      </c>
      <c r="M694" s="9">
        <f>ROUND(I694*K694,0)</f>
        <v>0</v>
      </c>
      <c r="N694" s="536" t="s">
        <v>2306</v>
      </c>
    </row>
    <row r="695" spans="1:14" ht="42" customHeight="1">
      <c r="A695" s="16">
        <v>12</v>
      </c>
      <c r="B695" s="1858" t="s">
        <v>126</v>
      </c>
      <c r="C695" s="1858"/>
      <c r="D695" s="1858"/>
      <c r="E695" s="1858"/>
      <c r="F695" s="1858"/>
      <c r="G695" s="1858"/>
      <c r="H695" s="1858"/>
      <c r="I695" s="537"/>
      <c r="J695" s="538"/>
      <c r="K695" s="16"/>
      <c r="L695" s="208"/>
      <c r="M695" s="38"/>
      <c r="N695" s="536" t="s">
        <v>2317</v>
      </c>
    </row>
    <row r="696" spans="1:14" s="544" customFormat="1" ht="16.5" customHeight="1">
      <c r="A696" s="16"/>
      <c r="B696" s="39" t="s">
        <v>2853</v>
      </c>
      <c r="C696" s="566"/>
      <c r="D696" s="567"/>
      <c r="E696" s="568"/>
      <c r="F696" s="569"/>
      <c r="G696" s="569"/>
      <c r="H696" s="570"/>
      <c r="I696" s="571"/>
      <c r="J696" s="553"/>
      <c r="K696" s="39"/>
      <c r="L696" s="208"/>
      <c r="M696" s="39"/>
      <c r="N696" s="536" t="s">
        <v>2317</v>
      </c>
    </row>
    <row r="697" spans="1:14" s="544" customFormat="1" ht="16.5" customHeight="1">
      <c r="A697" s="16"/>
      <c r="B697" s="39" t="s">
        <v>2164</v>
      </c>
      <c r="C697" s="537">
        <v>1</v>
      </c>
      <c r="D697" s="539" t="s">
        <v>273</v>
      </c>
      <c r="E697" s="540">
        <v>1</v>
      </c>
      <c r="F697" s="541">
        <v>13.16</v>
      </c>
      <c r="G697" s="541">
        <v>0</v>
      </c>
      <c r="H697" s="541">
        <v>3.1</v>
      </c>
      <c r="I697" s="579">
        <f>ROUND(IF(AND(F697:H697),C697*E697*F697*G697*H697,IF(AND(F697,G697),C697*E697*F697*G697,IF(AND(F697,H697),C697*E697*F697*H697,IF(AND(G697,H697),C697*E697*G697*H697,IF(F697,C697*E697*F697,IF(G697,C697*E697*G697,IF(H697,C697*E697*H697,C697*E697))))))),2)</f>
        <v>40.799999999999997</v>
      </c>
      <c r="J697" s="553" t="s">
        <v>102</v>
      </c>
      <c r="K697" s="39"/>
      <c r="L697" s="208"/>
      <c r="M697" s="39"/>
      <c r="N697" s="536" t="s">
        <v>2317</v>
      </c>
    </row>
    <row r="698" spans="1:14" s="544" customFormat="1" ht="16.5" customHeight="1">
      <c r="A698" s="16"/>
      <c r="B698" s="39" t="s">
        <v>1624</v>
      </c>
      <c r="C698" s="537">
        <v>1</v>
      </c>
      <c r="D698" s="539" t="s">
        <v>273</v>
      </c>
      <c r="E698" s="540">
        <v>1</v>
      </c>
      <c r="F698" s="541">
        <v>12.64</v>
      </c>
      <c r="G698" s="541">
        <v>0</v>
      </c>
      <c r="H698" s="541">
        <v>3.1</v>
      </c>
      <c r="I698" s="579">
        <f>ROUND(IF(AND(F698:H698),C698*E698*F698*G698*H698,IF(AND(F698,G698),C698*E698*F698*G698,IF(AND(F698,H698),C698*E698*F698*H698,IF(AND(G698,H698),C698*E698*G698*H698,IF(F698,C698*E698*F698,IF(G698,C698*E698*G698,IF(H698,C698*E698*H698,C698*E698))))))),2)</f>
        <v>39.18</v>
      </c>
      <c r="J698" s="553" t="s">
        <v>102</v>
      </c>
      <c r="K698" s="39"/>
      <c r="L698" s="208"/>
      <c r="M698" s="39"/>
      <c r="N698" s="536" t="s">
        <v>2317</v>
      </c>
    </row>
    <row r="699" spans="1:14" s="544" customFormat="1" ht="16.5" customHeight="1">
      <c r="A699" s="16"/>
      <c r="B699" s="39" t="s">
        <v>1169</v>
      </c>
      <c r="C699" s="537">
        <v>1</v>
      </c>
      <c r="D699" s="539" t="s">
        <v>273</v>
      </c>
      <c r="E699" s="540">
        <v>1</v>
      </c>
      <c r="F699" s="541">
        <v>11.86</v>
      </c>
      <c r="G699" s="541">
        <v>0</v>
      </c>
      <c r="H699" s="541">
        <v>3.1</v>
      </c>
      <c r="I699" s="579">
        <f>ROUND(IF(AND(F699:H699),C699*E699*F699*G699*H699,IF(AND(F699,G699),C699*E699*F699*G699,IF(AND(F699,H699),C699*E699*F699*H699,IF(AND(G699,H699),C699*E699*G699*H699,IF(F699,C699*E699*F699,IF(G699,C699*E699*G699,IF(H699,C699*E699*H699,C699*E699))))))),2)</f>
        <v>36.770000000000003</v>
      </c>
      <c r="J699" s="553" t="s">
        <v>102</v>
      </c>
      <c r="K699" s="39"/>
      <c r="L699" s="208"/>
      <c r="M699" s="39"/>
      <c r="N699" s="536" t="s">
        <v>2317</v>
      </c>
    </row>
    <row r="700" spans="1:14" s="544" customFormat="1" ht="16.5" customHeight="1">
      <c r="A700" s="16"/>
      <c r="B700" s="39" t="s">
        <v>2188</v>
      </c>
      <c r="C700" s="537">
        <v>1</v>
      </c>
      <c r="D700" s="539" t="s">
        <v>273</v>
      </c>
      <c r="E700" s="540">
        <v>1</v>
      </c>
      <c r="F700" s="541">
        <v>2.95</v>
      </c>
      <c r="G700" s="541">
        <v>0</v>
      </c>
      <c r="H700" s="541">
        <v>0.15</v>
      </c>
      <c r="I700" s="579">
        <f>-ROUND(IF(AND(F700:H700),C700*E700*F700*G700*H700,IF(AND(F700,G700),C700*E700*F700*G700,IF(AND(F700,H700),C700*E700*F700*H700,IF(AND(G700,H700),C700*E700*G700*H700,IF(F700,C700*E700*F700,IF(G700,C700*E700*G700,IF(H700,C700*E700*H700,C700*E700))))))),2)</f>
        <v>-0.44</v>
      </c>
      <c r="J700" s="553" t="s">
        <v>102</v>
      </c>
      <c r="K700" s="39"/>
      <c r="L700" s="208"/>
      <c r="M700" s="39"/>
      <c r="N700" s="536" t="s">
        <v>2317</v>
      </c>
    </row>
    <row r="701" spans="1:14" s="544" customFormat="1" ht="16.5" customHeight="1">
      <c r="A701" s="16"/>
      <c r="B701" s="547"/>
      <c r="C701" s="548"/>
      <c r="D701" s="549"/>
      <c r="E701" s="550"/>
      <c r="F701" s="551"/>
      <c r="G701" s="551"/>
      <c r="H701" s="551"/>
      <c r="I701" s="552"/>
      <c r="J701" s="553"/>
      <c r="K701" s="39"/>
      <c r="L701" s="208"/>
      <c r="M701" s="39"/>
      <c r="N701" s="536" t="s">
        <v>2317</v>
      </c>
    </row>
    <row r="702" spans="1:14" ht="15.75">
      <c r="A702" s="16"/>
      <c r="B702" s="39"/>
      <c r="C702" s="554"/>
      <c r="D702" s="555"/>
      <c r="E702" s="540"/>
      <c r="F702" s="541"/>
      <c r="G702" s="40"/>
      <c r="H702" s="16"/>
      <c r="I702" s="552"/>
      <c r="J702" s="553" t="s">
        <v>102</v>
      </c>
      <c r="K702" s="10">
        <f>data!F2294</f>
        <v>304.16000000000003</v>
      </c>
      <c r="L702" s="208" t="s">
        <v>2317</v>
      </c>
      <c r="M702" s="9">
        <f>ROUND(I702*K702,0)</f>
        <v>0</v>
      </c>
      <c r="N702" s="536" t="s">
        <v>2317</v>
      </c>
    </row>
    <row r="703" spans="1:14" ht="42" customHeight="1">
      <c r="A703" s="16">
        <v>12</v>
      </c>
      <c r="B703" s="1858" t="s">
        <v>126</v>
      </c>
      <c r="C703" s="1858"/>
      <c r="D703" s="1858"/>
      <c r="E703" s="1858"/>
      <c r="F703" s="1858"/>
      <c r="G703" s="1858"/>
      <c r="H703" s="1858"/>
      <c r="I703" s="537"/>
      <c r="J703" s="538"/>
      <c r="K703" s="16"/>
      <c r="L703" s="208"/>
      <c r="M703" s="38"/>
      <c r="N703" s="536" t="s">
        <v>2318</v>
      </c>
    </row>
    <row r="704" spans="1:14" s="544" customFormat="1" ht="16.5" customHeight="1">
      <c r="A704" s="16"/>
      <c r="B704" s="39" t="s">
        <v>2853</v>
      </c>
      <c r="C704" s="566"/>
      <c r="D704" s="567"/>
      <c r="E704" s="568"/>
      <c r="F704" s="569"/>
      <c r="G704" s="569"/>
      <c r="H704" s="570"/>
      <c r="I704" s="571"/>
      <c r="J704" s="553"/>
      <c r="K704" s="39"/>
      <c r="L704" s="208"/>
      <c r="M704" s="39"/>
      <c r="N704" s="536" t="s">
        <v>2318</v>
      </c>
    </row>
    <row r="705" spans="1:14" s="544" customFormat="1" ht="16.5" customHeight="1">
      <c r="A705" s="16"/>
      <c r="B705" s="39" t="s">
        <v>2164</v>
      </c>
      <c r="C705" s="537">
        <v>1</v>
      </c>
      <c r="D705" s="539" t="s">
        <v>273</v>
      </c>
      <c r="E705" s="540">
        <v>1</v>
      </c>
      <c r="F705" s="541">
        <v>13.16</v>
      </c>
      <c r="G705" s="541">
        <v>0</v>
      </c>
      <c r="H705" s="541">
        <v>3.1</v>
      </c>
      <c r="I705" s="579">
        <f>ROUND(IF(AND(F705:H705),C705*E705*F705*G705*H705,IF(AND(F705,G705),C705*E705*F705*G705,IF(AND(F705,H705),C705*E705*F705*H705,IF(AND(G705,H705),C705*E705*G705*H705,IF(F705,C705*E705*F705,IF(G705,C705*E705*G705,IF(H705,C705*E705*H705,C705*E705))))))),2)</f>
        <v>40.799999999999997</v>
      </c>
      <c r="J705" s="553" t="s">
        <v>102</v>
      </c>
      <c r="K705" s="39"/>
      <c r="L705" s="208"/>
      <c r="M705" s="39"/>
      <c r="N705" s="536" t="s">
        <v>2318</v>
      </c>
    </row>
    <row r="706" spans="1:14" s="544" customFormat="1" ht="16.5" customHeight="1">
      <c r="A706" s="16"/>
      <c r="B706" s="39" t="s">
        <v>1624</v>
      </c>
      <c r="C706" s="537">
        <v>1</v>
      </c>
      <c r="D706" s="539" t="s">
        <v>273</v>
      </c>
      <c r="E706" s="540">
        <v>1</v>
      </c>
      <c r="F706" s="541">
        <v>12.64</v>
      </c>
      <c r="G706" s="541">
        <v>0</v>
      </c>
      <c r="H706" s="541">
        <v>3.1</v>
      </c>
      <c r="I706" s="579">
        <f>ROUND(IF(AND(F706:H706),C706*E706*F706*G706*H706,IF(AND(F706,G706),C706*E706*F706*G706,IF(AND(F706,H706),C706*E706*F706*H706,IF(AND(G706,H706),C706*E706*G706*H706,IF(F706,C706*E706*F706,IF(G706,C706*E706*G706,IF(H706,C706*E706*H706,C706*E706))))))),2)</f>
        <v>39.18</v>
      </c>
      <c r="J706" s="553" t="s">
        <v>102</v>
      </c>
      <c r="K706" s="39"/>
      <c r="L706" s="208"/>
      <c r="M706" s="39"/>
      <c r="N706" s="536" t="s">
        <v>2318</v>
      </c>
    </row>
    <row r="707" spans="1:14" s="544" customFormat="1" ht="16.5" customHeight="1">
      <c r="A707" s="16"/>
      <c r="B707" s="39" t="s">
        <v>1169</v>
      </c>
      <c r="C707" s="537">
        <v>1</v>
      </c>
      <c r="D707" s="539" t="s">
        <v>273</v>
      </c>
      <c r="E707" s="540">
        <v>1</v>
      </c>
      <c r="F707" s="541">
        <v>11.86</v>
      </c>
      <c r="G707" s="541">
        <v>0</v>
      </c>
      <c r="H707" s="541">
        <v>3.1</v>
      </c>
      <c r="I707" s="579">
        <f>ROUND(IF(AND(F707:H707),C707*E707*F707*G707*H707,IF(AND(F707,G707),C707*E707*F707*G707,IF(AND(F707,H707),C707*E707*F707*H707,IF(AND(G707,H707),C707*E707*G707*H707,IF(F707,C707*E707*F707,IF(G707,C707*E707*G707,IF(H707,C707*E707*H707,C707*E707))))))),2)</f>
        <v>36.770000000000003</v>
      </c>
      <c r="J707" s="553" t="s">
        <v>102</v>
      </c>
      <c r="K707" s="39"/>
      <c r="L707" s="208"/>
      <c r="M707" s="39"/>
      <c r="N707" s="536" t="s">
        <v>2318</v>
      </c>
    </row>
    <row r="708" spans="1:14" s="544" customFormat="1" ht="16.5" customHeight="1">
      <c r="A708" s="16"/>
      <c r="B708" s="39" t="s">
        <v>2188</v>
      </c>
      <c r="C708" s="537">
        <v>1</v>
      </c>
      <c r="D708" s="539" t="s">
        <v>273</v>
      </c>
      <c r="E708" s="540">
        <v>1</v>
      </c>
      <c r="F708" s="541">
        <v>2.95</v>
      </c>
      <c r="G708" s="541">
        <v>0</v>
      </c>
      <c r="H708" s="541">
        <v>0.15</v>
      </c>
      <c r="I708" s="579">
        <f>-ROUND(IF(AND(F708:H708),C708*E708*F708*G708*H708,IF(AND(F708,G708),C708*E708*F708*G708,IF(AND(F708,H708),C708*E708*F708*H708,IF(AND(G708,H708),C708*E708*G708*H708,IF(F708,C708*E708*F708,IF(G708,C708*E708*G708,IF(H708,C708*E708*H708,C708*E708))))))),2)</f>
        <v>-0.44</v>
      </c>
      <c r="J708" s="553" t="s">
        <v>102</v>
      </c>
      <c r="K708" s="39"/>
      <c r="L708" s="208"/>
      <c r="M708" s="39"/>
      <c r="N708" s="536" t="s">
        <v>2318</v>
      </c>
    </row>
    <row r="709" spans="1:14" s="544" customFormat="1" ht="16.5" customHeight="1">
      <c r="A709" s="16"/>
      <c r="B709" s="547"/>
      <c r="C709" s="548"/>
      <c r="D709" s="549"/>
      <c r="E709" s="550"/>
      <c r="F709" s="551"/>
      <c r="G709" s="551"/>
      <c r="H709" s="551"/>
      <c r="I709" s="552"/>
      <c r="J709" s="553"/>
      <c r="K709" s="39"/>
      <c r="L709" s="208"/>
      <c r="M709" s="39"/>
      <c r="N709" s="536" t="s">
        <v>2318</v>
      </c>
    </row>
    <row r="710" spans="1:14" ht="15.75">
      <c r="A710" s="16"/>
      <c r="B710" s="39"/>
      <c r="C710" s="554"/>
      <c r="D710" s="555"/>
      <c r="E710" s="540"/>
      <c r="F710" s="541"/>
      <c r="G710" s="40"/>
      <c r="H710" s="16"/>
      <c r="I710" s="552"/>
      <c r="J710" s="553" t="s">
        <v>102</v>
      </c>
      <c r="K710" s="10">
        <f>data!F3211</f>
        <v>323.04000000000002</v>
      </c>
      <c r="L710" s="208" t="s">
        <v>2318</v>
      </c>
      <c r="M710" s="9">
        <f>ROUND(I710*K710,0)</f>
        <v>0</v>
      </c>
      <c r="N710" s="536" t="s">
        <v>2318</v>
      </c>
    </row>
    <row r="711" spans="1:14" ht="52.5" customHeight="1">
      <c r="A711" s="16">
        <v>13</v>
      </c>
      <c r="B711" s="1858" t="s">
        <v>593</v>
      </c>
      <c r="C711" s="1858"/>
      <c r="D711" s="1858"/>
      <c r="E711" s="1858"/>
      <c r="F711" s="1858"/>
      <c r="G711" s="1858"/>
      <c r="H711" s="1858"/>
      <c r="I711" s="537"/>
      <c r="J711" s="538"/>
      <c r="K711" s="16"/>
      <c r="L711" s="208"/>
      <c r="M711" s="38"/>
      <c r="N711" s="536" t="s">
        <v>2218</v>
      </c>
    </row>
    <row r="712" spans="1:14" s="544" customFormat="1" ht="16.5" customHeight="1">
      <c r="A712" s="16"/>
      <c r="B712" s="39" t="s">
        <v>2858</v>
      </c>
      <c r="C712" s="566"/>
      <c r="D712" s="567"/>
      <c r="E712" s="568"/>
      <c r="F712" s="569"/>
      <c r="G712" s="569"/>
      <c r="H712" s="570"/>
      <c r="I712" s="571"/>
      <c r="J712" s="553"/>
      <c r="K712" s="39"/>
      <c r="L712" s="208"/>
      <c r="M712" s="39"/>
      <c r="N712" s="536" t="s">
        <v>2218</v>
      </c>
    </row>
    <row r="713" spans="1:14" s="544" customFormat="1" ht="15.75">
      <c r="A713" s="16"/>
      <c r="B713" s="39" t="s">
        <v>2167</v>
      </c>
      <c r="C713" s="537">
        <v>1</v>
      </c>
      <c r="D713" s="539" t="s">
        <v>273</v>
      </c>
      <c r="E713" s="540">
        <v>1</v>
      </c>
      <c r="F713" s="541">
        <v>12.475</v>
      </c>
      <c r="G713" s="541">
        <v>0</v>
      </c>
      <c r="H713" s="541">
        <v>3.1</v>
      </c>
      <c r="I713" s="545">
        <f t="shared" ref="I713" si="67">ROUND(IF(AND(F713:H713),C713*E713*F713*G713*H713,IF(AND(F713,G713),C713*E713*F713*G713,IF(AND(F713,H713),C713*E713*F713*H713,IF(AND(G713,H713),C713*E713*G713*H713,IF(F713,C713*E713*F713,IF(G713,C713*E713*G713,IF(H713,C713*E713*H713,C713*E713))))))),2)</f>
        <v>38.67</v>
      </c>
      <c r="J713" s="553" t="s">
        <v>102</v>
      </c>
      <c r="K713" s="39"/>
      <c r="L713" s="208"/>
      <c r="M713" s="39"/>
      <c r="N713" s="536" t="s">
        <v>2218</v>
      </c>
    </row>
    <row r="714" spans="1:14" s="544" customFormat="1" ht="15.75">
      <c r="A714" s="16"/>
      <c r="B714" s="39" t="s">
        <v>1547</v>
      </c>
      <c r="C714" s="537">
        <v>1</v>
      </c>
      <c r="D714" s="539" t="s">
        <v>273</v>
      </c>
      <c r="E714" s="540">
        <v>1</v>
      </c>
      <c r="F714" s="541">
        <v>8.84</v>
      </c>
      <c r="G714" s="541">
        <v>0</v>
      </c>
      <c r="H714" s="541">
        <v>3.1</v>
      </c>
      <c r="I714" s="545">
        <f>ROUND(IF(AND(F714:H714),C714*E714*F714*G714*H714,IF(AND(F714,G714),C714*E714*F714*G714,IF(AND(F714,H714),C714*E714*F714*H714,IF(AND(G714,H714),C714*E714*G714*H714,IF(F714,C714*E714*F714,IF(G714,C714*E714*G714,IF(H714,C714*E714*H714,C714*E714))))))),2)</f>
        <v>27.4</v>
      </c>
      <c r="J714" s="553" t="s">
        <v>102</v>
      </c>
      <c r="K714" s="39"/>
      <c r="L714" s="208"/>
      <c r="M714" s="39"/>
      <c r="N714" s="536" t="s">
        <v>2218</v>
      </c>
    </row>
    <row r="715" spans="1:14" s="544" customFormat="1" ht="15.75">
      <c r="A715" s="16"/>
      <c r="B715" s="39" t="s">
        <v>2168</v>
      </c>
      <c r="C715" s="537">
        <v>1</v>
      </c>
      <c r="D715" s="539" t="s">
        <v>273</v>
      </c>
      <c r="E715" s="540">
        <v>6</v>
      </c>
      <c r="F715" s="541">
        <v>1.5</v>
      </c>
      <c r="G715" s="541">
        <v>0</v>
      </c>
      <c r="H715" s="541">
        <v>1.5</v>
      </c>
      <c r="I715" s="545">
        <f>-ROUND(IF(AND(F715:H715),C715*E715*F715*G715*H715,IF(AND(F715,G715),C715*E715*F715*G715,IF(AND(F715,H715),C715*E715*F715*H715,IF(AND(G715,H715),C715*E715*G715*H715,IF(F715,C715*E715*F715,IF(G715,C715*E715*G715,IF(H715,C715*E715*H715,C715*E715))))))),2)</f>
        <v>-13.5</v>
      </c>
      <c r="J715" s="553" t="s">
        <v>102</v>
      </c>
      <c r="K715" s="39"/>
      <c r="L715" s="208"/>
      <c r="M715" s="39"/>
      <c r="N715" s="536" t="s">
        <v>2218</v>
      </c>
    </row>
    <row r="716" spans="1:14" s="544" customFormat="1" ht="15.75">
      <c r="A716" s="16"/>
      <c r="B716" s="39" t="s">
        <v>2141</v>
      </c>
      <c r="C716" s="537">
        <v>1</v>
      </c>
      <c r="D716" s="539" t="s">
        <v>273</v>
      </c>
      <c r="E716" s="540">
        <v>10</v>
      </c>
      <c r="F716" s="541">
        <v>0.6</v>
      </c>
      <c r="G716" s="541">
        <v>0</v>
      </c>
      <c r="H716" s="541">
        <v>0.45</v>
      </c>
      <c r="I716" s="545">
        <f t="shared" ref="I716" si="68">-ROUND(IF(AND(F716:H716),C716*E716*F716*G716*H716,IF(AND(F716,G716),C716*E716*F716*G716,IF(AND(F716,H716),C716*E716*F716*H716,IF(AND(G716,H716),C716*E716*G716*H716,IF(F716,C716*E716*F716,IF(G716,C716*E716*G716,IF(H716,C716*E716*H716,C716*E716))))))),2)</f>
        <v>-2.7</v>
      </c>
      <c r="J716" s="553" t="s">
        <v>102</v>
      </c>
      <c r="K716" s="39"/>
      <c r="L716" s="208"/>
      <c r="M716" s="39"/>
      <c r="N716" s="536" t="s">
        <v>2218</v>
      </c>
    </row>
    <row r="717" spans="1:14" s="544" customFormat="1" ht="16.5" customHeight="1">
      <c r="A717" s="16"/>
      <c r="B717" s="547"/>
      <c r="C717" s="548"/>
      <c r="D717" s="549"/>
      <c r="E717" s="550"/>
      <c r="F717" s="551"/>
      <c r="G717" s="551"/>
      <c r="H717" s="551"/>
      <c r="I717" s="552"/>
      <c r="J717" s="553"/>
      <c r="K717" s="39"/>
      <c r="L717" s="208"/>
      <c r="M717" s="39"/>
      <c r="N717" s="536" t="s">
        <v>2218</v>
      </c>
    </row>
    <row r="718" spans="1:14" ht="15.75">
      <c r="A718" s="16"/>
      <c r="B718" s="39"/>
      <c r="C718" s="554"/>
      <c r="D718" s="555"/>
      <c r="E718" s="540"/>
      <c r="F718" s="541"/>
      <c r="G718" s="40"/>
      <c r="H718" s="16"/>
      <c r="I718" s="552"/>
      <c r="J718" s="553" t="s">
        <v>102</v>
      </c>
      <c r="K718" s="10">
        <f>data!F476</f>
        <v>283.27999999999997</v>
      </c>
      <c r="L718" s="208" t="s">
        <v>2218</v>
      </c>
      <c r="M718" s="9">
        <f>ROUND(I718*K718,0)</f>
        <v>0</v>
      </c>
      <c r="N718" s="536" t="s">
        <v>2218</v>
      </c>
    </row>
    <row r="719" spans="1:14" ht="52.5" customHeight="1">
      <c r="A719" s="16">
        <v>13</v>
      </c>
      <c r="B719" s="1858" t="s">
        <v>593</v>
      </c>
      <c r="C719" s="1858"/>
      <c r="D719" s="1858"/>
      <c r="E719" s="1858"/>
      <c r="F719" s="1858"/>
      <c r="G719" s="1858"/>
      <c r="H719" s="1858"/>
      <c r="I719" s="537"/>
      <c r="J719" s="538"/>
      <c r="K719" s="16"/>
      <c r="L719" s="208"/>
      <c r="M719" s="38"/>
      <c r="N719" s="536" t="s">
        <v>2306</v>
      </c>
    </row>
    <row r="720" spans="1:14" s="544" customFormat="1" ht="16.5" customHeight="1">
      <c r="A720" s="16"/>
      <c r="B720" s="39" t="s">
        <v>2858</v>
      </c>
      <c r="C720" s="566"/>
      <c r="D720" s="567"/>
      <c r="E720" s="568"/>
      <c r="F720" s="569"/>
      <c r="G720" s="569"/>
      <c r="H720" s="570"/>
      <c r="I720" s="571"/>
      <c r="J720" s="553"/>
      <c r="K720" s="39"/>
      <c r="L720" s="208"/>
      <c r="M720" s="39"/>
      <c r="N720" s="536" t="s">
        <v>2306</v>
      </c>
    </row>
    <row r="721" spans="1:14" s="544" customFormat="1" ht="15.75">
      <c r="A721" s="16"/>
      <c r="B721" s="39" t="s">
        <v>2167</v>
      </c>
      <c r="C721" s="537">
        <v>1</v>
      </c>
      <c r="D721" s="539" t="s">
        <v>273</v>
      </c>
      <c r="E721" s="540">
        <v>1</v>
      </c>
      <c r="F721" s="541">
        <v>12.475</v>
      </c>
      <c r="G721" s="541">
        <v>0</v>
      </c>
      <c r="H721" s="541">
        <v>3.1</v>
      </c>
      <c r="I721" s="545">
        <f>ROUND(IF(AND(F721:H721),C721*E721*F721*G721*H721,IF(AND(F721,G721),C721*E721*F721*G721,IF(AND(F721,H721),C721*E721*F721*H721,IF(AND(G721,H721),C721*E721*G721*H721,IF(F721,C721*E721*F721,IF(G721,C721*E721*G721,IF(H721,C721*E721*H721,C721*E721))))))),2)</f>
        <v>38.67</v>
      </c>
      <c r="J721" s="553" t="s">
        <v>102</v>
      </c>
      <c r="K721" s="39"/>
      <c r="L721" s="208"/>
      <c r="M721" s="39"/>
      <c r="N721" s="536" t="s">
        <v>2306</v>
      </c>
    </row>
    <row r="722" spans="1:14" s="544" customFormat="1" ht="15.75">
      <c r="A722" s="16"/>
      <c r="B722" s="39" t="s">
        <v>1547</v>
      </c>
      <c r="C722" s="537">
        <v>1</v>
      </c>
      <c r="D722" s="539" t="s">
        <v>273</v>
      </c>
      <c r="E722" s="540">
        <v>1</v>
      </c>
      <c r="F722" s="541">
        <v>8.84</v>
      </c>
      <c r="G722" s="541">
        <v>0</v>
      </c>
      <c r="H722" s="541">
        <v>3.1</v>
      </c>
      <c r="I722" s="545">
        <f>ROUND(IF(AND(F722:H722),C722*E722*F722*G722*H722,IF(AND(F722,G722),C722*E722*F722*G722,IF(AND(F722,H722),C722*E722*F722*H722,IF(AND(G722,H722),C722*E722*G722*H722,IF(F722,C722*E722*F722,IF(G722,C722*E722*G722,IF(H722,C722*E722*H722,C722*E722))))))),2)</f>
        <v>27.4</v>
      </c>
      <c r="J722" s="553" t="s">
        <v>102</v>
      </c>
      <c r="K722" s="39"/>
      <c r="L722" s="208"/>
      <c r="M722" s="39"/>
      <c r="N722" s="536" t="s">
        <v>2306</v>
      </c>
    </row>
    <row r="723" spans="1:14" s="544" customFormat="1" ht="15.75">
      <c r="A723" s="16"/>
      <c r="B723" s="39" t="s">
        <v>2168</v>
      </c>
      <c r="C723" s="537">
        <v>1</v>
      </c>
      <c r="D723" s="539" t="s">
        <v>273</v>
      </c>
      <c r="E723" s="540">
        <v>6</v>
      </c>
      <c r="F723" s="541">
        <v>1.5</v>
      </c>
      <c r="G723" s="541">
        <v>0</v>
      </c>
      <c r="H723" s="541">
        <v>1.5</v>
      </c>
      <c r="I723" s="545">
        <f>-ROUND(IF(AND(F723:H723),C723*E723*F723*G723*H723,IF(AND(F723,G723),C723*E723*F723*G723,IF(AND(F723,H723),C723*E723*F723*H723,IF(AND(G723,H723),C723*E723*G723*H723,IF(F723,C723*E723*F723,IF(G723,C723*E723*G723,IF(H723,C723*E723*H723,C723*E723))))))),2)</f>
        <v>-13.5</v>
      </c>
      <c r="J723" s="553" t="s">
        <v>102</v>
      </c>
      <c r="K723" s="39"/>
      <c r="L723" s="208"/>
      <c r="M723" s="39"/>
      <c r="N723" s="536" t="s">
        <v>2306</v>
      </c>
    </row>
    <row r="724" spans="1:14" s="544" customFormat="1" ht="15.75">
      <c r="A724" s="16"/>
      <c r="B724" s="39" t="s">
        <v>2141</v>
      </c>
      <c r="C724" s="537">
        <v>1</v>
      </c>
      <c r="D724" s="539" t="s">
        <v>273</v>
      </c>
      <c r="E724" s="540">
        <v>10</v>
      </c>
      <c r="F724" s="541">
        <v>0.6</v>
      </c>
      <c r="G724" s="541">
        <v>0</v>
      </c>
      <c r="H724" s="541">
        <v>0.45</v>
      </c>
      <c r="I724" s="545">
        <f>-ROUND(IF(AND(F724:H724),C724*E724*F724*G724*H724,IF(AND(F724,G724),C724*E724*F724*G724,IF(AND(F724,H724),C724*E724*F724*H724,IF(AND(G724,H724),C724*E724*G724*H724,IF(F724,C724*E724*F724,IF(G724,C724*E724*G724,IF(H724,C724*E724*H724,C724*E724))))))),2)</f>
        <v>-2.7</v>
      </c>
      <c r="J724" s="553" t="s">
        <v>102</v>
      </c>
      <c r="K724" s="39"/>
      <c r="L724" s="208"/>
      <c r="M724" s="39"/>
      <c r="N724" s="536" t="s">
        <v>2306</v>
      </c>
    </row>
    <row r="725" spans="1:14" s="544" customFormat="1" ht="16.5" customHeight="1">
      <c r="A725" s="16"/>
      <c r="B725" s="547"/>
      <c r="C725" s="548"/>
      <c r="D725" s="549"/>
      <c r="E725" s="550"/>
      <c r="F725" s="551"/>
      <c r="G725" s="551"/>
      <c r="H725" s="551"/>
      <c r="I725" s="552"/>
      <c r="J725" s="553"/>
      <c r="K725" s="39"/>
      <c r="L725" s="208"/>
      <c r="M725" s="39"/>
      <c r="N725" s="536" t="s">
        <v>2306</v>
      </c>
    </row>
    <row r="726" spans="1:14" ht="15.75">
      <c r="A726" s="16"/>
      <c r="B726" s="39"/>
      <c r="C726" s="554"/>
      <c r="D726" s="555"/>
      <c r="E726" s="540"/>
      <c r="F726" s="541"/>
      <c r="G726" s="40"/>
      <c r="H726" s="16"/>
      <c r="I726" s="552"/>
      <c r="J726" s="553" t="s">
        <v>102</v>
      </c>
      <c r="K726" s="10">
        <f>data!F1393</f>
        <v>304.66000000000003</v>
      </c>
      <c r="L726" s="208" t="s">
        <v>2306</v>
      </c>
      <c r="M726" s="9">
        <f>ROUND(I726*K726,0)</f>
        <v>0</v>
      </c>
      <c r="N726" s="536" t="s">
        <v>2306</v>
      </c>
    </row>
    <row r="727" spans="1:14" ht="52.5" customHeight="1">
      <c r="A727" s="16">
        <v>13</v>
      </c>
      <c r="B727" s="1858" t="s">
        <v>593</v>
      </c>
      <c r="C727" s="1858"/>
      <c r="D727" s="1858"/>
      <c r="E727" s="1858"/>
      <c r="F727" s="1858"/>
      <c r="G727" s="1858"/>
      <c r="H727" s="1858"/>
      <c r="I727" s="537"/>
      <c r="J727" s="538"/>
      <c r="K727" s="16"/>
      <c r="L727" s="208"/>
      <c r="M727" s="38"/>
      <c r="N727" s="536" t="s">
        <v>2317</v>
      </c>
    </row>
    <row r="728" spans="1:14" s="544" customFormat="1" ht="16.5" customHeight="1">
      <c r="A728" s="16"/>
      <c r="B728" s="39" t="s">
        <v>2858</v>
      </c>
      <c r="C728" s="566"/>
      <c r="D728" s="567"/>
      <c r="E728" s="568"/>
      <c r="F728" s="569"/>
      <c r="G728" s="569"/>
      <c r="H728" s="570"/>
      <c r="I728" s="571"/>
      <c r="J728" s="553"/>
      <c r="K728" s="39"/>
      <c r="L728" s="208"/>
      <c r="M728" s="39"/>
      <c r="N728" s="536" t="s">
        <v>2317</v>
      </c>
    </row>
    <row r="729" spans="1:14" s="544" customFormat="1" ht="15.75">
      <c r="A729" s="16"/>
      <c r="B729" s="39" t="s">
        <v>2167</v>
      </c>
      <c r="C729" s="537">
        <v>1</v>
      </c>
      <c r="D729" s="539" t="s">
        <v>273</v>
      </c>
      <c r="E729" s="540">
        <v>1</v>
      </c>
      <c r="F729" s="541">
        <v>12.475</v>
      </c>
      <c r="G729" s="541">
        <v>0</v>
      </c>
      <c r="H729" s="541">
        <v>3.1</v>
      </c>
      <c r="I729" s="545">
        <f>ROUND(IF(AND(F729:H729),C729*E729*F729*G729*H729,IF(AND(F729,G729),C729*E729*F729*G729,IF(AND(F729,H729),C729*E729*F729*H729,IF(AND(G729,H729),C729*E729*G729*H729,IF(F729,C729*E729*F729,IF(G729,C729*E729*G729,IF(H729,C729*E729*H729,C729*E729))))))),2)</f>
        <v>38.67</v>
      </c>
      <c r="J729" s="553" t="s">
        <v>102</v>
      </c>
      <c r="K729" s="39"/>
      <c r="L729" s="208"/>
      <c r="M729" s="39"/>
      <c r="N729" s="536" t="s">
        <v>2317</v>
      </c>
    </row>
    <row r="730" spans="1:14" s="544" customFormat="1" ht="15.75">
      <c r="A730" s="16"/>
      <c r="B730" s="39" t="s">
        <v>1547</v>
      </c>
      <c r="C730" s="537">
        <v>1</v>
      </c>
      <c r="D730" s="539" t="s">
        <v>273</v>
      </c>
      <c r="E730" s="540">
        <v>1</v>
      </c>
      <c r="F730" s="541">
        <v>8.84</v>
      </c>
      <c r="G730" s="541">
        <v>0</v>
      </c>
      <c r="H730" s="541">
        <v>3.1</v>
      </c>
      <c r="I730" s="545">
        <f>ROUND(IF(AND(F730:H730),C730*E730*F730*G730*H730,IF(AND(F730,G730),C730*E730*F730*G730,IF(AND(F730,H730),C730*E730*F730*H730,IF(AND(G730,H730),C730*E730*G730*H730,IF(F730,C730*E730*F730,IF(G730,C730*E730*G730,IF(H730,C730*E730*H730,C730*E730))))))),2)</f>
        <v>27.4</v>
      </c>
      <c r="J730" s="553" t="s">
        <v>102</v>
      </c>
      <c r="K730" s="39"/>
      <c r="L730" s="208"/>
      <c r="M730" s="39"/>
      <c r="N730" s="536" t="s">
        <v>2317</v>
      </c>
    </row>
    <row r="731" spans="1:14" s="544" customFormat="1" ht="15.75">
      <c r="A731" s="16"/>
      <c r="B731" s="39" t="s">
        <v>2168</v>
      </c>
      <c r="C731" s="537">
        <v>1</v>
      </c>
      <c r="D731" s="539" t="s">
        <v>273</v>
      </c>
      <c r="E731" s="540">
        <v>6</v>
      </c>
      <c r="F731" s="541">
        <v>1.5</v>
      </c>
      <c r="G731" s="541">
        <v>0</v>
      </c>
      <c r="H731" s="541">
        <v>1.5</v>
      </c>
      <c r="I731" s="545">
        <f>-ROUND(IF(AND(F731:H731),C731*E731*F731*G731*H731,IF(AND(F731,G731),C731*E731*F731*G731,IF(AND(F731,H731),C731*E731*F731*H731,IF(AND(G731,H731),C731*E731*G731*H731,IF(F731,C731*E731*F731,IF(G731,C731*E731*G731,IF(H731,C731*E731*H731,C731*E731))))))),2)</f>
        <v>-13.5</v>
      </c>
      <c r="J731" s="553" t="s">
        <v>102</v>
      </c>
      <c r="K731" s="39"/>
      <c r="L731" s="208"/>
      <c r="M731" s="39"/>
      <c r="N731" s="536" t="s">
        <v>2317</v>
      </c>
    </row>
    <row r="732" spans="1:14" s="544" customFormat="1" ht="15.75">
      <c r="A732" s="16"/>
      <c r="B732" s="39" t="s">
        <v>2141</v>
      </c>
      <c r="C732" s="537">
        <v>1</v>
      </c>
      <c r="D732" s="539" t="s">
        <v>273</v>
      </c>
      <c r="E732" s="540">
        <v>10</v>
      </c>
      <c r="F732" s="541">
        <v>0.6</v>
      </c>
      <c r="G732" s="541">
        <v>0</v>
      </c>
      <c r="H732" s="541">
        <v>0.45</v>
      </c>
      <c r="I732" s="545">
        <f>-ROUND(IF(AND(F732:H732),C732*E732*F732*G732*H732,IF(AND(F732,G732),C732*E732*F732*G732,IF(AND(F732,H732),C732*E732*F732*H732,IF(AND(G732,H732),C732*E732*G732*H732,IF(F732,C732*E732*F732,IF(G732,C732*E732*G732,IF(H732,C732*E732*H732,C732*E732))))))),2)</f>
        <v>-2.7</v>
      </c>
      <c r="J732" s="553" t="s">
        <v>102</v>
      </c>
      <c r="K732" s="39"/>
      <c r="L732" s="208"/>
      <c r="M732" s="39"/>
      <c r="N732" s="536" t="s">
        <v>2317</v>
      </c>
    </row>
    <row r="733" spans="1:14" s="544" customFormat="1" ht="16.5" customHeight="1">
      <c r="A733" s="16"/>
      <c r="B733" s="547"/>
      <c r="C733" s="548"/>
      <c r="D733" s="549"/>
      <c r="E733" s="550"/>
      <c r="F733" s="551"/>
      <c r="G733" s="551"/>
      <c r="H733" s="551"/>
      <c r="I733" s="552"/>
      <c r="J733" s="553"/>
      <c r="K733" s="39"/>
      <c r="L733" s="208"/>
      <c r="M733" s="39"/>
      <c r="N733" s="536" t="s">
        <v>2317</v>
      </c>
    </row>
    <row r="734" spans="1:14" ht="15.75">
      <c r="A734" s="16"/>
      <c r="B734" s="39"/>
      <c r="C734" s="554"/>
      <c r="D734" s="555"/>
      <c r="E734" s="540"/>
      <c r="F734" s="541"/>
      <c r="G734" s="40"/>
      <c r="H734" s="16"/>
      <c r="I734" s="552"/>
      <c r="J734" s="553" t="s">
        <v>102</v>
      </c>
      <c r="K734" s="10">
        <f>data!F2310</f>
        <v>323.85000000000002</v>
      </c>
      <c r="L734" s="208" t="s">
        <v>2317</v>
      </c>
      <c r="M734" s="9">
        <f>ROUND(I734*K734,0)</f>
        <v>0</v>
      </c>
      <c r="N734" s="536" t="s">
        <v>2317</v>
      </c>
    </row>
    <row r="735" spans="1:14" ht="52.5" customHeight="1">
      <c r="A735" s="16">
        <v>13</v>
      </c>
      <c r="B735" s="1858" t="s">
        <v>593</v>
      </c>
      <c r="C735" s="1858"/>
      <c r="D735" s="1858"/>
      <c r="E735" s="1858"/>
      <c r="F735" s="1858"/>
      <c r="G735" s="1858"/>
      <c r="H735" s="1858"/>
      <c r="I735" s="537"/>
      <c r="J735" s="538"/>
      <c r="K735" s="16"/>
      <c r="L735" s="208"/>
      <c r="M735" s="38"/>
      <c r="N735" s="536" t="s">
        <v>2318</v>
      </c>
    </row>
    <row r="736" spans="1:14" s="544" customFormat="1" ht="16.5" customHeight="1">
      <c r="A736" s="16"/>
      <c r="B736" s="39" t="s">
        <v>2858</v>
      </c>
      <c r="C736" s="566"/>
      <c r="D736" s="567"/>
      <c r="E736" s="568"/>
      <c r="F736" s="569"/>
      <c r="G736" s="569"/>
      <c r="H736" s="570"/>
      <c r="I736" s="571"/>
      <c r="J736" s="553"/>
      <c r="K736" s="39"/>
      <c r="L736" s="208"/>
      <c r="M736" s="39"/>
      <c r="N736" s="536" t="s">
        <v>2318</v>
      </c>
    </row>
    <row r="737" spans="1:14" s="544" customFormat="1" ht="15.75">
      <c r="A737" s="16"/>
      <c r="B737" s="39" t="s">
        <v>2167</v>
      </c>
      <c r="C737" s="537">
        <v>1</v>
      </c>
      <c r="D737" s="539" t="s">
        <v>273</v>
      </c>
      <c r="E737" s="540">
        <v>1</v>
      </c>
      <c r="F737" s="541">
        <v>12.475</v>
      </c>
      <c r="G737" s="541">
        <v>0</v>
      </c>
      <c r="H737" s="541">
        <v>3.1</v>
      </c>
      <c r="I737" s="545">
        <f>ROUND(IF(AND(F737:H737),C737*E737*F737*G737*H737,IF(AND(F737,G737),C737*E737*F737*G737,IF(AND(F737,H737),C737*E737*F737*H737,IF(AND(G737,H737),C737*E737*G737*H737,IF(F737,C737*E737*F737,IF(G737,C737*E737*G737,IF(H737,C737*E737*H737,C737*E737))))))),2)</f>
        <v>38.67</v>
      </c>
      <c r="J737" s="553" t="s">
        <v>102</v>
      </c>
      <c r="K737" s="39"/>
      <c r="L737" s="208"/>
      <c r="M737" s="39"/>
      <c r="N737" s="536" t="s">
        <v>2318</v>
      </c>
    </row>
    <row r="738" spans="1:14" s="544" customFormat="1" ht="15.75">
      <c r="A738" s="16"/>
      <c r="B738" s="39" t="s">
        <v>1547</v>
      </c>
      <c r="C738" s="537">
        <v>1</v>
      </c>
      <c r="D738" s="539" t="s">
        <v>273</v>
      </c>
      <c r="E738" s="540">
        <v>1</v>
      </c>
      <c r="F738" s="541">
        <v>8.84</v>
      </c>
      <c r="G738" s="541">
        <v>0</v>
      </c>
      <c r="H738" s="541">
        <v>3.1</v>
      </c>
      <c r="I738" s="545">
        <f>ROUND(IF(AND(F738:H738),C738*E738*F738*G738*H738,IF(AND(F738,G738),C738*E738*F738*G738,IF(AND(F738,H738),C738*E738*F738*H738,IF(AND(G738,H738),C738*E738*G738*H738,IF(F738,C738*E738*F738,IF(G738,C738*E738*G738,IF(H738,C738*E738*H738,C738*E738))))))),2)</f>
        <v>27.4</v>
      </c>
      <c r="J738" s="553" t="s">
        <v>102</v>
      </c>
      <c r="K738" s="39"/>
      <c r="L738" s="208"/>
      <c r="M738" s="39"/>
      <c r="N738" s="536" t="s">
        <v>2318</v>
      </c>
    </row>
    <row r="739" spans="1:14" s="544" customFormat="1" ht="15.75">
      <c r="A739" s="16"/>
      <c r="B739" s="39" t="s">
        <v>2168</v>
      </c>
      <c r="C739" s="537">
        <v>1</v>
      </c>
      <c r="D739" s="539" t="s">
        <v>273</v>
      </c>
      <c r="E739" s="540">
        <v>6</v>
      </c>
      <c r="F739" s="541">
        <v>1.5</v>
      </c>
      <c r="G739" s="541">
        <v>0</v>
      </c>
      <c r="H739" s="541">
        <v>1.5</v>
      </c>
      <c r="I739" s="545">
        <f>-ROUND(IF(AND(F739:H739),C739*E739*F739*G739*H739,IF(AND(F739,G739),C739*E739*F739*G739,IF(AND(F739,H739),C739*E739*F739*H739,IF(AND(G739,H739),C739*E739*G739*H739,IF(F739,C739*E739*F739,IF(G739,C739*E739*G739,IF(H739,C739*E739*H739,C739*E739))))))),2)</f>
        <v>-13.5</v>
      </c>
      <c r="J739" s="553" t="s">
        <v>102</v>
      </c>
      <c r="K739" s="39"/>
      <c r="L739" s="208"/>
      <c r="M739" s="39"/>
      <c r="N739" s="536" t="s">
        <v>2318</v>
      </c>
    </row>
    <row r="740" spans="1:14" s="544" customFormat="1" ht="15.75">
      <c r="A740" s="16"/>
      <c r="B740" s="39" t="s">
        <v>2141</v>
      </c>
      <c r="C740" s="537">
        <v>1</v>
      </c>
      <c r="D740" s="539" t="s">
        <v>273</v>
      </c>
      <c r="E740" s="540">
        <v>10</v>
      </c>
      <c r="F740" s="541">
        <v>0.6</v>
      </c>
      <c r="G740" s="541">
        <v>0</v>
      </c>
      <c r="H740" s="541">
        <v>0.45</v>
      </c>
      <c r="I740" s="545">
        <f>-ROUND(IF(AND(F740:H740),C740*E740*F740*G740*H740,IF(AND(F740,G740),C740*E740*F740*G740,IF(AND(F740,H740),C740*E740*F740*H740,IF(AND(G740,H740),C740*E740*G740*H740,IF(F740,C740*E740*F740,IF(G740,C740*E740*G740,IF(H740,C740*E740*H740,C740*E740))))))),2)</f>
        <v>-2.7</v>
      </c>
      <c r="J740" s="553" t="s">
        <v>102</v>
      </c>
      <c r="K740" s="39"/>
      <c r="L740" s="208"/>
      <c r="M740" s="39"/>
      <c r="N740" s="536" t="s">
        <v>2318</v>
      </c>
    </row>
    <row r="741" spans="1:14" s="544" customFormat="1" ht="16.5" customHeight="1">
      <c r="A741" s="16"/>
      <c r="B741" s="547"/>
      <c r="C741" s="548"/>
      <c r="D741" s="549"/>
      <c r="E741" s="550"/>
      <c r="F741" s="551"/>
      <c r="G741" s="551"/>
      <c r="H741" s="551"/>
      <c r="I741" s="552"/>
      <c r="J741" s="553"/>
      <c r="K741" s="39"/>
      <c r="L741" s="208"/>
      <c r="M741" s="39"/>
      <c r="N741" s="536" t="s">
        <v>2318</v>
      </c>
    </row>
    <row r="742" spans="1:14" ht="15.75">
      <c r="A742" s="16"/>
      <c r="B742" s="39"/>
      <c r="C742" s="554"/>
      <c r="D742" s="555"/>
      <c r="E742" s="540"/>
      <c r="F742" s="541"/>
      <c r="G742" s="40"/>
      <c r="H742" s="16"/>
      <c r="I742" s="552"/>
      <c r="J742" s="553" t="s">
        <v>102</v>
      </c>
      <c r="K742" s="10">
        <f>data!F3227</f>
        <v>343.23</v>
      </c>
      <c r="L742" s="208" t="s">
        <v>2318</v>
      </c>
      <c r="M742" s="9">
        <f>ROUND(I742*K742,0)</f>
        <v>0</v>
      </c>
      <c r="N742" s="536" t="s">
        <v>2318</v>
      </c>
    </row>
    <row r="743" spans="1:14" ht="71.25" customHeight="1">
      <c r="A743" s="16">
        <v>10</v>
      </c>
      <c r="B743" s="1858" t="s">
        <v>808</v>
      </c>
      <c r="C743" s="1858"/>
      <c r="D743" s="1858"/>
      <c r="E743" s="1858"/>
      <c r="F743" s="1858"/>
      <c r="G743" s="1858"/>
      <c r="H743" s="1858"/>
      <c r="I743" s="537"/>
      <c r="J743" s="538"/>
      <c r="K743" s="16"/>
      <c r="L743" s="208"/>
      <c r="M743" s="38"/>
      <c r="N743" s="536" t="s">
        <v>2218</v>
      </c>
    </row>
    <row r="744" spans="1:14" s="544" customFormat="1" ht="16.5" customHeight="1">
      <c r="A744" s="16"/>
      <c r="B744" s="39" t="s">
        <v>3110</v>
      </c>
      <c r="C744" s="537"/>
      <c r="D744" s="1145" t="s">
        <v>3335</v>
      </c>
      <c r="E744" s="540"/>
      <c r="F744" s="541"/>
      <c r="G744" s="541"/>
      <c r="H744" s="541"/>
      <c r="I744" s="542"/>
      <c r="J744" s="553"/>
      <c r="K744" s="39"/>
      <c r="L744" s="208"/>
      <c r="M744" s="39"/>
      <c r="N744" s="536" t="s">
        <v>2218</v>
      </c>
    </row>
    <row r="745" spans="1:14" s="544" customFormat="1" ht="16.5" customHeight="1">
      <c r="A745" s="16"/>
      <c r="B745" s="39" t="s">
        <v>2362</v>
      </c>
      <c r="C745" s="537">
        <v>1</v>
      </c>
      <c r="D745" s="539" t="s">
        <v>273</v>
      </c>
      <c r="E745" s="540">
        <v>1</v>
      </c>
      <c r="F745" s="541">
        <v>11.68</v>
      </c>
      <c r="G745" s="541">
        <v>0</v>
      </c>
      <c r="H745" s="541">
        <v>3.1</v>
      </c>
      <c r="I745" s="545">
        <f t="shared" ref="I745:I759" si="69">ROUND(IF(AND(F745:H745),C745*E745*F745*G745*H745,IF(AND(F745,G745),C745*E745*F745*G745,IF(AND(F745,H745),C745*E745*F745*H745,IF(AND(G745,H745),C745*E745*G745*H745,IF(F745,C745*E745*F745,IF(G745,C745*E745*G745,IF(H745,C745*E745*H745,C745*E745))))))),2)</f>
        <v>36.21</v>
      </c>
      <c r="J745" s="553" t="s">
        <v>102</v>
      </c>
      <c r="K745" s="39"/>
      <c r="L745" s="208"/>
      <c r="M745" s="39"/>
      <c r="N745" s="536" t="s">
        <v>2218</v>
      </c>
    </row>
    <row r="746" spans="1:14" s="544" customFormat="1" ht="16.5" customHeight="1">
      <c r="A746" s="16"/>
      <c r="B746" s="39" t="s">
        <v>1624</v>
      </c>
      <c r="C746" s="537">
        <v>1</v>
      </c>
      <c r="D746" s="539" t="s">
        <v>273</v>
      </c>
      <c r="E746" s="540">
        <v>1</v>
      </c>
      <c r="F746" s="541">
        <v>12.26</v>
      </c>
      <c r="G746" s="541">
        <v>0</v>
      </c>
      <c r="H746" s="541">
        <v>3.1</v>
      </c>
      <c r="I746" s="545">
        <f t="shared" si="69"/>
        <v>38.01</v>
      </c>
      <c r="J746" s="553" t="s">
        <v>102</v>
      </c>
      <c r="K746" s="39"/>
      <c r="L746" s="208"/>
      <c r="M746" s="39"/>
      <c r="N746" s="536" t="s">
        <v>2218</v>
      </c>
    </row>
    <row r="747" spans="1:14" s="544" customFormat="1" ht="16.5" customHeight="1">
      <c r="A747" s="16"/>
      <c r="B747" s="39" t="s">
        <v>587</v>
      </c>
      <c r="C747" s="537">
        <v>1</v>
      </c>
      <c r="D747" s="539" t="s">
        <v>273</v>
      </c>
      <c r="E747" s="540">
        <v>1</v>
      </c>
      <c r="F747" s="541">
        <v>12.74</v>
      </c>
      <c r="G747" s="541">
        <v>0</v>
      </c>
      <c r="H747" s="541">
        <v>3.1</v>
      </c>
      <c r="I747" s="545">
        <f t="shared" si="69"/>
        <v>39.49</v>
      </c>
      <c r="J747" s="553" t="s">
        <v>102</v>
      </c>
      <c r="K747" s="39"/>
      <c r="L747" s="208"/>
      <c r="M747" s="39"/>
      <c r="N747" s="536" t="s">
        <v>2218</v>
      </c>
    </row>
    <row r="748" spans="1:14" s="544" customFormat="1" ht="16.5" customHeight="1">
      <c r="A748" s="16"/>
      <c r="B748" s="39" t="s">
        <v>3175</v>
      </c>
      <c r="C748" s="537">
        <v>1</v>
      </c>
      <c r="D748" s="539" t="s">
        <v>273</v>
      </c>
      <c r="E748" s="540">
        <v>1</v>
      </c>
      <c r="F748" s="541">
        <v>11.93</v>
      </c>
      <c r="G748" s="541">
        <v>0</v>
      </c>
      <c r="H748" s="541">
        <v>3.1</v>
      </c>
      <c r="I748" s="545">
        <f t="shared" si="69"/>
        <v>36.979999999999997</v>
      </c>
      <c r="J748" s="553" t="s">
        <v>102</v>
      </c>
      <c r="K748" s="39"/>
      <c r="L748" s="208"/>
      <c r="M748" s="39"/>
      <c r="N748" s="536" t="s">
        <v>2218</v>
      </c>
    </row>
    <row r="749" spans="1:14" s="544" customFormat="1" ht="16.5" customHeight="1">
      <c r="A749" s="16"/>
      <c r="B749" s="39"/>
      <c r="C749" s="537">
        <v>1</v>
      </c>
      <c r="D749" s="539" t="s">
        <v>273</v>
      </c>
      <c r="E749" s="540">
        <v>1</v>
      </c>
      <c r="F749" s="541">
        <v>9.42</v>
      </c>
      <c r="G749" s="541">
        <v>0</v>
      </c>
      <c r="H749" s="541">
        <v>3.1</v>
      </c>
      <c r="I749" s="545">
        <f t="shared" si="69"/>
        <v>29.2</v>
      </c>
      <c r="J749" s="553" t="s">
        <v>102</v>
      </c>
      <c r="K749" s="39"/>
      <c r="L749" s="208"/>
      <c r="M749" s="39"/>
      <c r="N749" s="536" t="s">
        <v>2218</v>
      </c>
    </row>
    <row r="750" spans="1:14" s="544" customFormat="1" ht="16.5" customHeight="1">
      <c r="A750" s="16"/>
      <c r="B750" s="39" t="s">
        <v>3176</v>
      </c>
      <c r="C750" s="537">
        <v>1</v>
      </c>
      <c r="D750" s="539" t="s">
        <v>273</v>
      </c>
      <c r="E750" s="540">
        <v>2</v>
      </c>
      <c r="F750" s="541">
        <v>1.8</v>
      </c>
      <c r="G750" s="541">
        <v>0</v>
      </c>
      <c r="H750" s="541">
        <v>3.1</v>
      </c>
      <c r="I750" s="545">
        <f t="shared" si="69"/>
        <v>11.16</v>
      </c>
      <c r="J750" s="553" t="s">
        <v>102</v>
      </c>
      <c r="K750" s="39"/>
      <c r="L750" s="208"/>
      <c r="M750" s="39"/>
      <c r="N750" s="536" t="s">
        <v>2218</v>
      </c>
    </row>
    <row r="751" spans="1:14" s="544" customFormat="1" ht="16.5" customHeight="1">
      <c r="A751" s="16"/>
      <c r="B751" s="39" t="s">
        <v>3177</v>
      </c>
      <c r="C751" s="537">
        <v>1</v>
      </c>
      <c r="D751" s="539" t="s">
        <v>273</v>
      </c>
      <c r="E751" s="540">
        <v>1</v>
      </c>
      <c r="F751" s="541">
        <v>22.92</v>
      </c>
      <c r="G751" s="541">
        <v>0</v>
      </c>
      <c r="H751" s="541">
        <v>3.1</v>
      </c>
      <c r="I751" s="545">
        <f t="shared" si="69"/>
        <v>71.05</v>
      </c>
      <c r="J751" s="553" t="s">
        <v>102</v>
      </c>
      <c r="K751" s="39"/>
      <c r="L751" s="208"/>
      <c r="M751" s="39"/>
      <c r="N751" s="536" t="s">
        <v>2218</v>
      </c>
    </row>
    <row r="752" spans="1:14" s="544" customFormat="1" ht="16.5" customHeight="1">
      <c r="A752" s="16"/>
      <c r="B752" s="39" t="s">
        <v>2568</v>
      </c>
      <c r="C752" s="537">
        <v>1</v>
      </c>
      <c r="D752" s="539" t="s">
        <v>273</v>
      </c>
      <c r="E752" s="540">
        <v>1</v>
      </c>
      <c r="F752" s="541">
        <v>9.4600000000000009</v>
      </c>
      <c r="G752" s="541">
        <v>0</v>
      </c>
      <c r="H752" s="541">
        <v>1</v>
      </c>
      <c r="I752" s="545">
        <f t="shared" si="69"/>
        <v>9.4600000000000009</v>
      </c>
      <c r="J752" s="553" t="s">
        <v>102</v>
      </c>
      <c r="K752" s="39"/>
      <c r="L752" s="208"/>
      <c r="M752" s="39"/>
      <c r="N752" s="536" t="s">
        <v>2218</v>
      </c>
    </row>
    <row r="753" spans="1:14" s="544" customFormat="1" ht="16.5" customHeight="1">
      <c r="A753" s="16"/>
      <c r="B753" s="39" t="s">
        <v>659</v>
      </c>
      <c r="C753" s="537">
        <v>1</v>
      </c>
      <c r="D753" s="539" t="s">
        <v>273</v>
      </c>
      <c r="E753" s="540">
        <v>1</v>
      </c>
      <c r="F753" s="541">
        <v>6.06</v>
      </c>
      <c r="G753" s="541">
        <v>0</v>
      </c>
      <c r="H753" s="541">
        <v>1</v>
      </c>
      <c r="I753" s="545">
        <f t="shared" si="69"/>
        <v>6.06</v>
      </c>
      <c r="J753" s="553" t="s">
        <v>102</v>
      </c>
      <c r="K753" s="39"/>
      <c r="L753" s="208"/>
      <c r="M753" s="39"/>
      <c r="N753" s="536" t="s">
        <v>2218</v>
      </c>
    </row>
    <row r="754" spans="1:14" s="544" customFormat="1" ht="16.5" customHeight="1">
      <c r="A754" s="16"/>
      <c r="B754" s="39" t="s">
        <v>689</v>
      </c>
      <c r="C754" s="537">
        <v>1</v>
      </c>
      <c r="D754" s="539" t="s">
        <v>273</v>
      </c>
      <c r="E754" s="540">
        <v>1</v>
      </c>
      <c r="F754" s="541">
        <v>6.06</v>
      </c>
      <c r="G754" s="541">
        <v>0</v>
      </c>
      <c r="H754" s="541">
        <v>1</v>
      </c>
      <c r="I754" s="545">
        <f t="shared" si="69"/>
        <v>6.06</v>
      </c>
      <c r="J754" s="553" t="s">
        <v>102</v>
      </c>
      <c r="K754" s="39"/>
      <c r="L754" s="208"/>
      <c r="M754" s="39"/>
      <c r="N754" s="536" t="s">
        <v>2218</v>
      </c>
    </row>
    <row r="755" spans="1:14" s="544" customFormat="1" ht="16.5" customHeight="1">
      <c r="A755" s="16"/>
      <c r="B755" s="39" t="s">
        <v>3178</v>
      </c>
      <c r="C755" s="537">
        <v>1</v>
      </c>
      <c r="D755" s="539" t="s">
        <v>273</v>
      </c>
      <c r="E755" s="540">
        <v>1</v>
      </c>
      <c r="F755" s="541">
        <v>10.7</v>
      </c>
      <c r="G755" s="541">
        <v>0</v>
      </c>
      <c r="H755" s="541">
        <v>1.6</v>
      </c>
      <c r="I755" s="545">
        <f t="shared" si="69"/>
        <v>17.12</v>
      </c>
      <c r="J755" s="553" t="s">
        <v>102</v>
      </c>
      <c r="K755" s="39"/>
      <c r="L755" s="208"/>
      <c r="M755" s="39"/>
      <c r="N755" s="536" t="s">
        <v>2218</v>
      </c>
    </row>
    <row r="756" spans="1:14" s="544" customFormat="1" ht="16.5" customHeight="1">
      <c r="A756" s="16"/>
      <c r="B756" s="39" t="s">
        <v>3179</v>
      </c>
      <c r="C756" s="537">
        <v>1</v>
      </c>
      <c r="D756" s="539" t="s">
        <v>273</v>
      </c>
      <c r="E756" s="540">
        <v>1</v>
      </c>
      <c r="F756" s="541">
        <v>2.68</v>
      </c>
      <c r="G756" s="541">
        <v>0</v>
      </c>
      <c r="H756" s="541">
        <v>1.2</v>
      </c>
      <c r="I756" s="545">
        <f t="shared" si="69"/>
        <v>3.22</v>
      </c>
      <c r="J756" s="553" t="s">
        <v>102</v>
      </c>
      <c r="K756" s="39"/>
      <c r="L756" s="208"/>
      <c r="M756" s="39"/>
      <c r="N756" s="536" t="s">
        <v>2218</v>
      </c>
    </row>
    <row r="757" spans="1:14" s="544" customFormat="1" ht="16.5" customHeight="1">
      <c r="A757" s="16"/>
      <c r="B757" s="39" t="s">
        <v>3180</v>
      </c>
      <c r="C757" s="537">
        <v>1</v>
      </c>
      <c r="D757" s="539" t="s">
        <v>273</v>
      </c>
      <c r="E757" s="540">
        <v>1</v>
      </c>
      <c r="F757" s="541">
        <v>0.85</v>
      </c>
      <c r="G757" s="541">
        <v>0</v>
      </c>
      <c r="H757" s="541">
        <v>1.2</v>
      </c>
      <c r="I757" s="545">
        <f t="shared" si="69"/>
        <v>1.02</v>
      </c>
      <c r="J757" s="553" t="s">
        <v>102</v>
      </c>
      <c r="K757" s="39"/>
      <c r="L757" s="208"/>
      <c r="M757" s="39"/>
      <c r="N757" s="536" t="s">
        <v>2218</v>
      </c>
    </row>
    <row r="758" spans="1:14" s="544" customFormat="1" ht="16.5" customHeight="1">
      <c r="A758" s="16"/>
      <c r="B758" s="39" t="s">
        <v>3160</v>
      </c>
      <c r="C758" s="537">
        <v>1</v>
      </c>
      <c r="D758" s="539" t="s">
        <v>273</v>
      </c>
      <c r="E758" s="540">
        <v>1</v>
      </c>
      <c r="F758" s="541">
        <v>2.68</v>
      </c>
      <c r="G758" s="541">
        <v>0</v>
      </c>
      <c r="H758" s="541">
        <v>1.2</v>
      </c>
      <c r="I758" s="545">
        <f t="shared" si="69"/>
        <v>3.22</v>
      </c>
      <c r="J758" s="553" t="s">
        <v>102</v>
      </c>
      <c r="K758" s="39"/>
      <c r="L758" s="208"/>
      <c r="M758" s="39"/>
      <c r="N758" s="536" t="s">
        <v>2218</v>
      </c>
    </row>
    <row r="759" spans="1:14" s="544" customFormat="1" ht="16.5" customHeight="1">
      <c r="A759" s="16"/>
      <c r="B759" s="39" t="s">
        <v>3159</v>
      </c>
      <c r="C759" s="537">
        <v>1</v>
      </c>
      <c r="D759" s="539" t="s">
        <v>273</v>
      </c>
      <c r="E759" s="540">
        <v>2</v>
      </c>
      <c r="F759" s="541">
        <v>0.85</v>
      </c>
      <c r="G759" s="541">
        <v>0</v>
      </c>
      <c r="H759" s="541">
        <v>1.2</v>
      </c>
      <c r="I759" s="545">
        <f t="shared" si="69"/>
        <v>2.04</v>
      </c>
      <c r="J759" s="553" t="s">
        <v>102</v>
      </c>
      <c r="K759" s="39"/>
      <c r="L759" s="208"/>
      <c r="M759" s="39"/>
      <c r="N759" s="536" t="s">
        <v>2218</v>
      </c>
    </row>
    <row r="760" spans="1:14" s="544" customFormat="1" ht="16.5" customHeight="1">
      <c r="A760" s="16"/>
      <c r="B760" s="39" t="s">
        <v>1535</v>
      </c>
      <c r="C760" s="537">
        <v>1</v>
      </c>
      <c r="D760" s="539" t="s">
        <v>273</v>
      </c>
      <c r="E760" s="540">
        <v>1</v>
      </c>
      <c r="F760" s="541">
        <v>1.2</v>
      </c>
      <c r="G760" s="541">
        <v>0</v>
      </c>
      <c r="H760" s="541">
        <v>1.1000000000000001</v>
      </c>
      <c r="I760" s="545">
        <f>-ROUND(IF(AND(F760:H760),C760*E760*F760*G760*H760,IF(AND(F760,G760),C760*E760*F760*G760,IF(AND(F760,H760),C760*E760*F760*H760,IF(AND(G760,H760),C760*E760*G760*H760,IF(F760,C760*E760*F760,IF(G760,C760*E760*G760,IF(H760,C760*E760*H760,C760*E760))))))),2)</f>
        <v>-1.32</v>
      </c>
      <c r="J760" s="553" t="s">
        <v>102</v>
      </c>
      <c r="K760" s="39"/>
      <c r="L760" s="208"/>
      <c r="M760" s="39"/>
      <c r="N760" s="536" t="s">
        <v>2218</v>
      </c>
    </row>
    <row r="761" spans="1:14" s="544" customFormat="1" ht="16.5" customHeight="1">
      <c r="A761" s="16"/>
      <c r="B761" s="39" t="s">
        <v>3181</v>
      </c>
      <c r="C761" s="537">
        <v>1</v>
      </c>
      <c r="D761" s="539" t="s">
        <v>273</v>
      </c>
      <c r="E761" s="540">
        <v>1</v>
      </c>
      <c r="F761" s="541">
        <v>5.27</v>
      </c>
      <c r="G761" s="541">
        <v>0</v>
      </c>
      <c r="H761" s="541">
        <v>1.9</v>
      </c>
      <c r="I761" s="545">
        <f t="shared" ref="I761:I762" si="70">ROUND(IF(AND(F761:H761),C761*E761*F761*G761*H761,IF(AND(F761,G761),C761*E761*F761*G761,IF(AND(F761,H761),C761*E761*F761*H761,IF(AND(G761,H761),C761*E761*G761*H761,IF(F761,C761*E761*F761,IF(G761,C761*E761*G761,IF(H761,C761*E761*H761,C761*E761))))))),2)</f>
        <v>10.01</v>
      </c>
      <c r="J761" s="553" t="s">
        <v>102</v>
      </c>
      <c r="K761" s="39"/>
      <c r="L761" s="208"/>
      <c r="M761" s="39"/>
      <c r="N761" s="536" t="s">
        <v>2218</v>
      </c>
    </row>
    <row r="762" spans="1:14" s="544" customFormat="1" ht="16.5" customHeight="1">
      <c r="A762" s="16"/>
      <c r="B762" s="39"/>
      <c r="C762" s="537">
        <v>1</v>
      </c>
      <c r="D762" s="539" t="s">
        <v>273</v>
      </c>
      <c r="E762" s="540">
        <v>2</v>
      </c>
      <c r="F762" s="541">
        <v>2.5</v>
      </c>
      <c r="G762" s="541">
        <v>0</v>
      </c>
      <c r="H762" s="541">
        <v>1.9</v>
      </c>
      <c r="I762" s="545">
        <f t="shared" si="70"/>
        <v>9.5</v>
      </c>
      <c r="J762" s="553" t="s">
        <v>102</v>
      </c>
      <c r="K762" s="39"/>
      <c r="L762" s="208"/>
      <c r="M762" s="39"/>
      <c r="N762" s="536" t="s">
        <v>2218</v>
      </c>
    </row>
    <row r="763" spans="1:14" s="544" customFormat="1" ht="16.5" customHeight="1">
      <c r="A763" s="16"/>
      <c r="B763" s="39" t="s">
        <v>579</v>
      </c>
      <c r="C763" s="537">
        <v>1</v>
      </c>
      <c r="D763" s="539" t="s">
        <v>273</v>
      </c>
      <c r="E763" s="540">
        <v>2</v>
      </c>
      <c r="F763" s="541">
        <v>1.2</v>
      </c>
      <c r="G763" s="541">
        <v>0</v>
      </c>
      <c r="H763" s="541">
        <v>2.1</v>
      </c>
      <c r="I763" s="545">
        <f t="shared" ref="I763:I768" si="71">-ROUND(IF(AND(F763:H763),C763*E763*F763*G763*H763,IF(AND(F763,G763),C763*E763*F763*G763,IF(AND(F763,H763),C763*E763*F763*H763,IF(AND(G763,H763),C763*E763*G763*H763,IF(F763,C763*E763*F763,IF(G763,C763*E763*G763,IF(H763,C763*E763*H763,C763*E763))))))),2)</f>
        <v>-5.04</v>
      </c>
      <c r="J763" s="553" t="s">
        <v>102</v>
      </c>
      <c r="K763" s="39"/>
      <c r="L763" s="208"/>
      <c r="M763" s="39"/>
      <c r="N763" s="536" t="s">
        <v>2218</v>
      </c>
    </row>
    <row r="764" spans="1:14" s="544" customFormat="1" ht="16.5" customHeight="1">
      <c r="A764" s="16"/>
      <c r="B764" s="39" t="s">
        <v>579</v>
      </c>
      <c r="C764" s="537">
        <v>2</v>
      </c>
      <c r="D764" s="539" t="s">
        <v>273</v>
      </c>
      <c r="E764" s="540">
        <v>4</v>
      </c>
      <c r="F764" s="541">
        <v>1.05</v>
      </c>
      <c r="G764" s="541">
        <v>0</v>
      </c>
      <c r="H764" s="541">
        <v>2.1</v>
      </c>
      <c r="I764" s="545">
        <f t="shared" si="71"/>
        <v>-17.64</v>
      </c>
      <c r="J764" s="553" t="s">
        <v>102</v>
      </c>
      <c r="K764" s="39"/>
      <c r="L764" s="208"/>
      <c r="M764" s="39"/>
      <c r="N764" s="536" t="s">
        <v>2218</v>
      </c>
    </row>
    <row r="765" spans="1:14" s="544" customFormat="1" ht="16.5" customHeight="1">
      <c r="A765" s="16"/>
      <c r="B765" s="39" t="s">
        <v>579</v>
      </c>
      <c r="C765" s="537">
        <v>1</v>
      </c>
      <c r="D765" s="539" t="s">
        <v>273</v>
      </c>
      <c r="E765" s="540">
        <v>3</v>
      </c>
      <c r="F765" s="541">
        <v>0.75</v>
      </c>
      <c r="G765" s="541">
        <v>0</v>
      </c>
      <c r="H765" s="541">
        <v>2.1</v>
      </c>
      <c r="I765" s="545">
        <f t="shared" si="71"/>
        <v>-4.7300000000000004</v>
      </c>
      <c r="J765" s="553" t="s">
        <v>102</v>
      </c>
      <c r="K765" s="39"/>
      <c r="L765" s="208"/>
      <c r="M765" s="39"/>
      <c r="N765" s="536" t="s">
        <v>2218</v>
      </c>
    </row>
    <row r="766" spans="1:14" s="544" customFormat="1" ht="16.5" customHeight="1">
      <c r="A766" s="16"/>
      <c r="B766" s="39" t="s">
        <v>579</v>
      </c>
      <c r="C766" s="537">
        <v>1</v>
      </c>
      <c r="D766" s="539" t="s">
        <v>273</v>
      </c>
      <c r="E766" s="540">
        <v>2</v>
      </c>
      <c r="F766" s="541">
        <v>1.2</v>
      </c>
      <c r="G766" s="541">
        <v>0</v>
      </c>
      <c r="H766" s="541">
        <v>2.1</v>
      </c>
      <c r="I766" s="545">
        <f t="shared" si="71"/>
        <v>-5.04</v>
      </c>
      <c r="J766" s="553" t="s">
        <v>102</v>
      </c>
      <c r="K766" s="39"/>
      <c r="L766" s="208"/>
      <c r="M766" s="39"/>
      <c r="N766" s="536" t="s">
        <v>2218</v>
      </c>
    </row>
    <row r="767" spans="1:14" s="544" customFormat="1" ht="16.5" customHeight="1">
      <c r="A767" s="16"/>
      <c r="B767" s="39" t="s">
        <v>2360</v>
      </c>
      <c r="C767" s="537">
        <v>1</v>
      </c>
      <c r="D767" s="539" t="s">
        <v>273</v>
      </c>
      <c r="E767" s="540">
        <v>7</v>
      </c>
      <c r="F767" s="541">
        <v>1.5</v>
      </c>
      <c r="G767" s="541">
        <v>0</v>
      </c>
      <c r="H767" s="541">
        <v>1.35</v>
      </c>
      <c r="I767" s="545">
        <f t="shared" si="71"/>
        <v>-14.18</v>
      </c>
      <c r="J767" s="553" t="s">
        <v>102</v>
      </c>
      <c r="K767" s="39"/>
      <c r="L767" s="208"/>
      <c r="M767" s="39"/>
      <c r="N767" s="536" t="s">
        <v>2218</v>
      </c>
    </row>
    <row r="768" spans="1:14" s="544" customFormat="1" ht="16.5" customHeight="1">
      <c r="A768" s="16"/>
      <c r="B768" s="39" t="s">
        <v>2141</v>
      </c>
      <c r="C768" s="537">
        <v>1</v>
      </c>
      <c r="D768" s="539" t="s">
        <v>273</v>
      </c>
      <c r="E768" s="540">
        <v>12</v>
      </c>
      <c r="F768" s="541">
        <v>0.6</v>
      </c>
      <c r="G768" s="541">
        <v>0</v>
      </c>
      <c r="H768" s="541">
        <v>0.3</v>
      </c>
      <c r="I768" s="545">
        <f t="shared" si="71"/>
        <v>-2.16</v>
      </c>
      <c r="J768" s="553" t="s">
        <v>102</v>
      </c>
      <c r="K768" s="39"/>
      <c r="L768" s="208"/>
      <c r="M768" s="39"/>
      <c r="N768" s="536" t="s">
        <v>2218</v>
      </c>
    </row>
    <row r="769" spans="1:14" s="544" customFormat="1" ht="16.5" customHeight="1">
      <c r="A769" s="16"/>
      <c r="B769" s="547"/>
      <c r="C769" s="548"/>
      <c r="D769" s="549"/>
      <c r="E769" s="550"/>
      <c r="F769" s="551"/>
      <c r="G769" s="551"/>
      <c r="H769" s="551"/>
      <c r="I769" s="552"/>
      <c r="J769" s="553"/>
      <c r="K769" s="39"/>
      <c r="L769" s="208"/>
      <c r="M769" s="39"/>
      <c r="N769" s="536" t="s">
        <v>2218</v>
      </c>
    </row>
    <row r="770" spans="1:14" ht="15.75">
      <c r="A770" s="16"/>
      <c r="B770" s="39"/>
      <c r="C770" s="554"/>
      <c r="D770" s="555"/>
      <c r="E770" s="540"/>
      <c r="F770" s="541"/>
      <c r="G770" s="40"/>
      <c r="H770" s="16"/>
      <c r="I770" s="552"/>
      <c r="J770" s="553" t="s">
        <v>102</v>
      </c>
      <c r="K770" s="10">
        <f>data!F512</f>
        <v>348.66</v>
      </c>
      <c r="L770" s="208" t="s">
        <v>2218</v>
      </c>
      <c r="M770" s="9">
        <f>ROUND(I770*K770,0)</f>
        <v>0</v>
      </c>
      <c r="N770" s="536" t="s">
        <v>2218</v>
      </c>
    </row>
    <row r="771" spans="1:14" ht="71.25" customHeight="1">
      <c r="A771" s="16">
        <v>11</v>
      </c>
      <c r="B771" s="1858" t="s">
        <v>808</v>
      </c>
      <c r="C771" s="1858"/>
      <c r="D771" s="1858"/>
      <c r="E771" s="1858"/>
      <c r="F771" s="1858"/>
      <c r="G771" s="1858"/>
      <c r="H771" s="1858"/>
      <c r="I771" s="537"/>
      <c r="J771" s="538"/>
      <c r="K771" s="16"/>
      <c r="L771" s="208"/>
      <c r="M771" s="38"/>
      <c r="N771" s="536" t="s">
        <v>2306</v>
      </c>
    </row>
    <row r="772" spans="1:14" s="544" customFormat="1" ht="16.5" customHeight="1">
      <c r="A772" s="16"/>
      <c r="B772" s="39" t="s">
        <v>2994</v>
      </c>
      <c r="C772" s="537"/>
      <c r="D772" s="539"/>
      <c r="E772" s="540"/>
      <c r="F772" s="541"/>
      <c r="G772" s="541"/>
      <c r="H772" s="541"/>
      <c r="I772" s="542"/>
      <c r="J772" s="553"/>
      <c r="K772" s="39"/>
      <c r="L772" s="208"/>
      <c r="M772" s="39"/>
      <c r="N772" s="536" t="s">
        <v>2306</v>
      </c>
    </row>
    <row r="773" spans="1:14" s="544" customFormat="1" ht="16.5" customHeight="1">
      <c r="A773" s="16"/>
      <c r="B773" s="39" t="s">
        <v>223</v>
      </c>
      <c r="C773" s="537">
        <v>1</v>
      </c>
      <c r="D773" s="539" t="s">
        <v>273</v>
      </c>
      <c r="E773" s="540">
        <v>1</v>
      </c>
      <c r="F773" s="541">
        <v>17.399999999999999</v>
      </c>
      <c r="G773" s="541">
        <v>0</v>
      </c>
      <c r="H773" s="541">
        <v>3.1749999999999998</v>
      </c>
      <c r="I773" s="545">
        <f t="shared" ref="I773" si="72">ROUND(IF(AND(F773:H773),C773*E773*F773*G773*H773,IF(AND(F773,G773),C773*E773*F773*G773,IF(AND(F773,H773),C773*E773*F773*H773,IF(AND(G773,H773),C773*E773*G773*H773,IF(F773,C773*E773*F773,IF(G773,C773*E773*G773,IF(H773,C773*E773*H773,C773*E773))))))),2)</f>
        <v>55.25</v>
      </c>
      <c r="J773" s="553" t="s">
        <v>102</v>
      </c>
      <c r="K773" s="39"/>
      <c r="L773" s="208"/>
      <c r="M773" s="39"/>
      <c r="N773" s="536" t="s">
        <v>2306</v>
      </c>
    </row>
    <row r="774" spans="1:14" s="544" customFormat="1" ht="16.5" customHeight="1">
      <c r="A774" s="16"/>
      <c r="B774" s="39" t="s">
        <v>579</v>
      </c>
      <c r="C774" s="537">
        <v>1</v>
      </c>
      <c r="D774" s="539" t="s">
        <v>273</v>
      </c>
      <c r="E774" s="540">
        <v>2</v>
      </c>
      <c r="F774" s="541">
        <v>1</v>
      </c>
      <c r="G774" s="541">
        <v>0</v>
      </c>
      <c r="H774" s="541">
        <v>2.1</v>
      </c>
      <c r="I774" s="545">
        <f>-ROUND(IF(AND(F774:H774),C774*E774*F774*G774*H774,IF(AND(F774,G774),C774*E774*F774*G774,IF(AND(F774,H774),C774*E774*F774*H774,IF(AND(G774,H774),C774*E774*G774*H774,IF(F774,C774*E774*F774,IF(G774,C774*E774*G774,IF(H774,C774*E774*H774,C774*E774))))))),2)</f>
        <v>-4.2</v>
      </c>
      <c r="J774" s="553" t="s">
        <v>102</v>
      </c>
      <c r="K774" s="39"/>
      <c r="L774" s="208"/>
      <c r="M774" s="39"/>
      <c r="N774" s="536" t="s">
        <v>2306</v>
      </c>
    </row>
    <row r="775" spans="1:14" s="544" customFormat="1" ht="16.5" customHeight="1">
      <c r="A775" s="16"/>
      <c r="B775" s="39" t="s">
        <v>2360</v>
      </c>
      <c r="C775" s="537">
        <v>1</v>
      </c>
      <c r="D775" s="539" t="s">
        <v>273</v>
      </c>
      <c r="E775" s="540">
        <v>2</v>
      </c>
      <c r="F775" s="541">
        <v>1.4</v>
      </c>
      <c r="G775" s="541">
        <v>0</v>
      </c>
      <c r="H775" s="541">
        <v>1.45</v>
      </c>
      <c r="I775" s="545">
        <f>-ROUND(IF(AND(F775:H775),C775*E775*F775*G775*H775,IF(AND(F775,G775),C775*E775*F775*G775,IF(AND(F775,H775),C775*E775*F775*H775,IF(AND(G775,H775),C775*E775*G775*H775,IF(F775,C775*E775*F775,IF(G775,C775*E775*G775,IF(H775,C775*E775*H775,C775*E775))))))),2)</f>
        <v>-4.0599999999999996</v>
      </c>
      <c r="J775" s="553" t="s">
        <v>102</v>
      </c>
      <c r="K775" s="39"/>
      <c r="L775" s="208"/>
      <c r="M775" s="39"/>
      <c r="N775" s="536" t="s">
        <v>2306</v>
      </c>
    </row>
    <row r="776" spans="1:14" s="544" customFormat="1" ht="16.5" customHeight="1">
      <c r="A776" s="16"/>
      <c r="B776" s="39" t="s">
        <v>2141</v>
      </c>
      <c r="C776" s="537">
        <v>1</v>
      </c>
      <c r="D776" s="539" t="s">
        <v>273</v>
      </c>
      <c r="E776" s="540">
        <v>2</v>
      </c>
      <c r="F776" s="541">
        <v>0.6</v>
      </c>
      <c r="G776" s="541">
        <v>0</v>
      </c>
      <c r="H776" s="541">
        <v>0.3</v>
      </c>
      <c r="I776" s="545">
        <f>-ROUND(IF(AND(F776:H776),C776*E776*F776*G776*H776,IF(AND(F776,G776),C776*E776*F776*G776,IF(AND(F776,H776),C776*E776*F776*H776,IF(AND(G776,H776),C776*E776*G776*H776,IF(F776,C776*E776*F776,IF(G776,C776*E776*G776,IF(H776,C776*E776*H776,C776*E776))))))),2)</f>
        <v>-0.36</v>
      </c>
      <c r="J776" s="553" t="s">
        <v>102</v>
      </c>
      <c r="K776" s="39"/>
      <c r="L776" s="208"/>
      <c r="M776" s="39"/>
      <c r="N776" s="536" t="s">
        <v>2306</v>
      </c>
    </row>
    <row r="777" spans="1:14" s="544" customFormat="1" ht="16.5" customHeight="1">
      <c r="A777" s="16"/>
      <c r="B777" s="39" t="s">
        <v>2995</v>
      </c>
      <c r="C777" s="537">
        <v>1</v>
      </c>
      <c r="D777" s="539" t="s">
        <v>273</v>
      </c>
      <c r="E777" s="540">
        <v>1</v>
      </c>
      <c r="F777" s="541">
        <v>21.6</v>
      </c>
      <c r="G777" s="541">
        <v>0</v>
      </c>
      <c r="H777" s="541">
        <v>3.1749999999999998</v>
      </c>
      <c r="I777" s="545">
        <f t="shared" ref="I777:I805" si="73">ROUND(IF(AND(F777:H777),C777*E777*F777*G777*H777,IF(AND(F777,G777),C777*E777*F777*G777,IF(AND(F777,H777),C777*E777*F777*H777,IF(AND(G777,H777),C777*E777*G777*H777,IF(F777,C777*E777*F777,IF(G777,C777*E777*G777,IF(H777,C777*E777*H777,C777*E777))))))),2)</f>
        <v>68.58</v>
      </c>
      <c r="J777" s="553" t="s">
        <v>102</v>
      </c>
      <c r="K777" s="39"/>
      <c r="L777" s="208"/>
      <c r="M777" s="39"/>
      <c r="N777" s="536" t="s">
        <v>2306</v>
      </c>
    </row>
    <row r="778" spans="1:14" s="544" customFormat="1" ht="16.5" customHeight="1">
      <c r="A778" s="16"/>
      <c r="B778" s="39" t="s">
        <v>579</v>
      </c>
      <c r="C778" s="537">
        <v>1</v>
      </c>
      <c r="D778" s="539" t="s">
        <v>273</v>
      </c>
      <c r="E778" s="540">
        <v>1</v>
      </c>
      <c r="F778" s="541">
        <v>1.2</v>
      </c>
      <c r="G778" s="541">
        <v>0</v>
      </c>
      <c r="H778" s="541">
        <v>2.1</v>
      </c>
      <c r="I778" s="545">
        <f>-ROUND(IF(AND(F778:H778),C778*E778*F778*G778*H778,IF(AND(F778,G778),C778*E778*F778*G778,IF(AND(F778,H778),C778*E778*F778*H778,IF(AND(G778,H778),C778*E778*G778*H778,IF(F778,C778*E778*F778,IF(G778,C778*E778*G778,IF(H778,C778*E778*H778,C778*E778))))))),2)</f>
        <v>-2.52</v>
      </c>
      <c r="J778" s="553" t="s">
        <v>102</v>
      </c>
      <c r="K778" s="39"/>
      <c r="L778" s="208"/>
      <c r="M778" s="39"/>
      <c r="N778" s="536" t="s">
        <v>2306</v>
      </c>
    </row>
    <row r="779" spans="1:14" s="544" customFormat="1" ht="16.5" customHeight="1">
      <c r="A779" s="16"/>
      <c r="B779" s="39" t="s">
        <v>579</v>
      </c>
      <c r="C779" s="537">
        <v>1</v>
      </c>
      <c r="D779" s="539" t="s">
        <v>273</v>
      </c>
      <c r="E779" s="540">
        <v>4</v>
      </c>
      <c r="F779" s="541">
        <v>1</v>
      </c>
      <c r="G779" s="541">
        <v>0</v>
      </c>
      <c r="H779" s="541">
        <v>2.1</v>
      </c>
      <c r="I779" s="545">
        <f>-ROUND(IF(AND(F779:H779),C779*E779*F779*G779*H779,IF(AND(F779,G779),C779*E779*F779*G779,IF(AND(F779,H779),C779*E779*F779*H779,IF(AND(G779,H779),C779*E779*G779*H779,IF(F779,C779*E779*F779,IF(G779,C779*E779*G779,IF(H779,C779*E779*H779,C779*E779))))))),2)</f>
        <v>-8.4</v>
      </c>
      <c r="J779" s="553" t="s">
        <v>102</v>
      </c>
      <c r="K779" s="39"/>
      <c r="L779" s="208"/>
      <c r="M779" s="39"/>
      <c r="N779" s="536" t="s">
        <v>2306</v>
      </c>
    </row>
    <row r="780" spans="1:14" s="544" customFormat="1" ht="16.5" customHeight="1">
      <c r="A780" s="16"/>
      <c r="B780" s="39" t="s">
        <v>579</v>
      </c>
      <c r="C780" s="537">
        <v>1</v>
      </c>
      <c r="D780" s="539" t="s">
        <v>273</v>
      </c>
      <c r="E780" s="540">
        <v>2</v>
      </c>
      <c r="F780" s="541">
        <v>0.75</v>
      </c>
      <c r="G780" s="541">
        <v>0</v>
      </c>
      <c r="H780" s="541">
        <v>2.1</v>
      </c>
      <c r="I780" s="545">
        <f>-ROUND(IF(AND(F780:H780),C780*E780*F780*G780*H780,IF(AND(F780,G780),C780*E780*F780*G780,IF(AND(F780,H780),C780*E780*F780*H780,IF(AND(G780,H780),C780*E780*G780*H780,IF(F780,C780*E780*F780,IF(G780,C780*E780*G780,IF(H780,C780*E780*H780,C780*E780))))))),2)</f>
        <v>-3.15</v>
      </c>
      <c r="J780" s="553" t="s">
        <v>102</v>
      </c>
      <c r="K780" s="39"/>
      <c r="L780" s="208"/>
      <c r="M780" s="39"/>
      <c r="N780" s="536" t="s">
        <v>2306</v>
      </c>
    </row>
    <row r="781" spans="1:14" s="544" customFormat="1" ht="16.5" customHeight="1">
      <c r="A781" s="16"/>
      <c r="B781" s="39" t="s">
        <v>2360</v>
      </c>
      <c r="C781" s="537">
        <v>1</v>
      </c>
      <c r="D781" s="539" t="s">
        <v>273</v>
      </c>
      <c r="E781" s="540">
        <v>1</v>
      </c>
      <c r="F781" s="541">
        <v>1.4</v>
      </c>
      <c r="G781" s="541">
        <v>0</v>
      </c>
      <c r="H781" s="541">
        <v>1.45</v>
      </c>
      <c r="I781" s="545">
        <f>-ROUND(IF(AND(F781:H781),C781*E781*F781*G781*H781,IF(AND(F781,G781),C781*E781*F781*G781,IF(AND(F781,H781),C781*E781*F781*H781,IF(AND(G781,H781),C781*E781*G781*H781,IF(F781,C781*E781*F781,IF(G781,C781*E781*G781,IF(H781,C781*E781*H781,C781*E781))))))),2)</f>
        <v>-2.0299999999999998</v>
      </c>
      <c r="J781" s="553" t="s">
        <v>102</v>
      </c>
      <c r="K781" s="39"/>
      <c r="L781" s="208"/>
      <c r="M781" s="39"/>
      <c r="N781" s="536" t="s">
        <v>2306</v>
      </c>
    </row>
    <row r="782" spans="1:14" s="544" customFormat="1" ht="16.5" customHeight="1">
      <c r="A782" s="16"/>
      <c r="B782" s="39" t="s">
        <v>2141</v>
      </c>
      <c r="C782" s="537">
        <v>1</v>
      </c>
      <c r="D782" s="539" t="s">
        <v>273</v>
      </c>
      <c r="E782" s="540">
        <v>1</v>
      </c>
      <c r="F782" s="541">
        <v>0.6</v>
      </c>
      <c r="G782" s="541">
        <v>0</v>
      </c>
      <c r="H782" s="541">
        <v>0.3</v>
      </c>
      <c r="I782" s="545">
        <f>-ROUND(IF(AND(F782:H782),C782*E782*F782*G782*H782,IF(AND(F782,G782),C782*E782*F782*G782,IF(AND(F782,H782),C782*E782*F782*H782,IF(AND(G782,H782),C782*E782*G782*H782,IF(F782,C782*E782*F782,IF(G782,C782*E782*G782,IF(H782,C782*E782*H782,C782*E782))))))),2)</f>
        <v>-0.18</v>
      </c>
      <c r="J782" s="553" t="s">
        <v>102</v>
      </c>
      <c r="K782" s="39"/>
      <c r="L782" s="208"/>
      <c r="M782" s="39"/>
      <c r="N782" s="536" t="s">
        <v>2306</v>
      </c>
    </row>
    <row r="783" spans="1:14" s="544" customFormat="1" ht="16.5" customHeight="1">
      <c r="A783" s="16"/>
      <c r="B783" s="39" t="s">
        <v>2996</v>
      </c>
      <c r="C783" s="537">
        <v>1</v>
      </c>
      <c r="D783" s="539" t="s">
        <v>273</v>
      </c>
      <c r="E783" s="540">
        <v>1</v>
      </c>
      <c r="F783" s="541">
        <v>13.1</v>
      </c>
      <c r="G783" s="541">
        <v>0</v>
      </c>
      <c r="H783" s="541">
        <v>3.1749999999999998</v>
      </c>
      <c r="I783" s="545">
        <f t="shared" ref="I783:I787" si="74">ROUND(IF(AND(F783:H783),C783*E783*F783*G783*H783,IF(AND(F783,G783),C783*E783*F783*G783,IF(AND(F783,H783),C783*E783*F783*H783,IF(AND(G783,H783),C783*E783*G783*H783,IF(F783,C783*E783*F783,IF(G783,C783*E783*G783,IF(H783,C783*E783*H783,C783*E783))))))),2)</f>
        <v>41.59</v>
      </c>
      <c r="J783" s="553" t="s">
        <v>102</v>
      </c>
      <c r="K783" s="39"/>
      <c r="L783" s="208"/>
      <c r="M783" s="39"/>
      <c r="N783" s="536" t="s">
        <v>2306</v>
      </c>
    </row>
    <row r="784" spans="1:14" s="544" customFormat="1" ht="16.5" customHeight="1">
      <c r="A784" s="16"/>
      <c r="B784" s="39" t="s">
        <v>579</v>
      </c>
      <c r="C784" s="537">
        <v>1</v>
      </c>
      <c r="D784" s="539" t="s">
        <v>273</v>
      </c>
      <c r="E784" s="540">
        <v>1</v>
      </c>
      <c r="F784" s="541">
        <v>1</v>
      </c>
      <c r="G784" s="541">
        <v>0</v>
      </c>
      <c r="H784" s="541">
        <v>2.1</v>
      </c>
      <c r="I784" s="545">
        <f>-ROUND(IF(AND(F784:H784),C784*E784*F784*G784*H784,IF(AND(F784,G784),C784*E784*F784*G784,IF(AND(F784,H784),C784*E784*F784*H784,IF(AND(G784,H784),C784*E784*G784*H784,IF(F784,C784*E784*F784,IF(G784,C784*E784*G784,IF(H784,C784*E784*H784,C784*E784))))))),2)</f>
        <v>-2.1</v>
      </c>
      <c r="J784" s="553" t="s">
        <v>102</v>
      </c>
      <c r="K784" s="39"/>
      <c r="L784" s="208"/>
      <c r="M784" s="39"/>
      <c r="N784" s="536" t="s">
        <v>2306</v>
      </c>
    </row>
    <row r="785" spans="1:14" s="544" customFormat="1" ht="16.5" customHeight="1">
      <c r="A785" s="16"/>
      <c r="B785" s="39" t="s">
        <v>2360</v>
      </c>
      <c r="C785" s="537">
        <v>1</v>
      </c>
      <c r="D785" s="539" t="s">
        <v>273</v>
      </c>
      <c r="E785" s="540">
        <v>2</v>
      </c>
      <c r="F785" s="541">
        <v>1.4</v>
      </c>
      <c r="G785" s="541">
        <v>0</v>
      </c>
      <c r="H785" s="541">
        <v>1.45</v>
      </c>
      <c r="I785" s="545">
        <f>-ROUND(IF(AND(F785:H785),C785*E785*F785*G785*H785,IF(AND(F785,G785),C785*E785*F785*G785,IF(AND(F785,H785),C785*E785*F785*H785,IF(AND(G785,H785),C785*E785*G785*H785,IF(F785,C785*E785*F785,IF(G785,C785*E785*G785,IF(H785,C785*E785*H785,C785*E785))))))),2)</f>
        <v>-4.0599999999999996</v>
      </c>
      <c r="J785" s="553" t="s">
        <v>102</v>
      </c>
      <c r="K785" s="39"/>
      <c r="L785" s="208"/>
      <c r="M785" s="39"/>
      <c r="N785" s="536" t="s">
        <v>2306</v>
      </c>
    </row>
    <row r="786" spans="1:14" s="544" customFormat="1" ht="16.5" customHeight="1">
      <c r="A786" s="16"/>
      <c r="B786" s="39" t="s">
        <v>2141</v>
      </c>
      <c r="C786" s="537">
        <v>1</v>
      </c>
      <c r="D786" s="539" t="s">
        <v>273</v>
      </c>
      <c r="E786" s="540">
        <v>1</v>
      </c>
      <c r="F786" s="541">
        <v>0.6</v>
      </c>
      <c r="G786" s="541">
        <v>0</v>
      </c>
      <c r="H786" s="541">
        <v>0.3</v>
      </c>
      <c r="I786" s="545">
        <f>-ROUND(IF(AND(F786:H786),C786*E786*F786*G786*H786,IF(AND(F786,G786),C786*E786*F786*G786,IF(AND(F786,H786),C786*E786*F786*H786,IF(AND(G786,H786),C786*E786*G786*H786,IF(F786,C786*E786*F786,IF(G786,C786*E786*G786,IF(H786,C786*E786*H786,C786*E786))))))),2)</f>
        <v>-0.18</v>
      </c>
      <c r="J786" s="553" t="s">
        <v>102</v>
      </c>
      <c r="K786" s="39"/>
      <c r="L786" s="208"/>
      <c r="M786" s="39"/>
      <c r="N786" s="536" t="s">
        <v>2306</v>
      </c>
    </row>
    <row r="787" spans="1:14" s="544" customFormat="1" ht="16.5" customHeight="1">
      <c r="A787" s="16"/>
      <c r="B787" s="39" t="s">
        <v>2997</v>
      </c>
      <c r="C787" s="537">
        <v>1</v>
      </c>
      <c r="D787" s="539" t="s">
        <v>273</v>
      </c>
      <c r="E787" s="540">
        <v>1</v>
      </c>
      <c r="F787" s="541">
        <v>11.9</v>
      </c>
      <c r="G787" s="541">
        <v>0</v>
      </c>
      <c r="H787" s="541">
        <v>3.1749999999999998</v>
      </c>
      <c r="I787" s="545">
        <f t="shared" si="74"/>
        <v>37.78</v>
      </c>
      <c r="J787" s="553" t="s">
        <v>102</v>
      </c>
      <c r="K787" s="39"/>
      <c r="L787" s="208"/>
      <c r="M787" s="39"/>
      <c r="N787" s="536" t="s">
        <v>2306</v>
      </c>
    </row>
    <row r="788" spans="1:14" s="544" customFormat="1" ht="16.5" customHeight="1">
      <c r="A788" s="16"/>
      <c r="B788" s="39" t="s">
        <v>579</v>
      </c>
      <c r="C788" s="537">
        <v>1</v>
      </c>
      <c r="D788" s="539" t="s">
        <v>273</v>
      </c>
      <c r="E788" s="540">
        <v>1</v>
      </c>
      <c r="F788" s="541">
        <v>1</v>
      </c>
      <c r="G788" s="541">
        <v>0</v>
      </c>
      <c r="H788" s="541">
        <v>2.1</v>
      </c>
      <c r="I788" s="545">
        <f>-ROUND(IF(AND(F788:H788),C788*E788*F788*G788*H788,IF(AND(F788,G788),C788*E788*F788*G788,IF(AND(F788,H788),C788*E788*F788*H788,IF(AND(G788,H788),C788*E788*G788*H788,IF(F788,C788*E788*F788,IF(G788,C788*E788*G788,IF(H788,C788*E788*H788,C788*E788))))))),2)</f>
        <v>-2.1</v>
      </c>
      <c r="J788" s="553" t="s">
        <v>102</v>
      </c>
      <c r="K788" s="39"/>
      <c r="L788" s="208"/>
      <c r="M788" s="39"/>
      <c r="N788" s="536" t="s">
        <v>2306</v>
      </c>
    </row>
    <row r="789" spans="1:14" s="544" customFormat="1" ht="16.5" customHeight="1">
      <c r="A789" s="16"/>
      <c r="B789" s="39" t="s">
        <v>2360</v>
      </c>
      <c r="C789" s="537">
        <v>1</v>
      </c>
      <c r="D789" s="539" t="s">
        <v>273</v>
      </c>
      <c r="E789" s="540">
        <v>1</v>
      </c>
      <c r="F789" s="541">
        <v>1.4</v>
      </c>
      <c r="G789" s="541">
        <v>0</v>
      </c>
      <c r="H789" s="541">
        <v>1.45</v>
      </c>
      <c r="I789" s="545">
        <f>-ROUND(IF(AND(F789:H789),C789*E789*F789*G789*H789,IF(AND(F789,G789),C789*E789*F789*G789,IF(AND(F789,H789),C789*E789*F789*H789,IF(AND(G789,H789),C789*E789*G789*H789,IF(F789,C789*E789*F789,IF(G789,C789*E789*G789,IF(H789,C789*E789*H789,C789*E789))))))),2)</f>
        <v>-2.0299999999999998</v>
      </c>
      <c r="J789" s="553" t="s">
        <v>102</v>
      </c>
      <c r="K789" s="39"/>
      <c r="L789" s="208"/>
      <c r="M789" s="39"/>
      <c r="N789" s="536" t="s">
        <v>2306</v>
      </c>
    </row>
    <row r="790" spans="1:14" s="544" customFormat="1" ht="16.5" customHeight="1">
      <c r="A790" s="16"/>
      <c r="B790" s="39" t="s">
        <v>2141</v>
      </c>
      <c r="C790" s="537">
        <v>1</v>
      </c>
      <c r="D790" s="539" t="s">
        <v>273</v>
      </c>
      <c r="E790" s="540">
        <v>1</v>
      </c>
      <c r="F790" s="541">
        <v>0.6</v>
      </c>
      <c r="G790" s="541">
        <v>0</v>
      </c>
      <c r="H790" s="541">
        <v>0.3</v>
      </c>
      <c r="I790" s="545">
        <f>-ROUND(IF(AND(F790:H790),C790*E790*F790*G790*H790,IF(AND(F790,G790),C790*E790*F790*G790,IF(AND(F790,H790),C790*E790*F790*H790,IF(AND(G790,H790),C790*E790*G790*H790,IF(F790,C790*E790*F790,IF(G790,C790*E790*G790,IF(H790,C790*E790*H790,C790*E790))))))),2)</f>
        <v>-0.18</v>
      </c>
      <c r="J790" s="553" t="s">
        <v>102</v>
      </c>
      <c r="K790" s="39"/>
      <c r="L790" s="208"/>
      <c r="M790" s="39"/>
      <c r="N790" s="536" t="s">
        <v>2306</v>
      </c>
    </row>
    <row r="791" spans="1:14" s="544" customFormat="1" ht="16.5" customHeight="1">
      <c r="A791" s="16"/>
      <c r="B791" s="39" t="s">
        <v>2998</v>
      </c>
      <c r="C791" s="537">
        <v>1</v>
      </c>
      <c r="D791" s="539" t="s">
        <v>273</v>
      </c>
      <c r="E791" s="540">
        <v>1</v>
      </c>
      <c r="F791" s="541">
        <v>12</v>
      </c>
      <c r="G791" s="541">
        <v>0</v>
      </c>
      <c r="H791" s="541">
        <v>3.1749999999999998</v>
      </c>
      <c r="I791" s="545">
        <f t="shared" si="73"/>
        <v>38.1</v>
      </c>
      <c r="J791" s="553" t="s">
        <v>102</v>
      </c>
      <c r="K791" s="39"/>
      <c r="L791" s="208"/>
      <c r="M791" s="39"/>
      <c r="N791" s="536" t="s">
        <v>2306</v>
      </c>
    </row>
    <row r="792" spans="1:14" s="544" customFormat="1" ht="16.5" customHeight="1">
      <c r="A792" s="16"/>
      <c r="B792" s="39" t="s">
        <v>579</v>
      </c>
      <c r="C792" s="537">
        <v>1</v>
      </c>
      <c r="D792" s="539" t="s">
        <v>273</v>
      </c>
      <c r="E792" s="540">
        <v>1</v>
      </c>
      <c r="F792" s="541">
        <v>1</v>
      </c>
      <c r="G792" s="541">
        <v>0</v>
      </c>
      <c r="H792" s="541">
        <v>2.1</v>
      </c>
      <c r="I792" s="545">
        <f>-ROUND(IF(AND(F792:H792),C792*E792*F792*G792*H792,IF(AND(F792,G792),C792*E792*F792*G792,IF(AND(F792,H792),C792*E792*F792*H792,IF(AND(G792,H792),C792*E792*G792*H792,IF(F792,C792*E792*F792,IF(G792,C792*E792*G792,IF(H792,C792*E792*H792,C792*E792))))))),2)</f>
        <v>-2.1</v>
      </c>
      <c r="J792" s="553" t="s">
        <v>102</v>
      </c>
      <c r="K792" s="39"/>
      <c r="L792" s="208"/>
      <c r="M792" s="39"/>
      <c r="N792" s="536" t="s">
        <v>2306</v>
      </c>
    </row>
    <row r="793" spans="1:14" s="544" customFormat="1" ht="16.5" customHeight="1">
      <c r="A793" s="16"/>
      <c r="B793" s="39" t="s">
        <v>2360</v>
      </c>
      <c r="C793" s="537">
        <v>1</v>
      </c>
      <c r="D793" s="539" t="s">
        <v>273</v>
      </c>
      <c r="E793" s="540">
        <v>1</v>
      </c>
      <c r="F793" s="541">
        <v>1.4</v>
      </c>
      <c r="G793" s="541">
        <v>0</v>
      </c>
      <c r="H793" s="541">
        <v>1.45</v>
      </c>
      <c r="I793" s="545">
        <f>-ROUND(IF(AND(F793:H793),C793*E793*F793*G793*H793,IF(AND(F793,G793),C793*E793*F793*G793,IF(AND(F793,H793),C793*E793*F793*H793,IF(AND(G793,H793),C793*E793*G793*H793,IF(F793,C793*E793*F793,IF(G793,C793*E793*G793,IF(H793,C793*E793*H793,C793*E793))))))),2)</f>
        <v>-2.0299999999999998</v>
      </c>
      <c r="J793" s="553" t="s">
        <v>102</v>
      </c>
      <c r="K793" s="39"/>
      <c r="L793" s="208"/>
      <c r="M793" s="39"/>
      <c r="N793" s="536" t="s">
        <v>2306</v>
      </c>
    </row>
    <row r="794" spans="1:14" s="544" customFormat="1" ht="16.5" customHeight="1">
      <c r="A794" s="16"/>
      <c r="B794" s="39" t="s">
        <v>2141</v>
      </c>
      <c r="C794" s="537">
        <v>1</v>
      </c>
      <c r="D794" s="539" t="s">
        <v>273</v>
      </c>
      <c r="E794" s="540">
        <v>1</v>
      </c>
      <c r="F794" s="541">
        <v>0.6</v>
      </c>
      <c r="G794" s="541">
        <v>0</v>
      </c>
      <c r="H794" s="541">
        <v>0.3</v>
      </c>
      <c r="I794" s="545">
        <f>-ROUND(IF(AND(F794:H794),C794*E794*F794*G794*H794,IF(AND(F794,G794),C794*E794*F794*G794,IF(AND(F794,H794),C794*E794*F794*H794,IF(AND(G794,H794),C794*E794*G794*H794,IF(F794,C794*E794*F794,IF(G794,C794*E794*G794,IF(H794,C794*E794*H794,C794*E794))))))),2)</f>
        <v>-0.18</v>
      </c>
      <c r="J794" s="553" t="s">
        <v>102</v>
      </c>
      <c r="K794" s="39"/>
      <c r="L794" s="208"/>
      <c r="M794" s="39"/>
      <c r="N794" s="536" t="s">
        <v>2306</v>
      </c>
    </row>
    <row r="795" spans="1:14" s="544" customFormat="1" ht="16.5" customHeight="1">
      <c r="A795" s="16"/>
      <c r="B795" s="39" t="s">
        <v>2976</v>
      </c>
      <c r="C795" s="537">
        <v>1</v>
      </c>
      <c r="D795" s="539" t="s">
        <v>273</v>
      </c>
      <c r="E795" s="540">
        <v>1</v>
      </c>
      <c r="F795" s="541">
        <v>6.02</v>
      </c>
      <c r="G795" s="541">
        <v>0</v>
      </c>
      <c r="H795" s="541">
        <v>3.1749999999999998</v>
      </c>
      <c r="I795" s="545">
        <f t="shared" si="73"/>
        <v>19.11</v>
      </c>
      <c r="J795" s="553" t="s">
        <v>102</v>
      </c>
      <c r="K795" s="39"/>
      <c r="L795" s="208"/>
      <c r="M795" s="39"/>
      <c r="N795" s="536" t="s">
        <v>2306</v>
      </c>
    </row>
    <row r="796" spans="1:14" s="544" customFormat="1" ht="16.5" customHeight="1">
      <c r="A796" s="16"/>
      <c r="B796" s="39" t="s">
        <v>659</v>
      </c>
      <c r="C796" s="537">
        <v>1</v>
      </c>
      <c r="D796" s="539" t="s">
        <v>273</v>
      </c>
      <c r="E796" s="540">
        <v>1</v>
      </c>
      <c r="F796" s="541">
        <v>6.14</v>
      </c>
      <c r="G796" s="541">
        <v>0</v>
      </c>
      <c r="H796" s="541">
        <v>3.1749999999999998</v>
      </c>
      <c r="I796" s="545">
        <f t="shared" si="73"/>
        <v>19.489999999999998</v>
      </c>
      <c r="J796" s="553" t="s">
        <v>102</v>
      </c>
      <c r="K796" s="39"/>
      <c r="L796" s="208"/>
      <c r="M796" s="39"/>
      <c r="N796" s="536" t="s">
        <v>2306</v>
      </c>
    </row>
    <row r="797" spans="1:14" s="544" customFormat="1" ht="16.5" customHeight="1">
      <c r="A797" s="16"/>
      <c r="B797" s="39" t="s">
        <v>2977</v>
      </c>
      <c r="C797" s="537">
        <v>1</v>
      </c>
      <c r="D797" s="539" t="s">
        <v>273</v>
      </c>
      <c r="E797" s="540">
        <v>1</v>
      </c>
      <c r="F797" s="541">
        <v>6.14</v>
      </c>
      <c r="G797" s="541">
        <v>0</v>
      </c>
      <c r="H797" s="541">
        <v>3.1749999999999998</v>
      </c>
      <c r="I797" s="545">
        <f t="shared" si="73"/>
        <v>19.489999999999998</v>
      </c>
      <c r="J797" s="553" t="s">
        <v>102</v>
      </c>
      <c r="K797" s="39"/>
      <c r="L797" s="208"/>
      <c r="M797" s="39"/>
      <c r="N797" s="536" t="s">
        <v>2306</v>
      </c>
    </row>
    <row r="798" spans="1:14" s="544" customFormat="1" ht="16.5" customHeight="1">
      <c r="A798" s="16"/>
      <c r="B798" s="39"/>
      <c r="C798" s="537">
        <v>1</v>
      </c>
      <c r="D798" s="539" t="s">
        <v>273</v>
      </c>
      <c r="E798" s="540">
        <v>1</v>
      </c>
      <c r="F798" s="541">
        <v>6.02</v>
      </c>
      <c r="G798" s="541">
        <v>0</v>
      </c>
      <c r="H798" s="541">
        <v>3.1749999999999998</v>
      </c>
      <c r="I798" s="545">
        <f t="shared" si="73"/>
        <v>19.11</v>
      </c>
      <c r="J798" s="553" t="s">
        <v>102</v>
      </c>
      <c r="K798" s="39"/>
      <c r="L798" s="208"/>
      <c r="M798" s="39"/>
      <c r="N798" s="536" t="s">
        <v>2306</v>
      </c>
    </row>
    <row r="799" spans="1:14" s="544" customFormat="1" ht="16.5" customHeight="1">
      <c r="A799" s="16"/>
      <c r="B799" s="39" t="s">
        <v>579</v>
      </c>
      <c r="C799" s="537">
        <v>1</v>
      </c>
      <c r="D799" s="539" t="s">
        <v>273</v>
      </c>
      <c r="E799" s="540">
        <v>4</v>
      </c>
      <c r="F799" s="541">
        <v>0.75</v>
      </c>
      <c r="G799" s="541">
        <v>0</v>
      </c>
      <c r="H799" s="541">
        <v>2.1</v>
      </c>
      <c r="I799" s="545">
        <f>-ROUND(IF(AND(F799:H799),C799*E799*F799*G799*H799,IF(AND(F799,G799),C799*E799*F799*G799,IF(AND(F799,H799),C799*E799*F799*H799,IF(AND(G799,H799),C799*E799*G799*H799,IF(F799,C799*E799*F799,IF(G799,C799*E799*G799,IF(H799,C799*E799*H799,C799*E799))))))),2)</f>
        <v>-6.3</v>
      </c>
      <c r="J799" s="553" t="s">
        <v>102</v>
      </c>
      <c r="K799" s="39"/>
      <c r="L799" s="208"/>
      <c r="M799" s="39"/>
      <c r="N799" s="536" t="s">
        <v>2306</v>
      </c>
    </row>
    <row r="800" spans="1:14" s="544" customFormat="1" ht="16.5" customHeight="1">
      <c r="A800" s="16"/>
      <c r="B800" s="39" t="s">
        <v>2141</v>
      </c>
      <c r="C800" s="537">
        <v>1</v>
      </c>
      <c r="D800" s="539" t="s">
        <v>273</v>
      </c>
      <c r="E800" s="540">
        <v>3</v>
      </c>
      <c r="F800" s="541">
        <v>0.3</v>
      </c>
      <c r="G800" s="541">
        <v>0</v>
      </c>
      <c r="H800" s="541">
        <v>0.3</v>
      </c>
      <c r="I800" s="545">
        <f>-ROUND(IF(AND(F800:H800),C800*E800*F800*G800*H800,IF(AND(F800,G800),C800*E800*F800*G800,IF(AND(F800,H800),C800*E800*F800*H800,IF(AND(G800,H800),C800*E800*G800*H800,IF(F800,C800*E800*F800,IF(G800,C800*E800*G800,IF(H800,C800*E800*H800,C800*E800))))))),2)</f>
        <v>-0.27</v>
      </c>
      <c r="J800" s="553" t="s">
        <v>102</v>
      </c>
      <c r="K800" s="39"/>
      <c r="L800" s="208"/>
      <c r="M800" s="39"/>
      <c r="N800" s="536" t="s">
        <v>2306</v>
      </c>
    </row>
    <row r="801" spans="1:14" s="544" customFormat="1" ht="16.5" customHeight="1">
      <c r="A801" s="16"/>
      <c r="B801" s="39" t="s">
        <v>2999</v>
      </c>
      <c r="C801" s="537">
        <v>1</v>
      </c>
      <c r="D801" s="539" t="s">
        <v>273</v>
      </c>
      <c r="E801" s="540">
        <v>1</v>
      </c>
      <c r="F801" s="541">
        <v>8.3000000000000007</v>
      </c>
      <c r="G801" s="541">
        <v>0</v>
      </c>
      <c r="H801" s="541">
        <v>3.1749999999999998</v>
      </c>
      <c r="I801" s="545">
        <f t="shared" si="73"/>
        <v>26.35</v>
      </c>
      <c r="J801" s="553" t="s">
        <v>102</v>
      </c>
      <c r="K801" s="39"/>
      <c r="L801" s="208"/>
      <c r="M801" s="39"/>
      <c r="N801" s="536" t="s">
        <v>2306</v>
      </c>
    </row>
    <row r="802" spans="1:14" s="544" customFormat="1" ht="16.5" customHeight="1">
      <c r="A802" s="16"/>
      <c r="B802" s="39" t="s">
        <v>579</v>
      </c>
      <c r="C802" s="537">
        <v>1</v>
      </c>
      <c r="D802" s="539" t="s">
        <v>273</v>
      </c>
      <c r="E802" s="540">
        <v>2</v>
      </c>
      <c r="F802" s="541">
        <v>1.2</v>
      </c>
      <c r="G802" s="541">
        <v>0</v>
      </c>
      <c r="H802" s="541">
        <v>2.1</v>
      </c>
      <c r="I802" s="545">
        <f>-ROUND(IF(AND(F802:H802),C802*E802*F802*G802*H802,IF(AND(F802,G802),C802*E802*F802*G802,IF(AND(F802,H802),C802*E802*F802*H802,IF(AND(G802,H802),C802*E802*G802*H802,IF(F802,C802*E802*F802,IF(G802,C802*E802*G802,IF(H802,C802*E802*H802,C802*E802))))))),2)</f>
        <v>-5.04</v>
      </c>
      <c r="J802" s="553" t="s">
        <v>102</v>
      </c>
      <c r="K802" s="39"/>
      <c r="L802" s="208"/>
      <c r="M802" s="39"/>
      <c r="N802" s="536" t="s">
        <v>2306</v>
      </c>
    </row>
    <row r="803" spans="1:14" s="544" customFormat="1" ht="16.5" customHeight="1">
      <c r="A803" s="16"/>
      <c r="B803" s="39" t="s">
        <v>2941</v>
      </c>
      <c r="C803" s="537">
        <v>1</v>
      </c>
      <c r="D803" s="539" t="s">
        <v>273</v>
      </c>
      <c r="E803" s="540">
        <v>1</v>
      </c>
      <c r="F803" s="541">
        <v>3.62</v>
      </c>
      <c r="G803" s="541">
        <v>0</v>
      </c>
      <c r="H803" s="541">
        <v>3.1749999999999998</v>
      </c>
      <c r="I803" s="545">
        <f t="shared" si="73"/>
        <v>11.49</v>
      </c>
      <c r="J803" s="553" t="s">
        <v>102</v>
      </c>
      <c r="K803" s="39"/>
      <c r="L803" s="208"/>
      <c r="M803" s="39"/>
      <c r="N803" s="536" t="s">
        <v>2306</v>
      </c>
    </row>
    <row r="804" spans="1:14" s="544" customFormat="1" ht="16.5" customHeight="1">
      <c r="A804" s="16"/>
      <c r="B804" s="39" t="s">
        <v>3000</v>
      </c>
      <c r="C804" s="537">
        <v>1</v>
      </c>
      <c r="D804" s="539" t="s">
        <v>273</v>
      </c>
      <c r="E804" s="540">
        <v>1</v>
      </c>
      <c r="F804" s="541">
        <v>4.83</v>
      </c>
      <c r="G804" s="541">
        <v>0</v>
      </c>
      <c r="H804" s="541">
        <v>0.9</v>
      </c>
      <c r="I804" s="545">
        <f t="shared" si="73"/>
        <v>4.3499999999999996</v>
      </c>
      <c r="J804" s="553" t="s">
        <v>102</v>
      </c>
      <c r="K804" s="39"/>
      <c r="L804" s="208"/>
      <c r="M804" s="39"/>
      <c r="N804" s="536" t="s">
        <v>2306</v>
      </c>
    </row>
    <row r="805" spans="1:14" s="544" customFormat="1" ht="16.5" customHeight="1">
      <c r="A805" s="16"/>
      <c r="B805" s="39"/>
      <c r="C805" s="537">
        <v>1</v>
      </c>
      <c r="D805" s="539" t="s">
        <v>273</v>
      </c>
      <c r="E805" s="540">
        <v>1</v>
      </c>
      <c r="F805" s="541">
        <v>2.66</v>
      </c>
      <c r="G805" s="541">
        <v>0</v>
      </c>
      <c r="H805" s="541">
        <v>0.9</v>
      </c>
      <c r="I805" s="545">
        <f t="shared" si="73"/>
        <v>2.39</v>
      </c>
      <c r="J805" s="553" t="s">
        <v>102</v>
      </c>
      <c r="K805" s="39"/>
      <c r="L805" s="208"/>
      <c r="M805" s="39"/>
      <c r="N805" s="536" t="s">
        <v>2306</v>
      </c>
    </row>
    <row r="806" spans="1:14" s="544" customFormat="1" ht="16.5" customHeight="1">
      <c r="A806" s="16"/>
      <c r="B806" s="39" t="s">
        <v>579</v>
      </c>
      <c r="C806" s="537">
        <v>1</v>
      </c>
      <c r="D806" s="539" t="s">
        <v>273</v>
      </c>
      <c r="E806" s="540">
        <v>1</v>
      </c>
      <c r="F806" s="541">
        <v>1.2</v>
      </c>
      <c r="G806" s="541">
        <v>0</v>
      </c>
      <c r="H806" s="541">
        <v>0.9</v>
      </c>
      <c r="I806" s="545">
        <f>-ROUND(IF(AND(F806:H806),C806*E806*F806*G806*H806,IF(AND(F806,G806),C806*E806*F806*G806,IF(AND(F806,H806),C806*E806*F806*H806,IF(AND(G806,H806),C806*E806*G806*H806,IF(F806,C806*E806*F806,IF(G806,C806*E806*G806,IF(H806,C806*E806*H806,C806*E806))))))),2)</f>
        <v>-1.08</v>
      </c>
      <c r="J806" s="553" t="s">
        <v>102</v>
      </c>
      <c r="K806" s="39"/>
      <c r="L806" s="208"/>
      <c r="M806" s="39"/>
      <c r="N806" s="536" t="s">
        <v>2306</v>
      </c>
    </row>
    <row r="807" spans="1:14" s="544" customFormat="1" ht="16.5" customHeight="1">
      <c r="A807" s="16"/>
      <c r="B807" s="39" t="s">
        <v>3001</v>
      </c>
      <c r="C807" s="537">
        <v>1</v>
      </c>
      <c r="D807" s="539" t="s">
        <v>273</v>
      </c>
      <c r="E807" s="540">
        <v>1</v>
      </c>
      <c r="F807" s="541">
        <v>2.72</v>
      </c>
      <c r="G807" s="541">
        <v>0</v>
      </c>
      <c r="H807" s="541">
        <v>1.5</v>
      </c>
      <c r="I807" s="545">
        <f t="shared" ref="I807" si="75">ROUND(IF(AND(F807:H807),C807*E807*F807*G807*H807,IF(AND(F807,G807),C807*E807*F807*G807,IF(AND(F807,H807),C807*E807*F807*H807,IF(AND(G807,H807),C807*E807*G807*H807,IF(F807,C807*E807*F807,IF(G807,C807*E807*G807,IF(H807,C807*E807*H807,C807*E807))))))),2)</f>
        <v>4.08</v>
      </c>
      <c r="J807" s="553" t="s">
        <v>102</v>
      </c>
      <c r="K807" s="39"/>
      <c r="L807" s="208"/>
      <c r="M807" s="39"/>
      <c r="N807" s="536" t="s">
        <v>2306</v>
      </c>
    </row>
    <row r="808" spans="1:14" s="544" customFormat="1" ht="16.5" customHeight="1">
      <c r="A808" s="16"/>
      <c r="B808" s="39" t="s">
        <v>3002</v>
      </c>
      <c r="C808" s="537">
        <v>1</v>
      </c>
      <c r="D808" s="539" t="s">
        <v>273</v>
      </c>
      <c r="E808" s="540">
        <v>1</v>
      </c>
      <c r="F808" s="541">
        <v>1.27</v>
      </c>
      <c r="G808" s="541">
        <v>0</v>
      </c>
      <c r="H808" s="541">
        <v>1.5</v>
      </c>
      <c r="I808" s="545">
        <f>-ROUND(IF(AND(F808:H808),C808*E808*F808*G808*H808,IF(AND(F808,G808),C808*E808*F808*G808,IF(AND(F808,H808),C808*E808*F808*H808,IF(AND(G808,H808),C808*E808*G808*H808,IF(F808,C808*E808*F808,IF(G808,C808*E808*G808,IF(H808,C808*E808*H808,C808*E808))))))),2)</f>
        <v>-1.91</v>
      </c>
      <c r="J808" s="553" t="s">
        <v>102</v>
      </c>
      <c r="K808" s="39"/>
      <c r="L808" s="208"/>
      <c r="M808" s="39"/>
      <c r="N808" s="536" t="s">
        <v>2306</v>
      </c>
    </row>
    <row r="809" spans="1:14" s="544" customFormat="1" ht="16.5" customHeight="1">
      <c r="A809" s="16"/>
      <c r="B809" s="39" t="s">
        <v>2938</v>
      </c>
      <c r="C809" s="537">
        <v>1</v>
      </c>
      <c r="D809" s="539" t="s">
        <v>273</v>
      </c>
      <c r="E809" s="540">
        <v>2</v>
      </c>
      <c r="F809" s="541">
        <v>0.77</v>
      </c>
      <c r="G809" s="541">
        <v>0</v>
      </c>
      <c r="H809" s="541">
        <v>1.2</v>
      </c>
      <c r="I809" s="545">
        <f t="shared" ref="I809:I811" si="76">ROUND(IF(AND(F809:H809),C809*E809*F809*G809*H809,IF(AND(F809,G809),C809*E809*F809*G809,IF(AND(F809,H809),C809*E809*F809*H809,IF(AND(G809,H809),C809*E809*G809*H809,IF(F809,C809*E809*F809,IF(G809,C809*E809*G809,IF(H809,C809*E809*H809,C809*E809))))))),2)</f>
        <v>1.85</v>
      </c>
      <c r="J809" s="553" t="s">
        <v>102</v>
      </c>
      <c r="K809" s="39"/>
      <c r="L809" s="208"/>
      <c r="M809" s="39"/>
      <c r="N809" s="536" t="s">
        <v>2306</v>
      </c>
    </row>
    <row r="810" spans="1:14" s="544" customFormat="1" ht="16.5" customHeight="1">
      <c r="A810" s="16"/>
      <c r="B810" s="39" t="s">
        <v>3003</v>
      </c>
      <c r="C810" s="537">
        <v>1</v>
      </c>
      <c r="D810" s="539" t="s">
        <v>273</v>
      </c>
      <c r="E810" s="540">
        <v>1</v>
      </c>
      <c r="F810" s="541">
        <v>2.72</v>
      </c>
      <c r="G810" s="541">
        <v>0</v>
      </c>
      <c r="H810" s="541">
        <v>1.65</v>
      </c>
      <c r="I810" s="545">
        <f t="shared" si="76"/>
        <v>4.49</v>
      </c>
      <c r="J810" s="553" t="s">
        <v>102</v>
      </c>
      <c r="K810" s="39"/>
      <c r="L810" s="208"/>
      <c r="M810" s="39"/>
      <c r="N810" s="536" t="s">
        <v>2306</v>
      </c>
    </row>
    <row r="811" spans="1:14" s="544" customFormat="1" ht="16.5" customHeight="1">
      <c r="A811" s="16"/>
      <c r="B811" s="39" t="s">
        <v>2938</v>
      </c>
      <c r="C811" s="537">
        <v>1</v>
      </c>
      <c r="D811" s="539" t="s">
        <v>273</v>
      </c>
      <c r="E811" s="540">
        <v>2</v>
      </c>
      <c r="F811" s="541">
        <v>0.77</v>
      </c>
      <c r="G811" s="541">
        <v>0</v>
      </c>
      <c r="H811" s="541">
        <v>1.65</v>
      </c>
      <c r="I811" s="545">
        <f t="shared" si="76"/>
        <v>2.54</v>
      </c>
      <c r="J811" s="553" t="s">
        <v>102</v>
      </c>
      <c r="K811" s="39"/>
      <c r="L811" s="208"/>
      <c r="M811" s="39"/>
      <c r="N811" s="536" t="s">
        <v>2306</v>
      </c>
    </row>
    <row r="812" spans="1:14" s="544" customFormat="1" ht="16.5" customHeight="1">
      <c r="A812" s="16"/>
      <c r="B812" s="39" t="s">
        <v>3002</v>
      </c>
      <c r="C812" s="537">
        <v>1</v>
      </c>
      <c r="D812" s="539" t="s">
        <v>273</v>
      </c>
      <c r="E812" s="540">
        <v>1</v>
      </c>
      <c r="F812" s="541">
        <v>1.27</v>
      </c>
      <c r="G812" s="541">
        <v>0</v>
      </c>
      <c r="H812" s="541">
        <v>1.2</v>
      </c>
      <c r="I812" s="545">
        <f>-ROUND(IF(AND(F812:H812),C812*E812*F812*G812*H812,IF(AND(F812,G812),C812*E812*F812*G812,IF(AND(F812,H812),C812*E812*F812*H812,IF(AND(G812,H812),C812*E812*G812*H812,IF(F812,C812*E812*F812,IF(G812,C812*E812*G812,IF(H812,C812*E812*H812,C812*E812))))))),2)</f>
        <v>-1.52</v>
      </c>
      <c r="J812" s="553" t="s">
        <v>102</v>
      </c>
      <c r="K812" s="39"/>
      <c r="L812" s="208"/>
      <c r="M812" s="39"/>
      <c r="N812" s="536" t="s">
        <v>2306</v>
      </c>
    </row>
    <row r="813" spans="1:14" s="544" customFormat="1" ht="16.5" customHeight="1">
      <c r="A813" s="16"/>
      <c r="B813" s="39" t="s">
        <v>3004</v>
      </c>
      <c r="C813" s="537">
        <v>1</v>
      </c>
      <c r="D813" s="539" t="s">
        <v>273</v>
      </c>
      <c r="E813" s="540">
        <v>3</v>
      </c>
      <c r="F813" s="541">
        <v>5.4</v>
      </c>
      <c r="G813" s="541">
        <v>0.115</v>
      </c>
      <c r="H813" s="541">
        <v>0</v>
      </c>
      <c r="I813" s="545">
        <f t="shared" ref="I813:I817" si="77">ROUND(IF(AND(F813:H813),C813*E813*F813*G813*H813,IF(AND(F813,G813),C813*E813*F813*G813,IF(AND(F813,H813),C813*E813*F813*H813,IF(AND(G813,H813),C813*E813*G813*H813,IF(F813,C813*E813*F813,IF(G813,C813*E813*G813,IF(H813,C813*E813*H813,C813*E813))))))),2)</f>
        <v>1.86</v>
      </c>
      <c r="J813" s="553" t="s">
        <v>102</v>
      </c>
      <c r="K813" s="39"/>
      <c r="L813" s="208"/>
      <c r="M813" s="39"/>
      <c r="N813" s="536" t="s">
        <v>2306</v>
      </c>
    </row>
    <row r="814" spans="1:14" s="544" customFormat="1" ht="16.5" customHeight="1">
      <c r="A814" s="16"/>
      <c r="B814" s="39"/>
      <c r="C814" s="537">
        <v>1</v>
      </c>
      <c r="D814" s="539" t="s">
        <v>273</v>
      </c>
      <c r="E814" s="540">
        <v>3</v>
      </c>
      <c r="F814" s="541">
        <v>5.2</v>
      </c>
      <c r="G814" s="541">
        <v>0.115</v>
      </c>
      <c r="H814" s="541">
        <v>0</v>
      </c>
      <c r="I814" s="545">
        <f t="shared" si="77"/>
        <v>1.79</v>
      </c>
      <c r="J814" s="553" t="s">
        <v>102</v>
      </c>
      <c r="K814" s="39"/>
      <c r="L814" s="208"/>
      <c r="M814" s="39"/>
      <c r="N814" s="536" t="s">
        <v>2306</v>
      </c>
    </row>
    <row r="815" spans="1:14" s="544" customFormat="1" ht="16.5" customHeight="1">
      <c r="A815" s="16"/>
      <c r="B815" s="39" t="s">
        <v>3005</v>
      </c>
      <c r="C815" s="537">
        <v>1</v>
      </c>
      <c r="D815" s="539" t="s">
        <v>273</v>
      </c>
      <c r="E815" s="540">
        <v>3</v>
      </c>
      <c r="F815" s="541">
        <v>4.95</v>
      </c>
      <c r="G815" s="541">
        <v>0.115</v>
      </c>
      <c r="H815" s="541">
        <v>0</v>
      </c>
      <c r="I815" s="545">
        <f t="shared" si="77"/>
        <v>1.71</v>
      </c>
      <c r="J815" s="553" t="s">
        <v>102</v>
      </c>
      <c r="K815" s="39"/>
      <c r="L815" s="208"/>
      <c r="M815" s="39"/>
      <c r="N815" s="536" t="s">
        <v>2306</v>
      </c>
    </row>
    <row r="816" spans="1:14" s="544" customFormat="1" ht="16.5" customHeight="1">
      <c r="A816" s="16"/>
      <c r="B816" s="39"/>
      <c r="C816" s="537">
        <v>1</v>
      </c>
      <c r="D816" s="539" t="s">
        <v>273</v>
      </c>
      <c r="E816" s="540">
        <v>1</v>
      </c>
      <c r="F816" s="541">
        <v>4.95</v>
      </c>
      <c r="G816" s="541">
        <v>0.23</v>
      </c>
      <c r="H816" s="541">
        <v>0</v>
      </c>
      <c r="I816" s="545">
        <f t="shared" si="77"/>
        <v>1.1399999999999999</v>
      </c>
      <c r="J816" s="553" t="s">
        <v>102</v>
      </c>
      <c r="K816" s="39"/>
      <c r="L816" s="208"/>
      <c r="M816" s="39"/>
      <c r="N816" s="536" t="s">
        <v>2306</v>
      </c>
    </row>
    <row r="817" spans="1:14" s="544" customFormat="1" ht="16.5" customHeight="1">
      <c r="A817" s="16"/>
      <c r="B817" s="39" t="s">
        <v>3006</v>
      </c>
      <c r="C817" s="537">
        <v>1</v>
      </c>
      <c r="D817" s="539" t="s">
        <v>273</v>
      </c>
      <c r="E817" s="540">
        <v>7</v>
      </c>
      <c r="F817" s="541">
        <v>5.7</v>
      </c>
      <c r="G817" s="541">
        <v>0.23</v>
      </c>
      <c r="H817" s="541">
        <v>0</v>
      </c>
      <c r="I817" s="545">
        <f t="shared" si="77"/>
        <v>9.18</v>
      </c>
      <c r="J817" s="553" t="s">
        <v>102</v>
      </c>
      <c r="K817" s="39"/>
      <c r="L817" s="208"/>
      <c r="M817" s="39"/>
      <c r="N817" s="536" t="s">
        <v>2306</v>
      </c>
    </row>
    <row r="818" spans="1:14" s="544" customFormat="1" ht="16.5" customHeight="1">
      <c r="A818" s="16"/>
      <c r="B818" s="39" t="s">
        <v>2755</v>
      </c>
      <c r="C818" s="537">
        <v>1</v>
      </c>
      <c r="D818" s="539" t="s">
        <v>273</v>
      </c>
      <c r="E818" s="540">
        <v>6</v>
      </c>
      <c r="F818" s="541">
        <v>1.8</v>
      </c>
      <c r="G818" s="541">
        <v>0.23</v>
      </c>
      <c r="H818" s="541">
        <v>0</v>
      </c>
      <c r="I818" s="545">
        <f t="shared" ref="I818" si="78">ROUND(IF(AND(F818:H818),C818*E818*F818*G818*H818,IF(AND(F818,G818),C818*E818*F818*G818,IF(AND(F818,H818),C818*E818*F818*H818,IF(AND(G818,H818),C818*E818*G818*H818,IF(F818,C818*E818*F818,IF(G818,C818*E818*G818,IF(H818,C818*E818*H818,C818*E818))))))),2)</f>
        <v>2.48</v>
      </c>
      <c r="J818" s="553" t="s">
        <v>102</v>
      </c>
      <c r="K818" s="39"/>
      <c r="L818" s="208"/>
      <c r="M818" s="39"/>
      <c r="N818" s="536" t="s">
        <v>2306</v>
      </c>
    </row>
    <row r="819" spans="1:14" s="544" customFormat="1" ht="16.5" customHeight="1">
      <c r="A819" s="16"/>
      <c r="B819" s="39" t="s">
        <v>3007</v>
      </c>
      <c r="C819" s="537">
        <v>1</v>
      </c>
      <c r="D819" s="539" t="s">
        <v>273</v>
      </c>
      <c r="E819" s="540">
        <v>3</v>
      </c>
      <c r="F819" s="541">
        <v>1.2</v>
      </c>
      <c r="G819" s="541">
        <v>0.23</v>
      </c>
      <c r="H819" s="541">
        <v>0</v>
      </c>
      <c r="I819" s="545">
        <f t="shared" ref="I819" si="79">ROUND(IF(AND(F819:H819),C819*E819*F819*G819*H819,IF(AND(F819,G819),C819*E819*F819*G819,IF(AND(F819,H819),C819*E819*F819*H819,IF(AND(G819,H819),C819*E819*G819*H819,IF(F819,C819*E819*F819,IF(G819,C819*E819*G819,IF(H819,C819*E819*H819,C819*E819))))))),2)</f>
        <v>0.83</v>
      </c>
      <c r="J819" s="553" t="s">
        <v>102</v>
      </c>
      <c r="K819" s="39"/>
      <c r="L819" s="208"/>
      <c r="M819" s="39"/>
      <c r="N819" s="536" t="s">
        <v>2306</v>
      </c>
    </row>
    <row r="820" spans="1:14" s="544" customFormat="1" ht="16.5" customHeight="1">
      <c r="A820" s="16"/>
      <c r="B820" s="39" t="s">
        <v>3008</v>
      </c>
      <c r="C820" s="537">
        <v>1</v>
      </c>
      <c r="D820" s="539" t="s">
        <v>273</v>
      </c>
      <c r="E820" s="540">
        <v>1</v>
      </c>
      <c r="F820" s="541">
        <v>5.5</v>
      </c>
      <c r="G820" s="541">
        <v>0.23</v>
      </c>
      <c r="H820" s="541">
        <v>0</v>
      </c>
      <c r="I820" s="545">
        <f t="shared" ref="I820" si="80">ROUND(IF(AND(F820:H820),C820*E820*F820*G820*H820,IF(AND(F820,G820),C820*E820*F820*G820,IF(AND(F820,H820),C820*E820*F820*H820,IF(AND(G820,H820),C820*E820*G820*H820,IF(F820,C820*E820*F820,IF(G820,C820*E820*G820,IF(H820,C820*E820*H820,C820*E820))))))),2)</f>
        <v>1.27</v>
      </c>
      <c r="J820" s="553" t="s">
        <v>102</v>
      </c>
      <c r="K820" s="39"/>
      <c r="L820" s="208"/>
      <c r="M820" s="39"/>
      <c r="N820" s="536" t="s">
        <v>2306</v>
      </c>
    </row>
    <row r="821" spans="1:14" s="544" customFormat="1" ht="16.5" customHeight="1">
      <c r="A821" s="16"/>
      <c r="B821" s="39"/>
      <c r="C821" s="537">
        <v>1</v>
      </c>
      <c r="D821" s="539" t="s">
        <v>273</v>
      </c>
      <c r="E821" s="540">
        <v>1</v>
      </c>
      <c r="F821" s="541">
        <v>4.9000000000000004</v>
      </c>
      <c r="G821" s="541">
        <v>0.23</v>
      </c>
      <c r="H821" s="541">
        <v>0</v>
      </c>
      <c r="I821" s="545">
        <f t="shared" ref="I821" si="81">ROUND(IF(AND(F821:H821),C821*E821*F821*G821*H821,IF(AND(F821,G821),C821*E821*F821*G821,IF(AND(F821,H821),C821*E821*F821*H821,IF(AND(G821,H821),C821*E821*G821*H821,IF(F821,C821*E821*F821,IF(G821,C821*E821*G821,IF(H821,C821*E821*H821,C821*E821))))))),2)</f>
        <v>1.1299999999999999</v>
      </c>
      <c r="J821" s="553" t="s">
        <v>102</v>
      </c>
      <c r="K821" s="39"/>
      <c r="L821" s="208"/>
      <c r="M821" s="39"/>
      <c r="N821" s="536" t="s">
        <v>2306</v>
      </c>
    </row>
    <row r="822" spans="1:14" s="544" customFormat="1" ht="16.5" customHeight="1">
      <c r="A822" s="16"/>
      <c r="B822" s="547"/>
      <c r="C822" s="548"/>
      <c r="D822" s="549"/>
      <c r="E822" s="550"/>
      <c r="F822" s="551"/>
      <c r="G822" s="541"/>
      <c r="H822" s="551"/>
      <c r="I822" s="552"/>
      <c r="J822" s="553"/>
      <c r="K822" s="39"/>
      <c r="L822" s="208"/>
      <c r="M822" s="39"/>
      <c r="N822" s="536" t="s">
        <v>2306</v>
      </c>
    </row>
    <row r="823" spans="1:14" ht="15.75">
      <c r="A823" s="16"/>
      <c r="B823" s="39"/>
      <c r="C823" s="554"/>
      <c r="D823" s="555"/>
      <c r="E823" s="540"/>
      <c r="F823" s="541"/>
      <c r="G823" s="40"/>
      <c r="H823" s="16"/>
      <c r="I823" s="552"/>
      <c r="J823" s="553" t="s">
        <v>102</v>
      </c>
      <c r="K823" s="10">
        <f>data!F1429</f>
        <v>376.98</v>
      </c>
      <c r="L823" s="208" t="s">
        <v>2306</v>
      </c>
      <c r="M823" s="9">
        <f>ROUND(I823*K823,0)</f>
        <v>0</v>
      </c>
      <c r="N823" s="536" t="s">
        <v>2306</v>
      </c>
    </row>
    <row r="824" spans="1:14" ht="71.25" customHeight="1">
      <c r="A824" s="16">
        <v>12</v>
      </c>
      <c r="B824" s="1858" t="s">
        <v>808</v>
      </c>
      <c r="C824" s="1858"/>
      <c r="D824" s="1858"/>
      <c r="E824" s="1858"/>
      <c r="F824" s="1858"/>
      <c r="G824" s="1858"/>
      <c r="H824" s="1858"/>
      <c r="I824" s="537"/>
      <c r="J824" s="538"/>
      <c r="K824" s="16"/>
      <c r="L824" s="208"/>
      <c r="M824" s="38"/>
      <c r="N824" s="536" t="s">
        <v>2317</v>
      </c>
    </row>
    <row r="825" spans="1:14" s="544" customFormat="1" ht="16.5" customHeight="1">
      <c r="A825" s="16"/>
      <c r="B825" s="39" t="s">
        <v>2894</v>
      </c>
      <c r="C825" s="537"/>
      <c r="D825" s="539"/>
      <c r="E825" s="540"/>
      <c r="F825" s="541"/>
      <c r="G825" s="541"/>
      <c r="H825" s="541"/>
      <c r="I825" s="542"/>
      <c r="J825" s="553"/>
      <c r="K825" s="39"/>
      <c r="L825" s="208"/>
      <c r="M825" s="39"/>
      <c r="N825" s="536" t="s">
        <v>2317</v>
      </c>
    </row>
    <row r="826" spans="1:14" s="544" customFormat="1" ht="16.5" customHeight="1">
      <c r="A826" s="16"/>
      <c r="B826" s="39" t="s">
        <v>2203</v>
      </c>
      <c r="C826" s="537">
        <v>1</v>
      </c>
      <c r="D826" s="539" t="s">
        <v>273</v>
      </c>
      <c r="E826" s="540">
        <v>1</v>
      </c>
      <c r="F826" s="541">
        <v>13.38</v>
      </c>
      <c r="G826" s="541">
        <v>0</v>
      </c>
      <c r="H826" s="541">
        <v>3.12</v>
      </c>
      <c r="I826" s="579">
        <f>ROUND(IF(AND(F826:H826),C826*E826*F826*G826*H826,IF(AND(F826,G826),C826*E826*F826*G826,IF(AND(F826,H826),C826*E826*F826*H826,IF(AND(G826,H826),C826*E826*G826*H826,IF(F826,C826*E826*F826,IF(G826,C826*E826*G826,IF(H826,C826*E826*H826,C826*E826))))))),2)</f>
        <v>41.75</v>
      </c>
      <c r="J826" s="553" t="s">
        <v>102</v>
      </c>
      <c r="K826" s="39"/>
      <c r="L826" s="208"/>
      <c r="M826" s="39"/>
      <c r="N826" s="536" t="s">
        <v>2317</v>
      </c>
    </row>
    <row r="827" spans="1:14" s="544" customFormat="1" ht="16.5" customHeight="1">
      <c r="A827" s="16"/>
      <c r="B827" s="39" t="s">
        <v>1543</v>
      </c>
      <c r="C827" s="537">
        <v>1</v>
      </c>
      <c r="D827" s="539" t="s">
        <v>273</v>
      </c>
      <c r="E827" s="540">
        <v>1</v>
      </c>
      <c r="F827" s="541">
        <v>1.5</v>
      </c>
      <c r="G827" s="541">
        <v>0</v>
      </c>
      <c r="H827" s="541">
        <v>1.35</v>
      </c>
      <c r="I827" s="579">
        <f>-ROUND(IF(AND(F827:H827),C827*E827*F827*G827*H827,IF(AND(F827,G827),C827*E827*F827*G827,IF(AND(F827,H827),C827*E827*F827*H827,IF(AND(G827,H827),C827*E827*G827*H827,IF(F827,C827*E827*F827,IF(G827,C827*E827*G827,IF(H827,C827*E827*H827,C827*E827))))))),2)</f>
        <v>-2.0299999999999998</v>
      </c>
      <c r="J827" s="553" t="s">
        <v>102</v>
      </c>
      <c r="K827" s="39"/>
      <c r="L827" s="208"/>
      <c r="M827" s="39"/>
      <c r="N827" s="536" t="s">
        <v>2317</v>
      </c>
    </row>
    <row r="828" spans="1:14" s="544" customFormat="1" ht="16.5" customHeight="1">
      <c r="A828" s="16"/>
      <c r="B828" s="39" t="s">
        <v>802</v>
      </c>
      <c r="C828" s="537">
        <v>1</v>
      </c>
      <c r="D828" s="539" t="s">
        <v>273</v>
      </c>
      <c r="E828" s="540">
        <v>1</v>
      </c>
      <c r="F828" s="541">
        <v>2.7</v>
      </c>
      <c r="G828" s="541">
        <v>0</v>
      </c>
      <c r="H828" s="541">
        <v>0.15</v>
      </c>
      <c r="I828" s="579">
        <f>-ROUND(IF(AND(F828:H828),C828*E828*F828*G828*H828,IF(AND(F828,G828),C828*E828*F828*G828,IF(AND(F828,H828),C828*E828*F828*H828,IF(AND(G828,H828),C828*E828*G828*H828,IF(F828,C828*E828*F828,IF(G828,C828*E828*G828,IF(H828,C828*E828*H828,C828*E828))))))),2)</f>
        <v>-0.41</v>
      </c>
      <c r="J828" s="553" t="s">
        <v>102</v>
      </c>
      <c r="K828" s="39"/>
      <c r="L828" s="208"/>
      <c r="M828" s="39"/>
      <c r="N828" s="536" t="s">
        <v>2317</v>
      </c>
    </row>
    <row r="829" spans="1:14" s="544" customFormat="1" ht="16.5" customHeight="1">
      <c r="A829" s="16"/>
      <c r="B829" s="547"/>
      <c r="C829" s="548"/>
      <c r="D829" s="549"/>
      <c r="E829" s="550"/>
      <c r="F829" s="551"/>
      <c r="G829" s="551"/>
      <c r="H829" s="551"/>
      <c r="I829" s="552"/>
      <c r="J829" s="553"/>
      <c r="K829" s="39"/>
      <c r="L829" s="208"/>
      <c r="M829" s="39"/>
      <c r="N829" s="536" t="s">
        <v>2317</v>
      </c>
    </row>
    <row r="830" spans="1:14" ht="15.75">
      <c r="A830" s="16"/>
      <c r="B830" s="39"/>
      <c r="C830" s="554"/>
      <c r="D830" s="555"/>
      <c r="E830" s="540"/>
      <c r="F830" s="541"/>
      <c r="G830" s="40"/>
      <c r="H830" s="16"/>
      <c r="I830" s="552"/>
      <c r="J830" s="553" t="s">
        <v>102</v>
      </c>
      <c r="K830" s="10">
        <f>data!F2346</f>
        <v>400.13</v>
      </c>
      <c r="L830" s="208" t="s">
        <v>2317</v>
      </c>
      <c r="M830" s="9">
        <f>ROUND(I830*K830,0)</f>
        <v>0</v>
      </c>
      <c r="N830" s="536" t="s">
        <v>2317</v>
      </c>
    </row>
    <row r="831" spans="1:14" ht="71.25" customHeight="1">
      <c r="A831" s="16">
        <v>12</v>
      </c>
      <c r="B831" s="1858" t="s">
        <v>808</v>
      </c>
      <c r="C831" s="1858"/>
      <c r="D831" s="1858"/>
      <c r="E831" s="1858"/>
      <c r="F831" s="1858"/>
      <c r="G831" s="1858"/>
      <c r="H831" s="1858"/>
      <c r="I831" s="537"/>
      <c r="J831" s="538"/>
      <c r="K831" s="16"/>
      <c r="L831" s="208"/>
      <c r="M831" s="38"/>
      <c r="N831" s="536" t="s">
        <v>2318</v>
      </c>
    </row>
    <row r="832" spans="1:14" s="544" customFormat="1" ht="16.5" customHeight="1">
      <c r="A832" s="16"/>
      <c r="B832" s="39" t="s">
        <v>3110</v>
      </c>
      <c r="C832" s="537"/>
      <c r="D832" s="539"/>
      <c r="E832" s="540"/>
      <c r="F832" s="541"/>
      <c r="G832" s="541"/>
      <c r="H832" s="541"/>
      <c r="I832" s="542"/>
      <c r="J832" s="553"/>
      <c r="K832" s="39"/>
      <c r="L832" s="208"/>
      <c r="M832" s="39"/>
      <c r="N832" s="536" t="s">
        <v>2318</v>
      </c>
    </row>
    <row r="833" spans="1:14" s="544" customFormat="1" ht="16.5" customHeight="1">
      <c r="A833" s="16"/>
      <c r="B833" s="39"/>
      <c r="C833" s="537">
        <v>1</v>
      </c>
      <c r="D833" s="539" t="s">
        <v>273</v>
      </c>
      <c r="E833" s="540">
        <v>1</v>
      </c>
      <c r="F833" s="541">
        <v>11.68</v>
      </c>
      <c r="G833" s="541">
        <v>0</v>
      </c>
      <c r="H833" s="541">
        <v>3.1</v>
      </c>
      <c r="I833" s="545">
        <f t="shared" ref="I833:I850" si="82">ROUND(IF(AND(F833:H833),C833*E833*F833*G833*H833,IF(AND(F833,G833),C833*E833*F833*G833,IF(AND(F833,H833),C833*E833*F833*H833,IF(AND(G833,H833),C833*E833*G833*H833,IF(F833,C833*E833*F833,IF(G833,C833*E833*G833,IF(H833,C833*E833*H833,C833*E833))))))),2)</f>
        <v>36.21</v>
      </c>
      <c r="J833" s="553" t="s">
        <v>102</v>
      </c>
      <c r="K833" s="39"/>
      <c r="L833" s="208"/>
      <c r="M833" s="39"/>
      <c r="N833" s="536" t="s">
        <v>2318</v>
      </c>
    </row>
    <row r="834" spans="1:14" s="544" customFormat="1" ht="16.5" customHeight="1">
      <c r="A834" s="16"/>
      <c r="B834" s="39"/>
      <c r="C834" s="537">
        <v>1</v>
      </c>
      <c r="D834" s="539" t="s">
        <v>273</v>
      </c>
      <c r="E834" s="540">
        <v>1</v>
      </c>
      <c r="F834" s="541">
        <v>12.26</v>
      </c>
      <c r="G834" s="541">
        <v>0</v>
      </c>
      <c r="H834" s="541">
        <v>3.1</v>
      </c>
      <c r="I834" s="545">
        <f t="shared" si="82"/>
        <v>38.01</v>
      </c>
      <c r="J834" s="553" t="s">
        <v>102</v>
      </c>
      <c r="K834" s="39"/>
      <c r="L834" s="208"/>
      <c r="M834" s="39"/>
      <c r="N834" s="536" t="s">
        <v>2318</v>
      </c>
    </row>
    <row r="835" spans="1:14" s="544" customFormat="1" ht="16.5" customHeight="1">
      <c r="A835" s="16"/>
      <c r="B835" s="39"/>
      <c r="C835" s="537">
        <v>1</v>
      </c>
      <c r="D835" s="539" t="s">
        <v>273</v>
      </c>
      <c r="E835" s="540">
        <v>1</v>
      </c>
      <c r="F835" s="541">
        <v>12.74</v>
      </c>
      <c r="G835" s="541">
        <v>0</v>
      </c>
      <c r="H835" s="541">
        <v>3.1</v>
      </c>
      <c r="I835" s="545">
        <f t="shared" si="82"/>
        <v>39.49</v>
      </c>
      <c r="J835" s="553" t="s">
        <v>102</v>
      </c>
      <c r="K835" s="39"/>
      <c r="L835" s="208"/>
      <c r="M835" s="39"/>
      <c r="N835" s="536" t="s">
        <v>2318</v>
      </c>
    </row>
    <row r="836" spans="1:14" s="544" customFormat="1" ht="16.5" customHeight="1">
      <c r="A836" s="16"/>
      <c r="B836" s="39"/>
      <c r="C836" s="537">
        <v>1</v>
      </c>
      <c r="D836" s="539" t="s">
        <v>273</v>
      </c>
      <c r="E836" s="540">
        <v>1</v>
      </c>
      <c r="F836" s="541">
        <v>11.93</v>
      </c>
      <c r="G836" s="541">
        <v>0</v>
      </c>
      <c r="H836" s="541">
        <v>3.1</v>
      </c>
      <c r="I836" s="545">
        <f t="shared" si="82"/>
        <v>36.979999999999997</v>
      </c>
      <c r="J836" s="553" t="s">
        <v>102</v>
      </c>
      <c r="K836" s="39"/>
      <c r="L836" s="208"/>
      <c r="M836" s="39"/>
      <c r="N836" s="536" t="s">
        <v>2318</v>
      </c>
    </row>
    <row r="837" spans="1:14" s="544" customFormat="1" ht="16.5" customHeight="1">
      <c r="A837" s="16"/>
      <c r="B837" s="39"/>
      <c r="C837" s="537">
        <v>1</v>
      </c>
      <c r="D837" s="539" t="s">
        <v>273</v>
      </c>
      <c r="E837" s="540">
        <v>1</v>
      </c>
      <c r="F837" s="541">
        <v>9.42</v>
      </c>
      <c r="G837" s="541">
        <v>0</v>
      </c>
      <c r="H837" s="541">
        <v>3.1</v>
      </c>
      <c r="I837" s="545">
        <f t="shared" si="82"/>
        <v>29.2</v>
      </c>
      <c r="J837" s="553" t="s">
        <v>102</v>
      </c>
      <c r="K837" s="39"/>
      <c r="L837" s="208"/>
      <c r="M837" s="39"/>
      <c r="N837" s="536" t="s">
        <v>2318</v>
      </c>
    </row>
    <row r="838" spans="1:14" s="544" customFormat="1" ht="16.5" customHeight="1">
      <c r="A838" s="16"/>
      <c r="B838" s="39"/>
      <c r="C838" s="537">
        <v>1</v>
      </c>
      <c r="D838" s="539" t="s">
        <v>273</v>
      </c>
      <c r="E838" s="540">
        <v>2</v>
      </c>
      <c r="F838" s="541">
        <v>1.8</v>
      </c>
      <c r="G838" s="541">
        <v>0</v>
      </c>
      <c r="H838" s="541">
        <v>3.1</v>
      </c>
      <c r="I838" s="545">
        <f t="shared" si="82"/>
        <v>11.16</v>
      </c>
      <c r="J838" s="553" t="s">
        <v>102</v>
      </c>
      <c r="K838" s="39"/>
      <c r="L838" s="208"/>
      <c r="M838" s="39"/>
      <c r="N838" s="536" t="s">
        <v>2318</v>
      </c>
    </row>
    <row r="839" spans="1:14" s="544" customFormat="1" ht="16.5" customHeight="1">
      <c r="A839" s="16"/>
      <c r="B839" s="39"/>
      <c r="C839" s="537">
        <v>1</v>
      </c>
      <c r="D839" s="539" t="s">
        <v>273</v>
      </c>
      <c r="E839" s="540">
        <v>1</v>
      </c>
      <c r="F839" s="541">
        <v>22.92</v>
      </c>
      <c r="G839" s="541">
        <v>0</v>
      </c>
      <c r="H839" s="541">
        <v>3.1</v>
      </c>
      <c r="I839" s="545">
        <f t="shared" si="82"/>
        <v>71.05</v>
      </c>
      <c r="J839" s="553" t="s">
        <v>102</v>
      </c>
      <c r="K839" s="39"/>
      <c r="L839" s="208"/>
      <c r="M839" s="39"/>
      <c r="N839" s="536" t="s">
        <v>2318</v>
      </c>
    </row>
    <row r="840" spans="1:14" s="544" customFormat="1" ht="16.5" customHeight="1">
      <c r="A840" s="16"/>
      <c r="B840" s="39"/>
      <c r="C840" s="537">
        <v>1</v>
      </c>
      <c r="D840" s="539" t="s">
        <v>273</v>
      </c>
      <c r="E840" s="540">
        <v>1</v>
      </c>
      <c r="F840" s="541">
        <v>9.4600000000000009</v>
      </c>
      <c r="G840" s="541">
        <v>0</v>
      </c>
      <c r="H840" s="541">
        <v>1</v>
      </c>
      <c r="I840" s="545">
        <f t="shared" si="82"/>
        <v>9.4600000000000009</v>
      </c>
      <c r="J840" s="553" t="s">
        <v>102</v>
      </c>
      <c r="K840" s="39"/>
      <c r="L840" s="208"/>
      <c r="M840" s="39"/>
      <c r="N840" s="536" t="s">
        <v>2318</v>
      </c>
    </row>
    <row r="841" spans="1:14" s="544" customFormat="1" ht="16.5" customHeight="1">
      <c r="A841" s="16"/>
      <c r="B841" s="39"/>
      <c r="C841" s="537">
        <v>1</v>
      </c>
      <c r="D841" s="539" t="s">
        <v>273</v>
      </c>
      <c r="E841" s="540">
        <v>1</v>
      </c>
      <c r="F841" s="541">
        <v>6.06</v>
      </c>
      <c r="G841" s="541">
        <v>0</v>
      </c>
      <c r="H841" s="541">
        <v>1</v>
      </c>
      <c r="I841" s="545">
        <f t="shared" si="82"/>
        <v>6.06</v>
      </c>
      <c r="J841" s="553" t="s">
        <v>102</v>
      </c>
      <c r="K841" s="39"/>
      <c r="L841" s="208"/>
      <c r="M841" s="39"/>
      <c r="N841" s="536" t="s">
        <v>2318</v>
      </c>
    </row>
    <row r="842" spans="1:14" s="544" customFormat="1" ht="16.5" customHeight="1">
      <c r="A842" s="16"/>
      <c r="B842" s="39"/>
      <c r="C842" s="537">
        <v>1</v>
      </c>
      <c r="D842" s="539" t="s">
        <v>273</v>
      </c>
      <c r="E842" s="540">
        <v>1</v>
      </c>
      <c r="F842" s="541">
        <v>6.06</v>
      </c>
      <c r="G842" s="541">
        <v>0</v>
      </c>
      <c r="H842" s="541">
        <v>1</v>
      </c>
      <c r="I842" s="545">
        <f t="shared" si="82"/>
        <v>6.06</v>
      </c>
      <c r="J842" s="553" t="s">
        <v>102</v>
      </c>
      <c r="K842" s="39"/>
      <c r="L842" s="208"/>
      <c r="M842" s="39"/>
      <c r="N842" s="536" t="s">
        <v>2318</v>
      </c>
    </row>
    <row r="843" spans="1:14" s="544" customFormat="1" ht="16.5" customHeight="1">
      <c r="A843" s="16"/>
      <c r="B843" s="39"/>
      <c r="C843" s="537">
        <v>1</v>
      </c>
      <c r="D843" s="539" t="s">
        <v>273</v>
      </c>
      <c r="E843" s="540">
        <v>1</v>
      </c>
      <c r="F843" s="541">
        <v>10.7</v>
      </c>
      <c r="G843" s="541">
        <v>0</v>
      </c>
      <c r="H843" s="541">
        <v>1.6</v>
      </c>
      <c r="I843" s="545">
        <f t="shared" si="82"/>
        <v>17.12</v>
      </c>
      <c r="J843" s="553" t="s">
        <v>102</v>
      </c>
      <c r="K843" s="39"/>
      <c r="L843" s="208"/>
      <c r="M843" s="39"/>
      <c r="N843" s="536" t="s">
        <v>2318</v>
      </c>
    </row>
    <row r="844" spans="1:14" s="544" customFormat="1" ht="16.5" customHeight="1">
      <c r="A844" s="16"/>
      <c r="B844" s="39"/>
      <c r="C844" s="537">
        <v>1</v>
      </c>
      <c r="D844" s="539" t="s">
        <v>273</v>
      </c>
      <c r="E844" s="540">
        <v>1</v>
      </c>
      <c r="F844" s="541">
        <v>2.68</v>
      </c>
      <c r="G844" s="541">
        <v>0</v>
      </c>
      <c r="H844" s="541">
        <v>1.2</v>
      </c>
      <c r="I844" s="545">
        <f t="shared" si="82"/>
        <v>3.22</v>
      </c>
      <c r="J844" s="553" t="s">
        <v>102</v>
      </c>
      <c r="K844" s="39"/>
      <c r="L844" s="208"/>
      <c r="M844" s="39"/>
      <c r="N844" s="536" t="s">
        <v>2318</v>
      </c>
    </row>
    <row r="845" spans="1:14" s="544" customFormat="1" ht="16.5" customHeight="1">
      <c r="A845" s="16"/>
      <c r="B845" s="39"/>
      <c r="C845" s="537">
        <v>1</v>
      </c>
      <c r="D845" s="539" t="s">
        <v>273</v>
      </c>
      <c r="E845" s="540">
        <v>1</v>
      </c>
      <c r="F845" s="541">
        <v>0.85</v>
      </c>
      <c r="G845" s="541">
        <v>0</v>
      </c>
      <c r="H845" s="541">
        <v>1.2</v>
      </c>
      <c r="I845" s="545">
        <f t="shared" si="82"/>
        <v>1.02</v>
      </c>
      <c r="J845" s="553" t="s">
        <v>102</v>
      </c>
      <c r="K845" s="39"/>
      <c r="L845" s="208"/>
      <c r="M845" s="39"/>
      <c r="N845" s="536" t="s">
        <v>2318</v>
      </c>
    </row>
    <row r="846" spans="1:14" s="544" customFormat="1" ht="16.5" customHeight="1">
      <c r="A846" s="16"/>
      <c r="B846" s="39"/>
      <c r="C846" s="537">
        <v>1</v>
      </c>
      <c r="D846" s="539" t="s">
        <v>273</v>
      </c>
      <c r="E846" s="540">
        <v>1</v>
      </c>
      <c r="F846" s="541">
        <v>2.68</v>
      </c>
      <c r="G846" s="541">
        <v>0</v>
      </c>
      <c r="H846" s="541">
        <v>1.2</v>
      </c>
      <c r="I846" s="545">
        <f t="shared" si="82"/>
        <v>3.22</v>
      </c>
      <c r="J846" s="553" t="s">
        <v>102</v>
      </c>
      <c r="K846" s="39"/>
      <c r="L846" s="208"/>
      <c r="M846" s="39"/>
      <c r="N846" s="536" t="s">
        <v>2318</v>
      </c>
    </row>
    <row r="847" spans="1:14" s="544" customFormat="1" ht="16.5" customHeight="1">
      <c r="A847" s="16"/>
      <c r="B847" s="39"/>
      <c r="C847" s="537">
        <v>1</v>
      </c>
      <c r="D847" s="539" t="s">
        <v>273</v>
      </c>
      <c r="E847" s="540">
        <v>2</v>
      </c>
      <c r="F847" s="541">
        <v>0.85</v>
      </c>
      <c r="G847" s="541">
        <v>0</v>
      </c>
      <c r="H847" s="541">
        <v>1.2</v>
      </c>
      <c r="I847" s="545">
        <f t="shared" si="82"/>
        <v>2.04</v>
      </c>
      <c r="J847" s="553" t="s">
        <v>102</v>
      </c>
      <c r="K847" s="39"/>
      <c r="L847" s="208"/>
      <c r="M847" s="39"/>
      <c r="N847" s="536" t="s">
        <v>2318</v>
      </c>
    </row>
    <row r="848" spans="1:14" s="544" customFormat="1" ht="16.5" customHeight="1">
      <c r="A848" s="16"/>
      <c r="B848" s="39"/>
      <c r="C848" s="537">
        <v>1</v>
      </c>
      <c r="D848" s="539" t="s">
        <v>273</v>
      </c>
      <c r="E848" s="540">
        <v>1</v>
      </c>
      <c r="F848" s="541">
        <v>1.2</v>
      </c>
      <c r="G848" s="541">
        <v>0</v>
      </c>
      <c r="H848" s="541">
        <v>1.1000000000000001</v>
      </c>
      <c r="I848" s="545">
        <f>-ROUND(IF(AND(F848:H848),C848*E848*F848*G848*H848,IF(AND(F848,G848),C848*E848*F848*G848,IF(AND(F848,H848),C848*E848*F848*H848,IF(AND(G848,H848),C848*E848*G848*H848,IF(F848,C848*E848*F848,IF(G848,C848*E848*G848,IF(H848,C848*E848*H848,C848*E848))))))),2)</f>
        <v>-1.32</v>
      </c>
      <c r="J848" s="553" t="s">
        <v>102</v>
      </c>
      <c r="K848" s="39"/>
      <c r="L848" s="208"/>
      <c r="M848" s="39"/>
      <c r="N848" s="536" t="s">
        <v>2318</v>
      </c>
    </row>
    <row r="849" spans="1:14" s="544" customFormat="1" ht="16.5" customHeight="1">
      <c r="A849" s="16"/>
      <c r="B849" s="39"/>
      <c r="C849" s="537">
        <v>1</v>
      </c>
      <c r="D849" s="539" t="s">
        <v>273</v>
      </c>
      <c r="E849" s="540">
        <v>1</v>
      </c>
      <c r="F849" s="541">
        <v>5.27</v>
      </c>
      <c r="G849" s="541">
        <v>0</v>
      </c>
      <c r="H849" s="541">
        <v>1.9</v>
      </c>
      <c r="I849" s="545">
        <f t="shared" si="82"/>
        <v>10.01</v>
      </c>
      <c r="J849" s="553" t="s">
        <v>102</v>
      </c>
      <c r="K849" s="39"/>
      <c r="L849" s="208"/>
      <c r="M849" s="39"/>
      <c r="N849" s="536" t="s">
        <v>2318</v>
      </c>
    </row>
    <row r="850" spans="1:14" s="544" customFormat="1" ht="16.5" customHeight="1">
      <c r="A850" s="16"/>
      <c r="B850" s="39"/>
      <c r="C850" s="537">
        <v>1</v>
      </c>
      <c r="D850" s="539" t="s">
        <v>273</v>
      </c>
      <c r="E850" s="540">
        <v>2</v>
      </c>
      <c r="F850" s="541">
        <v>2.5</v>
      </c>
      <c r="G850" s="541">
        <v>0</v>
      </c>
      <c r="H850" s="541">
        <v>1.9</v>
      </c>
      <c r="I850" s="545">
        <f t="shared" si="82"/>
        <v>9.5</v>
      </c>
      <c r="J850" s="553" t="s">
        <v>102</v>
      </c>
      <c r="K850" s="39"/>
      <c r="L850" s="208"/>
      <c r="M850" s="39"/>
      <c r="N850" s="536" t="s">
        <v>2318</v>
      </c>
    </row>
    <row r="851" spans="1:14" s="544" customFormat="1" ht="16.5" customHeight="1">
      <c r="A851" s="16"/>
      <c r="B851" s="39"/>
      <c r="C851" s="537">
        <v>1</v>
      </c>
      <c r="D851" s="539" t="s">
        <v>273</v>
      </c>
      <c r="E851" s="540">
        <v>2</v>
      </c>
      <c r="F851" s="541">
        <v>1.2</v>
      </c>
      <c r="G851" s="541">
        <v>0</v>
      </c>
      <c r="H851" s="541">
        <v>2.1</v>
      </c>
      <c r="I851" s="545">
        <f t="shared" ref="I851:I856" si="83">-ROUND(IF(AND(F851:H851),C851*E851*F851*G851*H851,IF(AND(F851,G851),C851*E851*F851*G851,IF(AND(F851,H851),C851*E851*F851*H851,IF(AND(G851,H851),C851*E851*G851*H851,IF(F851,C851*E851*F851,IF(G851,C851*E851*G851,IF(H851,C851*E851*H851,C851*E851))))))),2)</f>
        <v>-5.04</v>
      </c>
      <c r="J851" s="553" t="s">
        <v>102</v>
      </c>
      <c r="K851" s="39"/>
      <c r="L851" s="208"/>
      <c r="M851" s="39"/>
      <c r="N851" s="536" t="s">
        <v>2318</v>
      </c>
    </row>
    <row r="852" spans="1:14" s="544" customFormat="1" ht="16.5" customHeight="1">
      <c r="A852" s="16"/>
      <c r="B852" s="39"/>
      <c r="C852" s="537">
        <v>2</v>
      </c>
      <c r="D852" s="539" t="s">
        <v>273</v>
      </c>
      <c r="E852" s="540">
        <v>4</v>
      </c>
      <c r="F852" s="541">
        <v>1.05</v>
      </c>
      <c r="G852" s="541">
        <v>0</v>
      </c>
      <c r="H852" s="541">
        <v>2.1</v>
      </c>
      <c r="I852" s="545">
        <f t="shared" si="83"/>
        <v>-17.64</v>
      </c>
      <c r="J852" s="553" t="s">
        <v>102</v>
      </c>
      <c r="K852" s="39"/>
      <c r="L852" s="208"/>
      <c r="M852" s="39"/>
      <c r="N852" s="536" t="s">
        <v>2318</v>
      </c>
    </row>
    <row r="853" spans="1:14" s="544" customFormat="1" ht="16.5" customHeight="1">
      <c r="A853" s="16"/>
      <c r="B853" s="39"/>
      <c r="C853" s="537">
        <v>1</v>
      </c>
      <c r="D853" s="539" t="s">
        <v>273</v>
      </c>
      <c r="E853" s="540">
        <v>3</v>
      </c>
      <c r="F853" s="541">
        <v>0.75</v>
      </c>
      <c r="G853" s="541">
        <v>0</v>
      </c>
      <c r="H853" s="541">
        <v>2.1</v>
      </c>
      <c r="I853" s="545">
        <f t="shared" si="83"/>
        <v>-4.7300000000000004</v>
      </c>
      <c r="J853" s="553" t="s">
        <v>102</v>
      </c>
      <c r="K853" s="39"/>
      <c r="L853" s="208"/>
      <c r="M853" s="39"/>
      <c r="N853" s="536" t="s">
        <v>2318</v>
      </c>
    </row>
    <row r="854" spans="1:14" s="544" customFormat="1" ht="16.5" customHeight="1">
      <c r="A854" s="16"/>
      <c r="B854" s="39"/>
      <c r="C854" s="537">
        <v>1</v>
      </c>
      <c r="D854" s="539" t="s">
        <v>273</v>
      </c>
      <c r="E854" s="540">
        <v>2</v>
      </c>
      <c r="F854" s="541">
        <v>1.2</v>
      </c>
      <c r="G854" s="541">
        <v>0</v>
      </c>
      <c r="H854" s="541">
        <v>2.1</v>
      </c>
      <c r="I854" s="545">
        <f t="shared" si="83"/>
        <v>-5.04</v>
      </c>
      <c r="J854" s="553" t="s">
        <v>102</v>
      </c>
      <c r="K854" s="39"/>
      <c r="L854" s="208"/>
      <c r="M854" s="39"/>
      <c r="N854" s="536" t="s">
        <v>2318</v>
      </c>
    </row>
    <row r="855" spans="1:14" s="544" customFormat="1" ht="16.5" customHeight="1">
      <c r="A855" s="16"/>
      <c r="B855" s="39"/>
      <c r="C855" s="537">
        <v>1</v>
      </c>
      <c r="D855" s="539" t="s">
        <v>273</v>
      </c>
      <c r="E855" s="540">
        <v>7</v>
      </c>
      <c r="F855" s="541">
        <v>1.5</v>
      </c>
      <c r="G855" s="541">
        <v>0</v>
      </c>
      <c r="H855" s="541">
        <v>1.35</v>
      </c>
      <c r="I855" s="545">
        <f t="shared" si="83"/>
        <v>-14.18</v>
      </c>
      <c r="J855" s="553" t="s">
        <v>102</v>
      </c>
      <c r="K855" s="39"/>
      <c r="L855" s="208"/>
      <c r="M855" s="39"/>
      <c r="N855" s="536" t="s">
        <v>2318</v>
      </c>
    </row>
    <row r="856" spans="1:14" s="544" customFormat="1" ht="16.5" customHeight="1">
      <c r="A856" s="16"/>
      <c r="B856" s="39"/>
      <c r="C856" s="537">
        <v>1</v>
      </c>
      <c r="D856" s="539" t="s">
        <v>273</v>
      </c>
      <c r="E856" s="540">
        <v>12</v>
      </c>
      <c r="F856" s="541">
        <v>0.6</v>
      </c>
      <c r="G856" s="541">
        <v>0</v>
      </c>
      <c r="H856" s="541">
        <v>0.3</v>
      </c>
      <c r="I856" s="545">
        <f t="shared" si="83"/>
        <v>-2.16</v>
      </c>
      <c r="J856" s="553" t="s">
        <v>102</v>
      </c>
      <c r="K856" s="39"/>
      <c r="L856" s="208"/>
      <c r="M856" s="39"/>
      <c r="N856" s="536" t="s">
        <v>2318</v>
      </c>
    </row>
    <row r="857" spans="1:14" s="544" customFormat="1" ht="16.5" customHeight="1">
      <c r="A857" s="16"/>
      <c r="B857" s="547"/>
      <c r="C857" s="548"/>
      <c r="D857" s="549"/>
      <c r="E857" s="550"/>
      <c r="F857" s="551"/>
      <c r="G857" s="551"/>
      <c r="H857" s="551"/>
      <c r="I857" s="552"/>
      <c r="J857" s="553"/>
      <c r="K857" s="39"/>
      <c r="L857" s="208"/>
      <c r="M857" s="39"/>
      <c r="N857" s="536" t="s">
        <v>2318</v>
      </c>
    </row>
    <row r="858" spans="1:14" ht="15.75">
      <c r="A858" s="16"/>
      <c r="B858" s="39"/>
      <c r="C858" s="554"/>
      <c r="D858" s="555"/>
      <c r="E858" s="540"/>
      <c r="F858" s="541"/>
      <c r="G858" s="40"/>
      <c r="H858" s="16"/>
      <c r="I858" s="552"/>
      <c r="J858" s="553" t="s">
        <v>102</v>
      </c>
      <c r="K858" s="10">
        <f>data!F3263</f>
        <v>425.82</v>
      </c>
      <c r="L858" s="208" t="s">
        <v>2318</v>
      </c>
      <c r="M858" s="9">
        <f>ROUND(I858*K858,0)</f>
        <v>0</v>
      </c>
      <c r="N858" s="536" t="s">
        <v>2318</v>
      </c>
    </row>
    <row r="859" spans="1:14" ht="71.25" customHeight="1">
      <c r="A859" s="16">
        <v>11</v>
      </c>
      <c r="B859" s="1858" t="s">
        <v>316</v>
      </c>
      <c r="C859" s="1858"/>
      <c r="D859" s="1858"/>
      <c r="E859" s="1858"/>
      <c r="F859" s="1858"/>
      <c r="G859" s="1858"/>
      <c r="H859" s="1858"/>
      <c r="I859" s="537"/>
      <c r="J859" s="538"/>
      <c r="K859" s="16"/>
      <c r="L859" s="208"/>
      <c r="M859" s="38"/>
      <c r="N859" s="536" t="s">
        <v>2218</v>
      </c>
    </row>
    <row r="860" spans="1:14" s="544" customFormat="1" ht="15.75">
      <c r="A860" s="16"/>
      <c r="B860" s="39" t="s">
        <v>3096</v>
      </c>
      <c r="C860" s="537"/>
      <c r="D860" s="1145" t="s">
        <v>3335</v>
      </c>
      <c r="E860" s="540"/>
      <c r="F860" s="541"/>
      <c r="G860" s="541"/>
      <c r="H860" s="541"/>
      <c r="I860" s="542"/>
      <c r="J860" s="553"/>
      <c r="K860" s="39"/>
      <c r="L860" s="208"/>
      <c r="M860" s="39"/>
      <c r="N860" s="536" t="s">
        <v>2218</v>
      </c>
    </row>
    <row r="861" spans="1:14" s="544" customFormat="1" ht="15.75">
      <c r="A861" s="16"/>
      <c r="B861" s="39" t="s">
        <v>3182</v>
      </c>
      <c r="C861" s="537">
        <v>1</v>
      </c>
      <c r="D861" s="539" t="s">
        <v>273</v>
      </c>
      <c r="E861" s="540">
        <v>2</v>
      </c>
      <c r="F861" s="541">
        <v>12.47</v>
      </c>
      <c r="G861" s="541">
        <v>0</v>
      </c>
      <c r="H861" s="541">
        <v>3.2</v>
      </c>
      <c r="I861" s="545">
        <f t="shared" ref="I861:I863" si="84">ROUND(IF(AND(F861:H861),C861*E861*F861*G861*H861,IF(AND(F861,G861),C861*E861*F861*G861,IF(AND(F861,H861),C861*E861*F861*H861,IF(AND(G861,H861),C861*E861*G861*H861,IF(F861,C861*E861*F861,IF(G861,C861*E861*G861,IF(H861,C861*E861*H861,C861*E861))))))),2)</f>
        <v>79.81</v>
      </c>
      <c r="J861" s="553" t="s">
        <v>102</v>
      </c>
      <c r="K861" s="39"/>
      <c r="L861" s="208"/>
      <c r="M861" s="39"/>
      <c r="N861" s="536" t="s">
        <v>2218</v>
      </c>
    </row>
    <row r="862" spans="1:14" s="544" customFormat="1" ht="15.75">
      <c r="A862" s="16"/>
      <c r="B862" s="39" t="s">
        <v>3183</v>
      </c>
      <c r="C862" s="537">
        <v>1</v>
      </c>
      <c r="D862" s="539" t="s">
        <v>273</v>
      </c>
      <c r="E862" s="540">
        <v>1</v>
      </c>
      <c r="F862" s="541">
        <v>8.84</v>
      </c>
      <c r="G862" s="541">
        <v>0</v>
      </c>
      <c r="H862" s="541">
        <v>3.2</v>
      </c>
      <c r="I862" s="545">
        <f t="shared" si="84"/>
        <v>28.29</v>
      </c>
      <c r="J862" s="553" t="s">
        <v>102</v>
      </c>
      <c r="K862" s="39"/>
      <c r="L862" s="208"/>
      <c r="M862" s="39"/>
      <c r="N862" s="536" t="s">
        <v>2218</v>
      </c>
    </row>
    <row r="863" spans="1:14" s="544" customFormat="1" ht="15.75">
      <c r="A863" s="16"/>
      <c r="B863" s="39" t="s">
        <v>3184</v>
      </c>
      <c r="C863" s="537">
        <v>1</v>
      </c>
      <c r="D863" s="539" t="s">
        <v>273</v>
      </c>
      <c r="E863" s="540">
        <v>1</v>
      </c>
      <c r="F863" s="541">
        <v>8.84</v>
      </c>
      <c r="G863" s="541">
        <v>0</v>
      </c>
      <c r="H863" s="541">
        <v>3.2</v>
      </c>
      <c r="I863" s="545">
        <f t="shared" si="84"/>
        <v>28.29</v>
      </c>
      <c r="J863" s="553" t="s">
        <v>102</v>
      </c>
      <c r="K863" s="39"/>
      <c r="L863" s="208"/>
      <c r="M863" s="39"/>
      <c r="N863" s="536" t="s">
        <v>2218</v>
      </c>
    </row>
    <row r="864" spans="1:14" s="544" customFormat="1" ht="15.75">
      <c r="A864" s="16"/>
      <c r="B864" s="547"/>
      <c r="C864" s="548"/>
      <c r="D864" s="549"/>
      <c r="E864" s="550"/>
      <c r="F864" s="551"/>
      <c r="G864" s="551"/>
      <c r="H864" s="551"/>
      <c r="I864" s="552"/>
      <c r="J864" s="553"/>
      <c r="K864" s="39"/>
      <c r="L864" s="208"/>
      <c r="M864" s="39"/>
      <c r="N864" s="536" t="s">
        <v>2218</v>
      </c>
    </row>
    <row r="865" spans="1:14" ht="15.75">
      <c r="A865" s="16"/>
      <c r="B865" s="39"/>
      <c r="C865" s="554"/>
      <c r="D865" s="555"/>
      <c r="E865" s="540"/>
      <c r="F865" s="541"/>
      <c r="G865" s="40"/>
      <c r="H865" s="16"/>
      <c r="I865" s="552"/>
      <c r="J865" s="553" t="s">
        <v>102</v>
      </c>
      <c r="K865" s="10">
        <f>data!F532</f>
        <v>362.01</v>
      </c>
      <c r="L865" s="208" t="s">
        <v>2218</v>
      </c>
      <c r="M865" s="9">
        <f>ROUND(I865*K865,0)</f>
        <v>0</v>
      </c>
      <c r="N865" s="536" t="s">
        <v>2218</v>
      </c>
    </row>
    <row r="866" spans="1:14" ht="71.25" customHeight="1">
      <c r="A866" s="16">
        <v>12</v>
      </c>
      <c r="B866" s="1858" t="s">
        <v>316</v>
      </c>
      <c r="C866" s="1858"/>
      <c r="D866" s="1858"/>
      <c r="E866" s="1858"/>
      <c r="F866" s="1858"/>
      <c r="G866" s="1858"/>
      <c r="H866" s="1858"/>
      <c r="I866" s="537"/>
      <c r="J866" s="538"/>
      <c r="K866" s="16"/>
      <c r="L866" s="208"/>
      <c r="M866" s="38"/>
      <c r="N866" s="536" t="s">
        <v>2306</v>
      </c>
    </row>
    <row r="867" spans="1:14" s="544" customFormat="1" ht="15.75">
      <c r="A867" s="16"/>
      <c r="B867" s="39" t="s">
        <v>3014</v>
      </c>
      <c r="C867" s="537"/>
      <c r="D867" s="539"/>
      <c r="E867" s="540"/>
      <c r="F867" s="541"/>
      <c r="G867" s="541"/>
      <c r="H867" s="541"/>
      <c r="I867" s="542"/>
      <c r="J867" s="553"/>
      <c r="K867" s="39"/>
      <c r="L867" s="208"/>
      <c r="M867" s="39"/>
      <c r="N867" s="536" t="s">
        <v>2306</v>
      </c>
    </row>
    <row r="868" spans="1:14" s="544" customFormat="1" ht="15.75">
      <c r="A868" s="16"/>
      <c r="B868" s="39" t="s">
        <v>3015</v>
      </c>
      <c r="C868" s="537">
        <v>1</v>
      </c>
      <c r="D868" s="539" t="s">
        <v>273</v>
      </c>
      <c r="E868" s="540">
        <v>1</v>
      </c>
      <c r="F868" s="541">
        <v>8.84</v>
      </c>
      <c r="G868" s="541">
        <v>0</v>
      </c>
      <c r="H868" s="541">
        <v>3.1749999999999998</v>
      </c>
      <c r="I868" s="545">
        <f t="shared" ref="I868" si="85">ROUND(IF(AND(F868:H868),C868*E868*F868*G868*H868,IF(AND(F868,G868),C868*E868*F868*G868,IF(AND(F868,H868),C868*E868*F868*H868,IF(AND(G868,H868),C868*E868*G868*H868,IF(F868,C868*E868*F868,IF(G868,C868*E868*G868,IF(H868,C868*E868*H868,C868*E868))))))),2)</f>
        <v>28.07</v>
      </c>
      <c r="J868" s="553" t="s">
        <v>102</v>
      </c>
      <c r="K868" s="39"/>
      <c r="L868" s="208"/>
      <c r="M868" s="39"/>
      <c r="N868" s="536" t="s">
        <v>2306</v>
      </c>
    </row>
    <row r="869" spans="1:14" s="544" customFormat="1" ht="15.75">
      <c r="A869" s="16"/>
      <c r="B869" s="39" t="s">
        <v>817</v>
      </c>
      <c r="C869" s="537">
        <v>1</v>
      </c>
      <c r="D869" s="539" t="s">
        <v>273</v>
      </c>
      <c r="E869" s="540">
        <v>1</v>
      </c>
      <c r="F869" s="541">
        <v>9.52</v>
      </c>
      <c r="G869" s="541">
        <v>0</v>
      </c>
      <c r="H869" s="541">
        <v>3.1749999999999998</v>
      </c>
      <c r="I869" s="545">
        <f t="shared" ref="I869:I885" si="86">ROUND(IF(AND(F869:H869),C869*E869*F869*G869*H869,IF(AND(F869,G869),C869*E869*F869*G869,IF(AND(F869,H869),C869*E869*F869*H869,IF(AND(G869,H869),C869*E869*G869*H869,IF(F869,C869*E869*F869,IF(G869,C869*E869*G869,IF(H869,C869*E869*H869,C869*E869))))))),2)</f>
        <v>30.23</v>
      </c>
      <c r="J869" s="553" t="s">
        <v>102</v>
      </c>
      <c r="K869" s="39"/>
      <c r="L869" s="208"/>
      <c r="M869" s="39"/>
      <c r="N869" s="536" t="s">
        <v>2306</v>
      </c>
    </row>
    <row r="870" spans="1:14" s="544" customFormat="1" ht="15.75">
      <c r="A870" s="16"/>
      <c r="B870" s="39" t="s">
        <v>3016</v>
      </c>
      <c r="C870" s="537">
        <v>1</v>
      </c>
      <c r="D870" s="539" t="s">
        <v>273</v>
      </c>
      <c r="E870" s="540">
        <v>1</v>
      </c>
      <c r="F870" s="541">
        <v>2.66</v>
      </c>
      <c r="G870" s="541">
        <v>0</v>
      </c>
      <c r="H870" s="541">
        <v>0.9</v>
      </c>
      <c r="I870" s="545">
        <f t="shared" si="86"/>
        <v>2.39</v>
      </c>
      <c r="J870" s="553" t="s">
        <v>102</v>
      </c>
      <c r="K870" s="39"/>
      <c r="L870" s="208"/>
      <c r="M870" s="39"/>
      <c r="N870" s="536" t="s">
        <v>2306</v>
      </c>
    </row>
    <row r="871" spans="1:14" s="544" customFormat="1" ht="15.75">
      <c r="A871" s="16"/>
      <c r="B871" s="39"/>
      <c r="C871" s="537">
        <v>1</v>
      </c>
      <c r="D871" s="539" t="s">
        <v>273</v>
      </c>
      <c r="E871" s="540">
        <v>1</v>
      </c>
      <c r="F871" s="541">
        <v>4.83</v>
      </c>
      <c r="G871" s="541">
        <v>0</v>
      </c>
      <c r="H871" s="541">
        <v>0.9</v>
      </c>
      <c r="I871" s="545">
        <f t="shared" si="86"/>
        <v>4.3499999999999996</v>
      </c>
      <c r="J871" s="553" t="s">
        <v>102</v>
      </c>
      <c r="K871" s="39"/>
      <c r="L871" s="208"/>
      <c r="M871" s="39"/>
      <c r="N871" s="536" t="s">
        <v>2306</v>
      </c>
    </row>
    <row r="872" spans="1:14" s="544" customFormat="1" ht="15.75">
      <c r="A872" s="16"/>
      <c r="B872" s="39" t="s">
        <v>579</v>
      </c>
      <c r="C872" s="537">
        <v>1</v>
      </c>
      <c r="D872" s="539" t="s">
        <v>273</v>
      </c>
      <c r="E872" s="540">
        <v>1</v>
      </c>
      <c r="F872" s="541">
        <v>1.2</v>
      </c>
      <c r="G872" s="541">
        <v>0</v>
      </c>
      <c r="H872" s="541">
        <v>0.9</v>
      </c>
      <c r="I872" s="545">
        <f>-ROUND(IF(AND(F872:H872),C872*E872*F872*G872*H872,IF(AND(F872,G872),C872*E872*F872*G872,IF(AND(F872,H872),C872*E872*F872*H872,IF(AND(G872,H872),C872*E872*G872*H872,IF(F872,C872*E872*F872,IF(G872,C872*E872*G872,IF(H872,C872*E872*H872,C872*E872))))))),2)</f>
        <v>-1.08</v>
      </c>
      <c r="J872" s="553" t="s">
        <v>102</v>
      </c>
      <c r="K872" s="39"/>
      <c r="L872" s="208"/>
      <c r="M872" s="39"/>
      <c r="N872" s="536" t="s">
        <v>2306</v>
      </c>
    </row>
    <row r="873" spans="1:14" s="544" customFormat="1" ht="15.75">
      <c r="A873" s="16"/>
      <c r="B873" s="39" t="s">
        <v>814</v>
      </c>
      <c r="C873" s="537">
        <v>1</v>
      </c>
      <c r="D873" s="539" t="s">
        <v>273</v>
      </c>
      <c r="E873" s="540">
        <v>1</v>
      </c>
      <c r="F873" s="541">
        <v>3.62</v>
      </c>
      <c r="G873" s="541">
        <v>0</v>
      </c>
      <c r="H873" s="541">
        <v>3.1749999999999998</v>
      </c>
      <c r="I873" s="545">
        <f t="shared" si="86"/>
        <v>11.49</v>
      </c>
      <c r="J873" s="553" t="s">
        <v>102</v>
      </c>
      <c r="K873" s="39"/>
      <c r="L873" s="208"/>
      <c r="M873" s="39"/>
      <c r="N873" s="536" t="s">
        <v>2306</v>
      </c>
    </row>
    <row r="874" spans="1:14" s="544" customFormat="1" ht="15.75">
      <c r="A874" s="16"/>
      <c r="B874" s="39" t="s">
        <v>3013</v>
      </c>
      <c r="C874" s="537">
        <v>1</v>
      </c>
      <c r="D874" s="539" t="s">
        <v>273</v>
      </c>
      <c r="E874" s="540">
        <v>1</v>
      </c>
      <c r="F874" s="541">
        <v>9.52</v>
      </c>
      <c r="G874" s="541">
        <v>0</v>
      </c>
      <c r="H874" s="541">
        <v>3.1749999999999998</v>
      </c>
      <c r="I874" s="545">
        <f t="shared" ref="I874:I882" si="87">ROUND(IF(AND(F874:H874),C874*E874*F874*G874*H874,IF(AND(F874,G874),C874*E874*F874*G874,IF(AND(F874,H874),C874*E874*F874*H874,IF(AND(G874,H874),C874*E874*G874*H874,IF(F874,C874*E874*F874,IF(G874,C874*E874*G874,IF(H874,C874*E874*H874,C874*E874))))))),2)</f>
        <v>30.23</v>
      </c>
      <c r="J874" s="553" t="s">
        <v>102</v>
      </c>
      <c r="K874" s="39"/>
      <c r="L874" s="208"/>
      <c r="M874" s="39"/>
      <c r="N874" s="536" t="s">
        <v>2306</v>
      </c>
    </row>
    <row r="875" spans="1:14" s="544" customFormat="1" ht="15.75">
      <c r="A875" s="16"/>
      <c r="B875" s="39" t="s">
        <v>3017</v>
      </c>
      <c r="C875" s="537">
        <v>1</v>
      </c>
      <c r="D875" s="539" t="s">
        <v>273</v>
      </c>
      <c r="E875" s="540">
        <v>1</v>
      </c>
      <c r="F875" s="541">
        <v>5.18</v>
      </c>
      <c r="G875" s="541">
        <v>0</v>
      </c>
      <c r="H875" s="541">
        <v>3.3</v>
      </c>
      <c r="I875" s="545">
        <f t="shared" si="87"/>
        <v>17.09</v>
      </c>
      <c r="J875" s="553" t="s">
        <v>102</v>
      </c>
      <c r="K875" s="39"/>
      <c r="L875" s="208"/>
      <c r="M875" s="39"/>
      <c r="N875" s="536" t="s">
        <v>2306</v>
      </c>
    </row>
    <row r="876" spans="1:14" s="544" customFormat="1" ht="15.75">
      <c r="A876" s="16"/>
      <c r="B876" s="39" t="s">
        <v>579</v>
      </c>
      <c r="C876" s="537">
        <v>1</v>
      </c>
      <c r="D876" s="539" t="s">
        <v>273</v>
      </c>
      <c r="E876" s="540">
        <v>1</v>
      </c>
      <c r="F876" s="541">
        <v>0.75</v>
      </c>
      <c r="G876" s="541">
        <v>0</v>
      </c>
      <c r="H876" s="541">
        <v>2.1</v>
      </c>
      <c r="I876" s="545">
        <f t="shared" ref="I876:I881" si="88">-ROUND(IF(AND(F876:H876),C876*E876*F876*G876*H876,IF(AND(F876,G876),C876*E876*F876*G876,IF(AND(F876,H876),C876*E876*F876*H876,IF(AND(G876,H876),C876*E876*G876*H876,IF(F876,C876*E876*F876,IF(G876,C876*E876*G876,IF(H876,C876*E876*H876,C876*E876))))))),2)</f>
        <v>-1.58</v>
      </c>
      <c r="J876" s="553" t="s">
        <v>102</v>
      </c>
      <c r="K876" s="39"/>
      <c r="L876" s="208"/>
      <c r="M876" s="39"/>
      <c r="N876" s="536" t="s">
        <v>2306</v>
      </c>
    </row>
    <row r="877" spans="1:14" s="544" customFormat="1" ht="15.75">
      <c r="A877" s="16"/>
      <c r="B877" s="39" t="s">
        <v>2360</v>
      </c>
      <c r="C877" s="537">
        <v>1</v>
      </c>
      <c r="D877" s="539" t="s">
        <v>273</v>
      </c>
      <c r="E877" s="540">
        <v>7</v>
      </c>
      <c r="F877" s="541">
        <v>1.4</v>
      </c>
      <c r="G877" s="541">
        <v>0</v>
      </c>
      <c r="H877" s="541">
        <v>1.45</v>
      </c>
      <c r="I877" s="545">
        <f t="shared" si="88"/>
        <v>-14.21</v>
      </c>
      <c r="J877" s="553" t="s">
        <v>102</v>
      </c>
      <c r="K877" s="39"/>
      <c r="L877" s="208"/>
      <c r="M877" s="39"/>
      <c r="N877" s="536" t="s">
        <v>2306</v>
      </c>
    </row>
    <row r="878" spans="1:14" s="544" customFormat="1" ht="15.75">
      <c r="A878" s="16"/>
      <c r="B878" s="39" t="s">
        <v>2141</v>
      </c>
      <c r="C878" s="537">
        <v>1</v>
      </c>
      <c r="D878" s="539" t="s">
        <v>273</v>
      </c>
      <c r="E878" s="540">
        <v>6</v>
      </c>
      <c r="F878" s="541">
        <v>0.6</v>
      </c>
      <c r="G878" s="541">
        <v>0</v>
      </c>
      <c r="H878" s="541">
        <v>0.3</v>
      </c>
      <c r="I878" s="545">
        <f t="shared" si="88"/>
        <v>-1.08</v>
      </c>
      <c r="J878" s="553" t="s">
        <v>102</v>
      </c>
      <c r="K878" s="39"/>
      <c r="L878" s="208"/>
      <c r="M878" s="39"/>
      <c r="N878" s="536" t="s">
        <v>2306</v>
      </c>
    </row>
    <row r="879" spans="1:14" s="544" customFormat="1" ht="15.75">
      <c r="A879" s="16"/>
      <c r="B879" s="39" t="s">
        <v>2141</v>
      </c>
      <c r="C879" s="537">
        <v>1</v>
      </c>
      <c r="D879" s="539" t="s">
        <v>273</v>
      </c>
      <c r="E879" s="540">
        <v>3</v>
      </c>
      <c r="F879" s="541">
        <v>0.3</v>
      </c>
      <c r="G879" s="541">
        <v>0</v>
      </c>
      <c r="H879" s="541">
        <v>0.3</v>
      </c>
      <c r="I879" s="545">
        <f t="shared" si="88"/>
        <v>-0.27</v>
      </c>
      <c r="J879" s="553" t="s">
        <v>102</v>
      </c>
      <c r="K879" s="39"/>
      <c r="L879" s="208"/>
      <c r="M879" s="39"/>
      <c r="N879" s="536" t="s">
        <v>2306</v>
      </c>
    </row>
    <row r="880" spans="1:14" s="544" customFormat="1" ht="15.75">
      <c r="A880" s="16"/>
      <c r="B880" s="39" t="s">
        <v>3018</v>
      </c>
      <c r="C880" s="537">
        <v>1</v>
      </c>
      <c r="D880" s="539" t="s">
        <v>273</v>
      </c>
      <c r="E880" s="540">
        <v>1</v>
      </c>
      <c r="F880" s="541">
        <v>1.27</v>
      </c>
      <c r="G880" s="541">
        <v>0</v>
      </c>
      <c r="H880" s="541">
        <v>1.5</v>
      </c>
      <c r="I880" s="545">
        <f t="shared" si="88"/>
        <v>-1.91</v>
      </c>
      <c r="J880" s="553" t="s">
        <v>102</v>
      </c>
      <c r="K880" s="39"/>
      <c r="L880" s="208"/>
      <c r="M880" s="39"/>
      <c r="N880" s="536" t="s">
        <v>2306</v>
      </c>
    </row>
    <row r="881" spans="1:14" s="544" customFormat="1" ht="15.75">
      <c r="A881" s="16"/>
      <c r="B881" s="39"/>
      <c r="C881" s="537">
        <v>1</v>
      </c>
      <c r="D881" s="539" t="s">
        <v>273</v>
      </c>
      <c r="E881" s="540">
        <v>1</v>
      </c>
      <c r="F881" s="541">
        <v>1.27</v>
      </c>
      <c r="G881" s="541">
        <v>0</v>
      </c>
      <c r="H881" s="541">
        <v>1.2</v>
      </c>
      <c r="I881" s="545">
        <f t="shared" si="88"/>
        <v>-1.52</v>
      </c>
      <c r="J881" s="553" t="s">
        <v>102</v>
      </c>
      <c r="K881" s="39"/>
      <c r="L881" s="208"/>
      <c r="M881" s="39"/>
      <c r="N881" s="536" t="s">
        <v>2306</v>
      </c>
    </row>
    <row r="882" spans="1:14" s="544" customFormat="1" ht="15.75">
      <c r="A882" s="16"/>
      <c r="B882" s="39" t="s">
        <v>2990</v>
      </c>
      <c r="C882" s="537">
        <v>1</v>
      </c>
      <c r="D882" s="539" t="s">
        <v>273</v>
      </c>
      <c r="E882" s="540">
        <v>1</v>
      </c>
      <c r="F882" s="541">
        <v>7.05</v>
      </c>
      <c r="G882" s="541">
        <v>0</v>
      </c>
      <c r="H882" s="541">
        <v>0.125</v>
      </c>
      <c r="I882" s="545">
        <f t="shared" si="87"/>
        <v>0.88</v>
      </c>
      <c r="J882" s="553" t="s">
        <v>102</v>
      </c>
      <c r="K882" s="39"/>
      <c r="L882" s="208"/>
      <c r="M882" s="39"/>
      <c r="N882" s="536" t="s">
        <v>2306</v>
      </c>
    </row>
    <row r="883" spans="1:14" s="544" customFormat="1" ht="15.75">
      <c r="A883" s="16"/>
      <c r="B883" s="39"/>
      <c r="C883" s="537">
        <v>1</v>
      </c>
      <c r="D883" s="539" t="s">
        <v>273</v>
      </c>
      <c r="E883" s="540">
        <v>1</v>
      </c>
      <c r="F883" s="541">
        <v>10.14</v>
      </c>
      <c r="G883" s="541">
        <v>0</v>
      </c>
      <c r="H883" s="541">
        <v>0.125</v>
      </c>
      <c r="I883" s="545">
        <f t="shared" si="86"/>
        <v>1.27</v>
      </c>
      <c r="J883" s="553" t="s">
        <v>102</v>
      </c>
      <c r="K883" s="39"/>
      <c r="L883" s="208"/>
      <c r="M883" s="39"/>
      <c r="N883" s="536" t="s">
        <v>2306</v>
      </c>
    </row>
    <row r="884" spans="1:14" s="544" customFormat="1" ht="15.75">
      <c r="A884" s="16"/>
      <c r="B884" s="39"/>
      <c r="C884" s="537">
        <v>1</v>
      </c>
      <c r="D884" s="539" t="s">
        <v>273</v>
      </c>
      <c r="E884" s="540">
        <v>1</v>
      </c>
      <c r="F884" s="541">
        <v>14.52</v>
      </c>
      <c r="G884" s="541">
        <v>0</v>
      </c>
      <c r="H884" s="541">
        <v>0.125</v>
      </c>
      <c r="I884" s="545">
        <f t="shared" si="86"/>
        <v>1.82</v>
      </c>
      <c r="J884" s="553" t="s">
        <v>102</v>
      </c>
      <c r="K884" s="39"/>
      <c r="L884" s="208"/>
      <c r="M884" s="39"/>
      <c r="N884" s="536" t="s">
        <v>2306</v>
      </c>
    </row>
    <row r="885" spans="1:14" s="544" customFormat="1" ht="15.75">
      <c r="A885" s="16"/>
      <c r="B885" s="39"/>
      <c r="C885" s="537">
        <v>1</v>
      </c>
      <c r="D885" s="539" t="s">
        <v>273</v>
      </c>
      <c r="E885" s="540">
        <v>1</v>
      </c>
      <c r="F885" s="541">
        <v>10.29</v>
      </c>
      <c r="G885" s="541">
        <v>0</v>
      </c>
      <c r="H885" s="541">
        <v>0.125</v>
      </c>
      <c r="I885" s="545">
        <f t="shared" si="86"/>
        <v>1.29</v>
      </c>
      <c r="J885" s="553" t="s">
        <v>102</v>
      </c>
      <c r="K885" s="39"/>
      <c r="L885" s="208"/>
      <c r="M885" s="39"/>
      <c r="N885" s="536" t="s">
        <v>2306</v>
      </c>
    </row>
    <row r="886" spans="1:14" s="544" customFormat="1" ht="15.75">
      <c r="A886" s="16"/>
      <c r="B886" s="39" t="s">
        <v>3019</v>
      </c>
      <c r="C886" s="537"/>
      <c r="D886" s="539"/>
      <c r="E886" s="540"/>
      <c r="F886" s="541"/>
      <c r="G886" s="541"/>
      <c r="H886" s="541"/>
      <c r="I886" s="542"/>
      <c r="J886" s="553"/>
      <c r="K886" s="39"/>
      <c r="L886" s="208"/>
      <c r="M886" s="39"/>
      <c r="N886" s="536" t="s">
        <v>2306</v>
      </c>
    </row>
    <row r="887" spans="1:14" s="544" customFormat="1" ht="15.75">
      <c r="A887" s="16"/>
      <c r="B887" s="39" t="s">
        <v>1492</v>
      </c>
      <c r="C887" s="537">
        <v>1</v>
      </c>
      <c r="D887" s="539" t="s">
        <v>273</v>
      </c>
      <c r="E887" s="540">
        <v>2</v>
      </c>
      <c r="F887" s="541">
        <v>10.3</v>
      </c>
      <c r="G887" s="541">
        <v>0</v>
      </c>
      <c r="H887" s="541">
        <v>0.6</v>
      </c>
      <c r="I887" s="545">
        <f t="shared" ref="I887:I888" si="89">ROUND(IF(AND(F887:H887),C887*E887*F887*G887*H887,IF(AND(F887,G887),C887*E887*F887*G887,IF(AND(F887,H887),C887*E887*F887*H887,IF(AND(G887,H887),C887*E887*G887*H887,IF(F887,C887*E887*F887,IF(G887,C887*E887*G887,IF(H887,C887*E887*H887,C887*E887))))))),2)</f>
        <v>12.36</v>
      </c>
      <c r="J887" s="553" t="s">
        <v>102</v>
      </c>
      <c r="K887" s="39"/>
      <c r="L887" s="208"/>
      <c r="M887" s="39"/>
      <c r="N887" s="536" t="s">
        <v>2306</v>
      </c>
    </row>
    <row r="888" spans="1:14" s="544" customFormat="1" ht="15.75">
      <c r="A888" s="16"/>
      <c r="B888" s="39"/>
      <c r="C888" s="537">
        <v>1</v>
      </c>
      <c r="D888" s="539" t="s">
        <v>273</v>
      </c>
      <c r="E888" s="540">
        <v>2</v>
      </c>
      <c r="F888" s="541">
        <v>24</v>
      </c>
      <c r="G888" s="541">
        <v>0</v>
      </c>
      <c r="H888" s="541">
        <v>0.9</v>
      </c>
      <c r="I888" s="545">
        <f t="shared" si="89"/>
        <v>43.2</v>
      </c>
      <c r="J888" s="553" t="s">
        <v>102</v>
      </c>
      <c r="K888" s="39"/>
      <c r="L888" s="208"/>
      <c r="M888" s="39"/>
      <c r="N888" s="536" t="s">
        <v>2306</v>
      </c>
    </row>
    <row r="889" spans="1:14" s="544" customFormat="1" ht="15.75">
      <c r="A889" s="16"/>
      <c r="B889" s="547"/>
      <c r="C889" s="548"/>
      <c r="D889" s="549"/>
      <c r="E889" s="550"/>
      <c r="F889" s="551"/>
      <c r="G889" s="551"/>
      <c r="H889" s="551"/>
      <c r="I889" s="552"/>
      <c r="J889" s="553"/>
      <c r="K889" s="39"/>
      <c r="L889" s="208"/>
      <c r="M889" s="39"/>
      <c r="N889" s="536" t="s">
        <v>2306</v>
      </c>
    </row>
    <row r="890" spans="1:14" ht="15.75">
      <c r="A890" s="16"/>
      <c r="B890" s="39"/>
      <c r="C890" s="554"/>
      <c r="D890" s="555"/>
      <c r="E890" s="540"/>
      <c r="F890" s="541"/>
      <c r="G890" s="40"/>
      <c r="H890" s="16"/>
      <c r="I890" s="552"/>
      <c r="J890" s="553" t="s">
        <v>102</v>
      </c>
      <c r="K890" s="10">
        <f>data!F1449</f>
        <v>390.9</v>
      </c>
      <c r="L890" s="208" t="s">
        <v>2306</v>
      </c>
      <c r="M890" s="9">
        <f>ROUND(I890*K890,0)</f>
        <v>0</v>
      </c>
      <c r="N890" s="536" t="s">
        <v>2306</v>
      </c>
    </row>
    <row r="891" spans="1:14" ht="71.25" customHeight="1">
      <c r="A891" s="16">
        <v>13</v>
      </c>
      <c r="B891" s="1858" t="s">
        <v>316</v>
      </c>
      <c r="C891" s="1858"/>
      <c r="D891" s="1858"/>
      <c r="E891" s="1858"/>
      <c r="F891" s="1858"/>
      <c r="G891" s="1858"/>
      <c r="H891" s="1858"/>
      <c r="I891" s="537"/>
      <c r="J891" s="538"/>
      <c r="K891" s="16"/>
      <c r="L891" s="208"/>
      <c r="M891" s="38"/>
      <c r="N891" s="536" t="s">
        <v>2317</v>
      </c>
    </row>
    <row r="892" spans="1:14" s="544" customFormat="1" ht="15.75">
      <c r="A892" s="16"/>
      <c r="B892" s="39" t="s">
        <v>2871</v>
      </c>
      <c r="C892" s="537"/>
      <c r="D892" s="539"/>
      <c r="E892" s="540"/>
      <c r="F892" s="541"/>
      <c r="G892" s="541"/>
      <c r="H892" s="541"/>
      <c r="I892" s="542"/>
      <c r="J892" s="553"/>
      <c r="K892" s="39"/>
      <c r="L892" s="208"/>
      <c r="M892" s="39"/>
      <c r="N892" s="536" t="s">
        <v>2317</v>
      </c>
    </row>
    <row r="893" spans="1:14" s="544" customFormat="1" ht="15.75">
      <c r="A893" s="16"/>
      <c r="B893" s="39" t="s">
        <v>2167</v>
      </c>
      <c r="C893" s="537">
        <v>1</v>
      </c>
      <c r="D893" s="539" t="s">
        <v>273</v>
      </c>
      <c r="E893" s="540">
        <v>1</v>
      </c>
      <c r="F893" s="541">
        <v>12.48</v>
      </c>
      <c r="G893" s="541">
        <v>0</v>
      </c>
      <c r="H893" s="541">
        <v>3.12</v>
      </c>
      <c r="I893" s="545">
        <f>ROUND(IF(AND(F893:H893),C893*E893*F893*G893*H893,IF(AND(F893,G893),C893*E893*F893*G893,IF(AND(F893,H893),C893*E893*F893*H893,IF(AND(G893,H893),C893*E893*G893*H893,IF(F893,C893*E893*F893,IF(G893,C893*E893*G893,IF(H893,C893*E893*H893,C893*E893))))))),2)</f>
        <v>38.94</v>
      </c>
      <c r="J893" s="553" t="s">
        <v>102</v>
      </c>
      <c r="K893" s="39"/>
      <c r="L893" s="208"/>
      <c r="M893" s="39"/>
      <c r="N893" s="536" t="s">
        <v>2317</v>
      </c>
    </row>
    <row r="894" spans="1:14" s="544" customFormat="1" ht="15.75">
      <c r="A894" s="16"/>
      <c r="B894" s="39" t="s">
        <v>579</v>
      </c>
      <c r="C894" s="537">
        <v>1</v>
      </c>
      <c r="D894" s="539" t="s">
        <v>273</v>
      </c>
      <c r="E894" s="540">
        <v>1</v>
      </c>
      <c r="F894" s="541">
        <v>1.2</v>
      </c>
      <c r="G894" s="541">
        <v>0</v>
      </c>
      <c r="H894" s="541">
        <v>2.13</v>
      </c>
      <c r="I894" s="545">
        <f>-ROUND(IF(AND(F894:H894),C894*E894*F894*G894*H894,IF(AND(F894,G894),C894*E894*F894*G894,IF(AND(F894,H894),C894*E894*F894*H894,IF(AND(G894,H894),C894*E894*G894*H894,IF(F894,C894*E894*F894,IF(G894,C894*E894*G894,IF(H894,C894*E894*H894,C894*E894))))))),2)</f>
        <v>-2.56</v>
      </c>
      <c r="J894" s="553" t="s">
        <v>102</v>
      </c>
      <c r="K894" s="39"/>
      <c r="L894" s="208"/>
      <c r="M894" s="39"/>
      <c r="N894" s="536" t="s">
        <v>2317</v>
      </c>
    </row>
    <row r="895" spans="1:14" s="544" customFormat="1" ht="15.75">
      <c r="A895" s="16"/>
      <c r="B895" s="39" t="s">
        <v>2206</v>
      </c>
      <c r="C895" s="537">
        <v>1</v>
      </c>
      <c r="D895" s="539" t="s">
        <v>273</v>
      </c>
      <c r="E895" s="540">
        <v>2</v>
      </c>
      <c r="F895" s="541">
        <v>0.68</v>
      </c>
      <c r="G895" s="541">
        <v>0</v>
      </c>
      <c r="H895" s="541">
        <v>1.88</v>
      </c>
      <c r="I895" s="545">
        <f>-ROUND(IF(AND(F895:H895),C895*E895*F895*G895*H895,IF(AND(F895,G895),C895*E895*F895*G895,IF(AND(F895,H895),C895*E895*F895*H895,IF(AND(G895,H895),C895*E895*G895*H895,IF(F895,C895*E895*F895,IF(G895,C895*E895*G895,IF(H895,C895*E895*H895,C895*E895))))))),2)</f>
        <v>-2.56</v>
      </c>
      <c r="J895" s="553" t="s">
        <v>102</v>
      </c>
      <c r="K895" s="39"/>
      <c r="L895" s="208"/>
      <c r="M895" s="39"/>
      <c r="N895" s="536" t="s">
        <v>2317</v>
      </c>
    </row>
    <row r="896" spans="1:14" s="544" customFormat="1" ht="15.75">
      <c r="A896" s="16"/>
      <c r="B896" s="547"/>
      <c r="C896" s="548"/>
      <c r="D896" s="549"/>
      <c r="E896" s="550"/>
      <c r="F896" s="551"/>
      <c r="G896" s="551"/>
      <c r="H896" s="551"/>
      <c r="I896" s="552"/>
      <c r="J896" s="553"/>
      <c r="K896" s="39"/>
      <c r="L896" s="208"/>
      <c r="M896" s="39"/>
      <c r="N896" s="536" t="s">
        <v>2317</v>
      </c>
    </row>
    <row r="897" spans="1:14" ht="15.75">
      <c r="A897" s="16"/>
      <c r="B897" s="39"/>
      <c r="C897" s="554"/>
      <c r="D897" s="555"/>
      <c r="E897" s="540"/>
      <c r="F897" s="541"/>
      <c r="G897" s="40"/>
      <c r="H897" s="16"/>
      <c r="I897" s="552"/>
      <c r="J897" s="553" t="s">
        <v>102</v>
      </c>
      <c r="K897" s="10">
        <f>data!F2366</f>
        <v>415.44</v>
      </c>
      <c r="L897" s="208" t="s">
        <v>2317</v>
      </c>
      <c r="M897" s="9">
        <f>ROUND(I897*K897,0)</f>
        <v>0</v>
      </c>
      <c r="N897" s="536" t="s">
        <v>2317</v>
      </c>
    </row>
    <row r="898" spans="1:14" ht="71.25" customHeight="1">
      <c r="A898" s="16">
        <v>11</v>
      </c>
      <c r="B898" s="1858" t="s">
        <v>316</v>
      </c>
      <c r="C898" s="1858"/>
      <c r="D898" s="1858"/>
      <c r="E898" s="1858"/>
      <c r="F898" s="1858"/>
      <c r="G898" s="1858"/>
      <c r="H898" s="1858"/>
      <c r="I898" s="537"/>
      <c r="J898" s="538"/>
      <c r="K898" s="16"/>
      <c r="L898" s="208"/>
      <c r="M898" s="38"/>
      <c r="N898" s="536" t="s">
        <v>2318</v>
      </c>
    </row>
    <row r="899" spans="1:14" s="544" customFormat="1" ht="15.75">
      <c r="A899" s="16"/>
      <c r="B899" s="39" t="s">
        <v>3096</v>
      </c>
      <c r="C899" s="537"/>
      <c r="D899" s="1145" t="s">
        <v>3335</v>
      </c>
      <c r="E899" s="540"/>
      <c r="F899" s="541"/>
      <c r="G899" s="541"/>
      <c r="H899" s="541"/>
      <c r="I899" s="542"/>
      <c r="J899" s="553"/>
      <c r="K899" s="39"/>
      <c r="L899" s="208"/>
      <c r="M899" s="39"/>
      <c r="N899" s="536" t="s">
        <v>2318</v>
      </c>
    </row>
    <row r="900" spans="1:14" s="544" customFormat="1" ht="15.75">
      <c r="A900" s="16"/>
      <c r="B900" s="39" t="s">
        <v>3182</v>
      </c>
      <c r="C900" s="537">
        <v>1</v>
      </c>
      <c r="D900" s="539" t="s">
        <v>273</v>
      </c>
      <c r="E900" s="540">
        <v>2</v>
      </c>
      <c r="F900" s="541">
        <v>12.47</v>
      </c>
      <c r="G900" s="541">
        <v>0</v>
      </c>
      <c r="H900" s="541">
        <v>3.2</v>
      </c>
      <c r="I900" s="545">
        <f t="shared" ref="I900:I902" si="90">ROUND(IF(AND(F900:H900),C900*E900*F900*G900*H900,IF(AND(F900,G900),C900*E900*F900*G900,IF(AND(F900,H900),C900*E900*F900*H900,IF(AND(G900,H900),C900*E900*G900*H900,IF(F900,C900*E900*F900,IF(G900,C900*E900*G900,IF(H900,C900*E900*H900,C900*E900))))))),2)</f>
        <v>79.81</v>
      </c>
      <c r="J900" s="553" t="s">
        <v>102</v>
      </c>
      <c r="K900" s="39"/>
      <c r="L900" s="208"/>
      <c r="M900" s="39"/>
      <c r="N900" s="536" t="s">
        <v>2318</v>
      </c>
    </row>
    <row r="901" spans="1:14" s="544" customFormat="1" ht="15.75">
      <c r="A901" s="16"/>
      <c r="B901" s="39" t="s">
        <v>3183</v>
      </c>
      <c r="C901" s="537">
        <v>1</v>
      </c>
      <c r="D901" s="539" t="s">
        <v>273</v>
      </c>
      <c r="E901" s="540">
        <v>1</v>
      </c>
      <c r="F901" s="541">
        <v>8.84</v>
      </c>
      <c r="G901" s="541">
        <v>0</v>
      </c>
      <c r="H901" s="541">
        <v>3.2</v>
      </c>
      <c r="I901" s="545">
        <f t="shared" si="90"/>
        <v>28.29</v>
      </c>
      <c r="J901" s="553" t="s">
        <v>102</v>
      </c>
      <c r="K901" s="39"/>
      <c r="L901" s="208"/>
      <c r="M901" s="39"/>
      <c r="N901" s="536" t="s">
        <v>2318</v>
      </c>
    </row>
    <row r="902" spans="1:14" s="544" customFormat="1" ht="15.75">
      <c r="A902" s="16"/>
      <c r="B902" s="39" t="s">
        <v>3184</v>
      </c>
      <c r="C902" s="537">
        <v>1</v>
      </c>
      <c r="D902" s="539" t="s">
        <v>273</v>
      </c>
      <c r="E902" s="540">
        <v>1</v>
      </c>
      <c r="F902" s="541">
        <v>8.84</v>
      </c>
      <c r="G902" s="541">
        <v>0</v>
      </c>
      <c r="H902" s="541">
        <v>3.2</v>
      </c>
      <c r="I902" s="545">
        <f t="shared" si="90"/>
        <v>28.29</v>
      </c>
      <c r="J902" s="553" t="s">
        <v>102</v>
      </c>
      <c r="K902" s="39"/>
      <c r="L902" s="208"/>
      <c r="M902" s="39"/>
      <c r="N902" s="536" t="s">
        <v>2318</v>
      </c>
    </row>
    <row r="903" spans="1:14" s="544" customFormat="1" ht="15.75">
      <c r="A903" s="16"/>
      <c r="B903" s="547"/>
      <c r="C903" s="548"/>
      <c r="D903" s="549"/>
      <c r="E903" s="550"/>
      <c r="F903" s="551"/>
      <c r="G903" s="551"/>
      <c r="H903" s="551"/>
      <c r="I903" s="552"/>
      <c r="J903" s="553"/>
      <c r="K903" s="39"/>
      <c r="L903" s="208"/>
      <c r="M903" s="39"/>
      <c r="N903" s="536" t="s">
        <v>2318</v>
      </c>
    </row>
    <row r="904" spans="1:14" ht="15.75">
      <c r="A904" s="16"/>
      <c r="B904" s="39"/>
      <c r="C904" s="554"/>
      <c r="D904" s="555"/>
      <c r="E904" s="540"/>
      <c r="F904" s="541"/>
      <c r="G904" s="40"/>
      <c r="H904" s="16"/>
      <c r="I904" s="552"/>
      <c r="J904" s="553" t="s">
        <v>102</v>
      </c>
      <c r="K904" s="10">
        <f>data!F3283</f>
        <v>441.63</v>
      </c>
      <c r="L904" s="208" t="s">
        <v>2318</v>
      </c>
      <c r="M904" s="9">
        <f>ROUND(I904*K904,0)</f>
        <v>0</v>
      </c>
      <c r="N904" s="536" t="s">
        <v>2318</v>
      </c>
    </row>
    <row r="905" spans="1:14" ht="92.25" customHeight="1">
      <c r="A905" s="16">
        <v>12</v>
      </c>
      <c r="B905" s="1858" t="s">
        <v>2065</v>
      </c>
      <c r="C905" s="1858"/>
      <c r="D905" s="1858"/>
      <c r="E905" s="1858"/>
      <c r="F905" s="1858"/>
      <c r="G905" s="1858"/>
      <c r="H905" s="1858"/>
      <c r="I905" s="537"/>
      <c r="J905" s="538"/>
      <c r="K905" s="16"/>
      <c r="L905" s="208"/>
      <c r="M905" s="38"/>
      <c r="N905" s="536" t="s">
        <v>2218</v>
      </c>
    </row>
    <row r="906" spans="1:14" s="544" customFormat="1" ht="16.5" customHeight="1">
      <c r="A906" s="16"/>
      <c r="B906" s="39" t="s">
        <v>2860</v>
      </c>
      <c r="C906" s="566"/>
      <c r="D906" s="567"/>
      <c r="E906" s="568"/>
      <c r="F906" s="569"/>
      <c r="G906" s="569"/>
      <c r="H906" s="570"/>
      <c r="I906" s="571"/>
      <c r="J906" s="553"/>
      <c r="K906" s="39"/>
      <c r="L906" s="208"/>
      <c r="M906" s="39"/>
      <c r="N906" s="536" t="s">
        <v>2218</v>
      </c>
    </row>
    <row r="907" spans="1:14" s="544" customFormat="1" ht="16.5" customHeight="1">
      <c r="A907" s="16"/>
      <c r="B907" s="547" t="s">
        <v>1629</v>
      </c>
      <c r="C907" s="548">
        <v>10</v>
      </c>
      <c r="D907" s="549" t="s">
        <v>273</v>
      </c>
      <c r="E907" s="581">
        <v>0.5</v>
      </c>
      <c r="F907" s="551">
        <v>1.2</v>
      </c>
      <c r="G907" s="551">
        <v>0.17</v>
      </c>
      <c r="H907" s="551">
        <v>0.12</v>
      </c>
      <c r="I907" s="552">
        <f>ROUND(IF(AND(F907:H907),C907*E907*F907*G907*H907,IF(AND(F907,G907),C907*E907*F907*G907,IF(AND(F907,H907),C907*E907*F907*H907,IF(AND(G907,H907),C907*E907*G907*H907,IF(F907,C907*E907*F907,IF(G907,C907*E907*G907,IF(H907,C907*E907*H907,C907*E907))))))),2)</f>
        <v>0.12</v>
      </c>
      <c r="J907" s="553" t="s">
        <v>5</v>
      </c>
      <c r="K907" s="39"/>
      <c r="L907" s="208"/>
      <c r="M907" s="39"/>
      <c r="N907" s="536" t="s">
        <v>2218</v>
      </c>
    </row>
    <row r="908" spans="1:14" s="544" customFormat="1" ht="16.5" customHeight="1">
      <c r="A908" s="16"/>
      <c r="B908" s="547"/>
      <c r="C908" s="548">
        <v>1</v>
      </c>
      <c r="D908" s="549" t="s">
        <v>273</v>
      </c>
      <c r="E908" s="550">
        <v>1</v>
      </c>
      <c r="F908" s="551">
        <v>1.2</v>
      </c>
      <c r="G908" s="551">
        <v>0.45</v>
      </c>
      <c r="H908" s="551">
        <v>0.12</v>
      </c>
      <c r="I908" s="552">
        <f>ROUND(IF(AND(F908:H908),C908*E908*F908*G908*H908,IF(AND(F908,G908),C908*E908*F908*G908,IF(AND(F908,H908),C908*E908*F908*H908,IF(AND(G908,H908),C908*E908*G908*H908,IF(F908,C908*E908*F908,IF(G908,C908*E908*G908,IF(H908,C908*E908*H908,C908*E908))))))),2)</f>
        <v>0.06</v>
      </c>
      <c r="J908" s="553" t="s">
        <v>5</v>
      </c>
      <c r="K908" s="39"/>
      <c r="L908" s="208"/>
      <c r="M908" s="39"/>
      <c r="N908" s="536" t="s">
        <v>2218</v>
      </c>
    </row>
    <row r="909" spans="1:14" s="544" customFormat="1" ht="16.5" customHeight="1">
      <c r="A909" s="16"/>
      <c r="B909" s="547" t="s">
        <v>1630</v>
      </c>
      <c r="C909" s="548">
        <v>11</v>
      </c>
      <c r="D909" s="549" t="s">
        <v>273</v>
      </c>
      <c r="E909" s="581">
        <v>0.5</v>
      </c>
      <c r="F909" s="551">
        <v>1.2</v>
      </c>
      <c r="G909" s="551">
        <v>0.17</v>
      </c>
      <c r="H909" s="551">
        <v>0.12</v>
      </c>
      <c r="I909" s="552">
        <f>ROUND(IF(AND(F909:H909),C909*E909*F909*G909*H909,IF(AND(F909,G909),C909*E909*F909*G909,IF(AND(F909,H909),C909*E909*F909*H909,IF(AND(G909,H909),C909*E909*G909*H909,IF(F909,C909*E909*F909,IF(G909,C909*E909*G909,IF(H909,C909*E909*H909,C909*E909))))))),2)</f>
        <v>0.13</v>
      </c>
      <c r="J909" s="553" t="s">
        <v>5</v>
      </c>
      <c r="K909" s="39"/>
      <c r="L909" s="208"/>
      <c r="M909" s="39"/>
      <c r="N909" s="536" t="s">
        <v>2218</v>
      </c>
    </row>
    <row r="910" spans="1:14" s="544" customFormat="1" ht="16.5" customHeight="1">
      <c r="A910" s="16"/>
      <c r="B910" s="547"/>
      <c r="C910" s="548"/>
      <c r="D910" s="549"/>
      <c r="E910" s="581"/>
      <c r="F910" s="551"/>
      <c r="G910" s="551"/>
      <c r="H910" s="551"/>
      <c r="I910" s="552"/>
      <c r="J910" s="553"/>
      <c r="K910" s="39"/>
      <c r="L910" s="208"/>
      <c r="M910" s="39"/>
      <c r="N910" s="536" t="s">
        <v>2218</v>
      </c>
    </row>
    <row r="911" spans="1:14" ht="15.75">
      <c r="A911" s="16"/>
      <c r="B911" s="39"/>
      <c r="C911" s="554"/>
      <c r="D911" s="555"/>
      <c r="E911" s="540"/>
      <c r="F911" s="541"/>
      <c r="G911" s="40"/>
      <c r="H911" s="16"/>
      <c r="I911" s="552"/>
      <c r="J911" s="553" t="s">
        <v>5</v>
      </c>
      <c r="K911" s="10">
        <f>data!F272</f>
        <v>5049.2099999999991</v>
      </c>
      <c r="L911" s="208" t="s">
        <v>2218</v>
      </c>
      <c r="M911" s="9">
        <f>ROUND(I911*K911,0)</f>
        <v>0</v>
      </c>
      <c r="N911" s="536" t="s">
        <v>2218</v>
      </c>
    </row>
    <row r="912" spans="1:14" ht="92.25" customHeight="1">
      <c r="A912" s="16">
        <v>12</v>
      </c>
      <c r="B912" s="1858" t="s">
        <v>2065</v>
      </c>
      <c r="C912" s="1858"/>
      <c r="D912" s="1858"/>
      <c r="E912" s="1858"/>
      <c r="F912" s="1858"/>
      <c r="G912" s="1858"/>
      <c r="H912" s="1858"/>
      <c r="I912" s="537"/>
      <c r="J912" s="538"/>
      <c r="K912" s="16"/>
      <c r="L912" s="208"/>
      <c r="M912" s="38"/>
      <c r="N912" s="536" t="s">
        <v>2306</v>
      </c>
    </row>
    <row r="913" spans="1:14" s="544" customFormat="1" ht="16.5" customHeight="1">
      <c r="A913" s="16"/>
      <c r="B913" s="39" t="s">
        <v>2860</v>
      </c>
      <c r="C913" s="566"/>
      <c r="D913" s="567"/>
      <c r="E913" s="568"/>
      <c r="F913" s="569"/>
      <c r="G913" s="569"/>
      <c r="H913" s="570"/>
      <c r="I913" s="571"/>
      <c r="J913" s="553"/>
      <c r="K913" s="39"/>
      <c r="L913" s="208"/>
      <c r="M913" s="39"/>
      <c r="N913" s="536" t="s">
        <v>2306</v>
      </c>
    </row>
    <row r="914" spans="1:14" s="544" customFormat="1" ht="16.5" customHeight="1">
      <c r="A914" s="16"/>
      <c r="B914" s="547" t="s">
        <v>1629</v>
      </c>
      <c r="C914" s="548">
        <v>10</v>
      </c>
      <c r="D914" s="549" t="s">
        <v>273</v>
      </c>
      <c r="E914" s="581">
        <v>0.5</v>
      </c>
      <c r="F914" s="551">
        <v>1.2</v>
      </c>
      <c r="G914" s="551">
        <v>0.17</v>
      </c>
      <c r="H914" s="551">
        <v>0.12</v>
      </c>
      <c r="I914" s="552">
        <f>ROUND(IF(AND(F914:H914),C914*E914*F914*G914*H914,IF(AND(F914,G914),C914*E914*F914*G914,IF(AND(F914,H914),C914*E914*F914*H914,IF(AND(G914,H914),C914*E914*G914*H914,IF(F914,C914*E914*F914,IF(G914,C914*E914*G914,IF(H914,C914*E914*H914,C914*E914))))))),2)</f>
        <v>0.12</v>
      </c>
      <c r="J914" s="553" t="s">
        <v>5</v>
      </c>
      <c r="K914" s="39"/>
      <c r="L914" s="208"/>
      <c r="M914" s="39"/>
      <c r="N914" s="536" t="s">
        <v>2306</v>
      </c>
    </row>
    <row r="915" spans="1:14" s="544" customFormat="1" ht="16.5" customHeight="1">
      <c r="A915" s="16"/>
      <c r="B915" s="547"/>
      <c r="C915" s="548">
        <v>1</v>
      </c>
      <c r="D915" s="549" t="s">
        <v>273</v>
      </c>
      <c r="E915" s="550">
        <v>1</v>
      </c>
      <c r="F915" s="551">
        <v>1.2</v>
      </c>
      <c r="G915" s="551">
        <v>0.45</v>
      </c>
      <c r="H915" s="551">
        <v>0.12</v>
      </c>
      <c r="I915" s="552">
        <f>ROUND(IF(AND(F915:H915),C915*E915*F915*G915*H915,IF(AND(F915,G915),C915*E915*F915*G915,IF(AND(F915,H915),C915*E915*F915*H915,IF(AND(G915,H915),C915*E915*G915*H915,IF(F915,C915*E915*F915,IF(G915,C915*E915*G915,IF(H915,C915*E915*H915,C915*E915))))))),2)</f>
        <v>0.06</v>
      </c>
      <c r="J915" s="553" t="s">
        <v>5</v>
      </c>
      <c r="K915" s="39"/>
      <c r="L915" s="208"/>
      <c r="M915" s="39"/>
      <c r="N915" s="536" t="s">
        <v>2306</v>
      </c>
    </row>
    <row r="916" spans="1:14" s="544" customFormat="1" ht="16.5" customHeight="1">
      <c r="A916" s="16"/>
      <c r="B916" s="547" t="s">
        <v>1630</v>
      </c>
      <c r="C916" s="548">
        <v>11</v>
      </c>
      <c r="D916" s="549" t="s">
        <v>273</v>
      </c>
      <c r="E916" s="581">
        <v>0.5</v>
      </c>
      <c r="F916" s="551">
        <v>1.2</v>
      </c>
      <c r="G916" s="551">
        <v>0.17</v>
      </c>
      <c r="H916" s="551">
        <v>0.12</v>
      </c>
      <c r="I916" s="552">
        <f>ROUND(IF(AND(F916:H916),C916*E916*F916*G916*H916,IF(AND(F916,G916),C916*E916*F916*G916,IF(AND(F916,H916),C916*E916*F916*H916,IF(AND(G916,H916),C916*E916*G916*H916,IF(F916,C916*E916*F916,IF(G916,C916*E916*G916,IF(H916,C916*E916*H916,C916*E916))))))),2)</f>
        <v>0.13</v>
      </c>
      <c r="J916" s="553" t="s">
        <v>5</v>
      </c>
      <c r="K916" s="39"/>
      <c r="L916" s="208"/>
      <c r="M916" s="39"/>
      <c r="N916" s="536" t="s">
        <v>2306</v>
      </c>
    </row>
    <row r="917" spans="1:14" s="544" customFormat="1" ht="16.5" customHeight="1">
      <c r="A917" s="16"/>
      <c r="B917" s="547"/>
      <c r="C917" s="548"/>
      <c r="D917" s="549"/>
      <c r="E917" s="581"/>
      <c r="F917" s="551"/>
      <c r="G917" s="551"/>
      <c r="H917" s="551"/>
      <c r="I917" s="552"/>
      <c r="J917" s="553"/>
      <c r="K917" s="39"/>
      <c r="L917" s="208"/>
      <c r="M917" s="39"/>
      <c r="N917" s="536" t="s">
        <v>2306</v>
      </c>
    </row>
    <row r="918" spans="1:14" ht="15.75">
      <c r="A918" s="16"/>
      <c r="B918" s="39"/>
      <c r="C918" s="554"/>
      <c r="D918" s="555"/>
      <c r="E918" s="540"/>
      <c r="F918" s="541"/>
      <c r="G918" s="40"/>
      <c r="H918" s="16"/>
      <c r="I918" s="552"/>
      <c r="J918" s="553" t="s">
        <v>5</v>
      </c>
      <c r="K918" s="10">
        <f>data!F1188</f>
        <v>5224.6200000000008</v>
      </c>
      <c r="L918" s="208" t="s">
        <v>2306</v>
      </c>
      <c r="M918" s="9">
        <f>ROUND(I918*K918,0)</f>
        <v>0</v>
      </c>
      <c r="N918" s="536" t="s">
        <v>2306</v>
      </c>
    </row>
    <row r="919" spans="1:14" ht="92.25" customHeight="1">
      <c r="A919" s="16">
        <v>12</v>
      </c>
      <c r="B919" s="1858" t="s">
        <v>2065</v>
      </c>
      <c r="C919" s="1858"/>
      <c r="D919" s="1858"/>
      <c r="E919" s="1858"/>
      <c r="F919" s="1858"/>
      <c r="G919" s="1858"/>
      <c r="H919" s="1858"/>
      <c r="I919" s="537"/>
      <c r="J919" s="538"/>
      <c r="K919" s="16"/>
      <c r="L919" s="208"/>
      <c r="M919" s="38"/>
      <c r="N919" s="536" t="s">
        <v>2317</v>
      </c>
    </row>
    <row r="920" spans="1:14" s="544" customFormat="1" ht="16.5" customHeight="1">
      <c r="A920" s="16"/>
      <c r="B920" s="39" t="s">
        <v>2860</v>
      </c>
      <c r="C920" s="566"/>
      <c r="D920" s="567"/>
      <c r="E920" s="568"/>
      <c r="F920" s="569"/>
      <c r="G920" s="569"/>
      <c r="H920" s="570"/>
      <c r="I920" s="571"/>
      <c r="J920" s="553"/>
      <c r="K920" s="39"/>
      <c r="L920" s="208"/>
      <c r="M920" s="39"/>
      <c r="N920" s="536" t="s">
        <v>2317</v>
      </c>
    </row>
    <row r="921" spans="1:14" s="544" customFormat="1" ht="16.5" customHeight="1">
      <c r="A921" s="16"/>
      <c r="B921" s="547" t="s">
        <v>1629</v>
      </c>
      <c r="C921" s="548">
        <v>10</v>
      </c>
      <c r="D921" s="549" t="s">
        <v>273</v>
      </c>
      <c r="E921" s="581">
        <v>0.5</v>
      </c>
      <c r="F921" s="551">
        <v>1.2</v>
      </c>
      <c r="G921" s="551">
        <v>0.17</v>
      </c>
      <c r="H921" s="551">
        <v>0.12</v>
      </c>
      <c r="I921" s="552">
        <f>ROUND(IF(AND(F921:H921),C921*E921*F921*G921*H921,IF(AND(F921,G921),C921*E921*F921*G921,IF(AND(F921,H921),C921*E921*F921*H921,IF(AND(G921,H921),C921*E921*G921*H921,IF(F921,C921*E921*F921,IF(G921,C921*E921*G921,IF(H921,C921*E921*H921,C921*E921))))))),2)</f>
        <v>0.12</v>
      </c>
      <c r="J921" s="553" t="s">
        <v>5</v>
      </c>
      <c r="K921" s="39"/>
      <c r="L921" s="208"/>
      <c r="M921" s="39"/>
      <c r="N921" s="536" t="s">
        <v>2317</v>
      </c>
    </row>
    <row r="922" spans="1:14" s="544" customFormat="1" ht="16.5" customHeight="1">
      <c r="A922" s="16"/>
      <c r="B922" s="547"/>
      <c r="C922" s="548">
        <v>1</v>
      </c>
      <c r="D922" s="549" t="s">
        <v>273</v>
      </c>
      <c r="E922" s="550">
        <v>1</v>
      </c>
      <c r="F922" s="551">
        <v>1.2</v>
      </c>
      <c r="G922" s="551">
        <v>0.45</v>
      </c>
      <c r="H922" s="551">
        <v>0.12</v>
      </c>
      <c r="I922" s="552">
        <f>ROUND(IF(AND(F922:H922),C922*E922*F922*G922*H922,IF(AND(F922,G922),C922*E922*F922*G922,IF(AND(F922,H922),C922*E922*F922*H922,IF(AND(G922,H922),C922*E922*G922*H922,IF(F922,C922*E922*F922,IF(G922,C922*E922*G922,IF(H922,C922*E922*H922,C922*E922))))))),2)</f>
        <v>0.06</v>
      </c>
      <c r="J922" s="553" t="s">
        <v>5</v>
      </c>
      <c r="K922" s="39"/>
      <c r="L922" s="208"/>
      <c r="M922" s="39"/>
      <c r="N922" s="536" t="s">
        <v>2317</v>
      </c>
    </row>
    <row r="923" spans="1:14" s="544" customFormat="1" ht="16.5" customHeight="1">
      <c r="A923" s="16"/>
      <c r="B923" s="547" t="s">
        <v>1630</v>
      </c>
      <c r="C923" s="548">
        <v>11</v>
      </c>
      <c r="D923" s="549" t="s">
        <v>273</v>
      </c>
      <c r="E923" s="581">
        <v>0.5</v>
      </c>
      <c r="F923" s="551">
        <v>1.2</v>
      </c>
      <c r="G923" s="551">
        <v>0.17</v>
      </c>
      <c r="H923" s="551">
        <v>0.12</v>
      </c>
      <c r="I923" s="552">
        <f>ROUND(IF(AND(F923:H923),C923*E923*F923*G923*H923,IF(AND(F923,G923),C923*E923*F923*G923,IF(AND(F923,H923),C923*E923*F923*H923,IF(AND(G923,H923),C923*E923*G923*H923,IF(F923,C923*E923*F923,IF(G923,C923*E923*G923,IF(H923,C923*E923*H923,C923*E923))))))),2)</f>
        <v>0.13</v>
      </c>
      <c r="J923" s="553" t="s">
        <v>5</v>
      </c>
      <c r="K923" s="39"/>
      <c r="L923" s="208"/>
      <c r="M923" s="39"/>
      <c r="N923" s="536" t="s">
        <v>2317</v>
      </c>
    </row>
    <row r="924" spans="1:14" s="544" customFormat="1" ht="16.5" customHeight="1">
      <c r="A924" s="16"/>
      <c r="B924" s="547"/>
      <c r="C924" s="548"/>
      <c r="D924" s="549"/>
      <c r="E924" s="581"/>
      <c r="F924" s="551"/>
      <c r="G924" s="551"/>
      <c r="H924" s="551"/>
      <c r="I924" s="552"/>
      <c r="J924" s="553"/>
      <c r="K924" s="39"/>
      <c r="L924" s="208"/>
      <c r="M924" s="39"/>
      <c r="N924" s="536" t="s">
        <v>2317</v>
      </c>
    </row>
    <row r="925" spans="1:14" ht="15.75">
      <c r="A925" s="16"/>
      <c r="B925" s="39"/>
      <c r="C925" s="554"/>
      <c r="D925" s="555"/>
      <c r="E925" s="540"/>
      <c r="F925" s="541"/>
      <c r="G925" s="40"/>
      <c r="H925" s="16"/>
      <c r="I925" s="552"/>
      <c r="J925" s="553" t="s">
        <v>5</v>
      </c>
      <c r="K925" s="10">
        <f>data!F2105</f>
        <v>5464.2000000000007</v>
      </c>
      <c r="L925" s="208" t="s">
        <v>2317</v>
      </c>
      <c r="M925" s="9">
        <f>ROUND(I925*K925,0)</f>
        <v>0</v>
      </c>
      <c r="N925" s="536" t="s">
        <v>2317</v>
      </c>
    </row>
    <row r="926" spans="1:14" ht="92.25" customHeight="1">
      <c r="A926" s="16">
        <v>12</v>
      </c>
      <c r="B926" s="1858" t="s">
        <v>2065</v>
      </c>
      <c r="C926" s="1858"/>
      <c r="D926" s="1858"/>
      <c r="E926" s="1858"/>
      <c r="F926" s="1858"/>
      <c r="G926" s="1858"/>
      <c r="H926" s="1858"/>
      <c r="I926" s="537"/>
      <c r="J926" s="538"/>
      <c r="K926" s="16"/>
      <c r="L926" s="208"/>
      <c r="M926" s="38"/>
      <c r="N926" s="536" t="s">
        <v>2318</v>
      </c>
    </row>
    <row r="927" spans="1:14" s="544" customFormat="1" ht="16.5" customHeight="1">
      <c r="A927" s="16"/>
      <c r="B927" s="39" t="s">
        <v>2860</v>
      </c>
      <c r="C927" s="566"/>
      <c r="D927" s="567"/>
      <c r="E927" s="568"/>
      <c r="F927" s="569"/>
      <c r="G927" s="569"/>
      <c r="H927" s="570"/>
      <c r="I927" s="571"/>
      <c r="J927" s="553"/>
      <c r="K927" s="39"/>
      <c r="L927" s="208"/>
      <c r="M927" s="39"/>
      <c r="N927" s="536" t="s">
        <v>2318</v>
      </c>
    </row>
    <row r="928" spans="1:14" s="544" customFormat="1" ht="16.5" customHeight="1">
      <c r="A928" s="16"/>
      <c r="B928" s="547" t="s">
        <v>1629</v>
      </c>
      <c r="C928" s="548">
        <v>10</v>
      </c>
      <c r="D928" s="549" t="s">
        <v>273</v>
      </c>
      <c r="E928" s="581">
        <v>0.5</v>
      </c>
      <c r="F928" s="551">
        <v>1.2</v>
      </c>
      <c r="G928" s="551">
        <v>0.17</v>
      </c>
      <c r="H928" s="551">
        <v>0.12</v>
      </c>
      <c r="I928" s="552">
        <f>ROUND(IF(AND(F928:H928),C928*E928*F928*G928*H928,IF(AND(F928,G928),C928*E928*F928*G928,IF(AND(F928,H928),C928*E928*F928*H928,IF(AND(G928,H928),C928*E928*G928*H928,IF(F928,C928*E928*F928,IF(G928,C928*E928*G928,IF(H928,C928*E928*H928,C928*E928))))))),2)</f>
        <v>0.12</v>
      </c>
      <c r="J928" s="553" t="s">
        <v>5</v>
      </c>
      <c r="K928" s="39"/>
      <c r="L928" s="208"/>
      <c r="M928" s="39"/>
      <c r="N928" s="536" t="s">
        <v>2318</v>
      </c>
    </row>
    <row r="929" spans="1:14" s="544" customFormat="1" ht="16.5" customHeight="1">
      <c r="A929" s="16"/>
      <c r="B929" s="547"/>
      <c r="C929" s="548">
        <v>1</v>
      </c>
      <c r="D929" s="549" t="s">
        <v>273</v>
      </c>
      <c r="E929" s="550">
        <v>1</v>
      </c>
      <c r="F929" s="551">
        <v>1.2</v>
      </c>
      <c r="G929" s="551">
        <v>0.45</v>
      </c>
      <c r="H929" s="551">
        <v>0.12</v>
      </c>
      <c r="I929" s="552">
        <f>ROUND(IF(AND(F929:H929),C929*E929*F929*G929*H929,IF(AND(F929,G929),C929*E929*F929*G929,IF(AND(F929,H929),C929*E929*F929*H929,IF(AND(G929,H929),C929*E929*G929*H929,IF(F929,C929*E929*F929,IF(G929,C929*E929*G929,IF(H929,C929*E929*H929,C929*E929))))))),2)</f>
        <v>0.06</v>
      </c>
      <c r="J929" s="553" t="s">
        <v>5</v>
      </c>
      <c r="K929" s="39"/>
      <c r="L929" s="208"/>
      <c r="M929" s="39"/>
      <c r="N929" s="536" t="s">
        <v>2318</v>
      </c>
    </row>
    <row r="930" spans="1:14" s="544" customFormat="1" ht="16.5" customHeight="1">
      <c r="A930" s="16"/>
      <c r="B930" s="547" t="s">
        <v>1630</v>
      </c>
      <c r="C930" s="548">
        <v>11</v>
      </c>
      <c r="D930" s="549" t="s">
        <v>273</v>
      </c>
      <c r="E930" s="581">
        <v>0.5</v>
      </c>
      <c r="F930" s="551">
        <v>1.2</v>
      </c>
      <c r="G930" s="551">
        <v>0.17</v>
      </c>
      <c r="H930" s="551">
        <v>0.12</v>
      </c>
      <c r="I930" s="552">
        <f>ROUND(IF(AND(F930:H930),C930*E930*F930*G930*H930,IF(AND(F930,G930),C930*E930*F930*G930,IF(AND(F930,H930),C930*E930*F930*H930,IF(AND(G930,H930),C930*E930*G930*H930,IF(F930,C930*E930*F930,IF(G930,C930*E930*G930,IF(H930,C930*E930*H930,C930*E930))))))),2)</f>
        <v>0.13</v>
      </c>
      <c r="J930" s="553" t="s">
        <v>5</v>
      </c>
      <c r="K930" s="39"/>
      <c r="L930" s="208"/>
      <c r="M930" s="39"/>
      <c r="N930" s="536" t="s">
        <v>2318</v>
      </c>
    </row>
    <row r="931" spans="1:14" s="544" customFormat="1" ht="16.5" customHeight="1">
      <c r="A931" s="16"/>
      <c r="B931" s="547"/>
      <c r="C931" s="548"/>
      <c r="D931" s="549"/>
      <c r="E931" s="581"/>
      <c r="F931" s="551"/>
      <c r="G931" s="551"/>
      <c r="H931" s="551"/>
      <c r="I931" s="552"/>
      <c r="J931" s="553"/>
      <c r="K931" s="39"/>
      <c r="L931" s="208"/>
      <c r="M931" s="39"/>
      <c r="N931" s="536" t="s">
        <v>2318</v>
      </c>
    </row>
    <row r="932" spans="1:14" ht="15.75">
      <c r="A932" s="16"/>
      <c r="B932" s="39"/>
      <c r="C932" s="554"/>
      <c r="D932" s="555"/>
      <c r="E932" s="540"/>
      <c r="F932" s="541"/>
      <c r="G932" s="40"/>
      <c r="H932" s="16"/>
      <c r="I932" s="552"/>
      <c r="J932" s="553" t="s">
        <v>5</v>
      </c>
      <c r="K932" s="10">
        <f>data!F3022</f>
        <v>5722.81</v>
      </c>
      <c r="L932" s="208" t="s">
        <v>2318</v>
      </c>
      <c r="M932" s="9">
        <f>ROUND(I932*K932,0)</f>
        <v>0</v>
      </c>
      <c r="N932" s="536" t="s">
        <v>2318</v>
      </c>
    </row>
    <row r="933" spans="1:14" ht="106.5" customHeight="1">
      <c r="A933" s="16">
        <v>14</v>
      </c>
      <c r="B933" s="1858" t="s">
        <v>212</v>
      </c>
      <c r="C933" s="1858"/>
      <c r="D933" s="1858"/>
      <c r="E933" s="1858"/>
      <c r="F933" s="1858"/>
      <c r="G933" s="1858"/>
      <c r="H933" s="1858"/>
      <c r="I933" s="537"/>
      <c r="J933" s="538"/>
      <c r="K933" s="16"/>
      <c r="L933" s="208"/>
      <c r="M933" s="38"/>
      <c r="N933" s="536" t="s">
        <v>2218</v>
      </c>
    </row>
    <row r="934" spans="1:14" s="544" customFormat="1" ht="16.5" customHeight="1">
      <c r="A934" s="16"/>
      <c r="B934" s="39" t="s">
        <v>2850</v>
      </c>
      <c r="C934" s="566"/>
      <c r="D934" s="567"/>
      <c r="E934" s="568"/>
      <c r="F934" s="569"/>
      <c r="G934" s="569"/>
      <c r="H934" s="570"/>
      <c r="I934" s="571"/>
      <c r="J934" s="553"/>
      <c r="K934" s="39"/>
      <c r="L934" s="208"/>
      <c r="M934" s="39"/>
      <c r="N934" s="536" t="s">
        <v>2218</v>
      </c>
    </row>
    <row r="935" spans="1:14" s="544" customFormat="1" ht="16.5" customHeight="1">
      <c r="A935" s="16"/>
      <c r="B935" s="582" t="s">
        <v>587</v>
      </c>
      <c r="C935" s="583">
        <v>1</v>
      </c>
      <c r="D935" s="584" t="s">
        <v>273</v>
      </c>
      <c r="E935" s="585">
        <v>1</v>
      </c>
      <c r="F935" s="586">
        <v>3.35</v>
      </c>
      <c r="G935" s="586">
        <v>3.34</v>
      </c>
      <c r="H935" s="586">
        <v>0</v>
      </c>
      <c r="I935" s="552">
        <f t="shared" ref="I935" si="91">ROUND(IF(AND(F935:H935),C935*E935*F935*G935*H935,IF(AND(F935,G935),C935*E935*F935*G935,IF(AND(F935,H935),C935*E935*F935*H935,IF(AND(G935,H935),C935*E935*G935*H935,IF(F935,C935*E935*F935,IF(G935,C935*E935*G935,IF(H935,C935*E935*H935,C935*E935))))))),2)</f>
        <v>11.19</v>
      </c>
      <c r="J935" s="553" t="s">
        <v>102</v>
      </c>
      <c r="K935" s="39"/>
      <c r="L935" s="208"/>
      <c r="M935" s="39"/>
      <c r="N935" s="536" t="s">
        <v>2218</v>
      </c>
    </row>
    <row r="936" spans="1:14" s="544" customFormat="1" ht="16.5" customHeight="1">
      <c r="A936" s="16"/>
      <c r="B936" s="582" t="s">
        <v>1169</v>
      </c>
      <c r="C936" s="583">
        <v>1</v>
      </c>
      <c r="D936" s="584" t="s">
        <v>273</v>
      </c>
      <c r="E936" s="585">
        <v>1</v>
      </c>
      <c r="F936" s="586">
        <v>2.75</v>
      </c>
      <c r="G936" s="586">
        <v>3.34</v>
      </c>
      <c r="H936" s="586">
        <v>0</v>
      </c>
      <c r="I936" s="552">
        <f t="shared" ref="I936:I937" si="92">ROUND(IF(AND(F936:H936),C936*E936*F936*G936*H936,IF(AND(F936,G936),C936*E936*F936*G936,IF(AND(F936,H936),C936*E936*F936*H936,IF(AND(G936,H936),C936*E936*G936*H936,IF(F936,C936*E936*F936,IF(G936,C936*E936*G936,IF(H936,C936*E936*H936,C936*E936))))))),2)</f>
        <v>9.19</v>
      </c>
      <c r="J936" s="553" t="s">
        <v>102</v>
      </c>
      <c r="K936" s="39"/>
      <c r="L936" s="208"/>
      <c r="M936" s="39"/>
      <c r="N936" s="536" t="s">
        <v>2218</v>
      </c>
    </row>
    <row r="937" spans="1:14" s="544" customFormat="1" ht="16.5" customHeight="1">
      <c r="A937" s="16"/>
      <c r="B937" s="582" t="s">
        <v>2208</v>
      </c>
      <c r="C937" s="583">
        <v>1</v>
      </c>
      <c r="D937" s="584" t="s">
        <v>273</v>
      </c>
      <c r="E937" s="585">
        <v>1</v>
      </c>
      <c r="F937" s="586">
        <v>2.78</v>
      </c>
      <c r="G937" s="586">
        <v>3.33</v>
      </c>
      <c r="H937" s="586">
        <v>0</v>
      </c>
      <c r="I937" s="552">
        <f t="shared" si="92"/>
        <v>9.26</v>
      </c>
      <c r="J937" s="553" t="s">
        <v>102</v>
      </c>
      <c r="K937" s="39"/>
      <c r="L937" s="208"/>
      <c r="M937" s="39"/>
      <c r="N937" s="536" t="s">
        <v>2218</v>
      </c>
    </row>
    <row r="938" spans="1:14" s="544" customFormat="1" ht="16.5" customHeight="1">
      <c r="A938" s="16"/>
      <c r="B938" s="547"/>
      <c r="C938" s="548"/>
      <c r="D938" s="549"/>
      <c r="E938" s="550"/>
      <c r="F938" s="551"/>
      <c r="G938" s="551"/>
      <c r="H938" s="551"/>
      <c r="I938" s="552"/>
      <c r="J938" s="553"/>
      <c r="K938" s="39"/>
      <c r="L938" s="208"/>
      <c r="M938" s="39"/>
      <c r="N938" s="536" t="s">
        <v>2218</v>
      </c>
    </row>
    <row r="939" spans="1:14" ht="15.75">
      <c r="A939" s="16"/>
      <c r="B939" s="39"/>
      <c r="C939" s="554"/>
      <c r="D939" s="555"/>
      <c r="E939" s="540"/>
      <c r="F939" s="541"/>
      <c r="G939" s="40"/>
      <c r="H939" s="16"/>
      <c r="I939" s="552"/>
      <c r="J939" s="553" t="s">
        <v>102</v>
      </c>
      <c r="K939" s="10">
        <f>data!F680</f>
        <v>1020.01</v>
      </c>
      <c r="L939" s="208" t="s">
        <v>2218</v>
      </c>
      <c r="M939" s="9">
        <f>ROUND(I939*K939,0)</f>
        <v>0</v>
      </c>
      <c r="N939" s="536" t="s">
        <v>2218</v>
      </c>
    </row>
    <row r="940" spans="1:14" ht="106.5" customHeight="1">
      <c r="A940" s="16">
        <v>13</v>
      </c>
      <c r="B940" s="1858" t="s">
        <v>212</v>
      </c>
      <c r="C940" s="1858"/>
      <c r="D940" s="1858"/>
      <c r="E940" s="1858"/>
      <c r="F940" s="1858"/>
      <c r="G940" s="1858"/>
      <c r="H940" s="1858"/>
      <c r="I940" s="537"/>
      <c r="J940" s="538"/>
      <c r="K940" s="16"/>
      <c r="L940" s="208"/>
      <c r="M940" s="38"/>
      <c r="N940" s="536" t="s">
        <v>2306</v>
      </c>
    </row>
    <row r="941" spans="1:14" s="544" customFormat="1" ht="16.5" customHeight="1">
      <c r="A941" s="16"/>
      <c r="B941" s="39" t="s">
        <v>3029</v>
      </c>
      <c r="C941" s="566"/>
      <c r="D941" s="567"/>
      <c r="E941" s="568"/>
      <c r="F941" s="569"/>
      <c r="G941" s="569"/>
      <c r="H941" s="570"/>
      <c r="I941" s="571"/>
      <c r="J941" s="553"/>
      <c r="K941" s="39"/>
      <c r="L941" s="208"/>
      <c r="M941" s="39"/>
      <c r="N941" s="536" t="s">
        <v>2306</v>
      </c>
    </row>
    <row r="942" spans="1:14" s="544" customFormat="1" ht="16.5" customHeight="1">
      <c r="A942" s="16"/>
      <c r="B942" s="582" t="s">
        <v>223</v>
      </c>
      <c r="C942" s="583">
        <v>1</v>
      </c>
      <c r="D942" s="584" t="s">
        <v>273</v>
      </c>
      <c r="E942" s="585">
        <v>1</v>
      </c>
      <c r="F942" s="586">
        <v>5.6</v>
      </c>
      <c r="G942" s="586">
        <v>3</v>
      </c>
      <c r="H942" s="586">
        <v>0</v>
      </c>
      <c r="I942" s="552">
        <f t="shared" ref="I942" si="93">ROUND(IF(AND(F942:H942),C942*E942*F942*G942*H942,IF(AND(F942,G942),C942*E942*F942*G942,IF(AND(F942,H942),C942*E942*F942*H942,IF(AND(G942,H942),C942*E942*G942*H942,IF(F942,C942*E942*F942,IF(G942,C942*E942*G942,IF(H942,C942*E942*H942,C942*E942))))))),2)</f>
        <v>16.8</v>
      </c>
      <c r="J942" s="553" t="s">
        <v>102</v>
      </c>
      <c r="K942" s="39"/>
      <c r="L942" s="208"/>
      <c r="M942" s="39"/>
      <c r="N942" s="536" t="s">
        <v>2306</v>
      </c>
    </row>
    <row r="943" spans="1:14" s="544" customFormat="1" ht="16.5" customHeight="1">
      <c r="A943" s="16"/>
      <c r="B943" s="582" t="s">
        <v>586</v>
      </c>
      <c r="C943" s="583">
        <v>1</v>
      </c>
      <c r="D943" s="584" t="s">
        <v>273</v>
      </c>
      <c r="E943" s="585">
        <v>1</v>
      </c>
      <c r="F943" s="586">
        <v>8.9</v>
      </c>
      <c r="G943" s="586">
        <v>1.7</v>
      </c>
      <c r="H943" s="586">
        <v>0</v>
      </c>
      <c r="I943" s="552">
        <f t="shared" ref="I943:I947" si="94">ROUND(IF(AND(F943:H943),C943*E943*F943*G943*H943,IF(AND(F943,G943),C943*E943*F943*G943,IF(AND(F943,H943),C943*E943*F943*H943,IF(AND(G943,H943),C943*E943*G943*H943,IF(F943,C943*E943*F943,IF(G943,C943*E943*G943,IF(H943,C943*E943*H943,C943*E943))))))),2)</f>
        <v>15.13</v>
      </c>
      <c r="J943" s="553" t="s">
        <v>102</v>
      </c>
      <c r="K943" s="39"/>
      <c r="L943" s="208"/>
      <c r="M943" s="39"/>
      <c r="N943" s="536" t="s">
        <v>2306</v>
      </c>
    </row>
    <row r="944" spans="1:14" s="544" customFormat="1" ht="16.5" customHeight="1">
      <c r="A944" s="16"/>
      <c r="B944" s="582" t="s">
        <v>587</v>
      </c>
      <c r="C944" s="583">
        <v>1</v>
      </c>
      <c r="D944" s="584" t="s">
        <v>273</v>
      </c>
      <c r="E944" s="585">
        <v>1</v>
      </c>
      <c r="F944" s="586">
        <v>3.2</v>
      </c>
      <c r="G944" s="586">
        <v>3.3</v>
      </c>
      <c r="H944" s="586">
        <v>0</v>
      </c>
      <c r="I944" s="552">
        <f t="shared" si="94"/>
        <v>10.56</v>
      </c>
      <c r="J944" s="553" t="s">
        <v>102</v>
      </c>
      <c r="K944" s="39"/>
      <c r="L944" s="208"/>
      <c r="M944" s="39"/>
      <c r="N944" s="536" t="s">
        <v>2306</v>
      </c>
    </row>
    <row r="945" spans="1:14" s="544" customFormat="1" ht="16.5" customHeight="1">
      <c r="A945" s="16"/>
      <c r="B945" s="582" t="s">
        <v>2746</v>
      </c>
      <c r="C945" s="583">
        <v>1</v>
      </c>
      <c r="D945" s="584" t="s">
        <v>273</v>
      </c>
      <c r="E945" s="585">
        <v>1</v>
      </c>
      <c r="F945" s="586">
        <v>3.2</v>
      </c>
      <c r="G945" s="586">
        <v>2.7</v>
      </c>
      <c r="H945" s="586">
        <v>0</v>
      </c>
      <c r="I945" s="552">
        <f t="shared" si="94"/>
        <v>8.64</v>
      </c>
      <c r="J945" s="553" t="s">
        <v>102</v>
      </c>
      <c r="K945" s="39"/>
      <c r="L945" s="208"/>
      <c r="M945" s="39"/>
      <c r="N945" s="536" t="s">
        <v>2306</v>
      </c>
    </row>
    <row r="946" spans="1:14" s="544" customFormat="1" ht="16.5" customHeight="1">
      <c r="A946" s="16"/>
      <c r="B946" s="582" t="s">
        <v>3030</v>
      </c>
      <c r="C946" s="583">
        <v>1</v>
      </c>
      <c r="D946" s="584" t="s">
        <v>273</v>
      </c>
      <c r="E946" s="585">
        <v>1</v>
      </c>
      <c r="F946" s="586">
        <v>3.2</v>
      </c>
      <c r="G946" s="586">
        <v>2.7</v>
      </c>
      <c r="H946" s="586">
        <v>0</v>
      </c>
      <c r="I946" s="552">
        <f t="shared" si="94"/>
        <v>8.64</v>
      </c>
      <c r="J946" s="553" t="s">
        <v>102</v>
      </c>
      <c r="K946" s="39"/>
      <c r="L946" s="208"/>
      <c r="M946" s="39"/>
      <c r="N946" s="536" t="s">
        <v>2306</v>
      </c>
    </row>
    <row r="947" spans="1:14" s="544" customFormat="1" ht="16.5" customHeight="1">
      <c r="A947" s="16"/>
      <c r="B947" s="582" t="s">
        <v>3031</v>
      </c>
      <c r="C947" s="583">
        <v>1</v>
      </c>
      <c r="D947" s="584" t="s">
        <v>273</v>
      </c>
      <c r="E947" s="585">
        <v>1</v>
      </c>
      <c r="F947" s="586">
        <v>4.9000000000000004</v>
      </c>
      <c r="G947" s="586">
        <v>2.6</v>
      </c>
      <c r="H947" s="586">
        <v>0</v>
      </c>
      <c r="I947" s="552">
        <f t="shared" si="94"/>
        <v>12.74</v>
      </c>
      <c r="J947" s="553" t="s">
        <v>102</v>
      </c>
      <c r="K947" s="39"/>
      <c r="L947" s="208"/>
      <c r="M947" s="39"/>
      <c r="N947" s="536" t="s">
        <v>2306</v>
      </c>
    </row>
    <row r="948" spans="1:14" s="544" customFormat="1" ht="16.5" customHeight="1">
      <c r="A948" s="16"/>
      <c r="B948" s="547"/>
      <c r="C948" s="548"/>
      <c r="D948" s="549"/>
      <c r="E948" s="550"/>
      <c r="F948" s="551"/>
      <c r="G948" s="551"/>
      <c r="H948" s="551"/>
      <c r="I948" s="552"/>
      <c r="J948" s="553"/>
      <c r="K948" s="39"/>
      <c r="L948" s="208"/>
      <c r="M948" s="39"/>
      <c r="N948" s="536" t="s">
        <v>2306</v>
      </c>
    </row>
    <row r="949" spans="1:14" ht="15.75">
      <c r="A949" s="16"/>
      <c r="B949" s="39"/>
      <c r="C949" s="554"/>
      <c r="D949" s="555"/>
      <c r="E949" s="540"/>
      <c r="F949" s="541"/>
      <c r="G949" s="40"/>
      <c r="H949" s="16"/>
      <c r="I949" s="552"/>
      <c r="J949" s="553" t="s">
        <v>102</v>
      </c>
      <c r="K949" s="10">
        <f>data!F1597</f>
        <v>1051.0899999999999</v>
      </c>
      <c r="L949" s="208" t="s">
        <v>2306</v>
      </c>
      <c r="M949" s="9">
        <f>ROUND(I949*K949,0)</f>
        <v>0</v>
      </c>
      <c r="N949" s="536" t="s">
        <v>2306</v>
      </c>
    </row>
    <row r="950" spans="1:14" ht="106.5" customHeight="1">
      <c r="A950" s="16">
        <v>14</v>
      </c>
      <c r="B950" s="1858" t="s">
        <v>212</v>
      </c>
      <c r="C950" s="1858"/>
      <c r="D950" s="1858"/>
      <c r="E950" s="1858"/>
      <c r="F950" s="1858"/>
      <c r="G950" s="1858"/>
      <c r="H950" s="1858"/>
      <c r="I950" s="537"/>
      <c r="J950" s="538"/>
      <c r="K950" s="16"/>
      <c r="L950" s="208"/>
      <c r="M950" s="38"/>
      <c r="N950" s="536" t="s">
        <v>2317</v>
      </c>
    </row>
    <row r="951" spans="1:14" s="544" customFormat="1" ht="16.5" customHeight="1">
      <c r="A951" s="16"/>
      <c r="B951" s="39" t="s">
        <v>2850</v>
      </c>
      <c r="C951" s="566"/>
      <c r="D951" s="567"/>
      <c r="E951" s="568"/>
      <c r="F951" s="569"/>
      <c r="G951" s="569"/>
      <c r="H951" s="570"/>
      <c r="I951" s="571"/>
      <c r="J951" s="553"/>
      <c r="K951" s="39"/>
      <c r="L951" s="208"/>
      <c r="M951" s="39"/>
      <c r="N951" s="536" t="s">
        <v>2317</v>
      </c>
    </row>
    <row r="952" spans="1:14" s="544" customFormat="1" ht="16.5" customHeight="1">
      <c r="A952" s="16"/>
      <c r="B952" s="582" t="s">
        <v>587</v>
      </c>
      <c r="C952" s="583">
        <v>1</v>
      </c>
      <c r="D952" s="584" t="s">
        <v>273</v>
      </c>
      <c r="E952" s="585">
        <v>1</v>
      </c>
      <c r="F952" s="586">
        <v>3.35</v>
      </c>
      <c r="G952" s="586">
        <v>3.34</v>
      </c>
      <c r="H952" s="586">
        <v>0</v>
      </c>
      <c r="I952" s="552">
        <f>ROUND(IF(AND(F952:H952),C952*E952*F952*G952*H952,IF(AND(F952,G952),C952*E952*F952*G952,IF(AND(F952,H952),C952*E952*F952*H952,IF(AND(G952,H952),C952*E952*G952*H952,IF(F952,C952*E952*F952,IF(G952,C952*E952*G952,IF(H952,C952*E952*H952,C952*E952))))))),2)</f>
        <v>11.19</v>
      </c>
      <c r="J952" s="553" t="s">
        <v>102</v>
      </c>
      <c r="K952" s="39"/>
      <c r="L952" s="208"/>
      <c r="M952" s="39"/>
      <c r="N952" s="536" t="s">
        <v>2317</v>
      </c>
    </row>
    <row r="953" spans="1:14" s="544" customFormat="1" ht="16.5" customHeight="1">
      <c r="A953" s="16"/>
      <c r="B953" s="582" t="s">
        <v>1169</v>
      </c>
      <c r="C953" s="583">
        <v>1</v>
      </c>
      <c r="D953" s="584" t="s">
        <v>273</v>
      </c>
      <c r="E953" s="585">
        <v>1</v>
      </c>
      <c r="F953" s="586">
        <v>2.75</v>
      </c>
      <c r="G953" s="586">
        <v>3.34</v>
      </c>
      <c r="H953" s="586">
        <v>0</v>
      </c>
      <c r="I953" s="552">
        <f>ROUND(IF(AND(F953:H953),C953*E953*F953*G953*H953,IF(AND(F953,G953),C953*E953*F953*G953,IF(AND(F953,H953),C953*E953*F953*H953,IF(AND(G953,H953),C953*E953*G953*H953,IF(F953,C953*E953*F953,IF(G953,C953*E953*G953,IF(H953,C953*E953*H953,C953*E953))))))),2)</f>
        <v>9.19</v>
      </c>
      <c r="J953" s="553" t="s">
        <v>102</v>
      </c>
      <c r="K953" s="39"/>
      <c r="L953" s="208"/>
      <c r="M953" s="39"/>
      <c r="N953" s="536" t="s">
        <v>2317</v>
      </c>
    </row>
    <row r="954" spans="1:14" s="544" customFormat="1" ht="16.5" customHeight="1">
      <c r="A954" s="16"/>
      <c r="B954" s="582" t="s">
        <v>2208</v>
      </c>
      <c r="C954" s="583">
        <v>1</v>
      </c>
      <c r="D954" s="584" t="s">
        <v>273</v>
      </c>
      <c r="E954" s="585">
        <v>1</v>
      </c>
      <c r="F954" s="586">
        <v>2.78</v>
      </c>
      <c r="G954" s="586">
        <v>3.33</v>
      </c>
      <c r="H954" s="586">
        <v>0</v>
      </c>
      <c r="I954" s="552">
        <f>ROUND(IF(AND(F954:H954),C954*E954*F954*G954*H954,IF(AND(F954,G954),C954*E954*F954*G954,IF(AND(F954,H954),C954*E954*F954*H954,IF(AND(G954,H954),C954*E954*G954*H954,IF(F954,C954*E954*F954,IF(G954,C954*E954*G954,IF(H954,C954*E954*H954,C954*E954))))))),2)</f>
        <v>9.26</v>
      </c>
      <c r="J954" s="553" t="s">
        <v>102</v>
      </c>
      <c r="K954" s="39"/>
      <c r="L954" s="208"/>
      <c r="M954" s="39"/>
      <c r="N954" s="536" t="s">
        <v>2317</v>
      </c>
    </row>
    <row r="955" spans="1:14" s="544" customFormat="1" ht="16.5" customHeight="1">
      <c r="A955" s="16"/>
      <c r="B955" s="547"/>
      <c r="C955" s="548"/>
      <c r="D955" s="549"/>
      <c r="E955" s="550"/>
      <c r="F955" s="551"/>
      <c r="G955" s="551"/>
      <c r="H955" s="551"/>
      <c r="I955" s="552"/>
      <c r="J955" s="553"/>
      <c r="K955" s="39"/>
      <c r="L955" s="208"/>
      <c r="M955" s="39"/>
      <c r="N955" s="536" t="s">
        <v>2317</v>
      </c>
    </row>
    <row r="956" spans="1:14" ht="15.75">
      <c r="A956" s="16"/>
      <c r="B956" s="39"/>
      <c r="C956" s="554"/>
      <c r="D956" s="555"/>
      <c r="E956" s="540"/>
      <c r="F956" s="541"/>
      <c r="G956" s="40"/>
      <c r="H956" s="16"/>
      <c r="I956" s="552"/>
      <c r="J956" s="553" t="s">
        <v>102</v>
      </c>
      <c r="K956" s="10">
        <f>data!F2514</f>
        <v>1074.81</v>
      </c>
      <c r="L956" s="208" t="s">
        <v>2317</v>
      </c>
      <c r="M956" s="9">
        <f>ROUND(I956*K956,0)</f>
        <v>0</v>
      </c>
      <c r="N956" s="536" t="s">
        <v>2317</v>
      </c>
    </row>
    <row r="957" spans="1:14" ht="106.5" customHeight="1">
      <c r="A957" s="16">
        <v>14</v>
      </c>
      <c r="B957" s="1858" t="s">
        <v>212</v>
      </c>
      <c r="C957" s="1858"/>
      <c r="D957" s="1858"/>
      <c r="E957" s="1858"/>
      <c r="F957" s="1858"/>
      <c r="G957" s="1858"/>
      <c r="H957" s="1858"/>
      <c r="I957" s="537"/>
      <c r="J957" s="538"/>
      <c r="K957" s="16"/>
      <c r="L957" s="208"/>
      <c r="M957" s="38"/>
      <c r="N957" s="536" t="s">
        <v>2318</v>
      </c>
    </row>
    <row r="958" spans="1:14" s="544" customFormat="1" ht="16.5" customHeight="1">
      <c r="A958" s="16"/>
      <c r="B958" s="39" t="s">
        <v>2850</v>
      </c>
      <c r="C958" s="566"/>
      <c r="D958" s="567"/>
      <c r="E958" s="568"/>
      <c r="F958" s="569"/>
      <c r="G958" s="569"/>
      <c r="H958" s="570"/>
      <c r="I958" s="571"/>
      <c r="J958" s="553"/>
      <c r="K958" s="39"/>
      <c r="L958" s="208"/>
      <c r="M958" s="39"/>
      <c r="N958" s="536" t="s">
        <v>2318</v>
      </c>
    </row>
    <row r="959" spans="1:14" s="544" customFormat="1" ht="16.5" customHeight="1">
      <c r="A959" s="16"/>
      <c r="B959" s="582" t="s">
        <v>587</v>
      </c>
      <c r="C959" s="583">
        <v>1</v>
      </c>
      <c r="D959" s="584" t="s">
        <v>273</v>
      </c>
      <c r="E959" s="585">
        <v>1</v>
      </c>
      <c r="F959" s="586">
        <v>3.35</v>
      </c>
      <c r="G959" s="586">
        <v>3.34</v>
      </c>
      <c r="H959" s="586">
        <v>0</v>
      </c>
      <c r="I959" s="552">
        <f>ROUND(IF(AND(F959:H959),C959*E959*F959*G959*H959,IF(AND(F959,G959),C959*E959*F959*G959,IF(AND(F959,H959),C959*E959*F959*H959,IF(AND(G959,H959),C959*E959*G959*H959,IF(F959,C959*E959*F959,IF(G959,C959*E959*G959,IF(H959,C959*E959*H959,C959*E959))))))),2)</f>
        <v>11.19</v>
      </c>
      <c r="J959" s="553" t="s">
        <v>102</v>
      </c>
      <c r="K959" s="39"/>
      <c r="L959" s="208"/>
      <c r="M959" s="39"/>
      <c r="N959" s="536" t="s">
        <v>2318</v>
      </c>
    </row>
    <row r="960" spans="1:14" s="544" customFormat="1" ht="16.5" customHeight="1">
      <c r="A960" s="16"/>
      <c r="B960" s="582" t="s">
        <v>1169</v>
      </c>
      <c r="C960" s="583">
        <v>1</v>
      </c>
      <c r="D960" s="584" t="s">
        <v>273</v>
      </c>
      <c r="E960" s="585">
        <v>1</v>
      </c>
      <c r="F960" s="586">
        <v>2.75</v>
      </c>
      <c r="G960" s="586">
        <v>3.34</v>
      </c>
      <c r="H960" s="586">
        <v>0</v>
      </c>
      <c r="I960" s="552">
        <f>ROUND(IF(AND(F960:H960),C960*E960*F960*G960*H960,IF(AND(F960,G960),C960*E960*F960*G960,IF(AND(F960,H960),C960*E960*F960*H960,IF(AND(G960,H960),C960*E960*G960*H960,IF(F960,C960*E960*F960,IF(G960,C960*E960*G960,IF(H960,C960*E960*H960,C960*E960))))))),2)</f>
        <v>9.19</v>
      </c>
      <c r="J960" s="553" t="s">
        <v>102</v>
      </c>
      <c r="K960" s="39"/>
      <c r="L960" s="208"/>
      <c r="M960" s="39"/>
      <c r="N960" s="536" t="s">
        <v>2318</v>
      </c>
    </row>
    <row r="961" spans="1:14" s="544" customFormat="1" ht="16.5" customHeight="1">
      <c r="A961" s="16"/>
      <c r="B961" s="582" t="s">
        <v>2208</v>
      </c>
      <c r="C961" s="583">
        <v>1</v>
      </c>
      <c r="D961" s="584" t="s">
        <v>273</v>
      </c>
      <c r="E961" s="585">
        <v>1</v>
      </c>
      <c r="F961" s="586">
        <v>2.78</v>
      </c>
      <c r="G961" s="586">
        <v>3.33</v>
      </c>
      <c r="H961" s="586">
        <v>0</v>
      </c>
      <c r="I961" s="552">
        <f>ROUND(IF(AND(F961:H961),C961*E961*F961*G961*H961,IF(AND(F961,G961),C961*E961*F961*G961,IF(AND(F961,H961),C961*E961*F961*H961,IF(AND(G961,H961),C961*E961*G961*H961,IF(F961,C961*E961*F961,IF(G961,C961*E961*G961,IF(H961,C961*E961*H961,C961*E961))))))),2)</f>
        <v>9.26</v>
      </c>
      <c r="J961" s="553" t="s">
        <v>102</v>
      </c>
      <c r="K961" s="39"/>
      <c r="L961" s="208"/>
      <c r="M961" s="39"/>
      <c r="N961" s="536" t="s">
        <v>2318</v>
      </c>
    </row>
    <row r="962" spans="1:14" s="544" customFormat="1" ht="16.5" customHeight="1">
      <c r="A962" s="16"/>
      <c r="B962" s="547"/>
      <c r="C962" s="548"/>
      <c r="D962" s="549"/>
      <c r="E962" s="550"/>
      <c r="F962" s="551"/>
      <c r="G962" s="551"/>
      <c r="H962" s="551"/>
      <c r="I962" s="552"/>
      <c r="J962" s="553"/>
      <c r="K962" s="39"/>
      <c r="L962" s="208"/>
      <c r="M962" s="39"/>
      <c r="N962" s="536" t="s">
        <v>2318</v>
      </c>
    </row>
    <row r="963" spans="1:14" ht="15.75">
      <c r="A963" s="16"/>
      <c r="B963" s="39"/>
      <c r="C963" s="554"/>
      <c r="D963" s="555"/>
      <c r="E963" s="540"/>
      <c r="F963" s="541"/>
      <c r="G963" s="40"/>
      <c r="H963" s="16"/>
      <c r="I963" s="552"/>
      <c r="J963" s="553" t="s">
        <v>102</v>
      </c>
      <c r="K963" s="10">
        <f>data!F3431</f>
        <v>1103.3900000000001</v>
      </c>
      <c r="L963" s="208" t="s">
        <v>2318</v>
      </c>
      <c r="M963" s="9">
        <f>ROUND(I963*K963,0)</f>
        <v>0</v>
      </c>
      <c r="N963" s="536" t="s">
        <v>2318</v>
      </c>
    </row>
    <row r="964" spans="1:14" ht="79.5" customHeight="1">
      <c r="A964" s="16">
        <v>15</v>
      </c>
      <c r="B964" s="1858" t="s">
        <v>213</v>
      </c>
      <c r="C964" s="1858"/>
      <c r="D964" s="1858"/>
      <c r="E964" s="1858"/>
      <c r="F964" s="1858"/>
      <c r="G964" s="1858"/>
      <c r="H964" s="1858"/>
      <c r="I964" s="537"/>
      <c r="J964" s="538"/>
      <c r="K964" s="16"/>
      <c r="L964" s="208"/>
      <c r="M964" s="38"/>
      <c r="N964" s="536" t="s">
        <v>2218</v>
      </c>
    </row>
    <row r="965" spans="1:14" s="544" customFormat="1" ht="16.5" customHeight="1">
      <c r="A965" s="16"/>
      <c r="B965" s="39" t="s">
        <v>2861</v>
      </c>
      <c r="C965" s="566"/>
      <c r="D965" s="567"/>
      <c r="E965" s="568"/>
      <c r="F965" s="569"/>
      <c r="G965" s="569"/>
      <c r="H965" s="570"/>
      <c r="I965" s="571"/>
      <c r="J965" s="553"/>
      <c r="K965" s="39"/>
      <c r="L965" s="208"/>
      <c r="M965" s="39"/>
      <c r="N965" s="536" t="s">
        <v>2218</v>
      </c>
    </row>
    <row r="966" spans="1:14" s="544" customFormat="1" ht="16.5" customHeight="1">
      <c r="A966" s="16"/>
      <c r="B966" s="582" t="s">
        <v>587</v>
      </c>
      <c r="C966" s="583">
        <v>1</v>
      </c>
      <c r="D966" s="584" t="s">
        <v>273</v>
      </c>
      <c r="E966" s="585">
        <v>1</v>
      </c>
      <c r="F966" s="586">
        <v>12.33</v>
      </c>
      <c r="G966" s="586">
        <v>0</v>
      </c>
      <c r="H966" s="586">
        <v>0.1</v>
      </c>
      <c r="I966" s="552">
        <f t="shared" ref="I966" si="95">ROUND(IF(AND(F966:H966),C966*E966*F966*G966*H966,IF(AND(F966,G966),C966*E966*F966*G966,IF(AND(F966,H966),C966*E966*F966*H966,IF(AND(G966,H966),C966*E966*G966*H966,IF(F966,C966*E966*F966,IF(G966,C966*E966*G966,IF(H966,C966*E966*H966,C966*E966))))))),2)</f>
        <v>1.23</v>
      </c>
      <c r="J966" s="553" t="s">
        <v>102</v>
      </c>
      <c r="K966" s="39"/>
      <c r="L966" s="208"/>
      <c r="M966" s="39"/>
      <c r="N966" s="536" t="s">
        <v>2218</v>
      </c>
    </row>
    <row r="967" spans="1:14" s="544" customFormat="1" ht="16.5" customHeight="1">
      <c r="A967" s="16"/>
      <c r="B967" s="582" t="s">
        <v>1169</v>
      </c>
      <c r="C967" s="583">
        <v>1</v>
      </c>
      <c r="D967" s="584" t="s">
        <v>273</v>
      </c>
      <c r="E967" s="585">
        <v>1</v>
      </c>
      <c r="F967" s="586">
        <v>11.33</v>
      </c>
      <c r="G967" s="586">
        <v>0</v>
      </c>
      <c r="H967" s="586">
        <v>0.1</v>
      </c>
      <c r="I967" s="552">
        <f t="shared" ref="I967:I968" si="96">ROUND(IF(AND(F967:H967),C967*E967*F967*G967*H967,IF(AND(F967,G967),C967*E967*F967*G967,IF(AND(F967,H967),C967*E967*F967*H967,IF(AND(G967,H967),C967*E967*G967*H967,IF(F967,C967*E967*F967,IF(G967,C967*E967*G967,IF(H967,C967*E967*H967,C967*E967))))))),2)</f>
        <v>1.1299999999999999</v>
      </c>
      <c r="J967" s="553" t="s">
        <v>102</v>
      </c>
      <c r="K967" s="39"/>
      <c r="L967" s="208"/>
      <c r="M967" s="39"/>
      <c r="N967" s="536" t="s">
        <v>2218</v>
      </c>
    </row>
    <row r="968" spans="1:14" s="544" customFormat="1" ht="16.5" customHeight="1">
      <c r="A968" s="16"/>
      <c r="B968" s="582" t="s">
        <v>658</v>
      </c>
      <c r="C968" s="583">
        <v>1</v>
      </c>
      <c r="D968" s="584" t="s">
        <v>273</v>
      </c>
      <c r="E968" s="585">
        <v>1</v>
      </c>
      <c r="F968" s="586">
        <v>14.8</v>
      </c>
      <c r="G968" s="586">
        <v>0</v>
      </c>
      <c r="H968" s="586">
        <v>0.1</v>
      </c>
      <c r="I968" s="552">
        <f t="shared" si="96"/>
        <v>1.48</v>
      </c>
      <c r="J968" s="553" t="s">
        <v>102</v>
      </c>
      <c r="K968" s="39"/>
      <c r="L968" s="208"/>
      <c r="M968" s="39"/>
      <c r="N968" s="536" t="s">
        <v>2218</v>
      </c>
    </row>
    <row r="969" spans="1:14" s="544" customFormat="1" ht="16.5" customHeight="1">
      <c r="A969" s="16"/>
      <c r="B969" s="547"/>
      <c r="C969" s="548"/>
      <c r="D969" s="549"/>
      <c r="E969" s="550"/>
      <c r="F969" s="551"/>
      <c r="G969" s="551"/>
      <c r="H969" s="551"/>
      <c r="I969" s="552"/>
      <c r="J969" s="553"/>
      <c r="K969" s="39"/>
      <c r="L969" s="208"/>
      <c r="M969" s="39"/>
      <c r="N969" s="536" t="s">
        <v>2218</v>
      </c>
    </row>
    <row r="970" spans="1:14" ht="15.75">
      <c r="A970" s="16"/>
      <c r="B970" s="39"/>
      <c r="C970" s="554"/>
      <c r="D970" s="555"/>
      <c r="E970" s="540"/>
      <c r="F970" s="541"/>
      <c r="G970" s="40"/>
      <c r="H970" s="16"/>
      <c r="I970" s="552"/>
      <c r="J970" s="553" t="s">
        <v>102</v>
      </c>
      <c r="K970" s="10">
        <f>data!F698</f>
        <v>1015.94</v>
      </c>
      <c r="L970" s="208" t="s">
        <v>2218</v>
      </c>
      <c r="M970" s="9">
        <f>ROUND(I970*K970,0)</f>
        <v>0</v>
      </c>
      <c r="N970" s="536" t="s">
        <v>2218</v>
      </c>
    </row>
    <row r="971" spans="1:14" ht="79.5" customHeight="1">
      <c r="A971" s="16">
        <v>14</v>
      </c>
      <c r="B971" s="1858" t="s">
        <v>213</v>
      </c>
      <c r="C971" s="1858"/>
      <c r="D971" s="1858"/>
      <c r="E971" s="1858"/>
      <c r="F971" s="1858"/>
      <c r="G971" s="1858"/>
      <c r="H971" s="1858"/>
      <c r="I971" s="537"/>
      <c r="J971" s="538"/>
      <c r="K971" s="16"/>
      <c r="L971" s="208"/>
      <c r="M971" s="38"/>
      <c r="N971" s="536" t="s">
        <v>2306</v>
      </c>
    </row>
    <row r="972" spans="1:14" s="544" customFormat="1" ht="16.5" customHeight="1">
      <c r="A972" s="16"/>
      <c r="B972" s="39" t="s">
        <v>3035</v>
      </c>
      <c r="C972" s="566"/>
      <c r="D972" s="567"/>
      <c r="E972" s="568"/>
      <c r="F972" s="569"/>
      <c r="G972" s="569"/>
      <c r="H972" s="570"/>
      <c r="I972" s="571"/>
      <c r="J972" s="553"/>
      <c r="K972" s="39"/>
      <c r="L972" s="208"/>
      <c r="M972" s="39"/>
      <c r="N972" s="536" t="s">
        <v>2306</v>
      </c>
    </row>
    <row r="973" spans="1:14" s="544" customFormat="1" ht="16.5" customHeight="1">
      <c r="A973" s="16"/>
      <c r="B973" s="582" t="s">
        <v>223</v>
      </c>
      <c r="C973" s="583">
        <v>1</v>
      </c>
      <c r="D973" s="584" t="s">
        <v>273</v>
      </c>
      <c r="E973" s="585">
        <v>1</v>
      </c>
      <c r="F973" s="586">
        <v>17.2</v>
      </c>
      <c r="G973" s="586">
        <v>0</v>
      </c>
      <c r="H973" s="586">
        <v>0.1</v>
      </c>
      <c r="I973" s="552">
        <f t="shared" ref="I973" si="97">ROUND(IF(AND(F973:H973),C973*E973*F973*G973*H973,IF(AND(F973,G973),C973*E973*F973*G973,IF(AND(F973,H973),C973*E973*F973*H973,IF(AND(G973,H973),C973*E973*G973*H973,IF(F973,C973*E973*F973,IF(G973,C973*E973*G973,IF(H973,C973*E973*H973,C973*E973))))))),2)</f>
        <v>1.72</v>
      </c>
      <c r="J973" s="553" t="s">
        <v>102</v>
      </c>
      <c r="K973" s="39"/>
      <c r="L973" s="208"/>
      <c r="M973" s="39"/>
      <c r="N973" s="536" t="s">
        <v>2306</v>
      </c>
    </row>
    <row r="974" spans="1:14" s="544" customFormat="1" ht="16.5" customHeight="1">
      <c r="A974" s="16"/>
      <c r="B974" s="582" t="s">
        <v>579</v>
      </c>
      <c r="C974" s="583">
        <v>1</v>
      </c>
      <c r="D974" s="584" t="s">
        <v>273</v>
      </c>
      <c r="E974" s="585">
        <v>2</v>
      </c>
      <c r="F974" s="586">
        <v>1.2</v>
      </c>
      <c r="G974" s="586">
        <v>0</v>
      </c>
      <c r="H974" s="586">
        <v>0.1</v>
      </c>
      <c r="I974" s="552">
        <f>-ROUND(IF(AND(F974:H974),C974*E974*F974*G974*H974,IF(AND(F974,G974),C974*E974*F974*G974,IF(AND(F974,H974),C974*E974*F974*H974,IF(AND(G974,H974),C974*E974*G974*H974,IF(F974,C974*E974*F974,IF(G974,C974*E974*G974,IF(H974,C974*E974*H974,C974*E974))))))),2)</f>
        <v>-0.24</v>
      </c>
      <c r="J974" s="553" t="s">
        <v>102</v>
      </c>
      <c r="K974" s="39"/>
      <c r="L974" s="208"/>
      <c r="M974" s="39"/>
      <c r="N974" s="536" t="s">
        <v>2306</v>
      </c>
    </row>
    <row r="975" spans="1:14" s="544" customFormat="1" ht="16.5" customHeight="1">
      <c r="A975" s="16"/>
      <c r="B975" s="582" t="s">
        <v>587</v>
      </c>
      <c r="C975" s="583">
        <v>1</v>
      </c>
      <c r="D975" s="584" t="s">
        <v>273</v>
      </c>
      <c r="E975" s="585">
        <v>1</v>
      </c>
      <c r="F975" s="586">
        <v>13</v>
      </c>
      <c r="G975" s="586">
        <v>0</v>
      </c>
      <c r="H975" s="586">
        <v>0.1</v>
      </c>
      <c r="I975" s="552">
        <f t="shared" ref="I975:I983" si="98">ROUND(IF(AND(F975:H975),C975*E975*F975*G975*H975,IF(AND(F975,G975),C975*E975*F975*G975,IF(AND(F975,H975),C975*E975*F975*H975,IF(AND(G975,H975),C975*E975*G975*H975,IF(F975,C975*E975*F975,IF(G975,C975*E975*G975,IF(H975,C975*E975*H975,C975*E975))))))),2)</f>
        <v>1.3</v>
      </c>
      <c r="J975" s="553" t="s">
        <v>102</v>
      </c>
      <c r="K975" s="39"/>
      <c r="L975" s="208"/>
      <c r="M975" s="39"/>
      <c r="N975" s="536" t="s">
        <v>2306</v>
      </c>
    </row>
    <row r="976" spans="1:14" s="544" customFormat="1" ht="16.5" customHeight="1">
      <c r="A976" s="16"/>
      <c r="B976" s="582" t="s">
        <v>2746</v>
      </c>
      <c r="C976" s="583">
        <v>1</v>
      </c>
      <c r="D976" s="584" t="s">
        <v>273</v>
      </c>
      <c r="E976" s="585">
        <v>1</v>
      </c>
      <c r="F976" s="586">
        <v>11.8</v>
      </c>
      <c r="G976" s="586">
        <v>0</v>
      </c>
      <c r="H976" s="586">
        <v>0.1</v>
      </c>
      <c r="I976" s="552">
        <f t="shared" si="98"/>
        <v>1.18</v>
      </c>
      <c r="J976" s="553" t="s">
        <v>102</v>
      </c>
      <c r="K976" s="39"/>
      <c r="L976" s="208"/>
      <c r="M976" s="39"/>
      <c r="N976" s="536" t="s">
        <v>2306</v>
      </c>
    </row>
    <row r="977" spans="1:14" s="544" customFormat="1" ht="16.5" customHeight="1">
      <c r="A977" s="16"/>
      <c r="B977" s="582" t="s">
        <v>2362</v>
      </c>
      <c r="C977" s="583">
        <v>1</v>
      </c>
      <c r="D977" s="584" t="s">
        <v>273</v>
      </c>
      <c r="E977" s="585">
        <v>1</v>
      </c>
      <c r="F977" s="586">
        <v>11.8</v>
      </c>
      <c r="G977" s="586">
        <v>0</v>
      </c>
      <c r="H977" s="586">
        <v>0.1</v>
      </c>
      <c r="I977" s="552">
        <f t="shared" si="98"/>
        <v>1.18</v>
      </c>
      <c r="J977" s="553" t="s">
        <v>102</v>
      </c>
      <c r="K977" s="39"/>
      <c r="L977" s="208"/>
      <c r="M977" s="39"/>
      <c r="N977" s="536" t="s">
        <v>2306</v>
      </c>
    </row>
    <row r="978" spans="1:14" s="544" customFormat="1" ht="16.5" customHeight="1">
      <c r="A978" s="16"/>
      <c r="B978" s="582" t="s">
        <v>579</v>
      </c>
      <c r="C978" s="583">
        <v>1</v>
      </c>
      <c r="D978" s="584" t="s">
        <v>273</v>
      </c>
      <c r="E978" s="585">
        <v>3</v>
      </c>
      <c r="F978" s="586">
        <v>1.05</v>
      </c>
      <c r="G978" s="586">
        <v>0</v>
      </c>
      <c r="H978" s="586">
        <v>0.1</v>
      </c>
      <c r="I978" s="552">
        <f>-ROUND(IF(AND(F978:H978),C978*E978*F978*G978*H978,IF(AND(F978,G978),C978*E978*F978*G978,IF(AND(F978,H978),C978*E978*F978*H978,IF(AND(G978,H978),C978*E978*G978*H978,IF(F978,C978*E978*F978,IF(G978,C978*E978*G978,IF(H978,C978*E978*H978,C978*E978))))))),2)</f>
        <v>-0.32</v>
      </c>
      <c r="J978" s="553" t="s">
        <v>102</v>
      </c>
      <c r="K978" s="39"/>
      <c r="L978" s="208"/>
      <c r="M978" s="39"/>
      <c r="N978" s="536" t="s">
        <v>2306</v>
      </c>
    </row>
    <row r="979" spans="1:14" s="544" customFormat="1" ht="16.5" customHeight="1">
      <c r="A979" s="16"/>
      <c r="B979" s="582" t="s">
        <v>3031</v>
      </c>
      <c r="C979" s="583">
        <v>1</v>
      </c>
      <c r="D979" s="584" t="s">
        <v>273</v>
      </c>
      <c r="E979" s="585">
        <v>1</v>
      </c>
      <c r="F979" s="586">
        <v>15</v>
      </c>
      <c r="G979" s="586">
        <v>0</v>
      </c>
      <c r="H979" s="586">
        <v>0.1</v>
      </c>
      <c r="I979" s="552">
        <f t="shared" si="98"/>
        <v>1.5</v>
      </c>
      <c r="J979" s="553" t="s">
        <v>102</v>
      </c>
      <c r="K979" s="39"/>
      <c r="L979" s="208"/>
      <c r="M979" s="39"/>
      <c r="N979" s="536" t="s">
        <v>2306</v>
      </c>
    </row>
    <row r="980" spans="1:14" s="544" customFormat="1" ht="16.5" customHeight="1">
      <c r="A980" s="16"/>
      <c r="B980" s="582" t="s">
        <v>579</v>
      </c>
      <c r="C980" s="583">
        <v>1</v>
      </c>
      <c r="D980" s="584" t="s">
        <v>273</v>
      </c>
      <c r="E980" s="585">
        <v>2</v>
      </c>
      <c r="F980" s="586">
        <v>1.3</v>
      </c>
      <c r="G980" s="586">
        <v>0</v>
      </c>
      <c r="H980" s="586">
        <v>0.1</v>
      </c>
      <c r="I980" s="552">
        <f>-ROUND(IF(AND(F980:H980),C980*E980*F980*G980*H980,IF(AND(F980,G980),C980*E980*F980*G980,IF(AND(F980,H980),C980*E980*F980*H980,IF(AND(G980,H980),C980*E980*G980*H980,IF(F980,C980*E980*F980,IF(G980,C980*E980*G980,IF(H980,C980*E980*H980,C980*E980))))))),2)</f>
        <v>-0.26</v>
      </c>
      <c r="J980" s="553" t="s">
        <v>102</v>
      </c>
      <c r="K980" s="39"/>
      <c r="L980" s="208"/>
      <c r="M980" s="39"/>
      <c r="N980" s="536" t="s">
        <v>2306</v>
      </c>
    </row>
    <row r="981" spans="1:14" s="544" customFormat="1" ht="16.5" customHeight="1">
      <c r="A981" s="16"/>
      <c r="B981" s="582" t="s">
        <v>579</v>
      </c>
      <c r="C981" s="583">
        <v>1</v>
      </c>
      <c r="D981" s="584" t="s">
        <v>273</v>
      </c>
      <c r="E981" s="585">
        <v>1</v>
      </c>
      <c r="F981" s="586">
        <v>1.05</v>
      </c>
      <c r="G981" s="586">
        <v>0</v>
      </c>
      <c r="H981" s="586">
        <v>0.1</v>
      </c>
      <c r="I981" s="552">
        <f>-ROUND(IF(AND(F981:H981),C981*E981*F981*G981*H981,IF(AND(F981,G981),C981*E981*F981*G981,IF(AND(F981,H981),C981*E981*F981*H981,IF(AND(G981,H981),C981*E981*G981*H981,IF(F981,C981*E981*F981,IF(G981,C981*E981*G981,IF(H981,C981*E981*H981,C981*E981))))))),2)</f>
        <v>-0.11</v>
      </c>
      <c r="J981" s="553" t="s">
        <v>102</v>
      </c>
      <c r="K981" s="39"/>
      <c r="L981" s="208"/>
      <c r="M981" s="39"/>
      <c r="N981" s="536" t="s">
        <v>2306</v>
      </c>
    </row>
    <row r="982" spans="1:14" s="544" customFormat="1" ht="16.5" customHeight="1">
      <c r="A982" s="16"/>
      <c r="B982" s="582" t="s">
        <v>802</v>
      </c>
      <c r="C982" s="583">
        <v>1</v>
      </c>
      <c r="D982" s="584" t="s">
        <v>273</v>
      </c>
      <c r="E982" s="585">
        <v>1</v>
      </c>
      <c r="F982" s="586">
        <v>2.6</v>
      </c>
      <c r="G982" s="586">
        <v>0</v>
      </c>
      <c r="H982" s="586">
        <v>0.1</v>
      </c>
      <c r="I982" s="552">
        <f>-ROUND(IF(AND(F982:H982),C982*E982*F982*G982*H982,IF(AND(F982,G982),C982*E982*F982*G982,IF(AND(F982,H982),C982*E982*F982*H982,IF(AND(G982,H982),C982*E982*G982*H982,IF(F982,C982*E982*F982,IF(G982,C982*E982*G982,IF(H982,C982*E982*H982,C982*E982))))))),2)</f>
        <v>-0.26</v>
      </c>
      <c r="J982" s="553" t="s">
        <v>102</v>
      </c>
      <c r="K982" s="39"/>
      <c r="L982" s="208"/>
      <c r="M982" s="39"/>
      <c r="N982" s="536" t="s">
        <v>2306</v>
      </c>
    </row>
    <row r="983" spans="1:14" s="544" customFormat="1" ht="16.5" customHeight="1">
      <c r="A983" s="16"/>
      <c r="B983" s="582" t="s">
        <v>2995</v>
      </c>
      <c r="C983" s="583">
        <v>1</v>
      </c>
      <c r="D983" s="584" t="s">
        <v>273</v>
      </c>
      <c r="E983" s="585">
        <v>1</v>
      </c>
      <c r="F983" s="586">
        <v>21.2</v>
      </c>
      <c r="G983" s="586">
        <v>0</v>
      </c>
      <c r="H983" s="586">
        <v>0.1</v>
      </c>
      <c r="I983" s="552">
        <f t="shared" si="98"/>
        <v>2.12</v>
      </c>
      <c r="J983" s="553" t="s">
        <v>102</v>
      </c>
      <c r="K983" s="39"/>
      <c r="L983" s="208"/>
      <c r="M983" s="39"/>
      <c r="N983" s="536" t="s">
        <v>2306</v>
      </c>
    </row>
    <row r="984" spans="1:14" s="544" customFormat="1" ht="16.5" customHeight="1">
      <c r="A984" s="16"/>
      <c r="B984" s="582" t="s">
        <v>579</v>
      </c>
      <c r="C984" s="583">
        <v>1</v>
      </c>
      <c r="D984" s="584" t="s">
        <v>273</v>
      </c>
      <c r="E984" s="585">
        <v>3</v>
      </c>
      <c r="F984" s="586">
        <v>1.05</v>
      </c>
      <c r="G984" s="586">
        <v>0</v>
      </c>
      <c r="H984" s="586">
        <v>0.1</v>
      </c>
      <c r="I984" s="552">
        <f>-ROUND(IF(AND(F984:H984),C984*E984*F984*G984*H984,IF(AND(F984,G984),C984*E984*F984*G984,IF(AND(F984,H984),C984*E984*F984*H984,IF(AND(G984,H984),C984*E984*G984*H984,IF(F984,C984*E984*F984,IF(G984,C984*E984*G984,IF(H984,C984*E984*H984,C984*E984))))))),2)</f>
        <v>-0.32</v>
      </c>
      <c r="J984" s="553" t="s">
        <v>102</v>
      </c>
      <c r="K984" s="39"/>
      <c r="L984" s="208"/>
      <c r="M984" s="39"/>
      <c r="N984" s="536" t="s">
        <v>2306</v>
      </c>
    </row>
    <row r="985" spans="1:14" s="544" customFormat="1" ht="16.5" customHeight="1">
      <c r="A985" s="16"/>
      <c r="B985" s="582" t="s">
        <v>579</v>
      </c>
      <c r="C985" s="583">
        <v>1</v>
      </c>
      <c r="D985" s="584" t="s">
        <v>273</v>
      </c>
      <c r="E985" s="585">
        <v>1</v>
      </c>
      <c r="F985" s="586">
        <v>1.3</v>
      </c>
      <c r="G985" s="586">
        <v>0</v>
      </c>
      <c r="H985" s="586">
        <v>0.1</v>
      </c>
      <c r="I985" s="552">
        <f>-ROUND(IF(AND(F985:H985),C985*E985*F985*G985*H985,IF(AND(F985,G985),C985*E985*F985*G985,IF(AND(F985,H985),C985*E985*F985*H985,IF(AND(G985,H985),C985*E985*G985*H985,IF(F985,C985*E985*F985,IF(G985,C985*E985*G985,IF(H985,C985*E985*H985,C985*E985))))))),2)</f>
        <v>-0.13</v>
      </c>
      <c r="J985" s="553" t="s">
        <v>102</v>
      </c>
      <c r="K985" s="39"/>
      <c r="L985" s="208"/>
      <c r="M985" s="39"/>
      <c r="N985" s="536" t="s">
        <v>2306</v>
      </c>
    </row>
    <row r="986" spans="1:14" s="544" customFormat="1" ht="16.5" customHeight="1">
      <c r="A986" s="16"/>
      <c r="B986" s="582" t="s">
        <v>579</v>
      </c>
      <c r="C986" s="583">
        <v>1</v>
      </c>
      <c r="D986" s="584" t="s">
        <v>273</v>
      </c>
      <c r="E986" s="585">
        <v>1</v>
      </c>
      <c r="F986" s="586">
        <v>1.2</v>
      </c>
      <c r="G986" s="586">
        <v>0</v>
      </c>
      <c r="H986" s="586">
        <v>0.1</v>
      </c>
      <c r="I986" s="552">
        <f>-ROUND(IF(AND(F986:H986),C986*E986*F986*G986*H986,IF(AND(F986,G986),C986*E986*F986*G986,IF(AND(F986,H986),C986*E986*F986*H986,IF(AND(G986,H986),C986*E986*G986*H986,IF(F986,C986*E986*F986,IF(G986,C986*E986*G986,IF(H986,C986*E986*H986,C986*E986))))))),2)</f>
        <v>-0.12</v>
      </c>
      <c r="J986" s="553" t="s">
        <v>102</v>
      </c>
      <c r="K986" s="39"/>
      <c r="L986" s="208"/>
      <c r="M986" s="39"/>
      <c r="N986" s="536" t="s">
        <v>2306</v>
      </c>
    </row>
    <row r="987" spans="1:14" s="544" customFormat="1" ht="16.5" customHeight="1">
      <c r="A987" s="16"/>
      <c r="B987" s="547"/>
      <c r="C987" s="548"/>
      <c r="D987" s="549"/>
      <c r="E987" s="550"/>
      <c r="F987" s="551"/>
      <c r="G987" s="551"/>
      <c r="H987" s="551"/>
      <c r="I987" s="552"/>
      <c r="J987" s="553"/>
      <c r="K987" s="39"/>
      <c r="L987" s="208"/>
      <c r="M987" s="39"/>
      <c r="N987" s="536" t="s">
        <v>2306</v>
      </c>
    </row>
    <row r="988" spans="1:14" ht="15.75">
      <c r="A988" s="16"/>
      <c r="B988" s="39"/>
      <c r="C988" s="554"/>
      <c r="D988" s="555"/>
      <c r="E988" s="540"/>
      <c r="F988" s="541"/>
      <c r="G988" s="40"/>
      <c r="H988" s="16"/>
      <c r="I988" s="552"/>
      <c r="J988" s="553" t="s">
        <v>102</v>
      </c>
      <c r="K988" s="10">
        <f>data!F1615</f>
        <v>1046.76</v>
      </c>
      <c r="L988" s="208" t="s">
        <v>2306</v>
      </c>
      <c r="M988" s="9">
        <f>ROUND(I988*K988,0)</f>
        <v>0</v>
      </c>
      <c r="N988" s="536" t="s">
        <v>2306</v>
      </c>
    </row>
    <row r="989" spans="1:14" ht="79.5" customHeight="1">
      <c r="A989" s="16">
        <v>15</v>
      </c>
      <c r="B989" s="1858" t="s">
        <v>213</v>
      </c>
      <c r="C989" s="1858"/>
      <c r="D989" s="1858"/>
      <c r="E989" s="1858"/>
      <c r="F989" s="1858"/>
      <c r="G989" s="1858"/>
      <c r="H989" s="1858"/>
      <c r="I989" s="537"/>
      <c r="J989" s="538"/>
      <c r="K989" s="16"/>
      <c r="L989" s="208"/>
      <c r="M989" s="38"/>
      <c r="N989" s="536" t="s">
        <v>2317</v>
      </c>
    </row>
    <row r="990" spans="1:14" s="544" customFormat="1" ht="16.5" customHeight="1">
      <c r="A990" s="16"/>
      <c r="B990" s="39" t="s">
        <v>2861</v>
      </c>
      <c r="C990" s="566"/>
      <c r="D990" s="567"/>
      <c r="E990" s="568"/>
      <c r="F990" s="569"/>
      <c r="G990" s="569"/>
      <c r="H990" s="570"/>
      <c r="I990" s="571"/>
      <c r="J990" s="553"/>
      <c r="K990" s="39"/>
      <c r="L990" s="208"/>
      <c r="M990" s="39"/>
      <c r="N990" s="536" t="s">
        <v>2317</v>
      </c>
    </row>
    <row r="991" spans="1:14" s="544" customFormat="1" ht="16.5" customHeight="1">
      <c r="A991" s="16"/>
      <c r="B991" s="582" t="s">
        <v>587</v>
      </c>
      <c r="C991" s="583">
        <v>1</v>
      </c>
      <c r="D991" s="584" t="s">
        <v>273</v>
      </c>
      <c r="E991" s="585">
        <v>1</v>
      </c>
      <c r="F991" s="586">
        <v>12.33</v>
      </c>
      <c r="G991" s="586">
        <v>0</v>
      </c>
      <c r="H991" s="586">
        <v>0.1</v>
      </c>
      <c r="I991" s="552">
        <f>ROUND(IF(AND(F991:H991),C991*E991*F991*G991*H991,IF(AND(F991,G991),C991*E991*F991*G991,IF(AND(F991,H991),C991*E991*F991*H991,IF(AND(G991,H991),C991*E991*G991*H991,IF(F991,C991*E991*F991,IF(G991,C991*E991*G991,IF(H991,C991*E991*H991,C991*E991))))))),2)</f>
        <v>1.23</v>
      </c>
      <c r="J991" s="553" t="s">
        <v>102</v>
      </c>
      <c r="K991" s="39"/>
      <c r="L991" s="208"/>
      <c r="M991" s="39"/>
      <c r="N991" s="536" t="s">
        <v>2317</v>
      </c>
    </row>
    <row r="992" spans="1:14" s="544" customFormat="1" ht="16.5" customHeight="1">
      <c r="A992" s="16"/>
      <c r="B992" s="582" t="s">
        <v>1169</v>
      </c>
      <c r="C992" s="583">
        <v>1</v>
      </c>
      <c r="D992" s="584" t="s">
        <v>273</v>
      </c>
      <c r="E992" s="585">
        <v>1</v>
      </c>
      <c r="F992" s="586">
        <v>11.33</v>
      </c>
      <c r="G992" s="586">
        <v>0</v>
      </c>
      <c r="H992" s="586">
        <v>0.1</v>
      </c>
      <c r="I992" s="552">
        <f>ROUND(IF(AND(F992:H992),C992*E992*F992*G992*H992,IF(AND(F992,G992),C992*E992*F992*G992,IF(AND(F992,H992),C992*E992*F992*H992,IF(AND(G992,H992),C992*E992*G992*H992,IF(F992,C992*E992*F992,IF(G992,C992*E992*G992,IF(H992,C992*E992*H992,C992*E992))))))),2)</f>
        <v>1.1299999999999999</v>
      </c>
      <c r="J992" s="553" t="s">
        <v>102</v>
      </c>
      <c r="K992" s="39"/>
      <c r="L992" s="208"/>
      <c r="M992" s="39"/>
      <c r="N992" s="536" t="s">
        <v>2317</v>
      </c>
    </row>
    <row r="993" spans="1:14" s="544" customFormat="1" ht="16.5" customHeight="1">
      <c r="A993" s="16"/>
      <c r="B993" s="582" t="s">
        <v>658</v>
      </c>
      <c r="C993" s="583">
        <v>1</v>
      </c>
      <c r="D993" s="584" t="s">
        <v>273</v>
      </c>
      <c r="E993" s="585">
        <v>1</v>
      </c>
      <c r="F993" s="586">
        <v>14.8</v>
      </c>
      <c r="G993" s="586">
        <v>0</v>
      </c>
      <c r="H993" s="586">
        <v>0.1</v>
      </c>
      <c r="I993" s="552">
        <f>ROUND(IF(AND(F993:H993),C993*E993*F993*G993*H993,IF(AND(F993,G993),C993*E993*F993*G993,IF(AND(F993,H993),C993*E993*F993*H993,IF(AND(G993,H993),C993*E993*G993*H993,IF(F993,C993*E993*F993,IF(G993,C993*E993*G993,IF(H993,C993*E993*H993,C993*E993))))))),2)</f>
        <v>1.48</v>
      </c>
      <c r="J993" s="553" t="s">
        <v>102</v>
      </c>
      <c r="K993" s="39"/>
      <c r="L993" s="208"/>
      <c r="M993" s="39"/>
      <c r="N993" s="536" t="s">
        <v>2317</v>
      </c>
    </row>
    <row r="994" spans="1:14" s="544" customFormat="1" ht="16.5" customHeight="1">
      <c r="A994" s="16"/>
      <c r="B994" s="547"/>
      <c r="C994" s="548"/>
      <c r="D994" s="549"/>
      <c r="E994" s="550"/>
      <c r="F994" s="551"/>
      <c r="G994" s="551"/>
      <c r="H994" s="551"/>
      <c r="I994" s="552"/>
      <c r="J994" s="553"/>
      <c r="K994" s="39"/>
      <c r="L994" s="208"/>
      <c r="M994" s="39"/>
      <c r="N994" s="536" t="s">
        <v>2317</v>
      </c>
    </row>
    <row r="995" spans="1:14" ht="15.75">
      <c r="A995" s="16"/>
      <c r="B995" s="39"/>
      <c r="C995" s="554"/>
      <c r="D995" s="555"/>
      <c r="E995" s="540"/>
      <c r="F995" s="541"/>
      <c r="G995" s="40"/>
      <c r="H995" s="16"/>
      <c r="I995" s="552"/>
      <c r="J995" s="553" t="s">
        <v>102</v>
      </c>
      <c r="K995" s="10">
        <f>data!F2532</f>
        <v>1069.8699999999999</v>
      </c>
      <c r="L995" s="208" t="s">
        <v>2317</v>
      </c>
      <c r="M995" s="9">
        <f>ROUND(I995*K995,0)</f>
        <v>0</v>
      </c>
      <c r="N995" s="536" t="s">
        <v>2317</v>
      </c>
    </row>
    <row r="996" spans="1:14" ht="79.5" customHeight="1">
      <c r="A996" s="16">
        <v>15</v>
      </c>
      <c r="B996" s="1858" t="s">
        <v>213</v>
      </c>
      <c r="C996" s="1858"/>
      <c r="D996" s="1858"/>
      <c r="E996" s="1858"/>
      <c r="F996" s="1858"/>
      <c r="G996" s="1858"/>
      <c r="H996" s="1858"/>
      <c r="I996" s="537"/>
      <c r="J996" s="538"/>
      <c r="K996" s="16"/>
      <c r="L996" s="208"/>
      <c r="M996" s="38"/>
      <c r="N996" s="536" t="s">
        <v>2318</v>
      </c>
    </row>
    <row r="997" spans="1:14" s="544" customFormat="1" ht="16.5" customHeight="1">
      <c r="A997" s="16"/>
      <c r="B997" s="39" t="s">
        <v>2861</v>
      </c>
      <c r="C997" s="566"/>
      <c r="D997" s="567"/>
      <c r="E997" s="568"/>
      <c r="F997" s="569"/>
      <c r="G997" s="569"/>
      <c r="H997" s="570"/>
      <c r="I997" s="571"/>
      <c r="J997" s="553"/>
      <c r="K997" s="39"/>
      <c r="L997" s="208"/>
      <c r="M997" s="39"/>
      <c r="N997" s="536" t="s">
        <v>2318</v>
      </c>
    </row>
    <row r="998" spans="1:14" s="544" customFormat="1" ht="16.5" customHeight="1">
      <c r="A998" s="16"/>
      <c r="B998" s="582" t="s">
        <v>587</v>
      </c>
      <c r="C998" s="583">
        <v>1</v>
      </c>
      <c r="D998" s="584" t="s">
        <v>273</v>
      </c>
      <c r="E998" s="585">
        <v>1</v>
      </c>
      <c r="F998" s="586">
        <v>12.33</v>
      </c>
      <c r="G998" s="586">
        <v>0</v>
      </c>
      <c r="H998" s="586">
        <v>0.1</v>
      </c>
      <c r="I998" s="552">
        <f>ROUND(IF(AND(F998:H998),C998*E998*F998*G998*H998,IF(AND(F998,G998),C998*E998*F998*G998,IF(AND(F998,H998),C998*E998*F998*H998,IF(AND(G998,H998),C998*E998*G998*H998,IF(F998,C998*E998*F998,IF(G998,C998*E998*G998,IF(H998,C998*E998*H998,C998*E998))))))),2)</f>
        <v>1.23</v>
      </c>
      <c r="J998" s="553" t="s">
        <v>102</v>
      </c>
      <c r="K998" s="39"/>
      <c r="L998" s="208"/>
      <c r="M998" s="39"/>
      <c r="N998" s="536" t="s">
        <v>2318</v>
      </c>
    </row>
    <row r="999" spans="1:14" s="544" customFormat="1" ht="16.5" customHeight="1">
      <c r="A999" s="16"/>
      <c r="B999" s="582" t="s">
        <v>1169</v>
      </c>
      <c r="C999" s="583">
        <v>1</v>
      </c>
      <c r="D999" s="584" t="s">
        <v>273</v>
      </c>
      <c r="E999" s="585">
        <v>1</v>
      </c>
      <c r="F999" s="586">
        <v>11.33</v>
      </c>
      <c r="G999" s="586">
        <v>0</v>
      </c>
      <c r="H999" s="586">
        <v>0.1</v>
      </c>
      <c r="I999" s="552">
        <f>ROUND(IF(AND(F999:H999),C999*E999*F999*G999*H999,IF(AND(F999,G999),C999*E999*F999*G999,IF(AND(F999,H999),C999*E999*F999*H999,IF(AND(G999,H999),C999*E999*G999*H999,IF(F999,C999*E999*F999,IF(G999,C999*E999*G999,IF(H999,C999*E999*H999,C999*E999))))))),2)</f>
        <v>1.1299999999999999</v>
      </c>
      <c r="J999" s="553" t="s">
        <v>102</v>
      </c>
      <c r="K999" s="39"/>
      <c r="L999" s="208"/>
      <c r="M999" s="39"/>
      <c r="N999" s="536" t="s">
        <v>2318</v>
      </c>
    </row>
    <row r="1000" spans="1:14" s="544" customFormat="1" ht="16.5" customHeight="1">
      <c r="A1000" s="16"/>
      <c r="B1000" s="582" t="s">
        <v>658</v>
      </c>
      <c r="C1000" s="583">
        <v>1</v>
      </c>
      <c r="D1000" s="584" t="s">
        <v>273</v>
      </c>
      <c r="E1000" s="585">
        <v>1</v>
      </c>
      <c r="F1000" s="586">
        <v>14.8</v>
      </c>
      <c r="G1000" s="586">
        <v>0</v>
      </c>
      <c r="H1000" s="586">
        <v>0.1</v>
      </c>
      <c r="I1000" s="552">
        <f>ROUND(IF(AND(F1000:H1000),C1000*E1000*F1000*G1000*H1000,IF(AND(F1000,G1000),C1000*E1000*F1000*G1000,IF(AND(F1000,H1000),C1000*E1000*F1000*H1000,IF(AND(G1000,H1000),C1000*E1000*G1000*H1000,IF(F1000,C1000*E1000*F1000,IF(G1000,C1000*E1000*G1000,IF(H1000,C1000*E1000*H1000,C1000*E1000))))))),2)</f>
        <v>1.48</v>
      </c>
      <c r="J1000" s="553" t="s">
        <v>102</v>
      </c>
      <c r="K1000" s="39"/>
      <c r="L1000" s="208"/>
      <c r="M1000" s="39"/>
      <c r="N1000" s="536" t="s">
        <v>2318</v>
      </c>
    </row>
    <row r="1001" spans="1:14" s="544" customFormat="1" ht="16.5" customHeight="1">
      <c r="A1001" s="16"/>
      <c r="B1001" s="547"/>
      <c r="C1001" s="548"/>
      <c r="D1001" s="549"/>
      <c r="E1001" s="550"/>
      <c r="F1001" s="551"/>
      <c r="G1001" s="551"/>
      <c r="H1001" s="551"/>
      <c r="I1001" s="552"/>
      <c r="J1001" s="553"/>
      <c r="K1001" s="39"/>
      <c r="L1001" s="208"/>
      <c r="M1001" s="39"/>
      <c r="N1001" s="536" t="s">
        <v>2318</v>
      </c>
    </row>
    <row r="1002" spans="1:14" ht="15.75">
      <c r="A1002" s="16"/>
      <c r="B1002" s="39"/>
      <c r="C1002" s="554"/>
      <c r="D1002" s="555"/>
      <c r="E1002" s="540"/>
      <c r="F1002" s="541"/>
      <c r="G1002" s="40"/>
      <c r="H1002" s="16"/>
      <c r="I1002" s="552"/>
      <c r="J1002" s="553" t="s">
        <v>102</v>
      </c>
      <c r="K1002" s="10">
        <f>data!F3449</f>
        <v>1098.05</v>
      </c>
      <c r="L1002" s="208" t="s">
        <v>2318</v>
      </c>
      <c r="M1002" s="9">
        <f>ROUND(I1002*K1002,0)</f>
        <v>0</v>
      </c>
      <c r="N1002" s="536" t="s">
        <v>2318</v>
      </c>
    </row>
    <row r="1003" spans="1:14" ht="108" customHeight="1">
      <c r="A1003" s="16">
        <v>16</v>
      </c>
      <c r="B1003" s="1858" t="s">
        <v>665</v>
      </c>
      <c r="C1003" s="1858"/>
      <c r="D1003" s="1858"/>
      <c r="E1003" s="1858"/>
      <c r="F1003" s="1858"/>
      <c r="G1003" s="1858"/>
      <c r="H1003" s="1858"/>
      <c r="I1003" s="537"/>
      <c r="J1003" s="538"/>
      <c r="K1003" s="16"/>
      <c r="L1003" s="208"/>
      <c r="M1003" s="38"/>
      <c r="N1003" s="536" t="s">
        <v>2218</v>
      </c>
    </row>
    <row r="1004" spans="1:14" s="544" customFormat="1" ht="16.5" customHeight="1">
      <c r="A1004" s="16"/>
      <c r="B1004" s="39" t="s">
        <v>2862</v>
      </c>
      <c r="C1004" s="566"/>
      <c r="D1004" s="567"/>
      <c r="E1004" s="568"/>
      <c r="F1004" s="569"/>
      <c r="G1004" s="569"/>
      <c r="H1004" s="570"/>
      <c r="I1004" s="571"/>
      <c r="J1004" s="553"/>
      <c r="K1004" s="39"/>
      <c r="L1004" s="208"/>
      <c r="M1004" s="39"/>
      <c r="N1004" s="536" t="s">
        <v>2218</v>
      </c>
    </row>
    <row r="1005" spans="1:14" s="544" customFormat="1" ht="16.5" customHeight="1">
      <c r="A1005" s="16"/>
      <c r="B1005" s="582" t="s">
        <v>2169</v>
      </c>
      <c r="C1005" s="583">
        <v>1</v>
      </c>
      <c r="D1005" s="584" t="s">
        <v>273</v>
      </c>
      <c r="E1005" s="585">
        <v>11</v>
      </c>
      <c r="F1005" s="586">
        <v>1.35</v>
      </c>
      <c r="G1005" s="586">
        <v>0.3</v>
      </c>
      <c r="H1005" s="586">
        <v>0</v>
      </c>
      <c r="I1005" s="552">
        <f t="shared" ref="I1005:I1007" si="99">ROUND(IF(AND(F1005:H1005),C1005*E1005*F1005*G1005*H1005,IF(AND(F1005,G1005),C1005*E1005*F1005*G1005,IF(AND(F1005,H1005),C1005*E1005*F1005*H1005,IF(AND(G1005,H1005),C1005*E1005*G1005*H1005,IF(F1005,C1005*E1005*F1005,IF(G1005,C1005*E1005*G1005,IF(H1005,C1005*E1005*H1005,C1005*E1005))))))),2)</f>
        <v>4.46</v>
      </c>
      <c r="J1005" s="553" t="s">
        <v>102</v>
      </c>
      <c r="K1005" s="39"/>
      <c r="L1005" s="208"/>
      <c r="M1005" s="39"/>
      <c r="N1005" s="536" t="s">
        <v>2218</v>
      </c>
    </row>
    <row r="1006" spans="1:14" s="544" customFormat="1" ht="16.5" customHeight="1">
      <c r="A1006" s="16"/>
      <c r="B1006" s="582"/>
      <c r="C1006" s="583">
        <v>1</v>
      </c>
      <c r="D1006" s="584" t="s">
        <v>273</v>
      </c>
      <c r="E1006" s="585">
        <v>1</v>
      </c>
      <c r="F1006" s="586">
        <v>1.3</v>
      </c>
      <c r="G1006" s="586">
        <v>0.3</v>
      </c>
      <c r="H1006" s="586">
        <v>0</v>
      </c>
      <c r="I1006" s="552">
        <f t="shared" si="99"/>
        <v>0.39</v>
      </c>
      <c r="J1006" s="553" t="s">
        <v>102</v>
      </c>
      <c r="K1006" s="39"/>
      <c r="L1006" s="208"/>
      <c r="M1006" s="39"/>
      <c r="N1006" s="536" t="s">
        <v>2218</v>
      </c>
    </row>
    <row r="1007" spans="1:14" s="544" customFormat="1" ht="16.5" customHeight="1">
      <c r="A1007" s="16"/>
      <c r="B1007" s="582" t="s">
        <v>2170</v>
      </c>
      <c r="C1007" s="583">
        <v>1</v>
      </c>
      <c r="D1007" s="584" t="s">
        <v>273</v>
      </c>
      <c r="E1007" s="585">
        <v>11</v>
      </c>
      <c r="F1007" s="586">
        <v>1.32</v>
      </c>
      <c r="G1007" s="586">
        <v>0.3</v>
      </c>
      <c r="H1007" s="586">
        <v>0</v>
      </c>
      <c r="I1007" s="552">
        <f t="shared" si="99"/>
        <v>4.3600000000000003</v>
      </c>
      <c r="J1007" s="553" t="s">
        <v>102</v>
      </c>
      <c r="K1007" s="39"/>
      <c r="L1007" s="208"/>
      <c r="M1007" s="39"/>
      <c r="N1007" s="536" t="s">
        <v>2218</v>
      </c>
    </row>
    <row r="1008" spans="1:14" s="544" customFormat="1" ht="16.5" customHeight="1">
      <c r="A1008" s="16"/>
      <c r="B1008" s="582"/>
      <c r="C1008" s="583"/>
      <c r="D1008" s="584"/>
      <c r="E1008" s="585"/>
      <c r="F1008" s="586"/>
      <c r="G1008" s="586"/>
      <c r="H1008" s="586"/>
      <c r="I1008" s="552"/>
      <c r="J1008" s="553"/>
      <c r="K1008" s="39"/>
      <c r="L1008" s="208"/>
      <c r="M1008" s="39"/>
      <c r="N1008" s="536" t="s">
        <v>2218</v>
      </c>
    </row>
    <row r="1009" spans="1:14" ht="15.75">
      <c r="A1009" s="16"/>
      <c r="B1009" s="39"/>
      <c r="C1009" s="554"/>
      <c r="D1009" s="555"/>
      <c r="E1009" s="540"/>
      <c r="F1009" s="541"/>
      <c r="G1009" s="40"/>
      <c r="H1009" s="16"/>
      <c r="I1009" s="552"/>
      <c r="J1009" s="553" t="s">
        <v>102</v>
      </c>
      <c r="K1009" s="10">
        <f>data!F602</f>
        <v>2881.3</v>
      </c>
      <c r="L1009" s="208" t="s">
        <v>2218</v>
      </c>
      <c r="M1009" s="9">
        <f>ROUND(I1009*K1009,0)</f>
        <v>0</v>
      </c>
      <c r="N1009" s="536" t="s">
        <v>2218</v>
      </c>
    </row>
    <row r="1010" spans="1:14" ht="108" customHeight="1">
      <c r="A1010" s="16">
        <v>15</v>
      </c>
      <c r="B1010" s="1858" t="s">
        <v>665</v>
      </c>
      <c r="C1010" s="1858"/>
      <c r="D1010" s="1858"/>
      <c r="E1010" s="1858"/>
      <c r="F1010" s="1858"/>
      <c r="G1010" s="1858"/>
      <c r="H1010" s="1858"/>
      <c r="I1010" s="537"/>
      <c r="J1010" s="538"/>
      <c r="K1010" s="16"/>
      <c r="L1010" s="208"/>
      <c r="M1010" s="38"/>
      <c r="N1010" s="536" t="s">
        <v>2306</v>
      </c>
    </row>
    <row r="1011" spans="1:14" s="544" customFormat="1" ht="16.5" customHeight="1">
      <c r="A1011" s="16"/>
      <c r="B1011" s="39" t="s">
        <v>2752</v>
      </c>
      <c r="C1011" s="566"/>
      <c r="D1011" s="567"/>
      <c r="E1011" s="568"/>
      <c r="F1011" s="569"/>
      <c r="G1011" s="569"/>
      <c r="H1011" s="570"/>
      <c r="I1011" s="571"/>
      <c r="J1011" s="553"/>
      <c r="K1011" s="39"/>
      <c r="L1011" s="208"/>
      <c r="M1011" s="39"/>
      <c r="N1011" s="536" t="s">
        <v>2306</v>
      </c>
    </row>
    <row r="1012" spans="1:14" s="544" customFormat="1" ht="16.5" customHeight="1">
      <c r="A1012" s="16"/>
      <c r="B1012" s="582" t="s">
        <v>2750</v>
      </c>
      <c r="C1012" s="583">
        <v>1</v>
      </c>
      <c r="D1012" s="584" t="s">
        <v>273</v>
      </c>
      <c r="E1012" s="585">
        <v>11</v>
      </c>
      <c r="F1012" s="586">
        <v>1.3</v>
      </c>
      <c r="G1012" s="586">
        <v>0.3</v>
      </c>
      <c r="H1012" s="586">
        <v>0</v>
      </c>
      <c r="I1012" s="552">
        <f t="shared" ref="I1012:I1015" si="100">ROUND(IF(AND(F1012:H1012),C1012*E1012*F1012*G1012*H1012,IF(AND(F1012,G1012),C1012*E1012*F1012*G1012,IF(AND(F1012,H1012),C1012*E1012*F1012*H1012,IF(AND(G1012,H1012),C1012*E1012*G1012*H1012,IF(F1012,C1012*E1012*F1012,IF(G1012,C1012*E1012*G1012,IF(H1012,C1012*E1012*H1012,C1012*E1012))))))),2)</f>
        <v>4.29</v>
      </c>
      <c r="J1012" s="553" t="s">
        <v>102</v>
      </c>
      <c r="K1012" s="39"/>
      <c r="L1012" s="208"/>
      <c r="M1012" s="39"/>
      <c r="N1012" s="536" t="s">
        <v>2306</v>
      </c>
    </row>
    <row r="1013" spans="1:14" s="544" customFormat="1" ht="16.5" customHeight="1">
      <c r="A1013" s="16"/>
      <c r="B1013" s="582"/>
      <c r="C1013" s="583">
        <v>1</v>
      </c>
      <c r="D1013" s="584" t="s">
        <v>273</v>
      </c>
      <c r="E1013" s="585">
        <v>1</v>
      </c>
      <c r="F1013" s="586">
        <v>1.3</v>
      </c>
      <c r="G1013" s="586">
        <v>0.37</v>
      </c>
      <c r="H1013" s="586">
        <v>0</v>
      </c>
      <c r="I1013" s="552">
        <f t="shared" si="100"/>
        <v>0.48</v>
      </c>
      <c r="J1013" s="553" t="s">
        <v>102</v>
      </c>
      <c r="K1013" s="39"/>
      <c r="L1013" s="208"/>
      <c r="M1013" s="39"/>
      <c r="N1013" s="536" t="s">
        <v>2306</v>
      </c>
    </row>
    <row r="1014" spans="1:14" s="544" customFormat="1" ht="16.5" customHeight="1">
      <c r="A1014" s="16"/>
      <c r="B1014" s="582" t="s">
        <v>2748</v>
      </c>
      <c r="C1014" s="583">
        <v>1</v>
      </c>
      <c r="D1014" s="584" t="s">
        <v>273</v>
      </c>
      <c r="E1014" s="585">
        <v>1</v>
      </c>
      <c r="F1014" s="586">
        <v>2.95</v>
      </c>
      <c r="G1014" s="586">
        <v>0.86</v>
      </c>
      <c r="H1014" s="586">
        <v>0</v>
      </c>
      <c r="I1014" s="552">
        <f t="shared" ref="I1014" si="101">ROUND(IF(AND(F1014:H1014),C1014*E1014*F1014*G1014*H1014,IF(AND(F1014,G1014),C1014*E1014*F1014*G1014,IF(AND(F1014,H1014),C1014*E1014*F1014*H1014,IF(AND(G1014,H1014),C1014*E1014*G1014*H1014,IF(F1014,C1014*E1014*F1014,IF(G1014,C1014*E1014*G1014,IF(H1014,C1014*E1014*H1014,C1014*E1014))))))),2)</f>
        <v>2.54</v>
      </c>
      <c r="J1014" s="553" t="s">
        <v>102</v>
      </c>
      <c r="K1014" s="39"/>
      <c r="L1014" s="208"/>
      <c r="M1014" s="39"/>
      <c r="N1014" s="536" t="s">
        <v>2306</v>
      </c>
    </row>
    <row r="1015" spans="1:14" s="544" customFormat="1" ht="16.5" customHeight="1">
      <c r="A1015" s="16"/>
      <c r="B1015" s="582" t="s">
        <v>2751</v>
      </c>
      <c r="C1015" s="583">
        <v>1</v>
      </c>
      <c r="D1015" s="584" t="s">
        <v>273</v>
      </c>
      <c r="E1015" s="585">
        <v>11</v>
      </c>
      <c r="F1015" s="586">
        <v>1.3</v>
      </c>
      <c r="G1015" s="586">
        <v>0.3</v>
      </c>
      <c r="H1015" s="586">
        <v>0</v>
      </c>
      <c r="I1015" s="552">
        <f t="shared" si="100"/>
        <v>4.29</v>
      </c>
      <c r="J1015" s="553" t="s">
        <v>102</v>
      </c>
      <c r="K1015" s="39"/>
      <c r="L1015" s="208"/>
      <c r="M1015" s="39"/>
      <c r="N1015" s="536" t="s">
        <v>2306</v>
      </c>
    </row>
    <row r="1016" spans="1:14" s="544" customFormat="1" ht="16.5" customHeight="1">
      <c r="A1016" s="16"/>
      <c r="B1016" s="582"/>
      <c r="C1016" s="583"/>
      <c r="D1016" s="584"/>
      <c r="E1016" s="585"/>
      <c r="F1016" s="586"/>
      <c r="G1016" s="586"/>
      <c r="H1016" s="586"/>
      <c r="I1016" s="552"/>
      <c r="J1016" s="553"/>
      <c r="K1016" s="39"/>
      <c r="L1016" s="208"/>
      <c r="M1016" s="39"/>
      <c r="N1016" s="536" t="s">
        <v>2306</v>
      </c>
    </row>
    <row r="1017" spans="1:14" ht="15.75">
      <c r="A1017" s="16"/>
      <c r="B1017" s="39"/>
      <c r="C1017" s="554"/>
      <c r="D1017" s="555"/>
      <c r="E1017" s="540"/>
      <c r="F1017" s="541"/>
      <c r="G1017" s="40"/>
      <c r="H1017" s="16"/>
      <c r="I1017" s="552"/>
      <c r="J1017" s="553" t="s">
        <v>102</v>
      </c>
      <c r="K1017" s="10">
        <f>data!F1519</f>
        <v>2944.91</v>
      </c>
      <c r="L1017" s="208" t="s">
        <v>2306</v>
      </c>
      <c r="M1017" s="9">
        <f>ROUND(I1017*K1017,0)</f>
        <v>0</v>
      </c>
      <c r="N1017" s="536" t="s">
        <v>2306</v>
      </c>
    </row>
    <row r="1018" spans="1:14" ht="108" customHeight="1">
      <c r="A1018" s="16">
        <v>16</v>
      </c>
      <c r="B1018" s="1858" t="s">
        <v>665</v>
      </c>
      <c r="C1018" s="1858"/>
      <c r="D1018" s="1858"/>
      <c r="E1018" s="1858"/>
      <c r="F1018" s="1858"/>
      <c r="G1018" s="1858"/>
      <c r="H1018" s="1858"/>
      <c r="I1018" s="537"/>
      <c r="J1018" s="538"/>
      <c r="K1018" s="16"/>
      <c r="L1018" s="208"/>
      <c r="M1018" s="38"/>
      <c r="N1018" s="536" t="s">
        <v>2317</v>
      </c>
    </row>
    <row r="1019" spans="1:14" s="544" customFormat="1" ht="16.5" customHeight="1">
      <c r="A1019" s="16"/>
      <c r="B1019" s="39" t="s">
        <v>2862</v>
      </c>
      <c r="C1019" s="566"/>
      <c r="D1019" s="567"/>
      <c r="E1019" s="568"/>
      <c r="F1019" s="569"/>
      <c r="G1019" s="569"/>
      <c r="H1019" s="570"/>
      <c r="I1019" s="571"/>
      <c r="J1019" s="553"/>
      <c r="K1019" s="39"/>
      <c r="L1019" s="208"/>
      <c r="M1019" s="39"/>
      <c r="N1019" s="536" t="s">
        <v>2317</v>
      </c>
    </row>
    <row r="1020" spans="1:14" s="544" customFormat="1" ht="16.5" customHeight="1">
      <c r="A1020" s="16"/>
      <c r="B1020" s="582" t="s">
        <v>2169</v>
      </c>
      <c r="C1020" s="583">
        <v>1</v>
      </c>
      <c r="D1020" s="584" t="s">
        <v>273</v>
      </c>
      <c r="E1020" s="585">
        <v>11</v>
      </c>
      <c r="F1020" s="586">
        <v>1.35</v>
      </c>
      <c r="G1020" s="586">
        <v>0.3</v>
      </c>
      <c r="H1020" s="586">
        <v>0</v>
      </c>
      <c r="I1020" s="552">
        <f>ROUND(IF(AND(F1020:H1020),C1020*E1020*F1020*G1020*H1020,IF(AND(F1020,G1020),C1020*E1020*F1020*G1020,IF(AND(F1020,H1020),C1020*E1020*F1020*H1020,IF(AND(G1020,H1020),C1020*E1020*G1020*H1020,IF(F1020,C1020*E1020*F1020,IF(G1020,C1020*E1020*G1020,IF(H1020,C1020*E1020*H1020,C1020*E1020))))))),2)</f>
        <v>4.46</v>
      </c>
      <c r="J1020" s="553" t="s">
        <v>102</v>
      </c>
      <c r="K1020" s="39"/>
      <c r="L1020" s="208"/>
      <c r="M1020" s="39"/>
      <c r="N1020" s="536" t="s">
        <v>2317</v>
      </c>
    </row>
    <row r="1021" spans="1:14" s="544" customFormat="1" ht="16.5" customHeight="1">
      <c r="A1021" s="16"/>
      <c r="B1021" s="582"/>
      <c r="C1021" s="583">
        <v>1</v>
      </c>
      <c r="D1021" s="584" t="s">
        <v>273</v>
      </c>
      <c r="E1021" s="585">
        <v>1</v>
      </c>
      <c r="F1021" s="586">
        <v>1.3</v>
      </c>
      <c r="G1021" s="586">
        <v>0.3</v>
      </c>
      <c r="H1021" s="586">
        <v>0</v>
      </c>
      <c r="I1021" s="552">
        <f>ROUND(IF(AND(F1021:H1021),C1021*E1021*F1021*G1021*H1021,IF(AND(F1021,G1021),C1021*E1021*F1021*G1021,IF(AND(F1021,H1021),C1021*E1021*F1021*H1021,IF(AND(G1021,H1021),C1021*E1021*G1021*H1021,IF(F1021,C1021*E1021*F1021,IF(G1021,C1021*E1021*G1021,IF(H1021,C1021*E1021*H1021,C1021*E1021))))))),2)</f>
        <v>0.39</v>
      </c>
      <c r="J1021" s="553" t="s">
        <v>102</v>
      </c>
      <c r="K1021" s="39"/>
      <c r="L1021" s="208"/>
      <c r="M1021" s="39"/>
      <c r="N1021" s="536" t="s">
        <v>2317</v>
      </c>
    </row>
    <row r="1022" spans="1:14" s="544" customFormat="1" ht="16.5" customHeight="1">
      <c r="A1022" s="16"/>
      <c r="B1022" s="582" t="s">
        <v>2170</v>
      </c>
      <c r="C1022" s="583">
        <v>1</v>
      </c>
      <c r="D1022" s="584" t="s">
        <v>273</v>
      </c>
      <c r="E1022" s="585">
        <v>11</v>
      </c>
      <c r="F1022" s="586">
        <v>1.32</v>
      </c>
      <c r="G1022" s="586">
        <v>0.3</v>
      </c>
      <c r="H1022" s="586">
        <v>0</v>
      </c>
      <c r="I1022" s="552">
        <f>ROUND(IF(AND(F1022:H1022),C1022*E1022*F1022*G1022*H1022,IF(AND(F1022,G1022),C1022*E1022*F1022*G1022,IF(AND(F1022,H1022),C1022*E1022*F1022*H1022,IF(AND(G1022,H1022),C1022*E1022*G1022*H1022,IF(F1022,C1022*E1022*F1022,IF(G1022,C1022*E1022*G1022,IF(H1022,C1022*E1022*H1022,C1022*E1022))))))),2)</f>
        <v>4.3600000000000003</v>
      </c>
      <c r="J1022" s="553" t="s">
        <v>102</v>
      </c>
      <c r="K1022" s="39"/>
      <c r="L1022" s="208"/>
      <c r="M1022" s="39"/>
      <c r="N1022" s="536" t="s">
        <v>2317</v>
      </c>
    </row>
    <row r="1023" spans="1:14" s="544" customFormat="1" ht="16.5" customHeight="1">
      <c r="A1023" s="16"/>
      <c r="B1023" s="582"/>
      <c r="C1023" s="583"/>
      <c r="D1023" s="584"/>
      <c r="E1023" s="585"/>
      <c r="F1023" s="586"/>
      <c r="G1023" s="586"/>
      <c r="H1023" s="586"/>
      <c r="I1023" s="552"/>
      <c r="J1023" s="553"/>
      <c r="K1023" s="39"/>
      <c r="L1023" s="208"/>
      <c r="M1023" s="39"/>
      <c r="N1023" s="536" t="s">
        <v>2317</v>
      </c>
    </row>
    <row r="1024" spans="1:14" ht="15.75">
      <c r="A1024" s="16"/>
      <c r="B1024" s="39"/>
      <c r="C1024" s="554"/>
      <c r="D1024" s="555"/>
      <c r="E1024" s="540"/>
      <c r="F1024" s="541"/>
      <c r="G1024" s="40"/>
      <c r="H1024" s="16"/>
      <c r="I1024" s="552"/>
      <c r="J1024" s="553" t="s">
        <v>102</v>
      </c>
      <c r="K1024" s="10">
        <f>data!F2436</f>
        <v>3004.62</v>
      </c>
      <c r="L1024" s="208" t="s">
        <v>2317</v>
      </c>
      <c r="M1024" s="9">
        <f>ROUND(I1024*K1024,0)</f>
        <v>0</v>
      </c>
      <c r="N1024" s="536" t="s">
        <v>2317</v>
      </c>
    </row>
    <row r="1025" spans="1:14" ht="108" customHeight="1">
      <c r="A1025" s="16">
        <v>12</v>
      </c>
      <c r="B1025" s="1858" t="s">
        <v>665</v>
      </c>
      <c r="C1025" s="1858"/>
      <c r="D1025" s="1858"/>
      <c r="E1025" s="1858"/>
      <c r="F1025" s="1858"/>
      <c r="G1025" s="1858"/>
      <c r="H1025" s="1858"/>
      <c r="I1025" s="537"/>
      <c r="J1025" s="538"/>
      <c r="K1025" s="16"/>
      <c r="L1025" s="208"/>
      <c r="M1025" s="38"/>
      <c r="N1025" s="536" t="s">
        <v>2318</v>
      </c>
    </row>
    <row r="1026" spans="1:14" s="544" customFormat="1" ht="16.5" customHeight="1">
      <c r="A1026" s="16"/>
      <c r="B1026" s="39" t="s">
        <v>3111</v>
      </c>
      <c r="C1026" s="566"/>
      <c r="D1026" s="1145" t="s">
        <v>3336</v>
      </c>
      <c r="E1026" s="568"/>
      <c r="F1026" s="569"/>
      <c r="G1026" s="569"/>
      <c r="H1026" s="570"/>
      <c r="I1026" s="571"/>
      <c r="J1026" s="553"/>
      <c r="K1026" s="39"/>
      <c r="L1026" s="208"/>
      <c r="M1026" s="39"/>
      <c r="N1026" s="536" t="s">
        <v>2318</v>
      </c>
    </row>
    <row r="1027" spans="1:14" s="544" customFormat="1" ht="16.5" customHeight="1">
      <c r="A1027" s="16"/>
      <c r="B1027" s="582" t="s">
        <v>2362</v>
      </c>
      <c r="C1027" s="583">
        <v>1</v>
      </c>
      <c r="D1027" s="584" t="s">
        <v>273</v>
      </c>
      <c r="E1027" s="585">
        <v>1</v>
      </c>
      <c r="F1027" s="586">
        <v>3.35</v>
      </c>
      <c r="G1027" s="586">
        <v>2.4900000000000002</v>
      </c>
      <c r="H1027" s="586">
        <v>0</v>
      </c>
      <c r="I1027" s="552">
        <f t="shared" ref="I1027:I1039" si="102">ROUND(IF(AND(F1027:H1027),C1027*E1027*F1027*G1027*H1027,IF(AND(F1027,G1027),C1027*E1027*F1027*G1027,IF(AND(F1027,H1027),C1027*E1027*F1027*H1027,IF(AND(G1027,H1027),C1027*E1027*G1027*H1027,IF(F1027,C1027*E1027*F1027,IF(G1027,C1027*E1027*G1027,IF(H1027,C1027*E1027*H1027,C1027*E1027))))))),2)</f>
        <v>8.34</v>
      </c>
      <c r="J1027" s="553" t="s">
        <v>102</v>
      </c>
      <c r="K1027" s="39"/>
      <c r="L1027" s="208"/>
      <c r="M1027" s="39"/>
      <c r="N1027" s="536" t="s">
        <v>2318</v>
      </c>
    </row>
    <row r="1028" spans="1:14" s="544" customFormat="1" ht="16.5" customHeight="1">
      <c r="A1028" s="16"/>
      <c r="B1028" s="582" t="s">
        <v>2746</v>
      </c>
      <c r="C1028" s="583">
        <v>1</v>
      </c>
      <c r="D1028" s="584" t="s">
        <v>273</v>
      </c>
      <c r="E1028" s="585">
        <v>1</v>
      </c>
      <c r="F1028" s="586">
        <v>3.35</v>
      </c>
      <c r="G1028" s="586">
        <v>2.88</v>
      </c>
      <c r="H1028" s="586">
        <v>0</v>
      </c>
      <c r="I1028" s="552">
        <f t="shared" si="102"/>
        <v>9.65</v>
      </c>
      <c r="J1028" s="553" t="s">
        <v>102</v>
      </c>
      <c r="K1028" s="39"/>
      <c r="L1028" s="208"/>
      <c r="M1028" s="39"/>
      <c r="N1028" s="536" t="s">
        <v>2318</v>
      </c>
    </row>
    <row r="1029" spans="1:14" s="544" customFormat="1" ht="16.5" customHeight="1">
      <c r="A1029" s="16"/>
      <c r="B1029" s="582" t="s">
        <v>587</v>
      </c>
      <c r="C1029" s="583">
        <v>1</v>
      </c>
      <c r="D1029" s="584" t="s">
        <v>273</v>
      </c>
      <c r="E1029" s="585">
        <v>1</v>
      </c>
      <c r="F1029" s="586">
        <v>3.35</v>
      </c>
      <c r="G1029" s="586">
        <v>3.12</v>
      </c>
      <c r="H1029" s="586">
        <v>0</v>
      </c>
      <c r="I1029" s="552">
        <f t="shared" si="102"/>
        <v>10.45</v>
      </c>
      <c r="J1029" s="553" t="s">
        <v>102</v>
      </c>
      <c r="K1029" s="39"/>
      <c r="L1029" s="208"/>
      <c r="M1029" s="39"/>
      <c r="N1029" s="536" t="s">
        <v>2318</v>
      </c>
    </row>
    <row r="1030" spans="1:14" s="544" customFormat="1" ht="16.5" customHeight="1">
      <c r="A1030" s="16"/>
      <c r="B1030" s="582" t="s">
        <v>3195</v>
      </c>
      <c r="C1030" s="583">
        <v>1</v>
      </c>
      <c r="D1030" s="584" t="s">
        <v>273</v>
      </c>
      <c r="E1030" s="585">
        <v>1</v>
      </c>
      <c r="F1030" s="586">
        <v>1.8</v>
      </c>
      <c r="G1030" s="586">
        <v>11.93</v>
      </c>
      <c r="H1030" s="586">
        <v>0</v>
      </c>
      <c r="I1030" s="552">
        <f t="shared" si="102"/>
        <v>21.47</v>
      </c>
      <c r="J1030" s="553" t="s">
        <v>102</v>
      </c>
      <c r="K1030" s="39"/>
      <c r="L1030" s="208"/>
      <c r="M1030" s="39"/>
      <c r="N1030" s="536" t="s">
        <v>2318</v>
      </c>
    </row>
    <row r="1031" spans="1:14" s="544" customFormat="1" ht="16.5" customHeight="1">
      <c r="A1031" s="16"/>
      <c r="B1031" s="582" t="s">
        <v>223</v>
      </c>
      <c r="C1031" s="583">
        <v>1</v>
      </c>
      <c r="D1031" s="584" t="s">
        <v>273</v>
      </c>
      <c r="E1031" s="585">
        <v>1</v>
      </c>
      <c r="F1031" s="586">
        <v>3</v>
      </c>
      <c r="G1031" s="586">
        <v>8.4499999999999993</v>
      </c>
      <c r="H1031" s="586">
        <v>0</v>
      </c>
      <c r="I1031" s="552">
        <f t="shared" si="102"/>
        <v>25.35</v>
      </c>
      <c r="J1031" s="553" t="s">
        <v>102</v>
      </c>
      <c r="K1031" s="39"/>
      <c r="L1031" s="208"/>
      <c r="M1031" s="39"/>
      <c r="N1031" s="536" t="s">
        <v>2318</v>
      </c>
    </row>
    <row r="1032" spans="1:14" s="544" customFormat="1" ht="16.5" customHeight="1">
      <c r="A1032" s="16"/>
      <c r="B1032" s="582" t="s">
        <v>3197</v>
      </c>
      <c r="C1032" s="583">
        <v>1</v>
      </c>
      <c r="D1032" s="584" t="s">
        <v>273</v>
      </c>
      <c r="E1032" s="585">
        <v>1</v>
      </c>
      <c r="F1032" s="586">
        <v>5.25</v>
      </c>
      <c r="G1032" s="586">
        <v>2.5</v>
      </c>
      <c r="H1032" s="586">
        <v>0</v>
      </c>
      <c r="I1032" s="552">
        <f t="shared" si="102"/>
        <v>13.13</v>
      </c>
      <c r="J1032" s="553" t="s">
        <v>102</v>
      </c>
      <c r="K1032" s="39"/>
      <c r="L1032" s="208"/>
      <c r="M1032" s="39"/>
      <c r="N1032" s="536" t="s">
        <v>2318</v>
      </c>
    </row>
    <row r="1033" spans="1:14" s="544" customFormat="1" ht="16.5" customHeight="1">
      <c r="A1033" s="16"/>
      <c r="B1033" s="582" t="s">
        <v>3196</v>
      </c>
      <c r="C1033" s="583">
        <v>1</v>
      </c>
      <c r="D1033" s="584" t="s">
        <v>273</v>
      </c>
      <c r="E1033" s="585">
        <v>1</v>
      </c>
      <c r="F1033" s="586">
        <v>9.15</v>
      </c>
      <c r="G1033" s="586">
        <v>0.75</v>
      </c>
      <c r="H1033" s="586">
        <v>0</v>
      </c>
      <c r="I1033" s="552">
        <f t="shared" si="102"/>
        <v>6.86</v>
      </c>
      <c r="J1033" s="553" t="s">
        <v>102</v>
      </c>
      <c r="K1033" s="39"/>
      <c r="L1033" s="208"/>
      <c r="M1033" s="39"/>
      <c r="N1033" s="536" t="s">
        <v>2318</v>
      </c>
    </row>
    <row r="1034" spans="1:14" s="544" customFormat="1" ht="16.5" customHeight="1">
      <c r="A1034" s="16"/>
      <c r="B1034" s="582" t="s">
        <v>3198</v>
      </c>
      <c r="C1034" s="583">
        <v>1</v>
      </c>
      <c r="D1034" s="584" t="s">
        <v>273</v>
      </c>
      <c r="E1034" s="585">
        <v>9</v>
      </c>
      <c r="F1034" s="586">
        <v>1.25</v>
      </c>
      <c r="G1034" s="586">
        <v>0.3</v>
      </c>
      <c r="H1034" s="586">
        <v>0</v>
      </c>
      <c r="I1034" s="552">
        <f t="shared" si="102"/>
        <v>3.38</v>
      </c>
      <c r="J1034" s="553" t="s">
        <v>102</v>
      </c>
      <c r="K1034" s="39"/>
      <c r="L1034" s="208"/>
      <c r="M1034" s="39"/>
      <c r="N1034" s="536" t="s">
        <v>2318</v>
      </c>
    </row>
    <row r="1035" spans="1:14" s="544" customFormat="1" ht="16.5" customHeight="1">
      <c r="A1035" s="16"/>
      <c r="B1035" s="582"/>
      <c r="C1035" s="583">
        <v>1</v>
      </c>
      <c r="D1035" s="584" t="s">
        <v>273</v>
      </c>
      <c r="E1035" s="585">
        <v>1</v>
      </c>
      <c r="F1035" s="586">
        <v>1.25</v>
      </c>
      <c r="G1035" s="586">
        <v>0.45</v>
      </c>
      <c r="H1035" s="586">
        <v>0</v>
      </c>
      <c r="I1035" s="552">
        <f t="shared" si="102"/>
        <v>0.56000000000000005</v>
      </c>
      <c r="J1035" s="553" t="s">
        <v>102</v>
      </c>
      <c r="K1035" s="39"/>
      <c r="L1035" s="208"/>
      <c r="M1035" s="39"/>
      <c r="N1035" s="536" t="s">
        <v>2318</v>
      </c>
    </row>
    <row r="1036" spans="1:14" s="544" customFormat="1" ht="16.5" customHeight="1">
      <c r="A1036" s="16"/>
      <c r="B1036" s="582" t="s">
        <v>2748</v>
      </c>
      <c r="C1036" s="583">
        <v>1</v>
      </c>
      <c r="D1036" s="584" t="s">
        <v>273</v>
      </c>
      <c r="E1036" s="585">
        <v>1</v>
      </c>
      <c r="F1036" s="586">
        <v>2.95</v>
      </c>
      <c r="G1036" s="586">
        <v>1.25</v>
      </c>
      <c r="H1036" s="586">
        <v>0</v>
      </c>
      <c r="I1036" s="552">
        <f t="shared" si="102"/>
        <v>3.69</v>
      </c>
      <c r="J1036" s="553" t="s">
        <v>102</v>
      </c>
      <c r="K1036" s="39"/>
      <c r="L1036" s="208"/>
      <c r="M1036" s="39"/>
      <c r="N1036" s="536" t="s">
        <v>2318</v>
      </c>
    </row>
    <row r="1037" spans="1:14" s="544" customFormat="1" ht="16.5" customHeight="1">
      <c r="A1037" s="16"/>
      <c r="B1037" s="582" t="s">
        <v>1613</v>
      </c>
      <c r="C1037" s="583">
        <v>1</v>
      </c>
      <c r="D1037" s="584" t="s">
        <v>273</v>
      </c>
      <c r="E1037" s="585">
        <v>1</v>
      </c>
      <c r="F1037" s="586">
        <v>0.1</v>
      </c>
      <c r="G1037" s="586">
        <v>0.38</v>
      </c>
      <c r="H1037" s="586">
        <v>0</v>
      </c>
      <c r="I1037" s="552">
        <f>-ROUND(IF(AND(F1037:H1037),C1037*E1037*F1037*G1037*H1037,IF(AND(F1037,G1037),C1037*E1037*F1037*G1037,IF(AND(F1037,H1037),C1037*E1037*F1037*H1037,IF(AND(G1037,H1037),C1037*E1037*G1037*H1037,IF(F1037,C1037*E1037*F1037,IF(G1037,C1037*E1037*G1037,IF(H1037,C1037*E1037*H1037,C1037*E1037))))))),2)</f>
        <v>-0.04</v>
      </c>
      <c r="J1037" s="553" t="s">
        <v>102</v>
      </c>
      <c r="K1037" s="39"/>
      <c r="L1037" s="208"/>
      <c r="M1037" s="39"/>
      <c r="N1037" s="536" t="s">
        <v>2318</v>
      </c>
    </row>
    <row r="1038" spans="1:14" s="544" customFormat="1" ht="16.5" customHeight="1">
      <c r="A1038" s="16"/>
      <c r="B1038" s="582" t="s">
        <v>3199</v>
      </c>
      <c r="C1038" s="583">
        <v>1</v>
      </c>
      <c r="D1038" s="584" t="s">
        <v>273</v>
      </c>
      <c r="E1038" s="585">
        <v>8</v>
      </c>
      <c r="F1038" s="586">
        <v>1.2</v>
      </c>
      <c r="G1038" s="586">
        <v>0.3</v>
      </c>
      <c r="H1038" s="586">
        <v>0</v>
      </c>
      <c r="I1038" s="552">
        <f t="shared" si="102"/>
        <v>2.88</v>
      </c>
      <c r="J1038" s="553" t="s">
        <v>102</v>
      </c>
      <c r="K1038" s="39"/>
      <c r="L1038" s="208"/>
      <c r="M1038" s="39"/>
      <c r="N1038" s="536" t="s">
        <v>2318</v>
      </c>
    </row>
    <row r="1039" spans="1:14" s="544" customFormat="1" ht="16.5" customHeight="1">
      <c r="A1039" s="16"/>
      <c r="B1039" s="582"/>
      <c r="C1039" s="583">
        <v>1</v>
      </c>
      <c r="D1039" s="584" t="s">
        <v>273</v>
      </c>
      <c r="E1039" s="585">
        <v>1</v>
      </c>
      <c r="F1039" s="586">
        <v>1.2</v>
      </c>
      <c r="G1039" s="586">
        <v>0.45</v>
      </c>
      <c r="H1039" s="586">
        <v>0</v>
      </c>
      <c r="I1039" s="552">
        <f t="shared" si="102"/>
        <v>0.54</v>
      </c>
      <c r="J1039" s="553" t="s">
        <v>102</v>
      </c>
      <c r="K1039" s="39"/>
      <c r="L1039" s="208"/>
      <c r="M1039" s="39"/>
      <c r="N1039" s="536" t="s">
        <v>2318</v>
      </c>
    </row>
    <row r="1040" spans="1:14" s="544" customFormat="1" ht="16.5" customHeight="1">
      <c r="A1040" s="16"/>
      <c r="B1040" s="582"/>
      <c r="C1040" s="583"/>
      <c r="D1040" s="584"/>
      <c r="E1040" s="585"/>
      <c r="F1040" s="586"/>
      <c r="G1040" s="586"/>
      <c r="H1040" s="586"/>
      <c r="I1040" s="552"/>
      <c r="J1040" s="553"/>
      <c r="K1040" s="39"/>
      <c r="L1040" s="208"/>
      <c r="M1040" s="39"/>
      <c r="N1040" s="536" t="s">
        <v>2318</v>
      </c>
    </row>
    <row r="1041" spans="1:14" ht="15.75">
      <c r="A1041" s="16"/>
      <c r="B1041" s="39"/>
      <c r="C1041" s="554"/>
      <c r="D1041" s="555"/>
      <c r="E1041" s="540"/>
      <c r="F1041" s="541"/>
      <c r="G1041" s="40"/>
      <c r="H1041" s="16"/>
      <c r="I1041" s="552"/>
      <c r="J1041" s="553" t="s">
        <v>102</v>
      </c>
      <c r="K1041" s="10">
        <f>data!F3353</f>
        <v>3181.62</v>
      </c>
      <c r="L1041" s="208" t="s">
        <v>2318</v>
      </c>
      <c r="M1041" s="9">
        <f>ROUND(I1041*K1041,0)</f>
        <v>0</v>
      </c>
      <c r="N1041" s="536" t="s">
        <v>2318</v>
      </c>
    </row>
    <row r="1042" spans="1:14" ht="93.75" customHeight="1">
      <c r="A1042" s="16">
        <v>17</v>
      </c>
      <c r="B1042" s="1858" t="s">
        <v>671</v>
      </c>
      <c r="C1042" s="1858"/>
      <c r="D1042" s="1858"/>
      <c r="E1042" s="1858"/>
      <c r="F1042" s="1858"/>
      <c r="G1042" s="1858"/>
      <c r="H1042" s="1858"/>
      <c r="I1042" s="537"/>
      <c r="J1042" s="538"/>
      <c r="K1042" s="16"/>
      <c r="L1042" s="208"/>
      <c r="M1042" s="38"/>
      <c r="N1042" s="536" t="s">
        <v>2218</v>
      </c>
    </row>
    <row r="1043" spans="1:14" s="544" customFormat="1" ht="16.5" customHeight="1">
      <c r="A1043" s="16"/>
      <c r="B1043" s="39" t="s">
        <v>2863</v>
      </c>
      <c r="C1043" s="566"/>
      <c r="D1043" s="567"/>
      <c r="E1043" s="568"/>
      <c r="F1043" s="569"/>
      <c r="G1043" s="569"/>
      <c r="H1043" s="570"/>
      <c r="I1043" s="571"/>
      <c r="J1043" s="553"/>
      <c r="K1043" s="39"/>
      <c r="L1043" s="16"/>
      <c r="M1043" s="39"/>
      <c r="N1043" s="536" t="s">
        <v>2218</v>
      </c>
    </row>
    <row r="1044" spans="1:14" s="544" customFormat="1" ht="16.5" customHeight="1">
      <c r="A1044" s="16"/>
      <c r="B1044" s="547" t="s">
        <v>2171</v>
      </c>
      <c r="C1044" s="548">
        <v>1</v>
      </c>
      <c r="D1044" s="549" t="s">
        <v>273</v>
      </c>
      <c r="E1044" s="550">
        <v>11</v>
      </c>
      <c r="F1044" s="551">
        <v>1.35</v>
      </c>
      <c r="G1044" s="551">
        <v>0.15</v>
      </c>
      <c r="H1044" s="551">
        <v>0</v>
      </c>
      <c r="I1044" s="552">
        <f>ROUND(IF(AND(F1044:H1044),C1044*E1044*F1044*G1044*H1044,IF(AND(F1044,G1044),C1044*E1044*F1044*G1044,IF(AND(F1044,H1044),C1044*E1044*F1044*H1044,IF(AND(G1044,H1044),C1044*E1044*G1044*H1044,IF(F1044,C1044*E1044*F1044,IF(G1044,C1044*E1044*G1044,IF(H1044,C1044*E1044*H1044,C1044*E1044))))))),2)</f>
        <v>2.23</v>
      </c>
      <c r="J1044" s="553" t="s">
        <v>102</v>
      </c>
      <c r="K1044" s="39"/>
      <c r="L1044" s="16"/>
      <c r="M1044" s="39"/>
      <c r="N1044" s="536" t="s">
        <v>2218</v>
      </c>
    </row>
    <row r="1045" spans="1:14" s="544" customFormat="1" ht="16.5" customHeight="1">
      <c r="A1045" s="16"/>
      <c r="B1045" s="547"/>
      <c r="C1045" s="548">
        <v>1</v>
      </c>
      <c r="D1045" s="549" t="s">
        <v>273</v>
      </c>
      <c r="E1045" s="550">
        <v>11</v>
      </c>
      <c r="F1045" s="551">
        <v>1.32</v>
      </c>
      <c r="G1045" s="551">
        <v>0.15</v>
      </c>
      <c r="H1045" s="551">
        <v>0</v>
      </c>
      <c r="I1045" s="552">
        <f>ROUND(IF(AND(F1045:H1045),C1045*E1045*F1045*G1045*H1045,IF(AND(F1045,G1045),C1045*E1045*F1045*G1045,IF(AND(F1045,H1045),C1045*E1045*F1045*H1045,IF(AND(G1045,H1045),C1045*E1045*G1045*H1045,IF(F1045,C1045*E1045*F1045,IF(G1045,C1045*E1045*G1045,IF(H1045,C1045*E1045*H1045,C1045*E1045))))))),2)</f>
        <v>2.1800000000000002</v>
      </c>
      <c r="J1045" s="553" t="s">
        <v>102</v>
      </c>
      <c r="K1045" s="39"/>
      <c r="L1045" s="16"/>
      <c r="M1045" s="39"/>
      <c r="N1045" s="536" t="s">
        <v>2218</v>
      </c>
    </row>
    <row r="1046" spans="1:14" s="544" customFormat="1" ht="16.5" customHeight="1">
      <c r="A1046" s="16"/>
      <c r="B1046" s="547" t="s">
        <v>800</v>
      </c>
      <c r="C1046" s="548">
        <v>1</v>
      </c>
      <c r="D1046" s="549" t="s">
        <v>273</v>
      </c>
      <c r="E1046" s="550">
        <v>11</v>
      </c>
      <c r="F1046" s="551">
        <v>0.4</v>
      </c>
      <c r="G1046" s="551">
        <v>0</v>
      </c>
      <c r="H1046" s="551">
        <v>0.14000000000000001</v>
      </c>
      <c r="I1046" s="552">
        <f>ROUND(IF(AND(F1046:H1046),C1046*E1046*F1046*G1046*H1046,IF(AND(F1046,G1046),C1046*E1046*F1046*G1046,IF(AND(F1046,H1046),C1046*E1046*F1046*H1046,IF(AND(G1046,H1046),C1046*E1046*G1046*H1046,IF(F1046,C1046*E1046*F1046,IF(G1046,C1046*E1046*G1046,IF(H1046,C1046*E1046*H1046,C1046*E1046))))))),2)</f>
        <v>0.62</v>
      </c>
      <c r="J1046" s="553" t="s">
        <v>102</v>
      </c>
      <c r="K1046" s="39"/>
      <c r="L1046" s="16"/>
      <c r="M1046" s="39"/>
      <c r="N1046" s="536" t="s">
        <v>2218</v>
      </c>
    </row>
    <row r="1047" spans="1:14" s="544" customFormat="1" ht="16.5" customHeight="1">
      <c r="A1047" s="16"/>
      <c r="B1047" s="547"/>
      <c r="C1047" s="548"/>
      <c r="D1047" s="549"/>
      <c r="E1047" s="550"/>
      <c r="F1047" s="551"/>
      <c r="G1047" s="551"/>
      <c r="H1047" s="551"/>
      <c r="I1047" s="552"/>
      <c r="J1047" s="553"/>
      <c r="K1047" s="39"/>
      <c r="L1047" s="208"/>
      <c r="M1047" s="39"/>
      <c r="N1047" s="536" t="s">
        <v>2218</v>
      </c>
    </row>
    <row r="1048" spans="1:14" ht="15.75">
      <c r="A1048" s="16"/>
      <c r="B1048" s="39"/>
      <c r="C1048" s="554"/>
      <c r="D1048" s="555"/>
      <c r="E1048" s="540"/>
      <c r="F1048" s="541"/>
      <c r="G1048" s="40"/>
      <c r="H1048" s="16"/>
      <c r="I1048" s="552"/>
      <c r="J1048" s="553" t="s">
        <v>102</v>
      </c>
      <c r="K1048" s="10">
        <f>data!F621</f>
        <v>2704.03</v>
      </c>
      <c r="L1048" s="208" t="s">
        <v>2218</v>
      </c>
      <c r="M1048" s="9">
        <f>ROUND(I1048*K1048,0)</f>
        <v>0</v>
      </c>
      <c r="N1048" s="536" t="s">
        <v>2218</v>
      </c>
    </row>
    <row r="1049" spans="1:14" ht="93.75" customHeight="1">
      <c r="A1049" s="16">
        <v>16</v>
      </c>
      <c r="B1049" s="1858" t="s">
        <v>671</v>
      </c>
      <c r="C1049" s="1858"/>
      <c r="D1049" s="1858"/>
      <c r="E1049" s="1858"/>
      <c r="F1049" s="1858"/>
      <c r="G1049" s="1858"/>
      <c r="H1049" s="1858"/>
      <c r="I1049" s="537"/>
      <c r="J1049" s="538"/>
      <c r="K1049" s="16"/>
      <c r="L1049" s="208"/>
      <c r="M1049" s="38"/>
      <c r="N1049" s="536" t="s">
        <v>2306</v>
      </c>
    </row>
    <row r="1050" spans="1:14" s="544" customFormat="1" ht="16.5" customHeight="1">
      <c r="A1050" s="16"/>
      <c r="B1050" s="39" t="s">
        <v>2558</v>
      </c>
      <c r="C1050" s="566"/>
      <c r="D1050" s="567"/>
      <c r="E1050" s="568"/>
      <c r="F1050" s="569"/>
      <c r="G1050" s="569"/>
      <c r="H1050" s="570"/>
      <c r="I1050" s="571"/>
      <c r="J1050" s="553"/>
      <c r="K1050" s="39"/>
      <c r="L1050" s="16"/>
      <c r="M1050" s="39"/>
      <c r="N1050" s="536" t="s">
        <v>2306</v>
      </c>
    </row>
    <row r="1051" spans="1:14" s="544" customFormat="1" ht="16.5" customHeight="1">
      <c r="A1051" s="16"/>
      <c r="B1051" s="547" t="s">
        <v>2171</v>
      </c>
      <c r="C1051" s="548">
        <v>1</v>
      </c>
      <c r="D1051" s="549" t="s">
        <v>273</v>
      </c>
      <c r="E1051" s="550">
        <v>11</v>
      </c>
      <c r="F1051" s="551">
        <v>1.35</v>
      </c>
      <c r="G1051" s="551">
        <v>0.15</v>
      </c>
      <c r="H1051" s="551">
        <v>0</v>
      </c>
      <c r="I1051" s="552">
        <f>ROUND(IF(AND(F1051:H1051),C1051*E1051*F1051*G1051*H1051,IF(AND(F1051,G1051),C1051*E1051*F1051*G1051,IF(AND(F1051,H1051),C1051*E1051*F1051*H1051,IF(AND(G1051,H1051),C1051*E1051*G1051*H1051,IF(F1051,C1051*E1051*F1051,IF(G1051,C1051*E1051*G1051,IF(H1051,C1051*E1051*H1051,C1051*E1051))))))),2)</f>
        <v>2.23</v>
      </c>
      <c r="J1051" s="553" t="s">
        <v>102</v>
      </c>
      <c r="K1051" s="39"/>
      <c r="L1051" s="16"/>
      <c r="M1051" s="39"/>
      <c r="N1051" s="536" t="s">
        <v>2306</v>
      </c>
    </row>
    <row r="1052" spans="1:14" s="544" customFormat="1" ht="16.5" customHeight="1">
      <c r="A1052" s="16"/>
      <c r="B1052" s="547"/>
      <c r="C1052" s="548">
        <v>1</v>
      </c>
      <c r="D1052" s="549" t="s">
        <v>273</v>
      </c>
      <c r="E1052" s="550">
        <v>11</v>
      </c>
      <c r="F1052" s="551">
        <v>1.32</v>
      </c>
      <c r="G1052" s="551">
        <v>0.15</v>
      </c>
      <c r="H1052" s="551">
        <v>0</v>
      </c>
      <c r="I1052" s="552">
        <f>ROUND(IF(AND(F1052:H1052),C1052*E1052*F1052*G1052*H1052,IF(AND(F1052,G1052),C1052*E1052*F1052*G1052,IF(AND(F1052,H1052),C1052*E1052*F1052*H1052,IF(AND(G1052,H1052),C1052*E1052*G1052*H1052,IF(F1052,C1052*E1052*F1052,IF(G1052,C1052*E1052*G1052,IF(H1052,C1052*E1052*H1052,C1052*E1052))))))),2)</f>
        <v>2.1800000000000002</v>
      </c>
      <c r="J1052" s="553" t="s">
        <v>102</v>
      </c>
      <c r="K1052" s="39"/>
      <c r="L1052" s="16"/>
      <c r="M1052" s="39"/>
      <c r="N1052" s="536" t="s">
        <v>2306</v>
      </c>
    </row>
    <row r="1053" spans="1:14" s="544" customFormat="1" ht="16.5" customHeight="1">
      <c r="A1053" s="16"/>
      <c r="B1053" s="39" t="s">
        <v>2559</v>
      </c>
      <c r="C1053" s="566"/>
      <c r="D1053" s="567"/>
      <c r="E1053" s="568"/>
      <c r="F1053" s="569"/>
      <c r="G1053" s="569"/>
      <c r="H1053" s="570"/>
      <c r="I1053" s="571"/>
      <c r="J1053" s="553"/>
      <c r="K1053" s="39"/>
      <c r="L1053" s="16"/>
      <c r="M1053" s="39"/>
      <c r="N1053" s="536" t="s">
        <v>2306</v>
      </c>
    </row>
    <row r="1054" spans="1:14" s="544" customFormat="1" ht="16.5" customHeight="1">
      <c r="A1054" s="16"/>
      <c r="B1054" s="547" t="s">
        <v>801</v>
      </c>
      <c r="C1054" s="548">
        <v>1</v>
      </c>
      <c r="D1054" s="549" t="s">
        <v>273</v>
      </c>
      <c r="E1054" s="550">
        <v>11</v>
      </c>
      <c r="F1054" s="551">
        <v>0.4</v>
      </c>
      <c r="G1054" s="551">
        <v>0</v>
      </c>
      <c r="H1054" s="551">
        <v>0.14000000000000001</v>
      </c>
      <c r="I1054" s="552">
        <f>ROUND(IF(AND(F1054:H1054),C1054*E1054*F1054*G1054*H1054,IF(AND(F1054,G1054),C1054*E1054*F1054*G1054,IF(AND(F1054,H1054),C1054*E1054*F1054*H1054,IF(AND(G1054,H1054),C1054*E1054*G1054*H1054,IF(F1054,C1054*E1054*F1054,IF(G1054,C1054*E1054*G1054,IF(H1054,C1054*E1054*H1054,C1054*E1054))))))),2)</f>
        <v>0.62</v>
      </c>
      <c r="J1054" s="553" t="s">
        <v>102</v>
      </c>
      <c r="K1054" s="39"/>
      <c r="L1054" s="16"/>
      <c r="M1054" s="39"/>
      <c r="N1054" s="536" t="s">
        <v>2306</v>
      </c>
    </row>
    <row r="1055" spans="1:14" s="544" customFormat="1" ht="16.5" customHeight="1">
      <c r="A1055" s="16"/>
      <c r="B1055" s="547" t="s">
        <v>800</v>
      </c>
      <c r="C1055" s="548">
        <v>1</v>
      </c>
      <c r="D1055" s="549" t="s">
        <v>273</v>
      </c>
      <c r="E1055" s="550">
        <v>11</v>
      </c>
      <c r="F1055" s="551">
        <v>0.4</v>
      </c>
      <c r="G1055" s="551">
        <v>0</v>
      </c>
      <c r="H1055" s="551">
        <v>0.14000000000000001</v>
      </c>
      <c r="I1055" s="552">
        <f>ROUND(IF(AND(F1055:H1055),C1055*E1055*F1055*G1055*H1055,IF(AND(F1055,G1055),C1055*E1055*F1055*G1055,IF(AND(F1055,H1055),C1055*E1055*F1055*H1055,IF(AND(G1055,H1055),C1055*E1055*G1055*H1055,IF(F1055,C1055*E1055*F1055,IF(G1055,C1055*E1055*G1055,IF(H1055,C1055*E1055*H1055,C1055*E1055))))))),2)</f>
        <v>0.62</v>
      </c>
      <c r="J1055" s="553" t="s">
        <v>102</v>
      </c>
      <c r="K1055" s="39"/>
      <c r="L1055" s="16"/>
      <c r="M1055" s="39"/>
      <c r="N1055" s="536" t="s">
        <v>2306</v>
      </c>
    </row>
    <row r="1056" spans="1:14" s="544" customFormat="1" ht="16.5" customHeight="1">
      <c r="A1056" s="16"/>
      <c r="B1056" s="547"/>
      <c r="C1056" s="548"/>
      <c r="D1056" s="549"/>
      <c r="E1056" s="550"/>
      <c r="F1056" s="551"/>
      <c r="G1056" s="551"/>
      <c r="H1056" s="551"/>
      <c r="I1056" s="552"/>
      <c r="J1056" s="553"/>
      <c r="K1056" s="39"/>
      <c r="L1056" s="208"/>
      <c r="M1056" s="39"/>
      <c r="N1056" s="536" t="s">
        <v>2306</v>
      </c>
    </row>
    <row r="1057" spans="1:14" ht="15.75">
      <c r="A1057" s="16"/>
      <c r="B1057" s="39"/>
      <c r="C1057" s="554"/>
      <c r="D1057" s="555"/>
      <c r="E1057" s="540"/>
      <c r="F1057" s="541"/>
      <c r="G1057" s="40"/>
      <c r="H1057" s="16"/>
      <c r="I1057" s="552"/>
      <c r="J1057" s="553" t="s">
        <v>102</v>
      </c>
      <c r="K1057" s="10">
        <f>data!F1538</f>
        <v>2747.8</v>
      </c>
      <c r="L1057" s="208" t="s">
        <v>2306</v>
      </c>
      <c r="M1057" s="9">
        <f>ROUND(I1057*K1057,0)</f>
        <v>0</v>
      </c>
      <c r="N1057" s="536" t="s">
        <v>2306</v>
      </c>
    </row>
    <row r="1058" spans="1:14" ht="93.75" customHeight="1">
      <c r="A1058" s="16">
        <v>17</v>
      </c>
      <c r="B1058" s="1858" t="s">
        <v>671</v>
      </c>
      <c r="C1058" s="1858"/>
      <c r="D1058" s="1858"/>
      <c r="E1058" s="1858"/>
      <c r="F1058" s="1858"/>
      <c r="G1058" s="1858"/>
      <c r="H1058" s="1858"/>
      <c r="I1058" s="537"/>
      <c r="J1058" s="538"/>
      <c r="K1058" s="16"/>
      <c r="L1058" s="208"/>
      <c r="M1058" s="38"/>
      <c r="N1058" s="536" t="s">
        <v>2317</v>
      </c>
    </row>
    <row r="1059" spans="1:14" s="544" customFormat="1" ht="16.5" customHeight="1">
      <c r="A1059" s="16"/>
      <c r="B1059" s="39" t="s">
        <v>2863</v>
      </c>
      <c r="C1059" s="566"/>
      <c r="D1059" s="567"/>
      <c r="E1059" s="568"/>
      <c r="F1059" s="569"/>
      <c r="G1059" s="569"/>
      <c r="H1059" s="570"/>
      <c r="I1059" s="571"/>
      <c r="J1059" s="553"/>
      <c r="K1059" s="39"/>
      <c r="L1059" s="16"/>
      <c r="M1059" s="39"/>
      <c r="N1059" s="536" t="s">
        <v>2317</v>
      </c>
    </row>
    <row r="1060" spans="1:14" s="544" customFormat="1" ht="16.5" customHeight="1">
      <c r="A1060" s="16"/>
      <c r="B1060" s="547" t="s">
        <v>2171</v>
      </c>
      <c r="C1060" s="548">
        <v>1</v>
      </c>
      <c r="D1060" s="549" t="s">
        <v>273</v>
      </c>
      <c r="E1060" s="550">
        <v>11</v>
      </c>
      <c r="F1060" s="551">
        <v>1.35</v>
      </c>
      <c r="G1060" s="551">
        <v>0.15</v>
      </c>
      <c r="H1060" s="551">
        <v>0</v>
      </c>
      <c r="I1060" s="552">
        <f>ROUND(IF(AND(F1060:H1060),C1060*E1060*F1060*G1060*H1060,IF(AND(F1060,G1060),C1060*E1060*F1060*G1060,IF(AND(F1060,H1060),C1060*E1060*F1060*H1060,IF(AND(G1060,H1060),C1060*E1060*G1060*H1060,IF(F1060,C1060*E1060*F1060,IF(G1060,C1060*E1060*G1060,IF(H1060,C1060*E1060*H1060,C1060*E1060))))))),2)</f>
        <v>2.23</v>
      </c>
      <c r="J1060" s="553" t="s">
        <v>102</v>
      </c>
      <c r="K1060" s="39"/>
      <c r="L1060" s="16"/>
      <c r="M1060" s="39"/>
      <c r="N1060" s="536" t="s">
        <v>2317</v>
      </c>
    </row>
    <row r="1061" spans="1:14" s="544" customFormat="1" ht="16.5" customHeight="1">
      <c r="A1061" s="16"/>
      <c r="B1061" s="547"/>
      <c r="C1061" s="548">
        <v>1</v>
      </c>
      <c r="D1061" s="549" t="s">
        <v>273</v>
      </c>
      <c r="E1061" s="550">
        <v>11</v>
      </c>
      <c r="F1061" s="551">
        <v>1.32</v>
      </c>
      <c r="G1061" s="551">
        <v>0.15</v>
      </c>
      <c r="H1061" s="551">
        <v>0</v>
      </c>
      <c r="I1061" s="552">
        <f>ROUND(IF(AND(F1061:H1061),C1061*E1061*F1061*G1061*H1061,IF(AND(F1061,G1061),C1061*E1061*F1061*G1061,IF(AND(F1061,H1061),C1061*E1061*F1061*H1061,IF(AND(G1061,H1061),C1061*E1061*G1061*H1061,IF(F1061,C1061*E1061*F1061,IF(G1061,C1061*E1061*G1061,IF(H1061,C1061*E1061*H1061,C1061*E1061))))))),2)</f>
        <v>2.1800000000000002</v>
      </c>
      <c r="J1061" s="553" t="s">
        <v>102</v>
      </c>
      <c r="K1061" s="39"/>
      <c r="L1061" s="16"/>
      <c r="M1061" s="39"/>
      <c r="N1061" s="536" t="s">
        <v>2317</v>
      </c>
    </row>
    <row r="1062" spans="1:14" s="544" customFormat="1" ht="16.5" customHeight="1">
      <c r="A1062" s="16"/>
      <c r="B1062" s="547" t="s">
        <v>800</v>
      </c>
      <c r="C1062" s="548">
        <v>1</v>
      </c>
      <c r="D1062" s="549" t="s">
        <v>273</v>
      </c>
      <c r="E1062" s="550">
        <v>11</v>
      </c>
      <c r="F1062" s="551">
        <v>0.4</v>
      </c>
      <c r="G1062" s="551">
        <v>0</v>
      </c>
      <c r="H1062" s="551">
        <v>0.14000000000000001</v>
      </c>
      <c r="I1062" s="552">
        <f>ROUND(IF(AND(F1062:H1062),C1062*E1062*F1062*G1062*H1062,IF(AND(F1062,G1062),C1062*E1062*F1062*G1062,IF(AND(F1062,H1062),C1062*E1062*F1062*H1062,IF(AND(G1062,H1062),C1062*E1062*G1062*H1062,IF(F1062,C1062*E1062*F1062,IF(G1062,C1062*E1062*G1062,IF(H1062,C1062*E1062*H1062,C1062*E1062))))))),2)</f>
        <v>0.62</v>
      </c>
      <c r="J1062" s="553" t="s">
        <v>102</v>
      </c>
      <c r="K1062" s="39"/>
      <c r="L1062" s="16"/>
      <c r="M1062" s="39"/>
      <c r="N1062" s="536" t="s">
        <v>2317</v>
      </c>
    </row>
    <row r="1063" spans="1:14" s="544" customFormat="1" ht="16.5" customHeight="1">
      <c r="A1063" s="16"/>
      <c r="B1063" s="547"/>
      <c r="C1063" s="548"/>
      <c r="D1063" s="549"/>
      <c r="E1063" s="550"/>
      <c r="F1063" s="551"/>
      <c r="G1063" s="551"/>
      <c r="H1063" s="551"/>
      <c r="I1063" s="552"/>
      <c r="J1063" s="553"/>
      <c r="K1063" s="39"/>
      <c r="L1063" s="208"/>
      <c r="M1063" s="39"/>
      <c r="N1063" s="536" t="s">
        <v>2317</v>
      </c>
    </row>
    <row r="1064" spans="1:14" ht="15.75">
      <c r="A1064" s="16"/>
      <c r="B1064" s="39"/>
      <c r="C1064" s="554"/>
      <c r="D1064" s="555"/>
      <c r="E1064" s="540"/>
      <c r="F1064" s="541"/>
      <c r="G1064" s="40"/>
      <c r="H1064" s="16"/>
      <c r="I1064" s="552"/>
      <c r="J1064" s="553" t="s">
        <v>102</v>
      </c>
      <c r="K1064" s="10">
        <f>data!F2455</f>
        <v>2789.27</v>
      </c>
      <c r="L1064" s="208" t="s">
        <v>2317</v>
      </c>
      <c r="M1064" s="9">
        <f>ROUND(I1064*K1064,0)</f>
        <v>0</v>
      </c>
      <c r="N1064" s="536" t="s">
        <v>2317</v>
      </c>
    </row>
    <row r="1065" spans="1:14" ht="93.75" customHeight="1">
      <c r="A1065" s="16">
        <v>13</v>
      </c>
      <c r="B1065" s="1858" t="s">
        <v>671</v>
      </c>
      <c r="C1065" s="1858"/>
      <c r="D1065" s="1858"/>
      <c r="E1065" s="1858"/>
      <c r="F1065" s="1858"/>
      <c r="G1065" s="1858"/>
      <c r="H1065" s="1858"/>
      <c r="I1065" s="537"/>
      <c r="J1065" s="538"/>
      <c r="K1065" s="16"/>
      <c r="L1065" s="208"/>
      <c r="M1065" s="38"/>
      <c r="N1065" s="536" t="s">
        <v>2318</v>
      </c>
    </row>
    <row r="1066" spans="1:14" s="544" customFormat="1" ht="16.5" customHeight="1">
      <c r="A1066" s="16"/>
      <c r="B1066" s="39" t="s">
        <v>3112</v>
      </c>
      <c r="C1066" s="566"/>
      <c r="D1066" s="1145" t="s">
        <v>3336</v>
      </c>
      <c r="E1066" s="568"/>
      <c r="F1066" s="569"/>
      <c r="G1066" s="569"/>
      <c r="H1066" s="570"/>
      <c r="I1066" s="571"/>
      <c r="J1066" s="553"/>
      <c r="K1066" s="39"/>
      <c r="L1066" s="16"/>
      <c r="M1066" s="39"/>
      <c r="N1066" s="536" t="s">
        <v>2318</v>
      </c>
    </row>
    <row r="1067" spans="1:14" s="544" customFormat="1" ht="16.5" customHeight="1">
      <c r="A1067" s="16"/>
      <c r="B1067" s="582" t="s">
        <v>2362</v>
      </c>
      <c r="C1067" s="583">
        <v>1</v>
      </c>
      <c r="D1067" s="584" t="s">
        <v>273</v>
      </c>
      <c r="E1067" s="585">
        <v>1</v>
      </c>
      <c r="F1067" s="586">
        <v>11.68</v>
      </c>
      <c r="G1067" s="586">
        <v>0</v>
      </c>
      <c r="H1067" s="586">
        <v>0.1</v>
      </c>
      <c r="I1067" s="552">
        <f t="shared" ref="I1067:I1076" si="103">ROUND(IF(AND(F1067:H1067),C1067*E1067*F1067*G1067*H1067,IF(AND(F1067,G1067),C1067*E1067*F1067*G1067,IF(AND(F1067,H1067),C1067*E1067*F1067*H1067,IF(AND(G1067,H1067),C1067*E1067*G1067*H1067,IF(F1067,C1067*E1067*F1067,IF(G1067,C1067*E1067*G1067,IF(H1067,C1067*E1067*H1067,C1067*E1067))))))),2)</f>
        <v>1.17</v>
      </c>
      <c r="J1067" s="553" t="s">
        <v>102</v>
      </c>
      <c r="K1067" s="39"/>
      <c r="L1067" s="16"/>
      <c r="M1067" s="39"/>
      <c r="N1067" s="536" t="s">
        <v>2318</v>
      </c>
    </row>
    <row r="1068" spans="1:14" s="544" customFormat="1" ht="16.5" customHeight="1">
      <c r="A1068" s="16"/>
      <c r="B1068" s="582" t="s">
        <v>2746</v>
      </c>
      <c r="C1068" s="583">
        <v>1</v>
      </c>
      <c r="D1068" s="584" t="s">
        <v>273</v>
      </c>
      <c r="E1068" s="585">
        <v>1</v>
      </c>
      <c r="F1068" s="586">
        <v>12.26</v>
      </c>
      <c r="G1068" s="586">
        <v>0</v>
      </c>
      <c r="H1068" s="586">
        <v>0.1</v>
      </c>
      <c r="I1068" s="552">
        <f t="shared" si="103"/>
        <v>1.23</v>
      </c>
      <c r="J1068" s="553" t="s">
        <v>102</v>
      </c>
      <c r="K1068" s="39"/>
      <c r="L1068" s="16"/>
      <c r="M1068" s="39"/>
      <c r="N1068" s="536" t="s">
        <v>2318</v>
      </c>
    </row>
    <row r="1069" spans="1:14" s="544" customFormat="1" ht="16.5" customHeight="1">
      <c r="A1069" s="16"/>
      <c r="B1069" s="582" t="s">
        <v>587</v>
      </c>
      <c r="C1069" s="583">
        <v>1</v>
      </c>
      <c r="D1069" s="584" t="s">
        <v>273</v>
      </c>
      <c r="E1069" s="585">
        <v>1</v>
      </c>
      <c r="F1069" s="586">
        <v>12.74</v>
      </c>
      <c r="G1069" s="586">
        <v>0</v>
      </c>
      <c r="H1069" s="586">
        <v>0.1</v>
      </c>
      <c r="I1069" s="552">
        <f t="shared" si="103"/>
        <v>1.27</v>
      </c>
      <c r="J1069" s="553" t="s">
        <v>102</v>
      </c>
      <c r="K1069" s="39"/>
      <c r="L1069" s="16"/>
      <c r="M1069" s="39"/>
      <c r="N1069" s="536" t="s">
        <v>2318</v>
      </c>
    </row>
    <row r="1070" spans="1:14" s="544" customFormat="1" ht="16.5" customHeight="1">
      <c r="A1070" s="16"/>
      <c r="B1070" s="582" t="s">
        <v>586</v>
      </c>
      <c r="C1070" s="583">
        <v>1</v>
      </c>
      <c r="D1070" s="584" t="s">
        <v>273</v>
      </c>
      <c r="E1070" s="585">
        <v>1</v>
      </c>
      <c r="F1070" s="586">
        <v>11.93</v>
      </c>
      <c r="G1070" s="586">
        <v>0</v>
      </c>
      <c r="H1070" s="586">
        <v>0.1</v>
      </c>
      <c r="I1070" s="552">
        <f t="shared" si="103"/>
        <v>1.19</v>
      </c>
      <c r="J1070" s="553" t="s">
        <v>102</v>
      </c>
      <c r="K1070" s="39"/>
      <c r="L1070" s="16"/>
      <c r="M1070" s="39"/>
      <c r="N1070" s="536" t="s">
        <v>2318</v>
      </c>
    </row>
    <row r="1071" spans="1:14" s="544" customFormat="1" ht="16.5" customHeight="1">
      <c r="A1071" s="16"/>
      <c r="B1071" s="582"/>
      <c r="C1071" s="583">
        <v>1</v>
      </c>
      <c r="D1071" s="584" t="s">
        <v>273</v>
      </c>
      <c r="E1071" s="585">
        <v>1</v>
      </c>
      <c r="F1071" s="586">
        <v>9.42</v>
      </c>
      <c r="G1071" s="586">
        <v>0</v>
      </c>
      <c r="H1071" s="586">
        <v>0.1</v>
      </c>
      <c r="I1071" s="552">
        <f t="shared" si="103"/>
        <v>0.94</v>
      </c>
      <c r="J1071" s="553" t="s">
        <v>102</v>
      </c>
      <c r="K1071" s="39"/>
      <c r="L1071" s="16"/>
      <c r="M1071" s="39"/>
      <c r="N1071" s="536" t="s">
        <v>2318</v>
      </c>
    </row>
    <row r="1072" spans="1:14" s="544" customFormat="1" ht="16.5" customHeight="1">
      <c r="A1072" s="16"/>
      <c r="B1072" s="582" t="s">
        <v>223</v>
      </c>
      <c r="C1072" s="583">
        <v>1</v>
      </c>
      <c r="D1072" s="584" t="s">
        <v>273</v>
      </c>
      <c r="E1072" s="585">
        <v>1</v>
      </c>
      <c r="F1072" s="586">
        <v>22.92</v>
      </c>
      <c r="G1072" s="586">
        <v>0</v>
      </c>
      <c r="H1072" s="586">
        <v>0.1</v>
      </c>
      <c r="I1072" s="552">
        <f t="shared" si="103"/>
        <v>2.29</v>
      </c>
      <c r="J1072" s="553" t="s">
        <v>102</v>
      </c>
      <c r="K1072" s="39"/>
      <c r="L1072" s="16"/>
      <c r="M1072" s="39"/>
      <c r="N1072" s="536" t="s">
        <v>2318</v>
      </c>
    </row>
    <row r="1073" spans="1:14" s="544" customFormat="1" ht="16.5" customHeight="1">
      <c r="A1073" s="16"/>
      <c r="B1073" s="582" t="s">
        <v>1246</v>
      </c>
      <c r="C1073" s="583">
        <v>1</v>
      </c>
      <c r="D1073" s="584" t="s">
        <v>273</v>
      </c>
      <c r="E1073" s="585">
        <v>2</v>
      </c>
      <c r="F1073" s="586">
        <v>5.25</v>
      </c>
      <c r="G1073" s="586">
        <v>0</v>
      </c>
      <c r="H1073" s="586">
        <v>0.1</v>
      </c>
      <c r="I1073" s="552">
        <f t="shared" si="103"/>
        <v>1.05</v>
      </c>
      <c r="J1073" s="553" t="s">
        <v>102</v>
      </c>
      <c r="K1073" s="39"/>
      <c r="L1073" s="16"/>
      <c r="M1073" s="39"/>
      <c r="N1073" s="536" t="s">
        <v>2318</v>
      </c>
    </row>
    <row r="1074" spans="1:14" s="544" customFormat="1" ht="16.5" customHeight="1">
      <c r="A1074" s="16"/>
      <c r="B1074" s="582"/>
      <c r="C1074" s="583">
        <v>1</v>
      </c>
      <c r="D1074" s="584" t="s">
        <v>273</v>
      </c>
      <c r="E1074" s="585">
        <v>2</v>
      </c>
      <c r="F1074" s="586">
        <v>2.5</v>
      </c>
      <c r="G1074" s="586">
        <v>0</v>
      </c>
      <c r="H1074" s="586">
        <v>0.1</v>
      </c>
      <c r="I1074" s="552">
        <f t="shared" si="103"/>
        <v>0.5</v>
      </c>
      <c r="J1074" s="553" t="s">
        <v>102</v>
      </c>
      <c r="K1074" s="39"/>
      <c r="L1074" s="16"/>
      <c r="M1074" s="39"/>
      <c r="N1074" s="536" t="s">
        <v>2318</v>
      </c>
    </row>
    <row r="1075" spans="1:14" s="544" customFormat="1" ht="16.5" customHeight="1">
      <c r="A1075" s="16"/>
      <c r="B1075" s="582" t="s">
        <v>1547</v>
      </c>
      <c r="C1075" s="583">
        <v>1</v>
      </c>
      <c r="D1075" s="584" t="s">
        <v>273</v>
      </c>
      <c r="E1075" s="585">
        <v>2</v>
      </c>
      <c r="F1075" s="586">
        <v>9.15</v>
      </c>
      <c r="G1075" s="586">
        <v>0</v>
      </c>
      <c r="H1075" s="586">
        <v>0.1</v>
      </c>
      <c r="I1075" s="552">
        <f t="shared" si="103"/>
        <v>1.83</v>
      </c>
      <c r="J1075" s="553" t="s">
        <v>102</v>
      </c>
      <c r="K1075" s="39"/>
      <c r="L1075" s="16"/>
      <c r="M1075" s="39"/>
      <c r="N1075" s="536" t="s">
        <v>2318</v>
      </c>
    </row>
    <row r="1076" spans="1:14" s="544" customFormat="1" ht="16.5" customHeight="1">
      <c r="A1076" s="16"/>
      <c r="B1076" s="582"/>
      <c r="C1076" s="583">
        <v>1</v>
      </c>
      <c r="D1076" s="584" t="s">
        <v>273</v>
      </c>
      <c r="E1076" s="585">
        <v>2</v>
      </c>
      <c r="F1076" s="586">
        <v>0.75</v>
      </c>
      <c r="G1076" s="586">
        <v>0</v>
      </c>
      <c r="H1076" s="586">
        <v>0.1</v>
      </c>
      <c r="I1076" s="552">
        <f t="shared" si="103"/>
        <v>0.15</v>
      </c>
      <c r="J1076" s="553" t="s">
        <v>102</v>
      </c>
      <c r="K1076" s="39"/>
      <c r="L1076" s="16"/>
      <c r="M1076" s="39"/>
      <c r="N1076" s="536" t="s">
        <v>2318</v>
      </c>
    </row>
    <row r="1077" spans="1:14" s="544" customFormat="1" ht="16.5" customHeight="1">
      <c r="A1077" s="16"/>
      <c r="B1077" s="582" t="s">
        <v>579</v>
      </c>
      <c r="C1077" s="583">
        <v>2</v>
      </c>
      <c r="D1077" s="584" t="s">
        <v>273</v>
      </c>
      <c r="E1077" s="585">
        <v>3</v>
      </c>
      <c r="F1077" s="586">
        <v>1.2</v>
      </c>
      <c r="G1077" s="586">
        <v>0</v>
      </c>
      <c r="H1077" s="586">
        <v>0.1</v>
      </c>
      <c r="I1077" s="552">
        <f>-ROUND(IF(AND(F1077:H1077),C1077*E1077*F1077*G1077*H1077,IF(AND(F1077,G1077),C1077*E1077*F1077*G1077,IF(AND(F1077,H1077),C1077*E1077*F1077*H1077,IF(AND(G1077,H1077),C1077*E1077*G1077*H1077,IF(F1077,C1077*E1077*F1077,IF(G1077,C1077*E1077*G1077,IF(H1077,C1077*E1077*H1077,C1077*E1077))))))),2)</f>
        <v>-0.72</v>
      </c>
      <c r="J1077" s="553" t="s">
        <v>102</v>
      </c>
      <c r="K1077" s="39"/>
      <c r="L1077" s="16"/>
      <c r="M1077" s="39"/>
      <c r="N1077" s="536" t="s">
        <v>2318</v>
      </c>
    </row>
    <row r="1078" spans="1:14" s="544" customFormat="1" ht="16.5" customHeight="1">
      <c r="A1078" s="16"/>
      <c r="B1078" s="582" t="s">
        <v>579</v>
      </c>
      <c r="C1078" s="583">
        <v>2</v>
      </c>
      <c r="D1078" s="584" t="s">
        <v>273</v>
      </c>
      <c r="E1078" s="585">
        <v>4</v>
      </c>
      <c r="F1078" s="586">
        <v>1.05</v>
      </c>
      <c r="G1078" s="586">
        <v>0</v>
      </c>
      <c r="H1078" s="586">
        <v>0.1</v>
      </c>
      <c r="I1078" s="552">
        <f>-ROUND(IF(AND(F1078:H1078),C1078*E1078*F1078*G1078*H1078,IF(AND(F1078,G1078),C1078*E1078*F1078*G1078,IF(AND(F1078,H1078),C1078*E1078*F1078*H1078,IF(AND(G1078,H1078),C1078*E1078*G1078*H1078,IF(F1078,C1078*E1078*F1078,IF(G1078,C1078*E1078*G1078,IF(H1078,C1078*E1078*H1078,C1078*E1078))))))),2)</f>
        <v>-0.84</v>
      </c>
      <c r="J1078" s="553" t="s">
        <v>102</v>
      </c>
      <c r="K1078" s="39"/>
      <c r="L1078" s="16"/>
      <c r="M1078" s="39"/>
      <c r="N1078" s="536" t="s">
        <v>2318</v>
      </c>
    </row>
    <row r="1079" spans="1:14" s="544" customFormat="1" ht="16.5" customHeight="1">
      <c r="A1079" s="16"/>
      <c r="B1079" s="582" t="s">
        <v>579</v>
      </c>
      <c r="C1079" s="583">
        <v>1</v>
      </c>
      <c r="D1079" s="584" t="s">
        <v>273</v>
      </c>
      <c r="E1079" s="585">
        <v>3</v>
      </c>
      <c r="F1079" s="586">
        <v>0.75</v>
      </c>
      <c r="G1079" s="586">
        <v>0</v>
      </c>
      <c r="H1079" s="586">
        <v>0.1</v>
      </c>
      <c r="I1079" s="552">
        <f>-ROUND(IF(AND(F1079:H1079),C1079*E1079*F1079*G1079*H1079,IF(AND(F1079,G1079),C1079*E1079*F1079*G1079,IF(AND(F1079,H1079),C1079*E1079*F1079*H1079,IF(AND(G1079,H1079),C1079*E1079*G1079*H1079,IF(F1079,C1079*E1079*F1079,IF(G1079,C1079*E1079*G1079,IF(H1079,C1079*E1079*H1079,C1079*E1079))))))),2)</f>
        <v>-0.23</v>
      </c>
      <c r="J1079" s="553" t="s">
        <v>102</v>
      </c>
      <c r="K1079" s="39"/>
      <c r="L1079" s="16"/>
      <c r="M1079" s="39"/>
      <c r="N1079" s="536" t="s">
        <v>2318</v>
      </c>
    </row>
    <row r="1080" spans="1:14" s="544" customFormat="1" ht="16.5" customHeight="1">
      <c r="A1080" s="16"/>
      <c r="B1080" s="547"/>
      <c r="C1080" s="548"/>
      <c r="D1080" s="549"/>
      <c r="E1080" s="550"/>
      <c r="F1080" s="551"/>
      <c r="G1080" s="551"/>
      <c r="H1080" s="551"/>
      <c r="I1080" s="552"/>
      <c r="J1080" s="553"/>
      <c r="K1080" s="39"/>
      <c r="L1080" s="208"/>
      <c r="M1080" s="39"/>
      <c r="N1080" s="536" t="s">
        <v>2318</v>
      </c>
    </row>
    <row r="1081" spans="1:14" ht="15.75">
      <c r="A1081" s="16"/>
      <c r="B1081" s="39"/>
      <c r="C1081" s="554"/>
      <c r="D1081" s="555"/>
      <c r="E1081" s="540"/>
      <c r="F1081" s="541"/>
      <c r="G1081" s="40"/>
      <c r="H1081" s="16"/>
      <c r="I1081" s="552"/>
      <c r="J1081" s="553" t="s">
        <v>102</v>
      </c>
      <c r="K1081" s="10">
        <f>data!F3372</f>
        <v>2950.54</v>
      </c>
      <c r="L1081" s="208" t="s">
        <v>2318</v>
      </c>
      <c r="M1081" s="9">
        <f>ROUND(I1081*K1081,0)</f>
        <v>0</v>
      </c>
      <c r="N1081" s="536" t="s">
        <v>2318</v>
      </c>
    </row>
    <row r="1082" spans="1:14" ht="90" customHeight="1">
      <c r="A1082" s="16">
        <v>26</v>
      </c>
      <c r="B1082" s="1858" t="s">
        <v>672</v>
      </c>
      <c r="C1082" s="1858"/>
      <c r="D1082" s="1858"/>
      <c r="E1082" s="1858"/>
      <c r="F1082" s="1858"/>
      <c r="G1082" s="1858"/>
      <c r="H1082" s="1858"/>
      <c r="I1082" s="537"/>
      <c r="J1082" s="538"/>
      <c r="K1082" s="16"/>
      <c r="L1082" s="208"/>
      <c r="M1082" s="38"/>
      <c r="N1082" s="536" t="s">
        <v>2218</v>
      </c>
    </row>
    <row r="1083" spans="1:14" s="544" customFormat="1" ht="16.5" customHeight="1">
      <c r="A1083" s="16"/>
      <c r="B1083" s="39" t="s">
        <v>2827</v>
      </c>
      <c r="C1083" s="566"/>
      <c r="D1083" s="567"/>
      <c r="E1083" s="568"/>
      <c r="F1083" s="569"/>
      <c r="G1083" s="569"/>
      <c r="H1083" s="570"/>
      <c r="I1083" s="571"/>
      <c r="J1083" s="553"/>
      <c r="K1083" s="39"/>
      <c r="L1083" s="208"/>
      <c r="M1083" s="39"/>
      <c r="N1083" s="536" t="s">
        <v>2218</v>
      </c>
    </row>
    <row r="1084" spans="1:14" s="544" customFormat="1" ht="16.5" customHeight="1">
      <c r="A1084" s="16"/>
      <c r="B1084" s="547" t="s">
        <v>578</v>
      </c>
      <c r="C1084" s="548">
        <v>1</v>
      </c>
      <c r="D1084" s="549" t="s">
        <v>273</v>
      </c>
      <c r="E1084" s="550">
        <v>1</v>
      </c>
      <c r="F1084" s="551">
        <v>9.8699999999999992</v>
      </c>
      <c r="G1084" s="551">
        <v>1.83</v>
      </c>
      <c r="H1084" s="551">
        <v>0</v>
      </c>
      <c r="I1084" s="552">
        <f t="shared" ref="I1084:I1087" si="104">ROUND(IF(AND(F1084:H1084),C1084*E1084*F1084*G1084*H1084,IF(AND(F1084,G1084),C1084*E1084*F1084*G1084,IF(AND(F1084,H1084),C1084*E1084*F1084*H1084,IF(AND(G1084,H1084),C1084*E1084*G1084*H1084,IF(F1084,C1084*E1084*F1084,IF(G1084,C1084*E1084*G1084,IF(H1084,C1084*E1084*H1084,C1084*E1084))))))),2)</f>
        <v>18.059999999999999</v>
      </c>
      <c r="J1084" s="553" t="s">
        <v>102</v>
      </c>
      <c r="K1084" s="39"/>
      <c r="L1084" s="208"/>
      <c r="M1084" s="39"/>
      <c r="N1084" s="536" t="s">
        <v>2218</v>
      </c>
    </row>
    <row r="1085" spans="1:14" s="544" customFormat="1" ht="16.5" customHeight="1">
      <c r="A1085" s="16"/>
      <c r="B1085" s="547" t="s">
        <v>654</v>
      </c>
      <c r="C1085" s="548">
        <v>1</v>
      </c>
      <c r="D1085" s="549" t="s">
        <v>273</v>
      </c>
      <c r="E1085" s="550">
        <v>1</v>
      </c>
      <c r="F1085" s="551">
        <v>2.83</v>
      </c>
      <c r="G1085" s="551">
        <v>1.55</v>
      </c>
      <c r="H1085" s="551">
        <v>0</v>
      </c>
      <c r="I1085" s="552">
        <f t="shared" si="104"/>
        <v>4.3899999999999997</v>
      </c>
      <c r="J1085" s="553" t="s">
        <v>102</v>
      </c>
      <c r="K1085" s="39"/>
      <c r="L1085" s="208"/>
      <c r="M1085" s="39"/>
      <c r="N1085" s="536" t="s">
        <v>2218</v>
      </c>
    </row>
    <row r="1086" spans="1:14" s="544" customFormat="1" ht="16.5" customHeight="1">
      <c r="A1086" s="16"/>
      <c r="B1086" s="547"/>
      <c r="C1086" s="548">
        <v>1</v>
      </c>
      <c r="D1086" s="549" t="s">
        <v>273</v>
      </c>
      <c r="E1086" s="550">
        <v>1</v>
      </c>
      <c r="F1086" s="551">
        <v>2.65</v>
      </c>
      <c r="G1086" s="551">
        <v>0.53</v>
      </c>
      <c r="H1086" s="551">
        <v>0</v>
      </c>
      <c r="I1086" s="552">
        <f t="shared" si="104"/>
        <v>1.4</v>
      </c>
      <c r="J1086" s="553" t="s">
        <v>102</v>
      </c>
      <c r="K1086" s="39"/>
      <c r="L1086" s="208"/>
      <c r="M1086" s="39"/>
      <c r="N1086" s="536" t="s">
        <v>2218</v>
      </c>
    </row>
    <row r="1087" spans="1:14" s="544" customFormat="1" ht="16.5" customHeight="1">
      <c r="A1087" s="16"/>
      <c r="B1087" s="547" t="s">
        <v>1251</v>
      </c>
      <c r="C1087" s="548">
        <v>1</v>
      </c>
      <c r="D1087" s="549" t="s">
        <v>273</v>
      </c>
      <c r="E1087" s="550">
        <v>21</v>
      </c>
      <c r="F1087" s="551">
        <v>1.28</v>
      </c>
      <c r="G1087" s="551">
        <v>0.3</v>
      </c>
      <c r="H1087" s="551">
        <v>0</v>
      </c>
      <c r="I1087" s="552">
        <f t="shared" si="104"/>
        <v>8.06</v>
      </c>
      <c r="J1087" s="553" t="s">
        <v>102</v>
      </c>
      <c r="K1087" s="39"/>
      <c r="L1087" s="208"/>
      <c r="M1087" s="39"/>
      <c r="N1087" s="536" t="s">
        <v>2218</v>
      </c>
    </row>
    <row r="1088" spans="1:14" s="544" customFormat="1" ht="16.5" customHeight="1">
      <c r="A1088" s="16"/>
      <c r="B1088" s="547"/>
      <c r="C1088" s="548"/>
      <c r="D1088" s="549"/>
      <c r="E1088" s="550"/>
      <c r="F1088" s="551"/>
      <c r="G1088" s="551"/>
      <c r="H1088" s="551"/>
      <c r="I1088" s="552"/>
      <c r="J1088" s="553"/>
      <c r="K1088" s="39"/>
      <c r="L1088" s="208"/>
      <c r="M1088" s="39"/>
      <c r="N1088" s="536" t="s">
        <v>2218</v>
      </c>
    </row>
    <row r="1089" spans="1:14" ht="15.75">
      <c r="A1089" s="16"/>
      <c r="B1089" s="39"/>
      <c r="C1089" s="554"/>
      <c r="D1089" s="555"/>
      <c r="E1089" s="540"/>
      <c r="F1089" s="541"/>
      <c r="G1089" s="40"/>
      <c r="H1089" s="16"/>
      <c r="I1089" s="552"/>
      <c r="J1089" s="553" t="s">
        <v>102</v>
      </c>
      <c r="K1089" s="10">
        <f>data!F642</f>
        <v>633.27</v>
      </c>
      <c r="L1089" s="208" t="s">
        <v>2218</v>
      </c>
      <c r="M1089" s="9">
        <f>ROUND(I1089*K1089,0)</f>
        <v>0</v>
      </c>
      <c r="N1089" s="536" t="s">
        <v>2218</v>
      </c>
    </row>
    <row r="1090" spans="1:14" ht="90" customHeight="1">
      <c r="A1090" s="16">
        <v>26</v>
      </c>
      <c r="B1090" s="1858" t="s">
        <v>672</v>
      </c>
      <c r="C1090" s="1858"/>
      <c r="D1090" s="1858"/>
      <c r="E1090" s="1858"/>
      <c r="F1090" s="1858"/>
      <c r="G1090" s="1858"/>
      <c r="H1090" s="1858"/>
      <c r="I1090" s="537"/>
      <c r="J1090" s="538"/>
      <c r="K1090" s="16"/>
      <c r="L1090" s="208"/>
      <c r="M1090" s="38"/>
      <c r="N1090" s="536" t="s">
        <v>2306</v>
      </c>
    </row>
    <row r="1091" spans="1:14" s="544" customFormat="1" ht="16.5" customHeight="1">
      <c r="A1091" s="16"/>
      <c r="B1091" s="39" t="s">
        <v>3038</v>
      </c>
      <c r="C1091" s="566"/>
      <c r="D1091" s="567"/>
      <c r="E1091" s="568"/>
      <c r="F1091" s="569"/>
      <c r="G1091" s="569"/>
      <c r="H1091" s="570"/>
      <c r="I1091" s="571"/>
      <c r="J1091" s="553"/>
      <c r="K1091" s="39"/>
      <c r="L1091" s="208"/>
      <c r="M1091" s="39"/>
      <c r="N1091" s="536" t="s">
        <v>2306</v>
      </c>
    </row>
    <row r="1092" spans="1:14" s="544" customFormat="1" ht="16.5" customHeight="1">
      <c r="A1092" s="16"/>
      <c r="B1092" s="547" t="s">
        <v>3039</v>
      </c>
      <c r="C1092" s="548">
        <v>1</v>
      </c>
      <c r="D1092" s="549" t="s">
        <v>273</v>
      </c>
      <c r="E1092" s="550">
        <v>1</v>
      </c>
      <c r="F1092" s="551">
        <v>6.2</v>
      </c>
      <c r="G1092" s="551">
        <v>1.9</v>
      </c>
      <c r="H1092" s="551">
        <v>0</v>
      </c>
      <c r="I1092" s="552">
        <f>ROUND(IF(AND(F1092:H1092),C1092*E1092*F1092*G1092*H1092,IF(AND(F1092,G1092),C1092*E1092*F1092*G1092,IF(AND(F1092,H1092),C1092*E1092*F1092*H1092,IF(AND(G1092,H1092),C1092*E1092*G1092*H1092,IF(F1092,C1092*E1092*F1092,IF(G1092,C1092*E1092*G1092,IF(H1092,C1092*E1092*H1092,C1092*E1092))))))),2)</f>
        <v>11.78</v>
      </c>
      <c r="J1092" s="553" t="s">
        <v>102</v>
      </c>
      <c r="K1092" s="39"/>
      <c r="L1092" s="208"/>
      <c r="M1092" s="39"/>
      <c r="N1092" s="536" t="s">
        <v>2306</v>
      </c>
    </row>
    <row r="1093" spans="1:14" s="544" customFormat="1" ht="16.5" customHeight="1">
      <c r="A1093" s="16"/>
      <c r="B1093" s="547" t="s">
        <v>817</v>
      </c>
      <c r="C1093" s="548">
        <v>1</v>
      </c>
      <c r="D1093" s="549" t="s">
        <v>273</v>
      </c>
      <c r="E1093" s="550">
        <v>1</v>
      </c>
      <c r="F1093" s="551">
        <v>13.3</v>
      </c>
      <c r="G1093" s="551">
        <v>0.85</v>
      </c>
      <c r="H1093" s="551">
        <v>0</v>
      </c>
      <c r="I1093" s="552">
        <f t="shared" ref="I1093:I1098" si="105">ROUND(IF(AND(F1093:H1093),C1093*E1093*F1093*G1093*H1093,IF(AND(F1093,G1093),C1093*E1093*F1093*G1093,IF(AND(F1093,H1093),C1093*E1093*F1093*H1093,IF(AND(G1093,H1093),C1093*E1093*G1093*H1093,IF(F1093,C1093*E1093*F1093,IF(G1093,C1093*E1093*G1093,IF(H1093,C1093*E1093*H1093,C1093*E1093))))))),2)</f>
        <v>11.31</v>
      </c>
      <c r="J1093" s="553" t="s">
        <v>102</v>
      </c>
      <c r="K1093" s="39"/>
      <c r="L1093" s="208"/>
      <c r="M1093" s="39"/>
      <c r="N1093" s="536" t="s">
        <v>2306</v>
      </c>
    </row>
    <row r="1094" spans="1:14" s="544" customFormat="1" ht="16.5" customHeight="1">
      <c r="A1094" s="16"/>
      <c r="B1094" s="547" t="s">
        <v>816</v>
      </c>
      <c r="C1094" s="548">
        <v>1</v>
      </c>
      <c r="D1094" s="549" t="s">
        <v>273</v>
      </c>
      <c r="E1094" s="550">
        <v>1</v>
      </c>
      <c r="F1094" s="551">
        <v>8.6999999999999993</v>
      </c>
      <c r="G1094" s="551">
        <v>0.85</v>
      </c>
      <c r="H1094" s="551">
        <v>0</v>
      </c>
      <c r="I1094" s="552">
        <f t="shared" si="105"/>
        <v>7.4</v>
      </c>
      <c r="J1094" s="553" t="s">
        <v>102</v>
      </c>
      <c r="K1094" s="39"/>
      <c r="L1094" s="208"/>
      <c r="M1094" s="39"/>
      <c r="N1094" s="536" t="s">
        <v>2306</v>
      </c>
    </row>
    <row r="1095" spans="1:14" s="544" customFormat="1" ht="16.5" customHeight="1">
      <c r="A1095" s="16"/>
      <c r="B1095" s="547" t="s">
        <v>3040</v>
      </c>
      <c r="C1095" s="548">
        <v>1</v>
      </c>
      <c r="D1095" s="549" t="s">
        <v>273</v>
      </c>
      <c r="E1095" s="550">
        <v>10</v>
      </c>
      <c r="F1095" s="551">
        <v>0.23</v>
      </c>
      <c r="G1095" s="551">
        <v>0.115</v>
      </c>
      <c r="H1095" s="551">
        <v>0</v>
      </c>
      <c r="I1095" s="552">
        <f>-ROUND(IF(AND(F1095:H1095),C1095*E1095*F1095*G1095*H1095,IF(AND(F1095,G1095),C1095*E1095*F1095*G1095,IF(AND(F1095,H1095),C1095*E1095*F1095*H1095,IF(AND(G1095,H1095),C1095*E1095*G1095*H1095,IF(F1095,C1095*E1095*F1095,IF(G1095,C1095*E1095*G1095,IF(H1095,C1095*E1095*H1095,C1095*E1095))))))),2)</f>
        <v>-0.26</v>
      </c>
      <c r="J1095" s="553" t="s">
        <v>102</v>
      </c>
      <c r="K1095" s="39"/>
      <c r="L1095" s="208"/>
      <c r="M1095" s="39"/>
      <c r="N1095" s="536" t="s">
        <v>2306</v>
      </c>
    </row>
    <row r="1096" spans="1:14" s="544" customFormat="1" ht="16.5" customHeight="1">
      <c r="A1096" s="16"/>
      <c r="B1096" s="547" t="s">
        <v>2750</v>
      </c>
      <c r="C1096" s="548">
        <v>1</v>
      </c>
      <c r="D1096" s="549" t="s">
        <v>273</v>
      </c>
      <c r="E1096" s="550">
        <v>11</v>
      </c>
      <c r="F1096" s="551">
        <v>1.3</v>
      </c>
      <c r="G1096" s="551">
        <v>0.3</v>
      </c>
      <c r="H1096" s="551">
        <v>0</v>
      </c>
      <c r="I1096" s="552">
        <f t="shared" si="105"/>
        <v>4.29</v>
      </c>
      <c r="J1096" s="553" t="s">
        <v>102</v>
      </c>
      <c r="K1096" s="39"/>
      <c r="L1096" s="208"/>
      <c r="M1096" s="39"/>
      <c r="N1096" s="536" t="s">
        <v>2306</v>
      </c>
    </row>
    <row r="1097" spans="1:14" s="544" customFormat="1" ht="16.5" customHeight="1">
      <c r="A1097" s="16"/>
      <c r="B1097" s="547" t="s">
        <v>1249</v>
      </c>
      <c r="C1097" s="548">
        <v>1</v>
      </c>
      <c r="D1097" s="549" t="s">
        <v>273</v>
      </c>
      <c r="E1097" s="550">
        <v>1</v>
      </c>
      <c r="F1097" s="551">
        <v>2.6</v>
      </c>
      <c r="G1097" s="551">
        <v>1</v>
      </c>
      <c r="H1097" s="551">
        <v>0</v>
      </c>
      <c r="I1097" s="552">
        <f t="shared" si="105"/>
        <v>2.6</v>
      </c>
      <c r="J1097" s="553" t="s">
        <v>102</v>
      </c>
      <c r="K1097" s="39"/>
      <c r="L1097" s="208"/>
      <c r="M1097" s="39"/>
      <c r="N1097" s="536" t="s">
        <v>2306</v>
      </c>
    </row>
    <row r="1098" spans="1:14" s="544" customFormat="1" ht="16.5" customHeight="1">
      <c r="A1098" s="16"/>
      <c r="B1098" s="547" t="s">
        <v>2751</v>
      </c>
      <c r="C1098" s="548">
        <v>1</v>
      </c>
      <c r="D1098" s="549" t="s">
        <v>273</v>
      </c>
      <c r="E1098" s="550">
        <v>10</v>
      </c>
      <c r="F1098" s="551">
        <v>1.3</v>
      </c>
      <c r="G1098" s="551">
        <v>0.3</v>
      </c>
      <c r="H1098" s="551">
        <v>0</v>
      </c>
      <c r="I1098" s="552">
        <f t="shared" si="105"/>
        <v>3.9</v>
      </c>
      <c r="J1098" s="553" t="s">
        <v>102</v>
      </c>
      <c r="K1098" s="39"/>
      <c r="L1098" s="208"/>
      <c r="M1098" s="39"/>
      <c r="N1098" s="536" t="s">
        <v>2306</v>
      </c>
    </row>
    <row r="1099" spans="1:14" s="544" customFormat="1" ht="16.5" customHeight="1">
      <c r="A1099" s="16"/>
      <c r="B1099" s="547"/>
      <c r="C1099" s="548"/>
      <c r="D1099" s="549"/>
      <c r="E1099" s="550"/>
      <c r="F1099" s="551"/>
      <c r="G1099" s="551"/>
      <c r="H1099" s="551"/>
      <c r="I1099" s="552"/>
      <c r="J1099" s="553"/>
      <c r="K1099" s="39"/>
      <c r="L1099" s="208"/>
      <c r="M1099" s="39"/>
      <c r="N1099" s="536" t="s">
        <v>2306</v>
      </c>
    </row>
    <row r="1100" spans="1:14" ht="15.75">
      <c r="A1100" s="16"/>
      <c r="B1100" s="39"/>
      <c r="C1100" s="554"/>
      <c r="D1100" s="555"/>
      <c r="E1100" s="540"/>
      <c r="F1100" s="541"/>
      <c r="G1100" s="40"/>
      <c r="H1100" s="16"/>
      <c r="I1100" s="552"/>
      <c r="J1100" s="553" t="s">
        <v>102</v>
      </c>
      <c r="K1100" s="10">
        <f>data!F1559</f>
        <v>677.99</v>
      </c>
      <c r="L1100" s="208" t="s">
        <v>2306</v>
      </c>
      <c r="M1100" s="9">
        <f>ROUND(I1100*K1100,0)</f>
        <v>0</v>
      </c>
      <c r="N1100" s="536" t="s">
        <v>2306</v>
      </c>
    </row>
    <row r="1101" spans="1:14" ht="90" customHeight="1">
      <c r="A1101" s="16">
        <v>26</v>
      </c>
      <c r="B1101" s="1858" t="s">
        <v>672</v>
      </c>
      <c r="C1101" s="1858"/>
      <c r="D1101" s="1858"/>
      <c r="E1101" s="1858"/>
      <c r="F1101" s="1858"/>
      <c r="G1101" s="1858"/>
      <c r="H1101" s="1858"/>
      <c r="I1101" s="537"/>
      <c r="J1101" s="538"/>
      <c r="K1101" s="16"/>
      <c r="L1101" s="208"/>
      <c r="M1101" s="38"/>
      <c r="N1101" s="536" t="s">
        <v>2317</v>
      </c>
    </row>
    <row r="1102" spans="1:14" s="544" customFormat="1" ht="16.5" customHeight="1">
      <c r="A1102" s="16"/>
      <c r="B1102" s="39" t="s">
        <v>2827</v>
      </c>
      <c r="C1102" s="566"/>
      <c r="D1102" s="567"/>
      <c r="E1102" s="568"/>
      <c r="F1102" s="569"/>
      <c r="G1102" s="569"/>
      <c r="H1102" s="570"/>
      <c r="I1102" s="571"/>
      <c r="J1102" s="553"/>
      <c r="K1102" s="39"/>
      <c r="L1102" s="208"/>
      <c r="M1102" s="39"/>
      <c r="N1102" s="536" t="s">
        <v>2317</v>
      </c>
    </row>
    <row r="1103" spans="1:14" s="544" customFormat="1" ht="16.5" customHeight="1">
      <c r="A1103" s="16"/>
      <c r="B1103" s="547" t="s">
        <v>578</v>
      </c>
      <c r="C1103" s="548">
        <v>1</v>
      </c>
      <c r="D1103" s="549" t="s">
        <v>273</v>
      </c>
      <c r="E1103" s="550">
        <v>1</v>
      </c>
      <c r="F1103" s="551">
        <v>9.8699999999999992</v>
      </c>
      <c r="G1103" s="551">
        <v>1.83</v>
      </c>
      <c r="H1103" s="551">
        <v>0</v>
      </c>
      <c r="I1103" s="552">
        <f>ROUND(IF(AND(F1103:H1103),C1103*E1103*F1103*G1103*H1103,IF(AND(F1103,G1103),C1103*E1103*F1103*G1103,IF(AND(F1103,H1103),C1103*E1103*F1103*H1103,IF(AND(G1103,H1103),C1103*E1103*G1103*H1103,IF(F1103,C1103*E1103*F1103,IF(G1103,C1103*E1103*G1103,IF(H1103,C1103*E1103*H1103,C1103*E1103))))))),2)</f>
        <v>18.059999999999999</v>
      </c>
      <c r="J1103" s="553" t="s">
        <v>102</v>
      </c>
      <c r="K1103" s="39"/>
      <c r="L1103" s="208"/>
      <c r="M1103" s="39"/>
      <c r="N1103" s="536" t="s">
        <v>2317</v>
      </c>
    </row>
    <row r="1104" spans="1:14" s="544" customFormat="1" ht="16.5" customHeight="1">
      <c r="A1104" s="16"/>
      <c r="B1104" s="547" t="s">
        <v>654</v>
      </c>
      <c r="C1104" s="548">
        <v>1</v>
      </c>
      <c r="D1104" s="549" t="s">
        <v>273</v>
      </c>
      <c r="E1104" s="550">
        <v>1</v>
      </c>
      <c r="F1104" s="551">
        <v>2.83</v>
      </c>
      <c r="G1104" s="551">
        <v>1.55</v>
      </c>
      <c r="H1104" s="551">
        <v>0</v>
      </c>
      <c r="I1104" s="552">
        <f>ROUND(IF(AND(F1104:H1104),C1104*E1104*F1104*G1104*H1104,IF(AND(F1104,G1104),C1104*E1104*F1104*G1104,IF(AND(F1104,H1104),C1104*E1104*F1104*H1104,IF(AND(G1104,H1104),C1104*E1104*G1104*H1104,IF(F1104,C1104*E1104*F1104,IF(G1104,C1104*E1104*G1104,IF(H1104,C1104*E1104*H1104,C1104*E1104))))))),2)</f>
        <v>4.3899999999999997</v>
      </c>
      <c r="J1104" s="553" t="s">
        <v>102</v>
      </c>
      <c r="K1104" s="39"/>
      <c r="L1104" s="208"/>
      <c r="M1104" s="39"/>
      <c r="N1104" s="536" t="s">
        <v>2317</v>
      </c>
    </row>
    <row r="1105" spans="1:14" s="544" customFormat="1" ht="16.5" customHeight="1">
      <c r="A1105" s="16"/>
      <c r="B1105" s="547"/>
      <c r="C1105" s="548">
        <v>1</v>
      </c>
      <c r="D1105" s="549" t="s">
        <v>273</v>
      </c>
      <c r="E1105" s="550">
        <v>1</v>
      </c>
      <c r="F1105" s="551">
        <v>2.65</v>
      </c>
      <c r="G1105" s="551">
        <v>0.53</v>
      </c>
      <c r="H1105" s="551">
        <v>0</v>
      </c>
      <c r="I1105" s="552">
        <f>ROUND(IF(AND(F1105:H1105),C1105*E1105*F1105*G1105*H1105,IF(AND(F1105,G1105),C1105*E1105*F1105*G1105,IF(AND(F1105,H1105),C1105*E1105*F1105*H1105,IF(AND(G1105,H1105),C1105*E1105*G1105*H1105,IF(F1105,C1105*E1105*F1105,IF(G1105,C1105*E1105*G1105,IF(H1105,C1105*E1105*H1105,C1105*E1105))))))),2)</f>
        <v>1.4</v>
      </c>
      <c r="J1105" s="553" t="s">
        <v>102</v>
      </c>
      <c r="K1105" s="39"/>
      <c r="L1105" s="208"/>
      <c r="M1105" s="39"/>
      <c r="N1105" s="536" t="s">
        <v>2317</v>
      </c>
    </row>
    <row r="1106" spans="1:14" s="544" customFormat="1" ht="16.5" customHeight="1">
      <c r="A1106" s="16"/>
      <c r="B1106" s="547" t="s">
        <v>1251</v>
      </c>
      <c r="C1106" s="548">
        <v>1</v>
      </c>
      <c r="D1106" s="549" t="s">
        <v>273</v>
      </c>
      <c r="E1106" s="550">
        <v>21</v>
      </c>
      <c r="F1106" s="551">
        <v>1.28</v>
      </c>
      <c r="G1106" s="551">
        <v>0.3</v>
      </c>
      <c r="H1106" s="551">
        <v>0</v>
      </c>
      <c r="I1106" s="552">
        <f>ROUND(IF(AND(F1106:H1106),C1106*E1106*F1106*G1106*H1106,IF(AND(F1106,G1106),C1106*E1106*F1106*G1106,IF(AND(F1106,H1106),C1106*E1106*F1106*H1106,IF(AND(G1106,H1106),C1106*E1106*G1106*H1106,IF(F1106,C1106*E1106*F1106,IF(G1106,C1106*E1106*G1106,IF(H1106,C1106*E1106*H1106,C1106*E1106))))))),2)</f>
        <v>8.06</v>
      </c>
      <c r="J1106" s="553" t="s">
        <v>102</v>
      </c>
      <c r="K1106" s="39"/>
      <c r="L1106" s="208"/>
      <c r="M1106" s="39"/>
      <c r="N1106" s="536" t="s">
        <v>2317</v>
      </c>
    </row>
    <row r="1107" spans="1:14" s="544" customFormat="1" ht="16.5" customHeight="1">
      <c r="A1107" s="16"/>
      <c r="B1107" s="547"/>
      <c r="C1107" s="548"/>
      <c r="D1107" s="549"/>
      <c r="E1107" s="550"/>
      <c r="F1107" s="551"/>
      <c r="G1107" s="551"/>
      <c r="H1107" s="551"/>
      <c r="I1107" s="552"/>
      <c r="J1107" s="553"/>
      <c r="K1107" s="39"/>
      <c r="L1107" s="208"/>
      <c r="M1107" s="39"/>
      <c r="N1107" s="536" t="s">
        <v>2317</v>
      </c>
    </row>
    <row r="1108" spans="1:14" ht="15.75">
      <c r="A1108" s="16"/>
      <c r="B1108" s="39"/>
      <c r="C1108" s="554"/>
      <c r="D1108" s="555"/>
      <c r="E1108" s="540"/>
      <c r="F1108" s="541"/>
      <c r="G1108" s="40"/>
      <c r="H1108" s="16"/>
      <c r="I1108" s="552"/>
      <c r="J1108" s="553" t="s">
        <v>102</v>
      </c>
      <c r="K1108" s="10">
        <f>data!F2476</f>
        <v>686.13</v>
      </c>
      <c r="L1108" s="208" t="s">
        <v>2317</v>
      </c>
      <c r="M1108" s="9">
        <f>ROUND(I1108*K1108,0)</f>
        <v>0</v>
      </c>
      <c r="N1108" s="536" t="s">
        <v>2317</v>
      </c>
    </row>
    <row r="1109" spans="1:14" ht="90" customHeight="1">
      <c r="A1109" s="16">
        <v>26</v>
      </c>
      <c r="B1109" s="1858" t="s">
        <v>672</v>
      </c>
      <c r="C1109" s="1858"/>
      <c r="D1109" s="1858"/>
      <c r="E1109" s="1858"/>
      <c r="F1109" s="1858"/>
      <c r="G1109" s="1858"/>
      <c r="H1109" s="1858"/>
      <c r="I1109" s="537"/>
      <c r="J1109" s="538"/>
      <c r="K1109" s="16"/>
      <c r="L1109" s="208"/>
      <c r="M1109" s="38"/>
      <c r="N1109" s="536" t="s">
        <v>2318</v>
      </c>
    </row>
    <row r="1110" spans="1:14" s="544" customFormat="1" ht="16.5" customHeight="1">
      <c r="A1110" s="16"/>
      <c r="B1110" s="39" t="s">
        <v>2827</v>
      </c>
      <c r="C1110" s="566"/>
      <c r="D1110" s="567"/>
      <c r="E1110" s="568"/>
      <c r="F1110" s="569"/>
      <c r="G1110" s="569"/>
      <c r="H1110" s="570"/>
      <c r="I1110" s="571"/>
      <c r="J1110" s="553"/>
      <c r="K1110" s="39"/>
      <c r="L1110" s="208"/>
      <c r="M1110" s="39"/>
      <c r="N1110" s="536" t="s">
        <v>2318</v>
      </c>
    </row>
    <row r="1111" spans="1:14" s="544" customFormat="1" ht="16.5" customHeight="1">
      <c r="A1111" s="16"/>
      <c r="B1111" s="547" t="s">
        <v>578</v>
      </c>
      <c r="C1111" s="548">
        <v>1</v>
      </c>
      <c r="D1111" s="549" t="s">
        <v>273</v>
      </c>
      <c r="E1111" s="550">
        <v>1</v>
      </c>
      <c r="F1111" s="551">
        <v>9.8699999999999992</v>
      </c>
      <c r="G1111" s="551">
        <v>1.83</v>
      </c>
      <c r="H1111" s="551">
        <v>0</v>
      </c>
      <c r="I1111" s="552">
        <f>ROUND(IF(AND(F1111:H1111),C1111*E1111*F1111*G1111*H1111,IF(AND(F1111,G1111),C1111*E1111*F1111*G1111,IF(AND(F1111,H1111),C1111*E1111*F1111*H1111,IF(AND(G1111,H1111),C1111*E1111*G1111*H1111,IF(F1111,C1111*E1111*F1111,IF(G1111,C1111*E1111*G1111,IF(H1111,C1111*E1111*H1111,C1111*E1111))))))),2)</f>
        <v>18.059999999999999</v>
      </c>
      <c r="J1111" s="553" t="s">
        <v>102</v>
      </c>
      <c r="K1111" s="39"/>
      <c r="L1111" s="208"/>
      <c r="M1111" s="39"/>
      <c r="N1111" s="536" t="s">
        <v>2318</v>
      </c>
    </row>
    <row r="1112" spans="1:14" s="544" customFormat="1" ht="16.5" customHeight="1">
      <c r="A1112" s="16"/>
      <c r="B1112" s="547" t="s">
        <v>654</v>
      </c>
      <c r="C1112" s="548">
        <v>1</v>
      </c>
      <c r="D1112" s="549" t="s">
        <v>273</v>
      </c>
      <c r="E1112" s="550">
        <v>1</v>
      </c>
      <c r="F1112" s="551">
        <v>2.83</v>
      </c>
      <c r="G1112" s="551">
        <v>1.55</v>
      </c>
      <c r="H1112" s="551">
        <v>0</v>
      </c>
      <c r="I1112" s="552">
        <f>ROUND(IF(AND(F1112:H1112),C1112*E1112*F1112*G1112*H1112,IF(AND(F1112,G1112),C1112*E1112*F1112*G1112,IF(AND(F1112,H1112),C1112*E1112*F1112*H1112,IF(AND(G1112,H1112),C1112*E1112*G1112*H1112,IF(F1112,C1112*E1112*F1112,IF(G1112,C1112*E1112*G1112,IF(H1112,C1112*E1112*H1112,C1112*E1112))))))),2)</f>
        <v>4.3899999999999997</v>
      </c>
      <c r="J1112" s="553" t="s">
        <v>102</v>
      </c>
      <c r="K1112" s="39"/>
      <c r="L1112" s="208"/>
      <c r="M1112" s="39"/>
      <c r="N1112" s="536" t="s">
        <v>2318</v>
      </c>
    </row>
    <row r="1113" spans="1:14" s="544" customFormat="1" ht="16.5" customHeight="1">
      <c r="A1113" s="16"/>
      <c r="B1113" s="547"/>
      <c r="C1113" s="548">
        <v>1</v>
      </c>
      <c r="D1113" s="549" t="s">
        <v>273</v>
      </c>
      <c r="E1113" s="550">
        <v>1</v>
      </c>
      <c r="F1113" s="551">
        <v>2.65</v>
      </c>
      <c r="G1113" s="551">
        <v>0.53</v>
      </c>
      <c r="H1113" s="551">
        <v>0</v>
      </c>
      <c r="I1113" s="552">
        <f>ROUND(IF(AND(F1113:H1113),C1113*E1113*F1113*G1113*H1113,IF(AND(F1113,G1113),C1113*E1113*F1113*G1113,IF(AND(F1113,H1113),C1113*E1113*F1113*H1113,IF(AND(G1113,H1113),C1113*E1113*G1113*H1113,IF(F1113,C1113*E1113*F1113,IF(G1113,C1113*E1113*G1113,IF(H1113,C1113*E1113*H1113,C1113*E1113))))))),2)</f>
        <v>1.4</v>
      </c>
      <c r="J1113" s="553" t="s">
        <v>102</v>
      </c>
      <c r="K1113" s="39"/>
      <c r="L1113" s="208"/>
      <c r="M1113" s="39"/>
      <c r="N1113" s="536" t="s">
        <v>2318</v>
      </c>
    </row>
    <row r="1114" spans="1:14" s="544" customFormat="1" ht="16.5" customHeight="1">
      <c r="A1114" s="16"/>
      <c r="B1114" s="547" t="s">
        <v>1251</v>
      </c>
      <c r="C1114" s="548">
        <v>1</v>
      </c>
      <c r="D1114" s="549" t="s">
        <v>273</v>
      </c>
      <c r="E1114" s="550">
        <v>21</v>
      </c>
      <c r="F1114" s="551">
        <v>1.28</v>
      </c>
      <c r="G1114" s="551">
        <v>0.3</v>
      </c>
      <c r="H1114" s="551">
        <v>0</v>
      </c>
      <c r="I1114" s="552">
        <f>ROUND(IF(AND(F1114:H1114),C1114*E1114*F1114*G1114*H1114,IF(AND(F1114,G1114),C1114*E1114*F1114*G1114,IF(AND(F1114,H1114),C1114*E1114*F1114*H1114,IF(AND(G1114,H1114),C1114*E1114*G1114*H1114,IF(F1114,C1114*E1114*F1114,IF(G1114,C1114*E1114*G1114,IF(H1114,C1114*E1114*H1114,C1114*E1114))))))),2)</f>
        <v>8.06</v>
      </c>
      <c r="J1114" s="553" t="s">
        <v>102</v>
      </c>
      <c r="K1114" s="39"/>
      <c r="L1114" s="208"/>
      <c r="M1114" s="39"/>
      <c r="N1114" s="536" t="s">
        <v>2318</v>
      </c>
    </row>
    <row r="1115" spans="1:14" s="544" customFormat="1" ht="16.5" customHeight="1">
      <c r="A1115" s="16"/>
      <c r="B1115" s="547"/>
      <c r="C1115" s="548"/>
      <c r="D1115" s="549"/>
      <c r="E1115" s="550"/>
      <c r="F1115" s="551"/>
      <c r="G1115" s="551"/>
      <c r="H1115" s="551"/>
      <c r="I1115" s="552"/>
      <c r="J1115" s="553"/>
      <c r="K1115" s="39"/>
      <c r="L1115" s="208"/>
      <c r="M1115" s="39"/>
      <c r="N1115" s="536" t="s">
        <v>2318</v>
      </c>
    </row>
    <row r="1116" spans="1:14" ht="15.75">
      <c r="A1116" s="16"/>
      <c r="B1116" s="39"/>
      <c r="C1116" s="554"/>
      <c r="D1116" s="555"/>
      <c r="E1116" s="540"/>
      <c r="F1116" s="541"/>
      <c r="G1116" s="40"/>
      <c r="H1116" s="16"/>
      <c r="I1116" s="552"/>
      <c r="J1116" s="553" t="s">
        <v>102</v>
      </c>
      <c r="K1116" s="10">
        <f>data!F3393</f>
        <v>780.73</v>
      </c>
      <c r="L1116" s="208" t="s">
        <v>2318</v>
      </c>
      <c r="M1116" s="9">
        <f>ROUND(I1116*K1116,0)</f>
        <v>0</v>
      </c>
      <c r="N1116" s="536" t="s">
        <v>2318</v>
      </c>
    </row>
    <row r="1117" spans="1:14" ht="96" customHeight="1">
      <c r="A1117" s="16">
        <v>27</v>
      </c>
      <c r="B1117" s="1858" t="s">
        <v>678</v>
      </c>
      <c r="C1117" s="1858"/>
      <c r="D1117" s="1858"/>
      <c r="E1117" s="1858"/>
      <c r="F1117" s="1858"/>
      <c r="G1117" s="1858"/>
      <c r="H1117" s="1858"/>
      <c r="I1117" s="537"/>
      <c r="J1117" s="538"/>
      <c r="K1117" s="16"/>
      <c r="L1117" s="208"/>
      <c r="M1117" s="38"/>
      <c r="N1117" s="536" t="s">
        <v>2218</v>
      </c>
    </row>
    <row r="1118" spans="1:14" s="544" customFormat="1" ht="16.5" customHeight="1">
      <c r="A1118" s="16"/>
      <c r="B1118" s="39" t="s">
        <v>2864</v>
      </c>
      <c r="C1118" s="566"/>
      <c r="D1118" s="567"/>
      <c r="E1118" s="568"/>
      <c r="F1118" s="569"/>
      <c r="G1118" s="569"/>
      <c r="H1118" s="570"/>
      <c r="I1118" s="571"/>
      <c r="J1118" s="553"/>
      <c r="K1118" s="39"/>
      <c r="L1118" s="208"/>
      <c r="M1118" s="39"/>
      <c r="N1118" s="536" t="s">
        <v>2218</v>
      </c>
    </row>
    <row r="1119" spans="1:14" s="544" customFormat="1" ht="16.5" customHeight="1">
      <c r="A1119" s="16"/>
      <c r="B1119" s="547" t="s">
        <v>1249</v>
      </c>
      <c r="C1119" s="548">
        <v>1</v>
      </c>
      <c r="D1119" s="549" t="s">
        <v>273</v>
      </c>
      <c r="E1119" s="550">
        <v>2</v>
      </c>
      <c r="F1119" s="551">
        <v>5.25</v>
      </c>
      <c r="G1119" s="551">
        <v>0</v>
      </c>
      <c r="H1119" s="551">
        <v>0.1</v>
      </c>
      <c r="I1119" s="552">
        <f t="shared" ref="I1119:I1121" si="106">ROUND(IF(AND(F1119:H1119),C1119*E1119*F1119*G1119*H1119,IF(AND(F1119,G1119),C1119*E1119*F1119*G1119,IF(AND(F1119,H1119),C1119*E1119*F1119*H1119,IF(AND(G1119,H1119),C1119*E1119*G1119*H1119,IF(F1119,C1119*E1119*F1119,IF(G1119,C1119*E1119*G1119,IF(H1119,C1119*E1119*H1119,C1119*E1119))))))),2)</f>
        <v>1.05</v>
      </c>
      <c r="J1119" s="553" t="s">
        <v>102</v>
      </c>
      <c r="K1119" s="39"/>
      <c r="L1119" s="208"/>
      <c r="M1119" s="39"/>
      <c r="N1119" s="536" t="s">
        <v>2218</v>
      </c>
    </row>
    <row r="1120" spans="1:14" s="544" customFormat="1" ht="16.5" customHeight="1">
      <c r="A1120" s="16"/>
      <c r="B1120" s="547" t="s">
        <v>578</v>
      </c>
      <c r="C1120" s="548">
        <v>1</v>
      </c>
      <c r="D1120" s="549" t="s">
        <v>273</v>
      </c>
      <c r="E1120" s="550">
        <v>1</v>
      </c>
      <c r="F1120" s="551">
        <v>9.8699999999999992</v>
      </c>
      <c r="G1120" s="551">
        <v>0</v>
      </c>
      <c r="H1120" s="551">
        <v>0.1</v>
      </c>
      <c r="I1120" s="552">
        <f t="shared" si="106"/>
        <v>0.99</v>
      </c>
      <c r="J1120" s="553" t="s">
        <v>102</v>
      </c>
      <c r="K1120" s="39"/>
      <c r="L1120" s="208"/>
      <c r="M1120" s="39"/>
      <c r="N1120" s="536" t="s">
        <v>2218</v>
      </c>
    </row>
    <row r="1121" spans="1:14" s="544" customFormat="1" ht="16.5" customHeight="1">
      <c r="A1121" s="16"/>
      <c r="B1121" s="547" t="s">
        <v>1252</v>
      </c>
      <c r="C1121" s="548">
        <v>1</v>
      </c>
      <c r="D1121" s="549" t="s">
        <v>273</v>
      </c>
      <c r="E1121" s="550">
        <v>5</v>
      </c>
      <c r="F1121" s="551">
        <v>2.72</v>
      </c>
      <c r="G1121" s="551">
        <v>0</v>
      </c>
      <c r="H1121" s="551">
        <v>0.17</v>
      </c>
      <c r="I1121" s="552">
        <f t="shared" si="106"/>
        <v>2.31</v>
      </c>
      <c r="J1121" s="553" t="s">
        <v>102</v>
      </c>
      <c r="K1121" s="39"/>
      <c r="L1121" s="208"/>
      <c r="M1121" s="39"/>
      <c r="N1121" s="536" t="s">
        <v>2218</v>
      </c>
    </row>
    <row r="1122" spans="1:14" s="544" customFormat="1" ht="16.5" customHeight="1">
      <c r="A1122" s="16"/>
      <c r="B1122" s="547"/>
      <c r="C1122" s="548"/>
      <c r="D1122" s="549"/>
      <c r="E1122" s="550"/>
      <c r="F1122" s="551"/>
      <c r="G1122" s="551"/>
      <c r="H1122" s="551"/>
      <c r="I1122" s="552"/>
      <c r="J1122" s="553"/>
      <c r="K1122" s="39"/>
      <c r="L1122" s="208"/>
      <c r="M1122" s="39"/>
      <c r="N1122" s="536" t="s">
        <v>2218</v>
      </c>
    </row>
    <row r="1123" spans="1:14" ht="15.75">
      <c r="A1123" s="16"/>
      <c r="B1123" s="39"/>
      <c r="C1123" s="554"/>
      <c r="D1123" s="555"/>
      <c r="E1123" s="540"/>
      <c r="F1123" s="541"/>
      <c r="G1123" s="40"/>
      <c r="H1123" s="16"/>
      <c r="I1123" s="552"/>
      <c r="J1123" s="553" t="s">
        <v>102</v>
      </c>
      <c r="K1123" s="10">
        <f>data!F660</f>
        <v>652.64</v>
      </c>
      <c r="L1123" s="208" t="s">
        <v>2218</v>
      </c>
      <c r="M1123" s="9">
        <f>ROUND(I1123*K1123,0)</f>
        <v>0</v>
      </c>
      <c r="N1123" s="536" t="s">
        <v>2218</v>
      </c>
    </row>
    <row r="1124" spans="1:14" ht="96" customHeight="1">
      <c r="A1124" s="16">
        <v>27</v>
      </c>
      <c r="B1124" s="1858" t="s">
        <v>678</v>
      </c>
      <c r="C1124" s="1858"/>
      <c r="D1124" s="1858"/>
      <c r="E1124" s="1858"/>
      <c r="F1124" s="1858"/>
      <c r="G1124" s="1858"/>
      <c r="H1124" s="1858"/>
      <c r="I1124" s="537"/>
      <c r="J1124" s="538"/>
      <c r="K1124" s="16"/>
      <c r="L1124" s="208"/>
      <c r="M1124" s="38"/>
      <c r="N1124" s="536" t="s">
        <v>2306</v>
      </c>
    </row>
    <row r="1125" spans="1:14" s="544" customFormat="1" ht="16.5" customHeight="1">
      <c r="A1125" s="16"/>
      <c r="B1125" s="39" t="s">
        <v>3042</v>
      </c>
      <c r="C1125" s="566"/>
      <c r="D1125" s="567"/>
      <c r="E1125" s="568"/>
      <c r="F1125" s="569"/>
      <c r="G1125" s="569"/>
      <c r="H1125" s="570"/>
      <c r="I1125" s="571"/>
      <c r="J1125" s="553"/>
      <c r="K1125" s="39"/>
      <c r="L1125" s="208"/>
      <c r="M1125" s="39"/>
      <c r="N1125" s="536" t="s">
        <v>2306</v>
      </c>
    </row>
    <row r="1126" spans="1:14" s="544" customFormat="1" ht="16.5" customHeight="1">
      <c r="A1126" s="16"/>
      <c r="B1126" s="547" t="s">
        <v>3039</v>
      </c>
      <c r="C1126" s="548">
        <v>1</v>
      </c>
      <c r="D1126" s="549" t="s">
        <v>273</v>
      </c>
      <c r="E1126" s="550">
        <v>1</v>
      </c>
      <c r="F1126" s="551">
        <v>15.6</v>
      </c>
      <c r="G1126" s="551">
        <v>0</v>
      </c>
      <c r="H1126" s="551">
        <v>0.1</v>
      </c>
      <c r="I1126" s="552">
        <f>ROUND(IF(AND(F1126:H1126),C1126*E1126*F1126*G1126*H1126,IF(AND(F1126,G1126),C1126*E1126*F1126*G1126,IF(AND(F1126,H1126),C1126*E1126*F1126*H1126,IF(AND(G1126,H1126),C1126*E1126*G1126*H1126,IF(F1126,C1126*E1126*F1126,IF(G1126,C1126*E1126*G1126,IF(H1126,C1126*E1126*H1126,C1126*E1126))))))),2)</f>
        <v>1.56</v>
      </c>
      <c r="J1126" s="553" t="s">
        <v>102</v>
      </c>
      <c r="K1126" s="39"/>
      <c r="L1126" s="208"/>
      <c r="M1126" s="39"/>
      <c r="N1126" s="536" t="s">
        <v>2306</v>
      </c>
    </row>
    <row r="1127" spans="1:14" s="544" customFormat="1" ht="16.5" customHeight="1">
      <c r="A1127" s="16"/>
      <c r="B1127" s="547" t="s">
        <v>579</v>
      </c>
      <c r="C1127" s="548">
        <v>1</v>
      </c>
      <c r="D1127" s="549" t="s">
        <v>273</v>
      </c>
      <c r="E1127" s="550">
        <v>1</v>
      </c>
      <c r="F1127" s="551">
        <v>1.2</v>
      </c>
      <c r="G1127" s="551">
        <v>0</v>
      </c>
      <c r="H1127" s="551">
        <v>0.1</v>
      </c>
      <c r="I1127" s="552">
        <f>-ROUND(IF(AND(F1127:H1127),C1127*E1127*F1127*G1127*H1127,IF(AND(F1127,G1127),C1127*E1127*F1127*G1127,IF(AND(F1127,H1127),C1127*E1127*F1127*H1127,IF(AND(G1127,H1127),C1127*E1127*G1127*H1127,IF(F1127,C1127*E1127*F1127,IF(G1127,C1127*E1127*G1127,IF(H1127,C1127*E1127*H1127,C1127*E1127))))))),2)</f>
        <v>-0.12</v>
      </c>
      <c r="J1127" s="553" t="s">
        <v>102</v>
      </c>
      <c r="K1127" s="39"/>
      <c r="L1127" s="208"/>
      <c r="M1127" s="39"/>
      <c r="N1127" s="536" t="s">
        <v>2306</v>
      </c>
    </row>
    <row r="1128" spans="1:14" s="544" customFormat="1" ht="16.5" customHeight="1">
      <c r="A1128" s="16"/>
      <c r="B1128" s="547" t="s">
        <v>3002</v>
      </c>
      <c r="C1128" s="548">
        <v>1</v>
      </c>
      <c r="D1128" s="549" t="s">
        <v>273</v>
      </c>
      <c r="E1128" s="550">
        <v>1</v>
      </c>
      <c r="F1128" s="551">
        <v>0.9</v>
      </c>
      <c r="G1128" s="551">
        <v>0</v>
      </c>
      <c r="H1128" s="551">
        <v>0.1</v>
      </c>
      <c r="I1128" s="552">
        <f>-ROUND(IF(AND(F1128:H1128),C1128*E1128*F1128*G1128*H1128,IF(AND(F1128,G1128),C1128*E1128*F1128*G1128,IF(AND(F1128,H1128),C1128*E1128*F1128*H1128,IF(AND(G1128,H1128),C1128*E1128*G1128*H1128,IF(F1128,C1128*E1128*F1128,IF(G1128,C1128*E1128*G1128,IF(H1128,C1128*E1128*H1128,C1128*E1128))))))),2)</f>
        <v>-0.09</v>
      </c>
      <c r="J1128" s="553" t="s">
        <v>102</v>
      </c>
      <c r="K1128" s="39"/>
      <c r="L1128" s="208"/>
      <c r="M1128" s="39"/>
      <c r="N1128" s="536" t="s">
        <v>2306</v>
      </c>
    </row>
    <row r="1129" spans="1:14" s="544" customFormat="1" ht="16.5" customHeight="1">
      <c r="A1129" s="16"/>
      <c r="B1129" s="547" t="s">
        <v>3043</v>
      </c>
      <c r="C1129" s="548">
        <v>1</v>
      </c>
      <c r="D1129" s="549" t="s">
        <v>273</v>
      </c>
      <c r="E1129" s="550">
        <v>2</v>
      </c>
      <c r="F1129" s="551">
        <v>13.3</v>
      </c>
      <c r="G1129" s="551">
        <v>0</v>
      </c>
      <c r="H1129" s="551">
        <v>0.1</v>
      </c>
      <c r="I1129" s="552">
        <f t="shared" ref="I1129:I1131" si="107">ROUND(IF(AND(F1129:H1129),C1129*E1129*F1129*G1129*H1129,IF(AND(F1129,G1129),C1129*E1129*F1129*G1129,IF(AND(F1129,H1129),C1129*E1129*F1129*H1129,IF(AND(G1129,H1129),C1129*E1129*G1129*H1129,IF(F1129,C1129*E1129*F1129,IF(G1129,C1129*E1129*G1129,IF(H1129,C1129*E1129*H1129,C1129*E1129))))))),2)</f>
        <v>2.66</v>
      </c>
      <c r="J1129" s="553" t="s">
        <v>102</v>
      </c>
      <c r="K1129" s="39"/>
      <c r="L1129" s="208"/>
      <c r="M1129" s="39"/>
      <c r="N1129" s="536" t="s">
        <v>2306</v>
      </c>
    </row>
    <row r="1130" spans="1:14" s="544" customFormat="1" ht="16.5" customHeight="1">
      <c r="A1130" s="16"/>
      <c r="B1130" s="547" t="s">
        <v>3044</v>
      </c>
      <c r="C1130" s="548">
        <v>1</v>
      </c>
      <c r="D1130" s="549" t="s">
        <v>273</v>
      </c>
      <c r="E1130" s="550">
        <v>2</v>
      </c>
      <c r="F1130" s="551">
        <v>8.6999999999999993</v>
      </c>
      <c r="G1130" s="551">
        <v>0</v>
      </c>
      <c r="H1130" s="551">
        <v>0.1</v>
      </c>
      <c r="I1130" s="552">
        <f t="shared" si="107"/>
        <v>1.74</v>
      </c>
      <c r="J1130" s="553" t="s">
        <v>102</v>
      </c>
      <c r="K1130" s="39"/>
      <c r="L1130" s="208"/>
      <c r="M1130" s="39"/>
      <c r="N1130" s="536" t="s">
        <v>2306</v>
      </c>
    </row>
    <row r="1131" spans="1:14" s="544" customFormat="1" ht="16.5" customHeight="1">
      <c r="A1131" s="16"/>
      <c r="B1131" s="547" t="s">
        <v>2750</v>
      </c>
      <c r="C1131" s="548">
        <v>1</v>
      </c>
      <c r="D1131" s="549" t="s">
        <v>273</v>
      </c>
      <c r="E1131" s="550">
        <v>11</v>
      </c>
      <c r="F1131" s="551">
        <v>1.3</v>
      </c>
      <c r="G1131" s="551">
        <v>0</v>
      </c>
      <c r="H1131" s="551">
        <v>0.15</v>
      </c>
      <c r="I1131" s="552">
        <f t="shared" si="107"/>
        <v>2.15</v>
      </c>
      <c r="J1131" s="553" t="s">
        <v>102</v>
      </c>
      <c r="K1131" s="39"/>
      <c r="L1131" s="208"/>
      <c r="M1131" s="39"/>
      <c r="N1131" s="536" t="s">
        <v>2306</v>
      </c>
    </row>
    <row r="1132" spans="1:14" s="544" customFormat="1" ht="16.5" customHeight="1">
      <c r="A1132" s="16"/>
      <c r="B1132" s="547" t="s">
        <v>2751</v>
      </c>
      <c r="C1132" s="548">
        <v>1</v>
      </c>
      <c r="D1132" s="549" t="s">
        <v>273</v>
      </c>
      <c r="E1132" s="550">
        <v>10</v>
      </c>
      <c r="F1132" s="551">
        <v>1.3</v>
      </c>
      <c r="G1132" s="551">
        <v>0</v>
      </c>
      <c r="H1132" s="551">
        <v>0.15</v>
      </c>
      <c r="I1132" s="552">
        <f t="shared" ref="I1132" si="108">ROUND(IF(AND(F1132:H1132),C1132*E1132*F1132*G1132*H1132,IF(AND(F1132,G1132),C1132*E1132*F1132*G1132,IF(AND(F1132,H1132),C1132*E1132*F1132*H1132,IF(AND(G1132,H1132),C1132*E1132*G1132*H1132,IF(F1132,C1132*E1132*F1132,IF(G1132,C1132*E1132*G1132,IF(H1132,C1132*E1132*H1132,C1132*E1132))))))),2)</f>
        <v>1.95</v>
      </c>
      <c r="J1132" s="553" t="s">
        <v>102</v>
      </c>
      <c r="K1132" s="39"/>
      <c r="L1132" s="208"/>
      <c r="M1132" s="39"/>
      <c r="N1132" s="536" t="s">
        <v>2306</v>
      </c>
    </row>
    <row r="1133" spans="1:14" s="544" customFormat="1" ht="16.5" customHeight="1">
      <c r="A1133" s="16"/>
      <c r="B1133" s="547"/>
      <c r="C1133" s="548"/>
      <c r="D1133" s="549"/>
      <c r="E1133" s="550"/>
      <c r="F1133" s="551"/>
      <c r="G1133" s="551"/>
      <c r="H1133" s="551"/>
      <c r="I1133" s="552"/>
      <c r="J1133" s="553"/>
      <c r="K1133" s="39"/>
      <c r="L1133" s="208"/>
      <c r="M1133" s="39"/>
      <c r="N1133" s="536" t="s">
        <v>2306</v>
      </c>
    </row>
    <row r="1134" spans="1:14" ht="15.75">
      <c r="A1134" s="16"/>
      <c r="B1134" s="39"/>
      <c r="C1134" s="554"/>
      <c r="D1134" s="555"/>
      <c r="E1134" s="540"/>
      <c r="F1134" s="541"/>
      <c r="G1134" s="40"/>
      <c r="H1134" s="16"/>
      <c r="I1134" s="552"/>
      <c r="J1134" s="553" t="s">
        <v>102</v>
      </c>
      <c r="K1134" s="10">
        <f>data!F1577</f>
        <v>683.46</v>
      </c>
      <c r="L1134" s="208" t="s">
        <v>2306</v>
      </c>
      <c r="M1134" s="9">
        <f>ROUND(I1134*K1134,0)</f>
        <v>0</v>
      </c>
      <c r="N1134" s="536" t="s">
        <v>2306</v>
      </c>
    </row>
    <row r="1135" spans="1:14" ht="96" customHeight="1">
      <c r="A1135" s="16">
        <v>27</v>
      </c>
      <c r="B1135" s="1858" t="s">
        <v>678</v>
      </c>
      <c r="C1135" s="1858"/>
      <c r="D1135" s="1858"/>
      <c r="E1135" s="1858"/>
      <c r="F1135" s="1858"/>
      <c r="G1135" s="1858"/>
      <c r="H1135" s="1858"/>
      <c r="I1135" s="537"/>
      <c r="J1135" s="538"/>
      <c r="K1135" s="16"/>
      <c r="L1135" s="208"/>
      <c r="M1135" s="38"/>
      <c r="N1135" s="536" t="s">
        <v>2317</v>
      </c>
    </row>
    <row r="1136" spans="1:14" s="544" customFormat="1" ht="16.5" customHeight="1">
      <c r="A1136" s="16"/>
      <c r="B1136" s="39" t="s">
        <v>2864</v>
      </c>
      <c r="C1136" s="566"/>
      <c r="D1136" s="567"/>
      <c r="E1136" s="568"/>
      <c r="F1136" s="569"/>
      <c r="G1136" s="569"/>
      <c r="H1136" s="570"/>
      <c r="I1136" s="571"/>
      <c r="J1136" s="553"/>
      <c r="K1136" s="39"/>
      <c r="L1136" s="208"/>
      <c r="M1136" s="39"/>
      <c r="N1136" s="536" t="s">
        <v>2317</v>
      </c>
    </row>
    <row r="1137" spans="1:14" s="544" customFormat="1" ht="16.5" customHeight="1">
      <c r="A1137" s="16"/>
      <c r="B1137" s="547" t="s">
        <v>1249</v>
      </c>
      <c r="C1137" s="548">
        <v>1</v>
      </c>
      <c r="D1137" s="549" t="s">
        <v>273</v>
      </c>
      <c r="E1137" s="550">
        <v>2</v>
      </c>
      <c r="F1137" s="551">
        <v>5.25</v>
      </c>
      <c r="G1137" s="551">
        <v>0</v>
      </c>
      <c r="H1137" s="551">
        <v>0.1</v>
      </c>
      <c r="I1137" s="552">
        <f>ROUND(IF(AND(F1137:H1137),C1137*E1137*F1137*G1137*H1137,IF(AND(F1137,G1137),C1137*E1137*F1137*G1137,IF(AND(F1137,H1137),C1137*E1137*F1137*H1137,IF(AND(G1137,H1137),C1137*E1137*G1137*H1137,IF(F1137,C1137*E1137*F1137,IF(G1137,C1137*E1137*G1137,IF(H1137,C1137*E1137*H1137,C1137*E1137))))))),2)</f>
        <v>1.05</v>
      </c>
      <c r="J1137" s="553" t="s">
        <v>102</v>
      </c>
      <c r="K1137" s="39"/>
      <c r="L1137" s="208"/>
      <c r="M1137" s="39"/>
      <c r="N1137" s="536" t="s">
        <v>2317</v>
      </c>
    </row>
    <row r="1138" spans="1:14" s="544" customFormat="1" ht="16.5" customHeight="1">
      <c r="A1138" s="16"/>
      <c r="B1138" s="547" t="s">
        <v>578</v>
      </c>
      <c r="C1138" s="548">
        <v>1</v>
      </c>
      <c r="D1138" s="549" t="s">
        <v>273</v>
      </c>
      <c r="E1138" s="550">
        <v>1</v>
      </c>
      <c r="F1138" s="551">
        <v>9.8699999999999992</v>
      </c>
      <c r="G1138" s="551">
        <v>0</v>
      </c>
      <c r="H1138" s="551">
        <v>0.1</v>
      </c>
      <c r="I1138" s="552">
        <f>ROUND(IF(AND(F1138:H1138),C1138*E1138*F1138*G1138*H1138,IF(AND(F1138,G1138),C1138*E1138*F1138*G1138,IF(AND(F1138,H1138),C1138*E1138*F1138*H1138,IF(AND(G1138,H1138),C1138*E1138*G1138*H1138,IF(F1138,C1138*E1138*F1138,IF(G1138,C1138*E1138*G1138,IF(H1138,C1138*E1138*H1138,C1138*E1138))))))),2)</f>
        <v>0.99</v>
      </c>
      <c r="J1138" s="553" t="s">
        <v>102</v>
      </c>
      <c r="K1138" s="39"/>
      <c r="L1138" s="208"/>
      <c r="M1138" s="39"/>
      <c r="N1138" s="536" t="s">
        <v>2317</v>
      </c>
    </row>
    <row r="1139" spans="1:14" s="544" customFormat="1" ht="16.5" customHeight="1">
      <c r="A1139" s="16"/>
      <c r="B1139" s="547" t="s">
        <v>1252</v>
      </c>
      <c r="C1139" s="548">
        <v>1</v>
      </c>
      <c r="D1139" s="549" t="s">
        <v>273</v>
      </c>
      <c r="E1139" s="550">
        <v>5</v>
      </c>
      <c r="F1139" s="551">
        <v>2.72</v>
      </c>
      <c r="G1139" s="551">
        <v>0</v>
      </c>
      <c r="H1139" s="551">
        <v>0.17</v>
      </c>
      <c r="I1139" s="552">
        <f>ROUND(IF(AND(F1139:H1139),C1139*E1139*F1139*G1139*H1139,IF(AND(F1139,G1139),C1139*E1139*F1139*G1139,IF(AND(F1139,H1139),C1139*E1139*F1139*H1139,IF(AND(G1139,H1139),C1139*E1139*G1139*H1139,IF(F1139,C1139*E1139*F1139,IF(G1139,C1139*E1139*G1139,IF(H1139,C1139*E1139*H1139,C1139*E1139))))))),2)</f>
        <v>2.31</v>
      </c>
      <c r="J1139" s="553" t="s">
        <v>102</v>
      </c>
      <c r="K1139" s="39"/>
      <c r="L1139" s="208"/>
      <c r="M1139" s="39"/>
      <c r="N1139" s="536" t="s">
        <v>2317</v>
      </c>
    </row>
    <row r="1140" spans="1:14" s="544" customFormat="1" ht="16.5" customHeight="1">
      <c r="A1140" s="16"/>
      <c r="B1140" s="547"/>
      <c r="C1140" s="548"/>
      <c r="D1140" s="549"/>
      <c r="E1140" s="550"/>
      <c r="F1140" s="551"/>
      <c r="G1140" s="551"/>
      <c r="H1140" s="551"/>
      <c r="I1140" s="552"/>
      <c r="J1140" s="553"/>
      <c r="K1140" s="39"/>
      <c r="L1140" s="208"/>
      <c r="M1140" s="39"/>
      <c r="N1140" s="536" t="s">
        <v>2317</v>
      </c>
    </row>
    <row r="1141" spans="1:14" ht="15.75">
      <c r="A1141" s="16"/>
      <c r="B1141" s="39"/>
      <c r="C1141" s="554"/>
      <c r="D1141" s="555"/>
      <c r="E1141" s="540"/>
      <c r="F1141" s="541"/>
      <c r="G1141" s="40"/>
      <c r="H1141" s="16"/>
      <c r="I1141" s="552"/>
      <c r="J1141" s="553" t="s">
        <v>102</v>
      </c>
      <c r="K1141" s="10">
        <f>data!F2494</f>
        <v>706.57</v>
      </c>
      <c r="L1141" s="208" t="s">
        <v>2317</v>
      </c>
      <c r="M1141" s="9">
        <f>ROUND(I1141*K1141,0)</f>
        <v>0</v>
      </c>
      <c r="N1141" s="536" t="s">
        <v>2317</v>
      </c>
    </row>
    <row r="1142" spans="1:14" ht="96" customHeight="1">
      <c r="A1142" s="16">
        <v>27</v>
      </c>
      <c r="B1142" s="1858" t="s">
        <v>678</v>
      </c>
      <c r="C1142" s="1858"/>
      <c r="D1142" s="1858"/>
      <c r="E1142" s="1858"/>
      <c r="F1142" s="1858"/>
      <c r="G1142" s="1858"/>
      <c r="H1142" s="1858"/>
      <c r="I1142" s="537"/>
      <c r="J1142" s="538"/>
      <c r="K1142" s="16"/>
      <c r="L1142" s="208"/>
      <c r="M1142" s="38"/>
      <c r="N1142" s="536" t="s">
        <v>2318</v>
      </c>
    </row>
    <row r="1143" spans="1:14" s="544" customFormat="1" ht="16.5" customHeight="1">
      <c r="A1143" s="16"/>
      <c r="B1143" s="39" t="s">
        <v>2864</v>
      </c>
      <c r="C1143" s="566"/>
      <c r="D1143" s="567"/>
      <c r="E1143" s="568"/>
      <c r="F1143" s="569"/>
      <c r="G1143" s="569"/>
      <c r="H1143" s="570"/>
      <c r="I1143" s="571"/>
      <c r="J1143" s="553"/>
      <c r="K1143" s="39"/>
      <c r="L1143" s="208"/>
      <c r="M1143" s="39"/>
      <c r="N1143" s="536" t="s">
        <v>2318</v>
      </c>
    </row>
    <row r="1144" spans="1:14" s="544" customFormat="1" ht="16.5" customHeight="1">
      <c r="A1144" s="16"/>
      <c r="B1144" s="547" t="s">
        <v>1249</v>
      </c>
      <c r="C1144" s="548">
        <v>1</v>
      </c>
      <c r="D1144" s="549" t="s">
        <v>273</v>
      </c>
      <c r="E1144" s="550">
        <v>2</v>
      </c>
      <c r="F1144" s="551">
        <v>5.25</v>
      </c>
      <c r="G1144" s="551">
        <v>0</v>
      </c>
      <c r="H1144" s="551">
        <v>0.1</v>
      </c>
      <c r="I1144" s="552">
        <f>ROUND(IF(AND(F1144:H1144),C1144*E1144*F1144*G1144*H1144,IF(AND(F1144,G1144),C1144*E1144*F1144*G1144,IF(AND(F1144,H1144),C1144*E1144*F1144*H1144,IF(AND(G1144,H1144),C1144*E1144*G1144*H1144,IF(F1144,C1144*E1144*F1144,IF(G1144,C1144*E1144*G1144,IF(H1144,C1144*E1144*H1144,C1144*E1144))))))),2)</f>
        <v>1.05</v>
      </c>
      <c r="J1144" s="553" t="s">
        <v>102</v>
      </c>
      <c r="K1144" s="39"/>
      <c r="L1144" s="208"/>
      <c r="M1144" s="39"/>
      <c r="N1144" s="536" t="s">
        <v>2318</v>
      </c>
    </row>
    <row r="1145" spans="1:14" s="544" customFormat="1" ht="16.5" customHeight="1">
      <c r="A1145" s="16"/>
      <c r="B1145" s="547" t="s">
        <v>578</v>
      </c>
      <c r="C1145" s="548">
        <v>1</v>
      </c>
      <c r="D1145" s="549" t="s">
        <v>273</v>
      </c>
      <c r="E1145" s="550">
        <v>1</v>
      </c>
      <c r="F1145" s="551">
        <v>9.8699999999999992</v>
      </c>
      <c r="G1145" s="551">
        <v>0</v>
      </c>
      <c r="H1145" s="551">
        <v>0.1</v>
      </c>
      <c r="I1145" s="552">
        <f>ROUND(IF(AND(F1145:H1145),C1145*E1145*F1145*G1145*H1145,IF(AND(F1145,G1145),C1145*E1145*F1145*G1145,IF(AND(F1145,H1145),C1145*E1145*F1145*H1145,IF(AND(G1145,H1145),C1145*E1145*G1145*H1145,IF(F1145,C1145*E1145*F1145,IF(G1145,C1145*E1145*G1145,IF(H1145,C1145*E1145*H1145,C1145*E1145))))))),2)</f>
        <v>0.99</v>
      </c>
      <c r="J1145" s="553" t="s">
        <v>102</v>
      </c>
      <c r="K1145" s="39"/>
      <c r="L1145" s="208"/>
      <c r="M1145" s="39"/>
      <c r="N1145" s="536" t="s">
        <v>2318</v>
      </c>
    </row>
    <row r="1146" spans="1:14" s="544" customFormat="1" ht="16.5" customHeight="1">
      <c r="A1146" s="16"/>
      <c r="B1146" s="547" t="s">
        <v>1252</v>
      </c>
      <c r="C1146" s="548">
        <v>1</v>
      </c>
      <c r="D1146" s="549" t="s">
        <v>273</v>
      </c>
      <c r="E1146" s="550">
        <v>5</v>
      </c>
      <c r="F1146" s="551">
        <v>2.72</v>
      </c>
      <c r="G1146" s="551">
        <v>0</v>
      </c>
      <c r="H1146" s="551">
        <v>0.17</v>
      </c>
      <c r="I1146" s="552">
        <f>ROUND(IF(AND(F1146:H1146),C1146*E1146*F1146*G1146*H1146,IF(AND(F1146,G1146),C1146*E1146*F1146*G1146,IF(AND(F1146,H1146),C1146*E1146*F1146*H1146,IF(AND(G1146,H1146),C1146*E1146*G1146*H1146,IF(F1146,C1146*E1146*F1146,IF(G1146,C1146*E1146*G1146,IF(H1146,C1146*E1146*H1146,C1146*E1146))))))),2)</f>
        <v>2.31</v>
      </c>
      <c r="J1146" s="553" t="s">
        <v>102</v>
      </c>
      <c r="K1146" s="39"/>
      <c r="L1146" s="208"/>
      <c r="M1146" s="39"/>
      <c r="N1146" s="536" t="s">
        <v>2318</v>
      </c>
    </row>
    <row r="1147" spans="1:14" s="544" customFormat="1" ht="16.5" customHeight="1">
      <c r="A1147" s="16"/>
      <c r="B1147" s="547"/>
      <c r="C1147" s="548"/>
      <c r="D1147" s="549"/>
      <c r="E1147" s="550"/>
      <c r="F1147" s="551"/>
      <c r="G1147" s="551"/>
      <c r="H1147" s="551"/>
      <c r="I1147" s="552"/>
      <c r="J1147" s="553"/>
      <c r="K1147" s="39"/>
      <c r="L1147" s="208"/>
      <c r="M1147" s="39"/>
      <c r="N1147" s="536" t="s">
        <v>2318</v>
      </c>
    </row>
    <row r="1148" spans="1:14" ht="15.75">
      <c r="A1148" s="16"/>
      <c r="B1148" s="39"/>
      <c r="C1148" s="554"/>
      <c r="D1148" s="555"/>
      <c r="E1148" s="540"/>
      <c r="F1148" s="541"/>
      <c r="G1148" s="40"/>
      <c r="H1148" s="16"/>
      <c r="I1148" s="552"/>
      <c r="J1148" s="553" t="s">
        <v>102</v>
      </c>
      <c r="K1148" s="10">
        <f>data!F3411</f>
        <v>786.2</v>
      </c>
      <c r="L1148" s="208" t="s">
        <v>2318</v>
      </c>
      <c r="M1148" s="9">
        <f>ROUND(I1148*K1148,0)</f>
        <v>0</v>
      </c>
      <c r="N1148" s="536" t="s">
        <v>2318</v>
      </c>
    </row>
    <row r="1149" spans="1:14" ht="94.5" customHeight="1">
      <c r="A1149" s="16">
        <v>17</v>
      </c>
      <c r="B1149" s="1858" t="s">
        <v>211</v>
      </c>
      <c r="C1149" s="1858"/>
      <c r="D1149" s="1858"/>
      <c r="E1149" s="1858"/>
      <c r="F1149" s="1858"/>
      <c r="G1149" s="1858"/>
      <c r="H1149" s="1858"/>
      <c r="I1149" s="537"/>
      <c r="J1149" s="538"/>
      <c r="K1149" s="16"/>
      <c r="L1149" s="208"/>
      <c r="M1149" s="38"/>
      <c r="N1149" s="536" t="s">
        <v>2218</v>
      </c>
    </row>
    <row r="1150" spans="1:14" s="544" customFormat="1" ht="16.5" customHeight="1">
      <c r="A1150" s="16"/>
      <c r="B1150" s="39" t="s">
        <v>2834</v>
      </c>
      <c r="C1150" s="566"/>
      <c r="D1150" s="567"/>
      <c r="E1150" s="568"/>
      <c r="F1150" s="569"/>
      <c r="G1150" s="569"/>
      <c r="H1150" s="570"/>
      <c r="I1150" s="571"/>
      <c r="J1150" s="553"/>
      <c r="K1150" s="39"/>
      <c r="L1150" s="208"/>
      <c r="M1150" s="39"/>
      <c r="N1150" s="536" t="s">
        <v>2218</v>
      </c>
    </row>
    <row r="1151" spans="1:14" s="544" customFormat="1" ht="16.5" customHeight="1">
      <c r="A1151" s="16"/>
      <c r="B1151" s="582" t="s">
        <v>654</v>
      </c>
      <c r="C1151" s="583">
        <v>1</v>
      </c>
      <c r="D1151" s="584" t="s">
        <v>273</v>
      </c>
      <c r="E1151" s="585">
        <v>1</v>
      </c>
      <c r="F1151" s="586">
        <v>4.1500000000000004</v>
      </c>
      <c r="G1151" s="586">
        <v>2.4</v>
      </c>
      <c r="H1151" s="586">
        <v>0</v>
      </c>
      <c r="I1151" s="552">
        <f t="shared" ref="I1151" si="109">ROUND(IF(AND(F1151:H1151),C1151*E1151*F1151*G1151*H1151,IF(AND(F1151,G1151),C1151*E1151*F1151*G1151,IF(AND(F1151,H1151),C1151*E1151*F1151*H1151,IF(AND(G1151,H1151),C1151*E1151*G1151*H1151,IF(F1151,C1151*E1151*F1151,IF(G1151,C1151*E1151*G1151,IF(H1151,C1151*E1151*H1151,C1151*E1151))))))),2)</f>
        <v>9.9600000000000009</v>
      </c>
      <c r="J1151" s="553" t="s">
        <v>102</v>
      </c>
      <c r="K1151" s="39"/>
      <c r="L1151" s="208"/>
      <c r="M1151" s="39"/>
      <c r="N1151" s="536" t="s">
        <v>2218</v>
      </c>
    </row>
    <row r="1152" spans="1:14" s="544" customFormat="1" ht="16.5" customHeight="1">
      <c r="A1152" s="16"/>
      <c r="B1152" s="582" t="s">
        <v>578</v>
      </c>
      <c r="C1152" s="583">
        <v>1</v>
      </c>
      <c r="D1152" s="584" t="s">
        <v>273</v>
      </c>
      <c r="E1152" s="585">
        <v>1</v>
      </c>
      <c r="F1152" s="586">
        <v>5.7</v>
      </c>
      <c r="G1152" s="586">
        <v>2.4</v>
      </c>
      <c r="H1152" s="586">
        <v>0</v>
      </c>
      <c r="I1152" s="552">
        <f t="shared" ref="I1152:I1153" si="110">ROUND(IF(AND(F1152:H1152),C1152*E1152*F1152*G1152*H1152,IF(AND(F1152,G1152),C1152*E1152*F1152*G1152,IF(AND(F1152,H1152),C1152*E1152*F1152*H1152,IF(AND(G1152,H1152),C1152*E1152*G1152*H1152,IF(F1152,C1152*E1152*F1152,IF(G1152,C1152*E1152*G1152,IF(H1152,C1152*E1152*H1152,C1152*E1152))))))),2)</f>
        <v>13.68</v>
      </c>
      <c r="J1152" s="553" t="s">
        <v>102</v>
      </c>
      <c r="K1152" s="39"/>
      <c r="L1152" s="208"/>
      <c r="M1152" s="39"/>
      <c r="N1152" s="536" t="s">
        <v>2218</v>
      </c>
    </row>
    <row r="1153" spans="1:14" s="544" customFormat="1" ht="16.5" customHeight="1">
      <c r="A1153" s="16"/>
      <c r="B1153" s="582" t="s">
        <v>1547</v>
      </c>
      <c r="C1153" s="583">
        <v>1</v>
      </c>
      <c r="D1153" s="584" t="s">
        <v>273</v>
      </c>
      <c r="E1153" s="585">
        <v>1</v>
      </c>
      <c r="F1153" s="586">
        <v>0.7</v>
      </c>
      <c r="G1153" s="586">
        <v>9.4</v>
      </c>
      <c r="H1153" s="586">
        <v>0</v>
      </c>
      <c r="I1153" s="552">
        <f t="shared" si="110"/>
        <v>6.58</v>
      </c>
      <c r="J1153" s="553" t="s">
        <v>102</v>
      </c>
      <c r="K1153" s="39"/>
      <c r="L1153" s="208"/>
      <c r="M1153" s="39"/>
      <c r="N1153" s="536" t="s">
        <v>2218</v>
      </c>
    </row>
    <row r="1154" spans="1:14" s="544" customFormat="1" ht="16.5" customHeight="1">
      <c r="A1154" s="16"/>
      <c r="B1154" s="547"/>
      <c r="C1154" s="548"/>
      <c r="D1154" s="549"/>
      <c r="E1154" s="550"/>
      <c r="F1154" s="551"/>
      <c r="G1154" s="551"/>
      <c r="H1154" s="551"/>
      <c r="I1154" s="552"/>
      <c r="J1154" s="553"/>
      <c r="K1154" s="39"/>
      <c r="L1154" s="208"/>
      <c r="M1154" s="39"/>
      <c r="N1154" s="536" t="s">
        <v>2218</v>
      </c>
    </row>
    <row r="1155" spans="1:14" ht="15.75">
      <c r="A1155" s="16"/>
      <c r="B1155" s="39"/>
      <c r="C1155" s="554"/>
      <c r="D1155" s="555"/>
      <c r="E1155" s="540"/>
      <c r="F1155" s="541"/>
      <c r="G1155" s="40"/>
      <c r="H1155" s="16"/>
      <c r="I1155" s="552"/>
      <c r="J1155" s="553" t="s">
        <v>102</v>
      </c>
      <c r="K1155" s="10">
        <f>data!F716</f>
        <v>755.74</v>
      </c>
      <c r="L1155" s="208" t="s">
        <v>2218</v>
      </c>
      <c r="M1155" s="9">
        <f>ROUND(I1155*K1155,0)</f>
        <v>0</v>
      </c>
      <c r="N1155" s="536" t="s">
        <v>2218</v>
      </c>
    </row>
    <row r="1156" spans="1:14" ht="94.5" customHeight="1">
      <c r="A1156" s="16">
        <v>16</v>
      </c>
      <c r="B1156" s="1858" t="s">
        <v>211</v>
      </c>
      <c r="C1156" s="1858"/>
      <c r="D1156" s="1858"/>
      <c r="E1156" s="1858"/>
      <c r="F1156" s="1858"/>
      <c r="G1156" s="1858"/>
      <c r="H1156" s="1858"/>
      <c r="I1156" s="537"/>
      <c r="J1156" s="538"/>
      <c r="K1156" s="16"/>
      <c r="L1156" s="208"/>
      <c r="M1156" s="38"/>
      <c r="N1156" s="536" t="s">
        <v>2306</v>
      </c>
    </row>
    <row r="1157" spans="1:14" s="544" customFormat="1" ht="16.5" customHeight="1">
      <c r="A1157" s="16"/>
      <c r="B1157" s="39" t="s">
        <v>2749</v>
      </c>
      <c r="C1157" s="566"/>
      <c r="D1157" s="567"/>
      <c r="E1157" s="568"/>
      <c r="F1157" s="569"/>
      <c r="G1157" s="569"/>
      <c r="H1157" s="570"/>
      <c r="I1157" s="571"/>
      <c r="J1157" s="553"/>
      <c r="K1157" s="39"/>
      <c r="L1157" s="208"/>
      <c r="M1157" s="39"/>
      <c r="N1157" s="536" t="s">
        <v>2306</v>
      </c>
    </row>
    <row r="1158" spans="1:14" s="544" customFormat="1" ht="16.5" customHeight="1">
      <c r="A1158" s="16"/>
      <c r="B1158" s="582" t="s">
        <v>2568</v>
      </c>
      <c r="C1158" s="583">
        <v>1</v>
      </c>
      <c r="D1158" s="584" t="s">
        <v>273</v>
      </c>
      <c r="E1158" s="585">
        <v>1</v>
      </c>
      <c r="F1158" s="586">
        <v>1.74</v>
      </c>
      <c r="G1158" s="586">
        <v>1.41</v>
      </c>
      <c r="H1158" s="586">
        <v>0</v>
      </c>
      <c r="I1158" s="552">
        <f t="shared" ref="I1158:I1161" si="111">ROUND(IF(AND(F1158:H1158),C1158*E1158*F1158*G1158*H1158,IF(AND(F1158,G1158),C1158*E1158*F1158*G1158,IF(AND(F1158,H1158),C1158*E1158*F1158*H1158,IF(AND(G1158,H1158),C1158*E1158*G1158*H1158,IF(F1158,C1158*E1158*F1158,IF(G1158,C1158*E1158*G1158,IF(H1158,C1158*E1158*H1158,C1158*E1158))))))),2)</f>
        <v>2.4500000000000002</v>
      </c>
      <c r="J1158" s="553" t="s">
        <v>102</v>
      </c>
      <c r="K1158" s="39"/>
      <c r="L1158" s="208"/>
      <c r="M1158" s="39"/>
      <c r="N1158" s="536" t="s">
        <v>2306</v>
      </c>
    </row>
    <row r="1159" spans="1:14" s="544" customFormat="1" ht="16.5" customHeight="1">
      <c r="A1159" s="16"/>
      <c r="B1159" s="582"/>
      <c r="C1159" s="583">
        <v>1</v>
      </c>
      <c r="D1159" s="584" t="s">
        <v>273</v>
      </c>
      <c r="E1159" s="585">
        <v>1</v>
      </c>
      <c r="F1159" s="586">
        <v>1.41</v>
      </c>
      <c r="G1159" s="586">
        <v>1.41</v>
      </c>
      <c r="H1159" s="586">
        <v>0</v>
      </c>
      <c r="I1159" s="552">
        <f t="shared" si="111"/>
        <v>1.99</v>
      </c>
      <c r="J1159" s="553" t="s">
        <v>102</v>
      </c>
      <c r="K1159" s="39"/>
      <c r="L1159" s="208"/>
      <c r="M1159" s="39"/>
      <c r="N1159" s="536" t="s">
        <v>2306</v>
      </c>
    </row>
    <row r="1160" spans="1:14" s="544" customFormat="1" ht="16.5" customHeight="1">
      <c r="A1160" s="16"/>
      <c r="B1160" s="582" t="s">
        <v>659</v>
      </c>
      <c r="C1160" s="583">
        <v>1</v>
      </c>
      <c r="D1160" s="584" t="s">
        <v>273</v>
      </c>
      <c r="E1160" s="585">
        <v>1</v>
      </c>
      <c r="F1160" s="586">
        <v>1.72</v>
      </c>
      <c r="G1160" s="586">
        <v>1.4</v>
      </c>
      <c r="H1160" s="586">
        <v>0</v>
      </c>
      <c r="I1160" s="552">
        <f t="shared" si="111"/>
        <v>2.41</v>
      </c>
      <c r="J1160" s="553" t="s">
        <v>102</v>
      </c>
      <c r="K1160" s="39"/>
      <c r="L1160" s="208"/>
      <c r="M1160" s="39"/>
      <c r="N1160" s="536" t="s">
        <v>2306</v>
      </c>
    </row>
    <row r="1161" spans="1:14" s="544" customFormat="1" ht="16.5" customHeight="1">
      <c r="A1161" s="16"/>
      <c r="B1161" s="582" t="s">
        <v>689</v>
      </c>
      <c r="C1161" s="583">
        <v>1</v>
      </c>
      <c r="D1161" s="584" t="s">
        <v>273</v>
      </c>
      <c r="E1161" s="585">
        <v>1</v>
      </c>
      <c r="F1161" s="586">
        <v>1.41</v>
      </c>
      <c r="G1161" s="586">
        <v>1.4</v>
      </c>
      <c r="H1161" s="586">
        <v>0</v>
      </c>
      <c r="I1161" s="552">
        <f t="shared" si="111"/>
        <v>1.97</v>
      </c>
      <c r="J1161" s="553" t="s">
        <v>102</v>
      </c>
      <c r="K1161" s="39"/>
      <c r="L1161" s="208"/>
      <c r="M1161" s="39"/>
      <c r="N1161" s="536" t="s">
        <v>2306</v>
      </c>
    </row>
    <row r="1162" spans="1:14" s="544" customFormat="1" ht="16.5" customHeight="1">
      <c r="A1162" s="16"/>
      <c r="B1162" s="547"/>
      <c r="C1162" s="548"/>
      <c r="D1162" s="549"/>
      <c r="E1162" s="550"/>
      <c r="F1162" s="551"/>
      <c r="G1162" s="551"/>
      <c r="H1162" s="551"/>
      <c r="I1162" s="552"/>
      <c r="J1162" s="553"/>
      <c r="K1162" s="39"/>
      <c r="L1162" s="208"/>
      <c r="M1162" s="39"/>
      <c r="N1162" s="536" t="s">
        <v>2306</v>
      </c>
    </row>
    <row r="1163" spans="1:14" ht="15.75">
      <c r="A1163" s="16"/>
      <c r="B1163" s="39"/>
      <c r="C1163" s="554"/>
      <c r="D1163" s="555"/>
      <c r="E1163" s="540"/>
      <c r="F1163" s="541"/>
      <c r="G1163" s="40"/>
      <c r="H1163" s="16"/>
      <c r="I1163" s="552"/>
      <c r="J1163" s="553" t="s">
        <v>102</v>
      </c>
      <c r="K1163" s="10">
        <f>data!F1633</f>
        <v>786.57</v>
      </c>
      <c r="L1163" s="208" t="s">
        <v>2306</v>
      </c>
      <c r="M1163" s="9">
        <f>ROUND(I1163*K1163,0)</f>
        <v>0</v>
      </c>
      <c r="N1163" s="536" t="s">
        <v>2306</v>
      </c>
    </row>
    <row r="1164" spans="1:14" ht="94.5" customHeight="1">
      <c r="A1164" s="16">
        <v>17</v>
      </c>
      <c r="B1164" s="1858" t="s">
        <v>211</v>
      </c>
      <c r="C1164" s="1858"/>
      <c r="D1164" s="1858"/>
      <c r="E1164" s="1858"/>
      <c r="F1164" s="1858"/>
      <c r="G1164" s="1858"/>
      <c r="H1164" s="1858"/>
      <c r="I1164" s="537"/>
      <c r="J1164" s="538"/>
      <c r="K1164" s="16"/>
      <c r="L1164" s="208"/>
      <c r="M1164" s="38"/>
      <c r="N1164" s="536" t="s">
        <v>2317</v>
      </c>
    </row>
    <row r="1165" spans="1:14" s="544" customFormat="1" ht="16.5" customHeight="1">
      <c r="A1165" s="16"/>
      <c r="B1165" s="39" t="s">
        <v>2834</v>
      </c>
      <c r="C1165" s="566"/>
      <c r="D1165" s="567"/>
      <c r="E1165" s="568"/>
      <c r="F1165" s="569"/>
      <c r="G1165" s="569"/>
      <c r="H1165" s="570"/>
      <c r="I1165" s="571"/>
      <c r="J1165" s="553"/>
      <c r="K1165" s="39"/>
      <c r="L1165" s="208"/>
      <c r="M1165" s="39"/>
      <c r="N1165" s="536" t="s">
        <v>2317</v>
      </c>
    </row>
    <row r="1166" spans="1:14" s="544" customFormat="1" ht="16.5" customHeight="1">
      <c r="A1166" s="16"/>
      <c r="B1166" s="582" t="s">
        <v>654</v>
      </c>
      <c r="C1166" s="583">
        <v>1</v>
      </c>
      <c r="D1166" s="584" t="s">
        <v>273</v>
      </c>
      <c r="E1166" s="585">
        <v>1</v>
      </c>
      <c r="F1166" s="586">
        <v>4.1500000000000004</v>
      </c>
      <c r="G1166" s="586">
        <v>2.4</v>
      </c>
      <c r="H1166" s="586">
        <v>0</v>
      </c>
      <c r="I1166" s="552">
        <f>ROUND(IF(AND(F1166:H1166),C1166*E1166*F1166*G1166*H1166,IF(AND(F1166,G1166),C1166*E1166*F1166*G1166,IF(AND(F1166,H1166),C1166*E1166*F1166*H1166,IF(AND(G1166,H1166),C1166*E1166*G1166*H1166,IF(F1166,C1166*E1166*F1166,IF(G1166,C1166*E1166*G1166,IF(H1166,C1166*E1166*H1166,C1166*E1166))))))),2)</f>
        <v>9.9600000000000009</v>
      </c>
      <c r="J1166" s="553" t="s">
        <v>102</v>
      </c>
      <c r="K1166" s="39"/>
      <c r="L1166" s="208"/>
      <c r="M1166" s="39"/>
      <c r="N1166" s="536" t="s">
        <v>2317</v>
      </c>
    </row>
    <row r="1167" spans="1:14" s="544" customFormat="1" ht="16.5" customHeight="1">
      <c r="A1167" s="16"/>
      <c r="B1167" s="582" t="s">
        <v>578</v>
      </c>
      <c r="C1167" s="583">
        <v>1</v>
      </c>
      <c r="D1167" s="584" t="s">
        <v>273</v>
      </c>
      <c r="E1167" s="585">
        <v>1</v>
      </c>
      <c r="F1167" s="586">
        <v>5.7</v>
      </c>
      <c r="G1167" s="586">
        <v>2.4</v>
      </c>
      <c r="H1167" s="586">
        <v>0</v>
      </c>
      <c r="I1167" s="552">
        <f>ROUND(IF(AND(F1167:H1167),C1167*E1167*F1167*G1167*H1167,IF(AND(F1167,G1167),C1167*E1167*F1167*G1167,IF(AND(F1167,H1167),C1167*E1167*F1167*H1167,IF(AND(G1167,H1167),C1167*E1167*G1167*H1167,IF(F1167,C1167*E1167*F1167,IF(G1167,C1167*E1167*G1167,IF(H1167,C1167*E1167*H1167,C1167*E1167))))))),2)</f>
        <v>13.68</v>
      </c>
      <c r="J1167" s="553" t="s">
        <v>102</v>
      </c>
      <c r="K1167" s="39"/>
      <c r="L1167" s="208"/>
      <c r="M1167" s="39"/>
      <c r="N1167" s="536" t="s">
        <v>2317</v>
      </c>
    </row>
    <row r="1168" spans="1:14" s="544" customFormat="1" ht="16.5" customHeight="1">
      <c r="A1168" s="16"/>
      <c r="B1168" s="582" t="s">
        <v>1547</v>
      </c>
      <c r="C1168" s="583">
        <v>1</v>
      </c>
      <c r="D1168" s="584" t="s">
        <v>273</v>
      </c>
      <c r="E1168" s="585">
        <v>1</v>
      </c>
      <c r="F1168" s="586">
        <v>0.7</v>
      </c>
      <c r="G1168" s="586">
        <v>9.4</v>
      </c>
      <c r="H1168" s="586">
        <v>0</v>
      </c>
      <c r="I1168" s="552">
        <f>ROUND(IF(AND(F1168:H1168),C1168*E1168*F1168*G1168*H1168,IF(AND(F1168,G1168),C1168*E1168*F1168*G1168,IF(AND(F1168,H1168),C1168*E1168*F1168*H1168,IF(AND(G1168,H1168),C1168*E1168*G1168*H1168,IF(F1168,C1168*E1168*F1168,IF(G1168,C1168*E1168*G1168,IF(H1168,C1168*E1168*H1168,C1168*E1168))))))),2)</f>
        <v>6.58</v>
      </c>
      <c r="J1168" s="553" t="s">
        <v>102</v>
      </c>
      <c r="K1168" s="39"/>
      <c r="L1168" s="208"/>
      <c r="M1168" s="39"/>
      <c r="N1168" s="536" t="s">
        <v>2317</v>
      </c>
    </row>
    <row r="1169" spans="1:14" s="544" customFormat="1" ht="16.5" customHeight="1">
      <c r="A1169" s="16"/>
      <c r="B1169" s="547"/>
      <c r="C1169" s="548"/>
      <c r="D1169" s="549"/>
      <c r="E1169" s="550"/>
      <c r="F1169" s="551"/>
      <c r="G1169" s="551"/>
      <c r="H1169" s="551"/>
      <c r="I1169" s="552"/>
      <c r="J1169" s="553"/>
      <c r="K1169" s="39"/>
      <c r="L1169" s="208"/>
      <c r="M1169" s="39"/>
      <c r="N1169" s="536" t="s">
        <v>2317</v>
      </c>
    </row>
    <row r="1170" spans="1:14" ht="15.75">
      <c r="A1170" s="16"/>
      <c r="B1170" s="39"/>
      <c r="C1170" s="554"/>
      <c r="D1170" s="555"/>
      <c r="E1170" s="540"/>
      <c r="F1170" s="541"/>
      <c r="G1170" s="40"/>
      <c r="H1170" s="16"/>
      <c r="I1170" s="552"/>
      <c r="J1170" s="553" t="s">
        <v>102</v>
      </c>
      <c r="K1170" s="10">
        <f>data!F2550</f>
        <v>809.68</v>
      </c>
      <c r="L1170" s="208" t="s">
        <v>2317</v>
      </c>
      <c r="M1170" s="9">
        <f>ROUND(I1170*K1170,0)</f>
        <v>0</v>
      </c>
      <c r="N1170" s="536" t="s">
        <v>2317</v>
      </c>
    </row>
    <row r="1171" spans="1:14" ht="94.5" customHeight="1">
      <c r="A1171" s="16">
        <v>17</v>
      </c>
      <c r="B1171" s="1858" t="s">
        <v>211</v>
      </c>
      <c r="C1171" s="1858"/>
      <c r="D1171" s="1858"/>
      <c r="E1171" s="1858"/>
      <c r="F1171" s="1858"/>
      <c r="G1171" s="1858"/>
      <c r="H1171" s="1858"/>
      <c r="I1171" s="537"/>
      <c r="J1171" s="538"/>
      <c r="K1171" s="16"/>
      <c r="L1171" s="208"/>
      <c r="M1171" s="38"/>
      <c r="N1171" s="536" t="s">
        <v>2318</v>
      </c>
    </row>
    <row r="1172" spans="1:14" s="544" customFormat="1" ht="16.5" customHeight="1">
      <c r="A1172" s="16"/>
      <c r="B1172" s="39" t="s">
        <v>3067</v>
      </c>
      <c r="C1172" s="566"/>
      <c r="D1172" s="567"/>
      <c r="E1172" s="568"/>
      <c r="F1172" s="569"/>
      <c r="G1172" s="569"/>
      <c r="H1172" s="570"/>
      <c r="I1172" s="571"/>
      <c r="J1172" s="553"/>
      <c r="K1172" s="39"/>
      <c r="L1172" s="208"/>
      <c r="M1172" s="39"/>
      <c r="N1172" s="536" t="s">
        <v>2318</v>
      </c>
    </row>
    <row r="1173" spans="1:14" s="544" customFormat="1" ht="16.5" customHeight="1">
      <c r="A1173" s="16"/>
      <c r="B1173" s="582" t="s">
        <v>3068</v>
      </c>
      <c r="C1173" s="583">
        <v>1</v>
      </c>
      <c r="D1173" s="584" t="s">
        <v>273</v>
      </c>
      <c r="E1173" s="585">
        <v>4</v>
      </c>
      <c r="F1173" s="586">
        <v>1.55</v>
      </c>
      <c r="G1173" s="586">
        <v>1.4</v>
      </c>
      <c r="H1173" s="586">
        <v>0</v>
      </c>
      <c r="I1173" s="552">
        <f>ROUND(IF(AND(F1173:H1173),C1173*E1173*F1173*G1173*H1173,IF(AND(F1173,G1173),C1173*E1173*F1173*G1173,IF(AND(F1173,H1173),C1173*E1173*F1173*H1173,IF(AND(G1173,H1173),C1173*E1173*G1173*H1173,IF(F1173,C1173*E1173*F1173,IF(G1173,C1173*E1173*G1173,IF(H1173,C1173*E1173*H1173,C1173*E1173))))))),2)</f>
        <v>8.68</v>
      </c>
      <c r="J1173" s="553" t="s">
        <v>102</v>
      </c>
      <c r="K1173" s="39"/>
      <c r="L1173" s="208"/>
      <c r="M1173" s="39"/>
      <c r="N1173" s="536" t="s">
        <v>2318</v>
      </c>
    </row>
    <row r="1174" spans="1:14" s="544" customFormat="1" ht="16.5" customHeight="1">
      <c r="A1174" s="16"/>
      <c r="B1174" s="547"/>
      <c r="C1174" s="548"/>
      <c r="D1174" s="549"/>
      <c r="E1174" s="550"/>
      <c r="F1174" s="551"/>
      <c r="G1174" s="551"/>
      <c r="H1174" s="551"/>
      <c r="I1174" s="552"/>
      <c r="J1174" s="553"/>
      <c r="K1174" s="39"/>
      <c r="L1174" s="208"/>
      <c r="M1174" s="39"/>
      <c r="N1174" s="536" t="s">
        <v>2318</v>
      </c>
    </row>
    <row r="1175" spans="1:14" ht="15.75">
      <c r="A1175" s="16"/>
      <c r="B1175" s="39"/>
      <c r="C1175" s="554"/>
      <c r="D1175" s="555"/>
      <c r="E1175" s="540"/>
      <c r="F1175" s="541"/>
      <c r="G1175" s="40"/>
      <c r="H1175" s="16"/>
      <c r="I1175" s="552"/>
      <c r="J1175" s="553" t="s">
        <v>102</v>
      </c>
      <c r="K1175" s="10">
        <f>data!F3467</f>
        <v>837.86</v>
      </c>
      <c r="L1175" s="208" t="s">
        <v>2318</v>
      </c>
      <c r="M1175" s="9">
        <f>ROUND(I1175*K1175,0)</f>
        <v>0</v>
      </c>
      <c r="N1175" s="536" t="s">
        <v>2318</v>
      </c>
    </row>
    <row r="1176" spans="1:14" ht="94.5" customHeight="1">
      <c r="A1176" s="16">
        <v>18</v>
      </c>
      <c r="B1176" s="1858" t="s">
        <v>214</v>
      </c>
      <c r="C1176" s="1858"/>
      <c r="D1176" s="1858"/>
      <c r="E1176" s="1858"/>
      <c r="F1176" s="1858"/>
      <c r="G1176" s="1858"/>
      <c r="H1176" s="1858"/>
      <c r="I1176" s="537"/>
      <c r="J1176" s="538"/>
      <c r="K1176" s="16"/>
      <c r="L1176" s="208"/>
      <c r="M1176" s="38"/>
      <c r="N1176" s="536" t="s">
        <v>2218</v>
      </c>
    </row>
    <row r="1177" spans="1:14" s="544" customFormat="1" ht="15.75">
      <c r="A1177" s="16"/>
      <c r="B1177" s="39" t="s">
        <v>3067</v>
      </c>
      <c r="C1177" s="566"/>
      <c r="D1177" s="567"/>
      <c r="E1177" s="568"/>
      <c r="F1177" s="569"/>
      <c r="G1177" s="569"/>
      <c r="H1177" s="570"/>
      <c r="I1177" s="571"/>
      <c r="J1177" s="553"/>
      <c r="K1177" s="39"/>
      <c r="L1177" s="208"/>
      <c r="M1177" s="39"/>
      <c r="N1177" s="536" t="s">
        <v>2218</v>
      </c>
    </row>
    <row r="1178" spans="1:14" s="544" customFormat="1" ht="15.75">
      <c r="A1178" s="16"/>
      <c r="B1178" s="582" t="s">
        <v>689</v>
      </c>
      <c r="C1178" s="583">
        <v>1</v>
      </c>
      <c r="D1178" s="584" t="s">
        <v>273</v>
      </c>
      <c r="E1178" s="585">
        <v>1</v>
      </c>
      <c r="F1178" s="586">
        <v>6.12</v>
      </c>
      <c r="G1178" s="586">
        <v>1.95</v>
      </c>
      <c r="H1178" s="586">
        <v>0</v>
      </c>
      <c r="I1178" s="552">
        <f t="shared" ref="I1178" si="112">ROUND(IF(AND(F1178:H1178),C1178*E1178*F1178*G1178*H1178,IF(AND(F1178,G1178),C1178*E1178*F1178*G1178,IF(AND(F1178,H1178),C1178*E1178*F1178*H1178,IF(AND(G1178,H1178),C1178*E1178*G1178*H1178,IF(F1178,C1178*E1178*F1178,IF(G1178,C1178*E1178*G1178,IF(H1178,C1178*E1178*H1178,C1178*E1178))))))),2)</f>
        <v>11.93</v>
      </c>
      <c r="J1178" s="553" t="s">
        <v>102</v>
      </c>
      <c r="K1178" s="39"/>
      <c r="L1178" s="208"/>
      <c r="M1178" s="39"/>
      <c r="N1178" s="536" t="s">
        <v>2218</v>
      </c>
    </row>
    <row r="1179" spans="1:14" s="544" customFormat="1" ht="15.75">
      <c r="A1179" s="16"/>
      <c r="B1179" s="582" t="s">
        <v>659</v>
      </c>
      <c r="C1179" s="583">
        <v>1</v>
      </c>
      <c r="D1179" s="584" t="s">
        <v>273</v>
      </c>
      <c r="E1179" s="585">
        <v>1</v>
      </c>
      <c r="F1179" s="586">
        <v>6.06</v>
      </c>
      <c r="G1179" s="586">
        <v>1.95</v>
      </c>
      <c r="H1179" s="586">
        <v>0</v>
      </c>
      <c r="I1179" s="552">
        <f t="shared" ref="I1179" si="113">ROUND(IF(AND(F1179:H1179),C1179*E1179*F1179*G1179*H1179,IF(AND(F1179,G1179),C1179*E1179*F1179*G1179,IF(AND(F1179,H1179),C1179*E1179*F1179*H1179,IF(AND(G1179,H1179),C1179*E1179*G1179*H1179,IF(F1179,C1179*E1179*F1179,IF(G1179,C1179*E1179*G1179,IF(H1179,C1179*E1179*H1179,C1179*E1179))))))),2)</f>
        <v>11.82</v>
      </c>
      <c r="J1179" s="553" t="s">
        <v>102</v>
      </c>
      <c r="K1179" s="39"/>
      <c r="L1179" s="208"/>
      <c r="M1179" s="39"/>
      <c r="N1179" s="536" t="s">
        <v>2218</v>
      </c>
    </row>
    <row r="1180" spans="1:14" s="544" customFormat="1" ht="15.75">
      <c r="A1180" s="16"/>
      <c r="B1180" s="582"/>
      <c r="C1180" s="583">
        <v>3</v>
      </c>
      <c r="D1180" s="584" t="s">
        <v>273</v>
      </c>
      <c r="E1180" s="585">
        <v>1</v>
      </c>
      <c r="F1180" s="586">
        <v>0.7</v>
      </c>
      <c r="G1180" s="586">
        <v>1.92</v>
      </c>
      <c r="H1180" s="586">
        <v>0</v>
      </c>
      <c r="I1180" s="552">
        <f>-ROUND(IF(AND(F1180:H1180),C1180*E1180*F1180*G1180*H1180,IF(AND(F1180,G1180),C1180*E1180*F1180*G1180,IF(AND(F1180,H1180),C1180*E1180*F1180*H1180,IF(AND(G1180,H1180),C1180*E1180*G1180*H1180,IF(F1180,C1180*E1180*F1180,IF(G1180,C1180*E1180*G1180,IF(H1180,C1180*E1180*H1180,C1180*E1180))))))),2)</f>
        <v>-4.03</v>
      </c>
      <c r="J1180" s="553" t="s">
        <v>102</v>
      </c>
      <c r="K1180" s="39"/>
      <c r="L1180" s="208"/>
      <c r="M1180" s="39"/>
      <c r="N1180" s="536" t="s">
        <v>2218</v>
      </c>
    </row>
    <row r="1181" spans="1:14" s="544" customFormat="1" ht="15.75">
      <c r="A1181" s="16"/>
      <c r="B1181" s="547"/>
      <c r="C1181" s="548"/>
      <c r="D1181" s="549"/>
      <c r="E1181" s="550"/>
      <c r="F1181" s="551"/>
      <c r="G1181" s="551"/>
      <c r="H1181" s="551"/>
      <c r="I1181" s="552"/>
      <c r="J1181" s="553"/>
      <c r="K1181" s="39"/>
      <c r="L1181" s="208"/>
      <c r="M1181" s="39"/>
      <c r="N1181" s="536" t="s">
        <v>2218</v>
      </c>
    </row>
    <row r="1182" spans="1:14" ht="15.75">
      <c r="A1182" s="16"/>
      <c r="B1182" s="39"/>
      <c r="C1182" s="554"/>
      <c r="D1182" s="555"/>
      <c r="E1182" s="540"/>
      <c r="F1182" s="541"/>
      <c r="G1182" s="40"/>
      <c r="H1182" s="16"/>
      <c r="I1182" s="552"/>
      <c r="J1182" s="553" t="s">
        <v>102</v>
      </c>
      <c r="K1182" s="10">
        <f>data!F733</f>
        <v>494.82</v>
      </c>
      <c r="L1182" s="208" t="s">
        <v>2218</v>
      </c>
      <c r="M1182" s="9">
        <f>ROUND(I1182*K1182,0)</f>
        <v>0</v>
      </c>
      <c r="N1182" s="536" t="s">
        <v>2218</v>
      </c>
    </row>
    <row r="1183" spans="1:14" ht="94.5" customHeight="1">
      <c r="A1183" s="16">
        <v>17</v>
      </c>
      <c r="B1183" s="1858" t="s">
        <v>214</v>
      </c>
      <c r="C1183" s="1858"/>
      <c r="D1183" s="1858"/>
      <c r="E1183" s="1858"/>
      <c r="F1183" s="1858"/>
      <c r="G1183" s="1858"/>
      <c r="H1183" s="1858"/>
      <c r="I1183" s="537"/>
      <c r="J1183" s="538"/>
      <c r="K1183" s="16"/>
      <c r="L1183" s="208"/>
      <c r="M1183" s="38"/>
      <c r="N1183" s="536" t="s">
        <v>2306</v>
      </c>
    </row>
    <row r="1184" spans="1:14" s="544" customFormat="1" ht="15.75">
      <c r="A1184" s="16"/>
      <c r="B1184" s="39" t="s">
        <v>2753</v>
      </c>
      <c r="C1184" s="566"/>
      <c r="D1184" s="567"/>
      <c r="E1184" s="568"/>
      <c r="F1184" s="569"/>
      <c r="G1184" s="569"/>
      <c r="H1184" s="570"/>
      <c r="I1184" s="571"/>
      <c r="J1184" s="553"/>
      <c r="K1184" s="39"/>
      <c r="L1184" s="208"/>
      <c r="M1184" s="39"/>
      <c r="N1184" s="536" t="s">
        <v>2306</v>
      </c>
    </row>
    <row r="1185" spans="1:14" s="544" customFormat="1" ht="15.75">
      <c r="A1185" s="16"/>
      <c r="B1185" s="582" t="s">
        <v>2568</v>
      </c>
      <c r="C1185" s="583">
        <v>1</v>
      </c>
      <c r="D1185" s="584" t="s">
        <v>273</v>
      </c>
      <c r="E1185" s="585">
        <v>1</v>
      </c>
      <c r="F1185" s="586">
        <v>5.2</v>
      </c>
      <c r="G1185" s="586">
        <v>0</v>
      </c>
      <c r="H1185" s="586">
        <v>2.0699999999999998</v>
      </c>
      <c r="I1185" s="552">
        <f t="shared" ref="I1185:I1188" si="114">ROUND(IF(AND(F1185:H1185),C1185*E1185*F1185*G1185*H1185,IF(AND(F1185,G1185),C1185*E1185*F1185*G1185,IF(AND(F1185,H1185),C1185*E1185*F1185*H1185,IF(AND(G1185,H1185),C1185*E1185*G1185*H1185,IF(F1185,C1185*E1185*F1185,IF(G1185,C1185*E1185*G1185,IF(H1185,C1185*E1185*H1185,C1185*E1185))))))),2)</f>
        <v>10.76</v>
      </c>
      <c r="J1185" s="553" t="s">
        <v>102</v>
      </c>
      <c r="K1185" s="39"/>
      <c r="L1185" s="208"/>
      <c r="M1185" s="39"/>
      <c r="N1185" s="536" t="s">
        <v>2306</v>
      </c>
    </row>
    <row r="1186" spans="1:14" s="544" customFormat="1" ht="15.75">
      <c r="A1186" s="16"/>
      <c r="B1186" s="582"/>
      <c r="C1186" s="583">
        <v>1</v>
      </c>
      <c r="D1186" s="584" t="s">
        <v>273</v>
      </c>
      <c r="E1186" s="585">
        <v>1</v>
      </c>
      <c r="F1186" s="586">
        <v>5.19</v>
      </c>
      <c r="G1186" s="586">
        <v>0</v>
      </c>
      <c r="H1186" s="586">
        <v>2.0699999999999998</v>
      </c>
      <c r="I1186" s="552">
        <f t="shared" si="114"/>
        <v>10.74</v>
      </c>
      <c r="J1186" s="553" t="s">
        <v>102</v>
      </c>
      <c r="K1186" s="39"/>
      <c r="L1186" s="208"/>
      <c r="M1186" s="39"/>
      <c r="N1186" s="536" t="s">
        <v>2306</v>
      </c>
    </row>
    <row r="1187" spans="1:14" s="544" customFormat="1" ht="15.75">
      <c r="A1187" s="16"/>
      <c r="B1187" s="582" t="s">
        <v>659</v>
      </c>
      <c r="C1187" s="583">
        <v>1</v>
      </c>
      <c r="D1187" s="584" t="s">
        <v>273</v>
      </c>
      <c r="E1187" s="585">
        <v>1</v>
      </c>
      <c r="F1187" s="586">
        <v>5.82</v>
      </c>
      <c r="G1187" s="586">
        <v>0</v>
      </c>
      <c r="H1187" s="586">
        <v>2.0699999999999998</v>
      </c>
      <c r="I1187" s="552">
        <f t="shared" si="114"/>
        <v>12.05</v>
      </c>
      <c r="J1187" s="553" t="s">
        <v>102</v>
      </c>
      <c r="K1187" s="39"/>
      <c r="L1187" s="208"/>
      <c r="M1187" s="39"/>
      <c r="N1187" s="536" t="s">
        <v>2306</v>
      </c>
    </row>
    <row r="1188" spans="1:14" s="544" customFormat="1" ht="15.75">
      <c r="A1188" s="16"/>
      <c r="B1188" s="582" t="s">
        <v>689</v>
      </c>
      <c r="C1188" s="583">
        <v>1</v>
      </c>
      <c r="D1188" s="584" t="s">
        <v>273</v>
      </c>
      <c r="E1188" s="585">
        <v>1</v>
      </c>
      <c r="F1188" s="586">
        <v>5.09</v>
      </c>
      <c r="G1188" s="586">
        <v>0</v>
      </c>
      <c r="H1188" s="586">
        <v>2.0699999999999998</v>
      </c>
      <c r="I1188" s="552">
        <f t="shared" si="114"/>
        <v>10.54</v>
      </c>
      <c r="J1188" s="553" t="s">
        <v>102</v>
      </c>
      <c r="K1188" s="39"/>
      <c r="L1188" s="208"/>
      <c r="M1188" s="39"/>
      <c r="N1188" s="536" t="s">
        <v>2306</v>
      </c>
    </row>
    <row r="1189" spans="1:14" s="544" customFormat="1" ht="15.75">
      <c r="A1189" s="16"/>
      <c r="B1189" s="547"/>
      <c r="C1189" s="548"/>
      <c r="D1189" s="549"/>
      <c r="E1189" s="550"/>
      <c r="F1189" s="551"/>
      <c r="G1189" s="551"/>
      <c r="H1189" s="551"/>
      <c r="I1189" s="552"/>
      <c r="J1189" s="553"/>
      <c r="K1189" s="39"/>
      <c r="L1189" s="208"/>
      <c r="M1189" s="39"/>
      <c r="N1189" s="536" t="s">
        <v>2306</v>
      </c>
    </row>
    <row r="1190" spans="1:14" ht="15.75">
      <c r="A1190" s="16"/>
      <c r="B1190" s="39"/>
      <c r="C1190" s="554"/>
      <c r="D1190" s="555"/>
      <c r="E1190" s="540"/>
      <c r="F1190" s="541"/>
      <c r="G1190" s="40"/>
      <c r="H1190" s="16"/>
      <c r="I1190" s="552"/>
      <c r="J1190" s="553" t="s">
        <v>102</v>
      </c>
      <c r="K1190" s="10">
        <f>data!F1650</f>
        <v>504.13</v>
      </c>
      <c r="L1190" s="208" t="s">
        <v>2306</v>
      </c>
      <c r="M1190" s="9">
        <f>ROUND(I1190*K1190,0)</f>
        <v>0</v>
      </c>
      <c r="N1190" s="536" t="s">
        <v>2306</v>
      </c>
    </row>
    <row r="1191" spans="1:14" ht="94.5" customHeight="1">
      <c r="A1191" s="16">
        <v>18</v>
      </c>
      <c r="B1191" s="1858" t="s">
        <v>214</v>
      </c>
      <c r="C1191" s="1858"/>
      <c r="D1191" s="1858"/>
      <c r="E1191" s="1858"/>
      <c r="F1191" s="1858"/>
      <c r="G1191" s="1858"/>
      <c r="H1191" s="1858"/>
      <c r="I1191" s="537"/>
      <c r="J1191" s="538"/>
      <c r="K1191" s="16"/>
      <c r="L1191" s="208"/>
      <c r="M1191" s="38"/>
      <c r="N1191" s="536" t="s">
        <v>2317</v>
      </c>
    </row>
    <row r="1192" spans="1:14" s="544" customFormat="1" ht="15.75">
      <c r="A1192" s="16"/>
      <c r="B1192" s="39" t="s">
        <v>2895</v>
      </c>
      <c r="C1192" s="566"/>
      <c r="D1192" s="567"/>
      <c r="E1192" s="568"/>
      <c r="F1192" s="569"/>
      <c r="G1192" s="569"/>
      <c r="H1192" s="570"/>
      <c r="I1192" s="571"/>
      <c r="J1192" s="553"/>
      <c r="K1192" s="39"/>
      <c r="L1192" s="208"/>
      <c r="M1192" s="39"/>
      <c r="N1192" s="536" t="s">
        <v>2317</v>
      </c>
    </row>
    <row r="1193" spans="1:14" s="544" customFormat="1" ht="15.75">
      <c r="A1193" s="16"/>
      <c r="B1193" s="582" t="s">
        <v>689</v>
      </c>
      <c r="C1193" s="583">
        <v>1</v>
      </c>
      <c r="D1193" s="584" t="s">
        <v>273</v>
      </c>
      <c r="E1193" s="585">
        <v>1</v>
      </c>
      <c r="F1193" s="586">
        <v>6.12</v>
      </c>
      <c r="G1193" s="586">
        <v>1.95</v>
      </c>
      <c r="H1193" s="586">
        <v>0</v>
      </c>
      <c r="I1193" s="552">
        <f>ROUND(IF(AND(F1193:H1193),C1193*E1193*F1193*G1193*H1193,IF(AND(F1193,G1193),C1193*E1193*F1193*G1193,IF(AND(F1193,H1193),C1193*E1193*F1193*H1193,IF(AND(G1193,H1193),C1193*E1193*G1193*H1193,IF(F1193,C1193*E1193*F1193,IF(G1193,C1193*E1193*G1193,IF(H1193,C1193*E1193*H1193,C1193*E1193))))))),2)</f>
        <v>11.93</v>
      </c>
      <c r="J1193" s="553" t="s">
        <v>102</v>
      </c>
      <c r="K1193" s="39"/>
      <c r="L1193" s="208"/>
      <c r="M1193" s="39"/>
      <c r="N1193" s="536" t="s">
        <v>2317</v>
      </c>
    </row>
    <row r="1194" spans="1:14" s="544" customFormat="1" ht="15.75">
      <c r="A1194" s="16"/>
      <c r="B1194" s="582" t="s">
        <v>659</v>
      </c>
      <c r="C1194" s="583">
        <v>1</v>
      </c>
      <c r="D1194" s="584" t="s">
        <v>273</v>
      </c>
      <c r="E1194" s="585">
        <v>1</v>
      </c>
      <c r="F1194" s="586">
        <v>6.06</v>
      </c>
      <c r="G1194" s="586">
        <v>1.95</v>
      </c>
      <c r="H1194" s="586">
        <v>0</v>
      </c>
      <c r="I1194" s="552">
        <f>ROUND(IF(AND(F1194:H1194),C1194*E1194*F1194*G1194*H1194,IF(AND(F1194,G1194),C1194*E1194*F1194*G1194,IF(AND(F1194,H1194),C1194*E1194*F1194*H1194,IF(AND(G1194,H1194),C1194*E1194*G1194*H1194,IF(F1194,C1194*E1194*F1194,IF(G1194,C1194*E1194*G1194,IF(H1194,C1194*E1194*H1194,C1194*E1194))))))),2)</f>
        <v>11.82</v>
      </c>
      <c r="J1194" s="553" t="s">
        <v>102</v>
      </c>
      <c r="K1194" s="39"/>
      <c r="L1194" s="208"/>
      <c r="M1194" s="39"/>
      <c r="N1194" s="536" t="s">
        <v>2317</v>
      </c>
    </row>
    <row r="1195" spans="1:14" s="544" customFormat="1" ht="15.75">
      <c r="A1195" s="16"/>
      <c r="B1195" s="582"/>
      <c r="C1195" s="583">
        <v>3</v>
      </c>
      <c r="D1195" s="584" t="s">
        <v>273</v>
      </c>
      <c r="E1195" s="585">
        <v>1</v>
      </c>
      <c r="F1195" s="586">
        <v>0.7</v>
      </c>
      <c r="G1195" s="586">
        <v>1.92</v>
      </c>
      <c r="H1195" s="586">
        <v>0</v>
      </c>
      <c r="I1195" s="552">
        <f>-ROUND(IF(AND(F1195:H1195),C1195*E1195*F1195*G1195*H1195,IF(AND(F1195,G1195),C1195*E1195*F1195*G1195,IF(AND(F1195,H1195),C1195*E1195*F1195*H1195,IF(AND(G1195,H1195),C1195*E1195*G1195*H1195,IF(F1195,C1195*E1195*F1195,IF(G1195,C1195*E1195*G1195,IF(H1195,C1195*E1195*H1195,C1195*E1195))))))),2)</f>
        <v>-4.03</v>
      </c>
      <c r="J1195" s="553" t="s">
        <v>102</v>
      </c>
      <c r="K1195" s="39"/>
      <c r="L1195" s="208"/>
      <c r="M1195" s="39"/>
      <c r="N1195" s="536" t="s">
        <v>2317</v>
      </c>
    </row>
    <row r="1196" spans="1:14" s="544" customFormat="1" ht="15.75">
      <c r="A1196" s="16"/>
      <c r="B1196" s="547"/>
      <c r="C1196" s="548"/>
      <c r="D1196" s="549"/>
      <c r="E1196" s="550"/>
      <c r="F1196" s="551"/>
      <c r="G1196" s="551"/>
      <c r="H1196" s="551"/>
      <c r="I1196" s="552"/>
      <c r="J1196" s="553"/>
      <c r="K1196" s="39"/>
      <c r="L1196" s="208"/>
      <c r="M1196" s="39"/>
      <c r="N1196" s="536" t="s">
        <v>2317</v>
      </c>
    </row>
    <row r="1197" spans="1:14" ht="15.75">
      <c r="A1197" s="16"/>
      <c r="B1197" s="39"/>
      <c r="C1197" s="554"/>
      <c r="D1197" s="555"/>
      <c r="E1197" s="540"/>
      <c r="F1197" s="541"/>
      <c r="G1197" s="40"/>
      <c r="H1197" s="16"/>
      <c r="I1197" s="552"/>
      <c r="J1197" s="553" t="s">
        <v>102</v>
      </c>
      <c r="K1197" s="10">
        <f>data!F2567</f>
        <v>512.09</v>
      </c>
      <c r="L1197" s="208" t="s">
        <v>2317</v>
      </c>
      <c r="M1197" s="9">
        <f>ROUND(I1197*K1197,0)</f>
        <v>0</v>
      </c>
      <c r="N1197" s="536" t="s">
        <v>2317</v>
      </c>
    </row>
    <row r="1198" spans="1:14" ht="94.5" customHeight="1">
      <c r="A1198" s="16">
        <v>18</v>
      </c>
      <c r="B1198" s="1858" t="s">
        <v>214</v>
      </c>
      <c r="C1198" s="1858"/>
      <c r="D1198" s="1858"/>
      <c r="E1198" s="1858"/>
      <c r="F1198" s="1858"/>
      <c r="G1198" s="1858"/>
      <c r="H1198" s="1858"/>
      <c r="I1198" s="537"/>
      <c r="J1198" s="538"/>
      <c r="K1198" s="16"/>
      <c r="L1198" s="208"/>
      <c r="M1198" s="38"/>
      <c r="N1198" s="536" t="s">
        <v>2318</v>
      </c>
    </row>
    <row r="1199" spans="1:14" s="544" customFormat="1" ht="15.75">
      <c r="A1199" s="16"/>
      <c r="B1199" s="39" t="s">
        <v>3069</v>
      </c>
      <c r="C1199" s="566"/>
      <c r="D1199" s="567"/>
      <c r="E1199" s="568"/>
      <c r="F1199" s="569"/>
      <c r="G1199" s="569"/>
      <c r="H1199" s="570"/>
      <c r="I1199" s="571"/>
      <c r="J1199" s="553"/>
      <c r="K1199" s="39"/>
      <c r="L1199" s="208"/>
      <c r="M1199" s="39"/>
      <c r="N1199" s="536" t="s">
        <v>2318</v>
      </c>
    </row>
    <row r="1200" spans="1:14" s="544" customFormat="1" ht="15.75">
      <c r="A1200" s="16"/>
      <c r="B1200" s="582" t="s">
        <v>659</v>
      </c>
      <c r="C1200" s="583">
        <v>1</v>
      </c>
      <c r="D1200" s="584" t="s">
        <v>273</v>
      </c>
      <c r="E1200" s="585">
        <v>1</v>
      </c>
      <c r="F1200" s="586">
        <v>5.9</v>
      </c>
      <c r="G1200" s="586">
        <v>0</v>
      </c>
      <c r="H1200" s="586">
        <v>1.95</v>
      </c>
      <c r="I1200" s="552">
        <f>ROUND(IF(AND(F1200:H1200),C1200*E1200*F1200*G1200*H1200,IF(AND(F1200,G1200),C1200*E1200*F1200*G1200,IF(AND(F1200,H1200),C1200*E1200*F1200*H1200,IF(AND(G1200,H1200),C1200*E1200*G1200*H1200,IF(F1200,C1200*E1200*F1200,IF(G1200,C1200*E1200*G1200,IF(H1200,C1200*E1200*H1200,C1200*E1200))))))),2)</f>
        <v>11.51</v>
      </c>
      <c r="J1200" s="553" t="s">
        <v>102</v>
      </c>
      <c r="K1200" s="39"/>
      <c r="L1200" s="208"/>
      <c r="M1200" s="39"/>
      <c r="N1200" s="536" t="s">
        <v>2318</v>
      </c>
    </row>
    <row r="1201" spans="1:14" s="544" customFormat="1" ht="15.75">
      <c r="A1201" s="16"/>
      <c r="B1201" s="582" t="s">
        <v>579</v>
      </c>
      <c r="C1201" s="583">
        <v>1</v>
      </c>
      <c r="D1201" s="584" t="s">
        <v>273</v>
      </c>
      <c r="E1201" s="585">
        <v>1</v>
      </c>
      <c r="F1201" s="586">
        <v>0.75</v>
      </c>
      <c r="G1201" s="586">
        <v>0</v>
      </c>
      <c r="H1201" s="586">
        <v>1.95</v>
      </c>
      <c r="I1201" s="552">
        <f>-ROUND(IF(AND(F1201:H1201),C1201*E1201*F1201*G1201*H1201,IF(AND(F1201,G1201),C1201*E1201*F1201*G1201,IF(AND(F1201,H1201),C1201*E1201*F1201*H1201,IF(AND(G1201,H1201),C1201*E1201*G1201*H1201,IF(F1201,C1201*E1201*F1201,IF(G1201,C1201*E1201*G1201,IF(H1201,C1201*E1201*H1201,C1201*E1201))))))),2)</f>
        <v>-1.46</v>
      </c>
      <c r="J1201" s="553" t="s">
        <v>102</v>
      </c>
      <c r="K1201" s="39"/>
      <c r="L1201" s="208"/>
      <c r="M1201" s="39"/>
      <c r="N1201" s="536" t="s">
        <v>2318</v>
      </c>
    </row>
    <row r="1202" spans="1:14" s="544" customFormat="1" ht="15.75">
      <c r="A1202" s="16"/>
      <c r="B1202" s="582" t="s">
        <v>3070</v>
      </c>
      <c r="C1202" s="583">
        <v>1</v>
      </c>
      <c r="D1202" s="584" t="s">
        <v>273</v>
      </c>
      <c r="E1202" s="585">
        <v>1</v>
      </c>
      <c r="F1202" s="586">
        <v>5.9</v>
      </c>
      <c r="G1202" s="586">
        <v>0</v>
      </c>
      <c r="H1202" s="586">
        <v>1.95</v>
      </c>
      <c r="I1202" s="552">
        <f t="shared" ref="I1202:I1205" si="115">ROUND(IF(AND(F1202:H1202),C1202*E1202*F1202*G1202*H1202,IF(AND(F1202,G1202),C1202*E1202*F1202*G1202,IF(AND(F1202,H1202),C1202*E1202*F1202*H1202,IF(AND(G1202,H1202),C1202*E1202*G1202*H1202,IF(F1202,C1202*E1202*F1202,IF(G1202,C1202*E1202*G1202,IF(H1202,C1202*E1202*H1202,C1202*E1202))))))),2)</f>
        <v>11.51</v>
      </c>
      <c r="J1202" s="553" t="s">
        <v>102</v>
      </c>
      <c r="K1202" s="39"/>
      <c r="L1202" s="208"/>
      <c r="M1202" s="39"/>
      <c r="N1202" s="536" t="s">
        <v>2318</v>
      </c>
    </row>
    <row r="1203" spans="1:14" s="544" customFormat="1" ht="15.75">
      <c r="A1203" s="16"/>
      <c r="B1203" s="582" t="s">
        <v>579</v>
      </c>
      <c r="C1203" s="583">
        <v>1</v>
      </c>
      <c r="D1203" s="584" t="s">
        <v>273</v>
      </c>
      <c r="E1203" s="585">
        <v>1</v>
      </c>
      <c r="F1203" s="586">
        <v>0.75</v>
      </c>
      <c r="G1203" s="586">
        <v>0</v>
      </c>
      <c r="H1203" s="586">
        <v>1.95</v>
      </c>
      <c r="I1203" s="552">
        <f>-ROUND(IF(AND(F1203:H1203),C1203*E1203*F1203*G1203*H1203,IF(AND(F1203,G1203),C1203*E1203*F1203*G1203,IF(AND(F1203,H1203),C1203*E1203*F1203*H1203,IF(AND(G1203,H1203),C1203*E1203*G1203*H1203,IF(F1203,C1203*E1203*F1203,IF(G1203,C1203*E1203*G1203,IF(H1203,C1203*E1203*H1203,C1203*E1203))))))),2)</f>
        <v>-1.46</v>
      </c>
      <c r="J1203" s="553" t="s">
        <v>102</v>
      </c>
      <c r="K1203" s="39"/>
      <c r="L1203" s="208"/>
      <c r="M1203" s="39"/>
      <c r="N1203" s="536" t="s">
        <v>2318</v>
      </c>
    </row>
    <row r="1204" spans="1:14" s="544" customFormat="1" ht="15.75">
      <c r="A1204" s="16"/>
      <c r="B1204" s="582" t="s">
        <v>2141</v>
      </c>
      <c r="C1204" s="583">
        <v>1</v>
      </c>
      <c r="D1204" s="584" t="s">
        <v>273</v>
      </c>
      <c r="E1204" s="585">
        <v>1</v>
      </c>
      <c r="F1204" s="586">
        <v>0.6</v>
      </c>
      <c r="G1204" s="586">
        <v>0</v>
      </c>
      <c r="H1204" s="586">
        <v>0.3</v>
      </c>
      <c r="I1204" s="552">
        <f>-ROUND(IF(AND(F1204:H1204),C1204*E1204*F1204*G1204*H1204,IF(AND(F1204,G1204),C1204*E1204*F1204*G1204,IF(AND(F1204,H1204),C1204*E1204*F1204*H1204,IF(AND(G1204,H1204),C1204*E1204*G1204*H1204,IF(F1204,C1204*E1204*F1204,IF(G1204,C1204*E1204*G1204,IF(H1204,C1204*E1204*H1204,C1204*E1204))))))),2)</f>
        <v>-0.18</v>
      </c>
      <c r="J1204" s="553" t="s">
        <v>102</v>
      </c>
      <c r="K1204" s="39"/>
      <c r="L1204" s="208"/>
      <c r="M1204" s="39"/>
      <c r="N1204" s="536" t="s">
        <v>2318</v>
      </c>
    </row>
    <row r="1205" spans="1:14" s="544" customFormat="1" ht="15.75">
      <c r="A1205" s="16"/>
      <c r="B1205" s="582" t="s">
        <v>3071</v>
      </c>
      <c r="C1205" s="583">
        <v>1</v>
      </c>
      <c r="D1205" s="584" t="s">
        <v>273</v>
      </c>
      <c r="E1205" s="585">
        <v>2</v>
      </c>
      <c r="F1205" s="586">
        <v>5.9</v>
      </c>
      <c r="G1205" s="586">
        <v>0</v>
      </c>
      <c r="H1205" s="586">
        <v>1.95</v>
      </c>
      <c r="I1205" s="552">
        <f t="shared" si="115"/>
        <v>23.01</v>
      </c>
      <c r="J1205" s="553" t="s">
        <v>102</v>
      </c>
      <c r="K1205" s="39"/>
      <c r="L1205" s="208"/>
      <c r="M1205" s="39"/>
      <c r="N1205" s="536" t="s">
        <v>2318</v>
      </c>
    </row>
    <row r="1206" spans="1:14" s="544" customFormat="1" ht="15.75">
      <c r="A1206" s="16"/>
      <c r="B1206" s="582" t="s">
        <v>579</v>
      </c>
      <c r="C1206" s="583">
        <v>1</v>
      </c>
      <c r="D1206" s="584" t="s">
        <v>273</v>
      </c>
      <c r="E1206" s="585">
        <v>2</v>
      </c>
      <c r="F1206" s="586">
        <v>0.75</v>
      </c>
      <c r="G1206" s="586">
        <v>0</v>
      </c>
      <c r="H1206" s="586">
        <v>1.95</v>
      </c>
      <c r="I1206" s="552">
        <f>-ROUND(IF(AND(F1206:H1206),C1206*E1206*F1206*G1206*H1206,IF(AND(F1206,G1206),C1206*E1206*F1206*G1206,IF(AND(F1206,H1206),C1206*E1206*F1206*H1206,IF(AND(G1206,H1206),C1206*E1206*G1206*H1206,IF(F1206,C1206*E1206*F1206,IF(G1206,C1206*E1206*G1206,IF(H1206,C1206*E1206*H1206,C1206*E1206))))))),2)</f>
        <v>-2.93</v>
      </c>
      <c r="J1206" s="553" t="s">
        <v>102</v>
      </c>
      <c r="K1206" s="39"/>
      <c r="L1206" s="208"/>
      <c r="M1206" s="39"/>
      <c r="N1206" s="536" t="s">
        <v>2318</v>
      </c>
    </row>
    <row r="1207" spans="1:14" s="544" customFormat="1" ht="15.75">
      <c r="A1207" s="16"/>
      <c r="B1207" s="582" t="s">
        <v>2141</v>
      </c>
      <c r="C1207" s="583">
        <v>1</v>
      </c>
      <c r="D1207" s="584" t="s">
        <v>273</v>
      </c>
      <c r="E1207" s="585">
        <v>2</v>
      </c>
      <c r="F1207" s="586">
        <v>0.6</v>
      </c>
      <c r="G1207" s="586">
        <v>0</v>
      </c>
      <c r="H1207" s="586">
        <v>0.3</v>
      </c>
      <c r="I1207" s="552">
        <f>-ROUND(IF(AND(F1207:H1207),C1207*E1207*F1207*G1207*H1207,IF(AND(F1207,G1207),C1207*E1207*F1207*G1207,IF(AND(F1207,H1207),C1207*E1207*F1207*H1207,IF(AND(G1207,H1207),C1207*E1207*G1207*H1207,IF(F1207,C1207*E1207*F1207,IF(G1207,C1207*E1207*G1207,IF(H1207,C1207*E1207*H1207,C1207*E1207))))))),2)</f>
        <v>-0.36</v>
      </c>
      <c r="J1207" s="553" t="s">
        <v>102</v>
      </c>
      <c r="K1207" s="39"/>
      <c r="L1207" s="208"/>
      <c r="M1207" s="39"/>
      <c r="N1207" s="536" t="s">
        <v>2318</v>
      </c>
    </row>
    <row r="1208" spans="1:14" s="544" customFormat="1" ht="15.75">
      <c r="A1208" s="16"/>
      <c r="B1208" s="547"/>
      <c r="C1208" s="548"/>
      <c r="D1208" s="549"/>
      <c r="E1208" s="550"/>
      <c r="F1208" s="551"/>
      <c r="G1208" s="551"/>
      <c r="H1208" s="551"/>
      <c r="I1208" s="552"/>
      <c r="J1208" s="553"/>
      <c r="K1208" s="39"/>
      <c r="L1208" s="208"/>
      <c r="M1208" s="39"/>
      <c r="N1208" s="536" t="s">
        <v>2318</v>
      </c>
    </row>
    <row r="1209" spans="1:14" ht="15.75">
      <c r="A1209" s="16"/>
      <c r="B1209" s="39"/>
      <c r="C1209" s="554"/>
      <c r="D1209" s="555"/>
      <c r="E1209" s="540"/>
      <c r="F1209" s="541"/>
      <c r="G1209" s="40"/>
      <c r="H1209" s="16"/>
      <c r="I1209" s="552"/>
      <c r="J1209" s="553" t="s">
        <v>102</v>
      </c>
      <c r="K1209" s="10">
        <f>data!F3484</f>
        <v>527.21</v>
      </c>
      <c r="L1209" s="208" t="s">
        <v>2318</v>
      </c>
      <c r="M1209" s="9">
        <f>ROUND(I1209*K1209,0)</f>
        <v>0</v>
      </c>
      <c r="N1209" s="536" t="s">
        <v>2318</v>
      </c>
    </row>
    <row r="1210" spans="1:14" ht="81.75" customHeight="1">
      <c r="A1210" s="16">
        <v>27</v>
      </c>
      <c r="B1210" s="1858" t="s">
        <v>1203</v>
      </c>
      <c r="C1210" s="1858"/>
      <c r="D1210" s="1858"/>
      <c r="E1210" s="1858"/>
      <c r="F1210" s="1858"/>
      <c r="G1210" s="1858"/>
      <c r="H1210" s="1858"/>
      <c r="I1210" s="537"/>
      <c r="J1210" s="538"/>
      <c r="K1210" s="16"/>
      <c r="L1210" s="208"/>
      <c r="M1210" s="38"/>
      <c r="N1210" s="536" t="s">
        <v>2218</v>
      </c>
    </row>
    <row r="1211" spans="1:14" s="544" customFormat="1" ht="16.5" customHeight="1">
      <c r="A1211" s="16"/>
      <c r="B1211" s="607" t="s">
        <v>2896</v>
      </c>
      <c r="C1211" s="566"/>
      <c r="D1211" s="567"/>
      <c r="E1211" s="568"/>
      <c r="F1211" s="569"/>
      <c r="G1211" s="569"/>
      <c r="H1211" s="570"/>
      <c r="I1211" s="571"/>
      <c r="J1211" s="580"/>
      <c r="K1211" s="39"/>
      <c r="L1211" s="208"/>
      <c r="M1211" s="39"/>
      <c r="N1211" s="536" t="s">
        <v>2218</v>
      </c>
    </row>
    <row r="1212" spans="1:14" s="544" customFormat="1" ht="16.5" customHeight="1">
      <c r="A1212" s="16"/>
      <c r="B1212" s="556" t="s">
        <v>1189</v>
      </c>
      <c r="C1212" s="557">
        <v>2</v>
      </c>
      <c r="D1212" s="558" t="s">
        <v>273</v>
      </c>
      <c r="E1212" s="221">
        <v>0.5</v>
      </c>
      <c r="F1212" s="559">
        <v>0.96</v>
      </c>
      <c r="G1212" s="559">
        <v>1</v>
      </c>
      <c r="H1212" s="559">
        <v>0</v>
      </c>
      <c r="I1212" s="560">
        <f>ROUND(IF(AND(F1212:H1212),C1212*E1212*F1212*G1212*H1212,IF(AND(F1212,G1212),C1212*E1212*F1212*G1212,IF(AND(F1212,H1212),C1212*E1212*F1212*H1212,IF(AND(G1212,H1212),C1212*E1212*G1212*H1212,IF(F1212,C1212*E1212*F1212,IF(G1212,C1212*E1212*G1212,IF(H1212,C1212*E1212*H1212,C1212*E1212))))))),2)</f>
        <v>0.96</v>
      </c>
      <c r="J1212" s="580" t="s">
        <v>102</v>
      </c>
      <c r="K1212" s="39"/>
      <c r="L1212" s="208"/>
      <c r="M1212" s="39"/>
      <c r="N1212" s="536" t="s">
        <v>2218</v>
      </c>
    </row>
    <row r="1213" spans="1:14" s="544" customFormat="1" ht="16.5" customHeight="1">
      <c r="A1213" s="16"/>
      <c r="B1213" s="556"/>
      <c r="C1213" s="557">
        <v>1</v>
      </c>
      <c r="D1213" s="558" t="s">
        <v>273</v>
      </c>
      <c r="E1213" s="221">
        <v>2</v>
      </c>
      <c r="F1213" s="559">
        <v>3.6</v>
      </c>
      <c r="G1213" s="559">
        <v>1.1299999999999999</v>
      </c>
      <c r="H1213" s="559">
        <v>0</v>
      </c>
      <c r="I1213" s="560">
        <f>ROUND(IF(AND(F1213:H1213),C1213*E1213*F1213*G1213*H1213,IF(AND(F1213,G1213),C1213*E1213*F1213*G1213,IF(AND(F1213,H1213),C1213*E1213*F1213*H1213,IF(AND(G1213,H1213),C1213*E1213*G1213*H1213,IF(F1213,C1213*E1213*F1213,IF(G1213,C1213*E1213*G1213,IF(H1213,C1213*E1213*H1213,C1213*E1213))))))),2)</f>
        <v>8.14</v>
      </c>
      <c r="J1213" s="580" t="s">
        <v>102</v>
      </c>
      <c r="K1213" s="39"/>
      <c r="L1213" s="208"/>
      <c r="M1213" s="39"/>
      <c r="N1213" s="536" t="s">
        <v>2218</v>
      </c>
    </row>
    <row r="1214" spans="1:14" s="544" customFormat="1" ht="16.5" customHeight="1">
      <c r="A1214" s="16"/>
      <c r="B1214" s="556"/>
      <c r="C1214" s="557">
        <v>1</v>
      </c>
      <c r="D1214" s="558" t="s">
        <v>273</v>
      </c>
      <c r="E1214" s="221">
        <v>2</v>
      </c>
      <c r="F1214" s="559">
        <v>1.96</v>
      </c>
      <c r="G1214" s="559">
        <v>1</v>
      </c>
      <c r="H1214" s="559">
        <v>0</v>
      </c>
      <c r="I1214" s="560">
        <f>ROUND(IF(AND(F1214:H1214),C1214*E1214*F1214*G1214*H1214,IF(AND(F1214,G1214),C1214*E1214*F1214*G1214,IF(AND(F1214,H1214),C1214*E1214*F1214*H1214,IF(AND(G1214,H1214),C1214*E1214*G1214*H1214,IF(F1214,C1214*E1214*F1214,IF(G1214,C1214*E1214*G1214,IF(H1214,C1214*E1214*H1214,C1214*E1214))))))),2)</f>
        <v>3.92</v>
      </c>
      <c r="J1214" s="580" t="s">
        <v>102</v>
      </c>
      <c r="K1214" s="39"/>
      <c r="L1214" s="208"/>
      <c r="M1214" s="39"/>
      <c r="N1214" s="536" t="s">
        <v>2218</v>
      </c>
    </row>
    <row r="1215" spans="1:14" s="544" customFormat="1" ht="16.5" customHeight="1">
      <c r="A1215" s="16"/>
      <c r="B1215" s="556"/>
      <c r="C1215" s="557">
        <v>1</v>
      </c>
      <c r="D1215" s="558" t="s">
        <v>273</v>
      </c>
      <c r="E1215" s="221">
        <v>2</v>
      </c>
      <c r="F1215" s="559">
        <v>1.33</v>
      </c>
      <c r="G1215" s="559">
        <v>1.1000000000000001</v>
      </c>
      <c r="H1215" s="559">
        <v>0</v>
      </c>
      <c r="I1215" s="560">
        <f>ROUND(IF(AND(F1215:H1215),C1215*E1215*F1215*G1215*H1215,IF(AND(F1215,G1215),C1215*E1215*F1215*G1215,IF(AND(F1215,H1215),C1215*E1215*F1215*H1215,IF(AND(G1215,H1215),C1215*E1215*G1215*H1215,IF(F1215,C1215*E1215*F1215,IF(G1215,C1215*E1215*G1215,IF(H1215,C1215*E1215*H1215,C1215*E1215))))))),2)</f>
        <v>2.93</v>
      </c>
      <c r="J1215" s="580" t="s">
        <v>102</v>
      </c>
      <c r="K1215" s="39"/>
      <c r="L1215" s="208"/>
      <c r="M1215" s="39"/>
      <c r="N1215" s="536" t="s">
        <v>2218</v>
      </c>
    </row>
    <row r="1216" spans="1:14" s="544" customFormat="1" ht="16.5" customHeight="1">
      <c r="A1216" s="16"/>
      <c r="B1216" s="547"/>
      <c r="C1216" s="548"/>
      <c r="D1216" s="549"/>
      <c r="E1216" s="550"/>
      <c r="F1216" s="551"/>
      <c r="G1216" s="551"/>
      <c r="H1216" s="551"/>
      <c r="I1216" s="552"/>
      <c r="J1216" s="580"/>
      <c r="K1216" s="39"/>
      <c r="L1216" s="208"/>
      <c r="M1216" s="39"/>
      <c r="N1216" s="536" t="s">
        <v>2218</v>
      </c>
    </row>
    <row r="1217" spans="1:14" ht="15.75">
      <c r="A1217" s="16"/>
      <c r="B1217" s="39"/>
      <c r="C1217" s="554"/>
      <c r="D1217" s="555"/>
      <c r="E1217" s="540"/>
      <c r="F1217" s="541"/>
      <c r="G1217" s="40"/>
      <c r="H1217" s="16"/>
      <c r="I1217" s="552"/>
      <c r="J1217" s="580" t="s">
        <v>102</v>
      </c>
      <c r="K1217" s="10">
        <f>data!F761</f>
        <v>944.79</v>
      </c>
      <c r="L1217" s="208" t="s">
        <v>2218</v>
      </c>
      <c r="M1217" s="9">
        <f>ROUND(I1217*K1217,0)</f>
        <v>0</v>
      </c>
      <c r="N1217" s="536" t="s">
        <v>2218</v>
      </c>
    </row>
    <row r="1218" spans="1:14" ht="81.75" customHeight="1">
      <c r="A1218" s="16">
        <v>27</v>
      </c>
      <c r="B1218" s="1858" t="s">
        <v>1203</v>
      </c>
      <c r="C1218" s="1858"/>
      <c r="D1218" s="1858"/>
      <c r="E1218" s="1858"/>
      <c r="F1218" s="1858"/>
      <c r="G1218" s="1858"/>
      <c r="H1218" s="1858"/>
      <c r="I1218" s="537"/>
      <c r="J1218" s="538"/>
      <c r="K1218" s="16"/>
      <c r="L1218" s="208"/>
      <c r="M1218" s="38"/>
      <c r="N1218" s="536" t="s">
        <v>2306</v>
      </c>
    </row>
    <row r="1219" spans="1:14" s="544" customFormat="1" ht="16.5" customHeight="1">
      <c r="A1219" s="16"/>
      <c r="B1219" s="607" t="s">
        <v>2896</v>
      </c>
      <c r="C1219" s="566"/>
      <c r="D1219" s="567"/>
      <c r="E1219" s="568"/>
      <c r="F1219" s="569"/>
      <c r="G1219" s="569"/>
      <c r="H1219" s="570"/>
      <c r="I1219" s="571"/>
      <c r="J1219" s="580"/>
      <c r="K1219" s="39"/>
      <c r="L1219" s="208"/>
      <c r="M1219" s="39"/>
      <c r="N1219" s="536" t="s">
        <v>2306</v>
      </c>
    </row>
    <row r="1220" spans="1:14" s="544" customFormat="1" ht="16.5" customHeight="1">
      <c r="A1220" s="16"/>
      <c r="B1220" s="556" t="s">
        <v>1189</v>
      </c>
      <c r="C1220" s="557">
        <v>2</v>
      </c>
      <c r="D1220" s="558" t="s">
        <v>273</v>
      </c>
      <c r="E1220" s="221">
        <v>0.5</v>
      </c>
      <c r="F1220" s="559">
        <v>0.96</v>
      </c>
      <c r="G1220" s="559">
        <v>1</v>
      </c>
      <c r="H1220" s="559">
        <v>0</v>
      </c>
      <c r="I1220" s="560">
        <f>ROUND(IF(AND(F1220:H1220),C1220*E1220*F1220*G1220*H1220,IF(AND(F1220,G1220),C1220*E1220*F1220*G1220,IF(AND(F1220,H1220),C1220*E1220*F1220*H1220,IF(AND(G1220,H1220),C1220*E1220*G1220*H1220,IF(F1220,C1220*E1220*F1220,IF(G1220,C1220*E1220*G1220,IF(H1220,C1220*E1220*H1220,C1220*E1220))))))),2)</f>
        <v>0.96</v>
      </c>
      <c r="J1220" s="580" t="s">
        <v>102</v>
      </c>
      <c r="K1220" s="39"/>
      <c r="L1220" s="208"/>
      <c r="M1220" s="39"/>
      <c r="N1220" s="536" t="s">
        <v>2306</v>
      </c>
    </row>
    <row r="1221" spans="1:14" s="544" customFormat="1" ht="16.5" customHeight="1">
      <c r="A1221" s="16"/>
      <c r="B1221" s="556"/>
      <c r="C1221" s="557">
        <v>1</v>
      </c>
      <c r="D1221" s="558" t="s">
        <v>273</v>
      </c>
      <c r="E1221" s="221">
        <v>2</v>
      </c>
      <c r="F1221" s="559">
        <v>3.6</v>
      </c>
      <c r="G1221" s="559">
        <v>1.1299999999999999</v>
      </c>
      <c r="H1221" s="559">
        <v>0</v>
      </c>
      <c r="I1221" s="560">
        <f>ROUND(IF(AND(F1221:H1221),C1221*E1221*F1221*G1221*H1221,IF(AND(F1221,G1221),C1221*E1221*F1221*G1221,IF(AND(F1221,H1221),C1221*E1221*F1221*H1221,IF(AND(G1221,H1221),C1221*E1221*G1221*H1221,IF(F1221,C1221*E1221*F1221,IF(G1221,C1221*E1221*G1221,IF(H1221,C1221*E1221*H1221,C1221*E1221))))))),2)</f>
        <v>8.14</v>
      </c>
      <c r="J1221" s="580" t="s">
        <v>102</v>
      </c>
      <c r="K1221" s="39"/>
      <c r="L1221" s="208"/>
      <c r="M1221" s="39"/>
      <c r="N1221" s="536" t="s">
        <v>2306</v>
      </c>
    </row>
    <row r="1222" spans="1:14" s="544" customFormat="1" ht="16.5" customHeight="1">
      <c r="A1222" s="16"/>
      <c r="B1222" s="556"/>
      <c r="C1222" s="557">
        <v>1</v>
      </c>
      <c r="D1222" s="558" t="s">
        <v>273</v>
      </c>
      <c r="E1222" s="221">
        <v>2</v>
      </c>
      <c r="F1222" s="559">
        <v>1.96</v>
      </c>
      <c r="G1222" s="559">
        <v>1</v>
      </c>
      <c r="H1222" s="559">
        <v>0</v>
      </c>
      <c r="I1222" s="560">
        <f>ROUND(IF(AND(F1222:H1222),C1222*E1222*F1222*G1222*H1222,IF(AND(F1222,G1222),C1222*E1222*F1222*G1222,IF(AND(F1222,H1222),C1222*E1222*F1222*H1222,IF(AND(G1222,H1222),C1222*E1222*G1222*H1222,IF(F1222,C1222*E1222*F1222,IF(G1222,C1222*E1222*G1222,IF(H1222,C1222*E1222*H1222,C1222*E1222))))))),2)</f>
        <v>3.92</v>
      </c>
      <c r="J1222" s="580" t="s">
        <v>102</v>
      </c>
      <c r="K1222" s="39"/>
      <c r="L1222" s="208"/>
      <c r="M1222" s="39"/>
      <c r="N1222" s="536" t="s">
        <v>2306</v>
      </c>
    </row>
    <row r="1223" spans="1:14" s="544" customFormat="1" ht="16.5" customHeight="1">
      <c r="A1223" s="16"/>
      <c r="B1223" s="556"/>
      <c r="C1223" s="557">
        <v>1</v>
      </c>
      <c r="D1223" s="558" t="s">
        <v>273</v>
      </c>
      <c r="E1223" s="221">
        <v>2</v>
      </c>
      <c r="F1223" s="559">
        <v>1.33</v>
      </c>
      <c r="G1223" s="559">
        <v>1.1000000000000001</v>
      </c>
      <c r="H1223" s="559">
        <v>0</v>
      </c>
      <c r="I1223" s="560">
        <f>ROUND(IF(AND(F1223:H1223),C1223*E1223*F1223*G1223*H1223,IF(AND(F1223,G1223),C1223*E1223*F1223*G1223,IF(AND(F1223,H1223),C1223*E1223*F1223*H1223,IF(AND(G1223,H1223),C1223*E1223*G1223*H1223,IF(F1223,C1223*E1223*F1223,IF(G1223,C1223*E1223*G1223,IF(H1223,C1223*E1223*H1223,C1223*E1223))))))),2)</f>
        <v>2.93</v>
      </c>
      <c r="J1223" s="580" t="s">
        <v>102</v>
      </c>
      <c r="K1223" s="39"/>
      <c r="L1223" s="208"/>
      <c r="M1223" s="39"/>
      <c r="N1223" s="536" t="s">
        <v>2306</v>
      </c>
    </row>
    <row r="1224" spans="1:14" s="544" customFormat="1" ht="16.5" customHeight="1">
      <c r="A1224" s="16"/>
      <c r="B1224" s="547"/>
      <c r="C1224" s="548"/>
      <c r="D1224" s="549"/>
      <c r="E1224" s="550"/>
      <c r="F1224" s="551"/>
      <c r="G1224" s="551"/>
      <c r="H1224" s="551"/>
      <c r="I1224" s="552"/>
      <c r="J1224" s="580"/>
      <c r="K1224" s="39"/>
      <c r="L1224" s="208"/>
      <c r="M1224" s="39"/>
      <c r="N1224" s="536" t="s">
        <v>2306</v>
      </c>
    </row>
    <row r="1225" spans="1:14" ht="15.75">
      <c r="A1225" s="16"/>
      <c r="B1225" s="39"/>
      <c r="C1225" s="554"/>
      <c r="D1225" s="555"/>
      <c r="E1225" s="540"/>
      <c r="F1225" s="541"/>
      <c r="G1225" s="40"/>
      <c r="H1225" s="16"/>
      <c r="I1225" s="552"/>
      <c r="J1225" s="580" t="s">
        <v>102</v>
      </c>
      <c r="K1225" s="10">
        <f>data!F1678</f>
        <v>986.93</v>
      </c>
      <c r="L1225" s="208" t="s">
        <v>2306</v>
      </c>
      <c r="M1225" s="9">
        <f>ROUND(I1225*K1225,0)</f>
        <v>0</v>
      </c>
      <c r="N1225" s="536" t="s">
        <v>2306</v>
      </c>
    </row>
    <row r="1226" spans="1:14" ht="81.75" customHeight="1">
      <c r="A1226" s="16">
        <v>27</v>
      </c>
      <c r="B1226" s="1858" t="s">
        <v>1203</v>
      </c>
      <c r="C1226" s="1858"/>
      <c r="D1226" s="1858"/>
      <c r="E1226" s="1858"/>
      <c r="F1226" s="1858"/>
      <c r="G1226" s="1858"/>
      <c r="H1226" s="1858"/>
      <c r="I1226" s="537"/>
      <c r="J1226" s="538"/>
      <c r="K1226" s="16"/>
      <c r="L1226" s="208"/>
      <c r="M1226" s="38"/>
      <c r="N1226" s="536" t="s">
        <v>2317</v>
      </c>
    </row>
    <row r="1227" spans="1:14" s="544" customFormat="1" ht="16.5" customHeight="1">
      <c r="A1227" s="16"/>
      <c r="B1227" s="607" t="s">
        <v>2896</v>
      </c>
      <c r="C1227" s="566"/>
      <c r="D1227" s="567"/>
      <c r="E1227" s="568"/>
      <c r="F1227" s="569"/>
      <c r="G1227" s="569"/>
      <c r="H1227" s="570"/>
      <c r="I1227" s="571"/>
      <c r="J1227" s="580"/>
      <c r="K1227" s="39"/>
      <c r="L1227" s="208"/>
      <c r="M1227" s="39"/>
      <c r="N1227" s="536" t="s">
        <v>2317</v>
      </c>
    </row>
    <row r="1228" spans="1:14" s="544" customFormat="1" ht="16.5" customHeight="1">
      <c r="A1228" s="16"/>
      <c r="B1228" s="556" t="s">
        <v>1189</v>
      </c>
      <c r="C1228" s="557">
        <v>2</v>
      </c>
      <c r="D1228" s="558" t="s">
        <v>273</v>
      </c>
      <c r="E1228" s="221">
        <v>0.5</v>
      </c>
      <c r="F1228" s="559">
        <v>0.96</v>
      </c>
      <c r="G1228" s="559">
        <v>1</v>
      </c>
      <c r="H1228" s="559">
        <v>0</v>
      </c>
      <c r="I1228" s="560">
        <f>ROUND(IF(AND(F1228:H1228),C1228*E1228*F1228*G1228*H1228,IF(AND(F1228,G1228),C1228*E1228*F1228*G1228,IF(AND(F1228,H1228),C1228*E1228*F1228*H1228,IF(AND(G1228,H1228),C1228*E1228*G1228*H1228,IF(F1228,C1228*E1228*F1228,IF(G1228,C1228*E1228*G1228,IF(H1228,C1228*E1228*H1228,C1228*E1228))))))),2)</f>
        <v>0.96</v>
      </c>
      <c r="J1228" s="580" t="s">
        <v>102</v>
      </c>
      <c r="K1228" s="39"/>
      <c r="L1228" s="208"/>
      <c r="M1228" s="39"/>
      <c r="N1228" s="536" t="s">
        <v>2317</v>
      </c>
    </row>
    <row r="1229" spans="1:14" s="544" customFormat="1" ht="16.5" customHeight="1">
      <c r="A1229" s="16"/>
      <c r="B1229" s="556"/>
      <c r="C1229" s="557">
        <v>1</v>
      </c>
      <c r="D1229" s="558" t="s">
        <v>273</v>
      </c>
      <c r="E1229" s="221">
        <v>2</v>
      </c>
      <c r="F1229" s="559">
        <v>3.6</v>
      </c>
      <c r="G1229" s="559">
        <v>1.1299999999999999</v>
      </c>
      <c r="H1229" s="559">
        <v>0</v>
      </c>
      <c r="I1229" s="560">
        <f>ROUND(IF(AND(F1229:H1229),C1229*E1229*F1229*G1229*H1229,IF(AND(F1229,G1229),C1229*E1229*F1229*G1229,IF(AND(F1229,H1229),C1229*E1229*F1229*H1229,IF(AND(G1229,H1229),C1229*E1229*G1229*H1229,IF(F1229,C1229*E1229*F1229,IF(G1229,C1229*E1229*G1229,IF(H1229,C1229*E1229*H1229,C1229*E1229))))))),2)</f>
        <v>8.14</v>
      </c>
      <c r="J1229" s="580" t="s">
        <v>102</v>
      </c>
      <c r="K1229" s="39"/>
      <c r="L1229" s="208"/>
      <c r="M1229" s="39"/>
      <c r="N1229" s="536" t="s">
        <v>2317</v>
      </c>
    </row>
    <row r="1230" spans="1:14" s="544" customFormat="1" ht="16.5" customHeight="1">
      <c r="A1230" s="16"/>
      <c r="B1230" s="556"/>
      <c r="C1230" s="557">
        <v>1</v>
      </c>
      <c r="D1230" s="558" t="s">
        <v>273</v>
      </c>
      <c r="E1230" s="221">
        <v>2</v>
      </c>
      <c r="F1230" s="559">
        <v>1.96</v>
      </c>
      <c r="G1230" s="559">
        <v>1</v>
      </c>
      <c r="H1230" s="559">
        <v>0</v>
      </c>
      <c r="I1230" s="560">
        <f>ROUND(IF(AND(F1230:H1230),C1230*E1230*F1230*G1230*H1230,IF(AND(F1230,G1230),C1230*E1230*F1230*G1230,IF(AND(F1230,H1230),C1230*E1230*F1230*H1230,IF(AND(G1230,H1230),C1230*E1230*G1230*H1230,IF(F1230,C1230*E1230*F1230,IF(G1230,C1230*E1230*G1230,IF(H1230,C1230*E1230*H1230,C1230*E1230))))))),2)</f>
        <v>3.92</v>
      </c>
      <c r="J1230" s="580" t="s">
        <v>102</v>
      </c>
      <c r="K1230" s="39"/>
      <c r="L1230" s="208"/>
      <c r="M1230" s="39"/>
      <c r="N1230" s="536" t="s">
        <v>2317</v>
      </c>
    </row>
    <row r="1231" spans="1:14" s="544" customFormat="1" ht="16.5" customHeight="1">
      <c r="A1231" s="16"/>
      <c r="B1231" s="556"/>
      <c r="C1231" s="557">
        <v>1</v>
      </c>
      <c r="D1231" s="558" t="s">
        <v>273</v>
      </c>
      <c r="E1231" s="221">
        <v>2</v>
      </c>
      <c r="F1231" s="559">
        <v>1.33</v>
      </c>
      <c r="G1231" s="559">
        <v>1.1000000000000001</v>
      </c>
      <c r="H1231" s="559">
        <v>0</v>
      </c>
      <c r="I1231" s="560">
        <f>ROUND(IF(AND(F1231:H1231),C1231*E1231*F1231*G1231*H1231,IF(AND(F1231,G1231),C1231*E1231*F1231*G1231,IF(AND(F1231,H1231),C1231*E1231*F1231*H1231,IF(AND(G1231,H1231),C1231*E1231*G1231*H1231,IF(F1231,C1231*E1231*F1231,IF(G1231,C1231*E1231*G1231,IF(H1231,C1231*E1231*H1231,C1231*E1231))))))),2)</f>
        <v>2.93</v>
      </c>
      <c r="J1231" s="580" t="s">
        <v>102</v>
      </c>
      <c r="K1231" s="39"/>
      <c r="L1231" s="208"/>
      <c r="M1231" s="39"/>
      <c r="N1231" s="536" t="s">
        <v>2317</v>
      </c>
    </row>
    <row r="1232" spans="1:14" s="544" customFormat="1" ht="16.5" customHeight="1">
      <c r="A1232" s="16"/>
      <c r="B1232" s="547"/>
      <c r="C1232" s="548"/>
      <c r="D1232" s="549"/>
      <c r="E1232" s="550"/>
      <c r="F1232" s="551"/>
      <c r="G1232" s="551"/>
      <c r="H1232" s="551"/>
      <c r="I1232" s="552"/>
      <c r="J1232" s="580"/>
      <c r="K1232" s="39"/>
      <c r="L1232" s="208"/>
      <c r="M1232" s="39"/>
      <c r="N1232" s="536" t="s">
        <v>2317</v>
      </c>
    </row>
    <row r="1233" spans="1:14" ht="15.75">
      <c r="A1233" s="16"/>
      <c r="B1233" s="39"/>
      <c r="C1233" s="554"/>
      <c r="D1233" s="555"/>
      <c r="E1233" s="540"/>
      <c r="F1233" s="541"/>
      <c r="G1233" s="40"/>
      <c r="H1233" s="16"/>
      <c r="I1233" s="552"/>
      <c r="J1233" s="580" t="s">
        <v>102</v>
      </c>
      <c r="K1233" s="10">
        <f>data!F2595</f>
        <v>1020.23</v>
      </c>
      <c r="L1233" s="208" t="s">
        <v>2317</v>
      </c>
      <c r="M1233" s="9">
        <f>ROUND(I1233*K1233,0)</f>
        <v>0</v>
      </c>
      <c r="N1233" s="536" t="s">
        <v>2317</v>
      </c>
    </row>
    <row r="1234" spans="1:14" ht="81.75" customHeight="1">
      <c r="A1234" s="16">
        <v>27</v>
      </c>
      <c r="B1234" s="1858" t="s">
        <v>1203</v>
      </c>
      <c r="C1234" s="1858"/>
      <c r="D1234" s="1858"/>
      <c r="E1234" s="1858"/>
      <c r="F1234" s="1858"/>
      <c r="G1234" s="1858"/>
      <c r="H1234" s="1858"/>
      <c r="I1234" s="537"/>
      <c r="J1234" s="538"/>
      <c r="K1234" s="16"/>
      <c r="L1234" s="208"/>
      <c r="M1234" s="38"/>
      <c r="N1234" s="536" t="s">
        <v>2318</v>
      </c>
    </row>
    <row r="1235" spans="1:14" s="544" customFormat="1" ht="16.5" customHeight="1">
      <c r="A1235" s="16"/>
      <c r="B1235" s="607" t="s">
        <v>2896</v>
      </c>
      <c r="C1235" s="566"/>
      <c r="D1235" s="567"/>
      <c r="E1235" s="568"/>
      <c r="F1235" s="569"/>
      <c r="G1235" s="569"/>
      <c r="H1235" s="570"/>
      <c r="I1235" s="571"/>
      <c r="J1235" s="580"/>
      <c r="K1235" s="39"/>
      <c r="L1235" s="208"/>
      <c r="M1235" s="39"/>
      <c r="N1235" s="536" t="s">
        <v>2318</v>
      </c>
    </row>
    <row r="1236" spans="1:14" s="544" customFormat="1" ht="16.5" customHeight="1">
      <c r="A1236" s="16"/>
      <c r="B1236" s="556" t="s">
        <v>1189</v>
      </c>
      <c r="C1236" s="557">
        <v>2</v>
      </c>
      <c r="D1236" s="558" t="s">
        <v>273</v>
      </c>
      <c r="E1236" s="221">
        <v>0.5</v>
      </c>
      <c r="F1236" s="559">
        <v>0.96</v>
      </c>
      <c r="G1236" s="559">
        <v>1</v>
      </c>
      <c r="H1236" s="559">
        <v>0</v>
      </c>
      <c r="I1236" s="560">
        <f>ROUND(IF(AND(F1236:H1236),C1236*E1236*F1236*G1236*H1236,IF(AND(F1236,G1236),C1236*E1236*F1236*G1236,IF(AND(F1236,H1236),C1236*E1236*F1236*H1236,IF(AND(G1236,H1236),C1236*E1236*G1236*H1236,IF(F1236,C1236*E1236*F1236,IF(G1236,C1236*E1236*G1236,IF(H1236,C1236*E1236*H1236,C1236*E1236))))))),2)</f>
        <v>0.96</v>
      </c>
      <c r="J1236" s="580" t="s">
        <v>102</v>
      </c>
      <c r="K1236" s="39"/>
      <c r="L1236" s="208"/>
      <c r="M1236" s="39"/>
      <c r="N1236" s="536" t="s">
        <v>2318</v>
      </c>
    </row>
    <row r="1237" spans="1:14" s="544" customFormat="1" ht="16.5" customHeight="1">
      <c r="A1237" s="16"/>
      <c r="B1237" s="556"/>
      <c r="C1237" s="557">
        <v>1</v>
      </c>
      <c r="D1237" s="558" t="s">
        <v>273</v>
      </c>
      <c r="E1237" s="221">
        <v>2</v>
      </c>
      <c r="F1237" s="559">
        <v>3.6</v>
      </c>
      <c r="G1237" s="559">
        <v>1.1299999999999999</v>
      </c>
      <c r="H1237" s="559">
        <v>0</v>
      </c>
      <c r="I1237" s="560">
        <f>ROUND(IF(AND(F1237:H1237),C1237*E1237*F1237*G1237*H1237,IF(AND(F1237,G1237),C1237*E1237*F1237*G1237,IF(AND(F1237,H1237),C1237*E1237*F1237*H1237,IF(AND(G1237,H1237),C1237*E1237*G1237*H1237,IF(F1237,C1237*E1237*F1237,IF(G1237,C1237*E1237*G1237,IF(H1237,C1237*E1237*H1237,C1237*E1237))))))),2)</f>
        <v>8.14</v>
      </c>
      <c r="J1237" s="580" t="s">
        <v>102</v>
      </c>
      <c r="K1237" s="39"/>
      <c r="L1237" s="208"/>
      <c r="M1237" s="39"/>
      <c r="N1237" s="536" t="s">
        <v>2318</v>
      </c>
    </row>
    <row r="1238" spans="1:14" s="544" customFormat="1" ht="16.5" customHeight="1">
      <c r="A1238" s="16"/>
      <c r="B1238" s="556"/>
      <c r="C1238" s="557">
        <v>1</v>
      </c>
      <c r="D1238" s="558" t="s">
        <v>273</v>
      </c>
      <c r="E1238" s="221">
        <v>2</v>
      </c>
      <c r="F1238" s="559">
        <v>1.96</v>
      </c>
      <c r="G1238" s="559">
        <v>1</v>
      </c>
      <c r="H1238" s="559">
        <v>0</v>
      </c>
      <c r="I1238" s="560">
        <f>ROUND(IF(AND(F1238:H1238),C1238*E1238*F1238*G1238*H1238,IF(AND(F1238,G1238),C1238*E1238*F1238*G1238,IF(AND(F1238,H1238),C1238*E1238*F1238*H1238,IF(AND(G1238,H1238),C1238*E1238*G1238*H1238,IF(F1238,C1238*E1238*F1238,IF(G1238,C1238*E1238*G1238,IF(H1238,C1238*E1238*H1238,C1238*E1238))))))),2)</f>
        <v>3.92</v>
      </c>
      <c r="J1238" s="580" t="s">
        <v>102</v>
      </c>
      <c r="K1238" s="39"/>
      <c r="L1238" s="208"/>
      <c r="M1238" s="39"/>
      <c r="N1238" s="536" t="s">
        <v>2318</v>
      </c>
    </row>
    <row r="1239" spans="1:14" s="544" customFormat="1" ht="16.5" customHeight="1">
      <c r="A1239" s="16"/>
      <c r="B1239" s="556"/>
      <c r="C1239" s="557">
        <v>1</v>
      </c>
      <c r="D1239" s="558" t="s">
        <v>273</v>
      </c>
      <c r="E1239" s="221">
        <v>2</v>
      </c>
      <c r="F1239" s="559">
        <v>1.33</v>
      </c>
      <c r="G1239" s="559">
        <v>1.1000000000000001</v>
      </c>
      <c r="H1239" s="559">
        <v>0</v>
      </c>
      <c r="I1239" s="560">
        <f>ROUND(IF(AND(F1239:H1239),C1239*E1239*F1239*G1239*H1239,IF(AND(F1239,G1239),C1239*E1239*F1239*G1239,IF(AND(F1239,H1239),C1239*E1239*F1239*H1239,IF(AND(G1239,H1239),C1239*E1239*G1239*H1239,IF(F1239,C1239*E1239*F1239,IF(G1239,C1239*E1239*G1239,IF(H1239,C1239*E1239*H1239,C1239*E1239))))))),2)</f>
        <v>2.93</v>
      </c>
      <c r="J1239" s="580" t="s">
        <v>102</v>
      </c>
      <c r="K1239" s="39"/>
      <c r="L1239" s="208"/>
      <c r="M1239" s="39"/>
      <c r="N1239" s="536" t="s">
        <v>2318</v>
      </c>
    </row>
    <row r="1240" spans="1:14" s="544" customFormat="1" ht="16.5" customHeight="1">
      <c r="A1240" s="16"/>
      <c r="B1240" s="547"/>
      <c r="C1240" s="548"/>
      <c r="D1240" s="549"/>
      <c r="E1240" s="550"/>
      <c r="F1240" s="551"/>
      <c r="G1240" s="551"/>
      <c r="H1240" s="551"/>
      <c r="I1240" s="552"/>
      <c r="J1240" s="580"/>
      <c r="K1240" s="39"/>
      <c r="L1240" s="208"/>
      <c r="M1240" s="39"/>
      <c r="N1240" s="536" t="s">
        <v>2318</v>
      </c>
    </row>
    <row r="1241" spans="1:14" ht="15.75">
      <c r="A1241" s="16"/>
      <c r="B1241" s="39"/>
      <c r="C1241" s="554"/>
      <c r="D1241" s="555"/>
      <c r="E1241" s="540"/>
      <c r="F1241" s="541"/>
      <c r="G1241" s="40"/>
      <c r="H1241" s="16"/>
      <c r="I1241" s="552"/>
      <c r="J1241" s="580" t="s">
        <v>102</v>
      </c>
      <c r="K1241" s="10">
        <f>data!F3512</f>
        <v>1059.21</v>
      </c>
      <c r="L1241" s="208" t="s">
        <v>2318</v>
      </c>
      <c r="M1241" s="9">
        <f>ROUND(I1241*K1241,0)</f>
        <v>0</v>
      </c>
      <c r="N1241" s="536" t="s">
        <v>2318</v>
      </c>
    </row>
    <row r="1242" spans="1:14" ht="66" customHeight="1">
      <c r="A1242" s="16">
        <v>26</v>
      </c>
      <c r="B1242" s="1858" t="s">
        <v>1193</v>
      </c>
      <c r="C1242" s="1858"/>
      <c r="D1242" s="1858"/>
      <c r="E1242" s="1858"/>
      <c r="F1242" s="1858"/>
      <c r="G1242" s="1858"/>
      <c r="H1242" s="1858"/>
      <c r="I1242" s="537"/>
      <c r="J1242" s="538"/>
      <c r="K1242" s="16"/>
      <c r="L1242" s="208"/>
      <c r="M1242" s="38"/>
      <c r="N1242" s="536" t="s">
        <v>2218</v>
      </c>
    </row>
    <row r="1243" spans="1:14" s="544" customFormat="1" ht="16.5" customHeight="1">
      <c r="A1243" s="16"/>
      <c r="B1243" s="39" t="s">
        <v>2866</v>
      </c>
      <c r="C1243" s="566"/>
      <c r="D1243" s="567"/>
      <c r="E1243" s="568"/>
      <c r="F1243" s="569"/>
      <c r="G1243" s="569"/>
      <c r="H1243" s="570"/>
      <c r="I1243" s="571"/>
      <c r="J1243" s="553"/>
      <c r="K1243" s="39"/>
      <c r="L1243" s="208"/>
      <c r="M1243" s="39"/>
      <c r="N1243" s="536" t="s">
        <v>2218</v>
      </c>
    </row>
    <row r="1244" spans="1:14" s="544" customFormat="1" ht="16.5" customHeight="1">
      <c r="A1244" s="16"/>
      <c r="B1244" s="39" t="s">
        <v>799</v>
      </c>
      <c r="C1244" s="537">
        <v>1</v>
      </c>
      <c r="D1244" s="539" t="s">
        <v>273</v>
      </c>
      <c r="E1244" s="540">
        <v>1</v>
      </c>
      <c r="F1244" s="541">
        <v>8.5</v>
      </c>
      <c r="G1244" s="541">
        <v>4.95</v>
      </c>
      <c r="H1244" s="541">
        <v>0</v>
      </c>
      <c r="I1244" s="545">
        <f t="shared" ref="I1244:I1245" si="116">ROUND(IF(AND(F1244:H1244),C1244*E1244*F1244*G1244*H1244,IF(AND(F1244,G1244),C1244*E1244*F1244*G1244,IF(AND(F1244,H1244),C1244*E1244*F1244*H1244,IF(AND(G1244,H1244),C1244*E1244*G1244*H1244,IF(F1244,C1244*E1244*F1244,IF(G1244,C1244*E1244*G1244,IF(H1244,C1244*E1244*H1244,C1244*E1244))))))),2)</f>
        <v>42.08</v>
      </c>
      <c r="J1244" s="553" t="s">
        <v>102</v>
      </c>
      <c r="K1244" s="39"/>
      <c r="L1244" s="208"/>
      <c r="M1244" s="39"/>
      <c r="N1244" s="536" t="s">
        <v>2218</v>
      </c>
    </row>
    <row r="1245" spans="1:14" s="544" customFormat="1" ht="16.5" customHeight="1">
      <c r="A1245" s="16"/>
      <c r="B1245" s="39" t="s">
        <v>813</v>
      </c>
      <c r="C1245" s="537">
        <v>1</v>
      </c>
      <c r="D1245" s="539" t="s">
        <v>273</v>
      </c>
      <c r="E1245" s="540">
        <v>1</v>
      </c>
      <c r="F1245" s="541">
        <v>5.5</v>
      </c>
      <c r="G1245" s="541">
        <v>2.4</v>
      </c>
      <c r="H1245" s="541">
        <v>0</v>
      </c>
      <c r="I1245" s="545">
        <f t="shared" si="116"/>
        <v>13.2</v>
      </c>
      <c r="J1245" s="553" t="s">
        <v>102</v>
      </c>
      <c r="K1245" s="39"/>
      <c r="L1245" s="208"/>
      <c r="M1245" s="39"/>
      <c r="N1245" s="536" t="s">
        <v>2218</v>
      </c>
    </row>
    <row r="1246" spans="1:14" s="544" customFormat="1" ht="16.5" customHeight="1">
      <c r="A1246" s="16"/>
      <c r="B1246" s="39" t="s">
        <v>814</v>
      </c>
      <c r="C1246" s="537">
        <v>1</v>
      </c>
      <c r="D1246" s="539" t="s">
        <v>273</v>
      </c>
      <c r="E1246" s="540">
        <v>1</v>
      </c>
      <c r="F1246" s="541">
        <v>8.85</v>
      </c>
      <c r="G1246" s="541">
        <v>0</v>
      </c>
      <c r="H1246" s="541">
        <v>3.6</v>
      </c>
      <c r="I1246" s="545">
        <f>ROUND(IF(AND(F1246:H1246),C1246*E1246*F1246*G1246*H1246,IF(AND(F1246,G1246),C1246*E1246*F1246*G1246,IF(AND(F1246,H1246),C1246*E1246*F1246*H1246,IF(AND(G1246,H1246),C1246*E1246*G1246*H1246,IF(F1246,C1246*E1246*F1246,IF(G1246,C1246*E1246*G1246,IF(H1246,C1246*E1246*H1246,C1246*E1246))))))),2)</f>
        <v>31.86</v>
      </c>
      <c r="J1246" s="553" t="s">
        <v>102</v>
      </c>
      <c r="K1246" s="39"/>
      <c r="L1246" s="208"/>
      <c r="M1246" s="39"/>
      <c r="N1246" s="536" t="s">
        <v>2218</v>
      </c>
    </row>
    <row r="1247" spans="1:14" s="544" customFormat="1" ht="16.5" customHeight="1">
      <c r="A1247" s="16"/>
      <c r="B1247" s="39" t="s">
        <v>817</v>
      </c>
      <c r="C1247" s="537">
        <v>1</v>
      </c>
      <c r="D1247" s="539" t="s">
        <v>273</v>
      </c>
      <c r="E1247" s="540">
        <v>1</v>
      </c>
      <c r="F1247" s="541">
        <v>6.25</v>
      </c>
      <c r="G1247" s="541">
        <v>0</v>
      </c>
      <c r="H1247" s="541">
        <v>3.6</v>
      </c>
      <c r="I1247" s="545">
        <f>ROUND(IF(AND(F1247:H1247),C1247*E1247*F1247*G1247*H1247,IF(AND(F1247,G1247),C1247*E1247*F1247*G1247,IF(AND(F1247,H1247),C1247*E1247*F1247*H1247,IF(AND(G1247,H1247),C1247*E1247*G1247*H1247,IF(F1247,C1247*E1247*F1247,IF(G1247,C1247*E1247*G1247,IF(H1247,C1247*E1247*H1247,C1247*E1247))))))),2)</f>
        <v>22.5</v>
      </c>
      <c r="J1247" s="553" t="s">
        <v>102</v>
      </c>
      <c r="K1247" s="39"/>
      <c r="L1247" s="208"/>
      <c r="M1247" s="39"/>
      <c r="N1247" s="536" t="s">
        <v>2218</v>
      </c>
    </row>
    <row r="1248" spans="1:14" s="544" customFormat="1" ht="16.5" customHeight="1">
      <c r="A1248" s="16"/>
      <c r="B1248" s="39" t="s">
        <v>816</v>
      </c>
      <c r="C1248" s="537">
        <v>1</v>
      </c>
      <c r="D1248" s="539" t="s">
        <v>273</v>
      </c>
      <c r="E1248" s="540">
        <v>1</v>
      </c>
      <c r="F1248" s="541">
        <v>5.45</v>
      </c>
      <c r="G1248" s="541">
        <v>0</v>
      </c>
      <c r="H1248" s="541">
        <v>3.2</v>
      </c>
      <c r="I1248" s="545">
        <f>ROUND(IF(AND(F1248:H1248),C1248*E1248*F1248*G1248*H1248,IF(AND(F1248,G1248),C1248*E1248*F1248*G1248,IF(AND(F1248,H1248),C1248*E1248*F1248*H1248,IF(AND(G1248,H1248),C1248*E1248*G1248*H1248,IF(F1248,C1248*E1248*F1248,IF(G1248,C1248*E1248*G1248,IF(H1248,C1248*E1248*H1248,C1248*E1248))))))),2)</f>
        <v>17.440000000000001</v>
      </c>
      <c r="J1248" s="553" t="s">
        <v>102</v>
      </c>
      <c r="K1248" s="39"/>
      <c r="L1248" s="208"/>
      <c r="M1248" s="39"/>
      <c r="N1248" s="536" t="s">
        <v>2218</v>
      </c>
    </row>
    <row r="1249" spans="1:14" s="544" customFormat="1" ht="16.5" customHeight="1">
      <c r="A1249" s="16"/>
      <c r="B1249" s="547"/>
      <c r="C1249" s="548"/>
      <c r="D1249" s="549"/>
      <c r="E1249" s="587"/>
      <c r="F1249" s="551"/>
      <c r="G1249" s="551"/>
      <c r="H1249" s="551"/>
      <c r="I1249" s="552"/>
      <c r="J1249" s="553"/>
      <c r="K1249" s="39"/>
      <c r="L1249" s="208"/>
      <c r="M1249" s="39"/>
      <c r="N1249" s="536" t="s">
        <v>2218</v>
      </c>
    </row>
    <row r="1250" spans="1:14" ht="15.75">
      <c r="A1250" s="16"/>
      <c r="B1250" s="39"/>
      <c r="C1250" s="554"/>
      <c r="D1250" s="555"/>
      <c r="E1250" s="540"/>
      <c r="F1250" s="541"/>
      <c r="G1250" s="40"/>
      <c r="H1250" s="16"/>
      <c r="I1250" s="552"/>
      <c r="J1250" s="553" t="s">
        <v>102</v>
      </c>
      <c r="K1250" s="10">
        <f>data!F796</f>
        <v>21.43</v>
      </c>
      <c r="L1250" s="208" t="s">
        <v>2218</v>
      </c>
      <c r="M1250" s="9">
        <f>ROUND(I1250*K1250,0)</f>
        <v>0</v>
      </c>
      <c r="N1250" s="536" t="s">
        <v>2218</v>
      </c>
    </row>
    <row r="1251" spans="1:14" ht="66" customHeight="1">
      <c r="A1251" s="16">
        <v>26</v>
      </c>
      <c r="B1251" s="1858" t="s">
        <v>1193</v>
      </c>
      <c r="C1251" s="1858"/>
      <c r="D1251" s="1858"/>
      <c r="E1251" s="1858"/>
      <c r="F1251" s="1858"/>
      <c r="G1251" s="1858"/>
      <c r="H1251" s="1858"/>
      <c r="I1251" s="537"/>
      <c r="J1251" s="538"/>
      <c r="K1251" s="16"/>
      <c r="L1251" s="208"/>
      <c r="M1251" s="38"/>
      <c r="N1251" s="536" t="s">
        <v>2306</v>
      </c>
    </row>
    <row r="1252" spans="1:14" s="544" customFormat="1" ht="16.5" customHeight="1">
      <c r="A1252" s="16"/>
      <c r="B1252" s="39" t="s">
        <v>2866</v>
      </c>
      <c r="C1252" s="566"/>
      <c r="D1252" s="567"/>
      <c r="E1252" s="568"/>
      <c r="F1252" s="569"/>
      <c r="G1252" s="569"/>
      <c r="H1252" s="570"/>
      <c r="I1252" s="571"/>
      <c r="J1252" s="553"/>
      <c r="K1252" s="39"/>
      <c r="L1252" s="208"/>
      <c r="M1252" s="39"/>
      <c r="N1252" s="536" t="s">
        <v>2306</v>
      </c>
    </row>
    <row r="1253" spans="1:14" s="544" customFormat="1" ht="16.5" customHeight="1">
      <c r="A1253" s="16"/>
      <c r="B1253" s="39" t="s">
        <v>799</v>
      </c>
      <c r="C1253" s="537">
        <v>1</v>
      </c>
      <c r="D1253" s="539" t="s">
        <v>273</v>
      </c>
      <c r="E1253" s="540">
        <v>1</v>
      </c>
      <c r="F1253" s="541">
        <v>8.5</v>
      </c>
      <c r="G1253" s="541">
        <v>4.95</v>
      </c>
      <c r="H1253" s="541">
        <v>0</v>
      </c>
      <c r="I1253" s="545">
        <f>ROUND(IF(AND(F1253:H1253),C1253*E1253*F1253*G1253*H1253,IF(AND(F1253,G1253),C1253*E1253*F1253*G1253,IF(AND(F1253,H1253),C1253*E1253*F1253*H1253,IF(AND(G1253,H1253),C1253*E1253*G1253*H1253,IF(F1253,C1253*E1253*F1253,IF(G1253,C1253*E1253*G1253,IF(H1253,C1253*E1253*H1253,C1253*E1253))))))),2)</f>
        <v>42.08</v>
      </c>
      <c r="J1253" s="553" t="s">
        <v>102</v>
      </c>
      <c r="K1253" s="39"/>
      <c r="L1253" s="208"/>
      <c r="M1253" s="39"/>
      <c r="N1253" s="536" t="s">
        <v>2306</v>
      </c>
    </row>
    <row r="1254" spans="1:14" s="544" customFormat="1" ht="16.5" customHeight="1">
      <c r="A1254" s="16"/>
      <c r="B1254" s="39" t="s">
        <v>813</v>
      </c>
      <c r="C1254" s="537">
        <v>1</v>
      </c>
      <c r="D1254" s="539" t="s">
        <v>273</v>
      </c>
      <c r="E1254" s="540">
        <v>1</v>
      </c>
      <c r="F1254" s="541">
        <v>5.5</v>
      </c>
      <c r="G1254" s="541">
        <v>2.4</v>
      </c>
      <c r="H1254" s="541">
        <v>0</v>
      </c>
      <c r="I1254" s="545">
        <f>ROUND(IF(AND(F1254:H1254),C1254*E1254*F1254*G1254*H1254,IF(AND(F1254,G1254),C1254*E1254*F1254*G1254,IF(AND(F1254,H1254),C1254*E1254*F1254*H1254,IF(AND(G1254,H1254),C1254*E1254*G1254*H1254,IF(F1254,C1254*E1254*F1254,IF(G1254,C1254*E1254*G1254,IF(H1254,C1254*E1254*H1254,C1254*E1254))))))),2)</f>
        <v>13.2</v>
      </c>
      <c r="J1254" s="553" t="s">
        <v>102</v>
      </c>
      <c r="K1254" s="39"/>
      <c r="L1254" s="208"/>
      <c r="M1254" s="39"/>
      <c r="N1254" s="536" t="s">
        <v>2306</v>
      </c>
    </row>
    <row r="1255" spans="1:14" s="544" customFormat="1" ht="16.5" customHeight="1">
      <c r="A1255" s="16"/>
      <c r="B1255" s="39" t="s">
        <v>814</v>
      </c>
      <c r="C1255" s="537">
        <v>1</v>
      </c>
      <c r="D1255" s="539" t="s">
        <v>273</v>
      </c>
      <c r="E1255" s="540">
        <v>1</v>
      </c>
      <c r="F1255" s="541">
        <v>8.85</v>
      </c>
      <c r="G1255" s="541">
        <v>0</v>
      </c>
      <c r="H1255" s="541">
        <v>3.6</v>
      </c>
      <c r="I1255" s="545">
        <f>ROUND(IF(AND(F1255:H1255),C1255*E1255*F1255*G1255*H1255,IF(AND(F1255,G1255),C1255*E1255*F1255*G1255,IF(AND(F1255,H1255),C1255*E1255*F1255*H1255,IF(AND(G1255,H1255),C1255*E1255*G1255*H1255,IF(F1255,C1255*E1255*F1255,IF(G1255,C1255*E1255*G1255,IF(H1255,C1255*E1255*H1255,C1255*E1255))))))),2)</f>
        <v>31.86</v>
      </c>
      <c r="J1255" s="553" t="s">
        <v>102</v>
      </c>
      <c r="K1255" s="39"/>
      <c r="L1255" s="208"/>
      <c r="M1255" s="39"/>
      <c r="N1255" s="536" t="s">
        <v>2306</v>
      </c>
    </row>
    <row r="1256" spans="1:14" s="544" customFormat="1" ht="16.5" customHeight="1">
      <c r="A1256" s="16"/>
      <c r="B1256" s="39" t="s">
        <v>817</v>
      </c>
      <c r="C1256" s="537">
        <v>1</v>
      </c>
      <c r="D1256" s="539" t="s">
        <v>273</v>
      </c>
      <c r="E1256" s="540">
        <v>1</v>
      </c>
      <c r="F1256" s="541">
        <v>6.25</v>
      </c>
      <c r="G1256" s="541">
        <v>0</v>
      </c>
      <c r="H1256" s="541">
        <v>3.6</v>
      </c>
      <c r="I1256" s="545">
        <f>ROUND(IF(AND(F1256:H1256),C1256*E1256*F1256*G1256*H1256,IF(AND(F1256,G1256),C1256*E1256*F1256*G1256,IF(AND(F1256,H1256),C1256*E1256*F1256*H1256,IF(AND(G1256,H1256),C1256*E1256*G1256*H1256,IF(F1256,C1256*E1256*F1256,IF(G1256,C1256*E1256*G1256,IF(H1256,C1256*E1256*H1256,C1256*E1256))))))),2)</f>
        <v>22.5</v>
      </c>
      <c r="J1256" s="553" t="s">
        <v>102</v>
      </c>
      <c r="K1256" s="39"/>
      <c r="L1256" s="208"/>
      <c r="M1256" s="39"/>
      <c r="N1256" s="536" t="s">
        <v>2306</v>
      </c>
    </row>
    <row r="1257" spans="1:14" s="544" customFormat="1" ht="16.5" customHeight="1">
      <c r="A1257" s="16"/>
      <c r="B1257" s="39" t="s">
        <v>816</v>
      </c>
      <c r="C1257" s="537">
        <v>1</v>
      </c>
      <c r="D1257" s="539" t="s">
        <v>273</v>
      </c>
      <c r="E1257" s="540">
        <v>1</v>
      </c>
      <c r="F1257" s="541">
        <v>5.45</v>
      </c>
      <c r="G1257" s="541">
        <v>0</v>
      </c>
      <c r="H1257" s="541">
        <v>3.2</v>
      </c>
      <c r="I1257" s="545">
        <f>ROUND(IF(AND(F1257:H1257),C1257*E1257*F1257*G1257*H1257,IF(AND(F1257,G1257),C1257*E1257*F1257*G1257,IF(AND(F1257,H1257),C1257*E1257*F1257*H1257,IF(AND(G1257,H1257),C1257*E1257*G1257*H1257,IF(F1257,C1257*E1257*F1257,IF(G1257,C1257*E1257*G1257,IF(H1257,C1257*E1257*H1257,C1257*E1257))))))),2)</f>
        <v>17.440000000000001</v>
      </c>
      <c r="J1257" s="553" t="s">
        <v>102</v>
      </c>
      <c r="K1257" s="39"/>
      <c r="L1257" s="208"/>
      <c r="M1257" s="39"/>
      <c r="N1257" s="536" t="s">
        <v>2306</v>
      </c>
    </row>
    <row r="1258" spans="1:14" s="544" customFormat="1" ht="16.5" customHeight="1">
      <c r="A1258" s="16"/>
      <c r="B1258" s="547"/>
      <c r="C1258" s="548"/>
      <c r="D1258" s="549"/>
      <c r="E1258" s="587"/>
      <c r="F1258" s="551"/>
      <c r="G1258" s="551"/>
      <c r="H1258" s="551"/>
      <c r="I1258" s="552"/>
      <c r="J1258" s="553"/>
      <c r="K1258" s="39"/>
      <c r="L1258" s="208"/>
      <c r="M1258" s="39"/>
      <c r="N1258" s="536" t="s">
        <v>2306</v>
      </c>
    </row>
    <row r="1259" spans="1:14" ht="15.75">
      <c r="A1259" s="16"/>
      <c r="B1259" s="39"/>
      <c r="C1259" s="554"/>
      <c r="D1259" s="555"/>
      <c r="E1259" s="540"/>
      <c r="F1259" s="541"/>
      <c r="G1259" s="40"/>
      <c r="H1259" s="16"/>
      <c r="I1259" s="552"/>
      <c r="J1259" s="553" t="s">
        <v>102</v>
      </c>
      <c r="K1259" s="10">
        <f>data!F1713</f>
        <v>22.88</v>
      </c>
      <c r="L1259" s="208" t="s">
        <v>2306</v>
      </c>
      <c r="M1259" s="9">
        <f>ROUND(I1259*K1259,0)</f>
        <v>0</v>
      </c>
      <c r="N1259" s="536" t="s">
        <v>2306</v>
      </c>
    </row>
    <row r="1260" spans="1:14" ht="66" customHeight="1">
      <c r="A1260" s="16">
        <v>26</v>
      </c>
      <c r="B1260" s="1858" t="s">
        <v>1193</v>
      </c>
      <c r="C1260" s="1858"/>
      <c r="D1260" s="1858"/>
      <c r="E1260" s="1858"/>
      <c r="F1260" s="1858"/>
      <c r="G1260" s="1858"/>
      <c r="H1260" s="1858"/>
      <c r="I1260" s="537"/>
      <c r="J1260" s="538"/>
      <c r="K1260" s="16"/>
      <c r="L1260" s="208"/>
      <c r="M1260" s="38"/>
      <c r="N1260" s="536" t="s">
        <v>2317</v>
      </c>
    </row>
    <row r="1261" spans="1:14" s="544" customFormat="1" ht="16.5" customHeight="1">
      <c r="A1261" s="16"/>
      <c r="B1261" s="39" t="s">
        <v>2866</v>
      </c>
      <c r="C1261" s="566"/>
      <c r="D1261" s="567"/>
      <c r="E1261" s="568"/>
      <c r="F1261" s="569"/>
      <c r="G1261" s="569"/>
      <c r="H1261" s="570"/>
      <c r="I1261" s="571"/>
      <c r="J1261" s="553"/>
      <c r="K1261" s="39"/>
      <c r="L1261" s="208"/>
      <c r="M1261" s="39"/>
      <c r="N1261" s="536" t="s">
        <v>2317</v>
      </c>
    </row>
    <row r="1262" spans="1:14" s="544" customFormat="1" ht="16.5" customHeight="1">
      <c r="A1262" s="16"/>
      <c r="B1262" s="39" t="s">
        <v>799</v>
      </c>
      <c r="C1262" s="537">
        <v>1</v>
      </c>
      <c r="D1262" s="539" t="s">
        <v>273</v>
      </c>
      <c r="E1262" s="540">
        <v>1</v>
      </c>
      <c r="F1262" s="541">
        <v>8.5</v>
      </c>
      <c r="G1262" s="541">
        <v>4.95</v>
      </c>
      <c r="H1262" s="541">
        <v>0</v>
      </c>
      <c r="I1262" s="545">
        <f>ROUND(IF(AND(F1262:H1262),C1262*E1262*F1262*G1262*H1262,IF(AND(F1262,G1262),C1262*E1262*F1262*G1262,IF(AND(F1262,H1262),C1262*E1262*F1262*H1262,IF(AND(G1262,H1262),C1262*E1262*G1262*H1262,IF(F1262,C1262*E1262*F1262,IF(G1262,C1262*E1262*G1262,IF(H1262,C1262*E1262*H1262,C1262*E1262))))))),2)</f>
        <v>42.08</v>
      </c>
      <c r="J1262" s="553" t="s">
        <v>102</v>
      </c>
      <c r="K1262" s="39"/>
      <c r="L1262" s="208"/>
      <c r="M1262" s="39"/>
      <c r="N1262" s="536" t="s">
        <v>2317</v>
      </c>
    </row>
    <row r="1263" spans="1:14" s="544" customFormat="1" ht="16.5" customHeight="1">
      <c r="A1263" s="16"/>
      <c r="B1263" s="39" t="s">
        <v>813</v>
      </c>
      <c r="C1263" s="537">
        <v>1</v>
      </c>
      <c r="D1263" s="539" t="s">
        <v>273</v>
      </c>
      <c r="E1263" s="540">
        <v>1</v>
      </c>
      <c r="F1263" s="541">
        <v>5.5</v>
      </c>
      <c r="G1263" s="541">
        <v>2.4</v>
      </c>
      <c r="H1263" s="541">
        <v>0</v>
      </c>
      <c r="I1263" s="545">
        <f>ROUND(IF(AND(F1263:H1263),C1263*E1263*F1263*G1263*H1263,IF(AND(F1263,G1263),C1263*E1263*F1263*G1263,IF(AND(F1263,H1263),C1263*E1263*F1263*H1263,IF(AND(G1263,H1263),C1263*E1263*G1263*H1263,IF(F1263,C1263*E1263*F1263,IF(G1263,C1263*E1263*G1263,IF(H1263,C1263*E1263*H1263,C1263*E1263))))))),2)</f>
        <v>13.2</v>
      </c>
      <c r="J1263" s="553" t="s">
        <v>102</v>
      </c>
      <c r="K1263" s="39"/>
      <c r="L1263" s="208"/>
      <c r="M1263" s="39"/>
      <c r="N1263" s="536" t="s">
        <v>2317</v>
      </c>
    </row>
    <row r="1264" spans="1:14" s="544" customFormat="1" ht="16.5" customHeight="1">
      <c r="A1264" s="16"/>
      <c r="B1264" s="39" t="s">
        <v>814</v>
      </c>
      <c r="C1264" s="537">
        <v>1</v>
      </c>
      <c r="D1264" s="539" t="s">
        <v>273</v>
      </c>
      <c r="E1264" s="540">
        <v>1</v>
      </c>
      <c r="F1264" s="541">
        <v>8.85</v>
      </c>
      <c r="G1264" s="541">
        <v>0</v>
      </c>
      <c r="H1264" s="541">
        <v>3.6</v>
      </c>
      <c r="I1264" s="545">
        <f>ROUND(IF(AND(F1264:H1264),C1264*E1264*F1264*G1264*H1264,IF(AND(F1264,G1264),C1264*E1264*F1264*G1264,IF(AND(F1264,H1264),C1264*E1264*F1264*H1264,IF(AND(G1264,H1264),C1264*E1264*G1264*H1264,IF(F1264,C1264*E1264*F1264,IF(G1264,C1264*E1264*G1264,IF(H1264,C1264*E1264*H1264,C1264*E1264))))))),2)</f>
        <v>31.86</v>
      </c>
      <c r="J1264" s="553" t="s">
        <v>102</v>
      </c>
      <c r="K1264" s="39"/>
      <c r="L1264" s="208"/>
      <c r="M1264" s="39"/>
      <c r="N1264" s="536" t="s">
        <v>2317</v>
      </c>
    </row>
    <row r="1265" spans="1:14" s="544" customFormat="1" ht="16.5" customHeight="1">
      <c r="A1265" s="16"/>
      <c r="B1265" s="39" t="s">
        <v>817</v>
      </c>
      <c r="C1265" s="537">
        <v>1</v>
      </c>
      <c r="D1265" s="539" t="s">
        <v>273</v>
      </c>
      <c r="E1265" s="540">
        <v>1</v>
      </c>
      <c r="F1265" s="541">
        <v>6.25</v>
      </c>
      <c r="G1265" s="541">
        <v>0</v>
      </c>
      <c r="H1265" s="541">
        <v>3.6</v>
      </c>
      <c r="I1265" s="545">
        <f>ROUND(IF(AND(F1265:H1265),C1265*E1265*F1265*G1265*H1265,IF(AND(F1265,G1265),C1265*E1265*F1265*G1265,IF(AND(F1265,H1265),C1265*E1265*F1265*H1265,IF(AND(G1265,H1265),C1265*E1265*G1265*H1265,IF(F1265,C1265*E1265*F1265,IF(G1265,C1265*E1265*G1265,IF(H1265,C1265*E1265*H1265,C1265*E1265))))))),2)</f>
        <v>22.5</v>
      </c>
      <c r="J1265" s="553" t="s">
        <v>102</v>
      </c>
      <c r="K1265" s="39"/>
      <c r="L1265" s="208"/>
      <c r="M1265" s="39"/>
      <c r="N1265" s="536" t="s">
        <v>2317</v>
      </c>
    </row>
    <row r="1266" spans="1:14" s="544" customFormat="1" ht="16.5" customHeight="1">
      <c r="A1266" s="16"/>
      <c r="B1266" s="39" t="s">
        <v>816</v>
      </c>
      <c r="C1266" s="537">
        <v>1</v>
      </c>
      <c r="D1266" s="539" t="s">
        <v>273</v>
      </c>
      <c r="E1266" s="540">
        <v>1</v>
      </c>
      <c r="F1266" s="541">
        <v>5.45</v>
      </c>
      <c r="G1266" s="541">
        <v>0</v>
      </c>
      <c r="H1266" s="541">
        <v>3.2</v>
      </c>
      <c r="I1266" s="545">
        <f>ROUND(IF(AND(F1266:H1266),C1266*E1266*F1266*G1266*H1266,IF(AND(F1266,G1266),C1266*E1266*F1266*G1266,IF(AND(F1266,H1266),C1266*E1266*F1266*H1266,IF(AND(G1266,H1266),C1266*E1266*G1266*H1266,IF(F1266,C1266*E1266*F1266,IF(G1266,C1266*E1266*G1266,IF(H1266,C1266*E1266*H1266,C1266*E1266))))))),2)</f>
        <v>17.440000000000001</v>
      </c>
      <c r="J1266" s="553" t="s">
        <v>102</v>
      </c>
      <c r="K1266" s="39"/>
      <c r="L1266" s="208"/>
      <c r="M1266" s="39"/>
      <c r="N1266" s="536" t="s">
        <v>2317</v>
      </c>
    </row>
    <row r="1267" spans="1:14" s="544" customFormat="1" ht="16.5" customHeight="1">
      <c r="A1267" s="16"/>
      <c r="B1267" s="547"/>
      <c r="C1267" s="548"/>
      <c r="D1267" s="549"/>
      <c r="E1267" s="587"/>
      <c r="F1267" s="551"/>
      <c r="G1267" s="551"/>
      <c r="H1267" s="551"/>
      <c r="I1267" s="552"/>
      <c r="J1267" s="553"/>
      <c r="K1267" s="39"/>
      <c r="L1267" s="208"/>
      <c r="M1267" s="39"/>
      <c r="N1267" s="536" t="s">
        <v>2317</v>
      </c>
    </row>
    <row r="1268" spans="1:14" ht="15.75">
      <c r="A1268" s="16"/>
      <c r="B1268" s="39"/>
      <c r="C1268" s="554"/>
      <c r="D1268" s="555"/>
      <c r="E1268" s="540"/>
      <c r="F1268" s="541"/>
      <c r="G1268" s="40"/>
      <c r="H1268" s="16"/>
      <c r="I1268" s="552"/>
      <c r="J1268" s="553" t="s">
        <v>102</v>
      </c>
      <c r="K1268" s="10">
        <f>data!F2630</f>
        <v>24.15</v>
      </c>
      <c r="L1268" s="208" t="s">
        <v>2317</v>
      </c>
      <c r="M1268" s="9">
        <f>ROUND(I1268*K1268,0)</f>
        <v>0</v>
      </c>
      <c r="N1268" s="536" t="s">
        <v>2317</v>
      </c>
    </row>
    <row r="1269" spans="1:14" ht="66" customHeight="1">
      <c r="A1269" s="16">
        <v>26</v>
      </c>
      <c r="B1269" s="1858" t="s">
        <v>1193</v>
      </c>
      <c r="C1269" s="1858"/>
      <c r="D1269" s="1858"/>
      <c r="E1269" s="1858"/>
      <c r="F1269" s="1858"/>
      <c r="G1269" s="1858"/>
      <c r="H1269" s="1858"/>
      <c r="I1269" s="537"/>
      <c r="J1269" s="538"/>
      <c r="K1269" s="16"/>
      <c r="L1269" s="208"/>
      <c r="M1269" s="38"/>
      <c r="N1269" s="536" t="s">
        <v>2318</v>
      </c>
    </row>
    <row r="1270" spans="1:14" s="544" customFormat="1" ht="16.5" customHeight="1">
      <c r="A1270" s="16"/>
      <c r="B1270" s="39" t="s">
        <v>2866</v>
      </c>
      <c r="C1270" s="566"/>
      <c r="D1270" s="567"/>
      <c r="E1270" s="568"/>
      <c r="F1270" s="569"/>
      <c r="G1270" s="569"/>
      <c r="H1270" s="570"/>
      <c r="I1270" s="571"/>
      <c r="J1270" s="553"/>
      <c r="K1270" s="39"/>
      <c r="L1270" s="208"/>
      <c r="M1270" s="39"/>
      <c r="N1270" s="536" t="s">
        <v>2318</v>
      </c>
    </row>
    <row r="1271" spans="1:14" s="544" customFormat="1" ht="16.5" customHeight="1">
      <c r="A1271" s="16"/>
      <c r="B1271" s="39" t="s">
        <v>799</v>
      </c>
      <c r="C1271" s="537">
        <v>1</v>
      </c>
      <c r="D1271" s="539" t="s">
        <v>273</v>
      </c>
      <c r="E1271" s="540">
        <v>1</v>
      </c>
      <c r="F1271" s="541">
        <v>8.5</v>
      </c>
      <c r="G1271" s="541">
        <v>4.95</v>
      </c>
      <c r="H1271" s="541">
        <v>0</v>
      </c>
      <c r="I1271" s="545">
        <f>ROUND(IF(AND(F1271:H1271),C1271*E1271*F1271*G1271*H1271,IF(AND(F1271,G1271),C1271*E1271*F1271*G1271,IF(AND(F1271,H1271),C1271*E1271*F1271*H1271,IF(AND(G1271,H1271),C1271*E1271*G1271*H1271,IF(F1271,C1271*E1271*F1271,IF(G1271,C1271*E1271*G1271,IF(H1271,C1271*E1271*H1271,C1271*E1271))))))),2)</f>
        <v>42.08</v>
      </c>
      <c r="J1271" s="553" t="s">
        <v>102</v>
      </c>
      <c r="K1271" s="39"/>
      <c r="L1271" s="208"/>
      <c r="M1271" s="39"/>
      <c r="N1271" s="536" t="s">
        <v>2318</v>
      </c>
    </row>
    <row r="1272" spans="1:14" s="544" customFormat="1" ht="16.5" customHeight="1">
      <c r="A1272" s="16"/>
      <c r="B1272" s="39" t="s">
        <v>813</v>
      </c>
      <c r="C1272" s="537">
        <v>1</v>
      </c>
      <c r="D1272" s="539" t="s">
        <v>273</v>
      </c>
      <c r="E1272" s="540">
        <v>1</v>
      </c>
      <c r="F1272" s="541">
        <v>5.5</v>
      </c>
      <c r="G1272" s="541">
        <v>2.4</v>
      </c>
      <c r="H1272" s="541">
        <v>0</v>
      </c>
      <c r="I1272" s="545">
        <f>ROUND(IF(AND(F1272:H1272),C1272*E1272*F1272*G1272*H1272,IF(AND(F1272,G1272),C1272*E1272*F1272*G1272,IF(AND(F1272,H1272),C1272*E1272*F1272*H1272,IF(AND(G1272,H1272),C1272*E1272*G1272*H1272,IF(F1272,C1272*E1272*F1272,IF(G1272,C1272*E1272*G1272,IF(H1272,C1272*E1272*H1272,C1272*E1272))))))),2)</f>
        <v>13.2</v>
      </c>
      <c r="J1272" s="553" t="s">
        <v>102</v>
      </c>
      <c r="K1272" s="39"/>
      <c r="L1272" s="208"/>
      <c r="M1272" s="39"/>
      <c r="N1272" s="536" t="s">
        <v>2318</v>
      </c>
    </row>
    <row r="1273" spans="1:14" s="544" customFormat="1" ht="16.5" customHeight="1">
      <c r="A1273" s="16"/>
      <c r="B1273" s="39" t="s">
        <v>814</v>
      </c>
      <c r="C1273" s="537">
        <v>1</v>
      </c>
      <c r="D1273" s="539" t="s">
        <v>273</v>
      </c>
      <c r="E1273" s="540">
        <v>1</v>
      </c>
      <c r="F1273" s="541">
        <v>8.85</v>
      </c>
      <c r="G1273" s="541">
        <v>0</v>
      </c>
      <c r="H1273" s="541">
        <v>3.6</v>
      </c>
      <c r="I1273" s="545">
        <f>ROUND(IF(AND(F1273:H1273),C1273*E1273*F1273*G1273*H1273,IF(AND(F1273,G1273),C1273*E1273*F1273*G1273,IF(AND(F1273,H1273),C1273*E1273*F1273*H1273,IF(AND(G1273,H1273),C1273*E1273*G1273*H1273,IF(F1273,C1273*E1273*F1273,IF(G1273,C1273*E1273*G1273,IF(H1273,C1273*E1273*H1273,C1273*E1273))))))),2)</f>
        <v>31.86</v>
      </c>
      <c r="J1273" s="553" t="s">
        <v>102</v>
      </c>
      <c r="K1273" s="39"/>
      <c r="L1273" s="208"/>
      <c r="M1273" s="39"/>
      <c r="N1273" s="536" t="s">
        <v>2318</v>
      </c>
    </row>
    <row r="1274" spans="1:14" s="544" customFormat="1" ht="16.5" customHeight="1">
      <c r="A1274" s="16"/>
      <c r="B1274" s="39" t="s">
        <v>817</v>
      </c>
      <c r="C1274" s="537">
        <v>1</v>
      </c>
      <c r="D1274" s="539" t="s">
        <v>273</v>
      </c>
      <c r="E1274" s="540">
        <v>1</v>
      </c>
      <c r="F1274" s="541">
        <v>6.25</v>
      </c>
      <c r="G1274" s="541">
        <v>0</v>
      </c>
      <c r="H1274" s="541">
        <v>3.6</v>
      </c>
      <c r="I1274" s="545">
        <f>ROUND(IF(AND(F1274:H1274),C1274*E1274*F1274*G1274*H1274,IF(AND(F1274,G1274),C1274*E1274*F1274*G1274,IF(AND(F1274,H1274),C1274*E1274*F1274*H1274,IF(AND(G1274,H1274),C1274*E1274*G1274*H1274,IF(F1274,C1274*E1274*F1274,IF(G1274,C1274*E1274*G1274,IF(H1274,C1274*E1274*H1274,C1274*E1274))))))),2)</f>
        <v>22.5</v>
      </c>
      <c r="J1274" s="553" t="s">
        <v>102</v>
      </c>
      <c r="K1274" s="39"/>
      <c r="L1274" s="208"/>
      <c r="M1274" s="39"/>
      <c r="N1274" s="536" t="s">
        <v>2318</v>
      </c>
    </row>
    <row r="1275" spans="1:14" s="544" customFormat="1" ht="16.5" customHeight="1">
      <c r="A1275" s="16"/>
      <c r="B1275" s="39" t="s">
        <v>816</v>
      </c>
      <c r="C1275" s="537">
        <v>1</v>
      </c>
      <c r="D1275" s="539" t="s">
        <v>273</v>
      </c>
      <c r="E1275" s="540">
        <v>1</v>
      </c>
      <c r="F1275" s="541">
        <v>5.45</v>
      </c>
      <c r="G1275" s="541">
        <v>0</v>
      </c>
      <c r="H1275" s="541">
        <v>3.2</v>
      </c>
      <c r="I1275" s="545">
        <f>ROUND(IF(AND(F1275:H1275),C1275*E1275*F1275*G1275*H1275,IF(AND(F1275,G1275),C1275*E1275*F1275*G1275,IF(AND(F1275,H1275),C1275*E1275*F1275*H1275,IF(AND(G1275,H1275),C1275*E1275*G1275*H1275,IF(F1275,C1275*E1275*F1275,IF(G1275,C1275*E1275*G1275,IF(H1275,C1275*E1275*H1275,C1275*E1275))))))),2)</f>
        <v>17.440000000000001</v>
      </c>
      <c r="J1275" s="553" t="s">
        <v>102</v>
      </c>
      <c r="K1275" s="39"/>
      <c r="L1275" s="208"/>
      <c r="M1275" s="39"/>
      <c r="N1275" s="536" t="s">
        <v>2318</v>
      </c>
    </row>
    <row r="1276" spans="1:14" s="544" customFormat="1" ht="16.5" customHeight="1">
      <c r="A1276" s="16"/>
      <c r="B1276" s="547"/>
      <c r="C1276" s="548"/>
      <c r="D1276" s="549"/>
      <c r="E1276" s="587"/>
      <c r="F1276" s="551"/>
      <c r="G1276" s="551"/>
      <c r="H1276" s="551"/>
      <c r="I1276" s="552"/>
      <c r="J1276" s="553"/>
      <c r="K1276" s="39"/>
      <c r="L1276" s="208"/>
      <c r="M1276" s="39"/>
      <c r="N1276" s="536" t="s">
        <v>2318</v>
      </c>
    </row>
    <row r="1277" spans="1:14" ht="15.75">
      <c r="A1277" s="16"/>
      <c r="B1277" s="39"/>
      <c r="C1277" s="554"/>
      <c r="D1277" s="555"/>
      <c r="E1277" s="540"/>
      <c r="F1277" s="541"/>
      <c r="G1277" s="40"/>
      <c r="H1277" s="16"/>
      <c r="I1277" s="552"/>
      <c r="J1277" s="553" t="s">
        <v>102</v>
      </c>
      <c r="K1277" s="10">
        <f>data!F3547</f>
        <v>25.98</v>
      </c>
      <c r="L1277" s="208" t="s">
        <v>2318</v>
      </c>
      <c r="M1277" s="9">
        <f>ROUND(I1277*K1277,0)</f>
        <v>0</v>
      </c>
      <c r="N1277" s="536" t="s">
        <v>2318</v>
      </c>
    </row>
    <row r="1278" spans="1:14" ht="117.75" customHeight="1">
      <c r="A1278" s="16">
        <v>14</v>
      </c>
      <c r="B1278" s="1858" t="s">
        <v>891</v>
      </c>
      <c r="C1278" s="1858"/>
      <c r="D1278" s="1858"/>
      <c r="E1278" s="1858"/>
      <c r="F1278" s="1858"/>
      <c r="G1278" s="1858"/>
      <c r="H1278" s="1858"/>
      <c r="I1278" s="537"/>
      <c r="J1278" s="538"/>
      <c r="K1278" s="16"/>
      <c r="L1278" s="208"/>
      <c r="M1278" s="38"/>
      <c r="N1278" s="536" t="s">
        <v>2218</v>
      </c>
    </row>
    <row r="1279" spans="1:14" s="544" customFormat="1" ht="16.5" customHeight="1">
      <c r="A1279" s="16"/>
      <c r="B1279" s="39" t="s">
        <v>3113</v>
      </c>
      <c r="C1279" s="537"/>
      <c r="D1279" s="1145" t="s">
        <v>3336</v>
      </c>
      <c r="E1279" s="540"/>
      <c r="F1279" s="541"/>
      <c r="G1279" s="541"/>
      <c r="H1279" s="541"/>
      <c r="I1279" s="542"/>
      <c r="J1279" s="553"/>
      <c r="K1279" s="39"/>
      <c r="L1279" s="208"/>
      <c r="M1279" s="39"/>
      <c r="N1279" s="536" t="s">
        <v>2218</v>
      </c>
    </row>
    <row r="1280" spans="1:14" s="544" customFormat="1" ht="16.5" customHeight="1">
      <c r="A1280" s="16"/>
      <c r="B1280" s="39" t="s">
        <v>2362</v>
      </c>
      <c r="C1280" s="537">
        <v>1</v>
      </c>
      <c r="D1280" s="539" t="s">
        <v>273</v>
      </c>
      <c r="E1280" s="540">
        <v>1</v>
      </c>
      <c r="F1280" s="541">
        <v>3.35</v>
      </c>
      <c r="G1280" s="541">
        <v>2.4900000000000002</v>
      </c>
      <c r="H1280" s="541">
        <v>0</v>
      </c>
      <c r="I1280" s="545">
        <f t="shared" ref="I1280:I1286" si="117">ROUND(IF(AND(F1280:H1280),C1280*E1280*F1280*G1280*H1280,IF(AND(F1280,G1280),C1280*E1280*F1280*G1280,IF(AND(F1280,H1280),C1280*E1280*F1280*H1280,IF(AND(G1280,H1280),C1280*E1280*G1280*H1280,IF(F1280,C1280*E1280*F1280,IF(G1280,C1280*E1280*G1280,IF(H1280,C1280*E1280*H1280,C1280*E1280))))))),2)</f>
        <v>8.34</v>
      </c>
      <c r="J1280" s="553" t="s">
        <v>102</v>
      </c>
      <c r="K1280" s="39"/>
      <c r="L1280" s="208"/>
      <c r="M1280" s="39"/>
      <c r="N1280" s="536" t="s">
        <v>2218</v>
      </c>
    </row>
    <row r="1281" spans="1:14" s="544" customFormat="1" ht="16.5" customHeight="1">
      <c r="A1281" s="16"/>
      <c r="B1281" s="39" t="s">
        <v>1624</v>
      </c>
      <c r="C1281" s="537">
        <v>1</v>
      </c>
      <c r="D1281" s="539" t="s">
        <v>273</v>
      </c>
      <c r="E1281" s="540">
        <v>1</v>
      </c>
      <c r="F1281" s="541">
        <v>3.35</v>
      </c>
      <c r="G1281" s="541">
        <v>2.88</v>
      </c>
      <c r="H1281" s="541">
        <v>0</v>
      </c>
      <c r="I1281" s="545">
        <f t="shared" si="117"/>
        <v>9.65</v>
      </c>
      <c r="J1281" s="553" t="s">
        <v>102</v>
      </c>
      <c r="K1281" s="39"/>
      <c r="L1281" s="208"/>
      <c r="M1281" s="39"/>
      <c r="N1281" s="536" t="s">
        <v>2218</v>
      </c>
    </row>
    <row r="1282" spans="1:14" s="544" customFormat="1" ht="16.5" customHeight="1">
      <c r="A1282" s="16"/>
      <c r="B1282" s="39" t="s">
        <v>587</v>
      </c>
      <c r="C1282" s="537">
        <v>1</v>
      </c>
      <c r="D1282" s="539" t="s">
        <v>273</v>
      </c>
      <c r="E1282" s="540">
        <v>1</v>
      </c>
      <c r="F1282" s="541">
        <v>3.35</v>
      </c>
      <c r="G1282" s="541">
        <v>3.12</v>
      </c>
      <c r="H1282" s="541">
        <v>0</v>
      </c>
      <c r="I1282" s="545">
        <f t="shared" si="117"/>
        <v>10.45</v>
      </c>
      <c r="J1282" s="553" t="s">
        <v>102</v>
      </c>
      <c r="K1282" s="39"/>
      <c r="L1282" s="208"/>
      <c r="M1282" s="39"/>
      <c r="N1282" s="536" t="s">
        <v>2218</v>
      </c>
    </row>
    <row r="1283" spans="1:14" s="544" customFormat="1" ht="16.5" customHeight="1">
      <c r="A1283" s="16"/>
      <c r="B1283" s="39" t="s">
        <v>2995</v>
      </c>
      <c r="C1283" s="537">
        <v>1</v>
      </c>
      <c r="D1283" s="539" t="s">
        <v>273</v>
      </c>
      <c r="E1283" s="540">
        <v>1</v>
      </c>
      <c r="F1283" s="541">
        <v>11.93</v>
      </c>
      <c r="G1283" s="541">
        <v>1.8</v>
      </c>
      <c r="H1283" s="541">
        <v>0</v>
      </c>
      <c r="I1283" s="545">
        <f t="shared" si="117"/>
        <v>21.47</v>
      </c>
      <c r="J1283" s="553" t="s">
        <v>102</v>
      </c>
      <c r="K1283" s="39"/>
      <c r="L1283" s="208"/>
      <c r="M1283" s="39"/>
      <c r="N1283" s="536" t="s">
        <v>2218</v>
      </c>
    </row>
    <row r="1284" spans="1:14" s="544" customFormat="1" ht="16.5" customHeight="1">
      <c r="A1284" s="16"/>
      <c r="B1284" s="39" t="s">
        <v>3187</v>
      </c>
      <c r="C1284" s="537">
        <v>1</v>
      </c>
      <c r="D1284" s="539" t="s">
        <v>273</v>
      </c>
      <c r="E1284" s="540">
        <v>1</v>
      </c>
      <c r="F1284" s="541">
        <v>4.9800000000000004</v>
      </c>
      <c r="G1284" s="541">
        <v>8.6</v>
      </c>
      <c r="H1284" s="541">
        <v>0</v>
      </c>
      <c r="I1284" s="545">
        <f t="shared" si="117"/>
        <v>42.83</v>
      </c>
      <c r="J1284" s="553" t="s">
        <v>102</v>
      </c>
      <c r="K1284" s="39"/>
      <c r="L1284" s="208"/>
      <c r="M1284" s="39"/>
      <c r="N1284" s="536" t="s">
        <v>2218</v>
      </c>
    </row>
    <row r="1285" spans="1:14" s="544" customFormat="1" ht="16.5" customHeight="1">
      <c r="A1285" s="16"/>
      <c r="B1285" s="39" t="s">
        <v>3172</v>
      </c>
      <c r="C1285" s="537">
        <v>2</v>
      </c>
      <c r="D1285" s="539" t="s">
        <v>273</v>
      </c>
      <c r="E1285" s="540">
        <v>2</v>
      </c>
      <c r="F1285" s="541">
        <v>1.8</v>
      </c>
      <c r="G1285" s="541">
        <v>0</v>
      </c>
      <c r="H1285" s="541">
        <v>0.38</v>
      </c>
      <c r="I1285" s="545">
        <f t="shared" si="117"/>
        <v>2.74</v>
      </c>
      <c r="J1285" s="553" t="s">
        <v>102</v>
      </c>
      <c r="K1285" s="39"/>
      <c r="L1285" s="208"/>
      <c r="M1285" s="39"/>
      <c r="N1285" s="536" t="s">
        <v>2218</v>
      </c>
    </row>
    <row r="1286" spans="1:14" s="544" customFormat="1" ht="16.5" customHeight="1">
      <c r="A1286" s="16"/>
      <c r="B1286" s="39" t="s">
        <v>3188</v>
      </c>
      <c r="C1286" s="537">
        <v>1</v>
      </c>
      <c r="D1286" s="539" t="s">
        <v>273</v>
      </c>
      <c r="E1286" s="540">
        <v>1</v>
      </c>
      <c r="F1286" s="541">
        <v>11.68</v>
      </c>
      <c r="G1286" s="541">
        <v>0</v>
      </c>
      <c r="H1286" s="541">
        <v>3.1</v>
      </c>
      <c r="I1286" s="545">
        <f t="shared" si="117"/>
        <v>36.21</v>
      </c>
      <c r="J1286" s="553" t="s">
        <v>102</v>
      </c>
      <c r="K1286" s="39"/>
      <c r="L1286" s="208"/>
      <c r="M1286" s="39"/>
      <c r="N1286" s="536" t="s">
        <v>2218</v>
      </c>
    </row>
    <row r="1287" spans="1:14" s="544" customFormat="1" ht="16.5" customHeight="1">
      <c r="A1287" s="16"/>
      <c r="B1287" s="39" t="s">
        <v>587</v>
      </c>
      <c r="C1287" s="537">
        <v>1</v>
      </c>
      <c r="D1287" s="539" t="s">
        <v>273</v>
      </c>
      <c r="E1287" s="540">
        <v>1</v>
      </c>
      <c r="F1287" s="541">
        <v>12.74</v>
      </c>
      <c r="G1287" s="541">
        <v>0</v>
      </c>
      <c r="H1287" s="541">
        <v>3.1</v>
      </c>
      <c r="I1287" s="545">
        <f>ROUND(IF(AND(F1287:H1287),C1287*E1287*F1287*G1287*H1287,IF(AND(F1287,G1287),C1287*E1287*F1287*G1287,IF(AND(F1287,H1287),C1287*E1287*F1287*H1287,IF(AND(G1287,H1287),C1287*E1287*G1287*H1287,IF(F1287,C1287*E1287*F1287,IF(G1287,C1287*E1287*G1287,IF(H1287,C1287*E1287*H1287,C1287*E1287))))))),2)</f>
        <v>39.49</v>
      </c>
      <c r="J1287" s="553" t="s">
        <v>102</v>
      </c>
      <c r="K1287" s="39"/>
      <c r="L1287" s="208"/>
      <c r="M1287" s="39"/>
      <c r="N1287" s="536" t="s">
        <v>2218</v>
      </c>
    </row>
    <row r="1288" spans="1:14" s="544" customFormat="1" ht="16.5" customHeight="1">
      <c r="A1288" s="16"/>
      <c r="B1288" s="39" t="s">
        <v>3189</v>
      </c>
      <c r="C1288" s="537">
        <v>1</v>
      </c>
      <c r="D1288" s="539" t="s">
        <v>273</v>
      </c>
      <c r="E1288" s="540">
        <v>1</v>
      </c>
      <c r="F1288" s="541">
        <v>12.26</v>
      </c>
      <c r="G1288" s="541">
        <v>0</v>
      </c>
      <c r="H1288" s="541">
        <v>3.1</v>
      </c>
      <c r="I1288" s="545">
        <f t="shared" ref="I1288:I1290" si="118">ROUND(IF(AND(F1288:H1288),C1288*E1288*F1288*G1288*H1288,IF(AND(F1288,G1288),C1288*E1288*F1288*G1288,IF(AND(F1288,H1288),C1288*E1288*F1288*H1288,IF(AND(G1288,H1288),C1288*E1288*G1288*H1288,IF(F1288,C1288*E1288*F1288,IF(G1288,C1288*E1288*G1288,IF(H1288,C1288*E1288*H1288,C1288*E1288))))))),2)</f>
        <v>38.01</v>
      </c>
      <c r="J1288" s="553" t="s">
        <v>102</v>
      </c>
      <c r="K1288" s="39"/>
      <c r="L1288" s="208"/>
      <c r="M1288" s="39"/>
      <c r="N1288" s="536" t="s">
        <v>2218</v>
      </c>
    </row>
    <row r="1289" spans="1:14" s="544" customFormat="1" ht="16.5" customHeight="1">
      <c r="A1289" s="16"/>
      <c r="B1289" s="39" t="s">
        <v>3175</v>
      </c>
      <c r="C1289" s="537">
        <v>1</v>
      </c>
      <c r="D1289" s="539" t="s">
        <v>273</v>
      </c>
      <c r="E1289" s="540">
        <v>1</v>
      </c>
      <c r="F1289" s="541">
        <v>11.93</v>
      </c>
      <c r="G1289" s="541">
        <v>0</v>
      </c>
      <c r="H1289" s="541">
        <v>3.1</v>
      </c>
      <c r="I1289" s="545">
        <f t="shared" si="118"/>
        <v>36.979999999999997</v>
      </c>
      <c r="J1289" s="553" t="s">
        <v>102</v>
      </c>
      <c r="K1289" s="39"/>
      <c r="L1289" s="208"/>
      <c r="M1289" s="39"/>
      <c r="N1289" s="536" t="s">
        <v>2218</v>
      </c>
    </row>
    <row r="1290" spans="1:14" s="544" customFormat="1" ht="16.5" customHeight="1">
      <c r="A1290" s="16"/>
      <c r="B1290" s="39"/>
      <c r="C1290" s="537">
        <v>1</v>
      </c>
      <c r="D1290" s="539" t="s">
        <v>273</v>
      </c>
      <c r="E1290" s="540">
        <v>1</v>
      </c>
      <c r="F1290" s="541">
        <v>9.42</v>
      </c>
      <c r="G1290" s="541">
        <v>0</v>
      </c>
      <c r="H1290" s="541">
        <v>3.1</v>
      </c>
      <c r="I1290" s="545">
        <f t="shared" si="118"/>
        <v>29.2</v>
      </c>
      <c r="J1290" s="553" t="s">
        <v>102</v>
      </c>
      <c r="K1290" s="39"/>
      <c r="L1290" s="208"/>
      <c r="M1290" s="39"/>
      <c r="N1290" s="536" t="s">
        <v>2218</v>
      </c>
    </row>
    <row r="1291" spans="1:14" s="544" customFormat="1" ht="16.5" customHeight="1">
      <c r="A1291" s="16"/>
      <c r="B1291" s="39" t="s">
        <v>223</v>
      </c>
      <c r="C1291" s="537">
        <v>1</v>
      </c>
      <c r="D1291" s="539" t="s">
        <v>273</v>
      </c>
      <c r="E1291" s="540">
        <v>1</v>
      </c>
      <c r="F1291" s="541">
        <v>22.92</v>
      </c>
      <c r="G1291" s="541">
        <v>0</v>
      </c>
      <c r="H1291" s="541">
        <v>3.1</v>
      </c>
      <c r="I1291" s="545">
        <f>ROUND(IF(AND(F1291:H1291),C1291*E1291*F1291*G1291*H1291,IF(AND(F1291,G1291),C1291*E1291*F1291*G1291,IF(AND(F1291,H1291),C1291*E1291*F1291*H1291,IF(AND(G1291,H1291),C1291*E1291*G1291*H1291,IF(F1291,C1291*E1291*F1291,IF(G1291,C1291*E1291*G1291,IF(H1291,C1291*E1291*H1291,C1291*E1291))))))),2)</f>
        <v>71.05</v>
      </c>
      <c r="J1291" s="553" t="s">
        <v>102</v>
      </c>
      <c r="K1291" s="39"/>
      <c r="L1291" s="208"/>
      <c r="M1291" s="39"/>
      <c r="N1291" s="536" t="s">
        <v>2218</v>
      </c>
    </row>
    <row r="1292" spans="1:14" s="544" customFormat="1" ht="16.5" customHeight="1">
      <c r="A1292" s="16"/>
      <c r="B1292" s="39" t="s">
        <v>3190</v>
      </c>
      <c r="C1292" s="537">
        <v>1</v>
      </c>
      <c r="D1292" s="539" t="s">
        <v>273</v>
      </c>
      <c r="E1292" s="540">
        <v>1</v>
      </c>
      <c r="F1292" s="541">
        <v>2.68</v>
      </c>
      <c r="G1292" s="541">
        <v>0</v>
      </c>
      <c r="H1292" s="541">
        <v>1.2</v>
      </c>
      <c r="I1292" s="545">
        <f>ROUND(IF(AND(F1292:H1292),C1292*E1292*F1292*G1292*H1292,IF(AND(F1292,G1292),C1292*E1292*F1292*G1292,IF(AND(F1292,H1292),C1292*E1292*F1292*H1292,IF(AND(G1292,H1292),C1292*E1292*G1292*H1292,IF(F1292,C1292*E1292*F1292,IF(G1292,C1292*E1292*G1292,IF(H1292,C1292*E1292*H1292,C1292*E1292))))))),2)</f>
        <v>3.22</v>
      </c>
      <c r="J1292" s="553" t="s">
        <v>102</v>
      </c>
      <c r="K1292" s="39"/>
      <c r="L1292" s="208"/>
      <c r="M1292" s="39"/>
      <c r="N1292" s="536" t="s">
        <v>2218</v>
      </c>
    </row>
    <row r="1293" spans="1:14" s="544" customFormat="1" ht="16.5" customHeight="1">
      <c r="A1293" s="16"/>
      <c r="B1293" s="39" t="s">
        <v>3191</v>
      </c>
      <c r="C1293" s="537">
        <v>1</v>
      </c>
      <c r="D1293" s="539" t="s">
        <v>273</v>
      </c>
      <c r="E1293" s="540">
        <v>1</v>
      </c>
      <c r="F1293" s="541">
        <v>0.85</v>
      </c>
      <c r="G1293" s="541">
        <v>0</v>
      </c>
      <c r="H1293" s="541">
        <v>1.2</v>
      </c>
      <c r="I1293" s="545">
        <f>ROUND(IF(AND(F1293:H1293),C1293*E1293*F1293*G1293*H1293,IF(AND(F1293,G1293),C1293*E1293*F1293*G1293,IF(AND(F1293,H1293),C1293*E1293*F1293*H1293,IF(AND(G1293,H1293),C1293*E1293*G1293*H1293,IF(F1293,C1293*E1293*F1293,IF(G1293,C1293*E1293*G1293,IF(H1293,C1293*E1293*H1293,C1293*E1293))))))),2)</f>
        <v>1.02</v>
      </c>
      <c r="J1293" s="553" t="s">
        <v>102</v>
      </c>
      <c r="K1293" s="39"/>
      <c r="L1293" s="208"/>
      <c r="M1293" s="39"/>
      <c r="N1293" s="536" t="s">
        <v>2218</v>
      </c>
    </row>
    <row r="1294" spans="1:14" s="544" customFormat="1" ht="16.5" customHeight="1">
      <c r="A1294" s="16"/>
      <c r="B1294" s="39" t="s">
        <v>3058</v>
      </c>
      <c r="C1294" s="537">
        <v>1</v>
      </c>
      <c r="D1294" s="539" t="s">
        <v>273</v>
      </c>
      <c r="E1294" s="540">
        <v>1</v>
      </c>
      <c r="F1294" s="541">
        <v>2.68</v>
      </c>
      <c r="G1294" s="541">
        <v>0</v>
      </c>
      <c r="H1294" s="541">
        <v>1.2</v>
      </c>
      <c r="I1294" s="545">
        <f>ROUND(IF(AND(F1294:H1294),C1294*E1294*F1294*G1294*H1294,IF(AND(F1294,G1294),C1294*E1294*F1294*G1294,IF(AND(F1294,H1294),C1294*E1294*F1294*H1294,IF(AND(G1294,H1294),C1294*E1294*G1294*H1294,IF(F1294,C1294*E1294*F1294,IF(G1294,C1294*E1294*G1294,IF(H1294,C1294*E1294*H1294,C1294*E1294))))))),2)</f>
        <v>3.22</v>
      </c>
      <c r="J1294" s="553" t="s">
        <v>102</v>
      </c>
      <c r="K1294" s="39"/>
      <c r="L1294" s="208"/>
      <c r="M1294" s="39"/>
      <c r="N1294" s="536" t="s">
        <v>2218</v>
      </c>
    </row>
    <row r="1295" spans="1:14" s="544" customFormat="1" ht="16.5" customHeight="1">
      <c r="A1295" s="16"/>
      <c r="B1295" s="39" t="s">
        <v>3191</v>
      </c>
      <c r="C1295" s="537">
        <v>1</v>
      </c>
      <c r="D1295" s="539" t="s">
        <v>273</v>
      </c>
      <c r="E1295" s="540">
        <v>2</v>
      </c>
      <c r="F1295" s="541">
        <v>0.85</v>
      </c>
      <c r="G1295" s="541">
        <v>0</v>
      </c>
      <c r="H1295" s="541">
        <v>1.2</v>
      </c>
      <c r="I1295" s="545">
        <f>ROUND(IF(AND(F1295:H1295),C1295*E1295*F1295*G1295*H1295,IF(AND(F1295,G1295),C1295*E1295*F1295*G1295,IF(AND(F1295,H1295),C1295*E1295*F1295*H1295,IF(AND(G1295,H1295),C1295*E1295*G1295*H1295,IF(F1295,C1295*E1295*F1295,IF(G1295,C1295*E1295*G1295,IF(H1295,C1295*E1295*H1295,C1295*E1295))))))),2)</f>
        <v>2.04</v>
      </c>
      <c r="J1295" s="553" t="s">
        <v>102</v>
      </c>
      <c r="K1295" s="39"/>
      <c r="L1295" s="208"/>
      <c r="M1295" s="39"/>
      <c r="N1295" s="536" t="s">
        <v>2218</v>
      </c>
    </row>
    <row r="1296" spans="1:14" s="544" customFormat="1" ht="16.5" customHeight="1">
      <c r="A1296" s="16"/>
      <c r="B1296" s="39" t="s">
        <v>1535</v>
      </c>
      <c r="C1296" s="537">
        <v>1</v>
      </c>
      <c r="D1296" s="539" t="s">
        <v>273</v>
      </c>
      <c r="E1296" s="540">
        <v>1</v>
      </c>
      <c r="F1296" s="541">
        <v>1.2</v>
      </c>
      <c r="G1296" s="541">
        <v>0</v>
      </c>
      <c r="H1296" s="541">
        <v>1.1000000000000001</v>
      </c>
      <c r="I1296" s="545">
        <f>-ROUND(IF(AND(F1296:H1296),C1296*E1296*F1296*G1296*H1296,IF(AND(F1296,G1296),C1296*E1296*F1296*G1296,IF(AND(F1296,H1296),C1296*E1296*F1296*H1296,IF(AND(G1296,H1296),C1296*E1296*G1296*H1296,IF(F1296,C1296*E1296*F1296,IF(G1296,C1296*E1296*G1296,IF(H1296,C1296*E1296*H1296,C1296*E1296))))))),2)</f>
        <v>-1.32</v>
      </c>
      <c r="J1296" s="553" t="s">
        <v>102</v>
      </c>
      <c r="K1296" s="39"/>
      <c r="L1296" s="208"/>
      <c r="M1296" s="39"/>
      <c r="N1296" s="536" t="s">
        <v>2218</v>
      </c>
    </row>
    <row r="1297" spans="1:14" s="544" customFormat="1" ht="16.5" customHeight="1">
      <c r="A1297" s="16"/>
      <c r="B1297" s="39" t="s">
        <v>579</v>
      </c>
      <c r="C1297" s="537">
        <v>1</v>
      </c>
      <c r="D1297" s="539" t="s">
        <v>273</v>
      </c>
      <c r="E1297" s="540">
        <v>2</v>
      </c>
      <c r="F1297" s="541">
        <v>1.2</v>
      </c>
      <c r="G1297" s="541">
        <v>0</v>
      </c>
      <c r="H1297" s="541">
        <v>2.1</v>
      </c>
      <c r="I1297" s="545">
        <f>-ROUND(IF(AND(F1297:H1297),C1297*E1297*F1297*G1297*H1297,IF(AND(F1297,G1297),C1297*E1297*F1297*G1297,IF(AND(F1297,H1297),C1297*E1297*F1297*H1297,IF(AND(G1297,H1297),C1297*E1297*G1297*H1297,IF(F1297,C1297*E1297*F1297,IF(G1297,C1297*E1297*G1297,IF(H1297,C1297*E1297*H1297,C1297*E1297))))))),2)</f>
        <v>-5.04</v>
      </c>
      <c r="J1297" s="553" t="s">
        <v>102</v>
      </c>
      <c r="K1297" s="39"/>
      <c r="L1297" s="208"/>
      <c r="M1297" s="39"/>
      <c r="N1297" s="536" t="s">
        <v>2218</v>
      </c>
    </row>
    <row r="1298" spans="1:14" s="544" customFormat="1" ht="16.5" customHeight="1">
      <c r="A1298" s="16"/>
      <c r="B1298" s="39" t="s">
        <v>579</v>
      </c>
      <c r="C1298" s="537">
        <v>2</v>
      </c>
      <c r="D1298" s="539" t="s">
        <v>273</v>
      </c>
      <c r="E1298" s="540">
        <v>4</v>
      </c>
      <c r="F1298" s="541">
        <v>1.05</v>
      </c>
      <c r="G1298" s="541">
        <v>0</v>
      </c>
      <c r="H1298" s="541">
        <v>2.1</v>
      </c>
      <c r="I1298" s="545">
        <f>-ROUND(IF(AND(F1298:H1298),C1298*E1298*F1298*G1298*H1298,IF(AND(F1298,G1298),C1298*E1298*F1298*G1298,IF(AND(F1298,H1298),C1298*E1298*F1298*H1298,IF(AND(G1298,H1298),C1298*E1298*G1298*H1298,IF(F1298,C1298*E1298*F1298,IF(G1298,C1298*E1298*G1298,IF(H1298,C1298*E1298*H1298,C1298*E1298))))))),2)</f>
        <v>-17.64</v>
      </c>
      <c r="J1298" s="553" t="s">
        <v>102</v>
      </c>
      <c r="K1298" s="39"/>
      <c r="L1298" s="208"/>
      <c r="M1298" s="39"/>
      <c r="N1298" s="536" t="s">
        <v>2218</v>
      </c>
    </row>
    <row r="1299" spans="1:14" s="544" customFormat="1" ht="16.5" customHeight="1">
      <c r="A1299" s="16"/>
      <c r="B1299" s="39" t="s">
        <v>2360</v>
      </c>
      <c r="C1299" s="537">
        <v>1</v>
      </c>
      <c r="D1299" s="539" t="s">
        <v>273</v>
      </c>
      <c r="E1299" s="540">
        <v>7</v>
      </c>
      <c r="F1299" s="541">
        <v>1.5</v>
      </c>
      <c r="G1299" s="541">
        <v>0</v>
      </c>
      <c r="H1299" s="541">
        <v>1.35</v>
      </c>
      <c r="I1299" s="545">
        <f>-ROUND(IF(AND(F1299:H1299),C1299*E1299*F1299*G1299*H1299,IF(AND(F1299,G1299),C1299*E1299*F1299*G1299,IF(AND(F1299,H1299),C1299*E1299*F1299*H1299,IF(AND(G1299,H1299),C1299*E1299*G1299*H1299,IF(F1299,C1299*E1299*F1299,IF(G1299,C1299*E1299*G1299,IF(H1299,C1299*E1299*H1299,C1299*E1299))))))),2)</f>
        <v>-14.18</v>
      </c>
      <c r="J1299" s="553" t="s">
        <v>102</v>
      </c>
      <c r="K1299" s="39"/>
      <c r="L1299" s="208"/>
      <c r="M1299" s="39"/>
      <c r="N1299" s="536" t="s">
        <v>2218</v>
      </c>
    </row>
    <row r="1300" spans="1:14" s="544" customFormat="1" ht="16.5" customHeight="1">
      <c r="A1300" s="16"/>
      <c r="B1300" s="39" t="s">
        <v>2141</v>
      </c>
      <c r="C1300" s="537">
        <v>1</v>
      </c>
      <c r="D1300" s="539" t="s">
        <v>273</v>
      </c>
      <c r="E1300" s="540">
        <v>12</v>
      </c>
      <c r="F1300" s="541">
        <v>0.6</v>
      </c>
      <c r="G1300" s="541">
        <v>0</v>
      </c>
      <c r="H1300" s="541">
        <v>0.3</v>
      </c>
      <c r="I1300" s="545">
        <f>-ROUND(IF(AND(F1300:H1300),C1300*E1300*F1300*G1300*H1300,IF(AND(F1300,G1300),C1300*E1300*F1300*G1300,IF(AND(F1300,H1300),C1300*E1300*F1300*H1300,IF(AND(G1300,H1300),C1300*E1300*G1300*H1300,IF(F1300,C1300*E1300*F1300,IF(G1300,C1300*E1300*G1300,IF(H1300,C1300*E1300*H1300,C1300*E1300))))))),2)</f>
        <v>-2.16</v>
      </c>
      <c r="J1300" s="553" t="s">
        <v>102</v>
      </c>
      <c r="K1300" s="39"/>
      <c r="L1300" s="208"/>
      <c r="M1300" s="39"/>
      <c r="N1300" s="536" t="s">
        <v>2218</v>
      </c>
    </row>
    <row r="1301" spans="1:14" s="544" customFormat="1" ht="16.5" customHeight="1">
      <c r="A1301" s="16"/>
      <c r="B1301" s="547"/>
      <c r="C1301" s="548"/>
      <c r="D1301" s="549"/>
      <c r="E1301" s="587"/>
      <c r="F1301" s="551"/>
      <c r="G1301" s="551"/>
      <c r="H1301" s="551"/>
      <c r="I1301" s="552"/>
      <c r="J1301" s="553"/>
      <c r="K1301" s="39"/>
      <c r="L1301" s="208"/>
      <c r="M1301" s="39"/>
      <c r="N1301" s="536" t="s">
        <v>2218</v>
      </c>
    </row>
    <row r="1302" spans="1:14" ht="15.75">
      <c r="A1302" s="16"/>
      <c r="B1302" s="39"/>
      <c r="C1302" s="554"/>
      <c r="D1302" s="555"/>
      <c r="E1302" s="540"/>
      <c r="F1302" s="541"/>
      <c r="G1302" s="40"/>
      <c r="H1302" s="16"/>
      <c r="I1302" s="552"/>
      <c r="J1302" s="553" t="s">
        <v>102</v>
      </c>
      <c r="K1302" s="10">
        <f>data!F811</f>
        <v>156.41</v>
      </c>
      <c r="L1302" s="208" t="s">
        <v>2218</v>
      </c>
      <c r="M1302" s="9">
        <f>ROUND(I1302*K1302,0)</f>
        <v>0</v>
      </c>
      <c r="N1302" s="536" t="s">
        <v>2218</v>
      </c>
    </row>
    <row r="1303" spans="1:14" ht="117.75" customHeight="1">
      <c r="A1303" s="16">
        <v>18</v>
      </c>
      <c r="B1303" s="1858" t="s">
        <v>891</v>
      </c>
      <c r="C1303" s="1858"/>
      <c r="D1303" s="1858"/>
      <c r="E1303" s="1858"/>
      <c r="F1303" s="1858"/>
      <c r="G1303" s="1858"/>
      <c r="H1303" s="1858"/>
      <c r="I1303" s="537"/>
      <c r="J1303" s="538"/>
      <c r="K1303" s="16"/>
      <c r="L1303" s="208"/>
      <c r="M1303" s="38"/>
      <c r="N1303" s="536" t="s">
        <v>2306</v>
      </c>
    </row>
    <row r="1304" spans="1:14" s="544" customFormat="1" ht="16.5" customHeight="1">
      <c r="A1304" s="16"/>
      <c r="B1304" s="39" t="s">
        <v>3048</v>
      </c>
      <c r="C1304" s="537"/>
      <c r="D1304" s="539"/>
      <c r="E1304" s="540"/>
      <c r="F1304" s="541"/>
      <c r="G1304" s="541"/>
      <c r="H1304" s="541"/>
      <c r="I1304" s="542"/>
      <c r="J1304" s="553"/>
      <c r="K1304" s="39"/>
      <c r="L1304" s="208"/>
      <c r="M1304" s="39"/>
      <c r="N1304" s="536" t="s">
        <v>2306</v>
      </c>
    </row>
    <row r="1305" spans="1:14" s="544" customFormat="1" ht="16.5" customHeight="1">
      <c r="A1305" s="16"/>
      <c r="B1305" s="39" t="s">
        <v>3049</v>
      </c>
      <c r="C1305" s="537">
        <v>1</v>
      </c>
      <c r="D1305" s="539" t="s">
        <v>273</v>
      </c>
      <c r="E1305" s="540">
        <v>1</v>
      </c>
      <c r="F1305" s="541">
        <v>17.2</v>
      </c>
      <c r="G1305" s="541">
        <v>0</v>
      </c>
      <c r="H1305" s="541">
        <v>3.0750000000000002</v>
      </c>
      <c r="I1305" s="545">
        <f t="shared" ref="I1305" si="119">ROUND(IF(AND(F1305:H1305),C1305*E1305*F1305*G1305*H1305,IF(AND(F1305,G1305),C1305*E1305*F1305*G1305,IF(AND(F1305,H1305),C1305*E1305*F1305*H1305,IF(AND(G1305,H1305),C1305*E1305*G1305*H1305,IF(F1305,C1305*E1305*F1305,IF(G1305,C1305*E1305*G1305,IF(H1305,C1305*E1305*H1305,C1305*E1305))))))),2)</f>
        <v>52.89</v>
      </c>
      <c r="J1305" s="553" t="s">
        <v>102</v>
      </c>
      <c r="K1305" s="39"/>
      <c r="L1305" s="208"/>
      <c r="M1305" s="39"/>
      <c r="N1305" s="536" t="s">
        <v>2306</v>
      </c>
    </row>
    <row r="1306" spans="1:14" s="544" customFormat="1" ht="16.5" customHeight="1">
      <c r="A1306" s="16"/>
      <c r="B1306" s="39" t="s">
        <v>579</v>
      </c>
      <c r="C1306" s="537">
        <v>1</v>
      </c>
      <c r="D1306" s="539" t="s">
        <v>273</v>
      </c>
      <c r="E1306" s="540">
        <v>2</v>
      </c>
      <c r="F1306" s="541">
        <v>1.2</v>
      </c>
      <c r="G1306" s="541">
        <v>0</v>
      </c>
      <c r="H1306" s="541">
        <v>2.1</v>
      </c>
      <c r="I1306" s="545">
        <f>-ROUND(IF(AND(F1306:H1306),C1306*E1306*F1306*G1306*H1306,IF(AND(F1306,G1306),C1306*E1306*F1306*G1306,IF(AND(F1306,H1306),C1306*E1306*F1306*H1306,IF(AND(G1306,H1306),C1306*E1306*G1306*H1306,IF(F1306,C1306*E1306*F1306,IF(G1306,C1306*E1306*G1306,IF(H1306,C1306*E1306*H1306,C1306*E1306))))))),2)</f>
        <v>-5.04</v>
      </c>
      <c r="J1306" s="553" t="s">
        <v>102</v>
      </c>
      <c r="K1306" s="39"/>
      <c r="L1306" s="208"/>
      <c r="M1306" s="39"/>
      <c r="N1306" s="536" t="s">
        <v>2306</v>
      </c>
    </row>
    <row r="1307" spans="1:14" s="544" customFormat="1" ht="16.5" customHeight="1">
      <c r="A1307" s="16"/>
      <c r="B1307" s="39" t="s">
        <v>2360</v>
      </c>
      <c r="C1307" s="537">
        <v>1</v>
      </c>
      <c r="D1307" s="539" t="s">
        <v>273</v>
      </c>
      <c r="E1307" s="540">
        <v>2</v>
      </c>
      <c r="F1307" s="541">
        <v>1.45</v>
      </c>
      <c r="G1307" s="541">
        <v>0</v>
      </c>
      <c r="H1307" s="541">
        <v>1.45</v>
      </c>
      <c r="I1307" s="545">
        <f>-ROUND(IF(AND(F1307:H1307),C1307*E1307*F1307*G1307*H1307,IF(AND(F1307,G1307),C1307*E1307*F1307*G1307,IF(AND(F1307,H1307),C1307*E1307*F1307*H1307,IF(AND(G1307,H1307),C1307*E1307*G1307*H1307,IF(F1307,C1307*E1307*F1307,IF(G1307,C1307*E1307*G1307,IF(H1307,C1307*E1307*H1307,C1307*E1307))))))),2)</f>
        <v>-4.21</v>
      </c>
      <c r="J1307" s="553" t="s">
        <v>102</v>
      </c>
      <c r="K1307" s="39"/>
      <c r="L1307" s="208"/>
      <c r="M1307" s="39"/>
      <c r="N1307" s="536" t="s">
        <v>2306</v>
      </c>
    </row>
    <row r="1308" spans="1:14" s="544" customFormat="1" ht="16.5" customHeight="1">
      <c r="A1308" s="16"/>
      <c r="B1308" s="39" t="s">
        <v>2141</v>
      </c>
      <c r="C1308" s="537">
        <v>1</v>
      </c>
      <c r="D1308" s="539" t="s">
        <v>273</v>
      </c>
      <c r="E1308" s="540">
        <v>2</v>
      </c>
      <c r="F1308" s="541">
        <v>0.6</v>
      </c>
      <c r="G1308" s="541">
        <v>0</v>
      </c>
      <c r="H1308" s="541">
        <v>0.3</v>
      </c>
      <c r="I1308" s="545">
        <f>-ROUND(IF(AND(F1308:H1308),C1308*E1308*F1308*G1308*H1308,IF(AND(F1308,G1308),C1308*E1308*F1308*G1308,IF(AND(F1308,H1308),C1308*E1308*F1308*H1308,IF(AND(G1308,H1308),C1308*E1308*G1308*H1308,IF(F1308,C1308*E1308*F1308,IF(G1308,C1308*E1308*G1308,IF(H1308,C1308*E1308*H1308,C1308*E1308))))))),2)</f>
        <v>-0.36</v>
      </c>
      <c r="J1308" s="553" t="s">
        <v>102</v>
      </c>
      <c r="K1308" s="39"/>
      <c r="L1308" s="208"/>
      <c r="M1308" s="39"/>
      <c r="N1308" s="536" t="s">
        <v>2306</v>
      </c>
    </row>
    <row r="1309" spans="1:14" s="544" customFormat="1" ht="16.5" customHeight="1">
      <c r="A1309" s="16"/>
      <c r="B1309" s="39" t="s">
        <v>1544</v>
      </c>
      <c r="C1309" s="537">
        <v>1</v>
      </c>
      <c r="D1309" s="539" t="s">
        <v>273</v>
      </c>
      <c r="E1309" s="540">
        <v>1</v>
      </c>
      <c r="F1309" s="541">
        <v>5.6</v>
      </c>
      <c r="G1309" s="541">
        <v>3</v>
      </c>
      <c r="H1309" s="541">
        <v>0</v>
      </c>
      <c r="I1309" s="545">
        <f t="shared" ref="I1309:I1332" si="120">ROUND(IF(AND(F1309:H1309),C1309*E1309*F1309*G1309*H1309,IF(AND(F1309,G1309),C1309*E1309*F1309*G1309,IF(AND(F1309,H1309),C1309*E1309*F1309*H1309,IF(AND(G1309,H1309),C1309*E1309*G1309*H1309,IF(F1309,C1309*E1309*F1309,IF(G1309,C1309*E1309*G1309,IF(H1309,C1309*E1309*H1309,C1309*E1309))))))),2)</f>
        <v>16.8</v>
      </c>
      <c r="J1309" s="553" t="s">
        <v>102</v>
      </c>
      <c r="K1309" s="39"/>
      <c r="L1309" s="208"/>
      <c r="M1309" s="39"/>
      <c r="N1309" s="536" t="s">
        <v>2306</v>
      </c>
    </row>
    <row r="1310" spans="1:14" s="544" customFormat="1" ht="16.5" customHeight="1">
      <c r="A1310" s="16"/>
      <c r="B1310" s="39" t="s">
        <v>3050</v>
      </c>
      <c r="C1310" s="537">
        <v>1</v>
      </c>
      <c r="D1310" s="539" t="s">
        <v>273</v>
      </c>
      <c r="E1310" s="540">
        <v>2</v>
      </c>
      <c r="F1310" s="541">
        <v>3</v>
      </c>
      <c r="G1310" s="541">
        <v>0</v>
      </c>
      <c r="H1310" s="541">
        <v>0.38</v>
      </c>
      <c r="I1310" s="545">
        <f t="shared" si="120"/>
        <v>2.2799999999999998</v>
      </c>
      <c r="J1310" s="553" t="s">
        <v>102</v>
      </c>
      <c r="K1310" s="39"/>
      <c r="L1310" s="208"/>
      <c r="M1310" s="39"/>
      <c r="N1310" s="536" t="s">
        <v>2306</v>
      </c>
    </row>
    <row r="1311" spans="1:14" s="544" customFormat="1" ht="16.5" customHeight="1">
      <c r="A1311" s="16"/>
      <c r="B1311" s="39" t="s">
        <v>2996</v>
      </c>
      <c r="C1311" s="537">
        <v>1</v>
      </c>
      <c r="D1311" s="539" t="s">
        <v>273</v>
      </c>
      <c r="E1311" s="540">
        <v>1</v>
      </c>
      <c r="F1311" s="541">
        <v>13</v>
      </c>
      <c r="G1311" s="541">
        <v>0</v>
      </c>
      <c r="H1311" s="541">
        <v>3.0750000000000002</v>
      </c>
      <c r="I1311" s="545">
        <f t="shared" si="120"/>
        <v>39.979999999999997</v>
      </c>
      <c r="J1311" s="553" t="s">
        <v>102</v>
      </c>
      <c r="K1311" s="39"/>
      <c r="L1311" s="208"/>
      <c r="M1311" s="39"/>
      <c r="N1311" s="536" t="s">
        <v>2306</v>
      </c>
    </row>
    <row r="1312" spans="1:14" s="544" customFormat="1" ht="16.5" customHeight="1">
      <c r="A1312" s="16"/>
      <c r="B1312" s="39" t="s">
        <v>2746</v>
      </c>
      <c r="C1312" s="537">
        <v>1</v>
      </c>
      <c r="D1312" s="539" t="s">
        <v>273</v>
      </c>
      <c r="E1312" s="540">
        <v>2</v>
      </c>
      <c r="F1312" s="541">
        <v>11.8</v>
      </c>
      <c r="G1312" s="541">
        <v>0</v>
      </c>
      <c r="H1312" s="541">
        <v>3.0750000000000002</v>
      </c>
      <c r="I1312" s="545">
        <f t="shared" si="120"/>
        <v>72.569999999999993</v>
      </c>
      <c r="J1312" s="553" t="s">
        <v>102</v>
      </c>
      <c r="K1312" s="39"/>
      <c r="L1312" s="208"/>
      <c r="M1312" s="39"/>
      <c r="N1312" s="536" t="s">
        <v>2306</v>
      </c>
    </row>
    <row r="1313" spans="1:14" s="544" customFormat="1" ht="16.5" customHeight="1">
      <c r="A1313" s="16"/>
      <c r="B1313" s="39" t="s">
        <v>579</v>
      </c>
      <c r="C1313" s="537">
        <v>1</v>
      </c>
      <c r="D1313" s="539" t="s">
        <v>273</v>
      </c>
      <c r="E1313" s="540">
        <v>3</v>
      </c>
      <c r="F1313" s="541">
        <v>1.05</v>
      </c>
      <c r="G1313" s="541">
        <v>0</v>
      </c>
      <c r="H1313" s="541">
        <v>2.1</v>
      </c>
      <c r="I1313" s="545">
        <f>-ROUND(IF(AND(F1313:H1313),C1313*E1313*F1313*G1313*H1313,IF(AND(F1313,G1313),C1313*E1313*F1313*G1313,IF(AND(F1313,H1313),C1313*E1313*F1313*H1313,IF(AND(G1313,H1313),C1313*E1313*G1313*H1313,IF(F1313,C1313*E1313*F1313,IF(G1313,C1313*E1313*G1313,IF(H1313,C1313*E1313*H1313,C1313*E1313))))))),2)</f>
        <v>-6.62</v>
      </c>
      <c r="J1313" s="553" t="s">
        <v>102</v>
      </c>
      <c r="K1313" s="39"/>
      <c r="L1313" s="208"/>
      <c r="M1313" s="39"/>
      <c r="N1313" s="536" t="s">
        <v>2306</v>
      </c>
    </row>
    <row r="1314" spans="1:14" s="544" customFormat="1" ht="16.5" customHeight="1">
      <c r="A1314" s="16"/>
      <c r="B1314" s="39" t="s">
        <v>2360</v>
      </c>
      <c r="C1314" s="537">
        <v>1</v>
      </c>
      <c r="D1314" s="539" t="s">
        <v>273</v>
      </c>
      <c r="E1314" s="540">
        <v>4</v>
      </c>
      <c r="F1314" s="541">
        <v>1.45</v>
      </c>
      <c r="G1314" s="541">
        <v>0</v>
      </c>
      <c r="H1314" s="541">
        <v>1.45</v>
      </c>
      <c r="I1314" s="545">
        <f>-ROUND(IF(AND(F1314:H1314),C1314*E1314*F1314*G1314*H1314,IF(AND(F1314,G1314),C1314*E1314*F1314*G1314,IF(AND(F1314,H1314),C1314*E1314*F1314*H1314,IF(AND(G1314,H1314),C1314*E1314*G1314*H1314,IF(F1314,C1314*E1314*F1314,IF(G1314,C1314*E1314*G1314,IF(H1314,C1314*E1314*H1314,C1314*E1314))))))),2)</f>
        <v>-8.41</v>
      </c>
      <c r="J1314" s="553" t="s">
        <v>102</v>
      </c>
      <c r="K1314" s="39"/>
      <c r="L1314" s="208"/>
      <c r="M1314" s="39"/>
      <c r="N1314" s="536" t="s">
        <v>2306</v>
      </c>
    </row>
    <row r="1315" spans="1:14" s="544" customFormat="1" ht="16.5" customHeight="1">
      <c r="A1315" s="16"/>
      <c r="B1315" s="39" t="s">
        <v>2141</v>
      </c>
      <c r="C1315" s="537">
        <v>1</v>
      </c>
      <c r="D1315" s="539" t="s">
        <v>273</v>
      </c>
      <c r="E1315" s="540">
        <v>4</v>
      </c>
      <c r="F1315" s="541">
        <v>0.6</v>
      </c>
      <c r="G1315" s="541">
        <v>0</v>
      </c>
      <c r="H1315" s="541">
        <v>0.3</v>
      </c>
      <c r="I1315" s="545">
        <f>-ROUND(IF(AND(F1315:H1315),C1315*E1315*F1315*G1315*H1315,IF(AND(F1315,G1315),C1315*E1315*F1315*G1315,IF(AND(F1315,H1315),C1315*E1315*F1315*H1315,IF(AND(G1315,H1315),C1315*E1315*G1315*H1315,IF(F1315,C1315*E1315*F1315,IF(G1315,C1315*E1315*G1315,IF(H1315,C1315*E1315*H1315,C1315*E1315))))))),2)</f>
        <v>-0.72</v>
      </c>
      <c r="J1315" s="553" t="s">
        <v>102</v>
      </c>
      <c r="K1315" s="39"/>
      <c r="L1315" s="208"/>
      <c r="M1315" s="39"/>
      <c r="N1315" s="536" t="s">
        <v>2306</v>
      </c>
    </row>
    <row r="1316" spans="1:14" s="544" customFormat="1" ht="16.5" customHeight="1">
      <c r="A1316" s="16"/>
      <c r="B1316" s="39" t="s">
        <v>3051</v>
      </c>
      <c r="C1316" s="537">
        <v>1</v>
      </c>
      <c r="D1316" s="539" t="s">
        <v>273</v>
      </c>
      <c r="E1316" s="540">
        <v>1</v>
      </c>
      <c r="F1316" s="541">
        <v>3.2</v>
      </c>
      <c r="G1316" s="541">
        <v>3.3</v>
      </c>
      <c r="H1316" s="541">
        <v>0</v>
      </c>
      <c r="I1316" s="545">
        <f t="shared" si="120"/>
        <v>10.56</v>
      </c>
      <c r="J1316" s="553" t="s">
        <v>102</v>
      </c>
      <c r="K1316" s="39"/>
      <c r="L1316" s="208"/>
      <c r="M1316" s="39"/>
      <c r="N1316" s="536" t="s">
        <v>2306</v>
      </c>
    </row>
    <row r="1317" spans="1:14" s="544" customFormat="1" ht="16.5" customHeight="1">
      <c r="A1317" s="16"/>
      <c r="B1317" s="39" t="s">
        <v>3052</v>
      </c>
      <c r="C1317" s="537">
        <v>1</v>
      </c>
      <c r="D1317" s="539" t="s">
        <v>273</v>
      </c>
      <c r="E1317" s="540">
        <v>2</v>
      </c>
      <c r="F1317" s="541">
        <v>3.2</v>
      </c>
      <c r="G1317" s="541">
        <v>2.7</v>
      </c>
      <c r="H1317" s="541">
        <v>0</v>
      </c>
      <c r="I1317" s="545">
        <f t="shared" si="120"/>
        <v>17.28</v>
      </c>
      <c r="J1317" s="553" t="s">
        <v>102</v>
      </c>
      <c r="K1317" s="39"/>
      <c r="L1317" s="208"/>
      <c r="M1317" s="39"/>
      <c r="N1317" s="536" t="s">
        <v>2306</v>
      </c>
    </row>
    <row r="1318" spans="1:14" s="544" customFormat="1" ht="16.5" customHeight="1">
      <c r="A1318" s="16"/>
      <c r="B1318" s="39" t="s">
        <v>3053</v>
      </c>
      <c r="C1318" s="537">
        <v>1</v>
      </c>
      <c r="D1318" s="539" t="s">
        <v>273</v>
      </c>
      <c r="E1318" s="540">
        <v>1</v>
      </c>
      <c r="F1318" s="541">
        <v>4.9000000000000004</v>
      </c>
      <c r="G1318" s="541">
        <v>2.6</v>
      </c>
      <c r="H1318" s="541">
        <v>0</v>
      </c>
      <c r="I1318" s="545">
        <f t="shared" si="120"/>
        <v>12.74</v>
      </c>
      <c r="J1318" s="553" t="s">
        <v>102</v>
      </c>
      <c r="K1318" s="39"/>
      <c r="L1318" s="208"/>
      <c r="M1318" s="39"/>
      <c r="N1318" s="536" t="s">
        <v>2306</v>
      </c>
    </row>
    <row r="1319" spans="1:14" s="544" customFormat="1" ht="16.5" customHeight="1">
      <c r="A1319" s="16"/>
      <c r="B1319" s="39" t="s">
        <v>2958</v>
      </c>
      <c r="C1319" s="537">
        <v>1</v>
      </c>
      <c r="D1319" s="539" t="s">
        <v>273</v>
      </c>
      <c r="E1319" s="540">
        <v>1</v>
      </c>
      <c r="F1319" s="541">
        <v>4.9000000000000004</v>
      </c>
      <c r="G1319" s="541">
        <v>0</v>
      </c>
      <c r="H1319" s="541">
        <v>3.0750000000000002</v>
      </c>
      <c r="I1319" s="545">
        <f t="shared" si="120"/>
        <v>15.07</v>
      </c>
      <c r="J1319" s="553" t="s">
        <v>102</v>
      </c>
      <c r="K1319" s="39"/>
      <c r="L1319" s="208"/>
      <c r="M1319" s="39"/>
      <c r="N1319" s="536" t="s">
        <v>2306</v>
      </c>
    </row>
    <row r="1320" spans="1:14" s="544" customFormat="1" ht="16.5" customHeight="1">
      <c r="A1320" s="16"/>
      <c r="B1320" s="39" t="s">
        <v>579</v>
      </c>
      <c r="C1320" s="537">
        <v>1</v>
      </c>
      <c r="D1320" s="539" t="s">
        <v>273</v>
      </c>
      <c r="E1320" s="540">
        <v>1</v>
      </c>
      <c r="F1320" s="541">
        <v>1.3</v>
      </c>
      <c r="G1320" s="541">
        <v>0</v>
      </c>
      <c r="H1320" s="541">
        <v>2.1</v>
      </c>
      <c r="I1320" s="545">
        <f>-ROUND(IF(AND(F1320:H1320),C1320*E1320*F1320*G1320*H1320,IF(AND(F1320,G1320),C1320*E1320*F1320*G1320,IF(AND(F1320,H1320),C1320*E1320*F1320*H1320,IF(AND(G1320,H1320),C1320*E1320*G1320*H1320,IF(F1320,C1320*E1320*F1320,IF(G1320,C1320*E1320*G1320,IF(H1320,C1320*E1320*H1320,C1320*E1320))))))),2)</f>
        <v>-2.73</v>
      </c>
      <c r="J1320" s="553" t="s">
        <v>102</v>
      </c>
      <c r="K1320" s="39"/>
      <c r="L1320" s="208"/>
      <c r="M1320" s="39"/>
      <c r="N1320" s="536" t="s">
        <v>2306</v>
      </c>
    </row>
    <row r="1321" spans="1:14" s="544" customFormat="1" ht="16.5" customHeight="1">
      <c r="A1321" s="16"/>
      <c r="B1321" s="39" t="s">
        <v>579</v>
      </c>
      <c r="C1321" s="537">
        <v>1</v>
      </c>
      <c r="D1321" s="539" t="s">
        <v>273</v>
      </c>
      <c r="E1321" s="540">
        <v>1</v>
      </c>
      <c r="F1321" s="541">
        <v>1.2</v>
      </c>
      <c r="G1321" s="541">
        <v>0</v>
      </c>
      <c r="H1321" s="541">
        <v>2.1</v>
      </c>
      <c r="I1321" s="545">
        <f>-ROUND(IF(AND(F1321:H1321),C1321*E1321*F1321*G1321*H1321,IF(AND(F1321,G1321),C1321*E1321*F1321*G1321,IF(AND(F1321,H1321),C1321*E1321*F1321*H1321,IF(AND(G1321,H1321),C1321*E1321*G1321*H1321,IF(F1321,C1321*E1321*F1321,IF(G1321,C1321*E1321*G1321,IF(H1321,C1321*E1321*H1321,C1321*E1321))))))),2)</f>
        <v>-2.52</v>
      </c>
      <c r="J1321" s="553" t="s">
        <v>102</v>
      </c>
      <c r="K1321" s="39"/>
      <c r="L1321" s="208"/>
      <c r="M1321" s="39"/>
      <c r="N1321" s="536" t="s">
        <v>2306</v>
      </c>
    </row>
    <row r="1322" spans="1:14" s="544" customFormat="1" ht="16.5" customHeight="1">
      <c r="A1322" s="16"/>
      <c r="B1322" s="39" t="s">
        <v>2942</v>
      </c>
      <c r="C1322" s="537">
        <v>1</v>
      </c>
      <c r="D1322" s="539" t="s">
        <v>273</v>
      </c>
      <c r="E1322" s="540">
        <v>1</v>
      </c>
      <c r="F1322" s="541">
        <v>3.5</v>
      </c>
      <c r="G1322" s="541">
        <v>0</v>
      </c>
      <c r="H1322" s="541">
        <v>0.9</v>
      </c>
      <c r="I1322" s="545">
        <f t="shared" si="120"/>
        <v>3.15</v>
      </c>
      <c r="J1322" s="553" t="s">
        <v>102</v>
      </c>
      <c r="K1322" s="39"/>
      <c r="L1322" s="208"/>
      <c r="M1322" s="39"/>
      <c r="N1322" s="536" t="s">
        <v>2306</v>
      </c>
    </row>
    <row r="1323" spans="1:14" s="544" customFormat="1" ht="16.5" customHeight="1">
      <c r="A1323" s="16"/>
      <c r="B1323" s="39" t="s">
        <v>2943</v>
      </c>
      <c r="C1323" s="537">
        <v>1</v>
      </c>
      <c r="D1323" s="539" t="s">
        <v>273</v>
      </c>
      <c r="E1323" s="540">
        <v>1</v>
      </c>
      <c r="F1323" s="541">
        <v>2.65</v>
      </c>
      <c r="G1323" s="541">
        <v>0</v>
      </c>
      <c r="H1323" s="541">
        <v>0.9</v>
      </c>
      <c r="I1323" s="545">
        <f t="shared" si="120"/>
        <v>2.39</v>
      </c>
      <c r="J1323" s="553" t="s">
        <v>102</v>
      </c>
      <c r="K1323" s="39"/>
      <c r="L1323" s="208"/>
      <c r="M1323" s="39"/>
      <c r="N1323" s="536" t="s">
        <v>2306</v>
      </c>
    </row>
    <row r="1324" spans="1:14" s="544" customFormat="1" ht="16.5" customHeight="1">
      <c r="A1324" s="16"/>
      <c r="B1324" s="39" t="s">
        <v>2995</v>
      </c>
      <c r="C1324" s="537">
        <v>1</v>
      </c>
      <c r="D1324" s="539" t="s">
        <v>273</v>
      </c>
      <c r="E1324" s="540">
        <v>1</v>
      </c>
      <c r="F1324" s="541">
        <v>21.2</v>
      </c>
      <c r="G1324" s="541">
        <v>0</v>
      </c>
      <c r="H1324" s="541">
        <v>3.0750000000000002</v>
      </c>
      <c r="I1324" s="545">
        <f t="shared" si="120"/>
        <v>65.19</v>
      </c>
      <c r="J1324" s="553" t="s">
        <v>102</v>
      </c>
      <c r="K1324" s="39"/>
      <c r="L1324" s="208"/>
      <c r="M1324" s="39"/>
      <c r="N1324" s="536" t="s">
        <v>2306</v>
      </c>
    </row>
    <row r="1325" spans="1:14" s="544" customFormat="1" ht="16.5" customHeight="1">
      <c r="A1325" s="16"/>
      <c r="B1325" s="39" t="s">
        <v>579</v>
      </c>
      <c r="C1325" s="537">
        <v>1</v>
      </c>
      <c r="D1325" s="539" t="s">
        <v>273</v>
      </c>
      <c r="E1325" s="540">
        <v>1</v>
      </c>
      <c r="F1325" s="541">
        <v>1.3</v>
      </c>
      <c r="G1325" s="541">
        <v>0</v>
      </c>
      <c r="H1325" s="541">
        <v>2.1</v>
      </c>
      <c r="I1325" s="545">
        <f t="shared" ref="I1325:I1330" si="121">-ROUND(IF(AND(F1325:H1325),C1325*E1325*F1325*G1325*H1325,IF(AND(F1325,G1325),C1325*E1325*F1325*G1325,IF(AND(F1325,H1325),C1325*E1325*F1325*H1325,IF(AND(G1325,H1325),C1325*E1325*G1325*H1325,IF(F1325,C1325*E1325*F1325,IF(G1325,C1325*E1325*G1325,IF(H1325,C1325*E1325*H1325,C1325*E1325))))))),2)</f>
        <v>-2.73</v>
      </c>
      <c r="J1325" s="553" t="s">
        <v>102</v>
      </c>
      <c r="K1325" s="39"/>
      <c r="L1325" s="208"/>
      <c r="M1325" s="39"/>
      <c r="N1325" s="536" t="s">
        <v>2306</v>
      </c>
    </row>
    <row r="1326" spans="1:14" s="544" customFormat="1" ht="16.5" customHeight="1">
      <c r="A1326" s="16"/>
      <c r="B1326" s="39" t="s">
        <v>579</v>
      </c>
      <c r="C1326" s="537">
        <v>1</v>
      </c>
      <c r="D1326" s="539" t="s">
        <v>273</v>
      </c>
      <c r="E1326" s="540">
        <v>1</v>
      </c>
      <c r="F1326" s="541">
        <v>1.2</v>
      </c>
      <c r="G1326" s="541">
        <v>0</v>
      </c>
      <c r="H1326" s="541">
        <v>2.1</v>
      </c>
      <c r="I1326" s="545">
        <f t="shared" si="121"/>
        <v>-2.52</v>
      </c>
      <c r="J1326" s="553" t="s">
        <v>102</v>
      </c>
      <c r="K1326" s="39"/>
      <c r="L1326" s="208"/>
      <c r="M1326" s="39"/>
      <c r="N1326" s="536" t="s">
        <v>2306</v>
      </c>
    </row>
    <row r="1327" spans="1:14" s="544" customFormat="1" ht="16.5" customHeight="1">
      <c r="A1327" s="16"/>
      <c r="B1327" s="39" t="s">
        <v>579</v>
      </c>
      <c r="C1327" s="537">
        <v>1</v>
      </c>
      <c r="D1327" s="539" t="s">
        <v>273</v>
      </c>
      <c r="E1327" s="540">
        <v>3</v>
      </c>
      <c r="F1327" s="541">
        <v>1.05</v>
      </c>
      <c r="G1327" s="541">
        <v>0</v>
      </c>
      <c r="H1327" s="541">
        <v>2.1</v>
      </c>
      <c r="I1327" s="545">
        <f t="shared" si="121"/>
        <v>-6.62</v>
      </c>
      <c r="J1327" s="553" t="s">
        <v>102</v>
      </c>
      <c r="K1327" s="39"/>
      <c r="L1327" s="208"/>
      <c r="M1327" s="39"/>
      <c r="N1327" s="536" t="s">
        <v>2306</v>
      </c>
    </row>
    <row r="1328" spans="1:14" s="544" customFormat="1" ht="16.5" customHeight="1">
      <c r="A1328" s="16"/>
      <c r="B1328" s="39" t="s">
        <v>2206</v>
      </c>
      <c r="C1328" s="537">
        <v>1</v>
      </c>
      <c r="D1328" s="539" t="s">
        <v>273</v>
      </c>
      <c r="E1328" s="540">
        <v>2</v>
      </c>
      <c r="F1328" s="541">
        <v>0.75</v>
      </c>
      <c r="G1328" s="541">
        <v>0</v>
      </c>
      <c r="H1328" s="541">
        <v>2.1</v>
      </c>
      <c r="I1328" s="545">
        <f t="shared" si="121"/>
        <v>-3.15</v>
      </c>
      <c r="J1328" s="553" t="s">
        <v>102</v>
      </c>
      <c r="K1328" s="39"/>
      <c r="L1328" s="208"/>
      <c r="M1328" s="39"/>
      <c r="N1328" s="536" t="s">
        <v>2306</v>
      </c>
    </row>
    <row r="1329" spans="1:14" s="544" customFormat="1" ht="16.5" customHeight="1">
      <c r="A1329" s="16"/>
      <c r="B1329" s="39" t="s">
        <v>2360</v>
      </c>
      <c r="C1329" s="537">
        <v>1</v>
      </c>
      <c r="D1329" s="539" t="s">
        <v>273</v>
      </c>
      <c r="E1329" s="540">
        <v>1</v>
      </c>
      <c r="F1329" s="541">
        <v>1.45</v>
      </c>
      <c r="G1329" s="541">
        <v>0</v>
      </c>
      <c r="H1329" s="541">
        <v>1.45</v>
      </c>
      <c r="I1329" s="545">
        <f t="shared" si="121"/>
        <v>-2.1</v>
      </c>
      <c r="J1329" s="553" t="s">
        <v>102</v>
      </c>
      <c r="K1329" s="39"/>
      <c r="L1329" s="208"/>
      <c r="M1329" s="39"/>
      <c r="N1329" s="536" t="s">
        <v>2306</v>
      </c>
    </row>
    <row r="1330" spans="1:14" s="544" customFormat="1" ht="16.5" customHeight="1">
      <c r="A1330" s="16"/>
      <c r="B1330" s="39" t="s">
        <v>2141</v>
      </c>
      <c r="C1330" s="537">
        <v>1</v>
      </c>
      <c r="D1330" s="539" t="s">
        <v>273</v>
      </c>
      <c r="E1330" s="540">
        <v>1</v>
      </c>
      <c r="F1330" s="541">
        <v>0.6</v>
      </c>
      <c r="G1330" s="541">
        <v>0</v>
      </c>
      <c r="H1330" s="541">
        <v>0.3</v>
      </c>
      <c r="I1330" s="545">
        <f t="shared" si="121"/>
        <v>-0.18</v>
      </c>
      <c r="J1330" s="553" t="s">
        <v>102</v>
      </c>
      <c r="K1330" s="39"/>
      <c r="L1330" s="208"/>
      <c r="M1330" s="39"/>
      <c r="N1330" s="536" t="s">
        <v>2306</v>
      </c>
    </row>
    <row r="1331" spans="1:14" s="544" customFormat="1" ht="16.5" customHeight="1">
      <c r="A1331" s="16"/>
      <c r="B1331" s="39" t="s">
        <v>1544</v>
      </c>
      <c r="C1331" s="537">
        <v>1</v>
      </c>
      <c r="D1331" s="539" t="s">
        <v>273</v>
      </c>
      <c r="E1331" s="540">
        <v>1</v>
      </c>
      <c r="F1331" s="541">
        <v>8.9</v>
      </c>
      <c r="G1331" s="541">
        <v>1.7</v>
      </c>
      <c r="H1331" s="541">
        <v>0</v>
      </c>
      <c r="I1331" s="545">
        <f t="shared" si="120"/>
        <v>15.13</v>
      </c>
      <c r="J1331" s="553" t="s">
        <v>102</v>
      </c>
      <c r="K1331" s="39"/>
      <c r="L1331" s="208"/>
      <c r="M1331" s="39"/>
      <c r="N1331" s="536" t="s">
        <v>2306</v>
      </c>
    </row>
    <row r="1332" spans="1:14" s="544" customFormat="1" ht="16.5" customHeight="1">
      <c r="A1332" s="16"/>
      <c r="B1332" s="39" t="s">
        <v>3011</v>
      </c>
      <c r="C1332" s="537">
        <v>2</v>
      </c>
      <c r="D1332" s="539" t="s">
        <v>273</v>
      </c>
      <c r="E1332" s="540">
        <v>2</v>
      </c>
      <c r="F1332" s="541">
        <v>1.7</v>
      </c>
      <c r="G1332" s="541">
        <v>0</v>
      </c>
      <c r="H1332" s="541">
        <v>0.38</v>
      </c>
      <c r="I1332" s="545">
        <f t="shared" si="120"/>
        <v>2.58</v>
      </c>
      <c r="J1332" s="553" t="s">
        <v>102</v>
      </c>
      <c r="K1332" s="39"/>
      <c r="L1332" s="208"/>
      <c r="M1332" s="39"/>
      <c r="N1332" s="536" t="s">
        <v>2306</v>
      </c>
    </row>
    <row r="1333" spans="1:14" s="544" customFormat="1" ht="16.5" customHeight="1">
      <c r="A1333" s="16"/>
      <c r="B1333" s="547"/>
      <c r="C1333" s="548"/>
      <c r="D1333" s="549"/>
      <c r="E1333" s="587"/>
      <c r="F1333" s="551"/>
      <c r="G1333" s="551"/>
      <c r="H1333" s="551"/>
      <c r="I1333" s="552"/>
      <c r="J1333" s="553"/>
      <c r="K1333" s="39"/>
      <c r="L1333" s="208"/>
      <c r="M1333" s="39"/>
      <c r="N1333" s="536" t="s">
        <v>2306</v>
      </c>
    </row>
    <row r="1334" spans="1:14" ht="15.75">
      <c r="A1334" s="16"/>
      <c r="B1334" s="39"/>
      <c r="C1334" s="554"/>
      <c r="D1334" s="555"/>
      <c r="E1334" s="540"/>
      <c r="F1334" s="541"/>
      <c r="G1334" s="40"/>
      <c r="H1334" s="16"/>
      <c r="I1334" s="552"/>
      <c r="J1334" s="553" t="s">
        <v>102</v>
      </c>
      <c r="K1334" s="10">
        <f>data!F1728</f>
        <v>164.34</v>
      </c>
      <c r="L1334" s="208" t="s">
        <v>2306</v>
      </c>
      <c r="M1334" s="9">
        <f>ROUND(I1334*K1334,0)</f>
        <v>0</v>
      </c>
      <c r="N1334" s="536" t="s">
        <v>2306</v>
      </c>
    </row>
    <row r="1335" spans="1:14" ht="117.75" customHeight="1">
      <c r="A1335" s="16">
        <v>19</v>
      </c>
      <c r="B1335" s="1858" t="s">
        <v>891</v>
      </c>
      <c r="C1335" s="1858"/>
      <c r="D1335" s="1858"/>
      <c r="E1335" s="1858"/>
      <c r="F1335" s="1858"/>
      <c r="G1335" s="1858"/>
      <c r="H1335" s="1858"/>
      <c r="I1335" s="537"/>
      <c r="J1335" s="538"/>
      <c r="K1335" s="16"/>
      <c r="L1335" s="208"/>
      <c r="M1335" s="38"/>
      <c r="N1335" s="536" t="s">
        <v>2317</v>
      </c>
    </row>
    <row r="1336" spans="1:14" s="544" customFormat="1" ht="16.5" customHeight="1">
      <c r="A1336" s="16"/>
      <c r="B1336" s="39" t="s">
        <v>2894</v>
      </c>
      <c r="C1336" s="537"/>
      <c r="D1336" s="539"/>
      <c r="E1336" s="540"/>
      <c r="F1336" s="541"/>
      <c r="G1336" s="541"/>
      <c r="H1336" s="541"/>
      <c r="I1336" s="542"/>
      <c r="J1336" s="553"/>
      <c r="K1336" s="39"/>
      <c r="L1336" s="208"/>
      <c r="M1336" s="39"/>
      <c r="N1336" s="536" t="s">
        <v>2317</v>
      </c>
    </row>
    <row r="1337" spans="1:14" s="544" customFormat="1" ht="16.5" customHeight="1">
      <c r="A1337" s="16"/>
      <c r="B1337" s="39" t="s">
        <v>2203</v>
      </c>
      <c r="C1337" s="537">
        <v>1</v>
      </c>
      <c r="D1337" s="539" t="s">
        <v>273</v>
      </c>
      <c r="E1337" s="540">
        <v>1</v>
      </c>
      <c r="F1337" s="541">
        <v>13.38</v>
      </c>
      <c r="G1337" s="541">
        <v>0</v>
      </c>
      <c r="H1337" s="541">
        <v>3.12</v>
      </c>
      <c r="I1337" s="579">
        <f>ROUND(IF(AND(F1337:H1337),C1337*E1337*F1337*G1337*H1337,IF(AND(F1337,G1337),C1337*E1337*F1337*G1337,IF(AND(F1337,H1337),C1337*E1337*F1337*H1337,IF(AND(G1337,H1337),C1337*E1337*G1337*H1337,IF(F1337,C1337*E1337*F1337,IF(G1337,C1337*E1337*G1337,IF(H1337,C1337*E1337*H1337,C1337*E1337))))))),2)</f>
        <v>41.75</v>
      </c>
      <c r="J1337" s="553" t="s">
        <v>102</v>
      </c>
      <c r="K1337" s="39"/>
      <c r="L1337" s="208"/>
      <c r="M1337" s="39"/>
      <c r="N1337" s="536" t="s">
        <v>2317</v>
      </c>
    </row>
    <row r="1338" spans="1:14" s="544" customFormat="1" ht="16.5" customHeight="1">
      <c r="A1338" s="16"/>
      <c r="B1338" s="39" t="s">
        <v>1169</v>
      </c>
      <c r="C1338" s="537">
        <v>1</v>
      </c>
      <c r="D1338" s="539" t="s">
        <v>273</v>
      </c>
      <c r="E1338" s="540">
        <v>1</v>
      </c>
      <c r="F1338" s="541">
        <v>12.18</v>
      </c>
      <c r="G1338" s="541">
        <v>0</v>
      </c>
      <c r="H1338" s="541">
        <v>3.12</v>
      </c>
      <c r="I1338" s="579">
        <f>ROUND(IF(AND(F1338:H1338),C1338*E1338*F1338*G1338*H1338,IF(AND(F1338,G1338),C1338*E1338*F1338*G1338,IF(AND(F1338,H1338),C1338*E1338*F1338*H1338,IF(AND(G1338,H1338),C1338*E1338*G1338*H1338,IF(F1338,C1338*E1338*F1338,IF(G1338,C1338*E1338*G1338,IF(H1338,C1338*E1338*H1338,C1338*E1338))))))),2)</f>
        <v>38</v>
      </c>
      <c r="J1338" s="553" t="s">
        <v>102</v>
      </c>
      <c r="K1338" s="39"/>
      <c r="L1338" s="208"/>
      <c r="M1338" s="39"/>
      <c r="N1338" s="536" t="s">
        <v>2317</v>
      </c>
    </row>
    <row r="1339" spans="1:14" s="544" customFormat="1" ht="16.5" customHeight="1">
      <c r="A1339" s="16"/>
      <c r="B1339" s="39" t="s">
        <v>2204</v>
      </c>
      <c r="C1339" s="537">
        <v>1</v>
      </c>
      <c r="D1339" s="539" t="s">
        <v>273</v>
      </c>
      <c r="E1339" s="540">
        <v>1</v>
      </c>
      <c r="F1339" s="541">
        <v>12.22</v>
      </c>
      <c r="G1339" s="541">
        <v>0</v>
      </c>
      <c r="H1339" s="541">
        <v>3.12</v>
      </c>
      <c r="I1339" s="579">
        <f>ROUND(IF(AND(F1339:H1339),C1339*E1339*F1339*G1339*H1339,IF(AND(F1339,G1339),C1339*E1339*F1339*G1339,IF(AND(F1339,H1339),C1339*E1339*F1339*H1339,IF(AND(G1339,H1339),C1339*E1339*G1339*H1339,IF(F1339,C1339*E1339*F1339,IF(G1339,C1339*E1339*G1339,IF(H1339,C1339*E1339*H1339,C1339*E1339))))))),2)</f>
        <v>38.130000000000003</v>
      </c>
      <c r="J1339" s="553" t="s">
        <v>102</v>
      </c>
      <c r="K1339" s="39"/>
      <c r="L1339" s="208"/>
      <c r="M1339" s="39"/>
      <c r="N1339" s="536" t="s">
        <v>2317</v>
      </c>
    </row>
    <row r="1340" spans="1:14" s="544" customFormat="1" ht="16.5" customHeight="1">
      <c r="A1340" s="16"/>
      <c r="B1340" s="39" t="s">
        <v>223</v>
      </c>
      <c r="C1340" s="537">
        <v>1</v>
      </c>
      <c r="D1340" s="539" t="s">
        <v>273</v>
      </c>
      <c r="E1340" s="540">
        <v>1</v>
      </c>
      <c r="F1340" s="541">
        <v>17.34</v>
      </c>
      <c r="G1340" s="541">
        <v>0</v>
      </c>
      <c r="H1340" s="541">
        <v>3.12</v>
      </c>
      <c r="I1340" s="579">
        <f>ROUND(IF(AND(F1340:H1340),C1340*E1340*F1340*G1340*H1340,IF(AND(F1340,G1340),C1340*E1340*F1340*G1340,IF(AND(F1340,H1340),C1340*E1340*F1340*H1340,IF(AND(G1340,H1340),C1340*E1340*G1340*H1340,IF(F1340,C1340*E1340*F1340,IF(G1340,C1340*E1340*G1340,IF(H1340,C1340*E1340*H1340,C1340*E1340))))))),2)</f>
        <v>54.1</v>
      </c>
      <c r="J1340" s="553" t="s">
        <v>102</v>
      </c>
      <c r="K1340" s="39"/>
      <c r="L1340" s="208"/>
      <c r="M1340" s="39"/>
      <c r="N1340" s="536" t="s">
        <v>2317</v>
      </c>
    </row>
    <row r="1341" spans="1:14" s="544" customFormat="1" ht="16.5" customHeight="1">
      <c r="A1341" s="16"/>
      <c r="B1341" s="39" t="s">
        <v>2205</v>
      </c>
      <c r="C1341" s="537">
        <v>1</v>
      </c>
      <c r="D1341" s="539" t="s">
        <v>273</v>
      </c>
      <c r="E1341" s="540">
        <v>6</v>
      </c>
      <c r="F1341" s="541">
        <v>5.7</v>
      </c>
      <c r="G1341" s="541">
        <v>0</v>
      </c>
      <c r="H1341" s="541">
        <v>0.115</v>
      </c>
      <c r="I1341" s="579">
        <f>ROUND(IF(AND(F1341:H1341),C1341*E1341*F1341*G1341*H1341,IF(AND(F1341,G1341),C1341*E1341*F1341*G1341,IF(AND(F1341,H1341),C1341*E1341*F1341*H1341,IF(AND(G1341,H1341),C1341*E1341*G1341*H1341,IF(F1341,C1341*E1341*F1341,IF(G1341,C1341*E1341*G1341,IF(H1341,C1341*E1341*H1341,C1341*E1341))))))),2)</f>
        <v>3.93</v>
      </c>
      <c r="J1341" s="553" t="s">
        <v>102</v>
      </c>
      <c r="K1341" s="39"/>
      <c r="L1341" s="208"/>
      <c r="M1341" s="39"/>
      <c r="N1341" s="536" t="s">
        <v>2317</v>
      </c>
    </row>
    <row r="1342" spans="1:14" s="544" customFormat="1" ht="16.5" customHeight="1">
      <c r="A1342" s="16"/>
      <c r="B1342" s="39"/>
      <c r="C1342" s="537">
        <v>1</v>
      </c>
      <c r="D1342" s="539" t="s">
        <v>273</v>
      </c>
      <c r="E1342" s="540">
        <v>2</v>
      </c>
      <c r="F1342" s="541">
        <v>1.2</v>
      </c>
      <c r="G1342" s="541">
        <v>0</v>
      </c>
      <c r="H1342" s="541">
        <v>2.1</v>
      </c>
      <c r="I1342" s="579">
        <f>-ROUND(IF(AND(F1342:H1342),C1342*E1342*F1342*G1342*H1342,IF(AND(F1342,G1342),C1342*E1342*F1342*G1342,IF(AND(F1342,H1342),C1342*E1342*F1342*H1342,IF(AND(G1342,H1342),C1342*E1342*G1342*H1342,IF(F1342,C1342*E1342*F1342,IF(G1342,C1342*E1342*G1342,IF(H1342,C1342*E1342*H1342,C1342*E1342))))))),2)</f>
        <v>-5.04</v>
      </c>
      <c r="J1342" s="553" t="s">
        <v>102</v>
      </c>
      <c r="K1342" s="39"/>
      <c r="L1342" s="208"/>
      <c r="M1342" s="39"/>
      <c r="N1342" s="536" t="s">
        <v>2317</v>
      </c>
    </row>
    <row r="1343" spans="1:14" s="544" customFormat="1" ht="16.5" customHeight="1">
      <c r="A1343" s="16"/>
      <c r="B1343" s="547"/>
      <c r="C1343" s="548"/>
      <c r="D1343" s="549"/>
      <c r="E1343" s="587"/>
      <c r="F1343" s="551"/>
      <c r="G1343" s="551"/>
      <c r="H1343" s="551"/>
      <c r="I1343" s="552"/>
      <c r="J1343" s="553"/>
      <c r="K1343" s="39"/>
      <c r="L1343" s="208"/>
      <c r="M1343" s="39"/>
      <c r="N1343" s="536" t="s">
        <v>2317</v>
      </c>
    </row>
    <row r="1344" spans="1:14" ht="15.75">
      <c r="A1344" s="16"/>
      <c r="B1344" s="39"/>
      <c r="C1344" s="554"/>
      <c r="D1344" s="555"/>
      <c r="E1344" s="540"/>
      <c r="F1344" s="541"/>
      <c r="G1344" s="40"/>
      <c r="H1344" s="16"/>
      <c r="I1344" s="552"/>
      <c r="J1344" s="553" t="s">
        <v>102</v>
      </c>
      <c r="K1344" s="10">
        <f>data!F2645</f>
        <v>170.35</v>
      </c>
      <c r="L1344" s="208" t="s">
        <v>2317</v>
      </c>
      <c r="M1344" s="9">
        <f>ROUND(I1344*K1344,0)</f>
        <v>0</v>
      </c>
      <c r="N1344" s="536" t="s">
        <v>2317</v>
      </c>
    </row>
    <row r="1345" spans="1:14" ht="117.75" customHeight="1">
      <c r="A1345" s="16">
        <v>14</v>
      </c>
      <c r="B1345" s="1858" t="s">
        <v>891</v>
      </c>
      <c r="C1345" s="1858"/>
      <c r="D1345" s="1858"/>
      <c r="E1345" s="1858"/>
      <c r="F1345" s="1858"/>
      <c r="G1345" s="1858"/>
      <c r="H1345" s="1858"/>
      <c r="I1345" s="537"/>
      <c r="J1345" s="538"/>
      <c r="K1345" s="16"/>
      <c r="L1345" s="208"/>
      <c r="M1345" s="38"/>
      <c r="N1345" s="536" t="s">
        <v>2318</v>
      </c>
    </row>
    <row r="1346" spans="1:14" s="544" customFormat="1" ht="16.5" customHeight="1">
      <c r="A1346" s="16"/>
      <c r="B1346" s="39" t="s">
        <v>3113</v>
      </c>
      <c r="C1346" s="537"/>
      <c r="D1346" s="1145" t="s">
        <v>3336</v>
      </c>
      <c r="E1346" s="540"/>
      <c r="F1346" s="541"/>
      <c r="G1346" s="541"/>
      <c r="H1346" s="541"/>
      <c r="I1346" s="542"/>
      <c r="J1346" s="553"/>
      <c r="K1346" s="39"/>
      <c r="L1346" s="208"/>
      <c r="M1346" s="39"/>
      <c r="N1346" s="536" t="s">
        <v>2318</v>
      </c>
    </row>
    <row r="1347" spans="1:14" s="544" customFormat="1" ht="16.5" customHeight="1">
      <c r="A1347" s="16"/>
      <c r="B1347" s="39" t="s">
        <v>2362</v>
      </c>
      <c r="C1347" s="537">
        <v>1</v>
      </c>
      <c r="D1347" s="539" t="s">
        <v>273</v>
      </c>
      <c r="E1347" s="540">
        <v>1</v>
      </c>
      <c r="F1347" s="541">
        <v>3.35</v>
      </c>
      <c r="G1347" s="541">
        <v>2.4900000000000002</v>
      </c>
      <c r="H1347" s="541">
        <v>0</v>
      </c>
      <c r="I1347" s="545">
        <f t="shared" ref="I1347:I1353" si="122">ROUND(IF(AND(F1347:H1347),C1347*E1347*F1347*G1347*H1347,IF(AND(F1347,G1347),C1347*E1347*F1347*G1347,IF(AND(F1347,H1347),C1347*E1347*F1347*H1347,IF(AND(G1347,H1347),C1347*E1347*G1347*H1347,IF(F1347,C1347*E1347*F1347,IF(G1347,C1347*E1347*G1347,IF(H1347,C1347*E1347*H1347,C1347*E1347))))))),2)</f>
        <v>8.34</v>
      </c>
      <c r="J1347" s="553" t="s">
        <v>102</v>
      </c>
      <c r="K1347" s="39"/>
      <c r="L1347" s="208"/>
      <c r="M1347" s="39"/>
      <c r="N1347" s="536" t="s">
        <v>2318</v>
      </c>
    </row>
    <row r="1348" spans="1:14" s="544" customFormat="1" ht="16.5" customHeight="1">
      <c r="A1348" s="16"/>
      <c r="B1348" s="39" t="s">
        <v>1624</v>
      </c>
      <c r="C1348" s="537">
        <v>1</v>
      </c>
      <c r="D1348" s="539" t="s">
        <v>273</v>
      </c>
      <c r="E1348" s="540">
        <v>1</v>
      </c>
      <c r="F1348" s="541">
        <v>3.35</v>
      </c>
      <c r="G1348" s="541">
        <v>2.88</v>
      </c>
      <c r="H1348" s="541">
        <v>0</v>
      </c>
      <c r="I1348" s="545">
        <f t="shared" si="122"/>
        <v>9.65</v>
      </c>
      <c r="J1348" s="553" t="s">
        <v>102</v>
      </c>
      <c r="K1348" s="39"/>
      <c r="L1348" s="208"/>
      <c r="M1348" s="39"/>
      <c r="N1348" s="536" t="s">
        <v>2318</v>
      </c>
    </row>
    <row r="1349" spans="1:14" s="544" customFormat="1" ht="16.5" customHeight="1">
      <c r="A1349" s="16"/>
      <c r="B1349" s="39" t="s">
        <v>587</v>
      </c>
      <c r="C1349" s="537">
        <v>1</v>
      </c>
      <c r="D1349" s="539" t="s">
        <v>273</v>
      </c>
      <c r="E1349" s="540">
        <v>1</v>
      </c>
      <c r="F1349" s="541">
        <v>3.35</v>
      </c>
      <c r="G1349" s="541">
        <v>3.12</v>
      </c>
      <c r="H1349" s="541">
        <v>0</v>
      </c>
      <c r="I1349" s="545">
        <f t="shared" si="122"/>
        <v>10.45</v>
      </c>
      <c r="J1349" s="553" t="s">
        <v>102</v>
      </c>
      <c r="K1349" s="39"/>
      <c r="L1349" s="208"/>
      <c r="M1349" s="39"/>
      <c r="N1349" s="536" t="s">
        <v>2318</v>
      </c>
    </row>
    <row r="1350" spans="1:14" s="544" customFormat="1" ht="16.5" customHeight="1">
      <c r="A1350" s="16"/>
      <c r="B1350" s="39" t="s">
        <v>2995</v>
      </c>
      <c r="C1350" s="537">
        <v>1</v>
      </c>
      <c r="D1350" s="539" t="s">
        <v>273</v>
      </c>
      <c r="E1350" s="540">
        <v>1</v>
      </c>
      <c r="F1350" s="541">
        <v>11.93</v>
      </c>
      <c r="G1350" s="541">
        <v>1.8</v>
      </c>
      <c r="H1350" s="541">
        <v>0</v>
      </c>
      <c r="I1350" s="545">
        <f t="shared" si="122"/>
        <v>21.47</v>
      </c>
      <c r="J1350" s="553" t="s">
        <v>102</v>
      </c>
      <c r="K1350" s="39"/>
      <c r="L1350" s="208"/>
      <c r="M1350" s="39"/>
      <c r="N1350" s="536" t="s">
        <v>2318</v>
      </c>
    </row>
    <row r="1351" spans="1:14" s="544" customFormat="1" ht="16.5" customHeight="1">
      <c r="A1351" s="16"/>
      <c r="B1351" s="39" t="s">
        <v>3187</v>
      </c>
      <c r="C1351" s="537">
        <v>1</v>
      </c>
      <c r="D1351" s="539" t="s">
        <v>273</v>
      </c>
      <c r="E1351" s="540">
        <v>1</v>
      </c>
      <c r="F1351" s="541">
        <v>4.9800000000000004</v>
      </c>
      <c r="G1351" s="541">
        <v>8.6</v>
      </c>
      <c r="H1351" s="541">
        <v>0</v>
      </c>
      <c r="I1351" s="545">
        <f t="shared" si="122"/>
        <v>42.83</v>
      </c>
      <c r="J1351" s="553" t="s">
        <v>102</v>
      </c>
      <c r="K1351" s="39"/>
      <c r="L1351" s="208"/>
      <c r="M1351" s="39"/>
      <c r="N1351" s="536" t="s">
        <v>2318</v>
      </c>
    </row>
    <row r="1352" spans="1:14" s="544" customFormat="1" ht="16.5" customHeight="1">
      <c r="A1352" s="16"/>
      <c r="B1352" s="39" t="s">
        <v>3172</v>
      </c>
      <c r="C1352" s="537">
        <v>2</v>
      </c>
      <c r="D1352" s="539" t="s">
        <v>273</v>
      </c>
      <c r="E1352" s="540">
        <v>2</v>
      </c>
      <c r="F1352" s="541">
        <v>1.8</v>
      </c>
      <c r="G1352" s="541">
        <v>0</v>
      </c>
      <c r="H1352" s="541">
        <v>0.38</v>
      </c>
      <c r="I1352" s="545">
        <f t="shared" si="122"/>
        <v>2.74</v>
      </c>
      <c r="J1352" s="553" t="s">
        <v>102</v>
      </c>
      <c r="K1352" s="39"/>
      <c r="L1352" s="208"/>
      <c r="M1352" s="39"/>
      <c r="N1352" s="536" t="s">
        <v>2318</v>
      </c>
    </row>
    <row r="1353" spans="1:14" s="544" customFormat="1" ht="16.5" customHeight="1">
      <c r="A1353" s="16"/>
      <c r="B1353" s="39" t="s">
        <v>3188</v>
      </c>
      <c r="C1353" s="537">
        <v>1</v>
      </c>
      <c r="D1353" s="539" t="s">
        <v>273</v>
      </c>
      <c r="E1353" s="540">
        <v>1</v>
      </c>
      <c r="F1353" s="541">
        <v>11.68</v>
      </c>
      <c r="G1353" s="541">
        <v>0</v>
      </c>
      <c r="H1353" s="541">
        <v>3.1</v>
      </c>
      <c r="I1353" s="545">
        <f t="shared" si="122"/>
        <v>36.21</v>
      </c>
      <c r="J1353" s="553" t="s">
        <v>102</v>
      </c>
      <c r="K1353" s="39"/>
      <c r="L1353" s="208"/>
      <c r="M1353" s="39"/>
      <c r="N1353" s="536" t="s">
        <v>2318</v>
      </c>
    </row>
    <row r="1354" spans="1:14" s="544" customFormat="1" ht="16.5" customHeight="1">
      <c r="A1354" s="16"/>
      <c r="B1354" s="39" t="s">
        <v>587</v>
      </c>
      <c r="C1354" s="537">
        <v>1</v>
      </c>
      <c r="D1354" s="539" t="s">
        <v>273</v>
      </c>
      <c r="E1354" s="540">
        <v>1</v>
      </c>
      <c r="F1354" s="541">
        <v>12.74</v>
      </c>
      <c r="G1354" s="541">
        <v>0</v>
      </c>
      <c r="H1354" s="541">
        <v>3.1</v>
      </c>
      <c r="I1354" s="545">
        <f>ROUND(IF(AND(F1354:H1354),C1354*E1354*F1354*G1354*H1354,IF(AND(F1354,G1354),C1354*E1354*F1354*G1354,IF(AND(F1354,H1354),C1354*E1354*F1354*H1354,IF(AND(G1354,H1354),C1354*E1354*G1354*H1354,IF(F1354,C1354*E1354*F1354,IF(G1354,C1354*E1354*G1354,IF(H1354,C1354*E1354*H1354,C1354*E1354))))))),2)</f>
        <v>39.49</v>
      </c>
      <c r="J1354" s="553" t="s">
        <v>102</v>
      </c>
      <c r="K1354" s="39"/>
      <c r="L1354" s="208"/>
      <c r="M1354" s="39"/>
      <c r="N1354" s="536" t="s">
        <v>2318</v>
      </c>
    </row>
    <row r="1355" spans="1:14" s="544" customFormat="1" ht="16.5" customHeight="1">
      <c r="A1355" s="16"/>
      <c r="B1355" s="39" t="s">
        <v>3189</v>
      </c>
      <c r="C1355" s="537">
        <v>1</v>
      </c>
      <c r="D1355" s="539" t="s">
        <v>273</v>
      </c>
      <c r="E1355" s="540">
        <v>1</v>
      </c>
      <c r="F1355" s="541">
        <v>12.26</v>
      </c>
      <c r="G1355" s="541">
        <v>0</v>
      </c>
      <c r="H1355" s="541">
        <v>3.1</v>
      </c>
      <c r="I1355" s="545">
        <f t="shared" ref="I1355:I1357" si="123">ROUND(IF(AND(F1355:H1355),C1355*E1355*F1355*G1355*H1355,IF(AND(F1355,G1355),C1355*E1355*F1355*G1355,IF(AND(F1355,H1355),C1355*E1355*F1355*H1355,IF(AND(G1355,H1355),C1355*E1355*G1355*H1355,IF(F1355,C1355*E1355*F1355,IF(G1355,C1355*E1355*G1355,IF(H1355,C1355*E1355*H1355,C1355*E1355))))))),2)</f>
        <v>38.01</v>
      </c>
      <c r="J1355" s="553" t="s">
        <v>102</v>
      </c>
      <c r="K1355" s="39"/>
      <c r="L1355" s="208"/>
      <c r="M1355" s="39"/>
      <c r="N1355" s="536" t="s">
        <v>2318</v>
      </c>
    </row>
    <row r="1356" spans="1:14" s="544" customFormat="1" ht="16.5" customHeight="1">
      <c r="A1356" s="16"/>
      <c r="B1356" s="39" t="s">
        <v>3175</v>
      </c>
      <c r="C1356" s="537">
        <v>1</v>
      </c>
      <c r="D1356" s="539" t="s">
        <v>273</v>
      </c>
      <c r="E1356" s="540">
        <v>1</v>
      </c>
      <c r="F1356" s="541">
        <v>11.93</v>
      </c>
      <c r="G1356" s="541">
        <v>0</v>
      </c>
      <c r="H1356" s="541">
        <v>3.1</v>
      </c>
      <c r="I1356" s="545">
        <f t="shared" si="123"/>
        <v>36.979999999999997</v>
      </c>
      <c r="J1356" s="553" t="s">
        <v>102</v>
      </c>
      <c r="K1356" s="39"/>
      <c r="L1356" s="208"/>
      <c r="M1356" s="39"/>
      <c r="N1356" s="536" t="s">
        <v>2318</v>
      </c>
    </row>
    <row r="1357" spans="1:14" s="544" customFormat="1" ht="16.5" customHeight="1">
      <c r="A1357" s="16"/>
      <c r="B1357" s="39"/>
      <c r="C1357" s="537">
        <v>1</v>
      </c>
      <c r="D1357" s="539" t="s">
        <v>273</v>
      </c>
      <c r="E1357" s="540">
        <v>1</v>
      </c>
      <c r="F1357" s="541">
        <v>9.42</v>
      </c>
      <c r="G1357" s="541">
        <v>0</v>
      </c>
      <c r="H1357" s="541">
        <v>3.1</v>
      </c>
      <c r="I1357" s="545">
        <f t="shared" si="123"/>
        <v>29.2</v>
      </c>
      <c r="J1357" s="553" t="s">
        <v>102</v>
      </c>
      <c r="K1357" s="39"/>
      <c r="L1357" s="208"/>
      <c r="M1357" s="39"/>
      <c r="N1357" s="536" t="s">
        <v>2318</v>
      </c>
    </row>
    <row r="1358" spans="1:14" s="544" customFormat="1" ht="16.5" customHeight="1">
      <c r="A1358" s="16"/>
      <c r="B1358" s="39" t="s">
        <v>223</v>
      </c>
      <c r="C1358" s="537">
        <v>1</v>
      </c>
      <c r="D1358" s="539" t="s">
        <v>273</v>
      </c>
      <c r="E1358" s="540">
        <v>1</v>
      </c>
      <c r="F1358" s="541">
        <v>22.92</v>
      </c>
      <c r="G1358" s="541">
        <v>0</v>
      </c>
      <c r="H1358" s="541">
        <v>3.1</v>
      </c>
      <c r="I1358" s="545">
        <f>ROUND(IF(AND(F1358:H1358),C1358*E1358*F1358*G1358*H1358,IF(AND(F1358,G1358),C1358*E1358*F1358*G1358,IF(AND(F1358,H1358),C1358*E1358*F1358*H1358,IF(AND(G1358,H1358),C1358*E1358*G1358*H1358,IF(F1358,C1358*E1358*F1358,IF(G1358,C1358*E1358*G1358,IF(H1358,C1358*E1358*H1358,C1358*E1358))))))),2)</f>
        <v>71.05</v>
      </c>
      <c r="J1358" s="553" t="s">
        <v>102</v>
      </c>
      <c r="K1358" s="39"/>
      <c r="L1358" s="208"/>
      <c r="M1358" s="39"/>
      <c r="N1358" s="536" t="s">
        <v>2318</v>
      </c>
    </row>
    <row r="1359" spans="1:14" s="544" customFormat="1" ht="16.5" customHeight="1">
      <c r="A1359" s="16"/>
      <c r="B1359" s="39" t="s">
        <v>3190</v>
      </c>
      <c r="C1359" s="537">
        <v>1</v>
      </c>
      <c r="D1359" s="539" t="s">
        <v>273</v>
      </c>
      <c r="E1359" s="540">
        <v>1</v>
      </c>
      <c r="F1359" s="541">
        <v>2.68</v>
      </c>
      <c r="G1359" s="541">
        <v>0</v>
      </c>
      <c r="H1359" s="541">
        <v>1.2</v>
      </c>
      <c r="I1359" s="545">
        <f>ROUND(IF(AND(F1359:H1359),C1359*E1359*F1359*G1359*H1359,IF(AND(F1359,G1359),C1359*E1359*F1359*G1359,IF(AND(F1359,H1359),C1359*E1359*F1359*H1359,IF(AND(G1359,H1359),C1359*E1359*G1359*H1359,IF(F1359,C1359*E1359*F1359,IF(G1359,C1359*E1359*G1359,IF(H1359,C1359*E1359*H1359,C1359*E1359))))))),2)</f>
        <v>3.22</v>
      </c>
      <c r="J1359" s="553" t="s">
        <v>102</v>
      </c>
      <c r="K1359" s="39"/>
      <c r="L1359" s="208"/>
      <c r="M1359" s="39"/>
      <c r="N1359" s="536" t="s">
        <v>2318</v>
      </c>
    </row>
    <row r="1360" spans="1:14" s="544" customFormat="1" ht="16.5" customHeight="1">
      <c r="A1360" s="16"/>
      <c r="B1360" s="39" t="s">
        <v>3191</v>
      </c>
      <c r="C1360" s="537">
        <v>1</v>
      </c>
      <c r="D1360" s="539" t="s">
        <v>273</v>
      </c>
      <c r="E1360" s="540">
        <v>1</v>
      </c>
      <c r="F1360" s="541">
        <v>0.85</v>
      </c>
      <c r="G1360" s="541">
        <v>0</v>
      </c>
      <c r="H1360" s="541">
        <v>1.2</v>
      </c>
      <c r="I1360" s="545">
        <f>ROUND(IF(AND(F1360:H1360),C1360*E1360*F1360*G1360*H1360,IF(AND(F1360,G1360),C1360*E1360*F1360*G1360,IF(AND(F1360,H1360),C1360*E1360*F1360*H1360,IF(AND(G1360,H1360),C1360*E1360*G1360*H1360,IF(F1360,C1360*E1360*F1360,IF(G1360,C1360*E1360*G1360,IF(H1360,C1360*E1360*H1360,C1360*E1360))))))),2)</f>
        <v>1.02</v>
      </c>
      <c r="J1360" s="553" t="s">
        <v>102</v>
      </c>
      <c r="K1360" s="39"/>
      <c r="L1360" s="208"/>
      <c r="M1360" s="39"/>
      <c r="N1360" s="536" t="s">
        <v>2318</v>
      </c>
    </row>
    <row r="1361" spans="1:14" s="544" customFormat="1" ht="16.5" customHeight="1">
      <c r="A1361" s="16"/>
      <c r="B1361" s="39" t="s">
        <v>3058</v>
      </c>
      <c r="C1361" s="537">
        <v>1</v>
      </c>
      <c r="D1361" s="539" t="s">
        <v>273</v>
      </c>
      <c r="E1361" s="540">
        <v>1</v>
      </c>
      <c r="F1361" s="541">
        <v>2.68</v>
      </c>
      <c r="G1361" s="541">
        <v>0</v>
      </c>
      <c r="H1361" s="541">
        <v>1.2</v>
      </c>
      <c r="I1361" s="545">
        <f>ROUND(IF(AND(F1361:H1361),C1361*E1361*F1361*G1361*H1361,IF(AND(F1361,G1361),C1361*E1361*F1361*G1361,IF(AND(F1361,H1361),C1361*E1361*F1361*H1361,IF(AND(G1361,H1361),C1361*E1361*G1361*H1361,IF(F1361,C1361*E1361*F1361,IF(G1361,C1361*E1361*G1361,IF(H1361,C1361*E1361*H1361,C1361*E1361))))))),2)</f>
        <v>3.22</v>
      </c>
      <c r="J1361" s="553" t="s">
        <v>102</v>
      </c>
      <c r="K1361" s="39"/>
      <c r="L1361" s="208"/>
      <c r="M1361" s="39"/>
      <c r="N1361" s="536" t="s">
        <v>2318</v>
      </c>
    </row>
    <row r="1362" spans="1:14" s="544" customFormat="1" ht="16.5" customHeight="1">
      <c r="A1362" s="16"/>
      <c r="B1362" s="39" t="s">
        <v>3191</v>
      </c>
      <c r="C1362" s="537">
        <v>1</v>
      </c>
      <c r="D1362" s="539" t="s">
        <v>273</v>
      </c>
      <c r="E1362" s="540">
        <v>2</v>
      </c>
      <c r="F1362" s="541">
        <v>0.85</v>
      </c>
      <c r="G1362" s="541">
        <v>0</v>
      </c>
      <c r="H1362" s="541">
        <v>1.2</v>
      </c>
      <c r="I1362" s="545">
        <f>ROUND(IF(AND(F1362:H1362),C1362*E1362*F1362*G1362*H1362,IF(AND(F1362,G1362),C1362*E1362*F1362*G1362,IF(AND(F1362,H1362),C1362*E1362*F1362*H1362,IF(AND(G1362,H1362),C1362*E1362*G1362*H1362,IF(F1362,C1362*E1362*F1362,IF(G1362,C1362*E1362*G1362,IF(H1362,C1362*E1362*H1362,C1362*E1362))))))),2)</f>
        <v>2.04</v>
      </c>
      <c r="J1362" s="553" t="s">
        <v>102</v>
      </c>
      <c r="K1362" s="39"/>
      <c r="L1362" s="208"/>
      <c r="M1362" s="39"/>
      <c r="N1362" s="536" t="s">
        <v>2318</v>
      </c>
    </row>
    <row r="1363" spans="1:14" s="544" customFormat="1" ht="16.5" customHeight="1">
      <c r="A1363" s="16"/>
      <c r="B1363" s="39" t="s">
        <v>1535</v>
      </c>
      <c r="C1363" s="537">
        <v>1</v>
      </c>
      <c r="D1363" s="539" t="s">
        <v>273</v>
      </c>
      <c r="E1363" s="540">
        <v>1</v>
      </c>
      <c r="F1363" s="541">
        <v>1.2</v>
      </c>
      <c r="G1363" s="541">
        <v>0</v>
      </c>
      <c r="H1363" s="541">
        <v>1.1000000000000001</v>
      </c>
      <c r="I1363" s="545">
        <f>-ROUND(IF(AND(F1363:H1363),C1363*E1363*F1363*G1363*H1363,IF(AND(F1363,G1363),C1363*E1363*F1363*G1363,IF(AND(F1363,H1363),C1363*E1363*F1363*H1363,IF(AND(G1363,H1363),C1363*E1363*G1363*H1363,IF(F1363,C1363*E1363*F1363,IF(G1363,C1363*E1363*G1363,IF(H1363,C1363*E1363*H1363,C1363*E1363))))))),2)</f>
        <v>-1.32</v>
      </c>
      <c r="J1363" s="553" t="s">
        <v>102</v>
      </c>
      <c r="K1363" s="39"/>
      <c r="L1363" s="208"/>
      <c r="M1363" s="39"/>
      <c r="N1363" s="536" t="s">
        <v>2318</v>
      </c>
    </row>
    <row r="1364" spans="1:14" s="544" customFormat="1" ht="16.5" customHeight="1">
      <c r="A1364" s="16"/>
      <c r="B1364" s="39" t="s">
        <v>579</v>
      </c>
      <c r="C1364" s="537">
        <v>1</v>
      </c>
      <c r="D1364" s="539" t="s">
        <v>273</v>
      </c>
      <c r="E1364" s="540">
        <v>2</v>
      </c>
      <c r="F1364" s="541">
        <v>1.2</v>
      </c>
      <c r="G1364" s="541">
        <v>0</v>
      </c>
      <c r="H1364" s="541">
        <v>2.1</v>
      </c>
      <c r="I1364" s="545">
        <f>-ROUND(IF(AND(F1364:H1364),C1364*E1364*F1364*G1364*H1364,IF(AND(F1364,G1364),C1364*E1364*F1364*G1364,IF(AND(F1364,H1364),C1364*E1364*F1364*H1364,IF(AND(G1364,H1364),C1364*E1364*G1364*H1364,IF(F1364,C1364*E1364*F1364,IF(G1364,C1364*E1364*G1364,IF(H1364,C1364*E1364*H1364,C1364*E1364))))))),2)</f>
        <v>-5.04</v>
      </c>
      <c r="J1364" s="553" t="s">
        <v>102</v>
      </c>
      <c r="K1364" s="39"/>
      <c r="L1364" s="208"/>
      <c r="M1364" s="39"/>
      <c r="N1364" s="536" t="s">
        <v>2318</v>
      </c>
    </row>
    <row r="1365" spans="1:14" s="544" customFormat="1" ht="16.5" customHeight="1">
      <c r="A1365" s="16"/>
      <c r="B1365" s="39" t="s">
        <v>579</v>
      </c>
      <c r="C1365" s="537">
        <v>2</v>
      </c>
      <c r="D1365" s="539" t="s">
        <v>273</v>
      </c>
      <c r="E1365" s="540">
        <v>4</v>
      </c>
      <c r="F1365" s="541">
        <v>1.05</v>
      </c>
      <c r="G1365" s="541">
        <v>0</v>
      </c>
      <c r="H1365" s="541">
        <v>2.1</v>
      </c>
      <c r="I1365" s="545">
        <f>-ROUND(IF(AND(F1365:H1365),C1365*E1365*F1365*G1365*H1365,IF(AND(F1365,G1365),C1365*E1365*F1365*G1365,IF(AND(F1365,H1365),C1365*E1365*F1365*H1365,IF(AND(G1365,H1365),C1365*E1365*G1365*H1365,IF(F1365,C1365*E1365*F1365,IF(G1365,C1365*E1365*G1365,IF(H1365,C1365*E1365*H1365,C1365*E1365))))))),2)</f>
        <v>-17.64</v>
      </c>
      <c r="J1365" s="553" t="s">
        <v>102</v>
      </c>
      <c r="K1365" s="39"/>
      <c r="L1365" s="208"/>
      <c r="M1365" s="39"/>
      <c r="N1365" s="536" t="s">
        <v>2318</v>
      </c>
    </row>
    <row r="1366" spans="1:14" s="544" customFormat="1" ht="16.5" customHeight="1">
      <c r="A1366" s="16"/>
      <c r="B1366" s="39" t="s">
        <v>2360</v>
      </c>
      <c r="C1366" s="537">
        <v>1</v>
      </c>
      <c r="D1366" s="539" t="s">
        <v>273</v>
      </c>
      <c r="E1366" s="540">
        <v>7</v>
      </c>
      <c r="F1366" s="541">
        <v>1.5</v>
      </c>
      <c r="G1366" s="541">
        <v>0</v>
      </c>
      <c r="H1366" s="541">
        <v>1.35</v>
      </c>
      <c r="I1366" s="545">
        <f>-ROUND(IF(AND(F1366:H1366),C1366*E1366*F1366*G1366*H1366,IF(AND(F1366,G1366),C1366*E1366*F1366*G1366,IF(AND(F1366,H1366),C1366*E1366*F1366*H1366,IF(AND(G1366,H1366),C1366*E1366*G1366*H1366,IF(F1366,C1366*E1366*F1366,IF(G1366,C1366*E1366*G1366,IF(H1366,C1366*E1366*H1366,C1366*E1366))))))),2)</f>
        <v>-14.18</v>
      </c>
      <c r="J1366" s="553" t="s">
        <v>102</v>
      </c>
      <c r="K1366" s="39"/>
      <c r="L1366" s="208"/>
      <c r="M1366" s="39"/>
      <c r="N1366" s="536" t="s">
        <v>2318</v>
      </c>
    </row>
    <row r="1367" spans="1:14" s="544" customFormat="1" ht="16.5" customHeight="1">
      <c r="A1367" s="16"/>
      <c r="B1367" s="39" t="s">
        <v>2141</v>
      </c>
      <c r="C1367" s="537">
        <v>1</v>
      </c>
      <c r="D1367" s="539" t="s">
        <v>273</v>
      </c>
      <c r="E1367" s="540">
        <v>12</v>
      </c>
      <c r="F1367" s="541">
        <v>0.6</v>
      </c>
      <c r="G1367" s="541">
        <v>0</v>
      </c>
      <c r="H1367" s="541">
        <v>0.3</v>
      </c>
      <c r="I1367" s="545">
        <f>-ROUND(IF(AND(F1367:H1367),C1367*E1367*F1367*G1367*H1367,IF(AND(F1367,G1367),C1367*E1367*F1367*G1367,IF(AND(F1367,H1367),C1367*E1367*F1367*H1367,IF(AND(G1367,H1367),C1367*E1367*G1367*H1367,IF(F1367,C1367*E1367*F1367,IF(G1367,C1367*E1367*G1367,IF(H1367,C1367*E1367*H1367,C1367*E1367))))))),2)</f>
        <v>-2.16</v>
      </c>
      <c r="J1367" s="553" t="s">
        <v>102</v>
      </c>
      <c r="K1367" s="39"/>
      <c r="L1367" s="208"/>
      <c r="M1367" s="39"/>
      <c r="N1367" s="536" t="s">
        <v>2318</v>
      </c>
    </row>
    <row r="1368" spans="1:14" s="544" customFormat="1" ht="16.5" customHeight="1">
      <c r="A1368" s="16"/>
      <c r="B1368" s="547"/>
      <c r="C1368" s="548"/>
      <c r="D1368" s="549"/>
      <c r="E1368" s="587"/>
      <c r="F1368" s="551"/>
      <c r="G1368" s="551"/>
      <c r="H1368" s="551"/>
      <c r="I1368" s="552"/>
      <c r="J1368" s="553"/>
      <c r="K1368" s="39"/>
      <c r="L1368" s="208"/>
      <c r="M1368" s="39"/>
      <c r="N1368" s="536" t="s">
        <v>2318</v>
      </c>
    </row>
    <row r="1369" spans="1:14" ht="15.75">
      <c r="A1369" s="16"/>
      <c r="B1369" s="39"/>
      <c r="C1369" s="554"/>
      <c r="D1369" s="555"/>
      <c r="E1369" s="540"/>
      <c r="F1369" s="541"/>
      <c r="G1369" s="40"/>
      <c r="H1369" s="16"/>
      <c r="I1369" s="552"/>
      <c r="J1369" s="553" t="s">
        <v>102</v>
      </c>
      <c r="K1369" s="10">
        <f>data!F3562</f>
        <v>184.03</v>
      </c>
      <c r="L1369" s="208" t="s">
        <v>2318</v>
      </c>
      <c r="M1369" s="9">
        <f>ROUND(I1369*K1369,0)</f>
        <v>0</v>
      </c>
      <c r="N1369" s="536" t="s">
        <v>2318</v>
      </c>
    </row>
    <row r="1370" spans="1:14" ht="94.5" customHeight="1">
      <c r="A1370" s="16">
        <v>20</v>
      </c>
      <c r="B1370" s="1858" t="s">
        <v>1167</v>
      </c>
      <c r="C1370" s="1858"/>
      <c r="D1370" s="1858"/>
      <c r="E1370" s="1858"/>
      <c r="F1370" s="1858"/>
      <c r="G1370" s="1858"/>
      <c r="H1370" s="1858"/>
      <c r="I1370" s="537"/>
      <c r="J1370" s="538"/>
      <c r="K1370" s="16"/>
      <c r="L1370" s="208"/>
      <c r="M1370" s="38"/>
      <c r="N1370" s="536" t="s">
        <v>2218</v>
      </c>
    </row>
    <row r="1371" spans="1:14" s="544" customFormat="1" ht="16.5" customHeight="1">
      <c r="A1371" s="16"/>
      <c r="B1371" s="39" t="s">
        <v>2865</v>
      </c>
      <c r="C1371" s="537"/>
      <c r="D1371" s="539"/>
      <c r="E1371" s="540"/>
      <c r="F1371" s="541"/>
      <c r="G1371" s="541"/>
      <c r="H1371" s="541"/>
      <c r="I1371" s="542"/>
      <c r="J1371" s="553"/>
      <c r="K1371" s="39"/>
      <c r="L1371" s="208"/>
      <c r="M1371" s="39"/>
      <c r="N1371" s="536" t="s">
        <v>2218</v>
      </c>
    </row>
    <row r="1372" spans="1:14" s="544" customFormat="1" ht="15.75">
      <c r="A1372" s="16"/>
      <c r="B1372" s="39" t="s">
        <v>2167</v>
      </c>
      <c r="C1372" s="537">
        <v>1</v>
      </c>
      <c r="D1372" s="539" t="s">
        <v>273</v>
      </c>
      <c r="E1372" s="540">
        <v>1</v>
      </c>
      <c r="F1372" s="541">
        <v>12.48</v>
      </c>
      <c r="G1372" s="541">
        <v>0</v>
      </c>
      <c r="H1372" s="541">
        <v>3.12</v>
      </c>
      <c r="I1372" s="545">
        <f t="shared" ref="I1372:I1376" si="124">ROUND(IF(AND(F1372:H1372),C1372*E1372*F1372*G1372*H1372,IF(AND(F1372,G1372),C1372*E1372*F1372*G1372,IF(AND(F1372,H1372),C1372*E1372*F1372*H1372,IF(AND(G1372,H1372),C1372*E1372*G1372*H1372,IF(F1372,C1372*E1372*F1372,IF(G1372,C1372*E1372*G1372,IF(H1372,C1372*E1372*H1372,C1372*E1372))))))),2)</f>
        <v>38.94</v>
      </c>
      <c r="J1372" s="553" t="s">
        <v>102</v>
      </c>
      <c r="K1372" s="39"/>
      <c r="L1372" s="208"/>
      <c r="M1372" s="39"/>
      <c r="N1372" s="536" t="s">
        <v>2218</v>
      </c>
    </row>
    <row r="1373" spans="1:14" s="544" customFormat="1" ht="15.75">
      <c r="A1373" s="16"/>
      <c r="B1373" s="39" t="s">
        <v>2167</v>
      </c>
      <c r="C1373" s="537">
        <v>1</v>
      </c>
      <c r="D1373" s="539" t="s">
        <v>273</v>
      </c>
      <c r="E1373" s="540">
        <v>1</v>
      </c>
      <c r="F1373" s="541">
        <v>8.92</v>
      </c>
      <c r="G1373" s="541">
        <v>0</v>
      </c>
      <c r="H1373" s="541">
        <v>3.12</v>
      </c>
      <c r="I1373" s="545">
        <f t="shared" si="124"/>
        <v>27.83</v>
      </c>
      <c r="J1373" s="553" t="s">
        <v>102</v>
      </c>
      <c r="K1373" s="39"/>
      <c r="L1373" s="208"/>
      <c r="M1373" s="39"/>
      <c r="N1373" s="536" t="s">
        <v>2218</v>
      </c>
    </row>
    <row r="1374" spans="1:14" s="544" customFormat="1" ht="16.5" customHeight="1">
      <c r="A1374" s="16"/>
      <c r="B1374" s="39" t="s">
        <v>2167</v>
      </c>
      <c r="C1374" s="537">
        <v>1</v>
      </c>
      <c r="D1374" s="539" t="s">
        <v>273</v>
      </c>
      <c r="E1374" s="540">
        <v>1</v>
      </c>
      <c r="F1374" s="541">
        <v>1.2</v>
      </c>
      <c r="G1374" s="541">
        <v>0</v>
      </c>
      <c r="H1374" s="541">
        <v>2.1</v>
      </c>
      <c r="I1374" s="545">
        <f t="shared" si="124"/>
        <v>2.52</v>
      </c>
      <c r="J1374" s="553" t="s">
        <v>102</v>
      </c>
      <c r="K1374" s="39"/>
      <c r="L1374" s="208"/>
      <c r="M1374" s="39"/>
      <c r="N1374" s="536" t="s">
        <v>2218</v>
      </c>
    </row>
    <row r="1375" spans="1:14" s="544" customFormat="1" ht="16.5" customHeight="1">
      <c r="A1375" s="16"/>
      <c r="B1375" s="39" t="s">
        <v>2167</v>
      </c>
      <c r="C1375" s="537">
        <v>1</v>
      </c>
      <c r="D1375" s="539" t="s">
        <v>273</v>
      </c>
      <c r="E1375" s="540">
        <v>1</v>
      </c>
      <c r="F1375" s="541">
        <v>1.5</v>
      </c>
      <c r="G1375" s="541">
        <v>0</v>
      </c>
      <c r="H1375" s="541">
        <v>1.35</v>
      </c>
      <c r="I1375" s="545">
        <f t="shared" si="124"/>
        <v>2.0299999999999998</v>
      </c>
      <c r="J1375" s="553" t="s">
        <v>102</v>
      </c>
      <c r="K1375" s="39"/>
      <c r="L1375" s="208"/>
      <c r="M1375" s="39"/>
      <c r="N1375" s="536" t="s">
        <v>2218</v>
      </c>
    </row>
    <row r="1376" spans="1:14" s="544" customFormat="1" ht="16.5" customHeight="1">
      <c r="A1376" s="16"/>
      <c r="B1376" s="39" t="s">
        <v>2167</v>
      </c>
      <c r="C1376" s="537">
        <v>1</v>
      </c>
      <c r="D1376" s="539" t="s">
        <v>273</v>
      </c>
      <c r="E1376" s="540">
        <v>1</v>
      </c>
      <c r="F1376" s="541">
        <v>2.7</v>
      </c>
      <c r="G1376" s="541">
        <v>0</v>
      </c>
      <c r="H1376" s="541">
        <v>0.15</v>
      </c>
      <c r="I1376" s="545">
        <f t="shared" si="124"/>
        <v>0.41</v>
      </c>
      <c r="J1376" s="553" t="s">
        <v>102</v>
      </c>
      <c r="K1376" s="39"/>
      <c r="L1376" s="208"/>
      <c r="M1376" s="39"/>
      <c r="N1376" s="536" t="s">
        <v>2218</v>
      </c>
    </row>
    <row r="1377" spans="1:14" s="544" customFormat="1" ht="16.5" customHeight="1">
      <c r="A1377" s="16"/>
      <c r="B1377" s="547"/>
      <c r="C1377" s="548"/>
      <c r="D1377" s="549"/>
      <c r="E1377" s="550"/>
      <c r="F1377" s="551"/>
      <c r="G1377" s="551"/>
      <c r="H1377" s="551"/>
      <c r="I1377" s="552"/>
      <c r="J1377" s="553"/>
      <c r="K1377" s="39"/>
      <c r="L1377" s="208"/>
      <c r="M1377" s="39"/>
      <c r="N1377" s="536" t="s">
        <v>2218</v>
      </c>
    </row>
    <row r="1378" spans="1:14" ht="15.75">
      <c r="A1378" s="16"/>
      <c r="B1378" s="39"/>
      <c r="C1378" s="554"/>
      <c r="D1378" s="555"/>
      <c r="E1378" s="540"/>
      <c r="F1378" s="541"/>
      <c r="G1378" s="40"/>
      <c r="H1378" s="16"/>
      <c r="I1378" s="552"/>
      <c r="J1378" s="553" t="s">
        <v>102</v>
      </c>
      <c r="K1378" s="10">
        <f>data!F846</f>
        <v>131.44999999999999</v>
      </c>
      <c r="L1378" s="208" t="s">
        <v>2218</v>
      </c>
      <c r="M1378" s="9">
        <f>ROUND(I1378*K1378,0)</f>
        <v>0</v>
      </c>
      <c r="N1378" s="536" t="s">
        <v>2218</v>
      </c>
    </row>
    <row r="1379" spans="1:14" ht="94.5" customHeight="1">
      <c r="A1379" s="16">
        <v>19</v>
      </c>
      <c r="B1379" s="1858" t="s">
        <v>1167</v>
      </c>
      <c r="C1379" s="1858"/>
      <c r="D1379" s="1858"/>
      <c r="E1379" s="1858"/>
      <c r="F1379" s="1858"/>
      <c r="G1379" s="1858"/>
      <c r="H1379" s="1858"/>
      <c r="I1379" s="537"/>
      <c r="J1379" s="538"/>
      <c r="K1379" s="16"/>
      <c r="L1379" s="208"/>
      <c r="M1379" s="38"/>
      <c r="N1379" s="536" t="s">
        <v>2306</v>
      </c>
    </row>
    <row r="1380" spans="1:14" s="544" customFormat="1" ht="16.5" customHeight="1">
      <c r="A1380" s="16"/>
      <c r="B1380" s="39" t="s">
        <v>3059</v>
      </c>
      <c r="C1380" s="537"/>
      <c r="D1380" s="539"/>
      <c r="E1380" s="540"/>
      <c r="F1380" s="541"/>
      <c r="G1380" s="541"/>
      <c r="H1380" s="541"/>
      <c r="I1380" s="542"/>
      <c r="J1380" s="553"/>
      <c r="K1380" s="39"/>
      <c r="L1380" s="208"/>
      <c r="M1380" s="39"/>
      <c r="N1380" s="536" t="s">
        <v>2306</v>
      </c>
    </row>
    <row r="1381" spans="1:14" s="544" customFormat="1" ht="16.5" customHeight="1">
      <c r="A1381" s="16"/>
      <c r="B1381" s="39" t="s">
        <v>3049</v>
      </c>
      <c r="C1381" s="537">
        <v>1</v>
      </c>
      <c r="D1381" s="539" t="s">
        <v>273</v>
      </c>
      <c r="E1381" s="540">
        <v>1</v>
      </c>
      <c r="F1381" s="541">
        <v>17.2</v>
      </c>
      <c r="G1381" s="541">
        <v>0</v>
      </c>
      <c r="H1381" s="541">
        <v>3.0750000000000002</v>
      </c>
      <c r="I1381" s="545">
        <f t="shared" ref="I1381" si="125">ROUND(IF(AND(F1381:H1381),C1381*E1381*F1381*G1381*H1381,IF(AND(F1381,G1381),C1381*E1381*F1381*G1381,IF(AND(F1381,H1381),C1381*E1381*F1381*H1381,IF(AND(G1381,H1381),C1381*E1381*G1381*H1381,IF(F1381,C1381*E1381*F1381,IF(G1381,C1381*E1381*G1381,IF(H1381,C1381*E1381*H1381,C1381*E1381))))))),2)</f>
        <v>52.89</v>
      </c>
      <c r="J1381" s="553" t="s">
        <v>102</v>
      </c>
      <c r="K1381" s="39"/>
      <c r="L1381" s="208"/>
      <c r="M1381" s="39"/>
      <c r="N1381" s="536" t="s">
        <v>2306</v>
      </c>
    </row>
    <row r="1382" spans="1:14" s="544" customFormat="1" ht="16.5" customHeight="1">
      <c r="A1382" s="16"/>
      <c r="B1382" s="39" t="s">
        <v>579</v>
      </c>
      <c r="C1382" s="537">
        <v>1</v>
      </c>
      <c r="D1382" s="539" t="s">
        <v>273</v>
      </c>
      <c r="E1382" s="540">
        <v>2</v>
      </c>
      <c r="F1382" s="541">
        <v>1.2</v>
      </c>
      <c r="G1382" s="541">
        <v>0</v>
      </c>
      <c r="H1382" s="541">
        <v>2.1</v>
      </c>
      <c r="I1382" s="545">
        <f>-ROUND(IF(AND(F1382:H1382),C1382*E1382*F1382*G1382*H1382,IF(AND(F1382,G1382),C1382*E1382*F1382*G1382,IF(AND(F1382,H1382),C1382*E1382*F1382*H1382,IF(AND(G1382,H1382),C1382*E1382*G1382*H1382,IF(F1382,C1382*E1382*F1382,IF(G1382,C1382*E1382*G1382,IF(H1382,C1382*E1382*H1382,C1382*E1382))))))),2)</f>
        <v>-5.04</v>
      </c>
      <c r="J1382" s="553" t="s">
        <v>102</v>
      </c>
      <c r="K1382" s="39"/>
      <c r="L1382" s="208"/>
      <c r="M1382" s="39"/>
      <c r="N1382" s="536" t="s">
        <v>2306</v>
      </c>
    </row>
    <row r="1383" spans="1:14" s="544" customFormat="1" ht="16.5" customHeight="1">
      <c r="A1383" s="16"/>
      <c r="B1383" s="39" t="s">
        <v>2360</v>
      </c>
      <c r="C1383" s="537">
        <v>1</v>
      </c>
      <c r="D1383" s="539" t="s">
        <v>273</v>
      </c>
      <c r="E1383" s="540">
        <v>2</v>
      </c>
      <c r="F1383" s="541">
        <v>1.45</v>
      </c>
      <c r="G1383" s="541">
        <v>0</v>
      </c>
      <c r="H1383" s="541">
        <v>1.45</v>
      </c>
      <c r="I1383" s="545">
        <f>-ROUND(IF(AND(F1383:H1383),C1383*E1383*F1383*G1383*H1383,IF(AND(F1383,G1383),C1383*E1383*F1383*G1383,IF(AND(F1383,H1383),C1383*E1383*F1383*H1383,IF(AND(G1383,H1383),C1383*E1383*G1383*H1383,IF(F1383,C1383*E1383*F1383,IF(G1383,C1383*E1383*G1383,IF(H1383,C1383*E1383*H1383,C1383*E1383))))))),2)</f>
        <v>-4.21</v>
      </c>
      <c r="J1383" s="553" t="s">
        <v>102</v>
      </c>
      <c r="K1383" s="39"/>
      <c r="L1383" s="208"/>
      <c r="M1383" s="39"/>
      <c r="N1383" s="536" t="s">
        <v>2306</v>
      </c>
    </row>
    <row r="1384" spans="1:14" s="544" customFormat="1" ht="16.5" customHeight="1">
      <c r="A1384" s="16"/>
      <c r="B1384" s="39" t="s">
        <v>2141</v>
      </c>
      <c r="C1384" s="537">
        <v>1</v>
      </c>
      <c r="D1384" s="539" t="s">
        <v>273</v>
      </c>
      <c r="E1384" s="540">
        <v>2</v>
      </c>
      <c r="F1384" s="541">
        <v>0.6</v>
      </c>
      <c r="G1384" s="541">
        <v>0</v>
      </c>
      <c r="H1384" s="541">
        <v>0.3</v>
      </c>
      <c r="I1384" s="545">
        <f>-ROUND(IF(AND(F1384:H1384),C1384*E1384*F1384*G1384*H1384,IF(AND(F1384,G1384),C1384*E1384*F1384*G1384,IF(AND(F1384,H1384),C1384*E1384*F1384*H1384,IF(AND(G1384,H1384),C1384*E1384*G1384*H1384,IF(F1384,C1384*E1384*F1384,IF(G1384,C1384*E1384*G1384,IF(H1384,C1384*E1384*H1384,C1384*E1384))))))),2)</f>
        <v>-0.36</v>
      </c>
      <c r="J1384" s="553" t="s">
        <v>102</v>
      </c>
      <c r="K1384" s="39"/>
      <c r="L1384" s="208"/>
      <c r="M1384" s="39"/>
      <c r="N1384" s="536" t="s">
        <v>2306</v>
      </c>
    </row>
    <row r="1385" spans="1:14" s="544" customFormat="1" ht="16.5" customHeight="1">
      <c r="A1385" s="16"/>
      <c r="B1385" s="39" t="s">
        <v>1544</v>
      </c>
      <c r="C1385" s="537">
        <v>1</v>
      </c>
      <c r="D1385" s="539" t="s">
        <v>273</v>
      </c>
      <c r="E1385" s="540">
        <v>1</v>
      </c>
      <c r="F1385" s="541">
        <v>5.6</v>
      </c>
      <c r="G1385" s="541">
        <v>3</v>
      </c>
      <c r="H1385" s="541">
        <v>0</v>
      </c>
      <c r="I1385" s="545">
        <f t="shared" ref="I1385:I1387" si="126">ROUND(IF(AND(F1385:H1385),C1385*E1385*F1385*G1385*H1385,IF(AND(F1385,G1385),C1385*E1385*F1385*G1385,IF(AND(F1385,H1385),C1385*E1385*F1385*H1385,IF(AND(G1385,H1385),C1385*E1385*G1385*H1385,IF(F1385,C1385*E1385*F1385,IF(G1385,C1385*E1385*G1385,IF(H1385,C1385*E1385*H1385,C1385*E1385))))))),2)</f>
        <v>16.8</v>
      </c>
      <c r="J1385" s="553" t="s">
        <v>102</v>
      </c>
      <c r="K1385" s="39"/>
      <c r="L1385" s="208"/>
      <c r="M1385" s="39"/>
      <c r="N1385" s="536" t="s">
        <v>2306</v>
      </c>
    </row>
    <row r="1386" spans="1:14" s="544" customFormat="1" ht="16.5" customHeight="1">
      <c r="A1386" s="16"/>
      <c r="B1386" s="39" t="s">
        <v>2996</v>
      </c>
      <c r="C1386" s="537">
        <v>1</v>
      </c>
      <c r="D1386" s="539" t="s">
        <v>273</v>
      </c>
      <c r="E1386" s="540">
        <v>1</v>
      </c>
      <c r="F1386" s="541">
        <v>13</v>
      </c>
      <c r="G1386" s="541">
        <v>0</v>
      </c>
      <c r="H1386" s="541">
        <v>3.0750000000000002</v>
      </c>
      <c r="I1386" s="545">
        <f t="shared" si="126"/>
        <v>39.979999999999997</v>
      </c>
      <c r="J1386" s="553" t="s">
        <v>102</v>
      </c>
      <c r="K1386" s="39"/>
      <c r="L1386" s="208"/>
      <c r="M1386" s="39"/>
      <c r="N1386" s="536" t="s">
        <v>2306</v>
      </c>
    </row>
    <row r="1387" spans="1:14" s="544" customFormat="1" ht="16.5" customHeight="1">
      <c r="A1387" s="16"/>
      <c r="B1387" s="39" t="s">
        <v>2746</v>
      </c>
      <c r="C1387" s="537">
        <v>1</v>
      </c>
      <c r="D1387" s="539" t="s">
        <v>273</v>
      </c>
      <c r="E1387" s="540">
        <v>1</v>
      </c>
      <c r="F1387" s="541">
        <v>11.8</v>
      </c>
      <c r="G1387" s="541">
        <v>0</v>
      </c>
      <c r="H1387" s="541">
        <v>3.0750000000000002</v>
      </c>
      <c r="I1387" s="545">
        <f t="shared" si="126"/>
        <v>36.29</v>
      </c>
      <c r="J1387" s="553" t="s">
        <v>102</v>
      </c>
      <c r="K1387" s="39"/>
      <c r="L1387" s="208"/>
      <c r="M1387" s="39"/>
      <c r="N1387" s="536" t="s">
        <v>2306</v>
      </c>
    </row>
    <row r="1388" spans="1:14" s="544" customFormat="1" ht="16.5" customHeight="1">
      <c r="A1388" s="16"/>
      <c r="B1388" s="39"/>
      <c r="C1388" s="537">
        <v>1</v>
      </c>
      <c r="D1388" s="539" t="s">
        <v>273</v>
      </c>
      <c r="E1388" s="540">
        <v>1</v>
      </c>
      <c r="F1388" s="541">
        <v>11.8</v>
      </c>
      <c r="G1388" s="541">
        <v>0</v>
      </c>
      <c r="H1388" s="541">
        <v>3.0750000000000002</v>
      </c>
      <c r="I1388" s="545">
        <f t="shared" ref="I1388" si="127">ROUND(IF(AND(F1388:H1388),C1388*E1388*F1388*G1388*H1388,IF(AND(F1388,G1388),C1388*E1388*F1388*G1388,IF(AND(F1388,H1388),C1388*E1388*F1388*H1388,IF(AND(G1388,H1388),C1388*E1388*G1388*H1388,IF(F1388,C1388*E1388*F1388,IF(G1388,C1388*E1388*G1388,IF(H1388,C1388*E1388*H1388,C1388*E1388))))))),2)</f>
        <v>36.29</v>
      </c>
      <c r="J1388" s="553" t="s">
        <v>102</v>
      </c>
      <c r="K1388" s="39"/>
      <c r="L1388" s="208"/>
      <c r="M1388" s="39"/>
      <c r="N1388" s="536" t="s">
        <v>2306</v>
      </c>
    </row>
    <row r="1389" spans="1:14" s="544" customFormat="1" ht="16.5" customHeight="1">
      <c r="A1389" s="16"/>
      <c r="B1389" s="39" t="s">
        <v>579</v>
      </c>
      <c r="C1389" s="537">
        <v>1</v>
      </c>
      <c r="D1389" s="539" t="s">
        <v>273</v>
      </c>
      <c r="E1389" s="540">
        <v>3</v>
      </c>
      <c r="F1389" s="541">
        <v>1.05</v>
      </c>
      <c r="G1389" s="541">
        <v>0</v>
      </c>
      <c r="H1389" s="541">
        <v>2.1</v>
      </c>
      <c r="I1389" s="545">
        <f>-ROUND(IF(AND(F1389:H1389),C1389*E1389*F1389*G1389*H1389,IF(AND(F1389,G1389),C1389*E1389*F1389*G1389,IF(AND(F1389,H1389),C1389*E1389*F1389*H1389,IF(AND(G1389,H1389),C1389*E1389*G1389*H1389,IF(F1389,C1389*E1389*F1389,IF(G1389,C1389*E1389*G1389,IF(H1389,C1389*E1389*H1389,C1389*E1389))))))),2)</f>
        <v>-6.62</v>
      </c>
      <c r="J1389" s="553" t="s">
        <v>102</v>
      </c>
      <c r="K1389" s="39"/>
      <c r="L1389" s="208"/>
      <c r="M1389" s="39"/>
      <c r="N1389" s="536" t="s">
        <v>2306</v>
      </c>
    </row>
    <row r="1390" spans="1:14" s="544" customFormat="1" ht="16.5" customHeight="1">
      <c r="A1390" s="16"/>
      <c r="B1390" s="39" t="s">
        <v>2360</v>
      </c>
      <c r="C1390" s="537">
        <v>1</v>
      </c>
      <c r="D1390" s="539" t="s">
        <v>273</v>
      </c>
      <c r="E1390" s="540">
        <v>4</v>
      </c>
      <c r="F1390" s="541">
        <v>1.45</v>
      </c>
      <c r="G1390" s="541">
        <v>0</v>
      </c>
      <c r="H1390" s="541">
        <v>1.45</v>
      </c>
      <c r="I1390" s="545">
        <f>-ROUND(IF(AND(F1390:H1390),C1390*E1390*F1390*G1390*H1390,IF(AND(F1390,G1390),C1390*E1390*F1390*G1390,IF(AND(F1390,H1390),C1390*E1390*F1390*H1390,IF(AND(G1390,H1390),C1390*E1390*G1390*H1390,IF(F1390,C1390*E1390*F1390,IF(G1390,C1390*E1390*G1390,IF(H1390,C1390*E1390*H1390,C1390*E1390))))))),2)</f>
        <v>-8.41</v>
      </c>
      <c r="J1390" s="553" t="s">
        <v>102</v>
      </c>
      <c r="K1390" s="39"/>
      <c r="L1390" s="208"/>
      <c r="M1390" s="39"/>
      <c r="N1390" s="536" t="s">
        <v>2306</v>
      </c>
    </row>
    <row r="1391" spans="1:14" s="544" customFormat="1" ht="16.5" customHeight="1">
      <c r="A1391" s="16"/>
      <c r="B1391" s="39" t="s">
        <v>2141</v>
      </c>
      <c r="C1391" s="537">
        <v>1</v>
      </c>
      <c r="D1391" s="539" t="s">
        <v>273</v>
      </c>
      <c r="E1391" s="540">
        <v>4</v>
      </c>
      <c r="F1391" s="541">
        <v>0.6</v>
      </c>
      <c r="G1391" s="541">
        <v>0</v>
      </c>
      <c r="H1391" s="541">
        <v>0.3</v>
      </c>
      <c r="I1391" s="545">
        <f>-ROUND(IF(AND(F1391:H1391),C1391*E1391*F1391*G1391*H1391,IF(AND(F1391,G1391),C1391*E1391*F1391*G1391,IF(AND(F1391,H1391),C1391*E1391*F1391*H1391,IF(AND(G1391,H1391),C1391*E1391*G1391*H1391,IF(F1391,C1391*E1391*F1391,IF(G1391,C1391*E1391*G1391,IF(H1391,C1391*E1391*H1391,C1391*E1391))))))),2)</f>
        <v>-0.72</v>
      </c>
      <c r="J1391" s="553" t="s">
        <v>102</v>
      </c>
      <c r="K1391" s="39"/>
      <c r="L1391" s="208"/>
      <c r="M1391" s="39"/>
      <c r="N1391" s="536" t="s">
        <v>2306</v>
      </c>
    </row>
    <row r="1392" spans="1:14" s="544" customFormat="1" ht="16.5" customHeight="1">
      <c r="A1392" s="16"/>
      <c r="B1392" s="39" t="s">
        <v>3051</v>
      </c>
      <c r="C1392" s="537">
        <v>1</v>
      </c>
      <c r="D1392" s="539" t="s">
        <v>273</v>
      </c>
      <c r="E1392" s="540">
        <v>1</v>
      </c>
      <c r="F1392" s="541">
        <v>3.2</v>
      </c>
      <c r="G1392" s="541">
        <v>3.3</v>
      </c>
      <c r="H1392" s="541">
        <v>0</v>
      </c>
      <c r="I1392" s="545">
        <f t="shared" ref="I1392:I1395" si="128">ROUND(IF(AND(F1392:H1392),C1392*E1392*F1392*G1392*H1392,IF(AND(F1392,G1392),C1392*E1392*F1392*G1392,IF(AND(F1392,H1392),C1392*E1392*F1392*H1392,IF(AND(G1392,H1392),C1392*E1392*G1392*H1392,IF(F1392,C1392*E1392*F1392,IF(G1392,C1392*E1392*G1392,IF(H1392,C1392*E1392*H1392,C1392*E1392))))))),2)</f>
        <v>10.56</v>
      </c>
      <c r="J1392" s="553" t="s">
        <v>102</v>
      </c>
      <c r="K1392" s="39"/>
      <c r="L1392" s="208"/>
      <c r="M1392" s="39"/>
      <c r="N1392" s="536" t="s">
        <v>2306</v>
      </c>
    </row>
    <row r="1393" spans="1:14" s="544" customFormat="1" ht="16.5" customHeight="1">
      <c r="A1393" s="16"/>
      <c r="B1393" s="39" t="s">
        <v>3052</v>
      </c>
      <c r="C1393" s="537">
        <v>1</v>
      </c>
      <c r="D1393" s="539" t="s">
        <v>273</v>
      </c>
      <c r="E1393" s="540">
        <v>2</v>
      </c>
      <c r="F1393" s="541">
        <v>3.2</v>
      </c>
      <c r="G1393" s="541">
        <v>2.7</v>
      </c>
      <c r="H1393" s="541">
        <v>0</v>
      </c>
      <c r="I1393" s="545">
        <f t="shared" si="128"/>
        <v>17.28</v>
      </c>
      <c r="J1393" s="553" t="s">
        <v>102</v>
      </c>
      <c r="K1393" s="39"/>
      <c r="L1393" s="208"/>
      <c r="M1393" s="39"/>
      <c r="N1393" s="536" t="s">
        <v>2306</v>
      </c>
    </row>
    <row r="1394" spans="1:14" s="544" customFormat="1" ht="16.5" customHeight="1">
      <c r="A1394" s="16"/>
      <c r="B1394" s="39" t="s">
        <v>3053</v>
      </c>
      <c r="C1394" s="537">
        <v>1</v>
      </c>
      <c r="D1394" s="539" t="s">
        <v>273</v>
      </c>
      <c r="E1394" s="540">
        <v>1</v>
      </c>
      <c r="F1394" s="541">
        <v>4.9000000000000004</v>
      </c>
      <c r="G1394" s="541">
        <v>2.6</v>
      </c>
      <c r="H1394" s="541">
        <v>0</v>
      </c>
      <c r="I1394" s="545">
        <f t="shared" si="128"/>
        <v>12.74</v>
      </c>
      <c r="J1394" s="553" t="s">
        <v>102</v>
      </c>
      <c r="K1394" s="39"/>
      <c r="L1394" s="208"/>
      <c r="M1394" s="39"/>
      <c r="N1394" s="536" t="s">
        <v>2306</v>
      </c>
    </row>
    <row r="1395" spans="1:14" s="544" customFormat="1" ht="16.5" customHeight="1">
      <c r="A1395" s="16"/>
      <c r="B1395" s="39" t="s">
        <v>2958</v>
      </c>
      <c r="C1395" s="537">
        <v>1</v>
      </c>
      <c r="D1395" s="539" t="s">
        <v>273</v>
      </c>
      <c r="E1395" s="540">
        <v>1</v>
      </c>
      <c r="F1395" s="541">
        <v>4.9000000000000004</v>
      </c>
      <c r="G1395" s="541">
        <v>0</v>
      </c>
      <c r="H1395" s="541">
        <v>3.0750000000000002</v>
      </c>
      <c r="I1395" s="545">
        <f t="shared" si="128"/>
        <v>15.07</v>
      </c>
      <c r="J1395" s="553" t="s">
        <v>102</v>
      </c>
      <c r="K1395" s="39"/>
      <c r="L1395" s="208"/>
      <c r="M1395" s="39"/>
      <c r="N1395" s="536" t="s">
        <v>2306</v>
      </c>
    </row>
    <row r="1396" spans="1:14" s="544" customFormat="1" ht="16.5" customHeight="1">
      <c r="A1396" s="16"/>
      <c r="B1396" s="39" t="s">
        <v>579</v>
      </c>
      <c r="C1396" s="537">
        <v>1</v>
      </c>
      <c r="D1396" s="539" t="s">
        <v>273</v>
      </c>
      <c r="E1396" s="540">
        <v>1</v>
      </c>
      <c r="F1396" s="541">
        <v>1.3</v>
      </c>
      <c r="G1396" s="541">
        <v>0</v>
      </c>
      <c r="H1396" s="541">
        <v>2.1</v>
      </c>
      <c r="I1396" s="545">
        <f>-ROUND(IF(AND(F1396:H1396),C1396*E1396*F1396*G1396*H1396,IF(AND(F1396,G1396),C1396*E1396*F1396*G1396,IF(AND(F1396,H1396),C1396*E1396*F1396*H1396,IF(AND(G1396,H1396),C1396*E1396*G1396*H1396,IF(F1396,C1396*E1396*F1396,IF(G1396,C1396*E1396*G1396,IF(H1396,C1396*E1396*H1396,C1396*E1396))))))),2)</f>
        <v>-2.73</v>
      </c>
      <c r="J1396" s="553" t="s">
        <v>102</v>
      </c>
      <c r="K1396" s="39"/>
      <c r="L1396" s="208"/>
      <c r="M1396" s="39"/>
      <c r="N1396" s="536" t="s">
        <v>2306</v>
      </c>
    </row>
    <row r="1397" spans="1:14" s="544" customFormat="1" ht="16.5" customHeight="1">
      <c r="A1397" s="16"/>
      <c r="B1397" s="39" t="s">
        <v>579</v>
      </c>
      <c r="C1397" s="537">
        <v>1</v>
      </c>
      <c r="D1397" s="539" t="s">
        <v>273</v>
      </c>
      <c r="E1397" s="540">
        <v>1</v>
      </c>
      <c r="F1397" s="541">
        <v>1.2</v>
      </c>
      <c r="G1397" s="541">
        <v>0</v>
      </c>
      <c r="H1397" s="541">
        <v>2.1</v>
      </c>
      <c r="I1397" s="545">
        <f>-ROUND(IF(AND(F1397:H1397),C1397*E1397*F1397*G1397*H1397,IF(AND(F1397,G1397),C1397*E1397*F1397*G1397,IF(AND(F1397,H1397),C1397*E1397*F1397*H1397,IF(AND(G1397,H1397),C1397*E1397*G1397*H1397,IF(F1397,C1397*E1397*F1397,IF(G1397,C1397*E1397*G1397,IF(H1397,C1397*E1397*H1397,C1397*E1397))))))),2)</f>
        <v>-2.52</v>
      </c>
      <c r="J1397" s="553" t="s">
        <v>102</v>
      </c>
      <c r="K1397" s="39"/>
      <c r="L1397" s="208"/>
      <c r="M1397" s="39"/>
      <c r="N1397" s="536" t="s">
        <v>2306</v>
      </c>
    </row>
    <row r="1398" spans="1:14" s="544" customFormat="1" ht="16.5" customHeight="1">
      <c r="A1398" s="16"/>
      <c r="B1398" s="39" t="s">
        <v>2942</v>
      </c>
      <c r="C1398" s="537">
        <v>1</v>
      </c>
      <c r="D1398" s="539" t="s">
        <v>273</v>
      </c>
      <c r="E1398" s="540">
        <v>1</v>
      </c>
      <c r="F1398" s="541">
        <v>3.5</v>
      </c>
      <c r="G1398" s="541">
        <v>0</v>
      </c>
      <c r="H1398" s="541">
        <v>0.9</v>
      </c>
      <c r="I1398" s="545">
        <f t="shared" ref="I1398:I1400" si="129">ROUND(IF(AND(F1398:H1398),C1398*E1398*F1398*G1398*H1398,IF(AND(F1398,G1398),C1398*E1398*F1398*G1398,IF(AND(F1398,H1398),C1398*E1398*F1398*H1398,IF(AND(G1398,H1398),C1398*E1398*G1398*H1398,IF(F1398,C1398*E1398*F1398,IF(G1398,C1398*E1398*G1398,IF(H1398,C1398*E1398*H1398,C1398*E1398))))))),2)</f>
        <v>3.15</v>
      </c>
      <c r="J1398" s="553" t="s">
        <v>102</v>
      </c>
      <c r="K1398" s="39"/>
      <c r="L1398" s="208"/>
      <c r="M1398" s="39"/>
      <c r="N1398" s="536" t="s">
        <v>2306</v>
      </c>
    </row>
    <row r="1399" spans="1:14" s="544" customFormat="1" ht="16.5" customHeight="1">
      <c r="A1399" s="16"/>
      <c r="B1399" s="39" t="s">
        <v>2943</v>
      </c>
      <c r="C1399" s="537">
        <v>1</v>
      </c>
      <c r="D1399" s="539" t="s">
        <v>273</v>
      </c>
      <c r="E1399" s="540">
        <v>1</v>
      </c>
      <c r="F1399" s="541">
        <v>2.65</v>
      </c>
      <c r="G1399" s="541">
        <v>0</v>
      </c>
      <c r="H1399" s="541">
        <v>0.9</v>
      </c>
      <c r="I1399" s="545">
        <f t="shared" si="129"/>
        <v>2.39</v>
      </c>
      <c r="J1399" s="553" t="s">
        <v>102</v>
      </c>
      <c r="K1399" s="39"/>
      <c r="L1399" s="208"/>
      <c r="M1399" s="39"/>
      <c r="N1399" s="536" t="s">
        <v>2306</v>
      </c>
    </row>
    <row r="1400" spans="1:14" s="544" customFormat="1" ht="16.5" customHeight="1">
      <c r="A1400" s="16"/>
      <c r="B1400" s="39" t="s">
        <v>2995</v>
      </c>
      <c r="C1400" s="537">
        <v>1</v>
      </c>
      <c r="D1400" s="539" t="s">
        <v>273</v>
      </c>
      <c r="E1400" s="540">
        <v>1</v>
      </c>
      <c r="F1400" s="541">
        <v>21.2</v>
      </c>
      <c r="G1400" s="541">
        <v>0</v>
      </c>
      <c r="H1400" s="541">
        <v>3.0750000000000002</v>
      </c>
      <c r="I1400" s="545">
        <f t="shared" si="129"/>
        <v>65.19</v>
      </c>
      <c r="J1400" s="553" t="s">
        <v>102</v>
      </c>
      <c r="K1400" s="39"/>
      <c r="L1400" s="208"/>
      <c r="M1400" s="39"/>
      <c r="N1400" s="536" t="s">
        <v>2306</v>
      </c>
    </row>
    <row r="1401" spans="1:14" s="544" customFormat="1" ht="16.5" customHeight="1">
      <c r="A1401" s="16"/>
      <c r="B1401" s="39" t="s">
        <v>579</v>
      </c>
      <c r="C1401" s="537">
        <v>1</v>
      </c>
      <c r="D1401" s="539" t="s">
        <v>273</v>
      </c>
      <c r="E1401" s="540">
        <v>1</v>
      </c>
      <c r="F1401" s="541">
        <v>1.3</v>
      </c>
      <c r="G1401" s="541">
        <v>0</v>
      </c>
      <c r="H1401" s="541">
        <v>2.1</v>
      </c>
      <c r="I1401" s="545">
        <f t="shared" ref="I1401:I1406" si="130">-ROUND(IF(AND(F1401:H1401),C1401*E1401*F1401*G1401*H1401,IF(AND(F1401,G1401),C1401*E1401*F1401*G1401,IF(AND(F1401,H1401),C1401*E1401*F1401*H1401,IF(AND(G1401,H1401),C1401*E1401*G1401*H1401,IF(F1401,C1401*E1401*F1401,IF(G1401,C1401*E1401*G1401,IF(H1401,C1401*E1401*H1401,C1401*E1401))))))),2)</f>
        <v>-2.73</v>
      </c>
      <c r="J1401" s="553" t="s">
        <v>102</v>
      </c>
      <c r="K1401" s="39"/>
      <c r="L1401" s="208"/>
      <c r="M1401" s="39"/>
      <c r="N1401" s="536" t="s">
        <v>2306</v>
      </c>
    </row>
    <row r="1402" spans="1:14" s="544" customFormat="1" ht="16.5" customHeight="1">
      <c r="A1402" s="16"/>
      <c r="B1402" s="39" t="s">
        <v>579</v>
      </c>
      <c r="C1402" s="537">
        <v>1</v>
      </c>
      <c r="D1402" s="539" t="s">
        <v>273</v>
      </c>
      <c r="E1402" s="540">
        <v>1</v>
      </c>
      <c r="F1402" s="541">
        <v>1.2</v>
      </c>
      <c r="G1402" s="541">
        <v>0</v>
      </c>
      <c r="H1402" s="541">
        <v>2.1</v>
      </c>
      <c r="I1402" s="545">
        <f t="shared" si="130"/>
        <v>-2.52</v>
      </c>
      <c r="J1402" s="553" t="s">
        <v>102</v>
      </c>
      <c r="K1402" s="39"/>
      <c r="L1402" s="208"/>
      <c r="M1402" s="39"/>
      <c r="N1402" s="536" t="s">
        <v>2306</v>
      </c>
    </row>
    <row r="1403" spans="1:14" s="544" customFormat="1" ht="16.5" customHeight="1">
      <c r="A1403" s="16"/>
      <c r="B1403" s="39" t="s">
        <v>579</v>
      </c>
      <c r="C1403" s="537">
        <v>1</v>
      </c>
      <c r="D1403" s="539" t="s">
        <v>273</v>
      </c>
      <c r="E1403" s="540">
        <v>3</v>
      </c>
      <c r="F1403" s="541">
        <v>1.05</v>
      </c>
      <c r="G1403" s="541">
        <v>0</v>
      </c>
      <c r="H1403" s="541">
        <v>2.1</v>
      </c>
      <c r="I1403" s="545">
        <f t="shared" si="130"/>
        <v>-6.62</v>
      </c>
      <c r="J1403" s="553" t="s">
        <v>102</v>
      </c>
      <c r="K1403" s="39"/>
      <c r="L1403" s="208"/>
      <c r="M1403" s="39"/>
      <c r="N1403" s="536" t="s">
        <v>2306</v>
      </c>
    </row>
    <row r="1404" spans="1:14" s="544" customFormat="1" ht="16.5" customHeight="1">
      <c r="A1404" s="16"/>
      <c r="B1404" s="39" t="s">
        <v>2206</v>
      </c>
      <c r="C1404" s="537">
        <v>1</v>
      </c>
      <c r="D1404" s="539" t="s">
        <v>273</v>
      </c>
      <c r="E1404" s="540">
        <v>2</v>
      </c>
      <c r="F1404" s="541">
        <v>0.75</v>
      </c>
      <c r="G1404" s="541">
        <v>0</v>
      </c>
      <c r="H1404" s="541">
        <v>2.1</v>
      </c>
      <c r="I1404" s="545">
        <f t="shared" si="130"/>
        <v>-3.15</v>
      </c>
      <c r="J1404" s="553" t="s">
        <v>102</v>
      </c>
      <c r="K1404" s="39"/>
      <c r="L1404" s="208"/>
      <c r="M1404" s="39"/>
      <c r="N1404" s="536" t="s">
        <v>2306</v>
      </c>
    </row>
    <row r="1405" spans="1:14" s="544" customFormat="1" ht="16.5" customHeight="1">
      <c r="A1405" s="16"/>
      <c r="B1405" s="39" t="s">
        <v>2360</v>
      </c>
      <c r="C1405" s="537">
        <v>1</v>
      </c>
      <c r="D1405" s="539" t="s">
        <v>273</v>
      </c>
      <c r="E1405" s="540">
        <v>1</v>
      </c>
      <c r="F1405" s="541">
        <v>1.45</v>
      </c>
      <c r="G1405" s="541">
        <v>0</v>
      </c>
      <c r="H1405" s="541">
        <v>1.45</v>
      </c>
      <c r="I1405" s="545">
        <f t="shared" si="130"/>
        <v>-2.1</v>
      </c>
      <c r="J1405" s="553" t="s">
        <v>102</v>
      </c>
      <c r="K1405" s="39"/>
      <c r="L1405" s="208"/>
      <c r="M1405" s="39"/>
      <c r="N1405" s="536" t="s">
        <v>2306</v>
      </c>
    </row>
    <row r="1406" spans="1:14" s="544" customFormat="1" ht="16.5" customHeight="1">
      <c r="A1406" s="16"/>
      <c r="B1406" s="39" t="s">
        <v>2141</v>
      </c>
      <c r="C1406" s="537">
        <v>1</v>
      </c>
      <c r="D1406" s="539" t="s">
        <v>273</v>
      </c>
      <c r="E1406" s="540">
        <v>1</v>
      </c>
      <c r="F1406" s="541">
        <v>0.6</v>
      </c>
      <c r="G1406" s="541">
        <v>0</v>
      </c>
      <c r="H1406" s="541">
        <v>0.3</v>
      </c>
      <c r="I1406" s="545">
        <f t="shared" si="130"/>
        <v>-0.18</v>
      </c>
      <c r="J1406" s="553" t="s">
        <v>102</v>
      </c>
      <c r="K1406" s="39"/>
      <c r="L1406" s="208"/>
      <c r="M1406" s="39"/>
      <c r="N1406" s="536" t="s">
        <v>2306</v>
      </c>
    </row>
    <row r="1407" spans="1:14" s="544" customFormat="1" ht="16.5" customHeight="1">
      <c r="A1407" s="16"/>
      <c r="B1407" s="39" t="s">
        <v>1544</v>
      </c>
      <c r="C1407" s="537">
        <v>1</v>
      </c>
      <c r="D1407" s="539" t="s">
        <v>273</v>
      </c>
      <c r="E1407" s="540">
        <v>1</v>
      </c>
      <c r="F1407" s="541">
        <v>8.9</v>
      </c>
      <c r="G1407" s="541">
        <v>1.7</v>
      </c>
      <c r="H1407" s="541">
        <v>0</v>
      </c>
      <c r="I1407" s="545">
        <f t="shared" ref="I1407:I1410" si="131">ROUND(IF(AND(F1407:H1407),C1407*E1407*F1407*G1407*H1407,IF(AND(F1407,G1407),C1407*E1407*F1407*G1407,IF(AND(F1407,H1407),C1407*E1407*F1407*H1407,IF(AND(G1407,H1407),C1407*E1407*G1407*H1407,IF(F1407,C1407*E1407*F1407,IF(G1407,C1407*E1407*G1407,IF(H1407,C1407*E1407*H1407,C1407*E1407))))))),2)</f>
        <v>15.13</v>
      </c>
      <c r="J1407" s="553" t="s">
        <v>102</v>
      </c>
      <c r="K1407" s="39"/>
      <c r="L1407" s="208"/>
      <c r="M1407" s="39"/>
      <c r="N1407" s="536" t="s">
        <v>2306</v>
      </c>
    </row>
    <row r="1408" spans="1:14" s="544" customFormat="1" ht="16.5" customHeight="1">
      <c r="A1408" s="16"/>
      <c r="B1408" s="39" t="s">
        <v>3011</v>
      </c>
      <c r="C1408" s="537">
        <v>2</v>
      </c>
      <c r="D1408" s="539" t="s">
        <v>273</v>
      </c>
      <c r="E1408" s="540">
        <v>2</v>
      </c>
      <c r="F1408" s="541">
        <v>1.7</v>
      </c>
      <c r="G1408" s="541">
        <v>0</v>
      </c>
      <c r="H1408" s="541">
        <v>0.38</v>
      </c>
      <c r="I1408" s="545">
        <f t="shared" si="131"/>
        <v>2.58</v>
      </c>
      <c r="J1408" s="553" t="s">
        <v>102</v>
      </c>
      <c r="K1408" s="39"/>
      <c r="L1408" s="208"/>
      <c r="M1408" s="39"/>
      <c r="N1408" s="536" t="s">
        <v>2306</v>
      </c>
    </row>
    <row r="1409" spans="1:14" s="544" customFormat="1" ht="16.5" customHeight="1">
      <c r="A1409" s="16"/>
      <c r="B1409" s="39" t="s">
        <v>2992</v>
      </c>
      <c r="C1409" s="537">
        <v>1</v>
      </c>
      <c r="D1409" s="539" t="s">
        <v>273</v>
      </c>
      <c r="E1409" s="540">
        <v>2</v>
      </c>
      <c r="F1409" s="541">
        <v>3.3</v>
      </c>
      <c r="G1409" s="541">
        <v>0</v>
      </c>
      <c r="H1409" s="541">
        <v>3.0750000000000002</v>
      </c>
      <c r="I1409" s="545">
        <f t="shared" ref="I1409" si="132">ROUND(IF(AND(F1409:H1409),C1409*E1409*F1409*G1409*H1409,IF(AND(F1409,G1409),C1409*E1409*F1409*G1409,IF(AND(F1409,H1409),C1409*E1409*F1409*H1409,IF(AND(G1409,H1409),C1409*E1409*G1409*H1409,IF(F1409,C1409*E1409*F1409,IF(G1409,C1409*E1409*G1409,IF(H1409,C1409*E1409*H1409,C1409*E1409))))))),2)</f>
        <v>20.3</v>
      </c>
      <c r="J1409" s="553" t="s">
        <v>102</v>
      </c>
      <c r="K1409" s="39"/>
      <c r="L1409" s="208"/>
      <c r="M1409" s="39"/>
      <c r="N1409" s="536" t="s">
        <v>2306</v>
      </c>
    </row>
    <row r="1410" spans="1:14" s="544" customFormat="1" ht="16.5" customHeight="1">
      <c r="A1410" s="16"/>
      <c r="B1410" s="39" t="s">
        <v>3001</v>
      </c>
      <c r="C1410" s="537">
        <v>1</v>
      </c>
      <c r="D1410" s="539" t="s">
        <v>273</v>
      </c>
      <c r="E1410" s="540">
        <v>1</v>
      </c>
      <c r="F1410" s="541">
        <v>2.65</v>
      </c>
      <c r="G1410" s="541">
        <v>0</v>
      </c>
      <c r="H1410" s="541">
        <v>1.5</v>
      </c>
      <c r="I1410" s="545">
        <f t="shared" si="131"/>
        <v>3.98</v>
      </c>
      <c r="J1410" s="553" t="s">
        <v>102</v>
      </c>
      <c r="K1410" s="39"/>
      <c r="L1410" s="208"/>
      <c r="M1410" s="39"/>
      <c r="N1410" s="536" t="s">
        <v>2306</v>
      </c>
    </row>
    <row r="1411" spans="1:14" s="544" customFormat="1" ht="16.5" customHeight="1">
      <c r="A1411" s="16"/>
      <c r="B1411" s="39" t="s">
        <v>3002</v>
      </c>
      <c r="C1411" s="537">
        <v>1</v>
      </c>
      <c r="D1411" s="539" t="s">
        <v>273</v>
      </c>
      <c r="E1411" s="540">
        <v>1</v>
      </c>
      <c r="F1411" s="541">
        <v>1.27</v>
      </c>
      <c r="G1411" s="541">
        <v>0</v>
      </c>
      <c r="H1411" s="541">
        <v>1.5</v>
      </c>
      <c r="I1411" s="545">
        <f>-ROUND(IF(AND(F1411:H1411),C1411*E1411*F1411*G1411*H1411,IF(AND(F1411,G1411),C1411*E1411*F1411*G1411,IF(AND(F1411,H1411),C1411*E1411*F1411*H1411,IF(AND(G1411,H1411),C1411*E1411*G1411*H1411,IF(F1411,C1411*E1411*F1411,IF(G1411,C1411*E1411*G1411,IF(H1411,C1411*E1411*H1411,C1411*E1411))))))),2)</f>
        <v>-1.91</v>
      </c>
      <c r="J1411" s="553" t="s">
        <v>102</v>
      </c>
      <c r="K1411" s="39"/>
      <c r="L1411" s="208"/>
      <c r="M1411" s="39"/>
      <c r="N1411" s="536" t="s">
        <v>2306</v>
      </c>
    </row>
    <row r="1412" spans="1:14" s="544" customFormat="1" ht="16.5" customHeight="1">
      <c r="A1412" s="16"/>
      <c r="B1412" s="39" t="s">
        <v>2938</v>
      </c>
      <c r="C1412" s="537">
        <v>1</v>
      </c>
      <c r="D1412" s="539" t="s">
        <v>273</v>
      </c>
      <c r="E1412" s="540">
        <v>2</v>
      </c>
      <c r="F1412" s="541">
        <v>0.77</v>
      </c>
      <c r="G1412" s="541">
        <v>0</v>
      </c>
      <c r="H1412" s="541">
        <v>1.5</v>
      </c>
      <c r="I1412" s="545">
        <f t="shared" ref="I1412:I1414" si="133">ROUND(IF(AND(F1412:H1412),C1412*E1412*F1412*G1412*H1412,IF(AND(F1412,G1412),C1412*E1412*F1412*G1412,IF(AND(F1412,H1412),C1412*E1412*F1412*H1412,IF(AND(G1412,H1412),C1412*E1412*G1412*H1412,IF(F1412,C1412*E1412*F1412,IF(G1412,C1412*E1412*G1412,IF(H1412,C1412*E1412*H1412,C1412*E1412))))))),2)</f>
        <v>2.31</v>
      </c>
      <c r="J1412" s="553" t="s">
        <v>102</v>
      </c>
      <c r="K1412" s="39"/>
      <c r="L1412" s="208"/>
      <c r="M1412" s="39"/>
      <c r="N1412" s="536" t="s">
        <v>2306</v>
      </c>
    </row>
    <row r="1413" spans="1:14" s="544" customFormat="1" ht="16.5" customHeight="1">
      <c r="A1413" s="16"/>
      <c r="B1413" s="39" t="s">
        <v>3003</v>
      </c>
      <c r="C1413" s="537">
        <v>1</v>
      </c>
      <c r="D1413" s="539" t="s">
        <v>273</v>
      </c>
      <c r="E1413" s="540">
        <v>1</v>
      </c>
      <c r="F1413" s="541">
        <v>2.65</v>
      </c>
      <c r="G1413" s="541">
        <v>0</v>
      </c>
      <c r="H1413" s="541">
        <v>1.65</v>
      </c>
      <c r="I1413" s="545">
        <f t="shared" si="133"/>
        <v>4.37</v>
      </c>
      <c r="J1413" s="553" t="s">
        <v>102</v>
      </c>
      <c r="K1413" s="39"/>
      <c r="L1413" s="208"/>
      <c r="M1413" s="39"/>
      <c r="N1413" s="536" t="s">
        <v>2306</v>
      </c>
    </row>
    <row r="1414" spans="1:14" s="544" customFormat="1" ht="16.5" customHeight="1">
      <c r="A1414" s="16"/>
      <c r="B1414" s="39" t="s">
        <v>2938</v>
      </c>
      <c r="C1414" s="537">
        <v>1</v>
      </c>
      <c r="D1414" s="539" t="s">
        <v>273</v>
      </c>
      <c r="E1414" s="540">
        <v>2</v>
      </c>
      <c r="F1414" s="541">
        <v>0.77</v>
      </c>
      <c r="G1414" s="541">
        <v>0</v>
      </c>
      <c r="H1414" s="541">
        <v>1.65</v>
      </c>
      <c r="I1414" s="545">
        <f t="shared" si="133"/>
        <v>2.54</v>
      </c>
      <c r="J1414" s="553" t="s">
        <v>102</v>
      </c>
      <c r="K1414" s="39"/>
      <c r="L1414" s="208"/>
      <c r="M1414" s="39"/>
      <c r="N1414" s="536" t="s">
        <v>2306</v>
      </c>
    </row>
    <row r="1415" spans="1:14" s="544" customFormat="1" ht="16.5" customHeight="1">
      <c r="A1415" s="16"/>
      <c r="B1415" s="39" t="s">
        <v>3002</v>
      </c>
      <c r="C1415" s="537">
        <v>1</v>
      </c>
      <c r="D1415" s="539" t="s">
        <v>273</v>
      </c>
      <c r="E1415" s="540">
        <v>1</v>
      </c>
      <c r="F1415" s="541">
        <v>1.27</v>
      </c>
      <c r="G1415" s="541">
        <v>0</v>
      </c>
      <c r="H1415" s="541">
        <v>1.5</v>
      </c>
      <c r="I1415" s="545">
        <f>-ROUND(IF(AND(F1415:H1415),C1415*E1415*F1415*G1415*H1415,IF(AND(F1415,G1415),C1415*E1415*F1415*G1415,IF(AND(F1415,H1415),C1415*E1415*F1415*H1415,IF(AND(G1415,H1415),C1415*E1415*G1415*H1415,IF(F1415,C1415*E1415*F1415,IF(G1415,C1415*E1415*G1415,IF(H1415,C1415*E1415*H1415,C1415*E1415))))))),2)</f>
        <v>-1.91</v>
      </c>
      <c r="J1415" s="553" t="s">
        <v>102</v>
      </c>
      <c r="K1415" s="39"/>
      <c r="L1415" s="208"/>
      <c r="M1415" s="39"/>
      <c r="N1415" s="536" t="s">
        <v>2306</v>
      </c>
    </row>
    <row r="1416" spans="1:14" s="544" customFormat="1" ht="16.5" customHeight="1">
      <c r="A1416" s="16"/>
      <c r="B1416" s="39" t="s">
        <v>2743</v>
      </c>
      <c r="C1416" s="537">
        <v>1</v>
      </c>
      <c r="D1416" s="539" t="s">
        <v>273</v>
      </c>
      <c r="E1416" s="540">
        <v>1</v>
      </c>
      <c r="F1416" s="541">
        <v>3.5</v>
      </c>
      <c r="G1416" s="541">
        <v>1.3</v>
      </c>
      <c r="H1416" s="541">
        <v>0</v>
      </c>
      <c r="I1416" s="545">
        <f t="shared" ref="I1416:I1418" si="134">ROUND(IF(AND(F1416:H1416),C1416*E1416*F1416*G1416*H1416,IF(AND(F1416,G1416),C1416*E1416*F1416*G1416,IF(AND(F1416,H1416),C1416*E1416*F1416*H1416,IF(AND(G1416,H1416),C1416*E1416*G1416*H1416,IF(F1416,C1416*E1416*F1416,IF(G1416,C1416*E1416*G1416,IF(H1416,C1416*E1416*H1416,C1416*E1416))))))),2)</f>
        <v>4.55</v>
      </c>
      <c r="J1416" s="553" t="s">
        <v>102</v>
      </c>
      <c r="K1416" s="39"/>
      <c r="L1416" s="208"/>
      <c r="M1416" s="39"/>
      <c r="N1416" s="536" t="s">
        <v>2306</v>
      </c>
    </row>
    <row r="1417" spans="1:14" s="544" customFormat="1" ht="16.5" customHeight="1">
      <c r="A1417" s="16"/>
      <c r="B1417" s="39" t="s">
        <v>2754</v>
      </c>
      <c r="C1417" s="537">
        <v>1</v>
      </c>
      <c r="D1417" s="539" t="s">
        <v>273</v>
      </c>
      <c r="E1417" s="540">
        <v>1</v>
      </c>
      <c r="F1417" s="541">
        <v>3.18</v>
      </c>
      <c r="G1417" s="541">
        <v>1</v>
      </c>
      <c r="H1417" s="541">
        <v>0</v>
      </c>
      <c r="I1417" s="545">
        <f t="shared" si="134"/>
        <v>3.18</v>
      </c>
      <c r="J1417" s="553" t="s">
        <v>102</v>
      </c>
      <c r="K1417" s="39"/>
      <c r="L1417" s="208"/>
      <c r="M1417" s="39"/>
      <c r="N1417" s="536" t="s">
        <v>2306</v>
      </c>
    </row>
    <row r="1418" spans="1:14" s="544" customFormat="1" ht="16.5" customHeight="1">
      <c r="A1418" s="16"/>
      <c r="B1418" s="39" t="s">
        <v>2744</v>
      </c>
      <c r="C1418" s="537">
        <v>1</v>
      </c>
      <c r="D1418" s="539" t="s">
        <v>273</v>
      </c>
      <c r="E1418" s="540">
        <v>1</v>
      </c>
      <c r="F1418" s="541">
        <v>3.5</v>
      </c>
      <c r="G1418" s="541">
        <v>1.3</v>
      </c>
      <c r="H1418" s="541">
        <v>0</v>
      </c>
      <c r="I1418" s="545">
        <f t="shared" si="134"/>
        <v>4.55</v>
      </c>
      <c r="J1418" s="553" t="s">
        <v>102</v>
      </c>
      <c r="K1418" s="39"/>
      <c r="L1418" s="208"/>
      <c r="M1418" s="39"/>
      <c r="N1418" s="536" t="s">
        <v>2306</v>
      </c>
    </row>
    <row r="1419" spans="1:14" s="544" customFormat="1" ht="16.5" customHeight="1">
      <c r="A1419" s="16"/>
      <c r="B1419" s="547"/>
      <c r="C1419" s="548"/>
      <c r="D1419" s="549"/>
      <c r="E1419" s="550"/>
      <c r="F1419" s="551"/>
      <c r="G1419" s="551"/>
      <c r="H1419" s="551"/>
      <c r="I1419" s="552"/>
      <c r="J1419" s="553"/>
      <c r="K1419" s="39"/>
      <c r="L1419" s="208"/>
      <c r="M1419" s="39"/>
      <c r="N1419" s="536" t="s">
        <v>2306</v>
      </c>
    </row>
    <row r="1420" spans="1:14" ht="15.75">
      <c r="A1420" s="16"/>
      <c r="B1420" s="39"/>
      <c r="C1420" s="554"/>
      <c r="D1420" s="555"/>
      <c r="E1420" s="540"/>
      <c r="F1420" s="541"/>
      <c r="G1420" s="40"/>
      <c r="H1420" s="16"/>
      <c r="I1420" s="552"/>
      <c r="J1420" s="553" t="s">
        <v>102</v>
      </c>
      <c r="K1420" s="10">
        <f>data!F1763</f>
        <v>139.51</v>
      </c>
      <c r="L1420" s="208" t="s">
        <v>2306</v>
      </c>
      <c r="M1420" s="9">
        <f>ROUND(I1420*K1420,0)</f>
        <v>0</v>
      </c>
      <c r="N1420" s="536" t="s">
        <v>2306</v>
      </c>
    </row>
    <row r="1421" spans="1:14" ht="94.5" customHeight="1">
      <c r="A1421" s="16">
        <v>20</v>
      </c>
      <c r="B1421" s="1859" t="s">
        <v>1167</v>
      </c>
      <c r="C1421" s="1860"/>
      <c r="D1421" s="1860"/>
      <c r="E1421" s="1860"/>
      <c r="F1421" s="1860"/>
      <c r="G1421" s="1860"/>
      <c r="H1421" s="1861"/>
      <c r="I1421" s="537"/>
      <c r="J1421" s="538"/>
      <c r="K1421" s="16"/>
      <c r="L1421" s="208"/>
      <c r="M1421" s="38"/>
      <c r="N1421" s="536" t="s">
        <v>2317</v>
      </c>
    </row>
    <row r="1422" spans="1:14" s="544" customFormat="1" ht="16.5" customHeight="1">
      <c r="A1422" s="16"/>
      <c r="B1422" s="39" t="s">
        <v>2865</v>
      </c>
      <c r="C1422" s="537"/>
      <c r="D1422" s="539"/>
      <c r="E1422" s="540"/>
      <c r="F1422" s="541"/>
      <c r="G1422" s="541"/>
      <c r="H1422" s="541"/>
      <c r="I1422" s="542"/>
      <c r="J1422" s="553"/>
      <c r="K1422" s="39"/>
      <c r="L1422" s="208"/>
      <c r="M1422" s="39"/>
      <c r="N1422" s="536" t="s">
        <v>2317</v>
      </c>
    </row>
    <row r="1423" spans="1:14" s="544" customFormat="1" ht="15.75">
      <c r="A1423" s="16"/>
      <c r="B1423" s="39" t="s">
        <v>2167</v>
      </c>
      <c r="C1423" s="537">
        <v>1</v>
      </c>
      <c r="D1423" s="539" t="s">
        <v>273</v>
      </c>
      <c r="E1423" s="540">
        <v>1</v>
      </c>
      <c r="F1423" s="541">
        <v>12.48</v>
      </c>
      <c r="G1423" s="541">
        <v>0</v>
      </c>
      <c r="H1423" s="541">
        <v>3.12</v>
      </c>
      <c r="I1423" s="545">
        <f>ROUND(IF(AND(F1423:H1423),C1423*E1423*F1423*G1423*H1423,IF(AND(F1423,G1423),C1423*E1423*F1423*G1423,IF(AND(F1423,H1423),C1423*E1423*F1423*H1423,IF(AND(G1423,H1423),C1423*E1423*G1423*H1423,IF(F1423,C1423*E1423*F1423,IF(G1423,C1423*E1423*G1423,IF(H1423,C1423*E1423*H1423,C1423*E1423))))))),2)</f>
        <v>38.94</v>
      </c>
      <c r="J1423" s="553" t="s">
        <v>102</v>
      </c>
      <c r="K1423" s="39"/>
      <c r="L1423" s="208"/>
      <c r="M1423" s="39"/>
      <c r="N1423" s="536" t="s">
        <v>2317</v>
      </c>
    </row>
    <row r="1424" spans="1:14" s="544" customFormat="1" ht="15.75">
      <c r="A1424" s="16"/>
      <c r="B1424" s="39" t="s">
        <v>2167</v>
      </c>
      <c r="C1424" s="537">
        <v>1</v>
      </c>
      <c r="D1424" s="539" t="s">
        <v>273</v>
      </c>
      <c r="E1424" s="540">
        <v>1</v>
      </c>
      <c r="F1424" s="541">
        <v>8.92</v>
      </c>
      <c r="G1424" s="541">
        <v>0</v>
      </c>
      <c r="H1424" s="541">
        <v>3.12</v>
      </c>
      <c r="I1424" s="545">
        <f>ROUND(IF(AND(F1424:H1424),C1424*E1424*F1424*G1424*H1424,IF(AND(F1424,G1424),C1424*E1424*F1424*G1424,IF(AND(F1424,H1424),C1424*E1424*F1424*H1424,IF(AND(G1424,H1424),C1424*E1424*G1424*H1424,IF(F1424,C1424*E1424*F1424,IF(G1424,C1424*E1424*G1424,IF(H1424,C1424*E1424*H1424,C1424*E1424))))))),2)</f>
        <v>27.83</v>
      </c>
      <c r="J1424" s="553" t="s">
        <v>102</v>
      </c>
      <c r="K1424" s="39"/>
      <c r="L1424" s="208"/>
      <c r="M1424" s="39"/>
      <c r="N1424" s="536" t="s">
        <v>2317</v>
      </c>
    </row>
    <row r="1425" spans="1:14" s="544" customFormat="1" ht="16.5" customHeight="1">
      <c r="A1425" s="16"/>
      <c r="B1425" s="39" t="s">
        <v>2167</v>
      </c>
      <c r="C1425" s="537">
        <v>1</v>
      </c>
      <c r="D1425" s="539" t="s">
        <v>273</v>
      </c>
      <c r="E1425" s="540">
        <v>1</v>
      </c>
      <c r="F1425" s="541">
        <v>1.2</v>
      </c>
      <c r="G1425" s="541">
        <v>0</v>
      </c>
      <c r="H1425" s="541">
        <v>2.1</v>
      </c>
      <c r="I1425" s="545">
        <f>ROUND(IF(AND(F1425:H1425),C1425*E1425*F1425*G1425*H1425,IF(AND(F1425,G1425),C1425*E1425*F1425*G1425,IF(AND(F1425,H1425),C1425*E1425*F1425*H1425,IF(AND(G1425,H1425),C1425*E1425*G1425*H1425,IF(F1425,C1425*E1425*F1425,IF(G1425,C1425*E1425*G1425,IF(H1425,C1425*E1425*H1425,C1425*E1425))))))),2)</f>
        <v>2.52</v>
      </c>
      <c r="J1425" s="553" t="s">
        <v>102</v>
      </c>
      <c r="K1425" s="39"/>
      <c r="L1425" s="208"/>
      <c r="M1425" s="39"/>
      <c r="N1425" s="536" t="s">
        <v>2317</v>
      </c>
    </row>
    <row r="1426" spans="1:14" s="544" customFormat="1" ht="16.5" customHeight="1">
      <c r="A1426" s="16"/>
      <c r="B1426" s="39" t="s">
        <v>2167</v>
      </c>
      <c r="C1426" s="537">
        <v>1</v>
      </c>
      <c r="D1426" s="539" t="s">
        <v>273</v>
      </c>
      <c r="E1426" s="540">
        <v>1</v>
      </c>
      <c r="F1426" s="541">
        <v>1.5</v>
      </c>
      <c r="G1426" s="541">
        <v>0</v>
      </c>
      <c r="H1426" s="541">
        <v>1.35</v>
      </c>
      <c r="I1426" s="545">
        <f>ROUND(IF(AND(F1426:H1426),C1426*E1426*F1426*G1426*H1426,IF(AND(F1426,G1426),C1426*E1426*F1426*G1426,IF(AND(F1426,H1426),C1426*E1426*F1426*H1426,IF(AND(G1426,H1426),C1426*E1426*G1426*H1426,IF(F1426,C1426*E1426*F1426,IF(G1426,C1426*E1426*G1426,IF(H1426,C1426*E1426*H1426,C1426*E1426))))))),2)</f>
        <v>2.0299999999999998</v>
      </c>
      <c r="J1426" s="553" t="s">
        <v>102</v>
      </c>
      <c r="K1426" s="39"/>
      <c r="L1426" s="208"/>
      <c r="M1426" s="39"/>
      <c r="N1426" s="536" t="s">
        <v>2317</v>
      </c>
    </row>
    <row r="1427" spans="1:14" s="544" customFormat="1" ht="16.5" customHeight="1">
      <c r="A1427" s="16"/>
      <c r="B1427" s="39" t="s">
        <v>2167</v>
      </c>
      <c r="C1427" s="537">
        <v>1</v>
      </c>
      <c r="D1427" s="539" t="s">
        <v>273</v>
      </c>
      <c r="E1427" s="540">
        <v>1</v>
      </c>
      <c r="F1427" s="541">
        <v>2.7</v>
      </c>
      <c r="G1427" s="541">
        <v>0</v>
      </c>
      <c r="H1427" s="541">
        <v>0.15</v>
      </c>
      <c r="I1427" s="545">
        <f>ROUND(IF(AND(F1427:H1427),C1427*E1427*F1427*G1427*H1427,IF(AND(F1427,G1427),C1427*E1427*F1427*G1427,IF(AND(F1427,H1427),C1427*E1427*F1427*H1427,IF(AND(G1427,H1427),C1427*E1427*G1427*H1427,IF(F1427,C1427*E1427*F1427,IF(G1427,C1427*E1427*G1427,IF(H1427,C1427*E1427*H1427,C1427*E1427))))))),2)</f>
        <v>0.41</v>
      </c>
      <c r="J1427" s="553" t="s">
        <v>102</v>
      </c>
      <c r="K1427" s="39"/>
      <c r="L1427" s="208"/>
      <c r="M1427" s="39"/>
      <c r="N1427" s="536" t="s">
        <v>2317</v>
      </c>
    </row>
    <row r="1428" spans="1:14" s="544" customFormat="1" ht="16.5" customHeight="1">
      <c r="A1428" s="16"/>
      <c r="B1428" s="547"/>
      <c r="C1428" s="548"/>
      <c r="D1428" s="549"/>
      <c r="E1428" s="550"/>
      <c r="F1428" s="551"/>
      <c r="G1428" s="551"/>
      <c r="H1428" s="551"/>
      <c r="I1428" s="552"/>
      <c r="J1428" s="553"/>
      <c r="K1428" s="39"/>
      <c r="L1428" s="208"/>
      <c r="M1428" s="39"/>
      <c r="N1428" s="536" t="s">
        <v>2317</v>
      </c>
    </row>
    <row r="1429" spans="1:14" ht="15.75">
      <c r="A1429" s="16"/>
      <c r="B1429" s="39"/>
      <c r="C1429" s="554"/>
      <c r="D1429" s="555"/>
      <c r="E1429" s="540"/>
      <c r="F1429" s="541"/>
      <c r="G1429" s="40"/>
      <c r="H1429" s="16"/>
      <c r="I1429" s="552"/>
      <c r="J1429" s="553" t="s">
        <v>102</v>
      </c>
      <c r="K1429" s="10">
        <f>data!F2680</f>
        <v>145.68</v>
      </c>
      <c r="L1429" s="208" t="s">
        <v>2317</v>
      </c>
      <c r="M1429" s="9">
        <f>ROUND(I1429*K1429,0)</f>
        <v>0</v>
      </c>
      <c r="N1429" s="536" t="s">
        <v>2317</v>
      </c>
    </row>
    <row r="1430" spans="1:14" ht="94.5" customHeight="1">
      <c r="A1430" s="16">
        <v>15</v>
      </c>
      <c r="B1430" s="1859" t="s">
        <v>1167</v>
      </c>
      <c r="C1430" s="1860"/>
      <c r="D1430" s="1860"/>
      <c r="E1430" s="1860"/>
      <c r="F1430" s="1860"/>
      <c r="G1430" s="1860"/>
      <c r="H1430" s="1861"/>
      <c r="I1430" s="537"/>
      <c r="J1430" s="538"/>
      <c r="K1430" s="16"/>
      <c r="L1430" s="208"/>
      <c r="M1430" s="38"/>
      <c r="N1430" s="536" t="s">
        <v>2318</v>
      </c>
    </row>
    <row r="1431" spans="1:14" s="544" customFormat="1" ht="16.5" customHeight="1">
      <c r="A1431" s="16"/>
      <c r="B1431" s="39" t="s">
        <v>3114</v>
      </c>
      <c r="C1431" s="537"/>
      <c r="D1431" s="1145" t="s">
        <v>3337</v>
      </c>
      <c r="E1431" s="540"/>
      <c r="F1431" s="541"/>
      <c r="G1431" s="541"/>
      <c r="H1431" s="541"/>
      <c r="I1431" s="542"/>
      <c r="J1431" s="553"/>
      <c r="K1431" s="39"/>
      <c r="L1431" s="208"/>
      <c r="M1431" s="39"/>
      <c r="N1431" s="536" t="s">
        <v>2318</v>
      </c>
    </row>
    <row r="1432" spans="1:14" s="544" customFormat="1" ht="15.75">
      <c r="A1432" s="16"/>
      <c r="B1432" s="39" t="s">
        <v>2362</v>
      </c>
      <c r="C1432" s="537">
        <v>1</v>
      </c>
      <c r="D1432" s="539" t="s">
        <v>273</v>
      </c>
      <c r="E1432" s="540">
        <v>1</v>
      </c>
      <c r="F1432" s="541">
        <v>3.35</v>
      </c>
      <c r="G1432" s="541">
        <v>2.4900000000000002</v>
      </c>
      <c r="H1432" s="541">
        <v>0</v>
      </c>
      <c r="I1432" s="545">
        <f t="shared" ref="I1432:I1438" si="135">ROUND(IF(AND(F1432:H1432),C1432*E1432*F1432*G1432*H1432,IF(AND(F1432,G1432),C1432*E1432*F1432*G1432,IF(AND(F1432,H1432),C1432*E1432*F1432*H1432,IF(AND(G1432,H1432),C1432*E1432*G1432*H1432,IF(F1432,C1432*E1432*F1432,IF(G1432,C1432*E1432*G1432,IF(H1432,C1432*E1432*H1432,C1432*E1432))))))),2)</f>
        <v>8.34</v>
      </c>
      <c r="J1432" s="553" t="s">
        <v>102</v>
      </c>
      <c r="K1432" s="39"/>
      <c r="L1432" s="208"/>
      <c r="M1432" s="39"/>
      <c r="N1432" s="536" t="s">
        <v>2318</v>
      </c>
    </row>
    <row r="1433" spans="1:14" s="544" customFormat="1" ht="15.75">
      <c r="A1433" s="16"/>
      <c r="B1433" s="39" t="s">
        <v>1624</v>
      </c>
      <c r="C1433" s="537">
        <v>1</v>
      </c>
      <c r="D1433" s="539" t="s">
        <v>273</v>
      </c>
      <c r="E1433" s="540">
        <v>1</v>
      </c>
      <c r="F1433" s="541">
        <v>3.35</v>
      </c>
      <c r="G1433" s="541">
        <v>2.88</v>
      </c>
      <c r="H1433" s="541">
        <v>0</v>
      </c>
      <c r="I1433" s="545">
        <f t="shared" si="135"/>
        <v>9.65</v>
      </c>
      <c r="J1433" s="553" t="s">
        <v>102</v>
      </c>
      <c r="K1433" s="39"/>
      <c r="L1433" s="208"/>
      <c r="M1433" s="39"/>
      <c r="N1433" s="536" t="s">
        <v>2318</v>
      </c>
    </row>
    <row r="1434" spans="1:14" s="544" customFormat="1" ht="16.5" customHeight="1">
      <c r="A1434" s="16"/>
      <c r="B1434" s="39" t="s">
        <v>587</v>
      </c>
      <c r="C1434" s="537">
        <v>1</v>
      </c>
      <c r="D1434" s="539" t="s">
        <v>273</v>
      </c>
      <c r="E1434" s="540">
        <v>1</v>
      </c>
      <c r="F1434" s="541">
        <v>3.35</v>
      </c>
      <c r="G1434" s="541">
        <v>3.12</v>
      </c>
      <c r="H1434" s="541">
        <v>0</v>
      </c>
      <c r="I1434" s="545">
        <f t="shared" si="135"/>
        <v>10.45</v>
      </c>
      <c r="J1434" s="553" t="s">
        <v>102</v>
      </c>
      <c r="K1434" s="39"/>
      <c r="L1434" s="208"/>
      <c r="M1434" s="39"/>
      <c r="N1434" s="536" t="s">
        <v>2318</v>
      </c>
    </row>
    <row r="1435" spans="1:14" s="544" customFormat="1" ht="16.5" customHeight="1">
      <c r="A1435" s="16"/>
      <c r="B1435" s="39" t="s">
        <v>586</v>
      </c>
      <c r="C1435" s="537">
        <v>1</v>
      </c>
      <c r="D1435" s="539" t="s">
        <v>273</v>
      </c>
      <c r="E1435" s="540">
        <v>1</v>
      </c>
      <c r="F1435" s="541">
        <v>11.93</v>
      </c>
      <c r="G1435" s="541">
        <v>1.8</v>
      </c>
      <c r="H1435" s="541">
        <v>0</v>
      </c>
      <c r="I1435" s="545">
        <f t="shared" si="135"/>
        <v>21.47</v>
      </c>
      <c r="J1435" s="553" t="s">
        <v>102</v>
      </c>
      <c r="K1435" s="39"/>
      <c r="L1435" s="208"/>
      <c r="M1435" s="39"/>
      <c r="N1435" s="536" t="s">
        <v>2318</v>
      </c>
    </row>
    <row r="1436" spans="1:14" s="544" customFormat="1" ht="16.5" customHeight="1">
      <c r="A1436" s="16"/>
      <c r="B1436" s="39" t="s">
        <v>223</v>
      </c>
      <c r="C1436" s="537">
        <v>1</v>
      </c>
      <c r="D1436" s="539" t="s">
        <v>273</v>
      </c>
      <c r="E1436" s="540">
        <v>1</v>
      </c>
      <c r="F1436" s="541">
        <v>4.9800000000000004</v>
      </c>
      <c r="G1436" s="541">
        <v>8.6</v>
      </c>
      <c r="H1436" s="541">
        <v>0</v>
      </c>
      <c r="I1436" s="545">
        <f t="shared" si="135"/>
        <v>42.83</v>
      </c>
      <c r="J1436" s="553" t="s">
        <v>102</v>
      </c>
      <c r="K1436" s="39"/>
      <c r="L1436" s="208"/>
      <c r="M1436" s="39"/>
      <c r="N1436" s="536" t="s">
        <v>2318</v>
      </c>
    </row>
    <row r="1437" spans="1:14" s="544" customFormat="1" ht="16.5" customHeight="1">
      <c r="A1437" s="16"/>
      <c r="B1437" s="39" t="s">
        <v>3172</v>
      </c>
      <c r="C1437" s="537">
        <v>2</v>
      </c>
      <c r="D1437" s="539" t="s">
        <v>273</v>
      </c>
      <c r="E1437" s="540">
        <v>2</v>
      </c>
      <c r="F1437" s="541">
        <v>1.8</v>
      </c>
      <c r="G1437" s="541">
        <v>0</v>
      </c>
      <c r="H1437" s="541">
        <v>0.38</v>
      </c>
      <c r="I1437" s="545">
        <f t="shared" si="135"/>
        <v>2.74</v>
      </c>
      <c r="J1437" s="553" t="s">
        <v>102</v>
      </c>
      <c r="K1437" s="39"/>
      <c r="L1437" s="208"/>
      <c r="M1437" s="39"/>
      <c r="N1437" s="536" t="s">
        <v>2318</v>
      </c>
    </row>
    <row r="1438" spans="1:14" s="544" customFormat="1" ht="16.5" customHeight="1">
      <c r="A1438" s="16"/>
      <c r="B1438" s="39" t="s">
        <v>3202</v>
      </c>
      <c r="C1438" s="537">
        <v>1</v>
      </c>
      <c r="D1438" s="539" t="s">
        <v>273</v>
      </c>
      <c r="E1438" s="540">
        <v>1</v>
      </c>
      <c r="F1438" s="541">
        <v>11.68</v>
      </c>
      <c r="G1438" s="541">
        <v>0</v>
      </c>
      <c r="H1438" s="541">
        <v>3.1</v>
      </c>
      <c r="I1438" s="545">
        <f t="shared" si="135"/>
        <v>36.21</v>
      </c>
      <c r="J1438" s="553" t="s">
        <v>102</v>
      </c>
      <c r="K1438" s="39"/>
      <c r="L1438" s="208"/>
      <c r="M1438" s="39"/>
      <c r="N1438" s="536" t="s">
        <v>2318</v>
      </c>
    </row>
    <row r="1439" spans="1:14" s="544" customFormat="1" ht="16.5" customHeight="1">
      <c r="A1439" s="16"/>
      <c r="B1439" s="39" t="s">
        <v>587</v>
      </c>
      <c r="C1439" s="537">
        <v>1</v>
      </c>
      <c r="D1439" s="539" t="s">
        <v>273</v>
      </c>
      <c r="E1439" s="540">
        <v>1</v>
      </c>
      <c r="F1439" s="541">
        <v>12.74</v>
      </c>
      <c r="G1439" s="541">
        <v>0</v>
      </c>
      <c r="H1439" s="541">
        <v>3.1</v>
      </c>
      <c r="I1439" s="545">
        <f>ROUND(IF(AND(F1439:H1439),C1439*E1439*F1439*G1439*H1439,IF(AND(F1439,G1439),C1439*E1439*F1439*G1439,IF(AND(F1439,H1439),C1439*E1439*F1439*H1439,IF(AND(G1439,H1439),C1439*E1439*G1439*H1439,IF(F1439,C1439*E1439*F1439,IF(G1439,C1439*E1439*G1439,IF(H1439,C1439*E1439*H1439,C1439*E1439))))))),2)</f>
        <v>39.49</v>
      </c>
      <c r="J1439" s="553" t="s">
        <v>102</v>
      </c>
      <c r="K1439" s="39"/>
      <c r="L1439" s="208"/>
      <c r="M1439" s="39"/>
      <c r="N1439" s="536" t="s">
        <v>2318</v>
      </c>
    </row>
    <row r="1440" spans="1:14" s="544" customFormat="1" ht="16.5" customHeight="1">
      <c r="A1440" s="16"/>
      <c r="B1440" s="39" t="s">
        <v>3189</v>
      </c>
      <c r="C1440" s="537">
        <v>1</v>
      </c>
      <c r="D1440" s="539" t="s">
        <v>273</v>
      </c>
      <c r="E1440" s="540">
        <v>1</v>
      </c>
      <c r="F1440" s="541">
        <v>12.26</v>
      </c>
      <c r="G1440" s="541">
        <v>0</v>
      </c>
      <c r="H1440" s="541">
        <v>3.1</v>
      </c>
      <c r="I1440" s="545">
        <f t="shared" ref="I1440:I1442" si="136">ROUND(IF(AND(F1440:H1440),C1440*E1440*F1440*G1440*H1440,IF(AND(F1440,G1440),C1440*E1440*F1440*G1440,IF(AND(F1440,H1440),C1440*E1440*F1440*H1440,IF(AND(G1440,H1440),C1440*E1440*G1440*H1440,IF(F1440,C1440*E1440*F1440,IF(G1440,C1440*E1440*G1440,IF(H1440,C1440*E1440*H1440,C1440*E1440))))))),2)</f>
        <v>38.01</v>
      </c>
      <c r="J1440" s="553" t="s">
        <v>102</v>
      </c>
      <c r="K1440" s="39"/>
      <c r="L1440" s="208"/>
      <c r="M1440" s="39"/>
      <c r="N1440" s="536" t="s">
        <v>2318</v>
      </c>
    </row>
    <row r="1441" spans="1:14" s="544" customFormat="1" ht="16.5" customHeight="1">
      <c r="A1441" s="16"/>
      <c r="B1441" s="39" t="s">
        <v>3175</v>
      </c>
      <c r="C1441" s="537">
        <v>1</v>
      </c>
      <c r="D1441" s="539" t="s">
        <v>273</v>
      </c>
      <c r="E1441" s="540">
        <v>1</v>
      </c>
      <c r="F1441" s="541">
        <v>11.93</v>
      </c>
      <c r="G1441" s="541">
        <v>0</v>
      </c>
      <c r="H1441" s="541">
        <v>3.1</v>
      </c>
      <c r="I1441" s="545">
        <f t="shared" si="136"/>
        <v>36.979999999999997</v>
      </c>
      <c r="J1441" s="553" t="s">
        <v>102</v>
      </c>
      <c r="K1441" s="39"/>
      <c r="L1441" s="208"/>
      <c r="M1441" s="39"/>
      <c r="N1441" s="536" t="s">
        <v>2318</v>
      </c>
    </row>
    <row r="1442" spans="1:14" s="544" customFormat="1" ht="16.5" customHeight="1">
      <c r="A1442" s="16"/>
      <c r="B1442" s="39"/>
      <c r="C1442" s="537">
        <v>1</v>
      </c>
      <c r="D1442" s="539" t="s">
        <v>273</v>
      </c>
      <c r="E1442" s="540">
        <v>1</v>
      </c>
      <c r="F1442" s="541">
        <v>9.42</v>
      </c>
      <c r="G1442" s="541">
        <v>0</v>
      </c>
      <c r="H1442" s="541">
        <v>3.1</v>
      </c>
      <c r="I1442" s="545">
        <f t="shared" si="136"/>
        <v>29.2</v>
      </c>
      <c r="J1442" s="553" t="s">
        <v>102</v>
      </c>
      <c r="K1442" s="39"/>
      <c r="L1442" s="208"/>
      <c r="M1442" s="39"/>
      <c r="N1442" s="536" t="s">
        <v>2318</v>
      </c>
    </row>
    <row r="1443" spans="1:14" s="544" customFormat="1" ht="16.5" customHeight="1">
      <c r="A1443" s="16"/>
      <c r="B1443" s="39" t="s">
        <v>3203</v>
      </c>
      <c r="C1443" s="537">
        <v>1</v>
      </c>
      <c r="D1443" s="539" t="s">
        <v>273</v>
      </c>
      <c r="E1443" s="540">
        <v>1</v>
      </c>
      <c r="F1443" s="541">
        <v>22.92</v>
      </c>
      <c r="G1443" s="541">
        <v>0</v>
      </c>
      <c r="H1443" s="541">
        <v>3.1</v>
      </c>
      <c r="I1443" s="545">
        <f>ROUND(IF(AND(F1443:H1443),C1443*E1443*F1443*G1443*H1443,IF(AND(F1443,G1443),C1443*E1443*F1443*G1443,IF(AND(F1443,H1443),C1443*E1443*F1443*H1443,IF(AND(G1443,H1443),C1443*E1443*G1443*H1443,IF(F1443,C1443*E1443*F1443,IF(G1443,C1443*E1443*G1443,IF(H1443,C1443*E1443*H1443,C1443*E1443))))))),2)</f>
        <v>71.05</v>
      </c>
      <c r="J1443" s="553" t="s">
        <v>102</v>
      </c>
      <c r="K1443" s="39"/>
      <c r="L1443" s="208"/>
      <c r="M1443" s="39"/>
      <c r="N1443" s="536" t="s">
        <v>2318</v>
      </c>
    </row>
    <row r="1444" spans="1:14" s="544" customFormat="1" ht="16.5" customHeight="1">
      <c r="A1444" s="16"/>
      <c r="B1444" s="39" t="s">
        <v>3190</v>
      </c>
      <c r="C1444" s="537">
        <v>1</v>
      </c>
      <c r="D1444" s="539" t="s">
        <v>273</v>
      </c>
      <c r="E1444" s="540">
        <v>1</v>
      </c>
      <c r="F1444" s="541">
        <v>2.68</v>
      </c>
      <c r="G1444" s="541">
        <v>0</v>
      </c>
      <c r="H1444" s="541">
        <v>1.2</v>
      </c>
      <c r="I1444" s="545">
        <f>ROUND(IF(AND(F1444:H1444),C1444*E1444*F1444*G1444*H1444,IF(AND(F1444,G1444),C1444*E1444*F1444*G1444,IF(AND(F1444,H1444),C1444*E1444*F1444*H1444,IF(AND(G1444,H1444),C1444*E1444*G1444*H1444,IF(F1444,C1444*E1444*F1444,IF(G1444,C1444*E1444*G1444,IF(H1444,C1444*E1444*H1444,C1444*E1444))))))),2)</f>
        <v>3.22</v>
      </c>
      <c r="J1444" s="553" t="s">
        <v>102</v>
      </c>
      <c r="K1444" s="39"/>
      <c r="L1444" s="208"/>
      <c r="M1444" s="39"/>
      <c r="N1444" s="536" t="s">
        <v>2318</v>
      </c>
    </row>
    <row r="1445" spans="1:14" s="544" customFormat="1" ht="16.5" customHeight="1">
      <c r="A1445" s="16"/>
      <c r="B1445" s="39" t="s">
        <v>3159</v>
      </c>
      <c r="C1445" s="537">
        <v>1</v>
      </c>
      <c r="D1445" s="539" t="s">
        <v>273</v>
      </c>
      <c r="E1445" s="540">
        <v>1</v>
      </c>
      <c r="F1445" s="541">
        <v>0.85</v>
      </c>
      <c r="G1445" s="541">
        <v>0</v>
      </c>
      <c r="H1445" s="541">
        <v>1.2</v>
      </c>
      <c r="I1445" s="545">
        <f>ROUND(IF(AND(F1445:H1445),C1445*E1445*F1445*G1445*H1445,IF(AND(F1445,G1445),C1445*E1445*F1445*G1445,IF(AND(F1445,H1445),C1445*E1445*F1445*H1445,IF(AND(G1445,H1445),C1445*E1445*G1445*H1445,IF(F1445,C1445*E1445*F1445,IF(G1445,C1445*E1445*G1445,IF(H1445,C1445*E1445*H1445,C1445*E1445))))))),2)</f>
        <v>1.02</v>
      </c>
      <c r="J1445" s="553" t="s">
        <v>102</v>
      </c>
      <c r="K1445" s="39"/>
      <c r="L1445" s="208"/>
      <c r="M1445" s="39"/>
      <c r="N1445" s="536" t="s">
        <v>2318</v>
      </c>
    </row>
    <row r="1446" spans="1:14" s="544" customFormat="1" ht="16.5" customHeight="1">
      <c r="A1446" s="16"/>
      <c r="B1446" s="39" t="s">
        <v>3058</v>
      </c>
      <c r="C1446" s="537">
        <v>1</v>
      </c>
      <c r="D1446" s="539" t="s">
        <v>273</v>
      </c>
      <c r="E1446" s="540">
        <v>1</v>
      </c>
      <c r="F1446" s="541">
        <v>2.68</v>
      </c>
      <c r="G1446" s="541">
        <v>0</v>
      </c>
      <c r="H1446" s="541">
        <v>1.2</v>
      </c>
      <c r="I1446" s="545">
        <f>ROUND(IF(AND(F1446:H1446),C1446*E1446*F1446*G1446*H1446,IF(AND(F1446,G1446),C1446*E1446*F1446*G1446,IF(AND(F1446,H1446),C1446*E1446*F1446*H1446,IF(AND(G1446,H1446),C1446*E1446*G1446*H1446,IF(F1446,C1446*E1446*F1446,IF(G1446,C1446*E1446*G1446,IF(H1446,C1446*E1446*H1446,C1446*E1446))))))),2)</f>
        <v>3.22</v>
      </c>
      <c r="J1446" s="553" t="s">
        <v>102</v>
      </c>
      <c r="K1446" s="39"/>
      <c r="L1446" s="208"/>
      <c r="M1446" s="39"/>
      <c r="N1446" s="536" t="s">
        <v>2318</v>
      </c>
    </row>
    <row r="1447" spans="1:14" s="544" customFormat="1" ht="16.5" customHeight="1">
      <c r="A1447" s="16"/>
      <c r="B1447" s="39" t="s">
        <v>3159</v>
      </c>
      <c r="C1447" s="537">
        <v>1</v>
      </c>
      <c r="D1447" s="539" t="s">
        <v>273</v>
      </c>
      <c r="E1447" s="540">
        <v>2</v>
      </c>
      <c r="F1447" s="541">
        <v>0.85</v>
      </c>
      <c r="G1447" s="541">
        <v>0</v>
      </c>
      <c r="H1447" s="541">
        <v>1.2</v>
      </c>
      <c r="I1447" s="545">
        <f>ROUND(IF(AND(F1447:H1447),C1447*E1447*F1447*G1447*H1447,IF(AND(F1447,G1447),C1447*E1447*F1447*G1447,IF(AND(F1447,H1447),C1447*E1447*F1447*H1447,IF(AND(G1447,H1447),C1447*E1447*G1447*H1447,IF(F1447,C1447*E1447*F1447,IF(G1447,C1447*E1447*G1447,IF(H1447,C1447*E1447*H1447,C1447*E1447))))))),2)</f>
        <v>2.04</v>
      </c>
      <c r="J1447" s="553" t="s">
        <v>102</v>
      </c>
      <c r="K1447" s="39"/>
      <c r="L1447" s="208"/>
      <c r="M1447" s="39"/>
      <c r="N1447" s="536" t="s">
        <v>2318</v>
      </c>
    </row>
    <row r="1448" spans="1:14" s="544" customFormat="1" ht="16.5" customHeight="1">
      <c r="A1448" s="16"/>
      <c r="B1448" s="39" t="s">
        <v>1535</v>
      </c>
      <c r="C1448" s="537">
        <v>1</v>
      </c>
      <c r="D1448" s="539" t="s">
        <v>273</v>
      </c>
      <c r="E1448" s="540">
        <v>1</v>
      </c>
      <c r="F1448" s="541">
        <v>1.2</v>
      </c>
      <c r="G1448" s="541">
        <v>0</v>
      </c>
      <c r="H1448" s="541">
        <v>1.1000000000000001</v>
      </c>
      <c r="I1448" s="545">
        <f>-ROUND(IF(AND(F1448:H1448),C1448*E1448*F1448*G1448*H1448,IF(AND(F1448,G1448),C1448*E1448*F1448*G1448,IF(AND(F1448,H1448),C1448*E1448*F1448*H1448,IF(AND(G1448,H1448),C1448*E1448*G1448*H1448,IF(F1448,C1448*E1448*F1448,IF(G1448,C1448*E1448*G1448,IF(H1448,C1448*E1448*H1448,C1448*E1448))))))),2)</f>
        <v>-1.32</v>
      </c>
      <c r="J1448" s="553" t="s">
        <v>102</v>
      </c>
      <c r="K1448" s="39"/>
      <c r="L1448" s="208"/>
      <c r="M1448" s="39"/>
      <c r="N1448" s="536" t="s">
        <v>2318</v>
      </c>
    </row>
    <row r="1449" spans="1:14" s="544" customFormat="1" ht="16.5" customHeight="1">
      <c r="A1449" s="16"/>
      <c r="B1449" s="39" t="s">
        <v>579</v>
      </c>
      <c r="C1449" s="537">
        <v>1</v>
      </c>
      <c r="D1449" s="539" t="s">
        <v>273</v>
      </c>
      <c r="E1449" s="540">
        <v>2</v>
      </c>
      <c r="F1449" s="541">
        <v>1.2</v>
      </c>
      <c r="G1449" s="541">
        <v>0</v>
      </c>
      <c r="H1449" s="541">
        <v>2.1</v>
      </c>
      <c r="I1449" s="545">
        <f>-ROUND(IF(AND(F1449:H1449),C1449*E1449*F1449*G1449*H1449,IF(AND(F1449,G1449),C1449*E1449*F1449*G1449,IF(AND(F1449,H1449),C1449*E1449*F1449*H1449,IF(AND(G1449,H1449),C1449*E1449*G1449*H1449,IF(F1449,C1449*E1449*F1449,IF(G1449,C1449*E1449*G1449,IF(H1449,C1449*E1449*H1449,C1449*E1449))))))),2)</f>
        <v>-5.04</v>
      </c>
      <c r="J1449" s="553" t="s">
        <v>102</v>
      </c>
      <c r="K1449" s="39"/>
      <c r="L1449" s="208"/>
      <c r="M1449" s="39"/>
      <c r="N1449" s="536" t="s">
        <v>2318</v>
      </c>
    </row>
    <row r="1450" spans="1:14" s="544" customFormat="1" ht="16.5" customHeight="1">
      <c r="A1450" s="16"/>
      <c r="B1450" s="39" t="s">
        <v>579</v>
      </c>
      <c r="C1450" s="537">
        <v>2</v>
      </c>
      <c r="D1450" s="539" t="s">
        <v>273</v>
      </c>
      <c r="E1450" s="540">
        <v>4</v>
      </c>
      <c r="F1450" s="541">
        <v>1.05</v>
      </c>
      <c r="G1450" s="541">
        <v>0</v>
      </c>
      <c r="H1450" s="541">
        <v>2.1</v>
      </c>
      <c r="I1450" s="545">
        <f>-ROUND(IF(AND(F1450:H1450),C1450*E1450*F1450*G1450*H1450,IF(AND(F1450,G1450),C1450*E1450*F1450*G1450,IF(AND(F1450,H1450),C1450*E1450*F1450*H1450,IF(AND(G1450,H1450),C1450*E1450*G1450*H1450,IF(F1450,C1450*E1450*F1450,IF(G1450,C1450*E1450*G1450,IF(H1450,C1450*E1450*H1450,C1450*E1450))))))),2)</f>
        <v>-17.64</v>
      </c>
      <c r="J1450" s="553" t="s">
        <v>102</v>
      </c>
      <c r="K1450" s="39"/>
      <c r="L1450" s="208"/>
      <c r="M1450" s="39"/>
      <c r="N1450" s="536" t="s">
        <v>2318</v>
      </c>
    </row>
    <row r="1451" spans="1:14" s="544" customFormat="1" ht="16.5" customHeight="1">
      <c r="A1451" s="16"/>
      <c r="B1451" s="39" t="s">
        <v>2360</v>
      </c>
      <c r="C1451" s="537">
        <v>1</v>
      </c>
      <c r="D1451" s="539" t="s">
        <v>273</v>
      </c>
      <c r="E1451" s="540">
        <v>7</v>
      </c>
      <c r="F1451" s="541">
        <v>1.5</v>
      </c>
      <c r="G1451" s="541">
        <v>0</v>
      </c>
      <c r="H1451" s="541">
        <v>1.35</v>
      </c>
      <c r="I1451" s="545">
        <f>-ROUND(IF(AND(F1451:H1451),C1451*E1451*F1451*G1451*H1451,IF(AND(F1451,G1451),C1451*E1451*F1451*G1451,IF(AND(F1451,H1451),C1451*E1451*F1451*H1451,IF(AND(G1451,H1451),C1451*E1451*G1451*H1451,IF(F1451,C1451*E1451*F1451,IF(G1451,C1451*E1451*G1451,IF(H1451,C1451*E1451*H1451,C1451*E1451))))))),2)</f>
        <v>-14.18</v>
      </c>
      <c r="J1451" s="553" t="s">
        <v>102</v>
      </c>
      <c r="K1451" s="39"/>
      <c r="L1451" s="208"/>
      <c r="M1451" s="39"/>
      <c r="N1451" s="536" t="s">
        <v>2318</v>
      </c>
    </row>
    <row r="1452" spans="1:14" s="544" customFormat="1" ht="16.5" customHeight="1">
      <c r="A1452" s="16"/>
      <c r="B1452" s="39" t="s">
        <v>2141</v>
      </c>
      <c r="C1452" s="537">
        <v>1</v>
      </c>
      <c r="D1452" s="539" t="s">
        <v>273</v>
      </c>
      <c r="E1452" s="540">
        <v>12</v>
      </c>
      <c r="F1452" s="541">
        <v>0.6</v>
      </c>
      <c r="G1452" s="541">
        <v>0</v>
      </c>
      <c r="H1452" s="541">
        <v>0.3</v>
      </c>
      <c r="I1452" s="545">
        <f>-ROUND(IF(AND(F1452:H1452),C1452*E1452*F1452*G1452*H1452,IF(AND(F1452,G1452),C1452*E1452*F1452*G1452,IF(AND(F1452,H1452),C1452*E1452*F1452*H1452,IF(AND(G1452,H1452),C1452*E1452*G1452*H1452,IF(F1452,C1452*E1452*F1452,IF(G1452,C1452*E1452*G1452,IF(H1452,C1452*E1452*H1452,C1452*E1452))))))),2)</f>
        <v>-2.16</v>
      </c>
      <c r="J1452" s="553" t="s">
        <v>102</v>
      </c>
      <c r="K1452" s="39"/>
      <c r="L1452" s="208"/>
      <c r="M1452" s="39"/>
      <c r="N1452" s="536" t="s">
        <v>2318</v>
      </c>
    </row>
    <row r="1453" spans="1:14" s="544" customFormat="1" ht="16.5" customHeight="1">
      <c r="A1453" s="16"/>
      <c r="B1453" s="547"/>
      <c r="C1453" s="548"/>
      <c r="D1453" s="549"/>
      <c r="E1453" s="550"/>
      <c r="F1453" s="551"/>
      <c r="G1453" s="551"/>
      <c r="H1453" s="551"/>
      <c r="I1453" s="552"/>
      <c r="J1453" s="553"/>
      <c r="K1453" s="39"/>
      <c r="L1453" s="208"/>
      <c r="M1453" s="39"/>
      <c r="N1453" s="536" t="s">
        <v>2318</v>
      </c>
    </row>
    <row r="1454" spans="1:14" ht="15.75">
      <c r="A1454" s="16"/>
      <c r="B1454" s="39"/>
      <c r="C1454" s="554"/>
      <c r="D1454" s="555"/>
      <c r="E1454" s="540"/>
      <c r="F1454" s="541"/>
      <c r="G1454" s="40"/>
      <c r="H1454" s="16"/>
      <c r="I1454" s="552"/>
      <c r="J1454" s="553" t="s">
        <v>102</v>
      </c>
      <c r="K1454" s="10">
        <f>data!F3597</f>
        <v>158.36000000000001</v>
      </c>
      <c r="L1454" s="208" t="s">
        <v>2318</v>
      </c>
      <c r="M1454" s="9">
        <f>ROUND(I1454*K1454,0)</f>
        <v>0</v>
      </c>
      <c r="N1454" s="536" t="s">
        <v>2318</v>
      </c>
    </row>
    <row r="1455" spans="1:14" ht="94.5" customHeight="1">
      <c r="A1455" s="16">
        <v>21</v>
      </c>
      <c r="B1455" s="1858" t="s">
        <v>1168</v>
      </c>
      <c r="C1455" s="1858"/>
      <c r="D1455" s="1858"/>
      <c r="E1455" s="1858"/>
      <c r="F1455" s="1858"/>
      <c r="G1455" s="1858"/>
      <c r="H1455" s="1858"/>
      <c r="I1455" s="537"/>
      <c r="J1455" s="538"/>
      <c r="K1455" s="16"/>
      <c r="L1455" s="208"/>
      <c r="M1455" s="38"/>
      <c r="N1455" s="536" t="s">
        <v>2218</v>
      </c>
    </row>
    <row r="1456" spans="1:14" s="544" customFormat="1" ht="15.75">
      <c r="A1456" s="16"/>
      <c r="B1456" s="39" t="s">
        <v>2872</v>
      </c>
      <c r="C1456" s="537"/>
      <c r="D1456" s="539"/>
      <c r="E1456" s="540"/>
      <c r="F1456" s="541"/>
      <c r="G1456" s="541"/>
      <c r="H1456" s="541"/>
      <c r="I1456" s="542"/>
      <c r="J1456" s="553"/>
      <c r="K1456" s="39"/>
      <c r="L1456" s="208"/>
      <c r="M1456" s="39"/>
      <c r="N1456" s="536" t="s">
        <v>2218</v>
      </c>
    </row>
    <row r="1457" spans="1:14" s="544" customFormat="1" ht="15.75">
      <c r="A1457" s="16"/>
      <c r="B1457" s="39" t="s">
        <v>2167</v>
      </c>
      <c r="C1457" s="537">
        <v>1</v>
      </c>
      <c r="D1457" s="539" t="s">
        <v>273</v>
      </c>
      <c r="E1457" s="540">
        <v>1</v>
      </c>
      <c r="F1457" s="541">
        <v>12.48</v>
      </c>
      <c r="G1457" s="541">
        <v>0</v>
      </c>
      <c r="H1457" s="541">
        <v>3.12</v>
      </c>
      <c r="I1457" s="545">
        <f t="shared" ref="I1457" si="137">ROUND(IF(AND(F1457:H1457),C1457*E1457*F1457*G1457*H1457,IF(AND(F1457,G1457),C1457*E1457*F1457*G1457,IF(AND(F1457,H1457),C1457*E1457*F1457*H1457,IF(AND(G1457,H1457),C1457*E1457*G1457*H1457,IF(F1457,C1457*E1457*F1457,IF(G1457,C1457*E1457*G1457,IF(H1457,C1457*E1457*H1457,C1457*E1457))))))),2)</f>
        <v>38.94</v>
      </c>
      <c r="J1457" s="553" t="s">
        <v>102</v>
      </c>
      <c r="K1457" s="39"/>
      <c r="L1457" s="208"/>
      <c r="M1457" s="39"/>
      <c r="N1457" s="536" t="s">
        <v>2218</v>
      </c>
    </row>
    <row r="1458" spans="1:14" s="544" customFormat="1" ht="15.75">
      <c r="A1458" s="16"/>
      <c r="B1458" s="39" t="s">
        <v>1547</v>
      </c>
      <c r="C1458" s="537">
        <v>1</v>
      </c>
      <c r="D1458" s="539" t="s">
        <v>273</v>
      </c>
      <c r="E1458" s="540">
        <v>1</v>
      </c>
      <c r="F1458" s="541">
        <v>8.92</v>
      </c>
      <c r="G1458" s="541">
        <v>0</v>
      </c>
      <c r="H1458" s="541">
        <v>3.12</v>
      </c>
      <c r="I1458" s="545">
        <f>ROUND(IF(AND(F1458:H1458),C1458*E1458*F1458*G1458*H1458,IF(AND(F1458,G1458),C1458*E1458*F1458*G1458,IF(AND(F1458,H1458),C1458*E1458*F1458*H1458,IF(AND(G1458,H1458),C1458*E1458*G1458*H1458,IF(F1458,C1458*E1458*F1458,IF(G1458,C1458*E1458*G1458,IF(H1458,C1458*E1458*H1458,C1458*E1458))))))),2)</f>
        <v>27.83</v>
      </c>
      <c r="J1458" s="553" t="s">
        <v>102</v>
      </c>
      <c r="K1458" s="39"/>
      <c r="L1458" s="208"/>
      <c r="M1458" s="39"/>
      <c r="N1458" s="536" t="s">
        <v>2218</v>
      </c>
    </row>
    <row r="1459" spans="1:14" s="544" customFormat="1" ht="16.5" customHeight="1">
      <c r="A1459" s="16"/>
      <c r="B1459" s="39"/>
      <c r="C1459" s="537">
        <v>1</v>
      </c>
      <c r="D1459" s="539" t="s">
        <v>273</v>
      </c>
      <c r="E1459" s="540">
        <v>1</v>
      </c>
      <c r="F1459" s="541">
        <v>4.4000000000000004</v>
      </c>
      <c r="G1459" s="541">
        <v>0.88</v>
      </c>
      <c r="H1459" s="541">
        <v>0</v>
      </c>
      <c r="I1459" s="579">
        <f t="shared" ref="I1459" si="138">ROUND(IF(AND(F1459:H1459),C1459*E1459*F1459*G1459*H1459,IF(AND(F1459,G1459),C1459*E1459*F1459*G1459,IF(AND(F1459,H1459),C1459*E1459*F1459*H1459,IF(AND(G1459,H1459),C1459*E1459*G1459*H1459,IF(F1459,C1459*E1459*F1459,IF(G1459,C1459*E1459*G1459,IF(H1459,C1459*E1459*H1459,C1459*E1459))))))),2)</f>
        <v>3.87</v>
      </c>
      <c r="J1459" s="553" t="s">
        <v>102</v>
      </c>
      <c r="K1459" s="39"/>
      <c r="L1459" s="208"/>
      <c r="M1459" s="39"/>
      <c r="N1459" s="536" t="s">
        <v>2218</v>
      </c>
    </row>
    <row r="1460" spans="1:14" s="544" customFormat="1" ht="16.5" customHeight="1">
      <c r="A1460" s="16"/>
      <c r="B1460" s="547"/>
      <c r="C1460" s="548"/>
      <c r="D1460" s="549"/>
      <c r="E1460" s="550"/>
      <c r="F1460" s="551"/>
      <c r="G1460" s="551"/>
      <c r="H1460" s="551"/>
      <c r="I1460" s="552"/>
      <c r="J1460" s="553"/>
      <c r="K1460" s="39"/>
      <c r="L1460" s="208"/>
      <c r="M1460" s="39"/>
      <c r="N1460" s="536" t="s">
        <v>2218</v>
      </c>
    </row>
    <row r="1461" spans="1:14" ht="15.75">
      <c r="A1461" s="16"/>
      <c r="B1461" s="39"/>
      <c r="C1461" s="554"/>
      <c r="D1461" s="555"/>
      <c r="E1461" s="540"/>
      <c r="F1461" s="541"/>
      <c r="G1461" s="40"/>
      <c r="H1461" s="16"/>
      <c r="I1461" s="552"/>
      <c r="J1461" s="553" t="s">
        <v>102</v>
      </c>
      <c r="K1461" s="10">
        <f>data!F860</f>
        <v>179.47</v>
      </c>
      <c r="L1461" s="208" t="s">
        <v>2218</v>
      </c>
      <c r="M1461" s="9">
        <f>ROUND(I1461*K1461,0)</f>
        <v>0</v>
      </c>
      <c r="N1461" s="536" t="s">
        <v>2218</v>
      </c>
    </row>
    <row r="1462" spans="1:14" ht="94.5" customHeight="1">
      <c r="A1462" s="16">
        <v>20</v>
      </c>
      <c r="B1462" s="1858" t="s">
        <v>1168</v>
      </c>
      <c r="C1462" s="1858"/>
      <c r="D1462" s="1858"/>
      <c r="E1462" s="1858"/>
      <c r="F1462" s="1858"/>
      <c r="G1462" s="1858"/>
      <c r="H1462" s="1858"/>
      <c r="I1462" s="537"/>
      <c r="J1462" s="538"/>
      <c r="K1462" s="16"/>
      <c r="L1462" s="208"/>
      <c r="M1462" s="38"/>
      <c r="N1462" s="536" t="s">
        <v>2306</v>
      </c>
    </row>
    <row r="1463" spans="1:14" s="544" customFormat="1" ht="15.75">
      <c r="A1463" s="16"/>
      <c r="B1463" s="39" t="s">
        <v>3063</v>
      </c>
      <c r="C1463" s="537"/>
      <c r="D1463" s="539"/>
      <c r="E1463" s="540"/>
      <c r="F1463" s="541"/>
      <c r="G1463" s="541"/>
      <c r="H1463" s="541"/>
      <c r="I1463" s="542"/>
      <c r="J1463" s="553"/>
      <c r="K1463" s="39"/>
      <c r="L1463" s="208"/>
      <c r="M1463" s="39"/>
      <c r="N1463" s="536" t="s">
        <v>2306</v>
      </c>
    </row>
    <row r="1464" spans="1:14" s="544" customFormat="1" ht="15.75">
      <c r="A1464" s="16"/>
      <c r="B1464" s="39" t="s">
        <v>3015</v>
      </c>
      <c r="C1464" s="537">
        <v>1</v>
      </c>
      <c r="D1464" s="539" t="s">
        <v>273</v>
      </c>
      <c r="E1464" s="540">
        <v>1</v>
      </c>
      <c r="F1464" s="541">
        <v>8.84</v>
      </c>
      <c r="G1464" s="541">
        <v>0</v>
      </c>
      <c r="H1464" s="541">
        <v>3.1749999999999998</v>
      </c>
      <c r="I1464" s="545">
        <f t="shared" ref="I1464:I1481" si="139">ROUND(IF(AND(F1464:H1464),C1464*E1464*F1464*G1464*H1464,IF(AND(F1464,G1464),C1464*E1464*F1464*G1464,IF(AND(F1464,H1464),C1464*E1464*F1464*H1464,IF(AND(G1464,H1464),C1464*E1464*G1464*H1464,IF(F1464,C1464*E1464*F1464,IF(G1464,C1464*E1464*G1464,IF(H1464,C1464*E1464*H1464,C1464*E1464))))))),2)</f>
        <v>28.07</v>
      </c>
      <c r="J1464" s="553" t="s">
        <v>102</v>
      </c>
      <c r="K1464" s="39"/>
      <c r="L1464" s="208"/>
      <c r="M1464" s="39"/>
      <c r="N1464" s="536" t="s">
        <v>2306</v>
      </c>
    </row>
    <row r="1465" spans="1:14" s="544" customFormat="1" ht="15.75">
      <c r="A1465" s="16"/>
      <c r="B1465" s="39" t="s">
        <v>817</v>
      </c>
      <c r="C1465" s="537">
        <v>1</v>
      </c>
      <c r="D1465" s="539" t="s">
        <v>273</v>
      </c>
      <c r="E1465" s="540">
        <v>1</v>
      </c>
      <c r="F1465" s="541">
        <v>9.52</v>
      </c>
      <c r="G1465" s="541">
        <v>0</v>
      </c>
      <c r="H1465" s="541">
        <v>3.1749999999999998</v>
      </c>
      <c r="I1465" s="545">
        <f t="shared" si="139"/>
        <v>30.23</v>
      </c>
      <c r="J1465" s="553" t="s">
        <v>102</v>
      </c>
      <c r="K1465" s="39"/>
      <c r="L1465" s="208"/>
      <c r="M1465" s="39"/>
      <c r="N1465" s="536" t="s">
        <v>2306</v>
      </c>
    </row>
    <row r="1466" spans="1:14" s="544" customFormat="1" ht="15.75">
      <c r="A1466" s="16"/>
      <c r="B1466" s="39" t="s">
        <v>3016</v>
      </c>
      <c r="C1466" s="537">
        <v>1</v>
      </c>
      <c r="D1466" s="539" t="s">
        <v>273</v>
      </c>
      <c r="E1466" s="540">
        <v>1</v>
      </c>
      <c r="F1466" s="541">
        <v>2.66</v>
      </c>
      <c r="G1466" s="541">
        <v>0</v>
      </c>
      <c r="H1466" s="541">
        <v>0.9</v>
      </c>
      <c r="I1466" s="545">
        <f t="shared" si="139"/>
        <v>2.39</v>
      </c>
      <c r="J1466" s="553" t="s">
        <v>102</v>
      </c>
      <c r="K1466" s="39"/>
      <c r="L1466" s="208"/>
      <c r="M1466" s="39"/>
      <c r="N1466" s="536" t="s">
        <v>2306</v>
      </c>
    </row>
    <row r="1467" spans="1:14" s="544" customFormat="1" ht="15.75">
      <c r="A1467" s="16"/>
      <c r="B1467" s="39"/>
      <c r="C1467" s="537">
        <v>1</v>
      </c>
      <c r="D1467" s="539" t="s">
        <v>273</v>
      </c>
      <c r="E1467" s="540">
        <v>1</v>
      </c>
      <c r="F1467" s="541">
        <v>4.83</v>
      </c>
      <c r="G1467" s="541">
        <v>0</v>
      </c>
      <c r="H1467" s="541">
        <v>0.9</v>
      </c>
      <c r="I1467" s="545">
        <f t="shared" si="139"/>
        <v>4.3499999999999996</v>
      </c>
      <c r="J1467" s="553" t="s">
        <v>102</v>
      </c>
      <c r="K1467" s="39"/>
      <c r="L1467" s="208"/>
      <c r="M1467" s="39"/>
      <c r="N1467" s="536" t="s">
        <v>2306</v>
      </c>
    </row>
    <row r="1468" spans="1:14" s="544" customFormat="1" ht="15.75">
      <c r="A1468" s="16"/>
      <c r="B1468" s="39" t="s">
        <v>579</v>
      </c>
      <c r="C1468" s="537">
        <v>1</v>
      </c>
      <c r="D1468" s="539" t="s">
        <v>273</v>
      </c>
      <c r="E1468" s="540">
        <v>1</v>
      </c>
      <c r="F1468" s="541">
        <v>1.2</v>
      </c>
      <c r="G1468" s="541">
        <v>0</v>
      </c>
      <c r="H1468" s="541">
        <v>0.9</v>
      </c>
      <c r="I1468" s="545">
        <f>-ROUND(IF(AND(F1468:H1468),C1468*E1468*F1468*G1468*H1468,IF(AND(F1468,G1468),C1468*E1468*F1468*G1468,IF(AND(F1468,H1468),C1468*E1468*F1468*H1468,IF(AND(G1468,H1468),C1468*E1468*G1468*H1468,IF(F1468,C1468*E1468*F1468,IF(G1468,C1468*E1468*G1468,IF(H1468,C1468*E1468*H1468,C1468*E1468))))))),2)</f>
        <v>-1.08</v>
      </c>
      <c r="J1468" s="553" t="s">
        <v>102</v>
      </c>
      <c r="K1468" s="39"/>
      <c r="L1468" s="208"/>
      <c r="M1468" s="39"/>
      <c r="N1468" s="536" t="s">
        <v>2306</v>
      </c>
    </row>
    <row r="1469" spans="1:14" s="544" customFormat="1" ht="15.75">
      <c r="A1469" s="16"/>
      <c r="B1469" s="39" t="s">
        <v>814</v>
      </c>
      <c r="C1469" s="537">
        <v>1</v>
      </c>
      <c r="D1469" s="539" t="s">
        <v>273</v>
      </c>
      <c r="E1469" s="540">
        <v>1</v>
      </c>
      <c r="F1469" s="541">
        <v>3.62</v>
      </c>
      <c r="G1469" s="541">
        <v>0</v>
      </c>
      <c r="H1469" s="541">
        <v>3.1749999999999998</v>
      </c>
      <c r="I1469" s="545">
        <f t="shared" si="139"/>
        <v>11.49</v>
      </c>
      <c r="J1469" s="553" t="s">
        <v>102</v>
      </c>
      <c r="K1469" s="39"/>
      <c r="L1469" s="208"/>
      <c r="M1469" s="39"/>
      <c r="N1469" s="536" t="s">
        <v>2306</v>
      </c>
    </row>
    <row r="1470" spans="1:14" s="544" customFormat="1" ht="15.75">
      <c r="A1470" s="16"/>
      <c r="B1470" s="39" t="s">
        <v>3013</v>
      </c>
      <c r="C1470" s="537">
        <v>1</v>
      </c>
      <c r="D1470" s="539" t="s">
        <v>273</v>
      </c>
      <c r="E1470" s="540">
        <v>1</v>
      </c>
      <c r="F1470" s="541">
        <v>9.52</v>
      </c>
      <c r="G1470" s="541">
        <v>0</v>
      </c>
      <c r="H1470" s="541">
        <v>3.1749999999999998</v>
      </c>
      <c r="I1470" s="545">
        <f t="shared" si="139"/>
        <v>30.23</v>
      </c>
      <c r="J1470" s="553" t="s">
        <v>102</v>
      </c>
      <c r="K1470" s="39"/>
      <c r="L1470" s="208"/>
      <c r="M1470" s="39"/>
      <c r="N1470" s="536" t="s">
        <v>2306</v>
      </c>
    </row>
    <row r="1471" spans="1:14" s="544" customFormat="1" ht="15.75">
      <c r="A1471" s="16"/>
      <c r="B1471" s="39" t="s">
        <v>3017</v>
      </c>
      <c r="C1471" s="537">
        <v>1</v>
      </c>
      <c r="D1471" s="539" t="s">
        <v>273</v>
      </c>
      <c r="E1471" s="540">
        <v>1</v>
      </c>
      <c r="F1471" s="541">
        <v>5.18</v>
      </c>
      <c r="G1471" s="541">
        <v>0</v>
      </c>
      <c r="H1471" s="541">
        <v>3.3</v>
      </c>
      <c r="I1471" s="545">
        <f t="shared" si="139"/>
        <v>17.09</v>
      </c>
      <c r="J1471" s="553" t="s">
        <v>102</v>
      </c>
      <c r="K1471" s="39"/>
      <c r="L1471" s="208"/>
      <c r="M1471" s="39"/>
      <c r="N1471" s="536" t="s">
        <v>2306</v>
      </c>
    </row>
    <row r="1472" spans="1:14" s="544" customFormat="1" ht="15.75">
      <c r="A1472" s="16"/>
      <c r="B1472" s="39" t="s">
        <v>579</v>
      </c>
      <c r="C1472" s="537">
        <v>1</v>
      </c>
      <c r="D1472" s="539" t="s">
        <v>273</v>
      </c>
      <c r="E1472" s="540">
        <v>1</v>
      </c>
      <c r="F1472" s="541">
        <v>0.75</v>
      </c>
      <c r="G1472" s="541">
        <v>0</v>
      </c>
      <c r="H1472" s="541">
        <v>2.1</v>
      </c>
      <c r="I1472" s="545">
        <f t="shared" ref="I1472:I1477" si="140">-ROUND(IF(AND(F1472:H1472),C1472*E1472*F1472*G1472*H1472,IF(AND(F1472,G1472),C1472*E1472*F1472*G1472,IF(AND(F1472,H1472),C1472*E1472*F1472*H1472,IF(AND(G1472,H1472),C1472*E1472*G1472*H1472,IF(F1472,C1472*E1472*F1472,IF(G1472,C1472*E1472*G1472,IF(H1472,C1472*E1472*H1472,C1472*E1472))))))),2)</f>
        <v>-1.58</v>
      </c>
      <c r="J1472" s="553" t="s">
        <v>102</v>
      </c>
      <c r="K1472" s="39"/>
      <c r="L1472" s="208"/>
      <c r="M1472" s="39"/>
      <c r="N1472" s="536" t="s">
        <v>2306</v>
      </c>
    </row>
    <row r="1473" spans="1:14" s="544" customFormat="1" ht="15.75">
      <c r="A1473" s="16"/>
      <c r="B1473" s="39" t="s">
        <v>2360</v>
      </c>
      <c r="C1473" s="537">
        <v>1</v>
      </c>
      <c r="D1473" s="539" t="s">
        <v>273</v>
      </c>
      <c r="E1473" s="540">
        <v>7</v>
      </c>
      <c r="F1473" s="541">
        <v>1.45</v>
      </c>
      <c r="G1473" s="541">
        <v>0</v>
      </c>
      <c r="H1473" s="541">
        <v>1.45</v>
      </c>
      <c r="I1473" s="545">
        <f t="shared" si="140"/>
        <v>-14.72</v>
      </c>
      <c r="J1473" s="553" t="s">
        <v>102</v>
      </c>
      <c r="K1473" s="39"/>
      <c r="L1473" s="208"/>
      <c r="M1473" s="39"/>
      <c r="N1473" s="536" t="s">
        <v>2306</v>
      </c>
    </row>
    <row r="1474" spans="1:14" s="544" customFormat="1" ht="15.75">
      <c r="A1474" s="16"/>
      <c r="B1474" s="39" t="s">
        <v>2141</v>
      </c>
      <c r="C1474" s="537">
        <v>1</v>
      </c>
      <c r="D1474" s="539" t="s">
        <v>273</v>
      </c>
      <c r="E1474" s="540">
        <v>6</v>
      </c>
      <c r="F1474" s="541">
        <v>0.6</v>
      </c>
      <c r="G1474" s="541">
        <v>0</v>
      </c>
      <c r="H1474" s="541">
        <v>0.3</v>
      </c>
      <c r="I1474" s="545">
        <f t="shared" si="140"/>
        <v>-1.08</v>
      </c>
      <c r="J1474" s="553" t="s">
        <v>102</v>
      </c>
      <c r="K1474" s="39"/>
      <c r="L1474" s="208"/>
      <c r="M1474" s="39"/>
      <c r="N1474" s="536" t="s">
        <v>2306</v>
      </c>
    </row>
    <row r="1475" spans="1:14" s="544" customFormat="1" ht="15.75">
      <c r="A1475" s="16"/>
      <c r="B1475" s="39" t="s">
        <v>2141</v>
      </c>
      <c r="C1475" s="537">
        <v>1</v>
      </c>
      <c r="D1475" s="539" t="s">
        <v>273</v>
      </c>
      <c r="E1475" s="540">
        <v>3</v>
      </c>
      <c r="F1475" s="541">
        <v>0.3</v>
      </c>
      <c r="G1475" s="541">
        <v>0</v>
      </c>
      <c r="H1475" s="541">
        <v>0.3</v>
      </c>
      <c r="I1475" s="545">
        <f t="shared" si="140"/>
        <v>-0.27</v>
      </c>
      <c r="J1475" s="553" t="s">
        <v>102</v>
      </c>
      <c r="K1475" s="39"/>
      <c r="L1475" s="208"/>
      <c r="M1475" s="39"/>
      <c r="N1475" s="536" t="s">
        <v>2306</v>
      </c>
    </row>
    <row r="1476" spans="1:14" s="544" customFormat="1" ht="15.75">
      <c r="A1476" s="16"/>
      <c r="B1476" s="39" t="s">
        <v>3018</v>
      </c>
      <c r="C1476" s="537">
        <v>1</v>
      </c>
      <c r="D1476" s="539" t="s">
        <v>273</v>
      </c>
      <c r="E1476" s="540">
        <v>1</v>
      </c>
      <c r="F1476" s="541">
        <v>1.27</v>
      </c>
      <c r="G1476" s="541">
        <v>0</v>
      </c>
      <c r="H1476" s="541">
        <v>1.5</v>
      </c>
      <c r="I1476" s="545">
        <f t="shared" si="140"/>
        <v>-1.91</v>
      </c>
      <c r="J1476" s="553" t="s">
        <v>102</v>
      </c>
      <c r="K1476" s="39"/>
      <c r="L1476" s="208"/>
      <c r="M1476" s="39"/>
      <c r="N1476" s="536" t="s">
        <v>2306</v>
      </c>
    </row>
    <row r="1477" spans="1:14" s="544" customFormat="1" ht="15.75">
      <c r="A1477" s="16"/>
      <c r="B1477" s="39"/>
      <c r="C1477" s="537">
        <v>1</v>
      </c>
      <c r="D1477" s="539" t="s">
        <v>273</v>
      </c>
      <c r="E1477" s="540">
        <v>1</v>
      </c>
      <c r="F1477" s="541">
        <v>1.27</v>
      </c>
      <c r="G1477" s="541">
        <v>0</v>
      </c>
      <c r="H1477" s="541">
        <v>1.2</v>
      </c>
      <c r="I1477" s="545">
        <f t="shared" si="140"/>
        <v>-1.52</v>
      </c>
      <c r="J1477" s="553" t="s">
        <v>102</v>
      </c>
      <c r="K1477" s="39"/>
      <c r="L1477" s="208"/>
      <c r="M1477" s="39"/>
      <c r="N1477" s="536" t="s">
        <v>2306</v>
      </c>
    </row>
    <row r="1478" spans="1:14" s="544" customFormat="1" ht="15.75">
      <c r="A1478" s="16"/>
      <c r="B1478" s="39" t="s">
        <v>2990</v>
      </c>
      <c r="C1478" s="537">
        <v>1</v>
      </c>
      <c r="D1478" s="539" t="s">
        <v>273</v>
      </c>
      <c r="E1478" s="540">
        <v>1</v>
      </c>
      <c r="F1478" s="541">
        <v>7.05</v>
      </c>
      <c r="G1478" s="541">
        <v>0</v>
      </c>
      <c r="H1478" s="541">
        <v>0.125</v>
      </c>
      <c r="I1478" s="545">
        <f t="shared" si="139"/>
        <v>0.88</v>
      </c>
      <c r="J1478" s="553" t="s">
        <v>102</v>
      </c>
      <c r="K1478" s="39"/>
      <c r="L1478" s="208"/>
      <c r="M1478" s="39"/>
      <c r="N1478" s="536" t="s">
        <v>2306</v>
      </c>
    </row>
    <row r="1479" spans="1:14" s="544" customFormat="1" ht="15.75">
      <c r="A1479" s="16"/>
      <c r="B1479" s="39"/>
      <c r="C1479" s="537">
        <v>1</v>
      </c>
      <c r="D1479" s="539" t="s">
        <v>273</v>
      </c>
      <c r="E1479" s="540">
        <v>1</v>
      </c>
      <c r="F1479" s="541">
        <v>10.14</v>
      </c>
      <c r="G1479" s="541">
        <v>0</v>
      </c>
      <c r="H1479" s="541">
        <v>0.125</v>
      </c>
      <c r="I1479" s="545">
        <f t="shared" si="139"/>
        <v>1.27</v>
      </c>
      <c r="J1479" s="553" t="s">
        <v>102</v>
      </c>
      <c r="K1479" s="39"/>
      <c r="L1479" s="208"/>
      <c r="M1479" s="39"/>
      <c r="N1479" s="536" t="s">
        <v>2306</v>
      </c>
    </row>
    <row r="1480" spans="1:14" s="544" customFormat="1" ht="15.75">
      <c r="A1480" s="16"/>
      <c r="B1480" s="39"/>
      <c r="C1480" s="537">
        <v>1</v>
      </c>
      <c r="D1480" s="539" t="s">
        <v>273</v>
      </c>
      <c r="E1480" s="540">
        <v>1</v>
      </c>
      <c r="F1480" s="541">
        <v>14.52</v>
      </c>
      <c r="G1480" s="541">
        <v>0</v>
      </c>
      <c r="H1480" s="541">
        <v>0.125</v>
      </c>
      <c r="I1480" s="545">
        <f t="shared" si="139"/>
        <v>1.82</v>
      </c>
      <c r="J1480" s="553" t="s">
        <v>102</v>
      </c>
      <c r="K1480" s="39"/>
      <c r="L1480" s="208"/>
      <c r="M1480" s="39"/>
      <c r="N1480" s="536" t="s">
        <v>2306</v>
      </c>
    </row>
    <row r="1481" spans="1:14" s="544" customFormat="1" ht="15.75">
      <c r="A1481" s="16"/>
      <c r="B1481" s="39"/>
      <c r="C1481" s="537">
        <v>1</v>
      </c>
      <c r="D1481" s="539" t="s">
        <v>273</v>
      </c>
      <c r="E1481" s="540">
        <v>1</v>
      </c>
      <c r="F1481" s="541">
        <v>10.29</v>
      </c>
      <c r="G1481" s="541">
        <v>0</v>
      </c>
      <c r="H1481" s="541">
        <v>0.125</v>
      </c>
      <c r="I1481" s="545">
        <f t="shared" si="139"/>
        <v>1.29</v>
      </c>
      <c r="J1481" s="553" t="s">
        <v>102</v>
      </c>
      <c r="K1481" s="39"/>
      <c r="L1481" s="208"/>
      <c r="M1481" s="39"/>
      <c r="N1481" s="536" t="s">
        <v>2306</v>
      </c>
    </row>
    <row r="1482" spans="1:14" s="544" customFormat="1" ht="15.75">
      <c r="A1482" s="16"/>
      <c r="B1482" s="39" t="s">
        <v>3064</v>
      </c>
      <c r="C1482" s="537">
        <v>1</v>
      </c>
      <c r="D1482" s="539" t="s">
        <v>273</v>
      </c>
      <c r="E1482" s="540">
        <v>1</v>
      </c>
      <c r="F1482" s="541">
        <v>6.45</v>
      </c>
      <c r="G1482" s="541">
        <v>1</v>
      </c>
      <c r="H1482" s="541">
        <v>0</v>
      </c>
      <c r="I1482" s="545">
        <f t="shared" ref="I1482" si="141">ROUND(IF(AND(F1482:H1482),C1482*E1482*F1482*G1482*H1482,IF(AND(F1482,G1482),C1482*E1482*F1482*G1482,IF(AND(F1482,H1482),C1482*E1482*F1482*H1482,IF(AND(G1482,H1482),C1482*E1482*G1482*H1482,IF(F1482,C1482*E1482*F1482,IF(G1482,C1482*E1482*G1482,IF(H1482,C1482*E1482*H1482,C1482*E1482))))))),2)</f>
        <v>6.45</v>
      </c>
      <c r="J1482" s="553" t="s">
        <v>102</v>
      </c>
      <c r="K1482" s="39"/>
      <c r="L1482" s="208"/>
      <c r="M1482" s="39"/>
      <c r="N1482" s="536" t="s">
        <v>2306</v>
      </c>
    </row>
    <row r="1483" spans="1:14" s="544" customFormat="1" ht="15.75">
      <c r="A1483" s="16"/>
      <c r="B1483" s="39" t="s">
        <v>3065</v>
      </c>
      <c r="C1483" s="537">
        <v>2</v>
      </c>
      <c r="D1483" s="539" t="s">
        <v>273</v>
      </c>
      <c r="E1483" s="540">
        <v>2</v>
      </c>
      <c r="F1483" s="541">
        <v>1</v>
      </c>
      <c r="G1483" s="541">
        <v>0</v>
      </c>
      <c r="H1483" s="541">
        <v>0.3</v>
      </c>
      <c r="I1483" s="545">
        <f t="shared" ref="I1483:I1491" si="142">ROUND(IF(AND(F1483:H1483),C1483*E1483*F1483*G1483*H1483,IF(AND(F1483,G1483),C1483*E1483*F1483*G1483,IF(AND(F1483,H1483),C1483*E1483*F1483*H1483,IF(AND(G1483,H1483),C1483*E1483*G1483*H1483,IF(F1483,C1483*E1483*F1483,IF(G1483,C1483*E1483*G1483,IF(H1483,C1483*E1483*H1483,C1483*E1483))))))),2)</f>
        <v>1.2</v>
      </c>
      <c r="J1483" s="553" t="s">
        <v>102</v>
      </c>
      <c r="K1483" s="39"/>
      <c r="L1483" s="208"/>
      <c r="M1483" s="39"/>
      <c r="N1483" s="536" t="s">
        <v>2306</v>
      </c>
    </row>
    <row r="1484" spans="1:14" s="544" customFormat="1" ht="15.75">
      <c r="A1484" s="16"/>
      <c r="B1484" s="39" t="s">
        <v>2984</v>
      </c>
      <c r="C1484" s="537">
        <v>1</v>
      </c>
      <c r="D1484" s="539" t="s">
        <v>273</v>
      </c>
      <c r="E1484" s="540">
        <v>1</v>
      </c>
      <c r="F1484" s="541">
        <v>13.47</v>
      </c>
      <c r="G1484" s="541">
        <v>1</v>
      </c>
      <c r="H1484" s="541">
        <v>0</v>
      </c>
      <c r="I1484" s="545">
        <f t="shared" si="142"/>
        <v>13.47</v>
      </c>
      <c r="J1484" s="553" t="s">
        <v>102</v>
      </c>
      <c r="K1484" s="39"/>
      <c r="L1484" s="208"/>
      <c r="M1484" s="39"/>
      <c r="N1484" s="536" t="s">
        <v>2306</v>
      </c>
    </row>
    <row r="1485" spans="1:14" s="544" customFormat="1" ht="15.75">
      <c r="A1485" s="16"/>
      <c r="B1485" s="39" t="s">
        <v>2973</v>
      </c>
      <c r="C1485" s="537">
        <v>5</v>
      </c>
      <c r="D1485" s="539" t="s">
        <v>273</v>
      </c>
      <c r="E1485" s="540">
        <v>2</v>
      </c>
      <c r="F1485" s="541">
        <v>1</v>
      </c>
      <c r="G1485" s="541">
        <v>0</v>
      </c>
      <c r="H1485" s="541">
        <v>0.38</v>
      </c>
      <c r="I1485" s="545">
        <f t="shared" si="142"/>
        <v>3.8</v>
      </c>
      <c r="J1485" s="553" t="s">
        <v>102</v>
      </c>
      <c r="K1485" s="39"/>
      <c r="L1485" s="208"/>
      <c r="M1485" s="39"/>
      <c r="N1485" s="536" t="s">
        <v>2306</v>
      </c>
    </row>
    <row r="1486" spans="1:14" s="544" customFormat="1" ht="15.75">
      <c r="A1486" s="16"/>
      <c r="B1486" s="39" t="s">
        <v>2985</v>
      </c>
      <c r="C1486" s="537">
        <v>1</v>
      </c>
      <c r="D1486" s="539" t="s">
        <v>273</v>
      </c>
      <c r="E1486" s="540">
        <v>1</v>
      </c>
      <c r="F1486" s="541">
        <v>8.84</v>
      </c>
      <c r="G1486" s="541">
        <v>1</v>
      </c>
      <c r="H1486" s="541">
        <v>0</v>
      </c>
      <c r="I1486" s="545">
        <f t="shared" si="142"/>
        <v>8.84</v>
      </c>
      <c r="J1486" s="553" t="s">
        <v>102</v>
      </c>
      <c r="K1486" s="39"/>
      <c r="L1486" s="208"/>
      <c r="M1486" s="39"/>
      <c r="N1486" s="536" t="s">
        <v>2306</v>
      </c>
    </row>
    <row r="1487" spans="1:14" s="544" customFormat="1" ht="15.75">
      <c r="A1487" s="16"/>
      <c r="B1487" s="39" t="s">
        <v>2974</v>
      </c>
      <c r="C1487" s="537">
        <v>3</v>
      </c>
      <c r="D1487" s="539" t="s">
        <v>273</v>
      </c>
      <c r="E1487" s="540">
        <v>2</v>
      </c>
      <c r="F1487" s="541">
        <v>1</v>
      </c>
      <c r="G1487" s="541">
        <v>0</v>
      </c>
      <c r="H1487" s="541">
        <v>0.3</v>
      </c>
      <c r="I1487" s="545">
        <f t="shared" si="142"/>
        <v>1.8</v>
      </c>
      <c r="J1487" s="553" t="s">
        <v>102</v>
      </c>
      <c r="K1487" s="39"/>
      <c r="L1487" s="208"/>
      <c r="M1487" s="39"/>
      <c r="N1487" s="536" t="s">
        <v>2306</v>
      </c>
    </row>
    <row r="1488" spans="1:14" s="544" customFormat="1" ht="15.75">
      <c r="A1488" s="16"/>
      <c r="B1488" s="39" t="s">
        <v>2975</v>
      </c>
      <c r="C1488" s="537">
        <v>1</v>
      </c>
      <c r="D1488" s="539" t="s">
        <v>273</v>
      </c>
      <c r="E1488" s="540">
        <v>1</v>
      </c>
      <c r="F1488" s="541">
        <v>10.29</v>
      </c>
      <c r="G1488" s="541">
        <v>0.3</v>
      </c>
      <c r="H1488" s="541">
        <v>0</v>
      </c>
      <c r="I1488" s="545">
        <f t="shared" si="142"/>
        <v>3.09</v>
      </c>
      <c r="J1488" s="553" t="s">
        <v>102</v>
      </c>
      <c r="K1488" s="39"/>
      <c r="L1488" s="208"/>
      <c r="M1488" s="39"/>
      <c r="N1488" s="536" t="s">
        <v>2306</v>
      </c>
    </row>
    <row r="1489" spans="1:14" s="544" customFormat="1" ht="15.75">
      <c r="A1489" s="16"/>
      <c r="B1489" s="39" t="s">
        <v>2991</v>
      </c>
      <c r="C1489" s="537">
        <v>6</v>
      </c>
      <c r="D1489" s="539" t="s">
        <v>273</v>
      </c>
      <c r="E1489" s="540">
        <v>2</v>
      </c>
      <c r="F1489" s="541">
        <v>1.8</v>
      </c>
      <c r="G1489" s="541">
        <v>0.6</v>
      </c>
      <c r="H1489" s="541">
        <v>0</v>
      </c>
      <c r="I1489" s="545">
        <f t="shared" si="142"/>
        <v>12.96</v>
      </c>
      <c r="J1489" s="553" t="s">
        <v>102</v>
      </c>
      <c r="K1489" s="39"/>
      <c r="L1489" s="208"/>
      <c r="M1489" s="39"/>
      <c r="N1489" s="536" t="s">
        <v>2306</v>
      </c>
    </row>
    <row r="1490" spans="1:14" s="544" customFormat="1" ht="15.75">
      <c r="A1490" s="16"/>
      <c r="B1490" s="39" t="s">
        <v>1492</v>
      </c>
      <c r="C1490" s="537">
        <v>1</v>
      </c>
      <c r="D1490" s="539" t="s">
        <v>273</v>
      </c>
      <c r="E1490" s="540">
        <v>2</v>
      </c>
      <c r="F1490" s="541">
        <v>10.3</v>
      </c>
      <c r="G1490" s="541">
        <v>0</v>
      </c>
      <c r="H1490" s="541">
        <v>0.6</v>
      </c>
      <c r="I1490" s="545">
        <f t="shared" si="142"/>
        <v>12.36</v>
      </c>
      <c r="J1490" s="553" t="s">
        <v>102</v>
      </c>
      <c r="K1490" s="39"/>
      <c r="L1490" s="208"/>
      <c r="M1490" s="39"/>
      <c r="N1490" s="536" t="s">
        <v>2306</v>
      </c>
    </row>
    <row r="1491" spans="1:14" s="544" customFormat="1" ht="15.75">
      <c r="A1491" s="16"/>
      <c r="B1491" s="39"/>
      <c r="C1491" s="537">
        <v>1</v>
      </c>
      <c r="D1491" s="539" t="s">
        <v>273</v>
      </c>
      <c r="E1491" s="540">
        <v>2</v>
      </c>
      <c r="F1491" s="541">
        <v>24</v>
      </c>
      <c r="G1491" s="541">
        <v>0</v>
      </c>
      <c r="H1491" s="541">
        <v>0.9</v>
      </c>
      <c r="I1491" s="545">
        <f t="shared" si="142"/>
        <v>43.2</v>
      </c>
      <c r="J1491" s="553" t="s">
        <v>102</v>
      </c>
      <c r="K1491" s="39"/>
      <c r="L1491" s="208"/>
      <c r="M1491" s="39"/>
      <c r="N1491" s="536" t="s">
        <v>2306</v>
      </c>
    </row>
    <row r="1492" spans="1:14" s="544" customFormat="1" ht="16.5" customHeight="1">
      <c r="A1492" s="16"/>
      <c r="B1492" s="547"/>
      <c r="C1492" s="548"/>
      <c r="D1492" s="549"/>
      <c r="E1492" s="550"/>
      <c r="F1492" s="551"/>
      <c r="G1492" s="551"/>
      <c r="H1492" s="551"/>
      <c r="I1492" s="552"/>
      <c r="J1492" s="553"/>
      <c r="K1492" s="39"/>
      <c r="L1492" s="208"/>
      <c r="M1492" s="39"/>
      <c r="N1492" s="536" t="s">
        <v>2306</v>
      </c>
    </row>
    <row r="1493" spans="1:14" ht="15.75">
      <c r="A1493" s="16"/>
      <c r="B1493" s="39"/>
      <c r="C1493" s="554"/>
      <c r="D1493" s="555"/>
      <c r="E1493" s="540"/>
      <c r="F1493" s="541"/>
      <c r="G1493" s="40"/>
      <c r="H1493" s="16"/>
      <c r="I1493" s="552"/>
      <c r="J1493" s="553" t="s">
        <v>102</v>
      </c>
      <c r="K1493" s="10">
        <f>data!F1777</f>
        <v>192.01</v>
      </c>
      <c r="L1493" s="208" t="s">
        <v>2306</v>
      </c>
      <c r="M1493" s="9">
        <f>ROUND(I1493*K1493,0)</f>
        <v>0</v>
      </c>
      <c r="N1493" s="536" t="s">
        <v>2306</v>
      </c>
    </row>
    <row r="1494" spans="1:14" ht="94.5" customHeight="1">
      <c r="A1494" s="16">
        <v>21</v>
      </c>
      <c r="B1494" s="1858" t="s">
        <v>1168</v>
      </c>
      <c r="C1494" s="1858"/>
      <c r="D1494" s="1858"/>
      <c r="E1494" s="1858"/>
      <c r="F1494" s="1858"/>
      <c r="G1494" s="1858"/>
      <c r="H1494" s="1858"/>
      <c r="I1494" s="537"/>
      <c r="J1494" s="538"/>
      <c r="K1494" s="16"/>
      <c r="L1494" s="208"/>
      <c r="M1494" s="38"/>
      <c r="N1494" s="536" t="s">
        <v>2317</v>
      </c>
    </row>
    <row r="1495" spans="1:14" s="544" customFormat="1" ht="15.75">
      <c r="A1495" s="16"/>
      <c r="B1495" s="39" t="s">
        <v>2872</v>
      </c>
      <c r="C1495" s="537"/>
      <c r="D1495" s="539"/>
      <c r="E1495" s="540"/>
      <c r="F1495" s="541"/>
      <c r="G1495" s="541"/>
      <c r="H1495" s="541"/>
      <c r="I1495" s="542"/>
      <c r="J1495" s="553"/>
      <c r="K1495" s="39"/>
      <c r="L1495" s="208"/>
      <c r="M1495" s="39"/>
      <c r="N1495" s="536" t="s">
        <v>2317</v>
      </c>
    </row>
    <row r="1496" spans="1:14" s="544" customFormat="1" ht="15.75">
      <c r="A1496" s="16"/>
      <c r="B1496" s="39" t="s">
        <v>2167</v>
      </c>
      <c r="C1496" s="537">
        <v>1</v>
      </c>
      <c r="D1496" s="539" t="s">
        <v>273</v>
      </c>
      <c r="E1496" s="540">
        <v>1</v>
      </c>
      <c r="F1496" s="541">
        <v>12.48</v>
      </c>
      <c r="G1496" s="541">
        <v>0</v>
      </c>
      <c r="H1496" s="541">
        <v>3.12</v>
      </c>
      <c r="I1496" s="545">
        <f>ROUND(IF(AND(F1496:H1496),C1496*E1496*F1496*G1496*H1496,IF(AND(F1496,G1496),C1496*E1496*F1496*G1496,IF(AND(F1496,H1496),C1496*E1496*F1496*H1496,IF(AND(G1496,H1496),C1496*E1496*G1496*H1496,IF(F1496,C1496*E1496*F1496,IF(G1496,C1496*E1496*G1496,IF(H1496,C1496*E1496*H1496,C1496*E1496))))))),2)</f>
        <v>38.94</v>
      </c>
      <c r="J1496" s="553" t="s">
        <v>102</v>
      </c>
      <c r="K1496" s="39"/>
      <c r="L1496" s="208"/>
      <c r="M1496" s="39"/>
      <c r="N1496" s="536" t="s">
        <v>2317</v>
      </c>
    </row>
    <row r="1497" spans="1:14" s="544" customFormat="1" ht="15.75">
      <c r="A1497" s="16"/>
      <c r="B1497" s="39" t="s">
        <v>1547</v>
      </c>
      <c r="C1497" s="537">
        <v>1</v>
      </c>
      <c r="D1497" s="539" t="s">
        <v>273</v>
      </c>
      <c r="E1497" s="540">
        <v>1</v>
      </c>
      <c r="F1497" s="541">
        <v>8.92</v>
      </c>
      <c r="G1497" s="541">
        <v>0</v>
      </c>
      <c r="H1497" s="541">
        <v>3.12</v>
      </c>
      <c r="I1497" s="545">
        <f>ROUND(IF(AND(F1497:H1497),C1497*E1497*F1497*G1497*H1497,IF(AND(F1497,G1497),C1497*E1497*F1497*G1497,IF(AND(F1497,H1497),C1497*E1497*F1497*H1497,IF(AND(G1497,H1497),C1497*E1497*G1497*H1497,IF(F1497,C1497*E1497*F1497,IF(G1497,C1497*E1497*G1497,IF(H1497,C1497*E1497*H1497,C1497*E1497))))))),2)</f>
        <v>27.83</v>
      </c>
      <c r="J1497" s="553" t="s">
        <v>102</v>
      </c>
      <c r="K1497" s="39"/>
      <c r="L1497" s="208"/>
      <c r="M1497" s="39"/>
      <c r="N1497" s="536" t="s">
        <v>2317</v>
      </c>
    </row>
    <row r="1498" spans="1:14" s="544" customFormat="1" ht="16.5" customHeight="1">
      <c r="A1498" s="16"/>
      <c r="B1498" s="39"/>
      <c r="C1498" s="537">
        <v>1</v>
      </c>
      <c r="D1498" s="539" t="s">
        <v>273</v>
      </c>
      <c r="E1498" s="540">
        <v>1</v>
      </c>
      <c r="F1498" s="541">
        <v>4.4000000000000004</v>
      </c>
      <c r="G1498" s="541">
        <v>0.88</v>
      </c>
      <c r="H1498" s="541">
        <v>0</v>
      </c>
      <c r="I1498" s="579">
        <f>ROUND(IF(AND(F1498:H1498),C1498*E1498*F1498*G1498*H1498,IF(AND(F1498,G1498),C1498*E1498*F1498*G1498,IF(AND(F1498,H1498),C1498*E1498*F1498*H1498,IF(AND(G1498,H1498),C1498*E1498*G1498*H1498,IF(F1498,C1498*E1498*F1498,IF(G1498,C1498*E1498*G1498,IF(H1498,C1498*E1498*H1498,C1498*E1498))))))),2)</f>
        <v>3.87</v>
      </c>
      <c r="J1498" s="553" t="s">
        <v>102</v>
      </c>
      <c r="K1498" s="39"/>
      <c r="L1498" s="208"/>
      <c r="M1498" s="39"/>
      <c r="N1498" s="536" t="s">
        <v>2317</v>
      </c>
    </row>
    <row r="1499" spans="1:14" s="544" customFormat="1" ht="16.5" customHeight="1">
      <c r="A1499" s="16"/>
      <c r="B1499" s="547"/>
      <c r="C1499" s="548"/>
      <c r="D1499" s="549"/>
      <c r="E1499" s="550"/>
      <c r="F1499" s="551"/>
      <c r="G1499" s="551"/>
      <c r="H1499" s="551"/>
      <c r="I1499" s="552"/>
      <c r="J1499" s="553"/>
      <c r="K1499" s="39"/>
      <c r="L1499" s="208"/>
      <c r="M1499" s="39"/>
      <c r="N1499" s="536" t="s">
        <v>2317</v>
      </c>
    </row>
    <row r="1500" spans="1:14" ht="15.75">
      <c r="A1500" s="16"/>
      <c r="B1500" s="39"/>
      <c r="C1500" s="554"/>
      <c r="D1500" s="555"/>
      <c r="E1500" s="540"/>
      <c r="F1500" s="541"/>
      <c r="G1500" s="40"/>
      <c r="H1500" s="16"/>
      <c r="I1500" s="552"/>
      <c r="J1500" s="553" t="s">
        <v>102</v>
      </c>
      <c r="K1500" s="10">
        <f>data!F2694</f>
        <v>201.51</v>
      </c>
      <c r="L1500" s="208" t="s">
        <v>2317</v>
      </c>
      <c r="M1500" s="9">
        <f>ROUND(I1500*K1500,0)</f>
        <v>0</v>
      </c>
      <c r="N1500" s="536" t="s">
        <v>2317</v>
      </c>
    </row>
    <row r="1501" spans="1:14" ht="94.5" customHeight="1">
      <c r="A1501" s="16">
        <v>16</v>
      </c>
      <c r="B1501" s="1858" t="s">
        <v>1168</v>
      </c>
      <c r="C1501" s="1858"/>
      <c r="D1501" s="1858"/>
      <c r="E1501" s="1858"/>
      <c r="F1501" s="1858"/>
      <c r="G1501" s="1858"/>
      <c r="H1501" s="1858"/>
      <c r="I1501" s="537"/>
      <c r="J1501" s="538"/>
      <c r="K1501" s="16"/>
      <c r="L1501" s="208"/>
      <c r="M1501" s="38"/>
      <c r="N1501" s="536" t="s">
        <v>2318</v>
      </c>
    </row>
    <row r="1502" spans="1:14" s="544" customFormat="1" ht="15.75">
      <c r="A1502" s="16"/>
      <c r="B1502" s="39" t="s">
        <v>3097</v>
      </c>
      <c r="C1502" s="537"/>
      <c r="D1502" s="1145" t="s">
        <v>3337</v>
      </c>
      <c r="E1502" s="540"/>
      <c r="F1502" s="541"/>
      <c r="G1502" s="541"/>
      <c r="H1502" s="541"/>
      <c r="I1502" s="542"/>
      <c r="J1502" s="553"/>
      <c r="K1502" s="39"/>
      <c r="L1502" s="208"/>
      <c r="M1502" s="39"/>
      <c r="N1502" s="536" t="s">
        <v>2318</v>
      </c>
    </row>
    <row r="1503" spans="1:14" s="544" customFormat="1" ht="15.75">
      <c r="A1503" s="16"/>
      <c r="B1503" s="39" t="s">
        <v>813</v>
      </c>
      <c r="C1503" s="537">
        <v>1</v>
      </c>
      <c r="D1503" s="539" t="s">
        <v>273</v>
      </c>
      <c r="E1503" s="540">
        <v>1</v>
      </c>
      <c r="F1503" s="541">
        <v>5.45</v>
      </c>
      <c r="G1503" s="541">
        <v>0.6</v>
      </c>
      <c r="H1503" s="541">
        <v>0</v>
      </c>
      <c r="I1503" s="545">
        <f t="shared" ref="I1503:I1508" si="143">ROUND(IF(AND(F1503:H1503),C1503*E1503*F1503*G1503*H1503,IF(AND(F1503,G1503),C1503*E1503*F1503*G1503,IF(AND(F1503,H1503),C1503*E1503*F1503*H1503,IF(AND(G1503,H1503),C1503*E1503*G1503*H1503,IF(F1503,C1503*E1503*F1503,IF(G1503,C1503*E1503*G1503,IF(H1503,C1503*E1503*H1503,C1503*E1503))))))),2)</f>
        <v>3.27</v>
      </c>
      <c r="J1503" s="553" t="s">
        <v>102</v>
      </c>
      <c r="K1503" s="39"/>
      <c r="L1503" s="208"/>
      <c r="M1503" s="39"/>
      <c r="N1503" s="536" t="s">
        <v>2318</v>
      </c>
    </row>
    <row r="1504" spans="1:14" s="544" customFormat="1" ht="15.75">
      <c r="A1504" s="16"/>
      <c r="B1504" s="39" t="s">
        <v>3171</v>
      </c>
      <c r="C1504" s="537">
        <v>1</v>
      </c>
      <c r="D1504" s="539" t="s">
        <v>273</v>
      </c>
      <c r="E1504" s="540">
        <v>1</v>
      </c>
      <c r="F1504" s="541">
        <v>8.8000000000000007</v>
      </c>
      <c r="G1504" s="541">
        <v>0.9</v>
      </c>
      <c r="H1504" s="541">
        <v>0</v>
      </c>
      <c r="I1504" s="545">
        <f t="shared" si="143"/>
        <v>7.92</v>
      </c>
      <c r="J1504" s="553" t="s">
        <v>102</v>
      </c>
      <c r="K1504" s="39"/>
      <c r="L1504" s="208"/>
      <c r="M1504" s="39"/>
      <c r="N1504" s="536" t="s">
        <v>2318</v>
      </c>
    </row>
    <row r="1505" spans="1:15" s="544" customFormat="1" ht="15.75">
      <c r="A1505" s="16"/>
      <c r="B1505" s="39" t="s">
        <v>2989</v>
      </c>
      <c r="C1505" s="537">
        <v>1</v>
      </c>
      <c r="D1505" s="539" t="s">
        <v>273</v>
      </c>
      <c r="E1505" s="540">
        <v>1</v>
      </c>
      <c r="F1505" s="541">
        <v>12</v>
      </c>
      <c r="G1505" s="541">
        <v>0</v>
      </c>
      <c r="H1505" s="541">
        <v>0.3</v>
      </c>
      <c r="I1505" s="545">
        <f t="shared" si="143"/>
        <v>3.6</v>
      </c>
      <c r="J1505" s="553" t="s">
        <v>102</v>
      </c>
      <c r="K1505" s="39"/>
      <c r="L1505" s="208"/>
      <c r="M1505" s="39"/>
      <c r="N1505" s="536" t="s">
        <v>2318</v>
      </c>
    </row>
    <row r="1506" spans="1:15" s="544" customFormat="1" ht="15.75">
      <c r="A1506" s="16"/>
      <c r="B1506" s="39"/>
      <c r="C1506" s="537">
        <v>1</v>
      </c>
      <c r="D1506" s="539" t="s">
        <v>273</v>
      </c>
      <c r="E1506" s="540">
        <v>1</v>
      </c>
      <c r="F1506" s="541">
        <v>9.25</v>
      </c>
      <c r="G1506" s="541">
        <v>0.3</v>
      </c>
      <c r="H1506" s="541">
        <v>0</v>
      </c>
      <c r="I1506" s="545">
        <f t="shared" si="143"/>
        <v>2.78</v>
      </c>
      <c r="J1506" s="553" t="s">
        <v>102</v>
      </c>
      <c r="K1506" s="39"/>
      <c r="L1506" s="208"/>
      <c r="M1506" s="39"/>
      <c r="N1506" s="536" t="s">
        <v>2318</v>
      </c>
    </row>
    <row r="1507" spans="1:15" s="544" customFormat="1" ht="15.75">
      <c r="A1507" s="16"/>
      <c r="B1507" s="39" t="s">
        <v>3205</v>
      </c>
      <c r="C1507" s="537">
        <v>1</v>
      </c>
      <c r="D1507" s="539" t="s">
        <v>273</v>
      </c>
      <c r="E1507" s="540">
        <v>6</v>
      </c>
      <c r="F1507" s="541">
        <v>1.8</v>
      </c>
      <c r="G1507" s="541">
        <v>0.6</v>
      </c>
      <c r="H1507" s="541">
        <v>0</v>
      </c>
      <c r="I1507" s="545">
        <f t="shared" si="143"/>
        <v>6.48</v>
      </c>
      <c r="J1507" s="553" t="s">
        <v>102</v>
      </c>
      <c r="K1507" s="39"/>
      <c r="L1507" s="208"/>
      <c r="M1507" s="39"/>
      <c r="N1507" s="536" t="s">
        <v>2318</v>
      </c>
    </row>
    <row r="1508" spans="1:15" s="544" customFormat="1" ht="15.75">
      <c r="A1508" s="16"/>
      <c r="B1508" s="39"/>
      <c r="C1508" s="537">
        <v>1</v>
      </c>
      <c r="D1508" s="539" t="s">
        <v>273</v>
      </c>
      <c r="E1508" s="540">
        <v>1</v>
      </c>
      <c r="F1508" s="541">
        <v>5.2</v>
      </c>
      <c r="G1508" s="541">
        <v>0.6</v>
      </c>
      <c r="H1508" s="541">
        <v>0</v>
      </c>
      <c r="I1508" s="545">
        <f t="shared" si="143"/>
        <v>3.12</v>
      </c>
      <c r="J1508" s="553" t="s">
        <v>102</v>
      </c>
      <c r="K1508" s="39"/>
      <c r="L1508" s="208"/>
      <c r="M1508" s="39"/>
      <c r="N1508" s="536" t="s">
        <v>2318</v>
      </c>
    </row>
    <row r="1509" spans="1:15" s="544" customFormat="1" ht="15.75">
      <c r="A1509" s="16"/>
      <c r="B1509" s="39" t="s">
        <v>3115</v>
      </c>
      <c r="C1509" s="537"/>
      <c r="D1509" s="1145" t="s">
        <v>3337</v>
      </c>
      <c r="E1509" s="540"/>
      <c r="F1509" s="541"/>
      <c r="G1509" s="541"/>
      <c r="H1509" s="541"/>
      <c r="I1509" s="542"/>
      <c r="J1509" s="553"/>
      <c r="K1509" s="39"/>
      <c r="L1509" s="208"/>
      <c r="M1509" s="39"/>
      <c r="N1509" s="536" t="s">
        <v>2318</v>
      </c>
    </row>
    <row r="1510" spans="1:15" s="544" customFormat="1" ht="15.75">
      <c r="A1510" s="16"/>
      <c r="B1510" s="39" t="s">
        <v>3182</v>
      </c>
      <c r="C1510" s="537">
        <v>1</v>
      </c>
      <c r="D1510" s="539" t="s">
        <v>273</v>
      </c>
      <c r="E1510" s="540">
        <v>2</v>
      </c>
      <c r="F1510" s="541">
        <v>12.47</v>
      </c>
      <c r="G1510" s="541">
        <v>0</v>
      </c>
      <c r="H1510" s="541">
        <v>3.2</v>
      </c>
      <c r="I1510" s="545">
        <f t="shared" ref="I1510:I1512" si="144">ROUND(IF(AND(F1510:H1510),C1510*E1510*F1510*G1510*H1510,IF(AND(F1510,G1510),C1510*E1510*F1510*G1510,IF(AND(F1510,H1510),C1510*E1510*F1510*H1510,IF(AND(G1510,H1510),C1510*E1510*G1510*H1510,IF(F1510,C1510*E1510*F1510,IF(G1510,C1510*E1510*G1510,IF(H1510,C1510*E1510*H1510,C1510*E1510))))))),2)</f>
        <v>79.81</v>
      </c>
      <c r="J1510" s="553" t="s">
        <v>102</v>
      </c>
      <c r="K1510" s="39"/>
      <c r="L1510" s="208"/>
      <c r="M1510" s="39"/>
      <c r="N1510" s="536" t="s">
        <v>2318</v>
      </c>
    </row>
    <row r="1511" spans="1:15" s="544" customFormat="1" ht="15.75">
      <c r="A1511" s="16"/>
      <c r="B1511" s="39" t="s">
        <v>3206</v>
      </c>
      <c r="C1511" s="537">
        <v>1</v>
      </c>
      <c r="D1511" s="539" t="s">
        <v>273</v>
      </c>
      <c r="E1511" s="540">
        <v>2</v>
      </c>
      <c r="F1511" s="541">
        <v>8.84</v>
      </c>
      <c r="G1511" s="541">
        <v>0</v>
      </c>
      <c r="H1511" s="541">
        <v>3.2</v>
      </c>
      <c r="I1511" s="545">
        <f t="shared" si="144"/>
        <v>56.58</v>
      </c>
      <c r="J1511" s="553" t="s">
        <v>102</v>
      </c>
      <c r="K1511" s="39"/>
      <c r="L1511" s="208"/>
      <c r="M1511" s="39"/>
      <c r="N1511" s="536" t="s">
        <v>2318</v>
      </c>
    </row>
    <row r="1512" spans="1:15" s="544" customFormat="1" ht="15.75">
      <c r="A1512" s="16"/>
      <c r="B1512" s="39" t="s">
        <v>1492</v>
      </c>
      <c r="C1512" s="537">
        <v>1</v>
      </c>
      <c r="D1512" s="539" t="s">
        <v>273</v>
      </c>
      <c r="E1512" s="540">
        <v>1</v>
      </c>
      <c r="F1512" s="541">
        <v>10.27</v>
      </c>
      <c r="G1512" s="541">
        <v>0</v>
      </c>
      <c r="H1512" s="541">
        <v>1.9</v>
      </c>
      <c r="I1512" s="545">
        <f t="shared" si="144"/>
        <v>19.510000000000002</v>
      </c>
      <c r="J1512" s="553" t="s">
        <v>102</v>
      </c>
      <c r="K1512" s="39"/>
      <c r="L1512" s="208"/>
      <c r="M1512" s="39"/>
      <c r="N1512" s="536" t="s">
        <v>2318</v>
      </c>
    </row>
    <row r="1513" spans="1:15" s="544" customFormat="1" ht="16.5" customHeight="1">
      <c r="A1513" s="16"/>
      <c r="B1513" s="547"/>
      <c r="C1513" s="548"/>
      <c r="D1513" s="549"/>
      <c r="E1513" s="550"/>
      <c r="F1513" s="551"/>
      <c r="G1513" s="551"/>
      <c r="H1513" s="551"/>
      <c r="I1513" s="552"/>
      <c r="J1513" s="553"/>
      <c r="K1513" s="39"/>
      <c r="L1513" s="208"/>
      <c r="M1513" s="39"/>
      <c r="N1513" s="536" t="s">
        <v>2318</v>
      </c>
    </row>
    <row r="1514" spans="1:15" ht="15.75">
      <c r="A1514" s="16"/>
      <c r="B1514" s="39"/>
      <c r="C1514" s="554"/>
      <c r="D1514" s="555"/>
      <c r="E1514" s="540"/>
      <c r="F1514" s="541"/>
      <c r="G1514" s="40"/>
      <c r="H1514" s="16"/>
      <c r="I1514" s="552"/>
      <c r="J1514" s="553" t="s">
        <v>102</v>
      </c>
      <c r="K1514" s="10">
        <f>data!F3611</f>
        <v>217.22</v>
      </c>
      <c r="L1514" s="208" t="s">
        <v>2318</v>
      </c>
      <c r="M1514" s="9">
        <f>ROUND(I1514*K1514,0)</f>
        <v>0</v>
      </c>
      <c r="N1514" s="536" t="s">
        <v>2318</v>
      </c>
    </row>
    <row r="1515" spans="1:15" ht="69.75" customHeight="1">
      <c r="A1515" s="16">
        <v>17</v>
      </c>
      <c r="B1515" s="1858" t="s">
        <v>124</v>
      </c>
      <c r="C1515" s="1858"/>
      <c r="D1515" s="1858"/>
      <c r="E1515" s="1858"/>
      <c r="F1515" s="1858"/>
      <c r="G1515" s="1858"/>
      <c r="H1515" s="1858"/>
      <c r="I1515" s="537"/>
      <c r="J1515" s="538"/>
      <c r="K1515" s="16"/>
      <c r="L1515" s="208"/>
      <c r="M1515" s="38"/>
      <c r="N1515" s="536" t="s">
        <v>2218</v>
      </c>
    </row>
    <row r="1516" spans="1:15" s="544" customFormat="1" ht="16.5" customHeight="1">
      <c r="A1516" s="16"/>
      <c r="B1516" s="39" t="s">
        <v>3116</v>
      </c>
      <c r="C1516" s="566" t="s">
        <v>1435</v>
      </c>
      <c r="D1516" s="567"/>
      <c r="E1516" s="568"/>
      <c r="F1516" s="569"/>
      <c r="G1516" s="1145" t="s">
        <v>3341</v>
      </c>
      <c r="H1516" s="570"/>
      <c r="I1516" s="571">
        <v>636.91</v>
      </c>
      <c r="J1516" s="553" t="s">
        <v>141</v>
      </c>
      <c r="K1516" s="39"/>
      <c r="L1516" s="208"/>
      <c r="M1516" s="39"/>
      <c r="N1516" s="536" t="s">
        <v>2218</v>
      </c>
      <c r="O1516" s="449"/>
    </row>
    <row r="1517" spans="1:15" s="544" customFormat="1" ht="16.5" customHeight="1">
      <c r="A1517" s="16"/>
      <c r="B1517" s="39" t="s">
        <v>3117</v>
      </c>
      <c r="C1517" s="566" t="s">
        <v>3098</v>
      </c>
      <c r="D1517" s="567"/>
      <c r="E1517" s="568"/>
      <c r="F1517" s="569"/>
      <c r="G1517" s="1145" t="s">
        <v>3342</v>
      </c>
      <c r="H1517" s="570"/>
      <c r="I1517" s="571">
        <v>179.21</v>
      </c>
      <c r="J1517" s="553" t="s">
        <v>141</v>
      </c>
      <c r="K1517" s="39"/>
      <c r="L1517" s="208"/>
      <c r="M1517" s="39"/>
      <c r="N1517" s="536" t="s">
        <v>2218</v>
      </c>
      <c r="O1517" s="449"/>
    </row>
    <row r="1518" spans="1:15" s="544" customFormat="1" ht="16.5" customHeight="1">
      <c r="A1518" s="16"/>
      <c r="B1518" s="39" t="s">
        <v>3118</v>
      </c>
      <c r="C1518" s="566" t="s">
        <v>1626</v>
      </c>
      <c r="D1518" s="567"/>
      <c r="E1518" s="568"/>
      <c r="F1518" s="569"/>
      <c r="G1518" s="1145" t="s">
        <v>3343</v>
      </c>
      <c r="H1518" s="570"/>
      <c r="I1518" s="571">
        <v>1622.01</v>
      </c>
      <c r="J1518" s="553" t="s">
        <v>141</v>
      </c>
      <c r="K1518" s="39"/>
      <c r="L1518" s="208"/>
      <c r="M1518" s="39"/>
      <c r="N1518" s="536" t="s">
        <v>2218</v>
      </c>
      <c r="O1518" s="449"/>
    </row>
    <row r="1519" spans="1:15" s="544" customFormat="1" ht="16.5" customHeight="1">
      <c r="A1519" s="16"/>
      <c r="B1519" s="39" t="s">
        <v>3119</v>
      </c>
      <c r="C1519" s="566" t="s">
        <v>866</v>
      </c>
      <c r="D1519" s="567"/>
      <c r="E1519" s="568"/>
      <c r="F1519" s="569"/>
      <c r="G1519" s="1145" t="s">
        <v>3349</v>
      </c>
      <c r="H1519" s="570"/>
      <c r="I1519" s="571">
        <v>231.15</v>
      </c>
      <c r="J1519" s="553" t="s">
        <v>141</v>
      </c>
      <c r="K1519" s="39"/>
      <c r="L1519" s="208"/>
      <c r="M1519" s="39"/>
      <c r="N1519" s="536" t="s">
        <v>2218</v>
      </c>
      <c r="O1519" s="610"/>
    </row>
    <row r="1520" spans="1:15" s="544" customFormat="1" ht="16.5" customHeight="1">
      <c r="A1520" s="16"/>
      <c r="B1520" s="39"/>
      <c r="C1520" s="566"/>
      <c r="D1520" s="567"/>
      <c r="E1520" s="568"/>
      <c r="F1520" s="569"/>
      <c r="G1520" s="569"/>
      <c r="H1520" s="570"/>
      <c r="I1520" s="571"/>
      <c r="J1520" s="553"/>
      <c r="K1520" s="39"/>
      <c r="L1520" s="208"/>
      <c r="M1520" s="39"/>
      <c r="N1520" s="536" t="s">
        <v>2218</v>
      </c>
      <c r="O1520" s="591"/>
    </row>
    <row r="1521" spans="1:15" s="544" customFormat="1" ht="16.5" customHeight="1">
      <c r="A1521" s="16"/>
      <c r="B1521" s="39"/>
      <c r="C1521" s="566"/>
      <c r="D1521" s="567"/>
      <c r="E1521" s="568"/>
      <c r="F1521" s="569"/>
      <c r="G1521" s="569"/>
      <c r="H1521" s="570"/>
      <c r="I1521" s="571">
        <f>SUM(I1516:I1520)</f>
        <v>2669.28</v>
      </c>
      <c r="J1521" s="553" t="s">
        <v>141</v>
      </c>
      <c r="K1521" s="39"/>
      <c r="L1521" s="208"/>
      <c r="M1521" s="39"/>
      <c r="N1521" s="536" t="s">
        <v>2218</v>
      </c>
    </row>
    <row r="1522" spans="1:15" ht="15.75">
      <c r="A1522" s="16"/>
      <c r="B1522" s="39"/>
      <c r="C1522" s="554"/>
      <c r="D1522" s="555"/>
      <c r="E1522" s="540"/>
      <c r="F1522" s="541"/>
      <c r="G1522" s="40"/>
      <c r="H1522" s="16" t="s">
        <v>902</v>
      </c>
      <c r="I1522" s="552"/>
      <c r="J1522" s="553" t="s">
        <v>29</v>
      </c>
      <c r="K1522" s="10">
        <f>data!F286</f>
        <v>63243.5</v>
      </c>
      <c r="L1522" s="208" t="s">
        <v>2218</v>
      </c>
      <c r="M1522" s="9">
        <f>ROUND(I1522*K1522,0)</f>
        <v>0</v>
      </c>
      <c r="N1522" s="536" t="s">
        <v>2218</v>
      </c>
    </row>
    <row r="1523" spans="1:15" ht="69.75" customHeight="1">
      <c r="A1523" s="16">
        <v>22</v>
      </c>
      <c r="B1523" s="1858" t="s">
        <v>124</v>
      </c>
      <c r="C1523" s="1858"/>
      <c r="D1523" s="1858"/>
      <c r="E1523" s="1858"/>
      <c r="F1523" s="1858"/>
      <c r="G1523" s="1858"/>
      <c r="H1523" s="1858"/>
      <c r="I1523" s="537"/>
      <c r="J1523" s="538"/>
      <c r="K1523" s="16"/>
      <c r="L1523" s="208"/>
      <c r="M1523" s="38"/>
      <c r="N1523" s="536" t="s">
        <v>2306</v>
      </c>
    </row>
    <row r="1524" spans="1:15" s="544" customFormat="1" ht="16.5" customHeight="1">
      <c r="A1524" s="16"/>
      <c r="B1524" s="39" t="s">
        <v>2874</v>
      </c>
      <c r="C1524" s="448" t="s">
        <v>866</v>
      </c>
      <c r="D1524" s="567"/>
      <c r="E1524" s="568"/>
      <c r="F1524" s="569"/>
      <c r="G1524" s="569"/>
      <c r="H1524" s="570"/>
      <c r="I1524" s="571">
        <v>303.63</v>
      </c>
      <c r="J1524" s="553" t="s">
        <v>141</v>
      </c>
      <c r="K1524" s="39"/>
      <c r="L1524" s="208"/>
      <c r="M1524" s="39"/>
      <c r="N1524" s="536" t="s">
        <v>2306</v>
      </c>
      <c r="O1524" s="610"/>
    </row>
    <row r="1525" spans="1:15" s="544" customFormat="1" ht="16.5" customHeight="1">
      <c r="A1525" s="16"/>
      <c r="B1525" s="39"/>
      <c r="C1525" s="949"/>
      <c r="D1525" s="567"/>
      <c r="E1525" s="568"/>
      <c r="F1525" s="569"/>
      <c r="G1525" s="569"/>
      <c r="H1525" s="570"/>
      <c r="I1525" s="571"/>
      <c r="J1525" s="553"/>
      <c r="K1525" s="39"/>
      <c r="L1525" s="208"/>
      <c r="M1525" s="39"/>
      <c r="N1525" s="536"/>
      <c r="O1525" s="591"/>
    </row>
    <row r="1526" spans="1:15" s="544" customFormat="1" ht="16.5" customHeight="1">
      <c r="A1526" s="16"/>
      <c r="B1526" s="39"/>
      <c r="C1526" s="566"/>
      <c r="D1526" s="567"/>
      <c r="E1526" s="568"/>
      <c r="F1526" s="569"/>
      <c r="G1526" s="569"/>
      <c r="H1526" s="570"/>
      <c r="I1526" s="571">
        <f>SUM(I1524:I1525)</f>
        <v>303.63</v>
      </c>
      <c r="J1526" s="553" t="s">
        <v>141</v>
      </c>
      <c r="K1526" s="39"/>
      <c r="L1526" s="208"/>
      <c r="M1526" s="39"/>
      <c r="N1526" s="536" t="s">
        <v>2306</v>
      </c>
    </row>
    <row r="1527" spans="1:15" ht="15.75">
      <c r="A1527" s="16"/>
      <c r="B1527" s="39"/>
      <c r="C1527" s="554"/>
      <c r="D1527" s="555"/>
      <c r="E1527" s="540"/>
      <c r="F1527" s="541"/>
      <c r="G1527" s="40"/>
      <c r="H1527" s="16" t="s">
        <v>902</v>
      </c>
      <c r="I1527" s="552"/>
      <c r="J1527" s="553" t="s">
        <v>29</v>
      </c>
      <c r="K1527" s="10">
        <f>data!F1202</f>
        <v>63510</v>
      </c>
      <c r="L1527" s="208" t="s">
        <v>2306</v>
      </c>
      <c r="M1527" s="9">
        <f>ROUND(I1527*K1527,0)</f>
        <v>0</v>
      </c>
      <c r="N1527" s="536" t="s">
        <v>2306</v>
      </c>
    </row>
    <row r="1528" spans="1:15" ht="69.75" customHeight="1">
      <c r="A1528" s="16">
        <v>22</v>
      </c>
      <c r="B1528" s="1858" t="s">
        <v>124</v>
      </c>
      <c r="C1528" s="1858"/>
      <c r="D1528" s="1858"/>
      <c r="E1528" s="1858"/>
      <c r="F1528" s="1858"/>
      <c r="G1528" s="1858"/>
      <c r="H1528" s="1858"/>
      <c r="I1528" s="537"/>
      <c r="J1528" s="538"/>
      <c r="K1528" s="16"/>
      <c r="L1528" s="208"/>
      <c r="M1528" s="38"/>
      <c r="N1528" s="536" t="s">
        <v>2317</v>
      </c>
    </row>
    <row r="1529" spans="1:15" s="544" customFormat="1" ht="16.5" customHeight="1">
      <c r="A1529" s="16"/>
      <c r="B1529" s="39" t="s">
        <v>3116</v>
      </c>
      <c r="C1529" s="566" t="s">
        <v>1435</v>
      </c>
      <c r="D1529" s="567"/>
      <c r="E1529" s="568"/>
      <c r="F1529" s="569"/>
      <c r="G1529" s="569"/>
      <c r="H1529" s="570"/>
      <c r="I1529" s="571">
        <v>636.91</v>
      </c>
      <c r="J1529" s="553" t="s">
        <v>141</v>
      </c>
      <c r="K1529" s="39"/>
      <c r="L1529" s="208"/>
      <c r="M1529" s="39"/>
      <c r="N1529" s="536" t="s">
        <v>2317</v>
      </c>
      <c r="O1529" s="449"/>
    </row>
    <row r="1530" spans="1:15" s="544" customFormat="1" ht="16.5" customHeight="1">
      <c r="A1530" s="16"/>
      <c r="B1530" s="39" t="s">
        <v>3117</v>
      </c>
      <c r="C1530" s="566" t="s">
        <v>3098</v>
      </c>
      <c r="D1530" s="567"/>
      <c r="E1530" s="568"/>
      <c r="F1530" s="569"/>
      <c r="G1530" s="569"/>
      <c r="H1530" s="570"/>
      <c r="I1530" s="571">
        <v>179.21</v>
      </c>
      <c r="J1530" s="553" t="s">
        <v>141</v>
      </c>
      <c r="K1530" s="39"/>
      <c r="L1530" s="208"/>
      <c r="M1530" s="39"/>
      <c r="N1530" s="536" t="s">
        <v>2317</v>
      </c>
      <c r="O1530" s="449"/>
    </row>
    <row r="1531" spans="1:15" s="544" customFormat="1" ht="16.5" customHeight="1">
      <c r="A1531" s="16"/>
      <c r="B1531" s="39" t="s">
        <v>3118</v>
      </c>
      <c r="C1531" s="566" t="s">
        <v>1626</v>
      </c>
      <c r="D1531" s="567"/>
      <c r="E1531" s="568"/>
      <c r="F1531" s="569"/>
      <c r="G1531" s="569"/>
      <c r="H1531" s="570"/>
      <c r="I1531" s="571">
        <v>1622.01</v>
      </c>
      <c r="J1531" s="553" t="s">
        <v>141</v>
      </c>
      <c r="K1531" s="39"/>
      <c r="L1531" s="208"/>
      <c r="M1531" s="39"/>
      <c r="N1531" s="536" t="s">
        <v>2317</v>
      </c>
      <c r="O1531" s="449"/>
    </row>
    <row r="1532" spans="1:15" s="544" customFormat="1" ht="16.5" customHeight="1">
      <c r="A1532" s="16"/>
      <c r="B1532" s="39" t="s">
        <v>3119</v>
      </c>
      <c r="C1532" s="566" t="s">
        <v>866</v>
      </c>
      <c r="D1532" s="567"/>
      <c r="E1532" s="568"/>
      <c r="F1532" s="569"/>
      <c r="G1532" s="569"/>
      <c r="H1532" s="570"/>
      <c r="I1532" s="571">
        <v>231.15</v>
      </c>
      <c r="J1532" s="553" t="s">
        <v>141</v>
      </c>
      <c r="K1532" s="39"/>
      <c r="L1532" s="208"/>
      <c r="M1532" s="39"/>
      <c r="N1532" s="536" t="s">
        <v>2317</v>
      </c>
      <c r="O1532" s="449"/>
    </row>
    <row r="1533" spans="1:15" s="544" customFormat="1" ht="16.5" customHeight="1">
      <c r="A1533" s="16"/>
      <c r="B1533" s="39"/>
      <c r="C1533" s="609"/>
      <c r="D1533" s="567"/>
      <c r="E1533" s="568"/>
      <c r="F1533" s="569"/>
      <c r="G1533" s="569"/>
      <c r="H1533" s="570"/>
      <c r="I1533" s="571"/>
      <c r="J1533" s="553"/>
      <c r="K1533" s="39"/>
      <c r="L1533" s="208"/>
      <c r="M1533" s="39"/>
      <c r="N1533" s="536" t="s">
        <v>2317</v>
      </c>
      <c r="O1533" s="610"/>
    </row>
    <row r="1534" spans="1:15" s="544" customFormat="1" ht="16.5" customHeight="1">
      <c r="A1534" s="16"/>
      <c r="B1534" s="39"/>
      <c r="C1534" s="566"/>
      <c r="D1534" s="567"/>
      <c r="E1534" s="568"/>
      <c r="F1534" s="569"/>
      <c r="G1534" s="569"/>
      <c r="H1534" s="570"/>
      <c r="I1534" s="571"/>
      <c r="J1534" s="553" t="s">
        <v>141</v>
      </c>
      <c r="K1534" s="39"/>
      <c r="L1534" s="208"/>
      <c r="M1534" s="39"/>
      <c r="N1534" s="536" t="s">
        <v>2317</v>
      </c>
    </row>
    <row r="1535" spans="1:15" ht="15.75">
      <c r="A1535" s="16"/>
      <c r="B1535" s="39"/>
      <c r="C1535" s="554"/>
      <c r="D1535" s="555"/>
      <c r="E1535" s="540"/>
      <c r="F1535" s="541"/>
      <c r="G1535" s="40"/>
      <c r="H1535" s="16" t="s">
        <v>902</v>
      </c>
      <c r="I1535" s="552">
        <f>ROUND(I1534/1000,2)</f>
        <v>0</v>
      </c>
      <c r="J1535" s="553" t="s">
        <v>29</v>
      </c>
      <c r="K1535" s="10">
        <f>data!F2119</f>
        <v>80999.5</v>
      </c>
      <c r="L1535" s="208" t="s">
        <v>2317</v>
      </c>
      <c r="M1535" s="9">
        <f>ROUND(I1535*K1535,0)</f>
        <v>0</v>
      </c>
      <c r="N1535" s="536" t="s">
        <v>2317</v>
      </c>
    </row>
    <row r="1536" spans="1:15" ht="69.75" customHeight="1">
      <c r="A1536" s="16">
        <v>22</v>
      </c>
      <c r="B1536" s="1858" t="s">
        <v>124</v>
      </c>
      <c r="C1536" s="1858"/>
      <c r="D1536" s="1858"/>
      <c r="E1536" s="1858"/>
      <c r="F1536" s="1858"/>
      <c r="G1536" s="1858"/>
      <c r="H1536" s="1858"/>
      <c r="I1536" s="537"/>
      <c r="J1536" s="538"/>
      <c r="K1536" s="16"/>
      <c r="L1536" s="208"/>
      <c r="M1536" s="38"/>
      <c r="N1536" s="536" t="s">
        <v>2318</v>
      </c>
    </row>
    <row r="1537" spans="1:15" s="544" customFormat="1" ht="16.5" customHeight="1">
      <c r="A1537" s="16"/>
      <c r="B1537" s="39" t="s">
        <v>2898</v>
      </c>
      <c r="C1537" s="608" t="s">
        <v>1560</v>
      </c>
      <c r="D1537" s="567"/>
      <c r="E1537" s="568"/>
      <c r="F1537" s="569"/>
      <c r="G1537" s="569"/>
      <c r="H1537" s="570"/>
      <c r="I1537" s="571"/>
      <c r="J1537" s="553" t="s">
        <v>141</v>
      </c>
      <c r="K1537" s="39"/>
      <c r="L1537" s="208"/>
      <c r="M1537" s="39"/>
      <c r="N1537" s="536" t="s">
        <v>2318</v>
      </c>
      <c r="O1537" s="449"/>
    </row>
    <row r="1538" spans="1:15" s="544" customFormat="1" ht="16.5" customHeight="1">
      <c r="A1538" s="16"/>
      <c r="B1538" s="39" t="s">
        <v>2860</v>
      </c>
      <c r="C1538" s="608" t="s">
        <v>1560</v>
      </c>
      <c r="D1538" s="567"/>
      <c r="E1538" s="568"/>
      <c r="F1538" s="569"/>
      <c r="G1538" s="569"/>
      <c r="H1538" s="570"/>
      <c r="I1538" s="571"/>
      <c r="J1538" s="553" t="s">
        <v>141</v>
      </c>
      <c r="K1538" s="39"/>
      <c r="L1538" s="208"/>
      <c r="M1538" s="39"/>
      <c r="N1538" s="536" t="s">
        <v>2318</v>
      </c>
      <c r="O1538" s="449"/>
    </row>
    <row r="1539" spans="1:15" s="544" customFormat="1" ht="16.5" customHeight="1">
      <c r="A1539" s="16"/>
      <c r="B1539" s="39" t="s">
        <v>2889</v>
      </c>
      <c r="C1539" s="608" t="s">
        <v>1562</v>
      </c>
      <c r="D1539" s="567"/>
      <c r="E1539" s="568"/>
      <c r="F1539" s="569"/>
      <c r="G1539" s="569"/>
      <c r="H1539" s="570"/>
      <c r="I1539" s="571"/>
      <c r="J1539" s="553" t="s">
        <v>141</v>
      </c>
      <c r="K1539" s="39"/>
      <c r="L1539" s="208"/>
      <c r="M1539" s="39"/>
      <c r="N1539" s="536" t="s">
        <v>2318</v>
      </c>
      <c r="O1539" s="449"/>
    </row>
    <row r="1540" spans="1:15" s="544" customFormat="1" ht="16.5" customHeight="1">
      <c r="A1540" s="16"/>
      <c r="B1540" s="39"/>
      <c r="C1540" s="609"/>
      <c r="D1540" s="567"/>
      <c r="E1540" s="568"/>
      <c r="F1540" s="569"/>
      <c r="G1540" s="569"/>
      <c r="H1540" s="570"/>
      <c r="I1540" s="571"/>
      <c r="J1540" s="553"/>
      <c r="K1540" s="39"/>
      <c r="L1540" s="208"/>
      <c r="M1540" s="39"/>
      <c r="N1540" s="536" t="s">
        <v>2318</v>
      </c>
      <c r="O1540" s="610"/>
    </row>
    <row r="1541" spans="1:15" s="544" customFormat="1" ht="16.5" customHeight="1">
      <c r="A1541" s="16"/>
      <c r="B1541" s="39"/>
      <c r="C1541" s="566"/>
      <c r="D1541" s="567"/>
      <c r="E1541" s="568"/>
      <c r="F1541" s="569"/>
      <c r="G1541" s="569"/>
      <c r="H1541" s="570"/>
      <c r="I1541" s="571">
        <f>SUM(I1537:I1540)</f>
        <v>0</v>
      </c>
      <c r="J1541" s="553" t="s">
        <v>141</v>
      </c>
      <c r="K1541" s="39"/>
      <c r="L1541" s="208"/>
      <c r="M1541" s="39"/>
      <c r="N1541" s="536" t="s">
        <v>2318</v>
      </c>
    </row>
    <row r="1542" spans="1:15" ht="15.75">
      <c r="A1542" s="16"/>
      <c r="B1542" s="39"/>
      <c r="C1542" s="554"/>
      <c r="D1542" s="555"/>
      <c r="E1542" s="540"/>
      <c r="F1542" s="541"/>
      <c r="G1542" s="40"/>
      <c r="H1542" s="16" t="s">
        <v>902</v>
      </c>
      <c r="I1542" s="552">
        <f>ROUND(I1541/1000,2)</f>
        <v>0</v>
      </c>
      <c r="J1542" s="553" t="s">
        <v>29</v>
      </c>
      <c r="K1542" s="10">
        <f>data!F3036</f>
        <v>93741</v>
      </c>
      <c r="L1542" s="208" t="s">
        <v>2318</v>
      </c>
      <c r="M1542" s="9">
        <f>ROUND(I1542*K1542,0)</f>
        <v>0</v>
      </c>
      <c r="N1542" s="536" t="s">
        <v>2318</v>
      </c>
    </row>
    <row r="1543" spans="1:15">
      <c r="A1543" s="16"/>
      <c r="B1543" s="39"/>
      <c r="C1543" s="554"/>
      <c r="D1543" s="555"/>
      <c r="E1543" s="540"/>
      <c r="F1543" s="541"/>
      <c r="G1543" s="40"/>
      <c r="H1543" s="16"/>
      <c r="I1543" s="592"/>
      <c r="J1543" s="553"/>
      <c r="K1543" s="10"/>
      <c r="L1543" s="208"/>
      <c r="M1543" s="9"/>
    </row>
    <row r="1544" spans="1:15">
      <c r="A1544" s="16"/>
      <c r="B1544" s="700"/>
      <c r="C1544" s="533"/>
      <c r="D1544" s="948"/>
      <c r="E1544" s="593"/>
      <c r="F1544" s="594"/>
      <c r="G1544" s="594"/>
      <c r="H1544" s="700"/>
      <c r="I1544" s="552"/>
      <c r="J1544" s="595"/>
      <c r="K1544" s="10"/>
      <c r="L1544" s="208"/>
      <c r="M1544" s="596">
        <f>SUM(M8:M1543)</f>
        <v>0</v>
      </c>
      <c r="N1544" s="597"/>
      <c r="O1544" s="597"/>
    </row>
    <row r="1545" spans="1:15">
      <c r="M1545" s="603"/>
    </row>
    <row r="1546" spans="1:15">
      <c r="H1546" s="58"/>
      <c r="I1546" s="58"/>
      <c r="J1546" s="58"/>
      <c r="M1546" s="597"/>
    </row>
    <row r="1547" spans="1:15">
      <c r="H1547" s="58"/>
      <c r="I1547" s="58"/>
      <c r="J1547" s="58"/>
      <c r="M1547" s="597"/>
    </row>
    <row r="1548" spans="1:15">
      <c r="H1548" s="58"/>
      <c r="I1548" s="58"/>
      <c r="J1548" s="58"/>
      <c r="M1548" s="597"/>
    </row>
    <row r="1549" spans="1:15">
      <c r="H1549" s="55" t="str">
        <f>'lead 19-20'!$H$31</f>
        <v>Deputy Executive Engineer</v>
      </c>
      <c r="I1549" s="604"/>
      <c r="J1549" s="604"/>
      <c r="K1549" s="605"/>
      <c r="L1549" s="226" t="str">
        <f>'lead 19-20'!$K$31</f>
        <v>Assistant  Engineer</v>
      </c>
    </row>
    <row r="1550" spans="1:15">
      <c r="H1550" s="55" t="str">
        <f>'lead 19-20'!$H$32</f>
        <v>PRI Sub Division</v>
      </c>
      <c r="I1550" s="604"/>
      <c r="J1550" s="604"/>
      <c r="K1550" s="605"/>
      <c r="L1550" s="226" t="str">
        <f>'lead 19-20'!$K$32</f>
        <v>Mandal Praja parishad</v>
      </c>
    </row>
    <row r="1551" spans="1:15">
      <c r="H1551" s="55" t="str">
        <f>'lead 19-20'!$H$33</f>
        <v>Kanigiri</v>
      </c>
      <c r="I1551" s="12"/>
      <c r="J1551" s="12"/>
      <c r="K1551" s="526"/>
      <c r="L1551" s="226" t="str">
        <f>'lead 19-20'!$K$33</f>
        <v>Kanigiri</v>
      </c>
    </row>
    <row r="1557" spans="3:12" s="601" customFormat="1">
      <c r="C1557" s="58"/>
      <c r="E1557" s="598"/>
      <c r="F1557" s="599"/>
      <c r="G1557" s="600"/>
      <c r="H1557" s="12"/>
      <c r="K1557" s="606"/>
      <c r="L1557" s="602"/>
    </row>
  </sheetData>
  <autoFilter ref="A7:M1543">
    <filterColumn colId="2" showButton="0"/>
    <filterColumn colId="3" showButton="0"/>
  </autoFilter>
  <mergeCells count="161">
    <mergeCell ref="B1536:H1536"/>
    <mergeCell ref="B1501:H1501"/>
    <mergeCell ref="B1494:H1494"/>
    <mergeCell ref="B1528:H1528"/>
    <mergeCell ref="B1269:H1269"/>
    <mergeCell ref="B1335:H1335"/>
    <mergeCell ref="B1345:H1345"/>
    <mergeCell ref="B1421:H1421"/>
    <mergeCell ref="B1430:H1430"/>
    <mergeCell ref="B1303:H1303"/>
    <mergeCell ref="B1379:H1379"/>
    <mergeCell ref="B1462:H1462"/>
    <mergeCell ref="B996:H996"/>
    <mergeCell ref="B1018:H1018"/>
    <mergeCell ref="B1025:H1025"/>
    <mergeCell ref="B1058:H1058"/>
    <mergeCell ref="B1065:H1065"/>
    <mergeCell ref="B919:H919"/>
    <mergeCell ref="B926:H926"/>
    <mergeCell ref="B950:H950"/>
    <mergeCell ref="B957:H957"/>
    <mergeCell ref="B989:H989"/>
    <mergeCell ref="B488:H488"/>
    <mergeCell ref="B591:H591"/>
    <mergeCell ref="B597:H597"/>
    <mergeCell ref="B653:H653"/>
    <mergeCell ref="B660:H660"/>
    <mergeCell ref="B695:H695"/>
    <mergeCell ref="B192:H192"/>
    <mergeCell ref="B198:H198"/>
    <mergeCell ref="B216:H216"/>
    <mergeCell ref="B222:H222"/>
    <mergeCell ref="B260:H260"/>
    <mergeCell ref="B558:H558"/>
    <mergeCell ref="B585:H585"/>
    <mergeCell ref="B579:H579"/>
    <mergeCell ref="B363:H363"/>
    <mergeCell ref="B369:H369"/>
    <mergeCell ref="B436:H436"/>
    <mergeCell ref="B455:H455"/>
    <mergeCell ref="B521:H521"/>
    <mergeCell ref="B542:H542"/>
    <mergeCell ref="B565:H565"/>
    <mergeCell ref="B572:H572"/>
    <mergeCell ref="B210:H210"/>
    <mergeCell ref="B239:H239"/>
    <mergeCell ref="B345:H345"/>
    <mergeCell ref="B22:H22"/>
    <mergeCell ref="B31:H31"/>
    <mergeCell ref="B75:H75"/>
    <mergeCell ref="B99:H99"/>
    <mergeCell ref="B121:H121"/>
    <mergeCell ref="B1523:H1523"/>
    <mergeCell ref="B1049:H1049"/>
    <mergeCell ref="B1090:H1090"/>
    <mergeCell ref="B1124:H1124"/>
    <mergeCell ref="B1156:H1156"/>
    <mergeCell ref="B1183:H1183"/>
    <mergeCell ref="B1370:H1370"/>
    <mergeCell ref="B1455:H1455"/>
    <mergeCell ref="B1515:H1515"/>
    <mergeCell ref="B1117:H1117"/>
    <mergeCell ref="B1149:H1149"/>
    <mergeCell ref="B1176:H1176"/>
    <mergeCell ref="B1210:H1210"/>
    <mergeCell ref="B1242:H1242"/>
    <mergeCell ref="B1278:H1278"/>
    <mergeCell ref="B1218:H1218"/>
    <mergeCell ref="B357:H357"/>
    <mergeCell ref="B397:H397"/>
    <mergeCell ref="B175:H175"/>
    <mergeCell ref="B308:H308"/>
    <mergeCell ref="B333:H333"/>
    <mergeCell ref="B271:H271"/>
    <mergeCell ref="B289:H289"/>
    <mergeCell ref="B296:H296"/>
    <mergeCell ref="B315:H315"/>
    <mergeCell ref="B321:H321"/>
    <mergeCell ref="B339:H339"/>
    <mergeCell ref="B283:H283"/>
    <mergeCell ref="L5:L6"/>
    <mergeCell ref="M5:M6"/>
    <mergeCell ref="C7:E7"/>
    <mergeCell ref="A5:A6"/>
    <mergeCell ref="B5:B6"/>
    <mergeCell ref="C5:E6"/>
    <mergeCell ref="F5:H5"/>
    <mergeCell ref="I5:J6"/>
    <mergeCell ref="K5:K6"/>
    <mergeCell ref="B4:G4"/>
    <mergeCell ref="I4:K4"/>
    <mergeCell ref="L4:M4"/>
    <mergeCell ref="A1:M1"/>
    <mergeCell ref="A2:B2"/>
    <mergeCell ref="C2:M2"/>
    <mergeCell ref="A3:B3"/>
    <mergeCell ref="C3:M3"/>
    <mergeCell ref="B1251:H1251"/>
    <mergeCell ref="B1082:H1082"/>
    <mergeCell ref="B1101:H1101"/>
    <mergeCell ref="B1109:H1109"/>
    <mergeCell ref="B1135:H1135"/>
    <mergeCell ref="B1142:H1142"/>
    <mergeCell ref="B1164:H1164"/>
    <mergeCell ref="B1171:H1171"/>
    <mergeCell ref="B1191:H1191"/>
    <mergeCell ref="B1198:H1198"/>
    <mergeCell ref="B1226:H1226"/>
    <mergeCell ref="B1234:H1234"/>
    <mergeCell ref="B1003:H1003"/>
    <mergeCell ref="B891:H891"/>
    <mergeCell ref="B898:H898"/>
    <mergeCell ref="B8:H8"/>
    <mergeCell ref="B1260:H1260"/>
    <mergeCell ref="B603:H603"/>
    <mergeCell ref="B679:H679"/>
    <mergeCell ref="B711:H711"/>
    <mergeCell ref="B743:H743"/>
    <mergeCell ref="B859:H859"/>
    <mergeCell ref="B703:H703"/>
    <mergeCell ref="B727:H727"/>
    <mergeCell ref="B735:H735"/>
    <mergeCell ref="B824:H824"/>
    <mergeCell ref="B831:H831"/>
    <mergeCell ref="B1042:H1042"/>
    <mergeCell ref="B622:H622"/>
    <mergeCell ref="B687:H687"/>
    <mergeCell ref="B719:H719"/>
    <mergeCell ref="B771:H771"/>
    <mergeCell ref="B866:H866"/>
    <mergeCell ref="B912:H912"/>
    <mergeCell ref="B940:H940"/>
    <mergeCell ref="B971:H971"/>
    <mergeCell ref="B1010:H1010"/>
    <mergeCell ref="B905:H905"/>
    <mergeCell ref="B933:H933"/>
    <mergeCell ref="B964:H964"/>
    <mergeCell ref="B17:H17"/>
    <mergeCell ref="B36:H36"/>
    <mergeCell ref="B105:H105"/>
    <mergeCell ref="B551:H551"/>
    <mergeCell ref="B134:H134"/>
    <mergeCell ref="B160:H160"/>
    <mergeCell ref="B180:H180"/>
    <mergeCell ref="B204:H204"/>
    <mergeCell ref="B228:H228"/>
    <mergeCell ref="B277:H277"/>
    <mergeCell ref="B302:H302"/>
    <mergeCell ref="B327:H327"/>
    <mergeCell ref="B351:H351"/>
    <mergeCell ref="B375:H375"/>
    <mergeCell ref="B461:H461"/>
    <mergeCell ref="B60:H60"/>
    <mergeCell ref="B113:H113"/>
    <mergeCell ref="B141:H141"/>
    <mergeCell ref="B165:H165"/>
    <mergeCell ref="B186:H186"/>
    <mergeCell ref="B129:H129"/>
    <mergeCell ref="B147:H147"/>
    <mergeCell ref="B154:H154"/>
    <mergeCell ref="B170:H170"/>
  </mergeCells>
  <printOptions horizontalCentered="1"/>
  <pageMargins left="0.15" right="0.1" top="0.2" bottom="0.23" header="0.25" footer="0.08"/>
  <pageSetup paperSize="9" scale="95" pageOrder="overThenDown" orientation="portrait" r:id="rId1"/>
  <headerFooter alignWithMargins="0"/>
</worksheet>
</file>

<file path=xl/worksheets/sheet10.xml><?xml version="1.0" encoding="utf-8"?>
<worksheet xmlns="http://schemas.openxmlformats.org/spreadsheetml/2006/main" xmlns:r="http://schemas.openxmlformats.org/officeDocument/2006/relationships">
  <sheetPr>
    <tabColor rgb="FF00B050"/>
  </sheetPr>
  <dimension ref="A1:O976"/>
  <sheetViews>
    <sheetView showZeros="0" defaultGridColor="0" view="pageBreakPreview" colorId="22" zoomScale="130" zoomScaleNormal="115" zoomScaleSheetLayoutView="130" workbookViewId="0">
      <selection activeCell="B8" sqref="B8:H8"/>
    </sheetView>
  </sheetViews>
  <sheetFormatPr defaultColWidth="9.140625" defaultRowHeight="12.75"/>
  <cols>
    <col min="1" max="1" width="3.5703125" style="58" customWidth="1"/>
    <col min="2" max="2" width="31.42578125" style="58" customWidth="1"/>
    <col min="3" max="3" width="3.5703125" style="58" customWidth="1"/>
    <col min="4" max="4" width="1.7109375" style="58" customWidth="1"/>
    <col min="5" max="5" width="5.140625" style="598" customWidth="1"/>
    <col min="6" max="6" width="6.7109375" style="599" customWidth="1"/>
    <col min="7" max="7" width="6.140625" style="600" customWidth="1"/>
    <col min="8" max="8" width="7.42578125" style="12" customWidth="1"/>
    <col min="9" max="9" width="8.7109375" style="601" customWidth="1"/>
    <col min="10" max="10" width="5.28515625" style="601" customWidth="1"/>
    <col min="11" max="11" width="8.42578125" style="12" customWidth="1"/>
    <col min="12" max="12" width="8.85546875" style="602" customWidth="1"/>
    <col min="13" max="13" width="10.85546875" style="601" customWidth="1"/>
    <col min="14" max="15" width="10.42578125" style="58" bestFit="1" customWidth="1"/>
    <col min="16" max="16384" width="9.140625" style="58"/>
  </cols>
  <sheetData>
    <row r="1" spans="1:14" ht="26.25" customHeight="1">
      <c r="A1" s="1820" t="s">
        <v>898</v>
      </c>
      <c r="B1" s="1820"/>
      <c r="C1" s="1820"/>
      <c r="D1" s="1820"/>
      <c r="E1" s="1820"/>
      <c r="F1" s="1820"/>
      <c r="G1" s="1820"/>
      <c r="H1" s="1820"/>
      <c r="I1" s="1820"/>
      <c r="J1" s="1820"/>
      <c r="K1" s="1820"/>
      <c r="L1" s="1820"/>
      <c r="M1" s="1820"/>
    </row>
    <row r="2" spans="1:14" ht="42" customHeight="1">
      <c r="A2" s="1821" t="s">
        <v>896</v>
      </c>
      <c r="B2" s="1821"/>
      <c r="C2" s="1822" t="str">
        <f>'lead 19-20'!C2</f>
        <v>Providing Additional Space for Agriculture Staff in  Baduguleru GP of Kanigiri Mandal</v>
      </c>
      <c r="D2" s="1822"/>
      <c r="E2" s="1822"/>
      <c r="F2" s="1822"/>
      <c r="G2" s="1822"/>
      <c r="H2" s="1822"/>
      <c r="I2" s="1822"/>
      <c r="J2" s="1822"/>
      <c r="K2" s="1822"/>
      <c r="L2" s="1822"/>
      <c r="M2" s="1822"/>
    </row>
    <row r="3" spans="1:14" ht="19.5" customHeight="1">
      <c r="A3" s="1821" t="s">
        <v>897</v>
      </c>
      <c r="B3" s="1821"/>
      <c r="C3" s="1822" t="s">
        <v>889</v>
      </c>
      <c r="D3" s="1822"/>
      <c r="E3" s="1822"/>
      <c r="F3" s="1822"/>
      <c r="G3" s="1822"/>
      <c r="H3" s="1822"/>
      <c r="I3" s="1822"/>
      <c r="J3" s="1822"/>
      <c r="K3" s="1822"/>
      <c r="L3" s="1822"/>
      <c r="M3" s="1822"/>
    </row>
    <row r="4" spans="1:14" ht="15" customHeight="1">
      <c r="A4" s="525"/>
      <c r="B4" s="1862"/>
      <c r="C4" s="1862"/>
      <c r="D4" s="1862"/>
      <c r="E4" s="1862"/>
      <c r="F4" s="1862"/>
      <c r="G4" s="1862"/>
      <c r="H4" s="526"/>
      <c r="I4" s="1818"/>
      <c r="J4" s="1818"/>
      <c r="K4" s="1818"/>
      <c r="L4" s="1819"/>
      <c r="M4" s="1819"/>
    </row>
    <row r="5" spans="1:14" s="527" customFormat="1" ht="12.75" customHeight="1">
      <c r="A5" s="1824" t="s">
        <v>271</v>
      </c>
      <c r="B5" s="1824" t="s">
        <v>272</v>
      </c>
      <c r="C5" s="1824" t="s">
        <v>115</v>
      </c>
      <c r="D5" s="1824"/>
      <c r="E5" s="1824"/>
      <c r="F5" s="1824" t="s">
        <v>123</v>
      </c>
      <c r="G5" s="1824"/>
      <c r="H5" s="1824"/>
      <c r="I5" s="1863" t="s">
        <v>6</v>
      </c>
      <c r="J5" s="1864"/>
      <c r="K5" s="1824" t="s">
        <v>8</v>
      </c>
      <c r="L5" s="1823" t="s">
        <v>9</v>
      </c>
      <c r="M5" s="1824" t="s">
        <v>10</v>
      </c>
    </row>
    <row r="6" spans="1:14" s="527" customFormat="1" ht="21.75" customHeight="1">
      <c r="A6" s="1824"/>
      <c r="B6" s="1824"/>
      <c r="C6" s="1824"/>
      <c r="D6" s="1824"/>
      <c r="E6" s="1824"/>
      <c r="F6" s="528" t="s">
        <v>12</v>
      </c>
      <c r="G6" s="528" t="s">
        <v>13</v>
      </c>
      <c r="H6" s="939" t="s">
        <v>14</v>
      </c>
      <c r="I6" s="1863"/>
      <c r="J6" s="1864"/>
      <c r="K6" s="1824"/>
      <c r="L6" s="1823"/>
      <c r="M6" s="1824"/>
    </row>
    <row r="7" spans="1:14" s="527" customFormat="1" ht="15.75">
      <c r="A7" s="939">
        <v>1</v>
      </c>
      <c r="B7" s="939">
        <v>2</v>
      </c>
      <c r="C7" s="1824">
        <v>3</v>
      </c>
      <c r="D7" s="1824"/>
      <c r="E7" s="1824"/>
      <c r="F7" s="938">
        <v>4</v>
      </c>
      <c r="G7" s="938">
        <v>5</v>
      </c>
      <c r="H7" s="939">
        <v>6</v>
      </c>
      <c r="I7" s="529">
        <v>7</v>
      </c>
      <c r="J7" s="530"/>
      <c r="K7" s="939">
        <v>8</v>
      </c>
      <c r="L7" s="938">
        <v>9</v>
      </c>
      <c r="M7" s="939">
        <v>10</v>
      </c>
    </row>
    <row r="8" spans="1:14" ht="93.75" customHeight="1">
      <c r="A8" s="16">
        <v>1</v>
      </c>
      <c r="B8" s="1858" t="s">
        <v>1573</v>
      </c>
      <c r="C8" s="1858"/>
      <c r="D8" s="1858"/>
      <c r="E8" s="1858"/>
      <c r="F8" s="1858"/>
      <c r="G8" s="1858"/>
      <c r="H8" s="1858"/>
      <c r="I8" s="537"/>
      <c r="J8" s="538"/>
      <c r="K8" s="16"/>
      <c r="L8" s="208"/>
      <c r="M8" s="38"/>
      <c r="N8" s="536" t="s">
        <v>2218</v>
      </c>
    </row>
    <row r="9" spans="1:14" s="544" customFormat="1" ht="16.5" customHeight="1">
      <c r="A9" s="16"/>
      <c r="B9" s="39" t="s">
        <v>3120</v>
      </c>
      <c r="C9" s="537"/>
      <c r="D9" s="1145" t="s">
        <v>3347</v>
      </c>
      <c r="E9" s="540"/>
      <c r="F9" s="541"/>
      <c r="G9" s="541"/>
      <c r="H9" s="541"/>
      <c r="I9" s="542"/>
      <c r="J9" s="553"/>
      <c r="K9" s="39"/>
      <c r="L9" s="16"/>
      <c r="M9" s="39"/>
      <c r="N9" s="536" t="s">
        <v>2218</v>
      </c>
    </row>
    <row r="10" spans="1:14" s="544" customFormat="1" ht="16.5" customHeight="1">
      <c r="A10" s="16"/>
      <c r="B10" s="39" t="s">
        <v>3139</v>
      </c>
      <c r="C10" s="537">
        <v>1</v>
      </c>
      <c r="D10" s="539" t="s">
        <v>273</v>
      </c>
      <c r="E10" s="540">
        <v>1</v>
      </c>
      <c r="F10" s="541">
        <v>0.23</v>
      </c>
      <c r="G10" s="541">
        <v>0.38</v>
      </c>
      <c r="H10" s="541">
        <v>2.4500000000000002</v>
      </c>
      <c r="I10" s="545">
        <f t="shared" ref="I10:I12" si="0">ROUND(IF(AND(F10:H10),C10*E10*F10*G10*H10,IF(AND(F10,G10),C10*E10*F10*G10,IF(AND(F10,H10),C10*E10*F10*H10,IF(AND(G10,H10),C10*E10*G10*H10,IF(F10,C10*E10*F10,IF(G10,C10*E10*G10,IF(H10,C10*E10*H10,C10*E10))))))),2)</f>
        <v>0.21</v>
      </c>
      <c r="J10" s="553" t="s">
        <v>5</v>
      </c>
      <c r="K10" s="39"/>
      <c r="L10" s="16"/>
      <c r="M10" s="39"/>
      <c r="N10" s="536" t="s">
        <v>2218</v>
      </c>
    </row>
    <row r="11" spans="1:14" s="544" customFormat="1" ht="16.5" customHeight="1">
      <c r="A11" s="16"/>
      <c r="B11" s="39" t="s">
        <v>3140</v>
      </c>
      <c r="C11" s="537">
        <v>1</v>
      </c>
      <c r="D11" s="539" t="s">
        <v>273</v>
      </c>
      <c r="E11" s="540">
        <v>2</v>
      </c>
      <c r="F11" s="541">
        <v>0.23</v>
      </c>
      <c r="G11" s="541">
        <v>0.38</v>
      </c>
      <c r="H11" s="541">
        <v>2.4500000000000002</v>
      </c>
      <c r="I11" s="545">
        <f t="shared" si="0"/>
        <v>0.43</v>
      </c>
      <c r="J11" s="553" t="s">
        <v>5</v>
      </c>
      <c r="K11" s="39"/>
      <c r="L11" s="16"/>
      <c r="M11" s="39"/>
      <c r="N11" s="536" t="s">
        <v>2218</v>
      </c>
    </row>
    <row r="12" spans="1:14" s="544" customFormat="1" ht="16.5" customHeight="1">
      <c r="A12" s="16"/>
      <c r="B12" s="39" t="s">
        <v>3141</v>
      </c>
      <c r="C12" s="537">
        <v>1</v>
      </c>
      <c r="D12" s="539" t="s">
        <v>273</v>
      </c>
      <c r="E12" s="540">
        <v>1</v>
      </c>
      <c r="F12" s="541">
        <v>0.23</v>
      </c>
      <c r="G12" s="541">
        <v>0.38</v>
      </c>
      <c r="H12" s="541">
        <v>2.4500000000000002</v>
      </c>
      <c r="I12" s="545">
        <f t="shared" si="0"/>
        <v>0.21</v>
      </c>
      <c r="J12" s="553" t="s">
        <v>5</v>
      </c>
      <c r="K12" s="39"/>
      <c r="L12" s="16"/>
      <c r="M12" s="39"/>
      <c r="N12" s="536" t="s">
        <v>2218</v>
      </c>
    </row>
    <row r="13" spans="1:14" s="544" customFormat="1" ht="16.5" customHeight="1">
      <c r="A13" s="16"/>
      <c r="B13" s="547"/>
      <c r="C13" s="548"/>
      <c r="D13" s="549"/>
      <c r="E13" s="550"/>
      <c r="F13" s="551"/>
      <c r="G13" s="551"/>
      <c r="H13" s="551"/>
      <c r="I13" s="552"/>
      <c r="J13" s="553"/>
      <c r="K13" s="39"/>
      <c r="L13" s="208"/>
      <c r="M13" s="39"/>
      <c r="N13" s="536" t="s">
        <v>2218</v>
      </c>
    </row>
    <row r="14" spans="1:14" ht="15.75">
      <c r="A14" s="16"/>
      <c r="B14" s="39"/>
      <c r="C14" s="554"/>
      <c r="D14" s="555"/>
      <c r="E14" s="540"/>
      <c r="F14" s="541"/>
      <c r="G14" s="40"/>
      <c r="H14" s="16"/>
      <c r="I14" s="552"/>
      <c r="J14" s="553" t="s">
        <v>5</v>
      </c>
      <c r="K14" s="10">
        <f>data!G155</f>
        <v>10542.140000000001</v>
      </c>
      <c r="L14" s="208" t="s">
        <v>2218</v>
      </c>
      <c r="M14" s="9">
        <f>ROUND(I14*K14,0)</f>
        <v>0</v>
      </c>
      <c r="N14" s="536" t="s">
        <v>2218</v>
      </c>
    </row>
    <row r="15" spans="1:14" ht="93.75" customHeight="1">
      <c r="A15" s="16">
        <v>1</v>
      </c>
      <c r="B15" s="1858" t="s">
        <v>1573</v>
      </c>
      <c r="C15" s="1858"/>
      <c r="D15" s="1858"/>
      <c r="E15" s="1858"/>
      <c r="F15" s="1858"/>
      <c r="G15" s="1858"/>
      <c r="H15" s="1858"/>
      <c r="I15" s="537"/>
      <c r="J15" s="538"/>
      <c r="K15" s="16"/>
      <c r="L15" s="208"/>
      <c r="M15" s="38"/>
      <c r="N15" s="536" t="s">
        <v>2306</v>
      </c>
    </row>
    <row r="16" spans="1:14" s="544" customFormat="1" ht="16.5" customHeight="1">
      <c r="A16" s="16"/>
      <c r="B16" s="39" t="s">
        <v>2857</v>
      </c>
      <c r="C16" s="537"/>
      <c r="D16" s="539"/>
      <c r="E16" s="540"/>
      <c r="F16" s="541"/>
      <c r="G16" s="541"/>
      <c r="H16" s="541"/>
      <c r="I16" s="542"/>
      <c r="J16" s="553"/>
      <c r="K16" s="39"/>
      <c r="L16" s="16"/>
      <c r="M16" s="39"/>
      <c r="N16" s="536" t="s">
        <v>2306</v>
      </c>
    </row>
    <row r="17" spans="1:14" s="544" customFormat="1" ht="16.5" customHeight="1">
      <c r="A17" s="16"/>
      <c r="B17" s="39"/>
      <c r="C17" s="537">
        <v>1</v>
      </c>
      <c r="D17" s="539" t="s">
        <v>273</v>
      </c>
      <c r="E17" s="540">
        <v>4</v>
      </c>
      <c r="F17" s="541">
        <v>0.23</v>
      </c>
      <c r="G17" s="541">
        <v>0.38</v>
      </c>
      <c r="H17" s="541">
        <v>2.1</v>
      </c>
      <c r="I17" s="545">
        <f>ROUND(IF(AND(F17:H17),C17*E17*F17*G17*H17,IF(AND(F17,G17),C17*E17*F17*G17,IF(AND(F17,H17),C17*E17*F17*H17,IF(AND(G17,H17),C17*E17*G17*H17,IF(F17,C17*E17*F17,IF(G17,C17*E17*G17,IF(H17,C17*E17*H17,C17*E17))))))),2)</f>
        <v>0.73</v>
      </c>
      <c r="J17" s="553" t="s">
        <v>5</v>
      </c>
      <c r="K17" s="39"/>
      <c r="L17" s="16"/>
      <c r="M17" s="39"/>
      <c r="N17" s="536" t="s">
        <v>2306</v>
      </c>
    </row>
    <row r="18" spans="1:14" s="544" customFormat="1" ht="16.5" customHeight="1">
      <c r="A18" s="16"/>
      <c r="B18" s="39" t="s">
        <v>2908</v>
      </c>
      <c r="C18" s="548"/>
      <c r="D18" s="549"/>
      <c r="E18" s="550"/>
      <c r="F18" s="551"/>
      <c r="G18" s="551"/>
      <c r="H18" s="551"/>
      <c r="I18" s="552"/>
      <c r="J18" s="553"/>
      <c r="K18" s="39"/>
      <c r="L18" s="208"/>
      <c r="M18" s="39"/>
      <c r="N18" s="536" t="s">
        <v>2306</v>
      </c>
    </row>
    <row r="19" spans="1:14" s="544" customFormat="1" ht="16.5" customHeight="1">
      <c r="A19" s="16"/>
      <c r="B19" s="39" t="s">
        <v>2742</v>
      </c>
      <c r="C19" s="537">
        <v>1</v>
      </c>
      <c r="D19" s="539" t="s">
        <v>273</v>
      </c>
      <c r="E19" s="540">
        <v>11</v>
      </c>
      <c r="F19" s="541">
        <v>0.23</v>
      </c>
      <c r="G19" s="541">
        <v>0.38</v>
      </c>
      <c r="H19" s="541">
        <v>0.9</v>
      </c>
      <c r="I19" s="545">
        <f>ROUND(IF(AND(F19:H19),C19*E19*F19*G19*H19,IF(AND(F19,G19),C19*E19*F19*G19,IF(AND(F19,H19),C19*E19*F19*H19,IF(AND(G19,H19),C19*E19*G19*H19,IF(F19,C19*E19*F19,IF(G19,C19*E19*G19,IF(H19,C19*E19*H19,C19*E19))))))),2)</f>
        <v>0.87</v>
      </c>
      <c r="J19" s="553" t="s">
        <v>5</v>
      </c>
      <c r="K19" s="39"/>
      <c r="L19" s="16"/>
      <c r="M19" s="39"/>
      <c r="N19" s="536" t="s">
        <v>2306</v>
      </c>
    </row>
    <row r="20" spans="1:14" s="544" customFormat="1" ht="16.5" customHeight="1">
      <c r="A20" s="16"/>
      <c r="B20" s="39"/>
      <c r="C20" s="537"/>
      <c r="D20" s="539"/>
      <c r="E20" s="540"/>
      <c r="F20" s="541"/>
      <c r="G20" s="541"/>
      <c r="H20" s="541"/>
      <c r="I20" s="545"/>
      <c r="J20" s="553"/>
      <c r="K20" s="39"/>
      <c r="L20" s="16"/>
      <c r="M20" s="39"/>
      <c r="N20" s="536" t="s">
        <v>2306</v>
      </c>
    </row>
    <row r="21" spans="1:14" ht="15.75">
      <c r="A21" s="16"/>
      <c r="B21" s="39"/>
      <c r="C21" s="554"/>
      <c r="D21" s="555"/>
      <c r="E21" s="540"/>
      <c r="F21" s="541"/>
      <c r="G21" s="40"/>
      <c r="H21" s="16"/>
      <c r="I21" s="552"/>
      <c r="J21" s="553" t="s">
        <v>5</v>
      </c>
      <c r="K21" s="10">
        <f>data!G1071</f>
        <v>10932.800000000001</v>
      </c>
      <c r="L21" s="208" t="s">
        <v>2306</v>
      </c>
      <c r="M21" s="9">
        <f>ROUND(I21*K21,0)</f>
        <v>0</v>
      </c>
      <c r="N21" s="536" t="s">
        <v>2306</v>
      </c>
    </row>
    <row r="22" spans="1:14" ht="93.75" customHeight="1">
      <c r="A22" s="16">
        <v>2</v>
      </c>
      <c r="B22" s="1858" t="s">
        <v>1573</v>
      </c>
      <c r="C22" s="1858"/>
      <c r="D22" s="1858"/>
      <c r="E22" s="1858"/>
      <c r="F22" s="1858"/>
      <c r="G22" s="1858"/>
      <c r="H22" s="1858"/>
      <c r="I22" s="537"/>
      <c r="J22" s="538"/>
      <c r="K22" s="16"/>
      <c r="L22" s="208"/>
      <c r="M22" s="38"/>
      <c r="N22" s="536" t="s">
        <v>2317</v>
      </c>
    </row>
    <row r="23" spans="1:14" s="544" customFormat="1" ht="16.5" customHeight="1">
      <c r="A23" s="16"/>
      <c r="B23" s="39" t="s">
        <v>3120</v>
      </c>
      <c r="C23" s="537"/>
      <c r="D23" s="539"/>
      <c r="E23" s="540"/>
      <c r="F23" s="541"/>
      <c r="G23" s="541"/>
      <c r="H23" s="541"/>
      <c r="I23" s="542"/>
      <c r="J23" s="553"/>
      <c r="K23" s="39"/>
      <c r="L23" s="16"/>
      <c r="M23" s="39"/>
      <c r="N23" s="536" t="s">
        <v>2317</v>
      </c>
    </row>
    <row r="24" spans="1:14" s="544" customFormat="1" ht="16.5" customHeight="1">
      <c r="A24" s="16"/>
      <c r="B24" s="39"/>
      <c r="C24" s="537">
        <v>1</v>
      </c>
      <c r="D24" s="539" t="s">
        <v>273</v>
      </c>
      <c r="E24" s="540">
        <v>1</v>
      </c>
      <c r="F24" s="541">
        <v>0.23</v>
      </c>
      <c r="G24" s="541">
        <v>0.38</v>
      </c>
      <c r="H24" s="541">
        <v>2.4500000000000002</v>
      </c>
      <c r="I24" s="545">
        <f t="shared" ref="I24:I26" si="1">ROUND(IF(AND(F24:H24),C24*E24*F24*G24*H24,IF(AND(F24,G24),C24*E24*F24*G24,IF(AND(F24,H24),C24*E24*F24*H24,IF(AND(G24,H24),C24*E24*G24*H24,IF(F24,C24*E24*F24,IF(G24,C24*E24*G24,IF(H24,C24*E24*H24,C24*E24))))))),2)</f>
        <v>0.21</v>
      </c>
      <c r="J24" s="553" t="s">
        <v>5</v>
      </c>
      <c r="K24" s="39"/>
      <c r="L24" s="16"/>
      <c r="M24" s="39"/>
      <c r="N24" s="536" t="s">
        <v>2317</v>
      </c>
    </row>
    <row r="25" spans="1:14" s="544" customFormat="1" ht="16.5" customHeight="1">
      <c r="A25" s="16"/>
      <c r="B25" s="39"/>
      <c r="C25" s="537">
        <v>1</v>
      </c>
      <c r="D25" s="539" t="s">
        <v>273</v>
      </c>
      <c r="E25" s="540">
        <v>2</v>
      </c>
      <c r="F25" s="541">
        <v>0.23</v>
      </c>
      <c r="G25" s="541">
        <v>0.38</v>
      </c>
      <c r="H25" s="541">
        <v>2.4500000000000002</v>
      </c>
      <c r="I25" s="545">
        <f t="shared" si="1"/>
        <v>0.43</v>
      </c>
      <c r="J25" s="553" t="s">
        <v>5</v>
      </c>
      <c r="K25" s="39"/>
      <c r="L25" s="16"/>
      <c r="M25" s="39"/>
      <c r="N25" s="536" t="s">
        <v>2317</v>
      </c>
    </row>
    <row r="26" spans="1:14" s="544" customFormat="1" ht="16.5" customHeight="1">
      <c r="A26" s="16"/>
      <c r="B26" s="39"/>
      <c r="C26" s="537">
        <v>1</v>
      </c>
      <c r="D26" s="539" t="s">
        <v>273</v>
      </c>
      <c r="E26" s="540">
        <v>1</v>
      </c>
      <c r="F26" s="541">
        <v>0.23</v>
      </c>
      <c r="G26" s="541">
        <v>0.38</v>
      </c>
      <c r="H26" s="541">
        <v>2.4500000000000002</v>
      </c>
      <c r="I26" s="545">
        <f t="shared" si="1"/>
        <v>0.21</v>
      </c>
      <c r="J26" s="553" t="s">
        <v>5</v>
      </c>
      <c r="K26" s="39"/>
      <c r="L26" s="16"/>
      <c r="M26" s="39"/>
      <c r="N26" s="536" t="s">
        <v>2317</v>
      </c>
    </row>
    <row r="27" spans="1:14" s="544" customFormat="1" ht="16.5" customHeight="1">
      <c r="A27" s="16"/>
      <c r="B27" s="547"/>
      <c r="C27" s="548"/>
      <c r="D27" s="549"/>
      <c r="E27" s="550"/>
      <c r="F27" s="551"/>
      <c r="G27" s="551"/>
      <c r="H27" s="551"/>
      <c r="I27" s="552"/>
      <c r="J27" s="553"/>
      <c r="K27" s="39"/>
      <c r="L27" s="208"/>
      <c r="M27" s="39"/>
      <c r="N27" s="536" t="s">
        <v>2317</v>
      </c>
    </row>
    <row r="28" spans="1:14" ht="15.75">
      <c r="A28" s="16"/>
      <c r="B28" s="39"/>
      <c r="C28" s="554"/>
      <c r="D28" s="555"/>
      <c r="E28" s="540"/>
      <c r="F28" s="541"/>
      <c r="G28" s="40"/>
      <c r="H28" s="16"/>
      <c r="I28" s="552"/>
      <c r="J28" s="553" t="s">
        <v>5</v>
      </c>
      <c r="K28" s="10">
        <f>data!G1988</f>
        <v>11565.1</v>
      </c>
      <c r="L28" s="208" t="s">
        <v>2317</v>
      </c>
      <c r="M28" s="9">
        <f>ROUND(I28*K28,0)</f>
        <v>0</v>
      </c>
      <c r="N28" s="536" t="s">
        <v>2317</v>
      </c>
    </row>
    <row r="29" spans="1:14" ht="93.75" customHeight="1">
      <c r="A29" s="16">
        <v>2</v>
      </c>
      <c r="B29" s="1858" t="s">
        <v>1573</v>
      </c>
      <c r="C29" s="1858"/>
      <c r="D29" s="1858"/>
      <c r="E29" s="1858"/>
      <c r="F29" s="1858"/>
      <c r="G29" s="1858"/>
      <c r="H29" s="1858"/>
      <c r="I29" s="537"/>
      <c r="J29" s="538"/>
      <c r="K29" s="16"/>
      <c r="L29" s="208"/>
      <c r="M29" s="38"/>
      <c r="N29" s="536" t="s">
        <v>2318</v>
      </c>
    </row>
    <row r="30" spans="1:14" s="544" customFormat="1" ht="16.5" customHeight="1">
      <c r="A30" s="16"/>
      <c r="B30" s="39" t="s">
        <v>2890</v>
      </c>
      <c r="C30" s="537"/>
      <c r="D30" s="539"/>
      <c r="E30" s="540"/>
      <c r="F30" s="541"/>
      <c r="G30" s="541"/>
      <c r="H30" s="541"/>
      <c r="I30" s="542"/>
      <c r="J30" s="553"/>
      <c r="K30" s="39"/>
      <c r="L30" s="16"/>
      <c r="M30" s="39"/>
      <c r="N30" s="536" t="s">
        <v>2318</v>
      </c>
    </row>
    <row r="31" spans="1:14" s="544" customFormat="1" ht="16.5" customHeight="1">
      <c r="A31" s="16"/>
      <c r="B31" s="39"/>
      <c r="C31" s="537">
        <v>1</v>
      </c>
      <c r="D31" s="539" t="s">
        <v>273</v>
      </c>
      <c r="E31" s="540">
        <v>4</v>
      </c>
      <c r="F31" s="541">
        <v>0.23</v>
      </c>
      <c r="G31" s="541">
        <v>0.38</v>
      </c>
      <c r="H31" s="541">
        <v>2.4</v>
      </c>
      <c r="I31" s="545">
        <f>ROUND(IF(AND(F31:H31),C31*E31*F31*G31*H31,IF(AND(F31,G31),C31*E31*F31*G31,IF(AND(F31,H31),C31*E31*F31*H31,IF(AND(G31,H31),C31*E31*G31*H31,IF(F31,C31*E31*F31,IF(G31,C31*E31*G31,IF(H31,C31*E31*H31,C31*E31))))))),2)</f>
        <v>0.84</v>
      </c>
      <c r="J31" s="553" t="s">
        <v>5</v>
      </c>
      <c r="K31" s="39"/>
      <c r="L31" s="16"/>
      <c r="M31" s="39"/>
      <c r="N31" s="536" t="s">
        <v>2318</v>
      </c>
    </row>
    <row r="32" spans="1:14" s="544" customFormat="1" ht="16.5" customHeight="1">
      <c r="A32" s="16"/>
      <c r="B32" s="547"/>
      <c r="C32" s="548"/>
      <c r="D32" s="549"/>
      <c r="E32" s="550"/>
      <c r="F32" s="551"/>
      <c r="G32" s="551"/>
      <c r="H32" s="551"/>
      <c r="I32" s="552"/>
      <c r="J32" s="553"/>
      <c r="K32" s="39"/>
      <c r="L32" s="208"/>
      <c r="M32" s="39"/>
      <c r="N32" s="536" t="s">
        <v>2318</v>
      </c>
    </row>
    <row r="33" spans="1:14" ht="15.75">
      <c r="A33" s="16"/>
      <c r="B33" s="39"/>
      <c r="C33" s="554"/>
      <c r="D33" s="555"/>
      <c r="E33" s="540"/>
      <c r="F33" s="541"/>
      <c r="G33" s="40"/>
      <c r="H33" s="16"/>
      <c r="I33" s="552"/>
      <c r="J33" s="553" t="s">
        <v>5</v>
      </c>
      <c r="K33" s="10">
        <f>data!G2905</f>
        <v>12013.61</v>
      </c>
      <c r="L33" s="208" t="s">
        <v>2318</v>
      </c>
      <c r="M33" s="9">
        <f>ROUND(I33*K33,0)</f>
        <v>0</v>
      </c>
      <c r="N33" s="536" t="s">
        <v>2318</v>
      </c>
    </row>
    <row r="34" spans="1:14" ht="17.25" customHeight="1">
      <c r="A34" s="16">
        <v>2</v>
      </c>
      <c r="B34" s="1858" t="s">
        <v>303</v>
      </c>
      <c r="C34" s="1858"/>
      <c r="D34" s="1858"/>
      <c r="E34" s="1858"/>
      <c r="F34" s="1858"/>
      <c r="G34" s="1858"/>
      <c r="H34" s="1858"/>
      <c r="I34" s="537"/>
      <c r="J34" s="538"/>
      <c r="K34" s="16"/>
      <c r="L34" s="208"/>
      <c r="M34" s="38"/>
      <c r="N34" s="536" t="s">
        <v>2218</v>
      </c>
    </row>
    <row r="35" spans="1:14" s="544" customFormat="1" ht="16.5" customHeight="1">
      <c r="A35" s="16"/>
      <c r="B35" s="39" t="s">
        <v>3121</v>
      </c>
      <c r="C35" s="537"/>
      <c r="D35" s="1145" t="s">
        <v>3348</v>
      </c>
      <c r="E35" s="540"/>
      <c r="F35" s="541"/>
      <c r="G35" s="541"/>
      <c r="H35" s="541"/>
      <c r="I35" s="542"/>
      <c r="J35" s="553"/>
      <c r="K35" s="39"/>
      <c r="L35" s="208"/>
      <c r="M35" s="39"/>
      <c r="N35" s="536" t="s">
        <v>2218</v>
      </c>
    </row>
    <row r="36" spans="1:14" s="544" customFormat="1" ht="16.5" customHeight="1">
      <c r="A36" s="16"/>
      <c r="B36" s="39"/>
      <c r="C36" s="537">
        <v>1</v>
      </c>
      <c r="D36" s="539" t="s">
        <v>273</v>
      </c>
      <c r="E36" s="540">
        <v>2</v>
      </c>
      <c r="F36" s="541">
        <v>3.18</v>
      </c>
      <c r="G36" s="541">
        <v>0.23</v>
      </c>
      <c r="H36" s="541">
        <v>0.3</v>
      </c>
      <c r="I36" s="545">
        <f t="shared" ref="I36:I37" si="2">ROUND(IF(AND(F36:H36),C36*E36*F36*G36*H36,IF(AND(F36,G36),C36*E36*F36*G36,IF(AND(F36,H36),C36*E36*F36*H36,IF(AND(G36,H36),C36*E36*G36*H36,IF(F36,C36*E36*F36,IF(G36,C36*E36*G36,IF(H36,C36*E36*H36,C36*E36))))))),2)</f>
        <v>0.44</v>
      </c>
      <c r="J36" s="553" t="s">
        <v>5</v>
      </c>
      <c r="K36" s="39"/>
      <c r="L36" s="208"/>
      <c r="M36" s="39"/>
      <c r="N36" s="536" t="s">
        <v>2218</v>
      </c>
    </row>
    <row r="37" spans="1:14" s="544" customFormat="1" ht="16.5" customHeight="1">
      <c r="A37" s="16"/>
      <c r="B37" s="39"/>
      <c r="C37" s="537">
        <v>1</v>
      </c>
      <c r="D37" s="539" t="s">
        <v>273</v>
      </c>
      <c r="E37" s="540">
        <v>2</v>
      </c>
      <c r="F37" s="541">
        <v>3.16</v>
      </c>
      <c r="G37" s="541">
        <v>0.23</v>
      </c>
      <c r="H37" s="541">
        <v>0.3</v>
      </c>
      <c r="I37" s="545">
        <f t="shared" si="2"/>
        <v>0.44</v>
      </c>
      <c r="J37" s="553" t="s">
        <v>5</v>
      </c>
      <c r="K37" s="39"/>
      <c r="L37" s="208"/>
      <c r="M37" s="39"/>
      <c r="N37" s="536" t="s">
        <v>2218</v>
      </c>
    </row>
    <row r="38" spans="1:14" s="544" customFormat="1" ht="16.5" customHeight="1">
      <c r="A38" s="16"/>
      <c r="B38" s="547"/>
      <c r="C38" s="548"/>
      <c r="D38" s="549"/>
      <c r="E38" s="550"/>
      <c r="F38" s="551"/>
      <c r="G38" s="551"/>
      <c r="H38" s="551"/>
      <c r="I38" s="552"/>
      <c r="J38" s="553"/>
      <c r="K38" s="39"/>
      <c r="L38" s="208"/>
      <c r="M38" s="39"/>
      <c r="N38" s="536" t="s">
        <v>2218</v>
      </c>
    </row>
    <row r="39" spans="1:14" ht="15.75">
      <c r="A39" s="16"/>
      <c r="B39" s="39"/>
      <c r="C39" s="554"/>
      <c r="D39" s="555"/>
      <c r="E39" s="540"/>
      <c r="F39" s="541"/>
      <c r="G39" s="40"/>
      <c r="H39" s="16"/>
      <c r="I39" s="552"/>
      <c r="J39" s="553" t="s">
        <v>5</v>
      </c>
      <c r="K39" s="10">
        <f>data!G182</f>
        <v>10021.1</v>
      </c>
      <c r="L39" s="208" t="s">
        <v>2218</v>
      </c>
      <c r="M39" s="9">
        <f>ROUND(I39*K39,0)</f>
        <v>0</v>
      </c>
      <c r="N39" s="536" t="s">
        <v>2218</v>
      </c>
    </row>
    <row r="40" spans="1:14" ht="17.25" customHeight="1">
      <c r="A40" s="16">
        <v>2</v>
      </c>
      <c r="B40" s="1858" t="s">
        <v>303</v>
      </c>
      <c r="C40" s="1858"/>
      <c r="D40" s="1858"/>
      <c r="E40" s="1858"/>
      <c r="F40" s="1858"/>
      <c r="G40" s="1858"/>
      <c r="H40" s="1858"/>
      <c r="I40" s="537"/>
      <c r="J40" s="538"/>
      <c r="K40" s="16"/>
      <c r="L40" s="208"/>
      <c r="M40" s="38"/>
      <c r="N40" s="536" t="s">
        <v>2306</v>
      </c>
    </row>
    <row r="41" spans="1:14" s="544" customFormat="1" ht="16.5" customHeight="1">
      <c r="A41" s="16"/>
      <c r="B41" s="39" t="s">
        <v>2873</v>
      </c>
      <c r="C41" s="537"/>
      <c r="D41" s="539"/>
      <c r="E41" s="540"/>
      <c r="F41" s="541"/>
      <c r="G41" s="541"/>
      <c r="H41" s="541"/>
      <c r="I41" s="542"/>
      <c r="J41" s="553"/>
      <c r="K41" s="39"/>
      <c r="L41" s="208"/>
      <c r="M41" s="39"/>
      <c r="N41" s="536" t="s">
        <v>2306</v>
      </c>
    </row>
    <row r="42" spans="1:14" s="544" customFormat="1" ht="16.5" customHeight="1">
      <c r="A42" s="16"/>
      <c r="B42" s="39" t="s">
        <v>2925</v>
      </c>
      <c r="C42" s="537">
        <v>1</v>
      </c>
      <c r="D42" s="539" t="s">
        <v>273</v>
      </c>
      <c r="E42" s="540">
        <v>2</v>
      </c>
      <c r="F42" s="541">
        <v>5.22</v>
      </c>
      <c r="G42" s="541">
        <v>0.23</v>
      </c>
      <c r="H42" s="541">
        <v>0.3</v>
      </c>
      <c r="I42" s="545">
        <f>ROUND(IF(AND(F42:H42),C42*E42*F42*G42*H42,IF(AND(F42,G42),C42*E42*F42*G42,IF(AND(F42,H42),C42*E42*F42*H42,IF(AND(G42,H42),C42*E42*G42*H42,IF(F42,C42*E42*F42,IF(G42,C42*E42*G42,IF(H42,C42*E42*H42,C42*E42))))))),2)</f>
        <v>0.72</v>
      </c>
      <c r="J42" s="553" t="s">
        <v>5</v>
      </c>
      <c r="K42" s="39"/>
      <c r="L42" s="208"/>
      <c r="M42" s="39"/>
      <c r="N42" s="536" t="s">
        <v>2306</v>
      </c>
    </row>
    <row r="43" spans="1:14" s="544" customFormat="1" ht="16.5" customHeight="1">
      <c r="A43" s="16"/>
      <c r="B43" s="39" t="s">
        <v>2933</v>
      </c>
      <c r="C43" s="537">
        <v>1</v>
      </c>
      <c r="D43" s="539" t="s">
        <v>273</v>
      </c>
      <c r="E43" s="540">
        <v>3</v>
      </c>
      <c r="F43" s="541">
        <v>2.72</v>
      </c>
      <c r="G43" s="541">
        <v>0.23</v>
      </c>
      <c r="H43" s="541">
        <v>0.3</v>
      </c>
      <c r="I43" s="545">
        <f>ROUND(IF(AND(F43:H43),C43*E43*F43*G43*H43,IF(AND(F43,G43),C43*E43*F43*G43,IF(AND(F43,H43),C43*E43*F43*H43,IF(AND(G43,H43),C43*E43*G43*H43,IF(F43,C43*E43*F43,IF(G43,C43*E43*G43,IF(H43,C43*E43*H43,C43*E43))))))),2)</f>
        <v>0.56000000000000005</v>
      </c>
      <c r="J43" s="553" t="s">
        <v>5</v>
      </c>
      <c r="K43" s="39"/>
      <c r="L43" s="208"/>
      <c r="M43" s="39"/>
      <c r="N43" s="536" t="s">
        <v>2306</v>
      </c>
    </row>
    <row r="44" spans="1:14" s="544" customFormat="1" ht="16.5" customHeight="1">
      <c r="A44" s="16"/>
      <c r="B44" s="547"/>
      <c r="C44" s="548"/>
      <c r="D44" s="549"/>
      <c r="E44" s="550"/>
      <c r="F44" s="551"/>
      <c r="G44" s="551"/>
      <c r="H44" s="551"/>
      <c r="I44" s="552"/>
      <c r="J44" s="553"/>
      <c r="K44" s="39"/>
      <c r="L44" s="208"/>
      <c r="M44" s="39"/>
      <c r="N44" s="536" t="s">
        <v>2306</v>
      </c>
    </row>
    <row r="45" spans="1:14" ht="15.75">
      <c r="A45" s="16"/>
      <c r="B45" s="39"/>
      <c r="C45" s="554"/>
      <c r="D45" s="555"/>
      <c r="E45" s="540"/>
      <c r="F45" s="541"/>
      <c r="G45" s="40"/>
      <c r="H45" s="16"/>
      <c r="I45" s="552"/>
      <c r="J45" s="553" t="s">
        <v>5</v>
      </c>
      <c r="K45" s="10">
        <f>data!G1098</f>
        <v>10257.99</v>
      </c>
      <c r="L45" s="208" t="s">
        <v>2306</v>
      </c>
      <c r="M45" s="9">
        <f>ROUND(I45*K45,0)</f>
        <v>0</v>
      </c>
      <c r="N45" s="536" t="s">
        <v>2306</v>
      </c>
    </row>
    <row r="46" spans="1:14" ht="17.25" customHeight="1">
      <c r="A46" s="16">
        <v>3</v>
      </c>
      <c r="B46" s="1858" t="s">
        <v>303</v>
      </c>
      <c r="C46" s="1858"/>
      <c r="D46" s="1858"/>
      <c r="E46" s="1858"/>
      <c r="F46" s="1858"/>
      <c r="G46" s="1858"/>
      <c r="H46" s="1858"/>
      <c r="I46" s="537"/>
      <c r="J46" s="538"/>
      <c r="K46" s="16"/>
      <c r="L46" s="208"/>
      <c r="M46" s="38"/>
      <c r="N46" s="536" t="s">
        <v>2317</v>
      </c>
    </row>
    <row r="47" spans="1:14" s="544" customFormat="1" ht="16.5" customHeight="1">
      <c r="A47" s="16"/>
      <c r="B47" s="39" t="s">
        <v>3121</v>
      </c>
      <c r="C47" s="537"/>
      <c r="D47" s="539"/>
      <c r="E47" s="540"/>
      <c r="F47" s="541"/>
      <c r="G47" s="541"/>
      <c r="H47" s="541"/>
      <c r="I47" s="542"/>
      <c r="J47" s="553"/>
      <c r="K47" s="39"/>
      <c r="L47" s="208"/>
      <c r="M47" s="39"/>
      <c r="N47" s="536" t="s">
        <v>2317</v>
      </c>
    </row>
    <row r="48" spans="1:14" s="544" customFormat="1" ht="16.5" customHeight="1">
      <c r="A48" s="16"/>
      <c r="B48" s="39"/>
      <c r="C48" s="537">
        <v>1</v>
      </c>
      <c r="D48" s="539" t="s">
        <v>273</v>
      </c>
      <c r="E48" s="540">
        <v>2</v>
      </c>
      <c r="F48" s="541">
        <v>3.18</v>
      </c>
      <c r="G48" s="541">
        <v>0.23</v>
      </c>
      <c r="H48" s="541">
        <v>0.3</v>
      </c>
      <c r="I48" s="545">
        <f t="shared" ref="I48:I49" si="3">ROUND(IF(AND(F48:H48),C48*E48*F48*G48*H48,IF(AND(F48,G48),C48*E48*F48*G48,IF(AND(F48,H48),C48*E48*F48*H48,IF(AND(G48,H48),C48*E48*G48*H48,IF(F48,C48*E48*F48,IF(G48,C48*E48*G48,IF(H48,C48*E48*H48,C48*E48))))))),2)</f>
        <v>0.44</v>
      </c>
      <c r="J48" s="553" t="s">
        <v>5</v>
      </c>
      <c r="K48" s="39"/>
      <c r="L48" s="208"/>
      <c r="M48" s="39"/>
      <c r="N48" s="536" t="s">
        <v>2317</v>
      </c>
    </row>
    <row r="49" spans="1:14" s="544" customFormat="1" ht="16.5" customHeight="1">
      <c r="A49" s="16"/>
      <c r="B49" s="39"/>
      <c r="C49" s="537">
        <v>1</v>
      </c>
      <c r="D49" s="539" t="s">
        <v>273</v>
      </c>
      <c r="E49" s="540">
        <v>2</v>
      </c>
      <c r="F49" s="541">
        <v>3.16</v>
      </c>
      <c r="G49" s="541">
        <v>0.23</v>
      </c>
      <c r="H49" s="541">
        <v>0.3</v>
      </c>
      <c r="I49" s="545">
        <f t="shared" si="3"/>
        <v>0.44</v>
      </c>
      <c r="J49" s="553" t="s">
        <v>5</v>
      </c>
      <c r="K49" s="39"/>
      <c r="L49" s="208"/>
      <c r="M49" s="39"/>
      <c r="N49" s="536" t="s">
        <v>2317</v>
      </c>
    </row>
    <row r="50" spans="1:14" s="544" customFormat="1" ht="16.5" customHeight="1">
      <c r="A50" s="16"/>
      <c r="B50" s="547"/>
      <c r="C50" s="548"/>
      <c r="D50" s="549"/>
      <c r="E50" s="550"/>
      <c r="F50" s="551"/>
      <c r="G50" s="551"/>
      <c r="H50" s="551"/>
      <c r="I50" s="552"/>
      <c r="J50" s="553"/>
      <c r="K50" s="39"/>
      <c r="L50" s="208"/>
      <c r="M50" s="39"/>
      <c r="N50" s="536" t="s">
        <v>2317</v>
      </c>
    </row>
    <row r="51" spans="1:14" ht="15.75">
      <c r="A51" s="16"/>
      <c r="B51" s="39"/>
      <c r="C51" s="554"/>
      <c r="D51" s="555"/>
      <c r="E51" s="540"/>
      <c r="F51" s="541"/>
      <c r="G51" s="40"/>
      <c r="H51" s="16"/>
      <c r="I51" s="552"/>
      <c r="J51" s="553" t="s">
        <v>5</v>
      </c>
      <c r="K51" s="10">
        <f>data!G2015</f>
        <v>10793.54</v>
      </c>
      <c r="L51" s="208" t="s">
        <v>2317</v>
      </c>
      <c r="M51" s="9">
        <f>ROUND(I51*K51,0)</f>
        <v>0</v>
      </c>
      <c r="N51" s="536" t="s">
        <v>2317</v>
      </c>
    </row>
    <row r="52" spans="1:14" ht="17.25" customHeight="1">
      <c r="A52" s="16">
        <v>3</v>
      </c>
      <c r="B52" s="1858" t="s">
        <v>303</v>
      </c>
      <c r="C52" s="1858"/>
      <c r="D52" s="1858"/>
      <c r="E52" s="1858"/>
      <c r="F52" s="1858"/>
      <c r="G52" s="1858"/>
      <c r="H52" s="1858"/>
      <c r="I52" s="537"/>
      <c r="J52" s="538"/>
      <c r="K52" s="16"/>
      <c r="L52" s="208"/>
      <c r="M52" s="38"/>
      <c r="N52" s="536" t="s">
        <v>2318</v>
      </c>
    </row>
    <row r="53" spans="1:14" s="544" customFormat="1" ht="16.5" customHeight="1">
      <c r="A53" s="16"/>
      <c r="B53" s="39" t="s">
        <v>2843</v>
      </c>
      <c r="C53" s="537"/>
      <c r="D53" s="539"/>
      <c r="E53" s="540"/>
      <c r="F53" s="541"/>
      <c r="G53" s="541"/>
      <c r="H53" s="541"/>
      <c r="I53" s="542"/>
      <c r="J53" s="553"/>
      <c r="K53" s="39"/>
      <c r="L53" s="208"/>
      <c r="M53" s="39"/>
      <c r="N53" s="536" t="s">
        <v>2318</v>
      </c>
    </row>
    <row r="54" spans="1:14" s="544" customFormat="1" ht="16.5" customHeight="1">
      <c r="A54" s="16"/>
      <c r="B54" s="39" t="s">
        <v>1239</v>
      </c>
      <c r="C54" s="537">
        <v>1</v>
      </c>
      <c r="D54" s="539" t="s">
        <v>273</v>
      </c>
      <c r="E54" s="540">
        <v>2</v>
      </c>
      <c r="F54" s="541">
        <v>2.72</v>
      </c>
      <c r="G54" s="541">
        <v>0.23</v>
      </c>
      <c r="H54" s="541">
        <v>0.3</v>
      </c>
      <c r="I54" s="545">
        <f>ROUND(IF(AND(F54:H54),C54*E54*F54*G54*H54,IF(AND(F54,G54),C54*E54*F54*G54,IF(AND(F54,H54),C54*E54*F54*H54,IF(AND(G54,H54),C54*E54*G54*H54,IF(F54,C54*E54*F54,IF(G54,C54*E54*G54,IF(H54,C54*E54*H54,C54*E54))))))),2)</f>
        <v>0.38</v>
      </c>
      <c r="J54" s="553" t="s">
        <v>5</v>
      </c>
      <c r="K54" s="39"/>
      <c r="L54" s="208"/>
      <c r="M54" s="39"/>
      <c r="N54" s="536" t="s">
        <v>2318</v>
      </c>
    </row>
    <row r="55" spans="1:14" s="544" customFormat="1" ht="16.5" customHeight="1">
      <c r="A55" s="16"/>
      <c r="B55" s="39" t="s">
        <v>1239</v>
      </c>
      <c r="C55" s="537">
        <v>1</v>
      </c>
      <c r="D55" s="539" t="s">
        <v>273</v>
      </c>
      <c r="E55" s="540">
        <v>2</v>
      </c>
      <c r="F55" s="541">
        <v>5.5</v>
      </c>
      <c r="G55" s="541">
        <v>0.23</v>
      </c>
      <c r="H55" s="541">
        <v>0.3</v>
      </c>
      <c r="I55" s="545">
        <f>ROUND(IF(AND(F55:H55),C55*E55*F55*G55*H55,IF(AND(F55,G55),C55*E55*F55*G55,IF(AND(F55,H55),C55*E55*F55*H55,IF(AND(G55,H55),C55*E55*G55*H55,IF(F55,C55*E55*F55,IF(G55,C55*E55*G55,IF(H55,C55*E55*H55,C55*E55))))))),2)</f>
        <v>0.76</v>
      </c>
      <c r="J55" s="553" t="s">
        <v>5</v>
      </c>
      <c r="K55" s="39"/>
      <c r="L55" s="208"/>
      <c r="M55" s="39"/>
      <c r="N55" s="536" t="s">
        <v>2318</v>
      </c>
    </row>
    <row r="56" spans="1:14" s="544" customFormat="1" ht="16.5" customHeight="1">
      <c r="A56" s="16"/>
      <c r="B56" s="547"/>
      <c r="C56" s="548"/>
      <c r="D56" s="549"/>
      <c r="E56" s="550"/>
      <c r="F56" s="551"/>
      <c r="G56" s="551"/>
      <c r="H56" s="551"/>
      <c r="I56" s="552"/>
      <c r="J56" s="553"/>
      <c r="K56" s="39"/>
      <c r="L56" s="208"/>
      <c r="M56" s="39"/>
      <c r="N56" s="536" t="s">
        <v>2318</v>
      </c>
    </row>
    <row r="57" spans="1:14" ht="15.75">
      <c r="A57" s="16"/>
      <c r="B57" s="39"/>
      <c r="C57" s="554"/>
      <c r="D57" s="555"/>
      <c r="E57" s="540"/>
      <c r="F57" s="541"/>
      <c r="G57" s="40"/>
      <c r="H57" s="16"/>
      <c r="I57" s="552"/>
      <c r="J57" s="553" t="s">
        <v>5</v>
      </c>
      <c r="K57" s="10">
        <f>data!G2932</f>
        <v>11098.560000000001</v>
      </c>
      <c r="L57" s="208" t="s">
        <v>2318</v>
      </c>
      <c r="M57" s="9">
        <f>ROUND(I57*K57,0)</f>
        <v>0</v>
      </c>
      <c r="N57" s="536" t="s">
        <v>2318</v>
      </c>
    </row>
    <row r="58" spans="1:14" ht="17.25" customHeight="1">
      <c r="A58" s="16">
        <v>11</v>
      </c>
      <c r="B58" s="1858" t="s">
        <v>304</v>
      </c>
      <c r="C58" s="1858"/>
      <c r="D58" s="1858"/>
      <c r="E58" s="1858"/>
      <c r="F58" s="1858"/>
      <c r="G58" s="1858"/>
      <c r="H58" s="1858"/>
      <c r="I58" s="537"/>
      <c r="J58" s="538"/>
      <c r="K58" s="16"/>
      <c r="L58" s="208"/>
      <c r="M58" s="38"/>
      <c r="N58" s="536" t="s">
        <v>2218</v>
      </c>
    </row>
    <row r="59" spans="1:14" s="544" customFormat="1" ht="16.5" customHeight="1">
      <c r="A59" s="16"/>
      <c r="B59" s="39" t="s">
        <v>2899</v>
      </c>
      <c r="C59" s="537"/>
      <c r="D59" s="539"/>
      <c r="E59" s="540"/>
      <c r="F59" s="541"/>
      <c r="G59" s="541"/>
      <c r="H59" s="541"/>
      <c r="I59" s="542"/>
      <c r="J59" s="553"/>
      <c r="K59" s="39"/>
      <c r="L59" s="208"/>
      <c r="M59" s="39"/>
      <c r="N59" s="536" t="s">
        <v>2218</v>
      </c>
    </row>
    <row r="60" spans="1:14" s="544" customFormat="1" ht="16.5" customHeight="1">
      <c r="A60" s="16"/>
      <c r="B60" s="39" t="s">
        <v>267</v>
      </c>
      <c r="C60" s="537">
        <v>1</v>
      </c>
      <c r="D60" s="539" t="s">
        <v>273</v>
      </c>
      <c r="E60" s="540">
        <v>1</v>
      </c>
      <c r="F60" s="541">
        <v>3.23</v>
      </c>
      <c r="G60" s="541">
        <v>1.28</v>
      </c>
      <c r="H60" s="541">
        <v>0</v>
      </c>
      <c r="I60" s="545">
        <f>ROUND(IF(AND(F60:H60),C60*E60*F60*G60*H60,IF(AND(F60,G60),C60*E60*F60*G60,IF(AND(F60,H60),C60*E60*F60*H60,IF(AND(G60,H60),C60*E60*G60*H60,IF(F60,C60*E60*F60,IF(G60,C60*E60*G60,IF(H60,C60*E60*H60,C60*E60))))))),2)</f>
        <v>4.13</v>
      </c>
      <c r="J60" s="553" t="s">
        <v>102</v>
      </c>
      <c r="K60" s="39"/>
      <c r="L60" s="208"/>
      <c r="M60" s="39"/>
      <c r="N60" s="536" t="s">
        <v>2218</v>
      </c>
    </row>
    <row r="61" spans="1:14" s="544" customFormat="1" ht="16.5" customHeight="1">
      <c r="A61" s="16"/>
      <c r="B61" s="39" t="s">
        <v>801</v>
      </c>
      <c r="C61" s="537">
        <v>1</v>
      </c>
      <c r="D61" s="539" t="s">
        <v>273</v>
      </c>
      <c r="E61" s="540">
        <v>1</v>
      </c>
      <c r="F61" s="541">
        <v>2.72</v>
      </c>
      <c r="G61" s="541">
        <v>1</v>
      </c>
      <c r="H61" s="541">
        <v>0</v>
      </c>
      <c r="I61" s="545">
        <f>ROUND(IF(AND(F61:H61),C61*E61*F61*G61*H61,IF(AND(F61,G61),C61*E61*F61*G61,IF(AND(F61,H61),C61*E61*F61*H61,IF(AND(G61,H61),C61*E61*G61*H61,IF(F61,C61*E61*F61,IF(G61,C61*E61*G61,IF(H61,C61*E61*H61,C61*E61))))))),2)</f>
        <v>2.72</v>
      </c>
      <c r="J61" s="553" t="s">
        <v>102</v>
      </c>
      <c r="K61" s="39"/>
      <c r="L61" s="208"/>
      <c r="M61" s="39"/>
      <c r="N61" s="536" t="s">
        <v>2218</v>
      </c>
    </row>
    <row r="62" spans="1:14" s="544" customFormat="1" ht="16.5" customHeight="1">
      <c r="A62" s="16"/>
      <c r="B62" s="547"/>
      <c r="C62" s="548"/>
      <c r="D62" s="549"/>
      <c r="E62" s="550"/>
      <c r="F62" s="551"/>
      <c r="G62" s="551"/>
      <c r="H62" s="551"/>
      <c r="I62" s="552"/>
      <c r="J62" s="553"/>
      <c r="K62" s="39"/>
      <c r="L62" s="208"/>
      <c r="M62" s="39"/>
      <c r="N62" s="536" t="s">
        <v>2218</v>
      </c>
    </row>
    <row r="63" spans="1:14" ht="15.75">
      <c r="A63" s="16"/>
      <c r="B63" s="39"/>
      <c r="C63" s="554"/>
      <c r="D63" s="555"/>
      <c r="E63" s="540"/>
      <c r="F63" s="541"/>
      <c r="G63" s="40"/>
      <c r="H63" s="16"/>
      <c r="I63" s="552"/>
      <c r="J63" s="553" t="s">
        <v>102</v>
      </c>
      <c r="K63" s="10">
        <f>data!G203</f>
        <v>1519.49</v>
      </c>
      <c r="L63" s="208" t="s">
        <v>2218</v>
      </c>
      <c r="M63" s="9">
        <f>ROUND(I63*K63,0)</f>
        <v>0</v>
      </c>
      <c r="N63" s="536" t="s">
        <v>2218</v>
      </c>
    </row>
    <row r="64" spans="1:14" ht="17.25" customHeight="1">
      <c r="A64" s="16">
        <v>11</v>
      </c>
      <c r="B64" s="1858" t="s">
        <v>304</v>
      </c>
      <c r="C64" s="1858"/>
      <c r="D64" s="1858"/>
      <c r="E64" s="1858"/>
      <c r="F64" s="1858"/>
      <c r="G64" s="1858"/>
      <c r="H64" s="1858"/>
      <c r="I64" s="537"/>
      <c r="J64" s="538"/>
      <c r="K64" s="16"/>
      <c r="L64" s="208"/>
      <c r="M64" s="38"/>
      <c r="N64" s="536" t="s">
        <v>2306</v>
      </c>
    </row>
    <row r="65" spans="1:14" s="544" customFormat="1" ht="16.5" customHeight="1">
      <c r="A65" s="16"/>
      <c r="B65" s="39" t="s">
        <v>2899</v>
      </c>
      <c r="C65" s="537"/>
      <c r="D65" s="539"/>
      <c r="E65" s="540"/>
      <c r="F65" s="541"/>
      <c r="G65" s="541"/>
      <c r="H65" s="541"/>
      <c r="I65" s="542"/>
      <c r="J65" s="553"/>
      <c r="K65" s="39"/>
      <c r="L65" s="208"/>
      <c r="M65" s="39"/>
      <c r="N65" s="536" t="s">
        <v>2306</v>
      </c>
    </row>
    <row r="66" spans="1:14" s="544" customFormat="1" ht="16.5" customHeight="1">
      <c r="A66" s="16"/>
      <c r="B66" s="39" t="s">
        <v>267</v>
      </c>
      <c r="C66" s="537">
        <v>1</v>
      </c>
      <c r="D66" s="539" t="s">
        <v>273</v>
      </c>
      <c r="E66" s="540">
        <v>1</v>
      </c>
      <c r="F66" s="541">
        <v>3.23</v>
      </c>
      <c r="G66" s="541">
        <v>1.28</v>
      </c>
      <c r="H66" s="541">
        <v>0</v>
      </c>
      <c r="I66" s="545">
        <f>ROUND(IF(AND(F66:H66),C66*E66*F66*G66*H66,IF(AND(F66,G66),C66*E66*F66*G66,IF(AND(F66,H66),C66*E66*F66*H66,IF(AND(G66,H66),C66*E66*G66*H66,IF(F66,C66*E66*F66,IF(G66,C66*E66*G66,IF(H66,C66*E66*H66,C66*E66))))))),2)</f>
        <v>4.13</v>
      </c>
      <c r="J66" s="553" t="s">
        <v>102</v>
      </c>
      <c r="K66" s="39"/>
      <c r="L66" s="208"/>
      <c r="M66" s="39"/>
      <c r="N66" s="536" t="s">
        <v>2306</v>
      </c>
    </row>
    <row r="67" spans="1:14" s="544" customFormat="1" ht="16.5" customHeight="1">
      <c r="A67" s="16"/>
      <c r="B67" s="39" t="s">
        <v>801</v>
      </c>
      <c r="C67" s="537">
        <v>1</v>
      </c>
      <c r="D67" s="539" t="s">
        <v>273</v>
      </c>
      <c r="E67" s="540">
        <v>1</v>
      </c>
      <c r="F67" s="541">
        <v>2.72</v>
      </c>
      <c r="G67" s="541">
        <v>1</v>
      </c>
      <c r="H67" s="541">
        <v>0</v>
      </c>
      <c r="I67" s="545">
        <f>ROUND(IF(AND(F67:H67),C67*E67*F67*G67*H67,IF(AND(F67,G67),C67*E67*F67*G67,IF(AND(F67,H67),C67*E67*F67*H67,IF(AND(G67,H67),C67*E67*G67*H67,IF(F67,C67*E67*F67,IF(G67,C67*E67*G67,IF(H67,C67*E67*H67,C67*E67))))))),2)</f>
        <v>2.72</v>
      </c>
      <c r="J67" s="553" t="s">
        <v>102</v>
      </c>
      <c r="K67" s="39"/>
      <c r="L67" s="208"/>
      <c r="M67" s="39"/>
      <c r="N67" s="536" t="s">
        <v>2306</v>
      </c>
    </row>
    <row r="68" spans="1:14" s="544" customFormat="1" ht="16.5" customHeight="1">
      <c r="A68" s="16"/>
      <c r="B68" s="547"/>
      <c r="C68" s="548"/>
      <c r="D68" s="549"/>
      <c r="E68" s="550"/>
      <c r="F68" s="551"/>
      <c r="G68" s="551"/>
      <c r="H68" s="551"/>
      <c r="I68" s="552"/>
      <c r="J68" s="553"/>
      <c r="K68" s="39"/>
      <c r="L68" s="208"/>
      <c r="M68" s="39"/>
      <c r="N68" s="536" t="s">
        <v>2306</v>
      </c>
    </row>
    <row r="69" spans="1:14" ht="15.75">
      <c r="A69" s="16"/>
      <c r="B69" s="39"/>
      <c r="C69" s="554"/>
      <c r="D69" s="555"/>
      <c r="E69" s="540"/>
      <c r="F69" s="541"/>
      <c r="G69" s="40"/>
      <c r="H69" s="16"/>
      <c r="I69" s="552"/>
      <c r="J69" s="553" t="s">
        <v>102</v>
      </c>
      <c r="K69" s="10">
        <f>data!G1119</f>
        <v>1573.5</v>
      </c>
      <c r="L69" s="208" t="s">
        <v>2306</v>
      </c>
      <c r="M69" s="9">
        <f>ROUND(I69*K69,0)</f>
        <v>0</v>
      </c>
      <c r="N69" s="536" t="s">
        <v>2306</v>
      </c>
    </row>
    <row r="70" spans="1:14" ht="17.25" customHeight="1">
      <c r="A70" s="16">
        <v>11</v>
      </c>
      <c r="B70" s="1858" t="s">
        <v>304</v>
      </c>
      <c r="C70" s="1858"/>
      <c r="D70" s="1858"/>
      <c r="E70" s="1858"/>
      <c r="F70" s="1858"/>
      <c r="G70" s="1858"/>
      <c r="H70" s="1858"/>
      <c r="I70" s="537"/>
      <c r="J70" s="538"/>
      <c r="K70" s="16"/>
      <c r="L70" s="208"/>
      <c r="M70" s="38"/>
      <c r="N70" s="536" t="s">
        <v>2317</v>
      </c>
    </row>
    <row r="71" spans="1:14" s="544" customFormat="1" ht="16.5" customHeight="1">
      <c r="A71" s="16"/>
      <c r="B71" s="39" t="s">
        <v>2899</v>
      </c>
      <c r="C71" s="537"/>
      <c r="D71" s="539"/>
      <c r="E71" s="540"/>
      <c r="F71" s="541"/>
      <c r="G71" s="541"/>
      <c r="H71" s="541"/>
      <c r="I71" s="542"/>
      <c r="J71" s="553"/>
      <c r="K71" s="39"/>
      <c r="L71" s="208"/>
      <c r="M71" s="39"/>
      <c r="N71" s="536" t="s">
        <v>2317</v>
      </c>
    </row>
    <row r="72" spans="1:14" s="544" customFormat="1" ht="16.5" customHeight="1">
      <c r="A72" s="16"/>
      <c r="B72" s="39" t="s">
        <v>267</v>
      </c>
      <c r="C72" s="537">
        <v>1</v>
      </c>
      <c r="D72" s="539" t="s">
        <v>273</v>
      </c>
      <c r="E72" s="540">
        <v>1</v>
      </c>
      <c r="F72" s="541">
        <v>3.23</v>
      </c>
      <c r="G72" s="541">
        <v>1.28</v>
      </c>
      <c r="H72" s="541">
        <v>0</v>
      </c>
      <c r="I72" s="545">
        <f>ROUND(IF(AND(F72:H72),C72*E72*F72*G72*H72,IF(AND(F72,G72),C72*E72*F72*G72,IF(AND(F72,H72),C72*E72*F72*H72,IF(AND(G72,H72),C72*E72*G72*H72,IF(F72,C72*E72*F72,IF(G72,C72*E72*G72,IF(H72,C72*E72*H72,C72*E72))))))),2)</f>
        <v>4.13</v>
      </c>
      <c r="J72" s="553" t="s">
        <v>102</v>
      </c>
      <c r="K72" s="39"/>
      <c r="L72" s="208"/>
      <c r="M72" s="39"/>
      <c r="N72" s="536" t="s">
        <v>2317</v>
      </c>
    </row>
    <row r="73" spans="1:14" s="544" customFormat="1" ht="16.5" customHeight="1">
      <c r="A73" s="16"/>
      <c r="B73" s="39" t="s">
        <v>801</v>
      </c>
      <c r="C73" s="537">
        <v>1</v>
      </c>
      <c r="D73" s="539" t="s">
        <v>273</v>
      </c>
      <c r="E73" s="540">
        <v>1</v>
      </c>
      <c r="F73" s="541">
        <v>2.72</v>
      </c>
      <c r="G73" s="541">
        <v>1</v>
      </c>
      <c r="H73" s="541">
        <v>0</v>
      </c>
      <c r="I73" s="545">
        <f>ROUND(IF(AND(F73:H73),C73*E73*F73*G73*H73,IF(AND(F73,G73),C73*E73*F73*G73,IF(AND(F73,H73),C73*E73*F73*H73,IF(AND(G73,H73),C73*E73*G73*H73,IF(F73,C73*E73*F73,IF(G73,C73*E73*G73,IF(H73,C73*E73*H73,C73*E73))))))),2)</f>
        <v>2.72</v>
      </c>
      <c r="J73" s="553" t="s">
        <v>102</v>
      </c>
      <c r="K73" s="39"/>
      <c r="L73" s="208"/>
      <c r="M73" s="39"/>
      <c r="N73" s="536" t="s">
        <v>2317</v>
      </c>
    </row>
    <row r="74" spans="1:14" s="544" customFormat="1" ht="16.5" customHeight="1">
      <c r="A74" s="16"/>
      <c r="B74" s="547"/>
      <c r="C74" s="548"/>
      <c r="D74" s="549"/>
      <c r="E74" s="550"/>
      <c r="F74" s="551"/>
      <c r="G74" s="551"/>
      <c r="H74" s="551"/>
      <c r="I74" s="552"/>
      <c r="J74" s="553"/>
      <c r="K74" s="39"/>
      <c r="L74" s="208"/>
      <c r="M74" s="39"/>
      <c r="N74" s="536" t="s">
        <v>2317</v>
      </c>
    </row>
    <row r="75" spans="1:14" ht="15.75">
      <c r="A75" s="16"/>
      <c r="B75" s="39"/>
      <c r="C75" s="554"/>
      <c r="D75" s="555"/>
      <c r="E75" s="540"/>
      <c r="F75" s="541"/>
      <c r="G75" s="40"/>
      <c r="H75" s="16"/>
      <c r="I75" s="552"/>
      <c r="J75" s="553" t="s">
        <v>102</v>
      </c>
      <c r="K75" s="10">
        <f>data!G2036</f>
        <v>1675.0100000000002</v>
      </c>
      <c r="L75" s="208" t="s">
        <v>2317</v>
      </c>
      <c r="M75" s="9">
        <f>ROUND(I75*K75,0)</f>
        <v>0</v>
      </c>
      <c r="N75" s="536" t="s">
        <v>2317</v>
      </c>
    </row>
    <row r="76" spans="1:14" ht="17.25" customHeight="1">
      <c r="A76" s="16">
        <v>11</v>
      </c>
      <c r="B76" s="1858" t="s">
        <v>304</v>
      </c>
      <c r="C76" s="1858"/>
      <c r="D76" s="1858"/>
      <c r="E76" s="1858"/>
      <c r="F76" s="1858"/>
      <c r="G76" s="1858"/>
      <c r="H76" s="1858"/>
      <c r="I76" s="537"/>
      <c r="J76" s="538"/>
      <c r="K76" s="16"/>
      <c r="L76" s="208"/>
      <c r="M76" s="38"/>
      <c r="N76" s="536" t="s">
        <v>2318</v>
      </c>
    </row>
    <row r="77" spans="1:14" s="544" customFormat="1" ht="16.5" customHeight="1">
      <c r="A77" s="16"/>
      <c r="B77" s="39" t="s">
        <v>2899</v>
      </c>
      <c r="C77" s="537"/>
      <c r="D77" s="539"/>
      <c r="E77" s="540"/>
      <c r="F77" s="541"/>
      <c r="G77" s="541"/>
      <c r="H77" s="541"/>
      <c r="I77" s="542"/>
      <c r="J77" s="553"/>
      <c r="K77" s="39"/>
      <c r="L77" s="208"/>
      <c r="M77" s="39"/>
      <c r="N77" s="536" t="s">
        <v>2318</v>
      </c>
    </row>
    <row r="78" spans="1:14" s="544" customFormat="1" ht="16.5" customHeight="1">
      <c r="A78" s="16"/>
      <c r="B78" s="39" t="s">
        <v>267</v>
      </c>
      <c r="C78" s="537">
        <v>1</v>
      </c>
      <c r="D78" s="539" t="s">
        <v>273</v>
      </c>
      <c r="E78" s="540">
        <v>1</v>
      </c>
      <c r="F78" s="541">
        <v>3.23</v>
      </c>
      <c r="G78" s="541">
        <v>1.28</v>
      </c>
      <c r="H78" s="541">
        <v>0</v>
      </c>
      <c r="I78" s="545">
        <f>ROUND(IF(AND(F78:H78),C78*E78*F78*G78*H78,IF(AND(F78,G78),C78*E78*F78*G78,IF(AND(F78,H78),C78*E78*F78*H78,IF(AND(G78,H78),C78*E78*G78*H78,IF(F78,C78*E78*F78,IF(G78,C78*E78*G78,IF(H78,C78*E78*H78,C78*E78))))))),2)</f>
        <v>4.13</v>
      </c>
      <c r="J78" s="553" t="s">
        <v>102</v>
      </c>
      <c r="K78" s="39"/>
      <c r="L78" s="208"/>
      <c r="M78" s="39"/>
      <c r="N78" s="536" t="s">
        <v>2318</v>
      </c>
    </row>
    <row r="79" spans="1:14" s="544" customFormat="1" ht="16.5" customHeight="1">
      <c r="A79" s="16"/>
      <c r="B79" s="39" t="s">
        <v>801</v>
      </c>
      <c r="C79" s="537">
        <v>1</v>
      </c>
      <c r="D79" s="539" t="s">
        <v>273</v>
      </c>
      <c r="E79" s="540">
        <v>1</v>
      </c>
      <c r="F79" s="541">
        <v>2.72</v>
      </c>
      <c r="G79" s="541">
        <v>1</v>
      </c>
      <c r="H79" s="541">
        <v>0</v>
      </c>
      <c r="I79" s="545">
        <f>ROUND(IF(AND(F79:H79),C79*E79*F79*G79*H79,IF(AND(F79,G79),C79*E79*F79*G79,IF(AND(F79,H79),C79*E79*F79*H79,IF(AND(G79,H79),C79*E79*G79*H79,IF(F79,C79*E79*F79,IF(G79,C79*E79*G79,IF(H79,C79*E79*H79,C79*E79))))))),2)</f>
        <v>2.72</v>
      </c>
      <c r="J79" s="553" t="s">
        <v>102</v>
      </c>
      <c r="K79" s="39"/>
      <c r="L79" s="208"/>
      <c r="M79" s="39"/>
      <c r="N79" s="536" t="s">
        <v>2318</v>
      </c>
    </row>
    <row r="80" spans="1:14" s="544" customFormat="1" ht="16.5" customHeight="1">
      <c r="A80" s="16"/>
      <c r="B80" s="547"/>
      <c r="C80" s="548"/>
      <c r="D80" s="549"/>
      <c r="E80" s="550"/>
      <c r="F80" s="551"/>
      <c r="G80" s="551"/>
      <c r="H80" s="551"/>
      <c r="I80" s="552"/>
      <c r="J80" s="553"/>
      <c r="K80" s="39"/>
      <c r="L80" s="208"/>
      <c r="M80" s="39"/>
      <c r="N80" s="536" t="s">
        <v>2318</v>
      </c>
    </row>
    <row r="81" spans="1:14" ht="15.75">
      <c r="A81" s="16"/>
      <c r="B81" s="39"/>
      <c r="C81" s="554"/>
      <c r="D81" s="555"/>
      <c r="E81" s="540"/>
      <c r="F81" s="541"/>
      <c r="G81" s="40"/>
      <c r="H81" s="16"/>
      <c r="I81" s="552"/>
      <c r="J81" s="553" t="s">
        <v>102</v>
      </c>
      <c r="K81" s="10">
        <f>data!G2953</f>
        <v>1737.05</v>
      </c>
      <c r="L81" s="208" t="s">
        <v>2318</v>
      </c>
      <c r="M81" s="9">
        <f>ROUND(I81*K81,0)</f>
        <v>0</v>
      </c>
      <c r="N81" s="536" t="s">
        <v>2318</v>
      </c>
    </row>
    <row r="82" spans="1:14" ht="17.25" customHeight="1">
      <c r="A82" s="16">
        <v>3</v>
      </c>
      <c r="B82" s="1858" t="s">
        <v>305</v>
      </c>
      <c r="C82" s="1858"/>
      <c r="D82" s="1858"/>
      <c r="E82" s="1858"/>
      <c r="F82" s="1858"/>
      <c r="G82" s="1858"/>
      <c r="H82" s="1858"/>
      <c r="I82" s="537"/>
      <c r="J82" s="538"/>
      <c r="K82" s="16"/>
      <c r="L82" s="208"/>
      <c r="M82" s="38"/>
      <c r="N82" s="536" t="s">
        <v>2218</v>
      </c>
    </row>
    <row r="83" spans="1:14" s="544" customFormat="1" ht="16.5" customHeight="1">
      <c r="A83" s="16"/>
      <c r="B83" s="39" t="s">
        <v>2869</v>
      </c>
      <c r="C83" s="537"/>
      <c r="D83" s="539"/>
      <c r="E83" s="540"/>
      <c r="F83" s="541"/>
      <c r="G83" s="541"/>
      <c r="H83" s="541"/>
      <c r="I83" s="542"/>
      <c r="J83" s="553"/>
      <c r="K83" s="39"/>
      <c r="L83" s="16"/>
      <c r="M83" s="39"/>
      <c r="N83" s="536" t="s">
        <v>2218</v>
      </c>
    </row>
    <row r="84" spans="1:14" s="544" customFormat="1" ht="16.5" customHeight="1">
      <c r="A84" s="16"/>
      <c r="B84" s="39"/>
      <c r="C84" s="537">
        <v>1</v>
      </c>
      <c r="D84" s="539" t="s">
        <v>273</v>
      </c>
      <c r="E84" s="540">
        <v>1</v>
      </c>
      <c r="F84" s="541">
        <v>5.5</v>
      </c>
      <c r="G84" s="541">
        <v>3.9</v>
      </c>
      <c r="H84" s="541">
        <v>0</v>
      </c>
      <c r="I84" s="545">
        <f t="shared" ref="I84" si="4">ROUND(IF(AND(F84:H84),C84*E84*F84*G84*H84,IF(AND(F84,G84),C84*E84*F84*G84,IF(AND(F84,H84),C84*E84*F84*H84,IF(AND(G84,H84),C84*E84*G84*H84,IF(F84,C84*E84*F84,IF(G84,C84*E84*G84,IF(H84,C84*E84*H84,C84*E84))))))),2)</f>
        <v>21.45</v>
      </c>
      <c r="J84" s="553" t="s">
        <v>102</v>
      </c>
      <c r="K84" s="39"/>
      <c r="L84" s="16"/>
      <c r="M84" s="39"/>
      <c r="N84" s="536" t="s">
        <v>2218</v>
      </c>
    </row>
    <row r="85" spans="1:14" s="544" customFormat="1" ht="16.5" customHeight="1">
      <c r="A85" s="16"/>
      <c r="B85" s="574"/>
      <c r="C85" s="575"/>
      <c r="D85" s="558"/>
      <c r="E85" s="576"/>
      <c r="F85" s="577"/>
      <c r="G85" s="577"/>
      <c r="H85" s="578"/>
      <c r="I85" s="560"/>
      <c r="J85" s="553"/>
      <c r="K85" s="39"/>
      <c r="L85" s="208"/>
      <c r="M85" s="39"/>
      <c r="N85" s="536" t="s">
        <v>2218</v>
      </c>
    </row>
    <row r="86" spans="1:14" ht="15.75">
      <c r="A86" s="16"/>
      <c r="B86" s="39"/>
      <c r="C86" s="554"/>
      <c r="D86" s="555"/>
      <c r="E86" s="540"/>
      <c r="F86" s="541"/>
      <c r="G86" s="40"/>
      <c r="H86" s="16"/>
      <c r="I86" s="552"/>
      <c r="J86" s="553" t="s">
        <v>102</v>
      </c>
      <c r="K86" s="10">
        <f>data!G196</f>
        <v>1395.34</v>
      </c>
      <c r="L86" s="208" t="s">
        <v>2218</v>
      </c>
      <c r="M86" s="9">
        <f>ROUND(I86*K86,0)</f>
        <v>0</v>
      </c>
      <c r="N86" s="536" t="s">
        <v>2218</v>
      </c>
    </row>
    <row r="87" spans="1:14" ht="17.25" customHeight="1">
      <c r="A87" s="16">
        <v>3</v>
      </c>
      <c r="B87" s="1858" t="s">
        <v>305</v>
      </c>
      <c r="C87" s="1858"/>
      <c r="D87" s="1858"/>
      <c r="E87" s="1858"/>
      <c r="F87" s="1858"/>
      <c r="G87" s="1858"/>
      <c r="H87" s="1858"/>
      <c r="I87" s="537"/>
      <c r="J87" s="538"/>
      <c r="K87" s="16"/>
      <c r="L87" s="208"/>
      <c r="M87" s="38"/>
      <c r="N87" s="536" t="s">
        <v>2306</v>
      </c>
    </row>
    <row r="88" spans="1:14" s="544" customFormat="1" ht="16.5" customHeight="1">
      <c r="A88" s="16"/>
      <c r="B88" s="39" t="s">
        <v>2873</v>
      </c>
      <c r="C88" s="537"/>
      <c r="D88" s="539"/>
      <c r="E88" s="540"/>
      <c r="F88" s="541"/>
      <c r="G88" s="541"/>
      <c r="H88" s="541"/>
      <c r="I88" s="542"/>
      <c r="J88" s="553"/>
      <c r="K88" s="39"/>
      <c r="L88" s="16"/>
      <c r="M88" s="39"/>
      <c r="N88" s="536" t="s">
        <v>2306</v>
      </c>
    </row>
    <row r="89" spans="1:14" s="544" customFormat="1" ht="16.5" customHeight="1">
      <c r="A89" s="16"/>
      <c r="B89" s="39" t="s">
        <v>1631</v>
      </c>
      <c r="C89" s="537">
        <v>1</v>
      </c>
      <c r="D89" s="539" t="s">
        <v>273</v>
      </c>
      <c r="E89" s="540">
        <v>1</v>
      </c>
      <c r="F89" s="541">
        <v>5.22</v>
      </c>
      <c r="G89" s="541">
        <v>3.78</v>
      </c>
      <c r="H89" s="541">
        <v>0</v>
      </c>
      <c r="I89" s="545">
        <f>ROUND(IF(AND(F89:H89),C89*E89*F89*G89*H89,IF(AND(F89,G89),C89*E89*F89*G89,IF(AND(F89,H89),C89*E89*F89*H89,IF(AND(G89,H89),C89*E89*G89*H89,IF(F89,C89*E89*F89,IF(G89,C89*E89*G89,IF(H89,C89*E89*H89,C89*E89))))))),2)</f>
        <v>19.73</v>
      </c>
      <c r="J89" s="553" t="s">
        <v>102</v>
      </c>
      <c r="K89" s="39"/>
      <c r="L89" s="16"/>
      <c r="M89" s="39"/>
      <c r="N89" s="536" t="s">
        <v>2306</v>
      </c>
    </row>
    <row r="90" spans="1:14" s="544" customFormat="1" ht="16.5" customHeight="1">
      <c r="A90" s="16"/>
      <c r="B90" s="574"/>
      <c r="C90" s="575"/>
      <c r="D90" s="558"/>
      <c r="E90" s="576"/>
      <c r="F90" s="577"/>
      <c r="G90" s="577"/>
      <c r="H90" s="578"/>
      <c r="I90" s="560"/>
      <c r="J90" s="553"/>
      <c r="K90" s="39"/>
      <c r="L90" s="208"/>
      <c r="M90" s="39"/>
      <c r="N90" s="536" t="s">
        <v>2306</v>
      </c>
    </row>
    <row r="91" spans="1:14" ht="15.75">
      <c r="A91" s="16"/>
      <c r="B91" s="39"/>
      <c r="C91" s="554"/>
      <c r="D91" s="555"/>
      <c r="E91" s="540"/>
      <c r="F91" s="541"/>
      <c r="G91" s="40"/>
      <c r="H91" s="16"/>
      <c r="I91" s="552"/>
      <c r="J91" s="553" t="s">
        <v>102</v>
      </c>
      <c r="K91" s="10">
        <f>data!G1112</f>
        <v>1443.96</v>
      </c>
      <c r="L91" s="208" t="s">
        <v>2306</v>
      </c>
      <c r="M91" s="9">
        <f>ROUND(I91*K91,0)</f>
        <v>0</v>
      </c>
      <c r="N91" s="536" t="s">
        <v>2306</v>
      </c>
    </row>
    <row r="92" spans="1:14" ht="17.25" customHeight="1">
      <c r="A92" s="16">
        <v>4</v>
      </c>
      <c r="B92" s="1858" t="s">
        <v>305</v>
      </c>
      <c r="C92" s="1858"/>
      <c r="D92" s="1858"/>
      <c r="E92" s="1858"/>
      <c r="F92" s="1858"/>
      <c r="G92" s="1858"/>
      <c r="H92" s="1858"/>
      <c r="I92" s="537"/>
      <c r="J92" s="538"/>
      <c r="K92" s="16"/>
      <c r="L92" s="208"/>
      <c r="M92" s="38"/>
      <c r="N92" s="536" t="s">
        <v>2317</v>
      </c>
    </row>
    <row r="93" spans="1:14" s="544" customFormat="1" ht="16.5" customHeight="1">
      <c r="A93" s="16"/>
      <c r="B93" s="39" t="s">
        <v>2900</v>
      </c>
      <c r="C93" s="537"/>
      <c r="D93" s="539"/>
      <c r="E93" s="540"/>
      <c r="F93" s="541"/>
      <c r="G93" s="541"/>
      <c r="H93" s="541"/>
      <c r="I93" s="542"/>
      <c r="J93" s="553"/>
      <c r="K93" s="39"/>
      <c r="L93" s="16"/>
      <c r="M93" s="39"/>
      <c r="N93" s="536" t="s">
        <v>2317</v>
      </c>
    </row>
    <row r="94" spans="1:14" s="544" customFormat="1" ht="16.5" customHeight="1">
      <c r="A94" s="16"/>
      <c r="B94" s="39" t="s">
        <v>1631</v>
      </c>
      <c r="C94" s="537">
        <v>1</v>
      </c>
      <c r="D94" s="539" t="s">
        <v>273</v>
      </c>
      <c r="E94" s="540">
        <v>1</v>
      </c>
      <c r="F94" s="541">
        <v>5.5</v>
      </c>
      <c r="G94" s="541">
        <v>3.9</v>
      </c>
      <c r="H94" s="541">
        <v>0</v>
      </c>
      <c r="I94" s="545">
        <f>ROUND(IF(AND(F94:H94),C94*E94*F94*G94*H94,IF(AND(F94,G94),C94*E94*F94*G94,IF(AND(F94,H94),C94*E94*F94*H94,IF(AND(G94,H94),C94*E94*G94*H94,IF(F94,C94*E94*F94,IF(G94,C94*E94*G94,IF(H94,C94*E94*H94,C94*E94))))))),2)</f>
        <v>21.45</v>
      </c>
      <c r="J94" s="553" t="s">
        <v>102</v>
      </c>
      <c r="K94" s="39"/>
      <c r="L94" s="16"/>
      <c r="M94" s="39"/>
      <c r="N94" s="536" t="s">
        <v>2317</v>
      </c>
    </row>
    <row r="95" spans="1:14" s="544" customFormat="1" ht="16.5" customHeight="1">
      <c r="A95" s="16"/>
      <c r="B95" s="574"/>
      <c r="C95" s="575"/>
      <c r="D95" s="558"/>
      <c r="E95" s="576"/>
      <c r="F95" s="577"/>
      <c r="G95" s="577"/>
      <c r="H95" s="578"/>
      <c r="I95" s="560"/>
      <c r="J95" s="553"/>
      <c r="K95" s="39"/>
      <c r="L95" s="208"/>
      <c r="M95" s="39"/>
      <c r="N95" s="536" t="s">
        <v>2317</v>
      </c>
    </row>
    <row r="96" spans="1:14" ht="15.75">
      <c r="A96" s="16"/>
      <c r="B96" s="39"/>
      <c r="C96" s="554"/>
      <c r="D96" s="555"/>
      <c r="E96" s="540"/>
      <c r="F96" s="541"/>
      <c r="G96" s="40"/>
      <c r="H96" s="16"/>
      <c r="I96" s="552"/>
      <c r="J96" s="553" t="s">
        <v>102</v>
      </c>
      <c r="K96" s="10">
        <f>data!G2029</f>
        <v>1539.2800000000002</v>
      </c>
      <c r="L96" s="208" t="s">
        <v>2317</v>
      </c>
      <c r="M96" s="9">
        <f>ROUND(I96*K96,0)</f>
        <v>0</v>
      </c>
      <c r="N96" s="536" t="s">
        <v>2317</v>
      </c>
    </row>
    <row r="97" spans="1:14" ht="17.25" customHeight="1">
      <c r="A97" s="16">
        <v>4</v>
      </c>
      <c r="B97" s="1858" t="s">
        <v>305</v>
      </c>
      <c r="C97" s="1858"/>
      <c r="D97" s="1858"/>
      <c r="E97" s="1858"/>
      <c r="F97" s="1858"/>
      <c r="G97" s="1858"/>
      <c r="H97" s="1858"/>
      <c r="I97" s="537"/>
      <c r="J97" s="538"/>
      <c r="K97" s="16"/>
      <c r="L97" s="208"/>
      <c r="M97" s="38"/>
      <c r="N97" s="536" t="s">
        <v>2318</v>
      </c>
    </row>
    <row r="98" spans="1:14" s="544" customFormat="1" ht="16.5" customHeight="1">
      <c r="A98" s="16"/>
      <c r="B98" s="39" t="s">
        <v>2900</v>
      </c>
      <c r="C98" s="537"/>
      <c r="D98" s="539"/>
      <c r="E98" s="540"/>
      <c r="F98" s="541"/>
      <c r="G98" s="541"/>
      <c r="H98" s="541"/>
      <c r="I98" s="542"/>
      <c r="J98" s="553"/>
      <c r="K98" s="39"/>
      <c r="L98" s="16"/>
      <c r="M98" s="39"/>
      <c r="N98" s="536" t="s">
        <v>2318</v>
      </c>
    </row>
    <row r="99" spans="1:14" s="544" customFormat="1" ht="16.5" customHeight="1">
      <c r="A99" s="16"/>
      <c r="B99" s="39" t="s">
        <v>1631</v>
      </c>
      <c r="C99" s="537">
        <v>1</v>
      </c>
      <c r="D99" s="539" t="s">
        <v>273</v>
      </c>
      <c r="E99" s="540">
        <v>1</v>
      </c>
      <c r="F99" s="541">
        <v>5.5</v>
      </c>
      <c r="G99" s="541">
        <v>3.9</v>
      </c>
      <c r="H99" s="541">
        <v>0</v>
      </c>
      <c r="I99" s="545">
        <f>ROUND(IF(AND(F99:H99),C99*E99*F99*G99*H99,IF(AND(F99,G99),C99*E99*F99*G99,IF(AND(F99,H99),C99*E99*F99*H99,IF(AND(G99,H99),C99*E99*G99*H99,IF(F99,C99*E99*F99,IF(G99,C99*E99*G99,IF(H99,C99*E99*H99,C99*E99))))))),2)</f>
        <v>21.45</v>
      </c>
      <c r="J99" s="553" t="s">
        <v>102</v>
      </c>
      <c r="K99" s="39"/>
      <c r="L99" s="16"/>
      <c r="M99" s="39"/>
      <c r="N99" s="536" t="s">
        <v>2318</v>
      </c>
    </row>
    <row r="100" spans="1:14" s="544" customFormat="1" ht="16.5" customHeight="1">
      <c r="A100" s="16"/>
      <c r="B100" s="574"/>
      <c r="C100" s="575"/>
      <c r="D100" s="558"/>
      <c r="E100" s="576"/>
      <c r="F100" s="577"/>
      <c r="G100" s="577"/>
      <c r="H100" s="578"/>
      <c r="I100" s="560"/>
      <c r="J100" s="553"/>
      <c r="K100" s="39"/>
      <c r="L100" s="208"/>
      <c r="M100" s="39"/>
      <c r="N100" s="536" t="s">
        <v>2318</v>
      </c>
    </row>
    <row r="101" spans="1:14" ht="15.75">
      <c r="A101" s="16"/>
      <c r="B101" s="39"/>
      <c r="C101" s="554"/>
      <c r="D101" s="555"/>
      <c r="E101" s="540"/>
      <c r="F101" s="541"/>
      <c r="G101" s="40"/>
      <c r="H101" s="16"/>
      <c r="I101" s="552"/>
      <c r="J101" s="553" t="s">
        <v>102</v>
      </c>
      <c r="K101" s="10">
        <f>data!G2946</f>
        <v>1594.17</v>
      </c>
      <c r="L101" s="208" t="s">
        <v>2318</v>
      </c>
      <c r="M101" s="9">
        <f>ROUND(I101*K101,0)</f>
        <v>0</v>
      </c>
      <c r="N101" s="536" t="s">
        <v>2318</v>
      </c>
    </row>
    <row r="102" spans="1:14" ht="17.25" customHeight="1">
      <c r="A102" s="16">
        <v>3</v>
      </c>
      <c r="B102" s="1858" t="s">
        <v>582</v>
      </c>
      <c r="C102" s="1858"/>
      <c r="D102" s="1858"/>
      <c r="E102" s="1858"/>
      <c r="F102" s="1858"/>
      <c r="G102" s="1858"/>
      <c r="H102" s="1858"/>
      <c r="I102" s="537"/>
      <c r="J102" s="538"/>
      <c r="K102" s="16"/>
      <c r="L102" s="208"/>
      <c r="M102" s="38"/>
      <c r="N102" s="536" t="s">
        <v>2218</v>
      </c>
    </row>
    <row r="103" spans="1:14" s="544" customFormat="1" ht="16.5" customHeight="1">
      <c r="A103" s="16"/>
      <c r="B103" s="39" t="s">
        <v>3121</v>
      </c>
      <c r="C103" s="537"/>
      <c r="D103" s="1145" t="s">
        <v>3348</v>
      </c>
      <c r="E103" s="540"/>
      <c r="F103" s="541"/>
      <c r="G103" s="541"/>
      <c r="H103" s="541"/>
      <c r="I103" s="542"/>
      <c r="J103" s="553"/>
      <c r="K103" s="39"/>
      <c r="L103" s="208"/>
      <c r="M103" s="39"/>
      <c r="N103" s="536" t="s">
        <v>2218</v>
      </c>
    </row>
    <row r="104" spans="1:14" s="544" customFormat="1" ht="16.5" customHeight="1">
      <c r="A104" s="16"/>
      <c r="B104" s="39"/>
      <c r="C104" s="537">
        <v>1</v>
      </c>
      <c r="D104" s="539" t="s">
        <v>273</v>
      </c>
      <c r="E104" s="540">
        <v>1</v>
      </c>
      <c r="F104" s="541">
        <v>5.2</v>
      </c>
      <c r="G104" s="541">
        <v>3.8</v>
      </c>
      <c r="H104" s="541">
        <v>0</v>
      </c>
      <c r="I104" s="545">
        <f t="shared" ref="I104" si="5">ROUND(IF(AND(F104:H104),C104*E104*F104*G104*H104,IF(AND(F104,G104),C104*E104*F104*G104,IF(AND(F104,H104),C104*E104*F104*H104,IF(AND(G104,H104),C104*E104*G104*H104,IF(F104,C104*E104*F104,IF(G104,C104*E104*G104,IF(H104,C104*E104*H104,C104*E104))))))),2)</f>
        <v>19.760000000000002</v>
      </c>
      <c r="J104" s="553" t="s">
        <v>102</v>
      </c>
      <c r="K104" s="39"/>
      <c r="L104" s="208"/>
      <c r="M104" s="39"/>
      <c r="N104" s="536" t="s">
        <v>2218</v>
      </c>
    </row>
    <row r="105" spans="1:14" s="544" customFormat="1" ht="16.5" customHeight="1">
      <c r="A105" s="16"/>
      <c r="B105" s="574"/>
      <c r="C105" s="575"/>
      <c r="D105" s="558"/>
      <c r="E105" s="576"/>
      <c r="F105" s="577"/>
      <c r="G105" s="577"/>
      <c r="H105" s="578"/>
      <c r="I105" s="560"/>
      <c r="J105" s="553"/>
      <c r="K105" s="39"/>
      <c r="L105" s="208"/>
      <c r="M105" s="39"/>
      <c r="N105" s="536" t="s">
        <v>2218</v>
      </c>
    </row>
    <row r="106" spans="1:14" ht="15.75">
      <c r="A106" s="16"/>
      <c r="B106" s="39"/>
      <c r="C106" s="554"/>
      <c r="D106" s="555"/>
      <c r="E106" s="540"/>
      <c r="F106" s="541"/>
      <c r="G106" s="40"/>
      <c r="H106" s="16"/>
      <c r="I106" s="552"/>
      <c r="J106" s="553" t="s">
        <v>102</v>
      </c>
      <c r="K106" s="10">
        <f>data!G189</f>
        <v>1271.18</v>
      </c>
      <c r="L106" s="208" t="s">
        <v>2218</v>
      </c>
      <c r="M106" s="9">
        <f>ROUND(I106*K106,0)</f>
        <v>0</v>
      </c>
      <c r="N106" s="536" t="s">
        <v>2218</v>
      </c>
    </row>
    <row r="107" spans="1:14" ht="17.25" customHeight="1">
      <c r="A107" s="16">
        <v>13</v>
      </c>
      <c r="B107" s="1858" t="s">
        <v>582</v>
      </c>
      <c r="C107" s="1858"/>
      <c r="D107" s="1858"/>
      <c r="E107" s="1858"/>
      <c r="F107" s="1858"/>
      <c r="G107" s="1858"/>
      <c r="H107" s="1858"/>
      <c r="I107" s="537"/>
      <c r="J107" s="538"/>
      <c r="K107" s="16"/>
      <c r="L107" s="208"/>
      <c r="M107" s="38"/>
      <c r="N107" s="536" t="s">
        <v>2306</v>
      </c>
    </row>
    <row r="108" spans="1:14" s="544" customFormat="1" ht="16.5" customHeight="1">
      <c r="A108" s="16"/>
      <c r="B108" s="39" t="s">
        <v>2883</v>
      </c>
      <c r="C108" s="537"/>
      <c r="D108" s="539"/>
      <c r="E108" s="540"/>
      <c r="F108" s="541"/>
      <c r="G108" s="541"/>
      <c r="H108" s="541"/>
      <c r="I108" s="542"/>
      <c r="J108" s="553"/>
      <c r="K108" s="39"/>
      <c r="L108" s="208"/>
      <c r="M108" s="39"/>
      <c r="N108" s="536" t="s">
        <v>2306</v>
      </c>
    </row>
    <row r="109" spans="1:14" s="544" customFormat="1" ht="16.5" customHeight="1">
      <c r="A109" s="16"/>
      <c r="B109" s="39" t="s">
        <v>1241</v>
      </c>
      <c r="C109" s="537">
        <v>1</v>
      </c>
      <c r="D109" s="539" t="s">
        <v>273</v>
      </c>
      <c r="E109" s="540">
        <v>1</v>
      </c>
      <c r="F109" s="541">
        <v>3.95</v>
      </c>
      <c r="G109" s="541">
        <v>2.1</v>
      </c>
      <c r="H109" s="541">
        <v>0</v>
      </c>
      <c r="I109" s="545">
        <f>ROUND(IF(AND(F109:H109),C109*E109*F109*G109*H109,IF(AND(F109,G109),C109*E109*F109*G109,IF(AND(F109,H109),C109*E109*F109*H109,IF(AND(G109,H109),C109*E109*G109*H109,IF(F109,C109*E109*F109,IF(G109,C109*E109*G109,IF(H109,C109*E109*H109,C109*E109))))))),2)</f>
        <v>8.3000000000000007</v>
      </c>
      <c r="J109" s="553" t="s">
        <v>102</v>
      </c>
      <c r="K109" s="39"/>
      <c r="L109" s="208"/>
      <c r="M109" s="39"/>
      <c r="N109" s="536" t="s">
        <v>2306</v>
      </c>
    </row>
    <row r="110" spans="1:14" s="544" customFormat="1" ht="16.5" customHeight="1">
      <c r="A110" s="16"/>
      <c r="B110" s="574"/>
      <c r="C110" s="575"/>
      <c r="D110" s="558"/>
      <c r="E110" s="576"/>
      <c r="F110" s="577"/>
      <c r="G110" s="577"/>
      <c r="H110" s="578"/>
      <c r="I110" s="560"/>
      <c r="J110" s="553"/>
      <c r="K110" s="39"/>
      <c r="L110" s="208"/>
      <c r="M110" s="39"/>
      <c r="N110" s="536" t="s">
        <v>2306</v>
      </c>
    </row>
    <row r="111" spans="1:14" ht="15.75">
      <c r="A111" s="16"/>
      <c r="B111" s="39"/>
      <c r="C111" s="554"/>
      <c r="D111" s="555"/>
      <c r="E111" s="540"/>
      <c r="F111" s="541"/>
      <c r="G111" s="40"/>
      <c r="H111" s="16"/>
      <c r="I111" s="552"/>
      <c r="J111" s="553" t="s">
        <v>102</v>
      </c>
      <c r="K111" s="10">
        <f>data!G1105</f>
        <v>1314.42</v>
      </c>
      <c r="L111" s="208" t="s">
        <v>2306</v>
      </c>
      <c r="M111" s="9">
        <f>ROUND(I111*K111,0)</f>
        <v>0</v>
      </c>
      <c r="N111" s="536" t="s">
        <v>2306</v>
      </c>
    </row>
    <row r="112" spans="1:14" ht="17.25" customHeight="1">
      <c r="A112" s="16">
        <v>13</v>
      </c>
      <c r="B112" s="1858" t="s">
        <v>582</v>
      </c>
      <c r="C112" s="1858"/>
      <c r="D112" s="1858"/>
      <c r="E112" s="1858"/>
      <c r="F112" s="1858"/>
      <c r="G112" s="1858"/>
      <c r="H112" s="1858"/>
      <c r="I112" s="537"/>
      <c r="J112" s="538"/>
      <c r="K112" s="16"/>
      <c r="L112" s="208"/>
      <c r="M112" s="38"/>
      <c r="N112" s="536" t="s">
        <v>2317</v>
      </c>
    </row>
    <row r="113" spans="1:14" s="544" customFormat="1" ht="16.5" customHeight="1">
      <c r="A113" s="16"/>
      <c r="B113" s="39" t="s">
        <v>3121</v>
      </c>
      <c r="C113" s="537"/>
      <c r="D113" s="539"/>
      <c r="E113" s="540"/>
      <c r="F113" s="541"/>
      <c r="G113" s="541"/>
      <c r="H113" s="541"/>
      <c r="I113" s="542"/>
      <c r="J113" s="553"/>
      <c r="K113" s="39"/>
      <c r="L113" s="208"/>
      <c r="M113" s="39"/>
      <c r="N113" s="536" t="s">
        <v>2317</v>
      </c>
    </row>
    <row r="114" spans="1:14" s="544" customFormat="1" ht="16.5" customHeight="1">
      <c r="A114" s="16"/>
      <c r="B114" s="39"/>
      <c r="C114" s="537">
        <v>1</v>
      </c>
      <c r="D114" s="539" t="s">
        <v>273</v>
      </c>
      <c r="E114" s="540">
        <v>1</v>
      </c>
      <c r="F114" s="541">
        <v>5.2</v>
      </c>
      <c r="G114" s="541">
        <v>3.8</v>
      </c>
      <c r="H114" s="541">
        <v>0</v>
      </c>
      <c r="I114" s="545">
        <f t="shared" ref="I114" si="6">ROUND(IF(AND(F114:H114),C114*E114*F114*G114*H114,IF(AND(F114,G114),C114*E114*F114*G114,IF(AND(F114,H114),C114*E114*F114*H114,IF(AND(G114,H114),C114*E114*G114*H114,IF(F114,C114*E114*F114,IF(G114,C114*E114*G114,IF(H114,C114*E114*H114,C114*E114))))))),2)</f>
        <v>19.760000000000002</v>
      </c>
      <c r="J114" s="553" t="s">
        <v>102</v>
      </c>
      <c r="K114" s="39"/>
      <c r="L114" s="208"/>
      <c r="M114" s="39"/>
      <c r="N114" s="536" t="s">
        <v>2317</v>
      </c>
    </row>
    <row r="115" spans="1:14" s="544" customFormat="1" ht="16.5" customHeight="1">
      <c r="A115" s="16"/>
      <c r="B115" s="574"/>
      <c r="C115" s="575"/>
      <c r="D115" s="558"/>
      <c r="E115" s="576"/>
      <c r="F115" s="577"/>
      <c r="G115" s="577"/>
      <c r="H115" s="578"/>
      <c r="I115" s="560"/>
      <c r="J115" s="553"/>
      <c r="K115" s="39"/>
      <c r="L115" s="208"/>
      <c r="M115" s="39"/>
      <c r="N115" s="536" t="s">
        <v>2317</v>
      </c>
    </row>
    <row r="116" spans="1:14" ht="15.75">
      <c r="A116" s="16"/>
      <c r="B116" s="39"/>
      <c r="C116" s="554"/>
      <c r="D116" s="555"/>
      <c r="E116" s="540"/>
      <c r="F116" s="541"/>
      <c r="G116" s="40"/>
      <c r="H116" s="16"/>
      <c r="I116" s="552"/>
      <c r="J116" s="553" t="s">
        <v>102</v>
      </c>
      <c r="K116" s="10">
        <f>data!G2022</f>
        <v>1403.54</v>
      </c>
      <c r="L116" s="208" t="s">
        <v>2317</v>
      </c>
      <c r="M116" s="9">
        <f>ROUND(I116*K116,0)</f>
        <v>0</v>
      </c>
      <c r="N116" s="536" t="s">
        <v>2317</v>
      </c>
    </row>
    <row r="117" spans="1:14" ht="17.25" customHeight="1">
      <c r="A117" s="16">
        <v>13</v>
      </c>
      <c r="B117" s="1858" t="s">
        <v>582</v>
      </c>
      <c r="C117" s="1858"/>
      <c r="D117" s="1858"/>
      <c r="E117" s="1858"/>
      <c r="F117" s="1858"/>
      <c r="G117" s="1858"/>
      <c r="H117" s="1858"/>
      <c r="I117" s="537"/>
      <c r="J117" s="538"/>
      <c r="K117" s="16"/>
      <c r="L117" s="208"/>
      <c r="M117" s="38"/>
      <c r="N117" s="536" t="s">
        <v>2318</v>
      </c>
    </row>
    <row r="118" spans="1:14" s="544" customFormat="1" ht="16.5" customHeight="1">
      <c r="A118" s="16"/>
      <c r="B118" s="39" t="s">
        <v>2883</v>
      </c>
      <c r="C118" s="537"/>
      <c r="D118" s="539"/>
      <c r="E118" s="540"/>
      <c r="F118" s="541"/>
      <c r="G118" s="541"/>
      <c r="H118" s="541"/>
      <c r="I118" s="542"/>
      <c r="J118" s="553"/>
      <c r="K118" s="39"/>
      <c r="L118" s="208"/>
      <c r="M118" s="39"/>
      <c r="N118" s="536" t="s">
        <v>2318</v>
      </c>
    </row>
    <row r="119" spans="1:14" s="544" customFormat="1" ht="16.5" customHeight="1">
      <c r="A119" s="16"/>
      <c r="B119" s="39" t="s">
        <v>1241</v>
      </c>
      <c r="C119" s="537">
        <v>1</v>
      </c>
      <c r="D119" s="539" t="s">
        <v>273</v>
      </c>
      <c r="E119" s="540">
        <v>1</v>
      </c>
      <c r="F119" s="541">
        <v>3.95</v>
      </c>
      <c r="G119" s="541">
        <v>2.1</v>
      </c>
      <c r="H119" s="541">
        <v>0</v>
      </c>
      <c r="I119" s="545">
        <f>ROUND(IF(AND(F119:H119),C119*E119*F119*G119*H119,IF(AND(F119,G119),C119*E119*F119*G119,IF(AND(F119,H119),C119*E119*F119*H119,IF(AND(G119,H119),C119*E119*G119*H119,IF(F119,C119*E119*F119,IF(G119,C119*E119*G119,IF(H119,C119*E119*H119,C119*E119))))))),2)</f>
        <v>8.3000000000000007</v>
      </c>
      <c r="J119" s="553" t="s">
        <v>102</v>
      </c>
      <c r="K119" s="39"/>
      <c r="L119" s="208"/>
      <c r="M119" s="39"/>
      <c r="N119" s="536" t="s">
        <v>2318</v>
      </c>
    </row>
    <row r="120" spans="1:14" s="544" customFormat="1" ht="16.5" customHeight="1">
      <c r="A120" s="16"/>
      <c r="B120" s="574"/>
      <c r="C120" s="575"/>
      <c r="D120" s="558"/>
      <c r="E120" s="576"/>
      <c r="F120" s="577"/>
      <c r="G120" s="577"/>
      <c r="H120" s="578"/>
      <c r="I120" s="560"/>
      <c r="J120" s="553"/>
      <c r="K120" s="39"/>
      <c r="L120" s="208"/>
      <c r="M120" s="39"/>
      <c r="N120" s="536" t="s">
        <v>2318</v>
      </c>
    </row>
    <row r="121" spans="1:14" ht="15.75">
      <c r="A121" s="16"/>
      <c r="B121" s="39"/>
      <c r="C121" s="554"/>
      <c r="D121" s="555"/>
      <c r="E121" s="540"/>
      <c r="F121" s="541"/>
      <c r="G121" s="40"/>
      <c r="H121" s="16"/>
      <c r="I121" s="552"/>
      <c r="J121" s="553" t="s">
        <v>102</v>
      </c>
      <c r="K121" s="10">
        <f>data!G2939</f>
        <v>1451.29</v>
      </c>
      <c r="L121" s="208" t="s">
        <v>2318</v>
      </c>
      <c r="M121" s="9">
        <f>ROUND(I121*K121,0)</f>
        <v>0</v>
      </c>
      <c r="N121" s="536" t="s">
        <v>2318</v>
      </c>
    </row>
    <row r="122" spans="1:14" ht="18.75" customHeight="1">
      <c r="A122" s="16">
        <v>16</v>
      </c>
      <c r="B122" s="1858" t="s">
        <v>1315</v>
      </c>
      <c r="C122" s="1858"/>
      <c r="D122" s="1858"/>
      <c r="E122" s="1858"/>
      <c r="F122" s="1858"/>
      <c r="G122" s="1858"/>
      <c r="H122" s="1858"/>
      <c r="I122" s="537"/>
      <c r="J122" s="538"/>
      <c r="K122" s="16"/>
      <c r="L122" s="208"/>
      <c r="M122" s="38"/>
      <c r="N122" s="536" t="s">
        <v>2218</v>
      </c>
    </row>
    <row r="123" spans="1:14" s="544" customFormat="1" ht="16.5" customHeight="1">
      <c r="A123" s="16"/>
      <c r="B123" s="39" t="s">
        <v>2819</v>
      </c>
      <c r="C123" s="537"/>
      <c r="D123" s="539"/>
      <c r="E123" s="540"/>
      <c r="F123" s="541"/>
      <c r="G123" s="541"/>
      <c r="H123" s="541"/>
      <c r="I123" s="542"/>
      <c r="J123" s="553"/>
      <c r="K123" s="39"/>
      <c r="L123" s="208"/>
      <c r="M123" s="39"/>
      <c r="N123" s="536" t="s">
        <v>2218</v>
      </c>
    </row>
    <row r="124" spans="1:14" s="544" customFormat="1" ht="16.5" customHeight="1">
      <c r="A124" s="16"/>
      <c r="B124" s="39" t="s">
        <v>1230</v>
      </c>
      <c r="C124" s="537">
        <v>1</v>
      </c>
      <c r="D124" s="539" t="s">
        <v>273</v>
      </c>
      <c r="E124" s="540">
        <v>5</v>
      </c>
      <c r="F124" s="541">
        <v>1.52</v>
      </c>
      <c r="G124" s="541">
        <v>0.23</v>
      </c>
      <c r="H124" s="541">
        <v>0</v>
      </c>
      <c r="I124" s="545">
        <f>ROUND(IF(AND(F124:H124),C124*E124*F124*G124*H124,IF(AND(F124,G124),C124*E124*F124*G124,IF(AND(F124,H124),C124*E124*F124*H124,IF(AND(G124,H124),C124*E124*G124*H124,IF(F124,C124*E124*F124,IF(G124,C124*E124*G124,IF(H124,C124*E124*H124,C124*E124))))))),2)</f>
        <v>1.75</v>
      </c>
      <c r="J124" s="553" t="s">
        <v>102</v>
      </c>
      <c r="K124" s="39"/>
      <c r="L124" s="208"/>
      <c r="M124" s="39"/>
      <c r="N124" s="536" t="s">
        <v>2218</v>
      </c>
    </row>
    <row r="125" spans="1:14" s="544" customFormat="1" ht="16.5" customHeight="1">
      <c r="A125" s="16"/>
      <c r="B125" s="39"/>
      <c r="C125" s="537">
        <v>1</v>
      </c>
      <c r="D125" s="539" t="s">
        <v>273</v>
      </c>
      <c r="E125" s="540">
        <v>4</v>
      </c>
      <c r="F125" s="541">
        <v>1.83</v>
      </c>
      <c r="G125" s="541">
        <v>0.23</v>
      </c>
      <c r="H125" s="541">
        <v>0</v>
      </c>
      <c r="I125" s="545">
        <f>ROUND(IF(AND(F125:H125),C125*E125*F125*G125*H125,IF(AND(F125,G125),C125*E125*F125*G125,IF(AND(F125,H125),C125*E125*F125*H125,IF(AND(G125,H125),C125*E125*G125*H125,IF(F125,C125*E125*F125,IF(G125,C125*E125*G125,IF(H125,C125*E125*H125,C125*E125))))))),2)</f>
        <v>1.68</v>
      </c>
      <c r="J125" s="553" t="s">
        <v>102</v>
      </c>
      <c r="K125" s="39"/>
      <c r="L125" s="208"/>
      <c r="M125" s="39"/>
      <c r="N125" s="536" t="s">
        <v>2218</v>
      </c>
    </row>
    <row r="126" spans="1:14" s="544" customFormat="1" ht="16.5" customHeight="1">
      <c r="A126" s="16"/>
      <c r="B126" s="547"/>
      <c r="C126" s="548"/>
      <c r="D126" s="549"/>
      <c r="E126" s="550"/>
      <c r="F126" s="551"/>
      <c r="G126" s="551"/>
      <c r="H126" s="551"/>
      <c r="I126" s="552"/>
      <c r="J126" s="553"/>
      <c r="K126" s="39"/>
      <c r="L126" s="208"/>
      <c r="M126" s="39"/>
      <c r="N126" s="536" t="s">
        <v>2218</v>
      </c>
    </row>
    <row r="127" spans="1:14" ht="15.75">
      <c r="A127" s="16"/>
      <c r="B127" s="39"/>
      <c r="C127" s="554"/>
      <c r="D127" s="555"/>
      <c r="E127" s="540"/>
      <c r="F127" s="541"/>
      <c r="G127" s="40"/>
      <c r="H127" s="16"/>
      <c r="I127" s="552"/>
      <c r="J127" s="553" t="s">
        <v>102</v>
      </c>
      <c r="K127" s="10">
        <f>data!G245</f>
        <v>747.27</v>
      </c>
      <c r="L127" s="208" t="s">
        <v>2218</v>
      </c>
      <c r="M127" s="9">
        <f>ROUND(I127*K127,0)</f>
        <v>0</v>
      </c>
      <c r="N127" s="536" t="s">
        <v>2218</v>
      </c>
    </row>
    <row r="128" spans="1:14" ht="18.75" customHeight="1">
      <c r="A128" s="16">
        <v>16</v>
      </c>
      <c r="B128" s="1858" t="s">
        <v>1315</v>
      </c>
      <c r="C128" s="1858"/>
      <c r="D128" s="1858"/>
      <c r="E128" s="1858"/>
      <c r="F128" s="1858"/>
      <c r="G128" s="1858"/>
      <c r="H128" s="1858"/>
      <c r="I128" s="537"/>
      <c r="J128" s="538"/>
      <c r="K128" s="16"/>
      <c r="L128" s="208"/>
      <c r="M128" s="38"/>
      <c r="N128" s="536" t="s">
        <v>2306</v>
      </c>
    </row>
    <row r="129" spans="1:14" s="544" customFormat="1" ht="16.5" customHeight="1">
      <c r="A129" s="16"/>
      <c r="B129" s="39" t="s">
        <v>2819</v>
      </c>
      <c r="C129" s="537"/>
      <c r="D129" s="539"/>
      <c r="E129" s="540"/>
      <c r="F129" s="541"/>
      <c r="G129" s="541"/>
      <c r="H129" s="541"/>
      <c r="I129" s="542"/>
      <c r="J129" s="553"/>
      <c r="K129" s="39"/>
      <c r="L129" s="208"/>
      <c r="M129" s="39"/>
      <c r="N129" s="536" t="s">
        <v>2306</v>
      </c>
    </row>
    <row r="130" spans="1:14" s="544" customFormat="1" ht="16.5" customHeight="1">
      <c r="A130" s="16"/>
      <c r="B130" s="39" t="s">
        <v>1230</v>
      </c>
      <c r="C130" s="537">
        <v>1</v>
      </c>
      <c r="D130" s="539" t="s">
        <v>273</v>
      </c>
      <c r="E130" s="540">
        <v>5</v>
      </c>
      <c r="F130" s="541">
        <v>1.52</v>
      </c>
      <c r="G130" s="541">
        <v>0.23</v>
      </c>
      <c r="H130" s="541">
        <v>0</v>
      </c>
      <c r="I130" s="545">
        <f>ROUND(IF(AND(F130:H130),C130*E130*F130*G130*H130,IF(AND(F130,G130),C130*E130*F130*G130,IF(AND(F130,H130),C130*E130*F130*H130,IF(AND(G130,H130),C130*E130*G130*H130,IF(F130,C130*E130*F130,IF(G130,C130*E130*G130,IF(H130,C130*E130*H130,C130*E130))))))),2)</f>
        <v>1.75</v>
      </c>
      <c r="J130" s="553" t="s">
        <v>102</v>
      </c>
      <c r="K130" s="39"/>
      <c r="L130" s="208"/>
      <c r="M130" s="39"/>
      <c r="N130" s="536" t="s">
        <v>2306</v>
      </c>
    </row>
    <row r="131" spans="1:14" s="544" customFormat="1" ht="16.5" customHeight="1">
      <c r="A131" s="16"/>
      <c r="B131" s="39"/>
      <c r="C131" s="537">
        <v>1</v>
      </c>
      <c r="D131" s="539" t="s">
        <v>273</v>
      </c>
      <c r="E131" s="540">
        <v>4</v>
      </c>
      <c r="F131" s="541">
        <v>1.83</v>
      </c>
      <c r="G131" s="541">
        <v>0.23</v>
      </c>
      <c r="H131" s="541">
        <v>0</v>
      </c>
      <c r="I131" s="545">
        <f>ROUND(IF(AND(F131:H131),C131*E131*F131*G131*H131,IF(AND(F131,G131),C131*E131*F131*G131,IF(AND(F131,H131),C131*E131*F131*H131,IF(AND(G131,H131),C131*E131*G131*H131,IF(F131,C131*E131*F131,IF(G131,C131*E131*G131,IF(H131,C131*E131*H131,C131*E131))))))),2)</f>
        <v>1.68</v>
      </c>
      <c r="J131" s="553" t="s">
        <v>102</v>
      </c>
      <c r="K131" s="39"/>
      <c r="L131" s="208"/>
      <c r="M131" s="39"/>
      <c r="N131" s="536" t="s">
        <v>2306</v>
      </c>
    </row>
    <row r="132" spans="1:14" s="544" customFormat="1" ht="16.5" customHeight="1">
      <c r="A132" s="16"/>
      <c r="B132" s="547"/>
      <c r="C132" s="548"/>
      <c r="D132" s="549"/>
      <c r="E132" s="550"/>
      <c r="F132" s="551"/>
      <c r="G132" s="551"/>
      <c r="H132" s="551"/>
      <c r="I132" s="552"/>
      <c r="J132" s="553"/>
      <c r="K132" s="39"/>
      <c r="L132" s="208"/>
      <c r="M132" s="39"/>
      <c r="N132" s="536" t="s">
        <v>2306</v>
      </c>
    </row>
    <row r="133" spans="1:14" ht="15.75">
      <c r="A133" s="16"/>
      <c r="B133" s="39"/>
      <c r="C133" s="554"/>
      <c r="D133" s="555"/>
      <c r="E133" s="540"/>
      <c r="F133" s="541"/>
      <c r="G133" s="40"/>
      <c r="H133" s="16"/>
      <c r="I133" s="552"/>
      <c r="J133" s="553" t="s">
        <v>102</v>
      </c>
      <c r="K133" s="10">
        <f>data!G1161</f>
        <v>779.57</v>
      </c>
      <c r="L133" s="208" t="s">
        <v>2306</v>
      </c>
      <c r="M133" s="9">
        <f>ROUND(I133*K133,0)</f>
        <v>0</v>
      </c>
      <c r="N133" s="536" t="s">
        <v>2306</v>
      </c>
    </row>
    <row r="134" spans="1:14" ht="18.75" customHeight="1">
      <c r="A134" s="16">
        <v>16</v>
      </c>
      <c r="B134" s="1858" t="s">
        <v>1315</v>
      </c>
      <c r="C134" s="1858"/>
      <c r="D134" s="1858"/>
      <c r="E134" s="1858"/>
      <c r="F134" s="1858"/>
      <c r="G134" s="1858"/>
      <c r="H134" s="1858"/>
      <c r="I134" s="537"/>
      <c r="J134" s="538"/>
      <c r="K134" s="16"/>
      <c r="L134" s="208"/>
      <c r="M134" s="38"/>
      <c r="N134" s="536" t="s">
        <v>2317</v>
      </c>
    </row>
    <row r="135" spans="1:14" s="544" customFormat="1" ht="16.5" customHeight="1">
      <c r="A135" s="16"/>
      <c r="B135" s="39" t="s">
        <v>2819</v>
      </c>
      <c r="C135" s="537"/>
      <c r="D135" s="539"/>
      <c r="E135" s="540"/>
      <c r="F135" s="541"/>
      <c r="G135" s="541"/>
      <c r="H135" s="541"/>
      <c r="I135" s="542"/>
      <c r="J135" s="553"/>
      <c r="K135" s="39"/>
      <c r="L135" s="208"/>
      <c r="M135" s="39"/>
      <c r="N135" s="536" t="s">
        <v>2317</v>
      </c>
    </row>
    <row r="136" spans="1:14" s="544" customFormat="1" ht="16.5" customHeight="1">
      <c r="A136" s="16"/>
      <c r="B136" s="39" t="s">
        <v>1230</v>
      </c>
      <c r="C136" s="537">
        <v>1</v>
      </c>
      <c r="D136" s="539" t="s">
        <v>273</v>
      </c>
      <c r="E136" s="540">
        <v>5</v>
      </c>
      <c r="F136" s="541">
        <v>1.52</v>
      </c>
      <c r="G136" s="541">
        <v>0.23</v>
      </c>
      <c r="H136" s="541">
        <v>0</v>
      </c>
      <c r="I136" s="545">
        <f>ROUND(IF(AND(F136:H136),C136*E136*F136*G136*H136,IF(AND(F136,G136),C136*E136*F136*G136,IF(AND(F136,H136),C136*E136*F136*H136,IF(AND(G136,H136),C136*E136*G136*H136,IF(F136,C136*E136*F136,IF(G136,C136*E136*G136,IF(H136,C136*E136*H136,C136*E136))))))),2)</f>
        <v>1.75</v>
      </c>
      <c r="J136" s="553" t="s">
        <v>102</v>
      </c>
      <c r="K136" s="39"/>
      <c r="L136" s="208"/>
      <c r="M136" s="39"/>
      <c r="N136" s="536" t="s">
        <v>2317</v>
      </c>
    </row>
    <row r="137" spans="1:14" s="544" customFormat="1" ht="16.5" customHeight="1">
      <c r="A137" s="16"/>
      <c r="B137" s="39"/>
      <c r="C137" s="537">
        <v>1</v>
      </c>
      <c r="D137" s="539" t="s">
        <v>273</v>
      </c>
      <c r="E137" s="540">
        <v>4</v>
      </c>
      <c r="F137" s="541">
        <v>1.83</v>
      </c>
      <c r="G137" s="541">
        <v>0.23</v>
      </c>
      <c r="H137" s="541">
        <v>0</v>
      </c>
      <c r="I137" s="545">
        <f>ROUND(IF(AND(F137:H137),C137*E137*F137*G137*H137,IF(AND(F137,G137),C137*E137*F137*G137,IF(AND(F137,H137),C137*E137*F137*H137,IF(AND(G137,H137),C137*E137*G137*H137,IF(F137,C137*E137*F137,IF(G137,C137*E137*G137,IF(H137,C137*E137*H137,C137*E137))))))),2)</f>
        <v>1.68</v>
      </c>
      <c r="J137" s="553" t="s">
        <v>102</v>
      </c>
      <c r="K137" s="39"/>
      <c r="L137" s="208"/>
      <c r="M137" s="39"/>
      <c r="N137" s="536" t="s">
        <v>2317</v>
      </c>
    </row>
    <row r="138" spans="1:14" s="544" customFormat="1" ht="16.5" customHeight="1">
      <c r="A138" s="16"/>
      <c r="B138" s="547"/>
      <c r="C138" s="548"/>
      <c r="D138" s="549"/>
      <c r="E138" s="550"/>
      <c r="F138" s="551"/>
      <c r="G138" s="551"/>
      <c r="H138" s="551"/>
      <c r="I138" s="552"/>
      <c r="J138" s="553"/>
      <c r="K138" s="39"/>
      <c r="L138" s="208"/>
      <c r="M138" s="39"/>
      <c r="N138" s="536" t="s">
        <v>2317</v>
      </c>
    </row>
    <row r="139" spans="1:14" ht="15.75">
      <c r="A139" s="16"/>
      <c r="B139" s="39"/>
      <c r="C139" s="554"/>
      <c r="D139" s="555"/>
      <c r="E139" s="540"/>
      <c r="F139" s="541"/>
      <c r="G139" s="40"/>
      <c r="H139" s="16"/>
      <c r="I139" s="552"/>
      <c r="J139" s="553" t="s">
        <v>102</v>
      </c>
      <c r="K139" s="10">
        <f>data!G2078</f>
        <v>831.97</v>
      </c>
      <c r="L139" s="208" t="s">
        <v>2317</v>
      </c>
      <c r="M139" s="9">
        <f>ROUND(I139*K139,0)</f>
        <v>0</v>
      </c>
      <c r="N139" s="536" t="s">
        <v>2317</v>
      </c>
    </row>
    <row r="140" spans="1:14" ht="18.75" customHeight="1">
      <c r="A140" s="16">
        <v>16</v>
      </c>
      <c r="B140" s="1858" t="s">
        <v>1315</v>
      </c>
      <c r="C140" s="1858"/>
      <c r="D140" s="1858"/>
      <c r="E140" s="1858"/>
      <c r="F140" s="1858"/>
      <c r="G140" s="1858"/>
      <c r="H140" s="1858"/>
      <c r="I140" s="537"/>
      <c r="J140" s="538"/>
      <c r="K140" s="16"/>
      <c r="L140" s="208"/>
      <c r="M140" s="38"/>
      <c r="N140" s="536" t="s">
        <v>2318</v>
      </c>
    </row>
    <row r="141" spans="1:14" s="544" customFormat="1" ht="16.5" customHeight="1">
      <c r="A141" s="16"/>
      <c r="B141" s="39" t="s">
        <v>2819</v>
      </c>
      <c r="C141" s="537"/>
      <c r="D141" s="539"/>
      <c r="E141" s="540"/>
      <c r="F141" s="541"/>
      <c r="G141" s="541"/>
      <c r="H141" s="541"/>
      <c r="I141" s="542"/>
      <c r="J141" s="553"/>
      <c r="K141" s="39"/>
      <c r="L141" s="208"/>
      <c r="M141" s="39"/>
      <c r="N141" s="536" t="s">
        <v>2318</v>
      </c>
    </row>
    <row r="142" spans="1:14" s="544" customFormat="1" ht="16.5" customHeight="1">
      <c r="A142" s="16"/>
      <c r="B142" s="39" t="s">
        <v>1230</v>
      </c>
      <c r="C142" s="537">
        <v>1</v>
      </c>
      <c r="D142" s="539" t="s">
        <v>273</v>
      </c>
      <c r="E142" s="540">
        <v>5</v>
      </c>
      <c r="F142" s="541">
        <v>1.52</v>
      </c>
      <c r="G142" s="541">
        <v>0.23</v>
      </c>
      <c r="H142" s="541">
        <v>0</v>
      </c>
      <c r="I142" s="545">
        <f>ROUND(IF(AND(F142:H142),C142*E142*F142*G142*H142,IF(AND(F142,G142),C142*E142*F142*G142,IF(AND(F142,H142),C142*E142*F142*H142,IF(AND(G142,H142),C142*E142*G142*H142,IF(F142,C142*E142*F142,IF(G142,C142*E142*G142,IF(H142,C142*E142*H142,C142*E142))))))),2)</f>
        <v>1.75</v>
      </c>
      <c r="J142" s="553" t="s">
        <v>102</v>
      </c>
      <c r="K142" s="39"/>
      <c r="L142" s="208"/>
      <c r="M142" s="39"/>
      <c r="N142" s="536" t="s">
        <v>2318</v>
      </c>
    </row>
    <row r="143" spans="1:14" s="544" customFormat="1" ht="16.5" customHeight="1">
      <c r="A143" s="16"/>
      <c r="B143" s="39"/>
      <c r="C143" s="537">
        <v>1</v>
      </c>
      <c r="D143" s="539" t="s">
        <v>273</v>
      </c>
      <c r="E143" s="540">
        <v>4</v>
      </c>
      <c r="F143" s="541">
        <v>1.83</v>
      </c>
      <c r="G143" s="541">
        <v>0.23</v>
      </c>
      <c r="H143" s="541">
        <v>0</v>
      </c>
      <c r="I143" s="545">
        <f>ROUND(IF(AND(F143:H143),C143*E143*F143*G143*H143,IF(AND(F143,G143),C143*E143*F143*G143,IF(AND(F143,H143),C143*E143*F143*H143,IF(AND(G143,H143),C143*E143*G143*H143,IF(F143,C143*E143*F143,IF(G143,C143*E143*G143,IF(H143,C143*E143*H143,C143*E143))))))),2)</f>
        <v>1.68</v>
      </c>
      <c r="J143" s="553" t="s">
        <v>102</v>
      </c>
      <c r="K143" s="39"/>
      <c r="L143" s="208"/>
      <c r="M143" s="39"/>
      <c r="N143" s="536" t="s">
        <v>2318</v>
      </c>
    </row>
    <row r="144" spans="1:14" s="544" customFormat="1" ht="16.5" customHeight="1">
      <c r="A144" s="16"/>
      <c r="B144" s="547"/>
      <c r="C144" s="548"/>
      <c r="D144" s="549"/>
      <c r="E144" s="550"/>
      <c r="F144" s="551"/>
      <c r="G144" s="551"/>
      <c r="H144" s="551"/>
      <c r="I144" s="552"/>
      <c r="J144" s="553"/>
      <c r="K144" s="39"/>
      <c r="L144" s="208"/>
      <c r="M144" s="39"/>
      <c r="N144" s="536" t="s">
        <v>2318</v>
      </c>
    </row>
    <row r="145" spans="1:14" ht="15.75">
      <c r="A145" s="16"/>
      <c r="B145" s="39"/>
      <c r="C145" s="554"/>
      <c r="D145" s="555"/>
      <c r="E145" s="540"/>
      <c r="F145" s="541"/>
      <c r="G145" s="40"/>
      <c r="H145" s="16"/>
      <c r="I145" s="552"/>
      <c r="J145" s="553" t="s">
        <v>102</v>
      </c>
      <c r="K145" s="10">
        <f>data!G2995</f>
        <v>865.17</v>
      </c>
      <c r="L145" s="208" t="s">
        <v>2318</v>
      </c>
      <c r="M145" s="9">
        <f>ROUND(I145*K145,0)</f>
        <v>0</v>
      </c>
      <c r="N145" s="536" t="s">
        <v>2318</v>
      </c>
    </row>
    <row r="146" spans="1:14" ht="18.75" customHeight="1">
      <c r="A146" s="16">
        <v>16</v>
      </c>
      <c r="B146" s="1858" t="s">
        <v>1317</v>
      </c>
      <c r="C146" s="1858"/>
      <c r="D146" s="1858"/>
      <c r="E146" s="1858"/>
      <c r="F146" s="1858"/>
      <c r="G146" s="1858"/>
      <c r="H146" s="1858"/>
      <c r="I146" s="537"/>
      <c r="J146" s="538"/>
      <c r="K146" s="16"/>
      <c r="L146" s="208"/>
      <c r="M146" s="38"/>
      <c r="N146" s="536" t="s">
        <v>2218</v>
      </c>
    </row>
    <row r="147" spans="1:14" s="544" customFormat="1" ht="16.5" customHeight="1">
      <c r="A147" s="16"/>
      <c r="B147" s="39" t="s">
        <v>2819</v>
      </c>
      <c r="C147" s="537"/>
      <c r="D147" s="539"/>
      <c r="E147" s="540"/>
      <c r="F147" s="541"/>
      <c r="G147" s="541"/>
      <c r="H147" s="541"/>
      <c r="I147" s="542"/>
      <c r="J147" s="553"/>
      <c r="K147" s="39"/>
      <c r="L147" s="208"/>
      <c r="M147" s="39"/>
      <c r="N147" s="536" t="s">
        <v>2218</v>
      </c>
    </row>
    <row r="148" spans="1:14" s="544" customFormat="1" ht="16.5" customHeight="1">
      <c r="A148" s="16"/>
      <c r="B148" s="39" t="s">
        <v>1230</v>
      </c>
      <c r="C148" s="537">
        <v>1</v>
      </c>
      <c r="D148" s="539" t="s">
        <v>273</v>
      </c>
      <c r="E148" s="540">
        <v>5</v>
      </c>
      <c r="F148" s="541">
        <v>1.52</v>
      </c>
      <c r="G148" s="541">
        <v>0.23</v>
      </c>
      <c r="H148" s="541">
        <v>0</v>
      </c>
      <c r="I148" s="545">
        <f>ROUND(IF(AND(F148:H148),C148*E148*F148*G148*H148,IF(AND(F148,G148),C148*E148*F148*G148,IF(AND(F148,H148),C148*E148*F148*H148,IF(AND(G148,H148),C148*E148*G148*H148,IF(F148,C148*E148*F148,IF(G148,C148*E148*G148,IF(H148,C148*E148*H148,C148*E148))))))),2)</f>
        <v>1.75</v>
      </c>
      <c r="J148" s="553" t="s">
        <v>102</v>
      </c>
      <c r="K148" s="39"/>
      <c r="L148" s="208"/>
      <c r="M148" s="39"/>
      <c r="N148" s="536" t="s">
        <v>2218</v>
      </c>
    </row>
    <row r="149" spans="1:14" s="544" customFormat="1" ht="16.5" customHeight="1">
      <c r="A149" s="16"/>
      <c r="B149" s="39"/>
      <c r="C149" s="537">
        <v>1</v>
      </c>
      <c r="D149" s="539" t="s">
        <v>273</v>
      </c>
      <c r="E149" s="540">
        <v>4</v>
      </c>
      <c r="F149" s="541">
        <v>1.83</v>
      </c>
      <c r="G149" s="541">
        <v>0.23</v>
      </c>
      <c r="H149" s="541">
        <v>0</v>
      </c>
      <c r="I149" s="545">
        <f>ROUND(IF(AND(F149:H149),C149*E149*F149*G149*H149,IF(AND(F149,G149),C149*E149*F149*G149,IF(AND(F149,H149),C149*E149*F149*H149,IF(AND(G149,H149),C149*E149*G149*H149,IF(F149,C149*E149*F149,IF(G149,C149*E149*G149,IF(H149,C149*E149*H149,C149*E149))))))),2)</f>
        <v>1.68</v>
      </c>
      <c r="J149" s="553" t="s">
        <v>102</v>
      </c>
      <c r="K149" s="39"/>
      <c r="L149" s="208"/>
      <c r="M149" s="39"/>
      <c r="N149" s="536" t="s">
        <v>2218</v>
      </c>
    </row>
    <row r="150" spans="1:14" s="544" customFormat="1" ht="16.5" customHeight="1">
      <c r="A150" s="16"/>
      <c r="B150" s="547"/>
      <c r="C150" s="548"/>
      <c r="D150" s="549"/>
      <c r="E150" s="550"/>
      <c r="F150" s="551"/>
      <c r="G150" s="551"/>
      <c r="H150" s="551"/>
      <c r="I150" s="552"/>
      <c r="J150" s="553"/>
      <c r="K150" s="39"/>
      <c r="L150" s="208"/>
      <c r="M150" s="39"/>
      <c r="N150" s="536" t="s">
        <v>2218</v>
      </c>
    </row>
    <row r="151" spans="1:14" ht="15.75">
      <c r="A151" s="16"/>
      <c r="B151" s="39"/>
      <c r="C151" s="554"/>
      <c r="D151" s="555"/>
      <c r="E151" s="540"/>
      <c r="F151" s="541"/>
      <c r="G151" s="40"/>
      <c r="H151" s="16"/>
      <c r="I151" s="552"/>
      <c r="J151" s="553" t="s">
        <v>102</v>
      </c>
      <c r="K151" s="10">
        <f>data!G252</f>
        <v>624.5</v>
      </c>
      <c r="L151" s="208" t="s">
        <v>2218</v>
      </c>
      <c r="M151" s="9">
        <f>ROUND(I151*K151,0)</f>
        <v>0</v>
      </c>
      <c r="N151" s="536" t="s">
        <v>2218</v>
      </c>
    </row>
    <row r="152" spans="1:14" ht="18.75" customHeight="1">
      <c r="A152" s="16">
        <v>16</v>
      </c>
      <c r="B152" s="1858" t="s">
        <v>1317</v>
      </c>
      <c r="C152" s="1858"/>
      <c r="D152" s="1858"/>
      <c r="E152" s="1858"/>
      <c r="F152" s="1858"/>
      <c r="G152" s="1858"/>
      <c r="H152" s="1858"/>
      <c r="I152" s="537"/>
      <c r="J152" s="538"/>
      <c r="K152" s="16"/>
      <c r="L152" s="208"/>
      <c r="M152" s="38"/>
      <c r="N152" s="536" t="s">
        <v>2306</v>
      </c>
    </row>
    <row r="153" spans="1:14" s="544" customFormat="1" ht="16.5" customHeight="1">
      <c r="A153" s="16"/>
      <c r="B153" s="39" t="s">
        <v>2819</v>
      </c>
      <c r="C153" s="537"/>
      <c r="D153" s="539"/>
      <c r="E153" s="540"/>
      <c r="F153" s="541"/>
      <c r="G153" s="541"/>
      <c r="H153" s="541"/>
      <c r="I153" s="542"/>
      <c r="J153" s="553"/>
      <c r="K153" s="39"/>
      <c r="L153" s="208"/>
      <c r="M153" s="39"/>
      <c r="N153" s="536" t="s">
        <v>2306</v>
      </c>
    </row>
    <row r="154" spans="1:14" s="544" customFormat="1" ht="16.5" customHeight="1">
      <c r="A154" s="16"/>
      <c r="B154" s="39" t="s">
        <v>1230</v>
      </c>
      <c r="C154" s="537">
        <v>1</v>
      </c>
      <c r="D154" s="539" t="s">
        <v>273</v>
      </c>
      <c r="E154" s="540">
        <v>5</v>
      </c>
      <c r="F154" s="541">
        <v>1.52</v>
      </c>
      <c r="G154" s="541">
        <v>0.23</v>
      </c>
      <c r="H154" s="541">
        <v>0</v>
      </c>
      <c r="I154" s="545">
        <f>ROUND(IF(AND(F154:H154),C154*E154*F154*G154*H154,IF(AND(F154,G154),C154*E154*F154*G154,IF(AND(F154,H154),C154*E154*F154*H154,IF(AND(G154,H154),C154*E154*G154*H154,IF(F154,C154*E154*F154,IF(G154,C154*E154*G154,IF(H154,C154*E154*H154,C154*E154))))))),2)</f>
        <v>1.75</v>
      </c>
      <c r="J154" s="553" t="s">
        <v>102</v>
      </c>
      <c r="K154" s="39"/>
      <c r="L154" s="208"/>
      <c r="M154" s="39"/>
      <c r="N154" s="536" t="s">
        <v>2306</v>
      </c>
    </row>
    <row r="155" spans="1:14" s="544" customFormat="1" ht="16.5" customHeight="1">
      <c r="A155" s="16"/>
      <c r="B155" s="39"/>
      <c r="C155" s="537">
        <v>1</v>
      </c>
      <c r="D155" s="539" t="s">
        <v>273</v>
      </c>
      <c r="E155" s="540">
        <v>4</v>
      </c>
      <c r="F155" s="541">
        <v>1.83</v>
      </c>
      <c r="G155" s="541">
        <v>0.23</v>
      </c>
      <c r="H155" s="541">
        <v>0</v>
      </c>
      <c r="I155" s="545">
        <f>ROUND(IF(AND(F155:H155),C155*E155*F155*G155*H155,IF(AND(F155,G155),C155*E155*F155*G155,IF(AND(F155,H155),C155*E155*F155*H155,IF(AND(G155,H155),C155*E155*G155*H155,IF(F155,C155*E155*F155,IF(G155,C155*E155*G155,IF(H155,C155*E155*H155,C155*E155))))))),2)</f>
        <v>1.68</v>
      </c>
      <c r="J155" s="553" t="s">
        <v>102</v>
      </c>
      <c r="K155" s="39"/>
      <c r="L155" s="208"/>
      <c r="M155" s="39"/>
      <c r="N155" s="536" t="s">
        <v>2306</v>
      </c>
    </row>
    <row r="156" spans="1:14" s="544" customFormat="1" ht="16.5" customHeight="1">
      <c r="A156" s="16"/>
      <c r="B156" s="547"/>
      <c r="C156" s="548"/>
      <c r="D156" s="549"/>
      <c r="E156" s="550"/>
      <c r="F156" s="551"/>
      <c r="G156" s="551"/>
      <c r="H156" s="551"/>
      <c r="I156" s="552"/>
      <c r="J156" s="553"/>
      <c r="K156" s="39"/>
      <c r="L156" s="208"/>
      <c r="M156" s="39"/>
      <c r="N156" s="536" t="s">
        <v>2306</v>
      </c>
    </row>
    <row r="157" spans="1:14" ht="15.75">
      <c r="A157" s="16"/>
      <c r="B157" s="39"/>
      <c r="C157" s="554"/>
      <c r="D157" s="555"/>
      <c r="E157" s="540"/>
      <c r="F157" s="541"/>
      <c r="G157" s="40"/>
      <c r="H157" s="16"/>
      <c r="I157" s="552"/>
      <c r="J157" s="553" t="s">
        <v>102</v>
      </c>
      <c r="K157" s="10">
        <f>data!G1168</f>
        <v>651.52</v>
      </c>
      <c r="L157" s="208" t="s">
        <v>2306</v>
      </c>
      <c r="M157" s="9">
        <f>ROUND(I157*K157,0)</f>
        <v>0</v>
      </c>
      <c r="N157" s="536" t="s">
        <v>2306</v>
      </c>
    </row>
    <row r="158" spans="1:14" ht="18.75" customHeight="1">
      <c r="A158" s="16">
        <v>16</v>
      </c>
      <c r="B158" s="1858" t="s">
        <v>1317</v>
      </c>
      <c r="C158" s="1858"/>
      <c r="D158" s="1858"/>
      <c r="E158" s="1858"/>
      <c r="F158" s="1858"/>
      <c r="G158" s="1858"/>
      <c r="H158" s="1858"/>
      <c r="I158" s="537"/>
      <c r="J158" s="538"/>
      <c r="K158" s="16"/>
      <c r="L158" s="208"/>
      <c r="M158" s="38"/>
      <c r="N158" s="536" t="s">
        <v>2317</v>
      </c>
    </row>
    <row r="159" spans="1:14" s="544" customFormat="1" ht="16.5" customHeight="1">
      <c r="A159" s="16"/>
      <c r="B159" s="39" t="s">
        <v>2819</v>
      </c>
      <c r="C159" s="537"/>
      <c r="D159" s="539"/>
      <c r="E159" s="540"/>
      <c r="F159" s="541"/>
      <c r="G159" s="541"/>
      <c r="H159" s="541"/>
      <c r="I159" s="542"/>
      <c r="J159" s="553"/>
      <c r="K159" s="39"/>
      <c r="L159" s="208"/>
      <c r="M159" s="39"/>
      <c r="N159" s="536" t="s">
        <v>2317</v>
      </c>
    </row>
    <row r="160" spans="1:14" s="544" customFormat="1" ht="16.5" customHeight="1">
      <c r="A160" s="16"/>
      <c r="B160" s="39" t="s">
        <v>1230</v>
      </c>
      <c r="C160" s="537">
        <v>1</v>
      </c>
      <c r="D160" s="539" t="s">
        <v>273</v>
      </c>
      <c r="E160" s="540">
        <v>5</v>
      </c>
      <c r="F160" s="541">
        <v>1.52</v>
      </c>
      <c r="G160" s="541">
        <v>0.23</v>
      </c>
      <c r="H160" s="541">
        <v>0</v>
      </c>
      <c r="I160" s="545">
        <f>ROUND(IF(AND(F160:H160),C160*E160*F160*G160*H160,IF(AND(F160,G160),C160*E160*F160*G160,IF(AND(F160,H160),C160*E160*F160*H160,IF(AND(G160,H160),C160*E160*G160*H160,IF(F160,C160*E160*F160,IF(G160,C160*E160*G160,IF(H160,C160*E160*H160,C160*E160))))))),2)</f>
        <v>1.75</v>
      </c>
      <c r="J160" s="553" t="s">
        <v>102</v>
      </c>
      <c r="K160" s="39"/>
      <c r="L160" s="208"/>
      <c r="M160" s="39"/>
      <c r="N160" s="536" t="s">
        <v>2317</v>
      </c>
    </row>
    <row r="161" spans="1:14" s="544" customFormat="1" ht="16.5" customHeight="1">
      <c r="A161" s="16"/>
      <c r="B161" s="39"/>
      <c r="C161" s="537">
        <v>1</v>
      </c>
      <c r="D161" s="539" t="s">
        <v>273</v>
      </c>
      <c r="E161" s="540">
        <v>4</v>
      </c>
      <c r="F161" s="541">
        <v>1.83</v>
      </c>
      <c r="G161" s="541">
        <v>0.23</v>
      </c>
      <c r="H161" s="541">
        <v>0</v>
      </c>
      <c r="I161" s="545">
        <f>ROUND(IF(AND(F161:H161),C161*E161*F161*G161*H161,IF(AND(F161,G161),C161*E161*F161*G161,IF(AND(F161,H161),C161*E161*F161*H161,IF(AND(G161,H161),C161*E161*G161*H161,IF(F161,C161*E161*F161,IF(G161,C161*E161*G161,IF(H161,C161*E161*H161,C161*E161))))))),2)</f>
        <v>1.68</v>
      </c>
      <c r="J161" s="553" t="s">
        <v>102</v>
      </c>
      <c r="K161" s="39"/>
      <c r="L161" s="208"/>
      <c r="M161" s="39"/>
      <c r="N161" s="536" t="s">
        <v>2317</v>
      </c>
    </row>
    <row r="162" spans="1:14" s="544" customFormat="1" ht="16.5" customHeight="1">
      <c r="A162" s="16"/>
      <c r="B162" s="547"/>
      <c r="C162" s="548"/>
      <c r="D162" s="549"/>
      <c r="E162" s="550"/>
      <c r="F162" s="551"/>
      <c r="G162" s="551"/>
      <c r="H162" s="551"/>
      <c r="I162" s="552"/>
      <c r="J162" s="553"/>
      <c r="K162" s="39"/>
      <c r="L162" s="208"/>
      <c r="M162" s="39"/>
      <c r="N162" s="536" t="s">
        <v>2317</v>
      </c>
    </row>
    <row r="163" spans="1:14" ht="15.75">
      <c r="A163" s="16"/>
      <c r="B163" s="39"/>
      <c r="C163" s="554"/>
      <c r="D163" s="555"/>
      <c r="E163" s="540"/>
      <c r="F163" s="541"/>
      <c r="G163" s="40"/>
      <c r="H163" s="16"/>
      <c r="I163" s="552"/>
      <c r="J163" s="553" t="s">
        <v>102</v>
      </c>
      <c r="K163" s="10">
        <f>data!G2085</f>
        <v>697.83999999999992</v>
      </c>
      <c r="L163" s="208" t="s">
        <v>2317</v>
      </c>
      <c r="M163" s="9">
        <f>ROUND(I163*K163,0)</f>
        <v>0</v>
      </c>
      <c r="N163" s="536" t="s">
        <v>2317</v>
      </c>
    </row>
    <row r="164" spans="1:14" ht="18.75" customHeight="1">
      <c r="A164" s="16">
        <v>16</v>
      </c>
      <c r="B164" s="1858" t="s">
        <v>1317</v>
      </c>
      <c r="C164" s="1858"/>
      <c r="D164" s="1858"/>
      <c r="E164" s="1858"/>
      <c r="F164" s="1858"/>
      <c r="G164" s="1858"/>
      <c r="H164" s="1858"/>
      <c r="I164" s="537"/>
      <c r="J164" s="538"/>
      <c r="K164" s="16"/>
      <c r="L164" s="208"/>
      <c r="M164" s="38"/>
      <c r="N164" s="536" t="s">
        <v>2318</v>
      </c>
    </row>
    <row r="165" spans="1:14" s="544" customFormat="1" ht="16.5" customHeight="1">
      <c r="A165" s="16"/>
      <c r="B165" s="39" t="s">
        <v>2819</v>
      </c>
      <c r="C165" s="537"/>
      <c r="D165" s="539"/>
      <c r="E165" s="540"/>
      <c r="F165" s="541"/>
      <c r="G165" s="541"/>
      <c r="H165" s="541"/>
      <c r="I165" s="542"/>
      <c r="J165" s="553"/>
      <c r="K165" s="39"/>
      <c r="L165" s="208"/>
      <c r="M165" s="39"/>
      <c r="N165" s="536" t="s">
        <v>2318</v>
      </c>
    </row>
    <row r="166" spans="1:14" s="544" customFormat="1" ht="16.5" customHeight="1">
      <c r="A166" s="16"/>
      <c r="B166" s="39" t="s">
        <v>1230</v>
      </c>
      <c r="C166" s="537">
        <v>1</v>
      </c>
      <c r="D166" s="539" t="s">
        <v>273</v>
      </c>
      <c r="E166" s="540">
        <v>5</v>
      </c>
      <c r="F166" s="541">
        <v>1.52</v>
      </c>
      <c r="G166" s="541">
        <v>0.23</v>
      </c>
      <c r="H166" s="541">
        <v>0</v>
      </c>
      <c r="I166" s="545">
        <f>ROUND(IF(AND(F166:H166),C166*E166*F166*G166*H166,IF(AND(F166,G166),C166*E166*F166*G166,IF(AND(F166,H166),C166*E166*F166*H166,IF(AND(G166,H166),C166*E166*G166*H166,IF(F166,C166*E166*F166,IF(G166,C166*E166*G166,IF(H166,C166*E166*H166,C166*E166))))))),2)</f>
        <v>1.75</v>
      </c>
      <c r="J166" s="553" t="s">
        <v>102</v>
      </c>
      <c r="K166" s="39"/>
      <c r="L166" s="208"/>
      <c r="M166" s="39"/>
      <c r="N166" s="536" t="s">
        <v>2318</v>
      </c>
    </row>
    <row r="167" spans="1:14" s="544" customFormat="1" ht="16.5" customHeight="1">
      <c r="A167" s="16"/>
      <c r="B167" s="39"/>
      <c r="C167" s="537">
        <v>1</v>
      </c>
      <c r="D167" s="539" t="s">
        <v>273</v>
      </c>
      <c r="E167" s="540">
        <v>4</v>
      </c>
      <c r="F167" s="541">
        <v>1.83</v>
      </c>
      <c r="G167" s="541">
        <v>0.23</v>
      </c>
      <c r="H167" s="541">
        <v>0</v>
      </c>
      <c r="I167" s="545">
        <f>ROUND(IF(AND(F167:H167),C167*E167*F167*G167*H167,IF(AND(F167,G167),C167*E167*F167*G167,IF(AND(F167,H167),C167*E167*F167*H167,IF(AND(G167,H167),C167*E167*G167*H167,IF(F167,C167*E167*F167,IF(G167,C167*E167*G167,IF(H167,C167*E167*H167,C167*E167))))))),2)</f>
        <v>1.68</v>
      </c>
      <c r="J167" s="553" t="s">
        <v>102</v>
      </c>
      <c r="K167" s="39"/>
      <c r="L167" s="208"/>
      <c r="M167" s="39"/>
      <c r="N167" s="536" t="s">
        <v>2318</v>
      </c>
    </row>
    <row r="168" spans="1:14" s="544" customFormat="1" ht="16.5" customHeight="1">
      <c r="A168" s="16"/>
      <c r="B168" s="547"/>
      <c r="C168" s="548"/>
      <c r="D168" s="549"/>
      <c r="E168" s="550"/>
      <c r="F168" s="551"/>
      <c r="G168" s="551"/>
      <c r="H168" s="551"/>
      <c r="I168" s="552"/>
      <c r="J168" s="553"/>
      <c r="K168" s="39"/>
      <c r="L168" s="208"/>
      <c r="M168" s="39"/>
      <c r="N168" s="536" t="s">
        <v>2318</v>
      </c>
    </row>
    <row r="169" spans="1:14" ht="15.75">
      <c r="A169" s="16"/>
      <c r="B169" s="39"/>
      <c r="C169" s="554"/>
      <c r="D169" s="555"/>
      <c r="E169" s="540"/>
      <c r="F169" s="541"/>
      <c r="G169" s="40"/>
      <c r="H169" s="16"/>
      <c r="I169" s="552"/>
      <c r="J169" s="553" t="s">
        <v>102</v>
      </c>
      <c r="K169" s="10">
        <f>data!G3002</f>
        <v>724.02</v>
      </c>
      <c r="L169" s="208" t="s">
        <v>2318</v>
      </c>
      <c r="M169" s="9">
        <f>ROUND(I169*K169,0)</f>
        <v>0</v>
      </c>
      <c r="N169" s="536" t="s">
        <v>2318</v>
      </c>
    </row>
    <row r="170" spans="1:14" ht="17.25" customHeight="1">
      <c r="A170" s="16">
        <v>4</v>
      </c>
      <c r="B170" s="1858" t="s">
        <v>580</v>
      </c>
      <c r="C170" s="1858"/>
      <c r="D170" s="1858"/>
      <c r="E170" s="1858"/>
      <c r="F170" s="1858"/>
      <c r="G170" s="1858"/>
      <c r="H170" s="1858"/>
      <c r="I170" s="537"/>
      <c r="J170" s="538"/>
      <c r="K170" s="16"/>
      <c r="L170" s="208"/>
      <c r="M170" s="38"/>
      <c r="N170" s="536" t="s">
        <v>2218</v>
      </c>
    </row>
    <row r="171" spans="1:14" s="544" customFormat="1" ht="16.5" customHeight="1">
      <c r="A171" s="16"/>
      <c r="B171" s="39" t="s">
        <v>2901</v>
      </c>
      <c r="C171" s="537"/>
      <c r="D171" s="539"/>
      <c r="E171" s="540"/>
      <c r="F171" s="541"/>
      <c r="G171" s="541"/>
      <c r="H171" s="541"/>
      <c r="I171" s="542"/>
      <c r="J171" s="553"/>
      <c r="K171" s="39"/>
      <c r="L171" s="208"/>
      <c r="M171" s="39"/>
      <c r="N171" s="536" t="s">
        <v>2218</v>
      </c>
    </row>
    <row r="172" spans="1:14" s="544" customFormat="1" ht="16.5" customHeight="1">
      <c r="A172" s="16"/>
      <c r="B172" s="39" t="s">
        <v>1632</v>
      </c>
      <c r="C172" s="537">
        <v>1</v>
      </c>
      <c r="D172" s="539" t="s">
        <v>273</v>
      </c>
      <c r="E172" s="540">
        <v>2</v>
      </c>
      <c r="F172" s="541">
        <v>2.9</v>
      </c>
      <c r="G172" s="541">
        <v>0.23</v>
      </c>
      <c r="H172" s="541">
        <v>0.15</v>
      </c>
      <c r="I172" s="545">
        <f>ROUND(IF(AND(F172:H172),C172*E172*F172*G172*H172,IF(AND(F172,G172),C172*E172*F172*G172,IF(AND(F172,H172),C172*E172*F172*H172,IF(AND(G172,H172),C172*E172*G172*H172,IF(F172,C172*E172*F172,IF(G172,C172*E172*G172,IF(H172,C172*E172*H172,C172*E172))))))),2)</f>
        <v>0.2</v>
      </c>
      <c r="J172" s="553" t="s">
        <v>5</v>
      </c>
      <c r="K172" s="39"/>
      <c r="L172" s="208"/>
      <c r="M172" s="39"/>
      <c r="N172" s="536" t="s">
        <v>2218</v>
      </c>
    </row>
    <row r="173" spans="1:14" s="544" customFormat="1" ht="16.5" customHeight="1">
      <c r="A173" s="16"/>
      <c r="B173" s="39"/>
      <c r="C173" s="537">
        <v>1</v>
      </c>
      <c r="D173" s="539" t="s">
        <v>273</v>
      </c>
      <c r="E173" s="540">
        <v>2</v>
      </c>
      <c r="F173" s="541">
        <v>1</v>
      </c>
      <c r="G173" s="541">
        <v>0.23</v>
      </c>
      <c r="H173" s="541">
        <v>0.15</v>
      </c>
      <c r="I173" s="545">
        <f>ROUND(IF(AND(F173:H173),C173*E173*F173*G173*H173,IF(AND(F173,G173),C173*E173*F173*G173,IF(AND(F173,H173),C173*E173*F173*H173,IF(AND(G173,H173),C173*E173*G173*H173,IF(F173,C173*E173*F173,IF(G173,C173*E173*G173,IF(H173,C173*E173*H173,C173*E173))))))),2)</f>
        <v>7.0000000000000007E-2</v>
      </c>
      <c r="J173" s="553" t="s">
        <v>5</v>
      </c>
      <c r="K173" s="39"/>
      <c r="L173" s="208"/>
      <c r="M173" s="39"/>
      <c r="N173" s="536" t="s">
        <v>2218</v>
      </c>
    </row>
    <row r="174" spans="1:14" s="544" customFormat="1" ht="16.5" customHeight="1">
      <c r="A174" s="16"/>
      <c r="B174" s="39"/>
      <c r="C174" s="537">
        <v>1</v>
      </c>
      <c r="D174" s="539" t="s">
        <v>273</v>
      </c>
      <c r="E174" s="540">
        <v>1</v>
      </c>
      <c r="F174" s="541">
        <v>3.15</v>
      </c>
      <c r="G174" s="541">
        <v>0.23</v>
      </c>
      <c r="H174" s="541">
        <v>0.15</v>
      </c>
      <c r="I174" s="545">
        <f>ROUND(IF(AND(F174:H174),C174*E174*F174*G174*H174,IF(AND(F174,G174),C174*E174*F174*G174,IF(AND(F174,H174),C174*E174*F174*H174,IF(AND(G174,H174),C174*E174*G174*H174,IF(F174,C174*E174*F174,IF(G174,C174*E174*G174,IF(H174,C174*E174*H174,C174*E174))))))),2)</f>
        <v>0.11</v>
      </c>
      <c r="J174" s="553" t="s">
        <v>5</v>
      </c>
      <c r="K174" s="39"/>
      <c r="L174" s="208"/>
      <c r="M174" s="39"/>
      <c r="N174" s="536" t="s">
        <v>2218</v>
      </c>
    </row>
    <row r="175" spans="1:14" s="544" customFormat="1" ht="16.5" customHeight="1">
      <c r="A175" s="16"/>
      <c r="B175" s="547"/>
      <c r="C175" s="548"/>
      <c r="D175" s="549"/>
      <c r="E175" s="550"/>
      <c r="F175" s="541"/>
      <c r="G175" s="541"/>
      <c r="H175" s="541"/>
      <c r="I175" s="552"/>
      <c r="J175" s="553"/>
      <c r="K175" s="39"/>
      <c r="L175" s="208"/>
      <c r="M175" s="39"/>
      <c r="N175" s="536" t="s">
        <v>2218</v>
      </c>
    </row>
    <row r="176" spans="1:14" ht="15.75">
      <c r="A176" s="16"/>
      <c r="B176" s="39"/>
      <c r="C176" s="554"/>
      <c r="D176" s="555"/>
      <c r="E176" s="540"/>
      <c r="F176" s="541"/>
      <c r="G176" s="40"/>
      <c r="H176" s="16"/>
      <c r="I176" s="552"/>
      <c r="J176" s="553" t="s">
        <v>5</v>
      </c>
      <c r="K176" s="10">
        <f>data!G161</f>
        <v>10426.34</v>
      </c>
      <c r="L176" s="208" t="s">
        <v>2218</v>
      </c>
      <c r="M176" s="9">
        <f>ROUND(I176*K176,0)</f>
        <v>0</v>
      </c>
      <c r="N176" s="536" t="s">
        <v>2218</v>
      </c>
    </row>
    <row r="177" spans="1:14" ht="17.25" customHeight="1">
      <c r="A177" s="16">
        <v>4</v>
      </c>
      <c r="B177" s="1858" t="s">
        <v>580</v>
      </c>
      <c r="C177" s="1858"/>
      <c r="D177" s="1858"/>
      <c r="E177" s="1858"/>
      <c r="F177" s="1858"/>
      <c r="G177" s="1858"/>
      <c r="H177" s="1858"/>
      <c r="I177" s="537"/>
      <c r="J177" s="538"/>
      <c r="K177" s="16"/>
      <c r="L177" s="208"/>
      <c r="M177" s="38"/>
      <c r="N177" s="536" t="s">
        <v>2306</v>
      </c>
    </row>
    <row r="178" spans="1:14" s="544" customFormat="1" ht="16.5" customHeight="1">
      <c r="A178" s="16"/>
      <c r="B178" s="39" t="s">
        <v>2901</v>
      </c>
      <c r="C178" s="537"/>
      <c r="D178" s="539"/>
      <c r="E178" s="540"/>
      <c r="F178" s="541"/>
      <c r="G178" s="541"/>
      <c r="H178" s="541"/>
      <c r="I178" s="542"/>
      <c r="J178" s="553"/>
      <c r="K178" s="39"/>
      <c r="L178" s="208"/>
      <c r="M178" s="39"/>
      <c r="N178" s="536" t="s">
        <v>2306</v>
      </c>
    </row>
    <row r="179" spans="1:14" s="544" customFormat="1" ht="16.5" customHeight="1">
      <c r="A179" s="16"/>
      <c r="B179" s="39" t="s">
        <v>1632</v>
      </c>
      <c r="C179" s="537">
        <v>1</v>
      </c>
      <c r="D179" s="539" t="s">
        <v>273</v>
      </c>
      <c r="E179" s="540">
        <v>2</v>
      </c>
      <c r="F179" s="541">
        <v>2.9</v>
      </c>
      <c r="G179" s="541">
        <v>0.23</v>
      </c>
      <c r="H179" s="541">
        <v>0.15</v>
      </c>
      <c r="I179" s="545">
        <f>ROUND(IF(AND(F179:H179),C179*E179*F179*G179*H179,IF(AND(F179,G179),C179*E179*F179*G179,IF(AND(F179,H179),C179*E179*F179*H179,IF(AND(G179,H179),C179*E179*G179*H179,IF(F179,C179*E179*F179,IF(G179,C179*E179*G179,IF(H179,C179*E179*H179,C179*E179))))))),2)</f>
        <v>0.2</v>
      </c>
      <c r="J179" s="553" t="s">
        <v>5</v>
      </c>
      <c r="K179" s="39"/>
      <c r="L179" s="208"/>
      <c r="M179" s="39"/>
      <c r="N179" s="536" t="s">
        <v>2306</v>
      </c>
    </row>
    <row r="180" spans="1:14" s="544" customFormat="1" ht="16.5" customHeight="1">
      <c r="A180" s="16"/>
      <c r="B180" s="39"/>
      <c r="C180" s="537">
        <v>1</v>
      </c>
      <c r="D180" s="539" t="s">
        <v>273</v>
      </c>
      <c r="E180" s="540">
        <v>2</v>
      </c>
      <c r="F180" s="541">
        <v>1</v>
      </c>
      <c r="G180" s="541">
        <v>0.23</v>
      </c>
      <c r="H180" s="541">
        <v>0.15</v>
      </c>
      <c r="I180" s="545">
        <f>ROUND(IF(AND(F180:H180),C180*E180*F180*G180*H180,IF(AND(F180,G180),C180*E180*F180*G180,IF(AND(F180,H180),C180*E180*F180*H180,IF(AND(G180,H180),C180*E180*G180*H180,IF(F180,C180*E180*F180,IF(G180,C180*E180*G180,IF(H180,C180*E180*H180,C180*E180))))))),2)</f>
        <v>7.0000000000000007E-2</v>
      </c>
      <c r="J180" s="553" t="s">
        <v>5</v>
      </c>
      <c r="K180" s="39"/>
      <c r="L180" s="208"/>
      <c r="M180" s="39"/>
      <c r="N180" s="536" t="s">
        <v>2306</v>
      </c>
    </row>
    <row r="181" spans="1:14" s="544" customFormat="1" ht="16.5" customHeight="1">
      <c r="A181" s="16"/>
      <c r="B181" s="39"/>
      <c r="C181" s="537">
        <v>1</v>
      </c>
      <c r="D181" s="539" t="s">
        <v>273</v>
      </c>
      <c r="E181" s="540">
        <v>1</v>
      </c>
      <c r="F181" s="541">
        <v>3.15</v>
      </c>
      <c r="G181" s="541">
        <v>0.23</v>
      </c>
      <c r="H181" s="541">
        <v>0.15</v>
      </c>
      <c r="I181" s="545">
        <f>ROUND(IF(AND(F181:H181),C181*E181*F181*G181*H181,IF(AND(F181,G181),C181*E181*F181*G181,IF(AND(F181,H181),C181*E181*F181*H181,IF(AND(G181,H181),C181*E181*G181*H181,IF(F181,C181*E181*F181,IF(G181,C181*E181*G181,IF(H181,C181*E181*H181,C181*E181))))))),2)</f>
        <v>0.11</v>
      </c>
      <c r="J181" s="553" t="s">
        <v>5</v>
      </c>
      <c r="K181" s="39"/>
      <c r="L181" s="208"/>
      <c r="M181" s="39"/>
      <c r="N181" s="536" t="s">
        <v>2306</v>
      </c>
    </row>
    <row r="182" spans="1:14" s="544" customFormat="1" ht="16.5" customHeight="1">
      <c r="A182" s="16"/>
      <c r="B182" s="547"/>
      <c r="C182" s="548"/>
      <c r="D182" s="549"/>
      <c r="E182" s="550"/>
      <c r="F182" s="541"/>
      <c r="G182" s="541"/>
      <c r="H182" s="541"/>
      <c r="I182" s="552"/>
      <c r="J182" s="553"/>
      <c r="K182" s="39"/>
      <c r="L182" s="208"/>
      <c r="M182" s="39"/>
      <c r="N182" s="536" t="s">
        <v>2306</v>
      </c>
    </row>
    <row r="183" spans="1:14" ht="15.75">
      <c r="A183" s="16"/>
      <c r="B183" s="39"/>
      <c r="C183" s="554"/>
      <c r="D183" s="555"/>
      <c r="E183" s="540"/>
      <c r="F183" s="541"/>
      <c r="G183" s="40"/>
      <c r="H183" s="16"/>
      <c r="I183" s="552"/>
      <c r="J183" s="553" t="s">
        <v>5</v>
      </c>
      <c r="K183" s="10">
        <f>data!G1077</f>
        <v>10817</v>
      </c>
      <c r="L183" s="208" t="s">
        <v>2306</v>
      </c>
      <c r="M183" s="9">
        <f>ROUND(I183*K183,0)</f>
        <v>0</v>
      </c>
      <c r="N183" s="536" t="s">
        <v>2306</v>
      </c>
    </row>
    <row r="184" spans="1:14" ht="17.25" customHeight="1">
      <c r="A184" s="16">
        <v>4</v>
      </c>
      <c r="B184" s="1858" t="s">
        <v>580</v>
      </c>
      <c r="C184" s="1858"/>
      <c r="D184" s="1858"/>
      <c r="E184" s="1858"/>
      <c r="F184" s="1858"/>
      <c r="G184" s="1858"/>
      <c r="H184" s="1858"/>
      <c r="I184" s="537"/>
      <c r="J184" s="538"/>
      <c r="K184" s="16"/>
      <c r="L184" s="208"/>
      <c r="M184" s="38"/>
      <c r="N184" s="536" t="s">
        <v>2317</v>
      </c>
    </row>
    <row r="185" spans="1:14" s="544" customFormat="1" ht="16.5" customHeight="1">
      <c r="A185" s="16"/>
      <c r="B185" s="39" t="s">
        <v>2901</v>
      </c>
      <c r="C185" s="537"/>
      <c r="D185" s="539"/>
      <c r="E185" s="540"/>
      <c r="F185" s="541"/>
      <c r="G185" s="541"/>
      <c r="H185" s="541"/>
      <c r="I185" s="542"/>
      <c r="J185" s="553"/>
      <c r="K185" s="39"/>
      <c r="L185" s="208"/>
      <c r="M185" s="39"/>
      <c r="N185" s="536" t="s">
        <v>2317</v>
      </c>
    </row>
    <row r="186" spans="1:14" s="544" customFormat="1" ht="16.5" customHeight="1">
      <c r="A186" s="16"/>
      <c r="B186" s="39" t="s">
        <v>1632</v>
      </c>
      <c r="C186" s="537">
        <v>1</v>
      </c>
      <c r="D186" s="539" t="s">
        <v>273</v>
      </c>
      <c r="E186" s="540">
        <v>2</v>
      </c>
      <c r="F186" s="541">
        <v>2.9</v>
      </c>
      <c r="G186" s="541">
        <v>0.23</v>
      </c>
      <c r="H186" s="541">
        <v>0.15</v>
      </c>
      <c r="I186" s="545">
        <f>ROUND(IF(AND(F186:H186),C186*E186*F186*G186*H186,IF(AND(F186,G186),C186*E186*F186*G186,IF(AND(F186,H186),C186*E186*F186*H186,IF(AND(G186,H186),C186*E186*G186*H186,IF(F186,C186*E186*F186,IF(G186,C186*E186*G186,IF(H186,C186*E186*H186,C186*E186))))))),2)</f>
        <v>0.2</v>
      </c>
      <c r="J186" s="553" t="s">
        <v>5</v>
      </c>
      <c r="K186" s="39"/>
      <c r="L186" s="208"/>
      <c r="M186" s="39"/>
      <c r="N186" s="536" t="s">
        <v>2317</v>
      </c>
    </row>
    <row r="187" spans="1:14" s="544" customFormat="1" ht="16.5" customHeight="1">
      <c r="A187" s="16"/>
      <c r="B187" s="39"/>
      <c r="C187" s="537">
        <v>1</v>
      </c>
      <c r="D187" s="539" t="s">
        <v>273</v>
      </c>
      <c r="E187" s="540">
        <v>2</v>
      </c>
      <c r="F187" s="541">
        <v>1</v>
      </c>
      <c r="G187" s="541">
        <v>0.23</v>
      </c>
      <c r="H187" s="541">
        <v>0.15</v>
      </c>
      <c r="I187" s="545">
        <f>ROUND(IF(AND(F187:H187),C187*E187*F187*G187*H187,IF(AND(F187,G187),C187*E187*F187*G187,IF(AND(F187,H187),C187*E187*F187*H187,IF(AND(G187,H187),C187*E187*G187*H187,IF(F187,C187*E187*F187,IF(G187,C187*E187*G187,IF(H187,C187*E187*H187,C187*E187))))))),2)</f>
        <v>7.0000000000000007E-2</v>
      </c>
      <c r="J187" s="553" t="s">
        <v>5</v>
      </c>
      <c r="K187" s="39"/>
      <c r="L187" s="208"/>
      <c r="M187" s="39"/>
      <c r="N187" s="536" t="s">
        <v>2317</v>
      </c>
    </row>
    <row r="188" spans="1:14" s="544" customFormat="1" ht="16.5" customHeight="1">
      <c r="A188" s="16"/>
      <c r="B188" s="39"/>
      <c r="C188" s="537">
        <v>1</v>
      </c>
      <c r="D188" s="539" t="s">
        <v>273</v>
      </c>
      <c r="E188" s="540">
        <v>1</v>
      </c>
      <c r="F188" s="541">
        <v>3.15</v>
      </c>
      <c r="G188" s="541">
        <v>0.23</v>
      </c>
      <c r="H188" s="541">
        <v>0.15</v>
      </c>
      <c r="I188" s="545">
        <f>ROUND(IF(AND(F188:H188),C188*E188*F188*G188*H188,IF(AND(F188,G188),C188*E188*F188*G188,IF(AND(F188,H188),C188*E188*F188*H188,IF(AND(G188,H188),C188*E188*G188*H188,IF(F188,C188*E188*F188,IF(G188,C188*E188*G188,IF(H188,C188*E188*H188,C188*E188))))))),2)</f>
        <v>0.11</v>
      </c>
      <c r="J188" s="553" t="s">
        <v>5</v>
      </c>
      <c r="K188" s="39"/>
      <c r="L188" s="208"/>
      <c r="M188" s="39"/>
      <c r="N188" s="536" t="s">
        <v>2317</v>
      </c>
    </row>
    <row r="189" spans="1:14" s="544" customFormat="1" ht="16.5" customHeight="1">
      <c r="A189" s="16"/>
      <c r="B189" s="547"/>
      <c r="C189" s="548"/>
      <c r="D189" s="549"/>
      <c r="E189" s="550"/>
      <c r="F189" s="541"/>
      <c r="G189" s="541"/>
      <c r="H189" s="541"/>
      <c r="I189" s="552"/>
      <c r="J189" s="553"/>
      <c r="K189" s="39"/>
      <c r="L189" s="208"/>
      <c r="M189" s="39"/>
      <c r="N189" s="536" t="s">
        <v>2317</v>
      </c>
    </row>
    <row r="190" spans="1:14" ht="15.75">
      <c r="A190" s="16"/>
      <c r="B190" s="39"/>
      <c r="C190" s="554"/>
      <c r="D190" s="555"/>
      <c r="E190" s="540"/>
      <c r="F190" s="541"/>
      <c r="G190" s="40"/>
      <c r="H190" s="16"/>
      <c r="I190" s="552"/>
      <c r="J190" s="553" t="s">
        <v>5</v>
      </c>
      <c r="K190" s="10">
        <f>data!G1994</f>
        <v>11426.3</v>
      </c>
      <c r="L190" s="208" t="s">
        <v>2317</v>
      </c>
      <c r="M190" s="9">
        <f>ROUND(I190*K190,0)</f>
        <v>0</v>
      </c>
      <c r="N190" s="536" t="s">
        <v>2317</v>
      </c>
    </row>
    <row r="191" spans="1:14" ht="17.25" customHeight="1">
      <c r="A191" s="16">
        <v>4</v>
      </c>
      <c r="B191" s="1858" t="s">
        <v>580</v>
      </c>
      <c r="C191" s="1858"/>
      <c r="D191" s="1858"/>
      <c r="E191" s="1858"/>
      <c r="F191" s="1858"/>
      <c r="G191" s="1858"/>
      <c r="H191" s="1858"/>
      <c r="I191" s="537"/>
      <c r="J191" s="538"/>
      <c r="K191" s="16"/>
      <c r="L191" s="208"/>
      <c r="M191" s="38"/>
      <c r="N191" s="536" t="s">
        <v>2318</v>
      </c>
    </row>
    <row r="192" spans="1:14" s="544" customFormat="1" ht="16.5" customHeight="1">
      <c r="A192" s="16"/>
      <c r="B192" s="39" t="s">
        <v>2901</v>
      </c>
      <c r="C192" s="537"/>
      <c r="D192" s="539"/>
      <c r="E192" s="540"/>
      <c r="F192" s="541"/>
      <c r="G192" s="541"/>
      <c r="H192" s="541"/>
      <c r="I192" s="542"/>
      <c r="J192" s="553"/>
      <c r="K192" s="39"/>
      <c r="L192" s="208"/>
      <c r="M192" s="39"/>
      <c r="N192" s="536" t="s">
        <v>2318</v>
      </c>
    </row>
    <row r="193" spans="1:14" s="544" customFormat="1" ht="16.5" customHeight="1">
      <c r="A193" s="16"/>
      <c r="B193" s="39" t="s">
        <v>1632</v>
      </c>
      <c r="C193" s="537">
        <v>1</v>
      </c>
      <c r="D193" s="539" t="s">
        <v>273</v>
      </c>
      <c r="E193" s="540">
        <v>2</v>
      </c>
      <c r="F193" s="541">
        <v>2.9</v>
      </c>
      <c r="G193" s="541">
        <v>0.23</v>
      </c>
      <c r="H193" s="541">
        <v>0.15</v>
      </c>
      <c r="I193" s="545">
        <f>ROUND(IF(AND(F193:H193),C193*E193*F193*G193*H193,IF(AND(F193,G193),C193*E193*F193*G193,IF(AND(F193,H193),C193*E193*F193*H193,IF(AND(G193,H193),C193*E193*G193*H193,IF(F193,C193*E193*F193,IF(G193,C193*E193*G193,IF(H193,C193*E193*H193,C193*E193))))))),2)</f>
        <v>0.2</v>
      </c>
      <c r="J193" s="553" t="s">
        <v>5</v>
      </c>
      <c r="K193" s="39"/>
      <c r="L193" s="208"/>
      <c r="M193" s="39"/>
      <c r="N193" s="536" t="s">
        <v>2318</v>
      </c>
    </row>
    <row r="194" spans="1:14" s="544" customFormat="1" ht="16.5" customHeight="1">
      <c r="A194" s="16"/>
      <c r="B194" s="39"/>
      <c r="C194" s="537">
        <v>1</v>
      </c>
      <c r="D194" s="539" t="s">
        <v>273</v>
      </c>
      <c r="E194" s="540">
        <v>2</v>
      </c>
      <c r="F194" s="541">
        <v>1</v>
      </c>
      <c r="G194" s="541">
        <v>0.23</v>
      </c>
      <c r="H194" s="541">
        <v>0.15</v>
      </c>
      <c r="I194" s="545">
        <f>ROUND(IF(AND(F194:H194),C194*E194*F194*G194*H194,IF(AND(F194,G194),C194*E194*F194*G194,IF(AND(F194,H194),C194*E194*F194*H194,IF(AND(G194,H194),C194*E194*G194*H194,IF(F194,C194*E194*F194,IF(G194,C194*E194*G194,IF(H194,C194*E194*H194,C194*E194))))))),2)</f>
        <v>7.0000000000000007E-2</v>
      </c>
      <c r="J194" s="553" t="s">
        <v>5</v>
      </c>
      <c r="K194" s="39"/>
      <c r="L194" s="208"/>
      <c r="M194" s="39"/>
      <c r="N194" s="536" t="s">
        <v>2318</v>
      </c>
    </row>
    <row r="195" spans="1:14" s="544" customFormat="1" ht="16.5" customHeight="1">
      <c r="A195" s="16"/>
      <c r="B195" s="39"/>
      <c r="C195" s="537">
        <v>1</v>
      </c>
      <c r="D195" s="539" t="s">
        <v>273</v>
      </c>
      <c r="E195" s="540">
        <v>1</v>
      </c>
      <c r="F195" s="541">
        <v>3.15</v>
      </c>
      <c r="G195" s="541">
        <v>0.23</v>
      </c>
      <c r="H195" s="541">
        <v>0.15</v>
      </c>
      <c r="I195" s="545">
        <f>ROUND(IF(AND(F195:H195),C195*E195*F195*G195*H195,IF(AND(F195,G195),C195*E195*F195*G195,IF(AND(F195,H195),C195*E195*F195*H195,IF(AND(G195,H195),C195*E195*G195*H195,IF(F195,C195*E195*F195,IF(G195,C195*E195*G195,IF(H195,C195*E195*H195,C195*E195))))))),2)</f>
        <v>0.11</v>
      </c>
      <c r="J195" s="553" t="s">
        <v>5</v>
      </c>
      <c r="K195" s="39"/>
      <c r="L195" s="208"/>
      <c r="M195" s="39"/>
      <c r="N195" s="536" t="s">
        <v>2318</v>
      </c>
    </row>
    <row r="196" spans="1:14" s="544" customFormat="1" ht="16.5" customHeight="1">
      <c r="A196" s="16"/>
      <c r="B196" s="547"/>
      <c r="C196" s="548"/>
      <c r="D196" s="549"/>
      <c r="E196" s="550"/>
      <c r="F196" s="541"/>
      <c r="G196" s="541"/>
      <c r="H196" s="541"/>
      <c r="I196" s="552"/>
      <c r="J196" s="553"/>
      <c r="K196" s="39"/>
      <c r="L196" s="208"/>
      <c r="M196" s="39"/>
      <c r="N196" s="536" t="s">
        <v>2318</v>
      </c>
    </row>
    <row r="197" spans="1:14" ht="15.75">
      <c r="A197" s="16"/>
      <c r="B197" s="39"/>
      <c r="C197" s="554"/>
      <c r="D197" s="555"/>
      <c r="E197" s="540"/>
      <c r="F197" s="541"/>
      <c r="G197" s="40"/>
      <c r="H197" s="16"/>
      <c r="I197" s="552"/>
      <c r="J197" s="553" t="s">
        <v>5</v>
      </c>
      <c r="K197" s="10">
        <f>data!G2911</f>
        <v>11874.810000000001</v>
      </c>
      <c r="L197" s="208" t="s">
        <v>2318</v>
      </c>
      <c r="M197" s="9">
        <f>ROUND(I197*K197,0)</f>
        <v>0</v>
      </c>
      <c r="N197" s="536" t="s">
        <v>2318</v>
      </c>
    </row>
    <row r="198" spans="1:14" ht="17.25" customHeight="1">
      <c r="A198" s="16">
        <v>15</v>
      </c>
      <c r="B198" s="1858" t="s">
        <v>648</v>
      </c>
      <c r="C198" s="1858"/>
      <c r="D198" s="1858"/>
      <c r="E198" s="1858"/>
      <c r="F198" s="1858"/>
      <c r="G198" s="1858"/>
      <c r="H198" s="1858"/>
      <c r="I198" s="537"/>
      <c r="J198" s="538"/>
      <c r="K198" s="16"/>
      <c r="L198" s="208"/>
      <c r="M198" s="38"/>
      <c r="N198" s="536" t="s">
        <v>2218</v>
      </c>
    </row>
    <row r="199" spans="1:14" s="544" customFormat="1" ht="16.5" customHeight="1">
      <c r="A199" s="16"/>
      <c r="B199" s="39" t="s">
        <v>2826</v>
      </c>
      <c r="C199" s="537"/>
      <c r="D199" s="539"/>
      <c r="E199" s="540"/>
      <c r="F199" s="541"/>
      <c r="G199" s="541"/>
      <c r="H199" s="541"/>
      <c r="I199" s="542"/>
      <c r="J199" s="553"/>
      <c r="K199" s="39"/>
      <c r="L199" s="208"/>
      <c r="M199" s="39"/>
      <c r="N199" s="536" t="s">
        <v>2218</v>
      </c>
    </row>
    <row r="200" spans="1:14" s="544" customFormat="1" ht="16.5" customHeight="1">
      <c r="A200" s="16"/>
      <c r="B200" s="39"/>
      <c r="C200" s="537">
        <v>1</v>
      </c>
      <c r="D200" s="539" t="s">
        <v>273</v>
      </c>
      <c r="E200" s="540">
        <v>6</v>
      </c>
      <c r="F200" s="541">
        <v>1.82</v>
      </c>
      <c r="G200" s="541">
        <v>0</v>
      </c>
      <c r="H200" s="541">
        <v>0</v>
      </c>
      <c r="I200" s="545">
        <f>ROUND(IF(AND(F200:H200),C200*E200*F200*G200*H200,IF(AND(F200,G200),C200*E200*F200*G200,IF(AND(F200,H200),C200*E200*F200*H200,IF(AND(G200,H200),C200*E200*G200*H200,IF(F200,C200*E200*F200,IF(G200,C200*E200*G200,IF(H200,C200*E200*H200,C200*E200))))))),2)</f>
        <v>10.92</v>
      </c>
      <c r="J200" s="553" t="s">
        <v>277</v>
      </c>
      <c r="K200" s="39"/>
      <c r="L200" s="208"/>
      <c r="M200" s="39"/>
      <c r="N200" s="536" t="s">
        <v>2218</v>
      </c>
    </row>
    <row r="201" spans="1:14" s="544" customFormat="1" ht="16.5" customHeight="1">
      <c r="A201" s="16"/>
      <c r="B201" s="547"/>
      <c r="C201" s="548"/>
      <c r="D201" s="549"/>
      <c r="E201" s="550"/>
      <c r="F201" s="551"/>
      <c r="G201" s="551"/>
      <c r="H201" s="551"/>
      <c r="I201" s="552"/>
      <c r="J201" s="553"/>
      <c r="K201" s="39"/>
      <c r="L201" s="208"/>
      <c r="M201" s="39"/>
      <c r="N201" s="536" t="s">
        <v>2218</v>
      </c>
    </row>
    <row r="202" spans="1:14" ht="15.75">
      <c r="A202" s="16"/>
      <c r="B202" s="39"/>
      <c r="C202" s="554"/>
      <c r="D202" s="555"/>
      <c r="E202" s="540"/>
      <c r="F202" s="541"/>
      <c r="G202" s="40"/>
      <c r="H202" s="16"/>
      <c r="I202" s="552"/>
      <c r="J202" s="553" t="s">
        <v>277</v>
      </c>
      <c r="K202" s="10">
        <f>data!G224</f>
        <v>663.65999999999985</v>
      </c>
      <c r="L202" s="208" t="s">
        <v>2218</v>
      </c>
      <c r="M202" s="9">
        <f>ROUND(I202*K202,0)</f>
        <v>0</v>
      </c>
      <c r="N202" s="536" t="s">
        <v>2218</v>
      </c>
    </row>
    <row r="203" spans="1:14" ht="17.25" customHeight="1">
      <c r="A203" s="16">
        <v>15</v>
      </c>
      <c r="B203" s="1858" t="s">
        <v>648</v>
      </c>
      <c r="C203" s="1858"/>
      <c r="D203" s="1858"/>
      <c r="E203" s="1858"/>
      <c r="F203" s="1858"/>
      <c r="G203" s="1858"/>
      <c r="H203" s="1858"/>
      <c r="I203" s="537"/>
      <c r="J203" s="538"/>
      <c r="K203" s="16"/>
      <c r="L203" s="208"/>
      <c r="M203" s="38"/>
      <c r="N203" s="536" t="s">
        <v>2306</v>
      </c>
    </row>
    <row r="204" spans="1:14" s="544" customFormat="1" ht="16.5" customHeight="1">
      <c r="A204" s="16"/>
      <c r="B204" s="39" t="s">
        <v>2826</v>
      </c>
      <c r="C204" s="537"/>
      <c r="D204" s="539"/>
      <c r="E204" s="540"/>
      <c r="F204" s="541"/>
      <c r="G204" s="541"/>
      <c r="H204" s="541"/>
      <c r="I204" s="542"/>
      <c r="J204" s="553"/>
      <c r="K204" s="39"/>
      <c r="L204" s="208"/>
      <c r="M204" s="39"/>
      <c r="N204" s="536" t="s">
        <v>2306</v>
      </c>
    </row>
    <row r="205" spans="1:14" s="544" customFormat="1" ht="16.5" customHeight="1">
      <c r="A205" s="16"/>
      <c r="B205" s="39"/>
      <c r="C205" s="537">
        <v>1</v>
      </c>
      <c r="D205" s="539" t="s">
        <v>273</v>
      </c>
      <c r="E205" s="540">
        <v>6</v>
      </c>
      <c r="F205" s="541">
        <v>1.82</v>
      </c>
      <c r="G205" s="541">
        <v>0</v>
      </c>
      <c r="H205" s="541">
        <v>0</v>
      </c>
      <c r="I205" s="545">
        <f>ROUND(IF(AND(F205:H205),C205*E205*F205*G205*H205,IF(AND(F205,G205),C205*E205*F205*G205,IF(AND(F205,H205),C205*E205*F205*H205,IF(AND(G205,H205),C205*E205*G205*H205,IF(F205,C205*E205*F205,IF(G205,C205*E205*G205,IF(H205,C205*E205*H205,C205*E205))))))),2)</f>
        <v>10.92</v>
      </c>
      <c r="J205" s="553" t="s">
        <v>277</v>
      </c>
      <c r="K205" s="39"/>
      <c r="L205" s="208"/>
      <c r="M205" s="39"/>
      <c r="N205" s="536" t="s">
        <v>2306</v>
      </c>
    </row>
    <row r="206" spans="1:14" s="544" customFormat="1" ht="16.5" customHeight="1">
      <c r="A206" s="16"/>
      <c r="B206" s="547"/>
      <c r="C206" s="548"/>
      <c r="D206" s="549"/>
      <c r="E206" s="550"/>
      <c r="F206" s="551"/>
      <c r="G206" s="551"/>
      <c r="H206" s="551"/>
      <c r="I206" s="552"/>
      <c r="J206" s="553"/>
      <c r="K206" s="39"/>
      <c r="L206" s="208"/>
      <c r="M206" s="39"/>
      <c r="N206" s="536" t="s">
        <v>2306</v>
      </c>
    </row>
    <row r="207" spans="1:14" ht="15.75">
      <c r="A207" s="16"/>
      <c r="B207" s="39"/>
      <c r="C207" s="554"/>
      <c r="D207" s="555"/>
      <c r="E207" s="540"/>
      <c r="F207" s="541"/>
      <c r="G207" s="40"/>
      <c r="H207" s="16"/>
      <c r="I207" s="552"/>
      <c r="J207" s="553" t="s">
        <v>277</v>
      </c>
      <c r="K207" s="10">
        <f>data!G1140</f>
        <v>684.77</v>
      </c>
      <c r="L207" s="208" t="s">
        <v>2306</v>
      </c>
      <c r="M207" s="9">
        <f>ROUND(I207*K207,0)</f>
        <v>0</v>
      </c>
      <c r="N207" s="536" t="s">
        <v>2306</v>
      </c>
    </row>
    <row r="208" spans="1:14" ht="17.25" customHeight="1">
      <c r="A208" s="16">
        <v>15</v>
      </c>
      <c r="B208" s="1858" t="s">
        <v>648</v>
      </c>
      <c r="C208" s="1858"/>
      <c r="D208" s="1858"/>
      <c r="E208" s="1858"/>
      <c r="F208" s="1858"/>
      <c r="G208" s="1858"/>
      <c r="H208" s="1858"/>
      <c r="I208" s="537"/>
      <c r="J208" s="538"/>
      <c r="K208" s="16"/>
      <c r="L208" s="208"/>
      <c r="M208" s="38"/>
      <c r="N208" s="536" t="s">
        <v>2317</v>
      </c>
    </row>
    <row r="209" spans="1:14" s="544" customFormat="1" ht="16.5" customHeight="1">
      <c r="A209" s="16"/>
      <c r="B209" s="39" t="s">
        <v>2826</v>
      </c>
      <c r="C209" s="537"/>
      <c r="D209" s="539"/>
      <c r="E209" s="540"/>
      <c r="F209" s="541"/>
      <c r="G209" s="541"/>
      <c r="H209" s="541"/>
      <c r="I209" s="542"/>
      <c r="J209" s="553"/>
      <c r="K209" s="39"/>
      <c r="L209" s="208"/>
      <c r="M209" s="39"/>
      <c r="N209" s="536" t="s">
        <v>2317</v>
      </c>
    </row>
    <row r="210" spans="1:14" s="544" customFormat="1" ht="16.5" customHeight="1">
      <c r="A210" s="16"/>
      <c r="B210" s="39"/>
      <c r="C210" s="537">
        <v>1</v>
      </c>
      <c r="D210" s="539" t="s">
        <v>273</v>
      </c>
      <c r="E210" s="540">
        <v>6</v>
      </c>
      <c r="F210" s="541">
        <v>1.82</v>
      </c>
      <c r="G210" s="541">
        <v>0</v>
      </c>
      <c r="H210" s="541">
        <v>0</v>
      </c>
      <c r="I210" s="545">
        <f>ROUND(IF(AND(F210:H210),C210*E210*F210*G210*H210,IF(AND(F210,G210),C210*E210*F210*G210,IF(AND(F210,H210),C210*E210*F210*H210,IF(AND(G210,H210),C210*E210*G210*H210,IF(F210,C210*E210*F210,IF(G210,C210*E210*G210,IF(H210,C210*E210*H210,C210*E210))))))),2)</f>
        <v>10.92</v>
      </c>
      <c r="J210" s="553" t="s">
        <v>277</v>
      </c>
      <c r="K210" s="39"/>
      <c r="L210" s="208"/>
      <c r="M210" s="39"/>
      <c r="N210" s="536" t="s">
        <v>2317</v>
      </c>
    </row>
    <row r="211" spans="1:14" s="544" customFormat="1" ht="16.5" customHeight="1">
      <c r="A211" s="16"/>
      <c r="B211" s="547"/>
      <c r="C211" s="548"/>
      <c r="D211" s="549"/>
      <c r="E211" s="550"/>
      <c r="F211" s="551"/>
      <c r="G211" s="551"/>
      <c r="H211" s="551"/>
      <c r="I211" s="552"/>
      <c r="J211" s="553"/>
      <c r="K211" s="39"/>
      <c r="L211" s="208"/>
      <c r="M211" s="39"/>
      <c r="N211" s="536" t="s">
        <v>2317</v>
      </c>
    </row>
    <row r="212" spans="1:14" ht="15.75">
      <c r="A212" s="16"/>
      <c r="B212" s="39"/>
      <c r="C212" s="554"/>
      <c r="D212" s="555"/>
      <c r="E212" s="540"/>
      <c r="F212" s="541"/>
      <c r="G212" s="40"/>
      <c r="H212" s="16"/>
      <c r="I212" s="552"/>
      <c r="J212" s="553" t="s">
        <v>277</v>
      </c>
      <c r="K212" s="10">
        <f>data!G2057</f>
        <v>722.50999999999988</v>
      </c>
      <c r="L212" s="208" t="s">
        <v>2317</v>
      </c>
      <c r="M212" s="9">
        <f>ROUND(I212*K212,0)</f>
        <v>0</v>
      </c>
      <c r="N212" s="536" t="s">
        <v>2317</v>
      </c>
    </row>
    <row r="213" spans="1:14" ht="17.25" customHeight="1">
      <c r="A213" s="16">
        <v>15</v>
      </c>
      <c r="B213" s="1858" t="s">
        <v>648</v>
      </c>
      <c r="C213" s="1858"/>
      <c r="D213" s="1858"/>
      <c r="E213" s="1858"/>
      <c r="F213" s="1858"/>
      <c r="G213" s="1858"/>
      <c r="H213" s="1858"/>
      <c r="I213" s="537"/>
      <c r="J213" s="538"/>
      <c r="K213" s="16"/>
      <c r="L213" s="208"/>
      <c r="M213" s="38"/>
      <c r="N213" s="536" t="s">
        <v>2318</v>
      </c>
    </row>
    <row r="214" spans="1:14" s="544" customFormat="1" ht="16.5" customHeight="1">
      <c r="A214" s="16"/>
      <c r="B214" s="39" t="s">
        <v>2826</v>
      </c>
      <c r="C214" s="537"/>
      <c r="D214" s="539"/>
      <c r="E214" s="540"/>
      <c r="F214" s="541"/>
      <c r="G214" s="541"/>
      <c r="H214" s="541"/>
      <c r="I214" s="542"/>
      <c r="J214" s="553"/>
      <c r="K214" s="39"/>
      <c r="L214" s="208"/>
      <c r="M214" s="39"/>
      <c r="N214" s="536" t="s">
        <v>2318</v>
      </c>
    </row>
    <row r="215" spans="1:14" s="544" customFormat="1" ht="16.5" customHeight="1">
      <c r="A215" s="16"/>
      <c r="B215" s="39"/>
      <c r="C215" s="537">
        <v>1</v>
      </c>
      <c r="D215" s="539" t="s">
        <v>273</v>
      </c>
      <c r="E215" s="540">
        <v>6</v>
      </c>
      <c r="F215" s="541">
        <v>1.82</v>
      </c>
      <c r="G215" s="541">
        <v>0</v>
      </c>
      <c r="H215" s="541">
        <v>0</v>
      </c>
      <c r="I215" s="545">
        <f>ROUND(IF(AND(F215:H215),C215*E215*F215*G215*H215,IF(AND(F215,G215),C215*E215*F215*G215,IF(AND(F215,H215),C215*E215*F215*H215,IF(AND(G215,H215),C215*E215*G215*H215,IF(F215,C215*E215*F215,IF(G215,C215*E215*G215,IF(H215,C215*E215*H215,C215*E215))))))),2)</f>
        <v>10.92</v>
      </c>
      <c r="J215" s="553" t="s">
        <v>277</v>
      </c>
      <c r="K215" s="39"/>
      <c r="L215" s="208"/>
      <c r="M215" s="39"/>
      <c r="N215" s="536" t="s">
        <v>2318</v>
      </c>
    </row>
    <row r="216" spans="1:14" s="544" customFormat="1" ht="16.5" customHeight="1">
      <c r="A216" s="16"/>
      <c r="B216" s="547"/>
      <c r="C216" s="548"/>
      <c r="D216" s="549"/>
      <c r="E216" s="550"/>
      <c r="F216" s="551"/>
      <c r="G216" s="551"/>
      <c r="H216" s="551"/>
      <c r="I216" s="552"/>
      <c r="J216" s="553"/>
      <c r="K216" s="39"/>
      <c r="L216" s="208"/>
      <c r="M216" s="39"/>
      <c r="N216" s="536" t="s">
        <v>2318</v>
      </c>
    </row>
    <row r="217" spans="1:14" ht="15.75">
      <c r="A217" s="16"/>
      <c r="B217" s="39"/>
      <c r="C217" s="554"/>
      <c r="D217" s="555"/>
      <c r="E217" s="540"/>
      <c r="F217" s="541"/>
      <c r="G217" s="40"/>
      <c r="H217" s="16"/>
      <c r="I217" s="552"/>
      <c r="J217" s="553" t="s">
        <v>277</v>
      </c>
      <c r="K217" s="10">
        <f>data!G2974</f>
        <v>744.7299999999999</v>
      </c>
      <c r="L217" s="208" t="s">
        <v>2318</v>
      </c>
      <c r="M217" s="9">
        <f>ROUND(I217*K217,0)</f>
        <v>0</v>
      </c>
      <c r="N217" s="536" t="s">
        <v>2318</v>
      </c>
    </row>
    <row r="218" spans="1:14" ht="64.5" customHeight="1">
      <c r="A218" s="16">
        <v>3</v>
      </c>
      <c r="B218" s="1858" t="s">
        <v>151</v>
      </c>
      <c r="C218" s="1858"/>
      <c r="D218" s="1858"/>
      <c r="E218" s="1858"/>
      <c r="F218" s="1858"/>
      <c r="G218" s="1858"/>
      <c r="H218" s="1858"/>
      <c r="I218" s="537"/>
      <c r="J218" s="538"/>
      <c r="K218" s="16"/>
      <c r="L218" s="208"/>
      <c r="M218" s="38"/>
      <c r="N218" s="536" t="s">
        <v>2218</v>
      </c>
    </row>
    <row r="219" spans="1:14" s="544" customFormat="1" ht="16.5" customHeight="1">
      <c r="A219" s="16"/>
      <c r="B219" s="39" t="s">
        <v>2887</v>
      </c>
      <c r="C219" s="537"/>
      <c r="D219" s="539"/>
      <c r="E219" s="540"/>
      <c r="F219" s="541"/>
      <c r="G219" s="541"/>
      <c r="H219" s="541"/>
      <c r="I219" s="542"/>
      <c r="J219" s="553"/>
      <c r="K219" s="39"/>
      <c r="L219" s="16"/>
      <c r="M219" s="39"/>
      <c r="N219" s="536" t="s">
        <v>2218</v>
      </c>
    </row>
    <row r="220" spans="1:14" s="544" customFormat="1" ht="16.5" customHeight="1">
      <c r="A220" s="16"/>
      <c r="B220" s="39" t="s">
        <v>1631</v>
      </c>
      <c r="C220" s="537">
        <v>1</v>
      </c>
      <c r="D220" s="539" t="s">
        <v>273</v>
      </c>
      <c r="E220" s="540">
        <v>1</v>
      </c>
      <c r="F220" s="541">
        <v>4.3499999999999996</v>
      </c>
      <c r="G220" s="541">
        <v>4.2</v>
      </c>
      <c r="H220" s="541">
        <v>0</v>
      </c>
      <c r="I220" s="545">
        <f>ROUND(IF(AND(F220:H220),C220*E220*F220*G220*H220,IF(AND(F220,G220),C220*E220*F220*G220,IF(AND(F220,H220),C220*E220*F220*H220,IF(AND(G220,H220),C220*E220*G220*H220,IF(F220,C220*E220*F220,IF(G220,C220*E220*G220,IF(H220,C220*E220*H220,C220*E220))))))),2)</f>
        <v>18.27</v>
      </c>
      <c r="J220" s="553" t="s">
        <v>102</v>
      </c>
      <c r="K220" s="39"/>
      <c r="L220" s="16"/>
      <c r="M220" s="39"/>
      <c r="N220" s="536" t="s">
        <v>2218</v>
      </c>
    </row>
    <row r="221" spans="1:14" s="544" customFormat="1" ht="16.5" customHeight="1">
      <c r="A221" s="16"/>
      <c r="B221" s="547"/>
      <c r="C221" s="548"/>
      <c r="D221" s="549"/>
      <c r="E221" s="550"/>
      <c r="F221" s="551"/>
      <c r="G221" s="551"/>
      <c r="H221" s="551"/>
      <c r="I221" s="552"/>
      <c r="J221" s="553"/>
      <c r="K221" s="39"/>
      <c r="L221" s="208"/>
      <c r="M221" s="39"/>
      <c r="N221" s="536" t="s">
        <v>2218</v>
      </c>
    </row>
    <row r="222" spans="1:14" ht="15.75">
      <c r="A222" s="16"/>
      <c r="B222" s="39"/>
      <c r="C222" s="554"/>
      <c r="D222" s="555"/>
      <c r="E222" s="540"/>
      <c r="F222" s="541"/>
      <c r="G222" s="40"/>
      <c r="H222" s="16"/>
      <c r="I222" s="552"/>
      <c r="J222" s="553" t="s">
        <v>102</v>
      </c>
      <c r="K222" s="10">
        <f>data!G568</f>
        <v>297.64999999999998</v>
      </c>
      <c r="L222" s="208" t="s">
        <v>2218</v>
      </c>
      <c r="M222" s="9">
        <f>ROUND(I222*K222,0)</f>
        <v>0</v>
      </c>
      <c r="N222" s="536" t="s">
        <v>2218</v>
      </c>
    </row>
    <row r="223" spans="1:14" ht="64.5" customHeight="1">
      <c r="A223" s="16">
        <v>3</v>
      </c>
      <c r="B223" s="1858" t="s">
        <v>151</v>
      </c>
      <c r="C223" s="1858"/>
      <c r="D223" s="1858"/>
      <c r="E223" s="1858"/>
      <c r="F223" s="1858"/>
      <c r="G223" s="1858"/>
      <c r="H223" s="1858"/>
      <c r="I223" s="537"/>
      <c r="J223" s="538"/>
      <c r="K223" s="16"/>
      <c r="L223" s="208"/>
      <c r="M223" s="38"/>
      <c r="N223" s="536" t="s">
        <v>2306</v>
      </c>
    </row>
    <row r="224" spans="1:14" s="544" customFormat="1" ht="16.5" customHeight="1">
      <c r="A224" s="16"/>
      <c r="B224" s="39" t="s">
        <v>2971</v>
      </c>
      <c r="C224" s="537"/>
      <c r="D224" s="539"/>
      <c r="E224" s="540"/>
      <c r="F224" s="541"/>
      <c r="G224" s="541"/>
      <c r="H224" s="541"/>
      <c r="I224" s="542"/>
      <c r="J224" s="553"/>
      <c r="K224" s="39"/>
      <c r="L224" s="16"/>
      <c r="M224" s="39"/>
      <c r="N224" s="536" t="s">
        <v>2306</v>
      </c>
    </row>
    <row r="225" spans="1:14" s="544" customFormat="1" ht="16.5" customHeight="1">
      <c r="A225" s="16"/>
      <c r="B225" s="39" t="s">
        <v>1631</v>
      </c>
      <c r="C225" s="537">
        <v>1</v>
      </c>
      <c r="D225" s="539" t="s">
        <v>273</v>
      </c>
      <c r="E225" s="540">
        <v>1</v>
      </c>
      <c r="F225" s="541">
        <v>5.22</v>
      </c>
      <c r="G225" s="541">
        <v>3.78</v>
      </c>
      <c r="H225" s="541">
        <v>0</v>
      </c>
      <c r="I225" s="545">
        <f>ROUND(IF(AND(F225:H225),C225*E225*F225*G225*H225,IF(AND(F225,G225),C225*E225*F225*G225,IF(AND(F225,H225),C225*E225*F225*H225,IF(AND(G225,H225),C225*E225*G225*H225,IF(F225,C225*E225*F225,IF(G225,C225*E225*G225,IF(H225,C225*E225*H225,C225*E225))))))),2)</f>
        <v>19.73</v>
      </c>
      <c r="J225" s="553" t="s">
        <v>102</v>
      </c>
      <c r="K225" s="39"/>
      <c r="L225" s="16"/>
      <c r="M225" s="39"/>
      <c r="N225" s="536" t="s">
        <v>2306</v>
      </c>
    </row>
    <row r="226" spans="1:14" s="544" customFormat="1" ht="16.5" customHeight="1">
      <c r="A226" s="16"/>
      <c r="B226" s="547"/>
      <c r="C226" s="548"/>
      <c r="D226" s="549"/>
      <c r="E226" s="550"/>
      <c r="F226" s="551"/>
      <c r="G226" s="551"/>
      <c r="H226" s="551"/>
      <c r="I226" s="552"/>
      <c r="J226" s="553"/>
      <c r="K226" s="39"/>
      <c r="L226" s="208"/>
      <c r="M226" s="39"/>
      <c r="N226" s="536" t="s">
        <v>2306</v>
      </c>
    </row>
    <row r="227" spans="1:14" ht="15.75">
      <c r="A227" s="16"/>
      <c r="B227" s="39"/>
      <c r="C227" s="554"/>
      <c r="D227" s="555"/>
      <c r="E227" s="540"/>
      <c r="F227" s="541"/>
      <c r="G227" s="40"/>
      <c r="H227" s="16"/>
      <c r="I227" s="552"/>
      <c r="J227" s="553" t="s">
        <v>102</v>
      </c>
      <c r="K227" s="10">
        <f>data!G1485</f>
        <v>321.24</v>
      </c>
      <c r="L227" s="208" t="s">
        <v>2306</v>
      </c>
      <c r="M227" s="9">
        <f>ROUND(I227*K227,0)</f>
        <v>0</v>
      </c>
      <c r="N227" s="536" t="s">
        <v>2306</v>
      </c>
    </row>
    <row r="228" spans="1:14" ht="64.5" customHeight="1">
      <c r="A228" s="16">
        <v>3</v>
      </c>
      <c r="B228" s="1858" t="s">
        <v>151</v>
      </c>
      <c r="C228" s="1858"/>
      <c r="D228" s="1858"/>
      <c r="E228" s="1858"/>
      <c r="F228" s="1858"/>
      <c r="G228" s="1858"/>
      <c r="H228" s="1858"/>
      <c r="I228" s="537"/>
      <c r="J228" s="538"/>
      <c r="K228" s="16"/>
      <c r="L228" s="208"/>
      <c r="M228" s="38"/>
      <c r="N228" s="536" t="s">
        <v>2317</v>
      </c>
    </row>
    <row r="229" spans="1:14" s="544" customFormat="1" ht="16.5" customHeight="1">
      <c r="A229" s="16"/>
      <c r="B229" s="39" t="s">
        <v>2887</v>
      </c>
      <c r="C229" s="537"/>
      <c r="D229" s="539"/>
      <c r="E229" s="540"/>
      <c r="F229" s="541"/>
      <c r="G229" s="541"/>
      <c r="H229" s="541"/>
      <c r="I229" s="542"/>
      <c r="J229" s="553"/>
      <c r="K229" s="39"/>
      <c r="L229" s="16"/>
      <c r="M229" s="39"/>
      <c r="N229" s="536" t="s">
        <v>2317</v>
      </c>
    </row>
    <row r="230" spans="1:14" s="544" customFormat="1" ht="16.5" customHeight="1">
      <c r="A230" s="16"/>
      <c r="B230" s="39" t="s">
        <v>1631</v>
      </c>
      <c r="C230" s="537">
        <v>1</v>
      </c>
      <c r="D230" s="539" t="s">
        <v>273</v>
      </c>
      <c r="E230" s="540">
        <v>1</v>
      </c>
      <c r="F230" s="541">
        <v>4.3499999999999996</v>
      </c>
      <c r="G230" s="541">
        <v>4.2</v>
      </c>
      <c r="H230" s="541">
        <v>0</v>
      </c>
      <c r="I230" s="545">
        <f>ROUND(IF(AND(F230:H230),C230*E230*F230*G230*H230,IF(AND(F230,G230),C230*E230*F230*G230,IF(AND(F230,H230),C230*E230*F230*H230,IF(AND(G230,H230),C230*E230*G230*H230,IF(F230,C230*E230*F230,IF(G230,C230*E230*G230,IF(H230,C230*E230*H230,C230*E230))))))),2)</f>
        <v>18.27</v>
      </c>
      <c r="J230" s="553" t="s">
        <v>102</v>
      </c>
      <c r="K230" s="39"/>
      <c r="L230" s="16"/>
      <c r="M230" s="39"/>
      <c r="N230" s="536" t="s">
        <v>2317</v>
      </c>
    </row>
    <row r="231" spans="1:14" s="544" customFormat="1" ht="16.5" customHeight="1">
      <c r="A231" s="16"/>
      <c r="B231" s="547"/>
      <c r="C231" s="548"/>
      <c r="D231" s="549"/>
      <c r="E231" s="550"/>
      <c r="F231" s="551"/>
      <c r="G231" s="551"/>
      <c r="H231" s="551"/>
      <c r="I231" s="552"/>
      <c r="J231" s="553"/>
      <c r="K231" s="39"/>
      <c r="L231" s="208"/>
      <c r="M231" s="39"/>
      <c r="N231" s="536" t="s">
        <v>2317</v>
      </c>
    </row>
    <row r="232" spans="1:14" ht="15.75">
      <c r="A232" s="16"/>
      <c r="B232" s="39"/>
      <c r="C232" s="554"/>
      <c r="D232" s="555"/>
      <c r="E232" s="540"/>
      <c r="F232" s="541"/>
      <c r="G232" s="40"/>
      <c r="H232" s="16"/>
      <c r="I232" s="552"/>
      <c r="J232" s="553" t="s">
        <v>102</v>
      </c>
      <c r="K232" s="10">
        <f>data!G2402</f>
        <v>340.95</v>
      </c>
      <c r="L232" s="208" t="s">
        <v>2317</v>
      </c>
      <c r="M232" s="9">
        <f>ROUND(I232*K232,0)</f>
        <v>0</v>
      </c>
      <c r="N232" s="536" t="s">
        <v>2317</v>
      </c>
    </row>
    <row r="233" spans="1:14" ht="64.5" customHeight="1">
      <c r="A233" s="16">
        <v>3</v>
      </c>
      <c r="B233" s="1858" t="s">
        <v>151</v>
      </c>
      <c r="C233" s="1858"/>
      <c r="D233" s="1858"/>
      <c r="E233" s="1858"/>
      <c r="F233" s="1858"/>
      <c r="G233" s="1858"/>
      <c r="H233" s="1858"/>
      <c r="I233" s="537"/>
      <c r="J233" s="538"/>
      <c r="K233" s="16"/>
      <c r="L233" s="208"/>
      <c r="M233" s="38"/>
      <c r="N233" s="536" t="s">
        <v>2318</v>
      </c>
    </row>
    <row r="234" spans="1:14" s="544" customFormat="1" ht="16.5" customHeight="1">
      <c r="A234" s="16"/>
      <c r="B234" s="39" t="s">
        <v>2887</v>
      </c>
      <c r="C234" s="537"/>
      <c r="D234" s="539"/>
      <c r="E234" s="540"/>
      <c r="F234" s="541"/>
      <c r="G234" s="541"/>
      <c r="H234" s="541"/>
      <c r="I234" s="542"/>
      <c r="J234" s="553"/>
      <c r="K234" s="39"/>
      <c r="L234" s="16"/>
      <c r="M234" s="39"/>
      <c r="N234" s="536" t="s">
        <v>2318</v>
      </c>
    </row>
    <row r="235" spans="1:14" s="544" customFormat="1" ht="16.5" customHeight="1">
      <c r="A235" s="16"/>
      <c r="B235" s="39" t="s">
        <v>1631</v>
      </c>
      <c r="C235" s="537">
        <v>1</v>
      </c>
      <c r="D235" s="539" t="s">
        <v>273</v>
      </c>
      <c r="E235" s="540">
        <v>1</v>
      </c>
      <c r="F235" s="541">
        <v>4.3499999999999996</v>
      </c>
      <c r="G235" s="541">
        <v>4.2</v>
      </c>
      <c r="H235" s="541">
        <v>0</v>
      </c>
      <c r="I235" s="545">
        <f>ROUND(IF(AND(F235:H235),C235*E235*F235*G235*H235,IF(AND(F235,G235),C235*E235*F235*G235,IF(AND(F235,H235),C235*E235*F235*H235,IF(AND(G235,H235),C235*E235*G235*H235,IF(F235,C235*E235*F235,IF(G235,C235*E235*G235,IF(H235,C235*E235*H235,C235*E235))))))),2)</f>
        <v>18.27</v>
      </c>
      <c r="J235" s="553" t="s">
        <v>102</v>
      </c>
      <c r="K235" s="39"/>
      <c r="L235" s="16"/>
      <c r="M235" s="39"/>
      <c r="N235" s="536" t="s">
        <v>2318</v>
      </c>
    </row>
    <row r="236" spans="1:14" s="544" customFormat="1" ht="16.5" customHeight="1">
      <c r="A236" s="16"/>
      <c r="B236" s="547"/>
      <c r="C236" s="548"/>
      <c r="D236" s="549"/>
      <c r="E236" s="550"/>
      <c r="F236" s="551"/>
      <c r="G236" s="551"/>
      <c r="H236" s="551"/>
      <c r="I236" s="552"/>
      <c r="J236" s="553"/>
      <c r="K236" s="39"/>
      <c r="L236" s="208"/>
      <c r="M236" s="39"/>
      <c r="N236" s="536" t="s">
        <v>2318</v>
      </c>
    </row>
    <row r="237" spans="1:14" ht="15.75">
      <c r="A237" s="16"/>
      <c r="B237" s="39"/>
      <c r="C237" s="554"/>
      <c r="D237" s="555"/>
      <c r="E237" s="540"/>
      <c r="F237" s="541"/>
      <c r="G237" s="40"/>
      <c r="H237" s="16"/>
      <c r="I237" s="552"/>
      <c r="J237" s="553" t="s">
        <v>102</v>
      </c>
      <c r="K237" s="10">
        <f>data!G3319</f>
        <v>362.63</v>
      </c>
      <c r="L237" s="208" t="s">
        <v>2318</v>
      </c>
      <c r="M237" s="9">
        <f>ROUND(I237*K237,0)</f>
        <v>0</v>
      </c>
      <c r="N237" s="536" t="s">
        <v>2318</v>
      </c>
    </row>
    <row r="238" spans="1:14" ht="64.5" customHeight="1">
      <c r="A238" s="16">
        <v>13</v>
      </c>
      <c r="B238" s="1858" t="s">
        <v>1314</v>
      </c>
      <c r="C238" s="1858"/>
      <c r="D238" s="1858"/>
      <c r="E238" s="1858"/>
      <c r="F238" s="1858"/>
      <c r="G238" s="1858"/>
      <c r="H238" s="1858"/>
      <c r="I238" s="537"/>
      <c r="J238" s="538"/>
      <c r="K238" s="16"/>
      <c r="L238" s="208"/>
      <c r="M238" s="38"/>
      <c r="N238" s="536" t="s">
        <v>2218</v>
      </c>
    </row>
    <row r="239" spans="1:14" s="544" customFormat="1" ht="16.5" customHeight="1">
      <c r="A239" s="16"/>
      <c r="B239" s="39" t="s">
        <v>2888</v>
      </c>
      <c r="C239" s="537"/>
      <c r="D239" s="539"/>
      <c r="E239" s="540"/>
      <c r="F239" s="541"/>
      <c r="G239" s="541"/>
      <c r="H239" s="541"/>
      <c r="I239" s="542"/>
      <c r="J239" s="553"/>
      <c r="K239" s="39"/>
      <c r="L239" s="208"/>
      <c r="M239" s="39"/>
      <c r="N239" s="536" t="s">
        <v>2218</v>
      </c>
    </row>
    <row r="240" spans="1:14" s="544" customFormat="1" ht="16.5" customHeight="1">
      <c r="A240" s="16"/>
      <c r="B240" s="39"/>
      <c r="C240" s="537">
        <v>1</v>
      </c>
      <c r="D240" s="539" t="s">
        <v>273</v>
      </c>
      <c r="E240" s="540">
        <v>1</v>
      </c>
      <c r="F240" s="541">
        <v>10.45</v>
      </c>
      <c r="G240" s="541">
        <v>12</v>
      </c>
      <c r="H240" s="541">
        <v>0</v>
      </c>
      <c r="I240" s="545">
        <f>ROUND(IF(AND(F240:H240),C240*E240*F240*G240*H240,IF(AND(F240,G240),C240*E240*F240*G240,IF(AND(F240,H240),C240*E240*F240*H240,IF(AND(G240,H240),C240*E240*G240*H240,IF(F240,C240*E240*F240,IF(G240,C240*E240*G240,IF(H240,C240*E240*H240,C240*E240))))))),2)</f>
        <v>125.4</v>
      </c>
      <c r="J240" s="553" t="s">
        <v>102</v>
      </c>
      <c r="K240" s="39"/>
      <c r="L240" s="208"/>
      <c r="M240" s="39"/>
      <c r="N240" s="536" t="s">
        <v>2218</v>
      </c>
    </row>
    <row r="241" spans="1:14" s="544" customFormat="1" ht="16.5" customHeight="1">
      <c r="A241" s="16"/>
      <c r="B241" s="39"/>
      <c r="C241" s="537">
        <v>1</v>
      </c>
      <c r="D241" s="539" t="s">
        <v>273</v>
      </c>
      <c r="E241" s="540">
        <v>1</v>
      </c>
      <c r="F241" s="541">
        <v>3.52</v>
      </c>
      <c r="G241" s="541">
        <v>0.92</v>
      </c>
      <c r="H241" s="541">
        <v>0</v>
      </c>
      <c r="I241" s="545">
        <f>ROUND(IF(AND(F241:H241),C241*E241*F241*G241*H241,IF(AND(F241,G241),C241*E241*F241*G241,IF(AND(F241,H241),C241*E241*F241*H241,IF(AND(G241,H241),C241*E241*G241*H241,IF(F241,C241*E241*F241,IF(G241,C241*E241*G241,IF(H241,C241*E241*H241,C241*E241))))))),2)</f>
        <v>3.24</v>
      </c>
      <c r="J241" s="553" t="s">
        <v>102</v>
      </c>
      <c r="K241" s="39"/>
      <c r="L241" s="208"/>
      <c r="M241" s="39"/>
      <c r="N241" s="536" t="s">
        <v>2218</v>
      </c>
    </row>
    <row r="242" spans="1:14" s="544" customFormat="1" ht="16.5" customHeight="1">
      <c r="A242" s="16"/>
      <c r="B242" s="547"/>
      <c r="C242" s="548"/>
      <c r="D242" s="549"/>
      <c r="E242" s="550"/>
      <c r="F242" s="551"/>
      <c r="G242" s="551"/>
      <c r="H242" s="551"/>
      <c r="I242" s="552"/>
      <c r="J242" s="553"/>
      <c r="K242" s="39"/>
      <c r="L242" s="208"/>
      <c r="M242" s="39"/>
      <c r="N242" s="536" t="s">
        <v>2218</v>
      </c>
    </row>
    <row r="243" spans="1:14" ht="15.75">
      <c r="A243" s="16"/>
      <c r="B243" s="39"/>
      <c r="C243" s="554"/>
      <c r="D243" s="555"/>
      <c r="E243" s="540"/>
      <c r="F243" s="541"/>
      <c r="G243" s="40"/>
      <c r="H243" s="16"/>
      <c r="I243" s="552"/>
      <c r="J243" s="553" t="s">
        <v>102</v>
      </c>
      <c r="K243" s="10">
        <f>data!G583</f>
        <v>382.24</v>
      </c>
      <c r="L243" s="208" t="s">
        <v>2218</v>
      </c>
      <c r="M243" s="9">
        <f>ROUND(I243*K243,0)</f>
        <v>0</v>
      </c>
      <c r="N243" s="536" t="s">
        <v>2218</v>
      </c>
    </row>
    <row r="244" spans="1:14" ht="64.5" customHeight="1">
      <c r="A244" s="16">
        <v>13</v>
      </c>
      <c r="B244" s="1858" t="s">
        <v>1314</v>
      </c>
      <c r="C244" s="1858"/>
      <c r="D244" s="1858"/>
      <c r="E244" s="1858"/>
      <c r="F244" s="1858"/>
      <c r="G244" s="1858"/>
      <c r="H244" s="1858"/>
      <c r="I244" s="537"/>
      <c r="J244" s="538"/>
      <c r="K244" s="16"/>
      <c r="L244" s="208"/>
      <c r="M244" s="38"/>
      <c r="N244" s="536" t="s">
        <v>2306</v>
      </c>
    </row>
    <row r="245" spans="1:14" s="544" customFormat="1" ht="16.5" customHeight="1">
      <c r="A245" s="16"/>
      <c r="B245" s="39" t="s">
        <v>2888</v>
      </c>
      <c r="C245" s="537"/>
      <c r="D245" s="539"/>
      <c r="E245" s="540"/>
      <c r="F245" s="541"/>
      <c r="G245" s="541"/>
      <c r="H245" s="541"/>
      <c r="I245" s="542"/>
      <c r="J245" s="553"/>
      <c r="K245" s="39"/>
      <c r="L245" s="208"/>
      <c r="M245" s="39"/>
      <c r="N245" s="536" t="s">
        <v>2306</v>
      </c>
    </row>
    <row r="246" spans="1:14" s="544" customFormat="1" ht="16.5" customHeight="1">
      <c r="A246" s="16"/>
      <c r="B246" s="39"/>
      <c r="C246" s="537">
        <v>1</v>
      </c>
      <c r="D246" s="539" t="s">
        <v>273</v>
      </c>
      <c r="E246" s="540">
        <v>1</v>
      </c>
      <c r="F246" s="541">
        <v>10.45</v>
      </c>
      <c r="G246" s="541">
        <v>12</v>
      </c>
      <c r="H246" s="541">
        <v>0</v>
      </c>
      <c r="I246" s="545">
        <f>ROUND(IF(AND(F246:H246),C246*E246*F246*G246*H246,IF(AND(F246,G246),C246*E246*F246*G246,IF(AND(F246,H246),C246*E246*F246*H246,IF(AND(G246,H246),C246*E246*G246*H246,IF(F246,C246*E246*F246,IF(G246,C246*E246*G246,IF(H246,C246*E246*H246,C246*E246))))))),2)</f>
        <v>125.4</v>
      </c>
      <c r="J246" s="553" t="s">
        <v>102</v>
      </c>
      <c r="K246" s="39"/>
      <c r="L246" s="208"/>
      <c r="M246" s="39"/>
      <c r="N246" s="536" t="s">
        <v>2306</v>
      </c>
    </row>
    <row r="247" spans="1:14" s="544" customFormat="1" ht="16.5" customHeight="1">
      <c r="A247" s="16"/>
      <c r="B247" s="39"/>
      <c r="C247" s="537">
        <v>1</v>
      </c>
      <c r="D247" s="539" t="s">
        <v>273</v>
      </c>
      <c r="E247" s="540">
        <v>1</v>
      </c>
      <c r="F247" s="541">
        <v>3.52</v>
      </c>
      <c r="G247" s="541">
        <v>0.92</v>
      </c>
      <c r="H247" s="541">
        <v>0</v>
      </c>
      <c r="I247" s="545">
        <f>ROUND(IF(AND(F247:H247),C247*E247*F247*G247*H247,IF(AND(F247,G247),C247*E247*F247*G247,IF(AND(F247,H247),C247*E247*F247*H247,IF(AND(G247,H247),C247*E247*G247*H247,IF(F247,C247*E247*F247,IF(G247,C247*E247*G247,IF(H247,C247*E247*H247,C247*E247))))))),2)</f>
        <v>3.24</v>
      </c>
      <c r="J247" s="553" t="s">
        <v>102</v>
      </c>
      <c r="K247" s="39"/>
      <c r="L247" s="208"/>
      <c r="M247" s="39"/>
      <c r="N247" s="536" t="s">
        <v>2306</v>
      </c>
    </row>
    <row r="248" spans="1:14" s="544" customFormat="1" ht="16.5" customHeight="1">
      <c r="A248" s="16"/>
      <c r="B248" s="547"/>
      <c r="C248" s="548"/>
      <c r="D248" s="549"/>
      <c r="E248" s="550"/>
      <c r="F248" s="551"/>
      <c r="G248" s="551"/>
      <c r="H248" s="551"/>
      <c r="I248" s="552"/>
      <c r="J248" s="553"/>
      <c r="K248" s="39"/>
      <c r="L248" s="208"/>
      <c r="M248" s="39"/>
      <c r="N248" s="536" t="s">
        <v>2306</v>
      </c>
    </row>
    <row r="249" spans="1:14" ht="15.75">
      <c r="A249" s="16"/>
      <c r="B249" s="39"/>
      <c r="C249" s="554"/>
      <c r="D249" s="555"/>
      <c r="E249" s="540"/>
      <c r="F249" s="541"/>
      <c r="G249" s="40"/>
      <c r="H249" s="16"/>
      <c r="I249" s="552"/>
      <c r="J249" s="553" t="s">
        <v>102</v>
      </c>
      <c r="K249" s="10">
        <f>data!G1500</f>
        <v>414.32</v>
      </c>
      <c r="L249" s="208" t="s">
        <v>2306</v>
      </c>
      <c r="M249" s="9">
        <f>ROUND(I249*K249,0)</f>
        <v>0</v>
      </c>
      <c r="N249" s="536" t="s">
        <v>2306</v>
      </c>
    </row>
    <row r="250" spans="1:14" ht="64.5" customHeight="1">
      <c r="A250" s="16">
        <v>13</v>
      </c>
      <c r="B250" s="1858" t="s">
        <v>1314</v>
      </c>
      <c r="C250" s="1858"/>
      <c r="D250" s="1858"/>
      <c r="E250" s="1858"/>
      <c r="F250" s="1858"/>
      <c r="G250" s="1858"/>
      <c r="H250" s="1858"/>
      <c r="I250" s="537"/>
      <c r="J250" s="538"/>
      <c r="K250" s="16"/>
      <c r="L250" s="208"/>
      <c r="M250" s="38"/>
      <c r="N250" s="536" t="s">
        <v>2317</v>
      </c>
    </row>
    <row r="251" spans="1:14" s="544" customFormat="1" ht="16.5" customHeight="1">
      <c r="A251" s="16"/>
      <c r="B251" s="39" t="s">
        <v>2888</v>
      </c>
      <c r="C251" s="537"/>
      <c r="D251" s="539"/>
      <c r="E251" s="540"/>
      <c r="F251" s="541"/>
      <c r="G251" s="541"/>
      <c r="H251" s="541"/>
      <c r="I251" s="542"/>
      <c r="J251" s="553"/>
      <c r="K251" s="39"/>
      <c r="L251" s="208"/>
      <c r="M251" s="39"/>
      <c r="N251" s="536" t="s">
        <v>2317</v>
      </c>
    </row>
    <row r="252" spans="1:14" s="544" customFormat="1" ht="16.5" customHeight="1">
      <c r="A252" s="16"/>
      <c r="B252" s="39"/>
      <c r="C252" s="537">
        <v>1</v>
      </c>
      <c r="D252" s="539" t="s">
        <v>273</v>
      </c>
      <c r="E252" s="540">
        <v>1</v>
      </c>
      <c r="F252" s="541">
        <v>10.45</v>
      </c>
      <c r="G252" s="541">
        <v>12</v>
      </c>
      <c r="H252" s="541">
        <v>0</v>
      </c>
      <c r="I252" s="545">
        <f>ROUND(IF(AND(F252:H252),C252*E252*F252*G252*H252,IF(AND(F252,G252),C252*E252*F252*G252,IF(AND(F252,H252),C252*E252*F252*H252,IF(AND(G252,H252),C252*E252*G252*H252,IF(F252,C252*E252*F252,IF(G252,C252*E252*G252,IF(H252,C252*E252*H252,C252*E252))))))),2)</f>
        <v>125.4</v>
      </c>
      <c r="J252" s="553" t="s">
        <v>102</v>
      </c>
      <c r="K252" s="39"/>
      <c r="L252" s="208"/>
      <c r="M252" s="39"/>
      <c r="N252" s="536" t="s">
        <v>2317</v>
      </c>
    </row>
    <row r="253" spans="1:14" s="544" customFormat="1" ht="16.5" customHeight="1">
      <c r="A253" s="16"/>
      <c r="B253" s="39"/>
      <c r="C253" s="537">
        <v>1</v>
      </c>
      <c r="D253" s="539" t="s">
        <v>273</v>
      </c>
      <c r="E253" s="540">
        <v>1</v>
      </c>
      <c r="F253" s="541">
        <v>3.52</v>
      </c>
      <c r="G253" s="541">
        <v>0.92</v>
      </c>
      <c r="H253" s="541">
        <v>0</v>
      </c>
      <c r="I253" s="545">
        <f>ROUND(IF(AND(F253:H253),C253*E253*F253*G253*H253,IF(AND(F253,G253),C253*E253*F253*G253,IF(AND(F253,H253),C253*E253*F253*H253,IF(AND(G253,H253),C253*E253*G253*H253,IF(F253,C253*E253*F253,IF(G253,C253*E253*G253,IF(H253,C253*E253*H253,C253*E253))))))),2)</f>
        <v>3.24</v>
      </c>
      <c r="J253" s="553" t="s">
        <v>102</v>
      </c>
      <c r="K253" s="39"/>
      <c r="L253" s="208"/>
      <c r="M253" s="39"/>
      <c r="N253" s="536" t="s">
        <v>2317</v>
      </c>
    </row>
    <row r="254" spans="1:14" s="544" customFormat="1" ht="16.5" customHeight="1">
      <c r="A254" s="16"/>
      <c r="B254" s="547"/>
      <c r="C254" s="548"/>
      <c r="D254" s="549"/>
      <c r="E254" s="550"/>
      <c r="F254" s="551"/>
      <c r="G254" s="551"/>
      <c r="H254" s="551"/>
      <c r="I254" s="552"/>
      <c r="J254" s="553"/>
      <c r="K254" s="39"/>
      <c r="L254" s="208"/>
      <c r="M254" s="39"/>
      <c r="N254" s="536" t="s">
        <v>2317</v>
      </c>
    </row>
    <row r="255" spans="1:14" ht="15.75">
      <c r="A255" s="16"/>
      <c r="B255" s="39"/>
      <c r="C255" s="554"/>
      <c r="D255" s="555"/>
      <c r="E255" s="540"/>
      <c r="F255" s="541"/>
      <c r="G255" s="40"/>
      <c r="H255" s="16"/>
      <c r="I255" s="552"/>
      <c r="J255" s="553" t="s">
        <v>102</v>
      </c>
      <c r="K255" s="10">
        <f>data!G2417</f>
        <v>440.9</v>
      </c>
      <c r="L255" s="208" t="s">
        <v>2317</v>
      </c>
      <c r="M255" s="9">
        <f>ROUND(I255*K255,0)</f>
        <v>0</v>
      </c>
      <c r="N255" s="536" t="s">
        <v>2317</v>
      </c>
    </row>
    <row r="256" spans="1:14" ht="64.5" customHeight="1">
      <c r="A256" s="16">
        <v>13</v>
      </c>
      <c r="B256" s="1858" t="s">
        <v>1314</v>
      </c>
      <c r="C256" s="1858"/>
      <c r="D256" s="1858"/>
      <c r="E256" s="1858"/>
      <c r="F256" s="1858"/>
      <c r="G256" s="1858"/>
      <c r="H256" s="1858"/>
      <c r="I256" s="537"/>
      <c r="J256" s="538"/>
      <c r="K256" s="16"/>
      <c r="L256" s="208"/>
      <c r="M256" s="38"/>
      <c r="N256" s="536" t="s">
        <v>2318</v>
      </c>
    </row>
    <row r="257" spans="1:14" s="544" customFormat="1" ht="16.5" customHeight="1">
      <c r="A257" s="16"/>
      <c r="B257" s="39" t="s">
        <v>2888</v>
      </c>
      <c r="C257" s="537"/>
      <c r="D257" s="539"/>
      <c r="E257" s="540"/>
      <c r="F257" s="541"/>
      <c r="G257" s="541"/>
      <c r="H257" s="541"/>
      <c r="I257" s="542"/>
      <c r="J257" s="553"/>
      <c r="K257" s="39"/>
      <c r="L257" s="208"/>
      <c r="M257" s="39"/>
      <c r="N257" s="536" t="s">
        <v>2318</v>
      </c>
    </row>
    <row r="258" spans="1:14" s="544" customFormat="1" ht="16.5" customHeight="1">
      <c r="A258" s="16"/>
      <c r="B258" s="39"/>
      <c r="C258" s="537">
        <v>1</v>
      </c>
      <c r="D258" s="539" t="s">
        <v>273</v>
      </c>
      <c r="E258" s="540">
        <v>1</v>
      </c>
      <c r="F258" s="541">
        <v>10.45</v>
      </c>
      <c r="G258" s="541">
        <v>12</v>
      </c>
      <c r="H258" s="541">
        <v>0</v>
      </c>
      <c r="I258" s="545">
        <f>ROUND(IF(AND(F258:H258),C258*E258*F258*G258*H258,IF(AND(F258,G258),C258*E258*F258*G258,IF(AND(F258,H258),C258*E258*F258*H258,IF(AND(G258,H258),C258*E258*G258*H258,IF(F258,C258*E258*F258,IF(G258,C258*E258*G258,IF(H258,C258*E258*H258,C258*E258))))))),2)</f>
        <v>125.4</v>
      </c>
      <c r="J258" s="553" t="s">
        <v>102</v>
      </c>
      <c r="K258" s="39"/>
      <c r="L258" s="208"/>
      <c r="M258" s="39"/>
      <c r="N258" s="536" t="s">
        <v>2318</v>
      </c>
    </row>
    <row r="259" spans="1:14" s="544" customFormat="1" ht="16.5" customHeight="1">
      <c r="A259" s="16"/>
      <c r="B259" s="39"/>
      <c r="C259" s="537">
        <v>1</v>
      </c>
      <c r="D259" s="539" t="s">
        <v>273</v>
      </c>
      <c r="E259" s="540">
        <v>1</v>
      </c>
      <c r="F259" s="541">
        <v>3.52</v>
      </c>
      <c r="G259" s="541">
        <v>0.92</v>
      </c>
      <c r="H259" s="541">
        <v>0</v>
      </c>
      <c r="I259" s="545">
        <f>ROUND(IF(AND(F259:H259),C259*E259*F259*G259*H259,IF(AND(F259,G259),C259*E259*F259*G259,IF(AND(F259,H259),C259*E259*F259*H259,IF(AND(G259,H259),C259*E259*G259*H259,IF(F259,C259*E259*F259,IF(G259,C259*E259*G259,IF(H259,C259*E259*H259,C259*E259))))))),2)</f>
        <v>3.24</v>
      </c>
      <c r="J259" s="553" t="s">
        <v>102</v>
      </c>
      <c r="K259" s="39"/>
      <c r="L259" s="208"/>
      <c r="M259" s="39"/>
      <c r="N259" s="536" t="s">
        <v>2318</v>
      </c>
    </row>
    <row r="260" spans="1:14" s="544" customFormat="1" ht="16.5" customHeight="1">
      <c r="A260" s="16"/>
      <c r="B260" s="547"/>
      <c r="C260" s="548"/>
      <c r="D260" s="549"/>
      <c r="E260" s="550"/>
      <c r="F260" s="551"/>
      <c r="G260" s="551"/>
      <c r="H260" s="551"/>
      <c r="I260" s="552"/>
      <c r="J260" s="553"/>
      <c r="K260" s="39"/>
      <c r="L260" s="208"/>
      <c r="M260" s="39"/>
      <c r="N260" s="536" t="s">
        <v>2318</v>
      </c>
    </row>
    <row r="261" spans="1:14" ht="15.75">
      <c r="A261" s="16"/>
      <c r="B261" s="39"/>
      <c r="C261" s="554"/>
      <c r="D261" s="555"/>
      <c r="E261" s="540"/>
      <c r="F261" s="541"/>
      <c r="G261" s="40"/>
      <c r="H261" s="16"/>
      <c r="I261" s="552"/>
      <c r="J261" s="553" t="s">
        <v>102</v>
      </c>
      <c r="K261" s="10">
        <f>data!G3334</f>
        <v>470.34</v>
      </c>
      <c r="L261" s="208" t="s">
        <v>2318</v>
      </c>
      <c r="M261" s="9">
        <f>ROUND(I261*K261,0)</f>
        <v>0</v>
      </c>
      <c r="N261" s="536" t="s">
        <v>2318</v>
      </c>
    </row>
    <row r="262" spans="1:14" ht="69.75" customHeight="1">
      <c r="A262" s="16">
        <v>15</v>
      </c>
      <c r="B262" s="1858" t="s">
        <v>306</v>
      </c>
      <c r="C262" s="1858"/>
      <c r="D262" s="1858"/>
      <c r="E262" s="1858"/>
      <c r="F262" s="1858"/>
      <c r="G262" s="1858"/>
      <c r="H262" s="1858"/>
      <c r="I262" s="537"/>
      <c r="J262" s="538"/>
      <c r="K262" s="16"/>
      <c r="L262" s="208"/>
      <c r="M262" s="38"/>
      <c r="N262" s="536" t="s">
        <v>2218</v>
      </c>
    </row>
    <row r="263" spans="1:14" s="544" customFormat="1" ht="16.5" customHeight="1">
      <c r="A263" s="16"/>
      <c r="B263" s="39" t="s">
        <v>2848</v>
      </c>
      <c r="C263" s="537"/>
      <c r="D263" s="539"/>
      <c r="E263" s="540"/>
      <c r="F263" s="541"/>
      <c r="G263" s="541"/>
      <c r="H263" s="541"/>
      <c r="I263" s="542"/>
      <c r="J263" s="553"/>
      <c r="K263" s="39"/>
      <c r="L263" s="208"/>
      <c r="M263" s="39"/>
      <c r="N263" s="536" t="s">
        <v>2218</v>
      </c>
    </row>
    <row r="264" spans="1:14" s="544" customFormat="1" ht="16.5" customHeight="1">
      <c r="A264" s="16"/>
      <c r="B264" s="39" t="s">
        <v>809</v>
      </c>
      <c r="C264" s="537">
        <v>1</v>
      </c>
      <c r="D264" s="539" t="s">
        <v>273</v>
      </c>
      <c r="E264" s="540">
        <v>1</v>
      </c>
      <c r="F264" s="541">
        <v>12.73</v>
      </c>
      <c r="G264" s="541">
        <v>0.45</v>
      </c>
      <c r="H264" s="541">
        <v>1.3</v>
      </c>
      <c r="I264" s="545">
        <f>ROUND(IF(AND(F264:H264),C264*E264*F264*G264*H264,IF(AND(F264,G264),C264*E264*F264*G264,IF(AND(F264,H264),C264*E264*F264*H264,IF(AND(G264,H264),C264*E264*G264*H264,IF(F264,C264*E264*F264,IF(G264,C264*E264*G264,IF(H264,C264*E264*H264,C264*E264))))))),2)</f>
        <v>7.45</v>
      </c>
      <c r="J264" s="553" t="s">
        <v>5</v>
      </c>
      <c r="K264" s="39"/>
      <c r="L264" s="208"/>
      <c r="M264" s="39"/>
      <c r="N264" s="536" t="s">
        <v>2218</v>
      </c>
    </row>
    <row r="265" spans="1:14" s="544" customFormat="1" ht="16.5" customHeight="1">
      <c r="A265" s="16"/>
      <c r="B265" s="39" t="s">
        <v>810</v>
      </c>
      <c r="C265" s="537">
        <v>1</v>
      </c>
      <c r="D265" s="539" t="s">
        <v>273</v>
      </c>
      <c r="E265" s="540">
        <v>1</v>
      </c>
      <c r="F265" s="541">
        <v>5.45</v>
      </c>
      <c r="G265" s="541">
        <v>0.9</v>
      </c>
      <c r="H265" s="541">
        <v>0.35</v>
      </c>
      <c r="I265" s="545">
        <f t="shared" ref="I265:I267" si="7">ROUND(IF(AND(F265:H265),C265*E265*F265*G265*H265,IF(AND(F265,G265),C265*E265*F265*G265,IF(AND(F265,H265),C265*E265*F265*H265,IF(AND(G265,H265),C265*E265*G265*H265,IF(F265,C265*E265*F265,IF(G265,C265*E265*G265,IF(H265,C265*E265*H265,C265*E265))))))),2)</f>
        <v>1.72</v>
      </c>
      <c r="J265" s="553" t="s">
        <v>5</v>
      </c>
      <c r="K265" s="39"/>
      <c r="L265" s="208"/>
      <c r="M265" s="39"/>
      <c r="N265" s="536" t="s">
        <v>2218</v>
      </c>
    </row>
    <row r="266" spans="1:14" s="544" customFormat="1" ht="16.5" customHeight="1">
      <c r="A266" s="16"/>
      <c r="B266" s="39" t="s">
        <v>811</v>
      </c>
      <c r="C266" s="537">
        <v>1</v>
      </c>
      <c r="D266" s="539" t="s">
        <v>273</v>
      </c>
      <c r="E266" s="540">
        <v>1</v>
      </c>
      <c r="F266" s="541">
        <v>5.45</v>
      </c>
      <c r="G266" s="541">
        <v>0.6</v>
      </c>
      <c r="H266" s="541">
        <v>0.15</v>
      </c>
      <c r="I266" s="545">
        <f t="shared" si="7"/>
        <v>0.49</v>
      </c>
      <c r="J266" s="553" t="s">
        <v>5</v>
      </c>
      <c r="K266" s="39"/>
      <c r="L266" s="208"/>
      <c r="M266" s="39"/>
      <c r="N266" s="536" t="s">
        <v>2218</v>
      </c>
    </row>
    <row r="267" spans="1:14" s="544" customFormat="1" ht="16.5" customHeight="1">
      <c r="A267" s="16"/>
      <c r="B267" s="39" t="s">
        <v>812</v>
      </c>
      <c r="C267" s="537">
        <v>1</v>
      </c>
      <c r="D267" s="539" t="s">
        <v>273</v>
      </c>
      <c r="E267" s="540">
        <v>1</v>
      </c>
      <c r="F267" s="541">
        <v>5.45</v>
      </c>
      <c r="G267" s="541">
        <v>0.3</v>
      </c>
      <c r="H267" s="541">
        <v>0.15</v>
      </c>
      <c r="I267" s="545">
        <f t="shared" si="7"/>
        <v>0.25</v>
      </c>
      <c r="J267" s="553" t="s">
        <v>5</v>
      </c>
      <c r="K267" s="39"/>
      <c r="L267" s="208"/>
      <c r="M267" s="39"/>
      <c r="N267" s="536" t="s">
        <v>2218</v>
      </c>
    </row>
    <row r="268" spans="1:14" s="544" customFormat="1" ht="16.5" customHeight="1">
      <c r="A268" s="16"/>
      <c r="B268" s="547"/>
      <c r="C268" s="548"/>
      <c r="D268" s="549"/>
      <c r="E268" s="550"/>
      <c r="F268" s="551"/>
      <c r="G268" s="551"/>
      <c r="H268" s="551"/>
      <c r="I268" s="552"/>
      <c r="J268" s="553"/>
      <c r="K268" s="39"/>
      <c r="L268" s="208"/>
      <c r="M268" s="39"/>
      <c r="N268" s="536" t="s">
        <v>2218</v>
      </c>
    </row>
    <row r="269" spans="1:14" ht="15.75">
      <c r="A269" s="16"/>
      <c r="B269" s="39"/>
      <c r="C269" s="554"/>
      <c r="D269" s="555"/>
      <c r="E269" s="540"/>
      <c r="F269" s="541"/>
      <c r="G269" s="40"/>
      <c r="H269" s="16"/>
      <c r="I269" s="552"/>
      <c r="J269" s="553" t="s">
        <v>5</v>
      </c>
      <c r="K269" s="10">
        <f>data!G393</f>
        <v>6250.6100000000015</v>
      </c>
      <c r="L269" s="208" t="s">
        <v>2218</v>
      </c>
      <c r="M269" s="9">
        <f>ROUND(I269*K269,0)</f>
        <v>0</v>
      </c>
      <c r="N269" s="536" t="s">
        <v>2218</v>
      </c>
    </row>
    <row r="270" spans="1:14" ht="69.75" customHeight="1">
      <c r="A270" s="16">
        <v>4</v>
      </c>
      <c r="B270" s="1858" t="s">
        <v>306</v>
      </c>
      <c r="C270" s="1858"/>
      <c r="D270" s="1858"/>
      <c r="E270" s="1858"/>
      <c r="F270" s="1858"/>
      <c r="G270" s="1858"/>
      <c r="H270" s="1858"/>
      <c r="I270" s="537"/>
      <c r="J270" s="538"/>
      <c r="K270" s="16"/>
      <c r="L270" s="208"/>
      <c r="M270" s="38"/>
      <c r="N270" s="536" t="s">
        <v>2306</v>
      </c>
    </row>
    <row r="271" spans="1:14" s="544" customFormat="1" ht="16.5" customHeight="1">
      <c r="A271" s="16"/>
      <c r="B271" s="39" t="s">
        <v>2849</v>
      </c>
      <c r="C271" s="537"/>
      <c r="D271" s="539"/>
      <c r="E271" s="540"/>
      <c r="F271" s="541"/>
      <c r="G271" s="541"/>
      <c r="H271" s="541"/>
      <c r="I271" s="542"/>
      <c r="J271" s="553"/>
      <c r="K271" s="39"/>
      <c r="L271" s="208"/>
      <c r="M271" s="39"/>
      <c r="N271" s="536" t="s">
        <v>2306</v>
      </c>
    </row>
    <row r="272" spans="1:14" s="544" customFormat="1" ht="16.5" customHeight="1">
      <c r="A272" s="16"/>
      <c r="B272" s="39" t="s">
        <v>2742</v>
      </c>
      <c r="C272" s="537">
        <v>1</v>
      </c>
      <c r="D272" s="539" t="s">
        <v>273</v>
      </c>
      <c r="E272" s="540">
        <v>10</v>
      </c>
      <c r="F272" s="541">
        <v>0.45</v>
      </c>
      <c r="G272" s="541">
        <v>0.2</v>
      </c>
      <c r="H272" s="541">
        <v>0.45</v>
      </c>
      <c r="I272" s="545">
        <f>ROUND(IF(AND(F272:H272),C272*E272*F272*G272*H272,IF(AND(F272,G272),C272*E272*F272*G272,IF(AND(F272,H272),C272*E272*F272*H272,IF(AND(G272,H272),C272*E272*G272*H272,IF(F272,C272*E272*F272,IF(G272,C272*E272*G272,IF(H272,C272*E272*H272,C272*E272))))))),2)</f>
        <v>0.41</v>
      </c>
      <c r="J272" s="553" t="s">
        <v>5</v>
      </c>
      <c r="K272" s="39"/>
      <c r="L272" s="208"/>
      <c r="M272" s="39"/>
      <c r="N272" s="536" t="s">
        <v>2306</v>
      </c>
    </row>
    <row r="273" spans="1:14" s="544" customFormat="1" ht="16.5" customHeight="1">
      <c r="A273" s="16"/>
      <c r="B273" s="547"/>
      <c r="C273" s="548"/>
      <c r="D273" s="549"/>
      <c r="E273" s="550"/>
      <c r="F273" s="551"/>
      <c r="G273" s="551"/>
      <c r="H273" s="551"/>
      <c r="I273" s="552"/>
      <c r="J273" s="553"/>
      <c r="K273" s="39"/>
      <c r="L273" s="208"/>
      <c r="M273" s="39"/>
      <c r="N273" s="536" t="s">
        <v>2306</v>
      </c>
    </row>
    <row r="274" spans="1:14" ht="15.75">
      <c r="A274" s="16"/>
      <c r="B274" s="39"/>
      <c r="C274" s="554"/>
      <c r="D274" s="555"/>
      <c r="E274" s="540"/>
      <c r="F274" s="541"/>
      <c r="G274" s="40"/>
      <c r="H274" s="16"/>
      <c r="I274" s="552"/>
      <c r="J274" s="553" t="s">
        <v>5</v>
      </c>
      <c r="K274" s="10">
        <f>data!G1310</f>
        <v>6435.4299999999994</v>
      </c>
      <c r="L274" s="208" t="s">
        <v>2306</v>
      </c>
      <c r="M274" s="9">
        <f>ROUND(I274*K274,0)</f>
        <v>0</v>
      </c>
      <c r="N274" s="536" t="s">
        <v>2306</v>
      </c>
    </row>
    <row r="275" spans="1:14" ht="69.75" customHeight="1">
      <c r="A275" s="16">
        <v>15</v>
      </c>
      <c r="B275" s="1858" t="s">
        <v>306</v>
      </c>
      <c r="C275" s="1858"/>
      <c r="D275" s="1858"/>
      <c r="E275" s="1858"/>
      <c r="F275" s="1858"/>
      <c r="G275" s="1858"/>
      <c r="H275" s="1858"/>
      <c r="I275" s="537"/>
      <c r="J275" s="538"/>
      <c r="K275" s="16"/>
      <c r="L275" s="208"/>
      <c r="M275" s="38"/>
      <c r="N275" s="536" t="s">
        <v>2317</v>
      </c>
    </row>
    <row r="276" spans="1:14" s="544" customFormat="1" ht="16.5" customHeight="1">
      <c r="A276" s="16"/>
      <c r="B276" s="39" t="s">
        <v>2848</v>
      </c>
      <c r="C276" s="537"/>
      <c r="D276" s="539"/>
      <c r="E276" s="540"/>
      <c r="F276" s="541"/>
      <c r="G276" s="541"/>
      <c r="H276" s="541"/>
      <c r="I276" s="542"/>
      <c r="J276" s="553"/>
      <c r="K276" s="39"/>
      <c r="L276" s="208"/>
      <c r="M276" s="39"/>
      <c r="N276" s="536" t="s">
        <v>2317</v>
      </c>
    </row>
    <row r="277" spans="1:14" s="544" customFormat="1" ht="16.5" customHeight="1">
      <c r="A277" s="16"/>
      <c r="B277" s="39" t="s">
        <v>809</v>
      </c>
      <c r="C277" s="537">
        <v>1</v>
      </c>
      <c r="D277" s="539" t="s">
        <v>273</v>
      </c>
      <c r="E277" s="540">
        <v>1</v>
      </c>
      <c r="F277" s="541">
        <v>12.73</v>
      </c>
      <c r="G277" s="541">
        <v>0.45</v>
      </c>
      <c r="H277" s="541">
        <v>1.3</v>
      </c>
      <c r="I277" s="545">
        <f>ROUND(IF(AND(F277:H277),C277*E277*F277*G277*H277,IF(AND(F277,G277),C277*E277*F277*G277,IF(AND(F277,H277),C277*E277*F277*H277,IF(AND(G277,H277),C277*E277*G277*H277,IF(F277,C277*E277*F277,IF(G277,C277*E277*G277,IF(H277,C277*E277*H277,C277*E277))))))),2)</f>
        <v>7.45</v>
      </c>
      <c r="J277" s="553" t="s">
        <v>5</v>
      </c>
      <c r="K277" s="39"/>
      <c r="L277" s="208"/>
      <c r="M277" s="39"/>
      <c r="N277" s="536" t="s">
        <v>2317</v>
      </c>
    </row>
    <row r="278" spans="1:14" s="544" customFormat="1" ht="16.5" customHeight="1">
      <c r="A278" s="16"/>
      <c r="B278" s="39" t="s">
        <v>810</v>
      </c>
      <c r="C278" s="537">
        <v>1</v>
      </c>
      <c r="D278" s="539" t="s">
        <v>273</v>
      </c>
      <c r="E278" s="540">
        <v>1</v>
      </c>
      <c r="F278" s="541">
        <v>5.45</v>
      </c>
      <c r="G278" s="541">
        <v>0.9</v>
      </c>
      <c r="H278" s="541">
        <v>0.35</v>
      </c>
      <c r="I278" s="545">
        <f>ROUND(IF(AND(F278:H278),C278*E278*F278*G278*H278,IF(AND(F278,G278),C278*E278*F278*G278,IF(AND(F278,H278),C278*E278*F278*H278,IF(AND(G278,H278),C278*E278*G278*H278,IF(F278,C278*E278*F278,IF(G278,C278*E278*G278,IF(H278,C278*E278*H278,C278*E278))))))),2)</f>
        <v>1.72</v>
      </c>
      <c r="J278" s="553" t="s">
        <v>5</v>
      </c>
      <c r="K278" s="39"/>
      <c r="L278" s="208"/>
      <c r="M278" s="39"/>
      <c r="N278" s="536" t="s">
        <v>2317</v>
      </c>
    </row>
    <row r="279" spans="1:14" s="544" customFormat="1" ht="16.5" customHeight="1">
      <c r="A279" s="16"/>
      <c r="B279" s="39" t="s">
        <v>811</v>
      </c>
      <c r="C279" s="537">
        <v>1</v>
      </c>
      <c r="D279" s="539" t="s">
        <v>273</v>
      </c>
      <c r="E279" s="540">
        <v>1</v>
      </c>
      <c r="F279" s="541">
        <v>5.45</v>
      </c>
      <c r="G279" s="541">
        <v>0.6</v>
      </c>
      <c r="H279" s="541">
        <v>0.15</v>
      </c>
      <c r="I279" s="545">
        <f>ROUND(IF(AND(F279:H279),C279*E279*F279*G279*H279,IF(AND(F279,G279),C279*E279*F279*G279,IF(AND(F279,H279),C279*E279*F279*H279,IF(AND(G279,H279),C279*E279*G279*H279,IF(F279,C279*E279*F279,IF(G279,C279*E279*G279,IF(H279,C279*E279*H279,C279*E279))))))),2)</f>
        <v>0.49</v>
      </c>
      <c r="J279" s="553" t="s">
        <v>5</v>
      </c>
      <c r="K279" s="39"/>
      <c r="L279" s="208"/>
      <c r="M279" s="39"/>
      <c r="N279" s="536" t="s">
        <v>2317</v>
      </c>
    </row>
    <row r="280" spans="1:14" s="544" customFormat="1" ht="16.5" customHeight="1">
      <c r="A280" s="16"/>
      <c r="B280" s="39" t="s">
        <v>812</v>
      </c>
      <c r="C280" s="537">
        <v>1</v>
      </c>
      <c r="D280" s="539" t="s">
        <v>273</v>
      </c>
      <c r="E280" s="540">
        <v>1</v>
      </c>
      <c r="F280" s="541">
        <v>5.45</v>
      </c>
      <c r="G280" s="541">
        <v>0.3</v>
      </c>
      <c r="H280" s="541">
        <v>0.15</v>
      </c>
      <c r="I280" s="545">
        <f>ROUND(IF(AND(F280:H280),C280*E280*F280*G280*H280,IF(AND(F280,G280),C280*E280*F280*G280,IF(AND(F280,H280),C280*E280*F280*H280,IF(AND(G280,H280),C280*E280*G280*H280,IF(F280,C280*E280*F280,IF(G280,C280*E280*G280,IF(H280,C280*E280*H280,C280*E280))))))),2)</f>
        <v>0.25</v>
      </c>
      <c r="J280" s="553" t="s">
        <v>5</v>
      </c>
      <c r="K280" s="39"/>
      <c r="L280" s="208"/>
      <c r="M280" s="39"/>
      <c r="N280" s="536" t="s">
        <v>2317</v>
      </c>
    </row>
    <row r="281" spans="1:14" s="544" customFormat="1" ht="16.5" customHeight="1">
      <c r="A281" s="16"/>
      <c r="B281" s="547"/>
      <c r="C281" s="548"/>
      <c r="D281" s="549"/>
      <c r="E281" s="550"/>
      <c r="F281" s="551"/>
      <c r="G281" s="551"/>
      <c r="H281" s="551"/>
      <c r="I281" s="552"/>
      <c r="J281" s="553"/>
      <c r="K281" s="39"/>
      <c r="L281" s="208"/>
      <c r="M281" s="39"/>
      <c r="N281" s="536" t="s">
        <v>2317</v>
      </c>
    </row>
    <row r="282" spans="1:14" ht="15.75">
      <c r="A282" s="16"/>
      <c r="B282" s="39"/>
      <c r="C282" s="554"/>
      <c r="D282" s="555"/>
      <c r="E282" s="540"/>
      <c r="F282" s="541"/>
      <c r="G282" s="40"/>
      <c r="H282" s="16"/>
      <c r="I282" s="552"/>
      <c r="J282" s="553" t="s">
        <v>5</v>
      </c>
      <c r="K282" s="10">
        <f>data!G2227</f>
        <v>6881.41</v>
      </c>
      <c r="L282" s="208" t="s">
        <v>2317</v>
      </c>
      <c r="M282" s="9">
        <f>ROUND(I282*K282,0)</f>
        <v>0</v>
      </c>
      <c r="N282" s="536" t="s">
        <v>2317</v>
      </c>
    </row>
    <row r="283" spans="1:14" ht="69.75" customHeight="1">
      <c r="A283" s="16">
        <v>15</v>
      </c>
      <c r="B283" s="1858" t="s">
        <v>306</v>
      </c>
      <c r="C283" s="1858"/>
      <c r="D283" s="1858"/>
      <c r="E283" s="1858"/>
      <c r="F283" s="1858"/>
      <c r="G283" s="1858"/>
      <c r="H283" s="1858"/>
      <c r="I283" s="537"/>
      <c r="J283" s="538"/>
      <c r="K283" s="16"/>
      <c r="L283" s="208"/>
      <c r="M283" s="38"/>
      <c r="N283" s="536" t="s">
        <v>2318</v>
      </c>
    </row>
    <row r="284" spans="1:14" s="544" customFormat="1" ht="16.5" customHeight="1">
      <c r="A284" s="16"/>
      <c r="B284" s="39" t="s">
        <v>2848</v>
      </c>
      <c r="C284" s="537"/>
      <c r="D284" s="539"/>
      <c r="E284" s="540"/>
      <c r="F284" s="541"/>
      <c r="G284" s="541"/>
      <c r="H284" s="541"/>
      <c r="I284" s="542"/>
      <c r="J284" s="553"/>
      <c r="K284" s="39"/>
      <c r="L284" s="208"/>
      <c r="M284" s="39"/>
      <c r="N284" s="536" t="s">
        <v>2318</v>
      </c>
    </row>
    <row r="285" spans="1:14" s="544" customFormat="1" ht="16.5" customHeight="1">
      <c r="A285" s="16"/>
      <c r="B285" s="39" t="s">
        <v>809</v>
      </c>
      <c r="C285" s="537">
        <v>1</v>
      </c>
      <c r="D285" s="539" t="s">
        <v>273</v>
      </c>
      <c r="E285" s="540">
        <v>1</v>
      </c>
      <c r="F285" s="541">
        <v>12.73</v>
      </c>
      <c r="G285" s="541">
        <v>0.45</v>
      </c>
      <c r="H285" s="541">
        <v>1.3</v>
      </c>
      <c r="I285" s="545">
        <f>ROUND(IF(AND(F285:H285),C285*E285*F285*G285*H285,IF(AND(F285,G285),C285*E285*F285*G285,IF(AND(F285,H285),C285*E285*F285*H285,IF(AND(G285,H285),C285*E285*G285*H285,IF(F285,C285*E285*F285,IF(G285,C285*E285*G285,IF(H285,C285*E285*H285,C285*E285))))))),2)</f>
        <v>7.45</v>
      </c>
      <c r="J285" s="553" t="s">
        <v>5</v>
      </c>
      <c r="K285" s="39"/>
      <c r="L285" s="208"/>
      <c r="M285" s="39"/>
      <c r="N285" s="536" t="s">
        <v>2318</v>
      </c>
    </row>
    <row r="286" spans="1:14" s="544" customFormat="1" ht="16.5" customHeight="1">
      <c r="A286" s="16"/>
      <c r="B286" s="39" t="s">
        <v>810</v>
      </c>
      <c r="C286" s="537">
        <v>1</v>
      </c>
      <c r="D286" s="539" t="s">
        <v>273</v>
      </c>
      <c r="E286" s="540">
        <v>1</v>
      </c>
      <c r="F286" s="541">
        <v>5.45</v>
      </c>
      <c r="G286" s="541">
        <v>0.9</v>
      </c>
      <c r="H286" s="541">
        <v>0.35</v>
      </c>
      <c r="I286" s="545">
        <f>ROUND(IF(AND(F286:H286),C286*E286*F286*G286*H286,IF(AND(F286,G286),C286*E286*F286*G286,IF(AND(F286,H286),C286*E286*F286*H286,IF(AND(G286,H286),C286*E286*G286*H286,IF(F286,C286*E286*F286,IF(G286,C286*E286*G286,IF(H286,C286*E286*H286,C286*E286))))))),2)</f>
        <v>1.72</v>
      </c>
      <c r="J286" s="553" t="s">
        <v>5</v>
      </c>
      <c r="K286" s="39"/>
      <c r="L286" s="208"/>
      <c r="M286" s="39"/>
      <c r="N286" s="536" t="s">
        <v>2318</v>
      </c>
    </row>
    <row r="287" spans="1:14" s="544" customFormat="1" ht="16.5" customHeight="1">
      <c r="A287" s="16"/>
      <c r="B287" s="39" t="s">
        <v>811</v>
      </c>
      <c r="C287" s="537">
        <v>1</v>
      </c>
      <c r="D287" s="539" t="s">
        <v>273</v>
      </c>
      <c r="E287" s="540">
        <v>1</v>
      </c>
      <c r="F287" s="541">
        <v>5.45</v>
      </c>
      <c r="G287" s="541">
        <v>0.6</v>
      </c>
      <c r="H287" s="541">
        <v>0.15</v>
      </c>
      <c r="I287" s="545">
        <f>ROUND(IF(AND(F287:H287),C287*E287*F287*G287*H287,IF(AND(F287,G287),C287*E287*F287*G287,IF(AND(F287,H287),C287*E287*F287*H287,IF(AND(G287,H287),C287*E287*G287*H287,IF(F287,C287*E287*F287,IF(G287,C287*E287*G287,IF(H287,C287*E287*H287,C287*E287))))))),2)</f>
        <v>0.49</v>
      </c>
      <c r="J287" s="553" t="s">
        <v>5</v>
      </c>
      <c r="K287" s="39"/>
      <c r="L287" s="208"/>
      <c r="M287" s="39"/>
      <c r="N287" s="536" t="s">
        <v>2318</v>
      </c>
    </row>
    <row r="288" spans="1:14" s="544" customFormat="1" ht="16.5" customHeight="1">
      <c r="A288" s="16"/>
      <c r="B288" s="39" t="s">
        <v>812</v>
      </c>
      <c r="C288" s="537">
        <v>1</v>
      </c>
      <c r="D288" s="539" t="s">
        <v>273</v>
      </c>
      <c r="E288" s="540">
        <v>1</v>
      </c>
      <c r="F288" s="541">
        <v>5.45</v>
      </c>
      <c r="G288" s="541">
        <v>0.3</v>
      </c>
      <c r="H288" s="541">
        <v>0.15</v>
      </c>
      <c r="I288" s="545">
        <f>ROUND(IF(AND(F288:H288),C288*E288*F288*G288*H288,IF(AND(F288,G288),C288*E288*F288*G288,IF(AND(F288,H288),C288*E288*F288*H288,IF(AND(G288,H288),C288*E288*G288*H288,IF(F288,C288*E288*F288,IF(G288,C288*E288*G288,IF(H288,C288*E288*H288,C288*E288))))))),2)</f>
        <v>0.25</v>
      </c>
      <c r="J288" s="553" t="s">
        <v>5</v>
      </c>
      <c r="K288" s="39"/>
      <c r="L288" s="208"/>
      <c r="M288" s="39"/>
      <c r="N288" s="536" t="s">
        <v>2318</v>
      </c>
    </row>
    <row r="289" spans="1:14" s="544" customFormat="1" ht="16.5" customHeight="1">
      <c r="A289" s="16"/>
      <c r="B289" s="547"/>
      <c r="C289" s="548"/>
      <c r="D289" s="549"/>
      <c r="E289" s="550"/>
      <c r="F289" s="551"/>
      <c r="G289" s="551"/>
      <c r="H289" s="551"/>
      <c r="I289" s="552"/>
      <c r="J289" s="553"/>
      <c r="K289" s="39"/>
      <c r="L289" s="208"/>
      <c r="M289" s="39"/>
      <c r="N289" s="536" t="s">
        <v>2318</v>
      </c>
    </row>
    <row r="290" spans="1:14" ht="15.75">
      <c r="A290" s="16"/>
      <c r="B290" s="39"/>
      <c r="C290" s="554"/>
      <c r="D290" s="555"/>
      <c r="E290" s="540"/>
      <c r="F290" s="541"/>
      <c r="G290" s="40"/>
      <c r="H290" s="16"/>
      <c r="I290" s="552"/>
      <c r="J290" s="553" t="s">
        <v>5</v>
      </c>
      <c r="K290" s="10">
        <f>data!G3144</f>
        <v>7616.9999999999991</v>
      </c>
      <c r="L290" s="208" t="s">
        <v>2318</v>
      </c>
      <c r="M290" s="9">
        <f>ROUND(I290*K290,0)</f>
        <v>0</v>
      </c>
      <c r="N290" s="536" t="s">
        <v>2318</v>
      </c>
    </row>
    <row r="291" spans="1:14" ht="69.75" customHeight="1">
      <c r="A291" s="16">
        <v>4</v>
      </c>
      <c r="B291" s="1858" t="s">
        <v>649</v>
      </c>
      <c r="C291" s="1858"/>
      <c r="D291" s="1858"/>
      <c r="E291" s="1858"/>
      <c r="F291" s="1858"/>
      <c r="G291" s="1858"/>
      <c r="H291" s="1858"/>
      <c r="I291" s="537"/>
      <c r="J291" s="538"/>
      <c r="K291" s="16"/>
      <c r="L291" s="208"/>
      <c r="M291" s="38"/>
      <c r="N291" s="536" t="s">
        <v>2218</v>
      </c>
    </row>
    <row r="292" spans="1:14" s="544" customFormat="1" ht="16.5" customHeight="1">
      <c r="A292" s="16"/>
      <c r="B292" s="39" t="s">
        <v>3094</v>
      </c>
      <c r="C292" s="537"/>
      <c r="D292" s="1145" t="s">
        <v>3332</v>
      </c>
      <c r="E292" s="540"/>
      <c r="F292" s="541"/>
      <c r="G292" s="541"/>
      <c r="H292" s="541"/>
      <c r="I292" s="542"/>
      <c r="J292" s="553"/>
      <c r="K292" s="39"/>
      <c r="L292" s="208"/>
      <c r="M292" s="39"/>
      <c r="N292" s="536" t="s">
        <v>2218</v>
      </c>
    </row>
    <row r="293" spans="1:14" s="544" customFormat="1" ht="16.5" customHeight="1">
      <c r="A293" s="16"/>
      <c r="B293" s="39" t="s">
        <v>2136</v>
      </c>
      <c r="C293" s="537">
        <v>1</v>
      </c>
      <c r="D293" s="539" t="s">
        <v>273</v>
      </c>
      <c r="E293" s="540">
        <v>2</v>
      </c>
      <c r="F293" s="541">
        <v>4.5</v>
      </c>
      <c r="G293" s="541">
        <v>0.23</v>
      </c>
      <c r="H293" s="541">
        <v>2.35</v>
      </c>
      <c r="I293" s="545">
        <f t="shared" ref="I293:I294" si="8">ROUND(IF(AND(F293:H293),C293*E293*F293*G293*H293,IF(AND(F293,G293),C293*E293*F293*G293,IF(AND(F293,H293),C293*E293*F293*H293,IF(AND(G293,H293),C293*E293*G293*H293,IF(F293,C293*E293*F293,IF(G293,C293*E293*G293,IF(H293,C293*E293*H293,C293*E293))))))),2)</f>
        <v>4.8600000000000003</v>
      </c>
      <c r="J293" s="553" t="s">
        <v>5</v>
      </c>
      <c r="K293" s="39"/>
      <c r="L293" s="208"/>
      <c r="M293" s="39"/>
      <c r="N293" s="536" t="s">
        <v>2218</v>
      </c>
    </row>
    <row r="294" spans="1:14" s="544" customFormat="1" ht="16.5" customHeight="1">
      <c r="A294" s="16"/>
      <c r="B294" s="39" t="s">
        <v>3142</v>
      </c>
      <c r="C294" s="537">
        <v>1</v>
      </c>
      <c r="D294" s="539" t="s">
        <v>273</v>
      </c>
      <c r="E294" s="540">
        <v>2</v>
      </c>
      <c r="F294" s="541">
        <v>2.74</v>
      </c>
      <c r="G294" s="541">
        <v>0.23</v>
      </c>
      <c r="H294" s="541">
        <v>2.35</v>
      </c>
      <c r="I294" s="545">
        <f t="shared" si="8"/>
        <v>2.96</v>
      </c>
      <c r="J294" s="553" t="s">
        <v>5</v>
      </c>
      <c r="K294" s="39"/>
      <c r="L294" s="208"/>
      <c r="M294" s="39"/>
      <c r="N294" s="536" t="s">
        <v>2218</v>
      </c>
    </row>
    <row r="295" spans="1:14" s="544" customFormat="1" ht="16.5" customHeight="1">
      <c r="A295" s="16"/>
      <c r="B295" s="39" t="s">
        <v>579</v>
      </c>
      <c r="C295" s="537">
        <v>1</v>
      </c>
      <c r="D295" s="539" t="s">
        <v>273</v>
      </c>
      <c r="E295" s="540">
        <v>1</v>
      </c>
      <c r="F295" s="541">
        <v>0.9</v>
      </c>
      <c r="G295" s="541">
        <v>0.23</v>
      </c>
      <c r="H295" s="541">
        <v>2</v>
      </c>
      <c r="I295" s="545">
        <f>-ROUND(IF(AND(F295:H295),C295*E295*F295*G295*H295,IF(AND(F295,G295),C295*E295*F295*G295,IF(AND(F295,H295),C295*E295*F295*H295,IF(AND(G295,H295),C295*E295*G295*H295,IF(F295,C295*E295*F295,IF(G295,C295*E295*G295,IF(H295,C295*E295*H295,C295*E295))))))),2)</f>
        <v>-0.41</v>
      </c>
      <c r="J295" s="553" t="s">
        <v>5</v>
      </c>
      <c r="K295" s="39"/>
      <c r="L295" s="208"/>
      <c r="M295" s="39"/>
      <c r="N295" s="536" t="s">
        <v>2218</v>
      </c>
    </row>
    <row r="296" spans="1:14" s="544" customFormat="1" ht="16.5" customHeight="1">
      <c r="A296" s="16"/>
      <c r="B296" s="39" t="s">
        <v>1535</v>
      </c>
      <c r="C296" s="537">
        <v>1</v>
      </c>
      <c r="D296" s="539" t="s">
        <v>273</v>
      </c>
      <c r="E296" s="540">
        <v>1</v>
      </c>
      <c r="F296" s="541">
        <v>1.2</v>
      </c>
      <c r="G296" s="541">
        <v>0.23</v>
      </c>
      <c r="H296" s="541">
        <v>1.1000000000000001</v>
      </c>
      <c r="I296" s="545">
        <f>-ROUND(IF(AND(F296:H296),C296*E296*F296*G296*H296,IF(AND(F296,G296),C296*E296*F296*G296,IF(AND(F296,H296),C296*E296*F296*H296,IF(AND(G296,H296),C296*E296*G296*H296,IF(F296,C296*E296*F296,IF(G296,C296*E296*G296,IF(H296,C296*E296*H296,C296*E296))))))),2)</f>
        <v>-0.3</v>
      </c>
      <c r="J296" s="553" t="s">
        <v>5</v>
      </c>
      <c r="K296" s="39"/>
      <c r="L296" s="208"/>
      <c r="M296" s="39"/>
      <c r="N296" s="536" t="s">
        <v>2218</v>
      </c>
    </row>
    <row r="297" spans="1:14" s="544" customFormat="1" ht="16.5" customHeight="1">
      <c r="A297" s="16"/>
      <c r="B297" s="547"/>
      <c r="C297" s="548"/>
      <c r="D297" s="549"/>
      <c r="E297" s="550"/>
      <c r="F297" s="551"/>
      <c r="G297" s="551"/>
      <c r="H297" s="551"/>
      <c r="I297" s="552"/>
      <c r="J297" s="553"/>
      <c r="K297" s="39"/>
      <c r="L297" s="208"/>
      <c r="M297" s="39"/>
      <c r="N297" s="536" t="s">
        <v>2218</v>
      </c>
    </row>
    <row r="298" spans="1:14" ht="15.75">
      <c r="A298" s="16"/>
      <c r="B298" s="39"/>
      <c r="C298" s="554"/>
      <c r="D298" s="555"/>
      <c r="E298" s="540"/>
      <c r="F298" s="541"/>
      <c r="G298" s="40"/>
      <c r="H298" s="16"/>
      <c r="I298" s="552"/>
      <c r="J298" s="553" t="s">
        <v>5</v>
      </c>
      <c r="K298" s="10">
        <f>data!G376</f>
        <v>6307.0100000000011</v>
      </c>
      <c r="L298" s="208" t="s">
        <v>2218</v>
      </c>
      <c r="M298" s="9">
        <f>ROUND(I298*K298,0)</f>
        <v>0</v>
      </c>
      <c r="N298" s="536" t="s">
        <v>2218</v>
      </c>
    </row>
    <row r="299" spans="1:14" ht="69.75" customHeight="1">
      <c r="A299" s="16">
        <v>5</v>
      </c>
      <c r="B299" s="1858" t="s">
        <v>649</v>
      </c>
      <c r="C299" s="1858"/>
      <c r="D299" s="1858"/>
      <c r="E299" s="1858"/>
      <c r="F299" s="1858"/>
      <c r="G299" s="1858"/>
      <c r="H299" s="1858"/>
      <c r="I299" s="537"/>
      <c r="J299" s="538"/>
      <c r="K299" s="16"/>
      <c r="L299" s="208"/>
      <c r="M299" s="38"/>
      <c r="N299" s="536" t="s">
        <v>2306</v>
      </c>
    </row>
    <row r="300" spans="1:14" s="544" customFormat="1" ht="16.5" customHeight="1">
      <c r="A300" s="16"/>
      <c r="B300" s="39" t="s">
        <v>2891</v>
      </c>
      <c r="C300" s="537"/>
      <c r="D300" s="539"/>
      <c r="E300" s="540"/>
      <c r="F300" s="541"/>
      <c r="G300" s="541"/>
      <c r="H300" s="541"/>
      <c r="I300" s="542"/>
      <c r="J300" s="553"/>
      <c r="K300" s="39"/>
      <c r="L300" s="208"/>
      <c r="M300" s="39"/>
      <c r="N300" s="536" t="s">
        <v>2306</v>
      </c>
    </row>
    <row r="301" spans="1:14" s="544" customFormat="1" ht="16.5" customHeight="1">
      <c r="A301" s="16"/>
      <c r="B301" s="39" t="s">
        <v>2136</v>
      </c>
      <c r="C301" s="537">
        <v>1</v>
      </c>
      <c r="D301" s="539" t="s">
        <v>273</v>
      </c>
      <c r="E301" s="540">
        <v>2</v>
      </c>
      <c r="F301" s="541">
        <v>4.62</v>
      </c>
      <c r="G301" s="541">
        <v>0.23</v>
      </c>
      <c r="H301" s="541">
        <v>2.1</v>
      </c>
      <c r="I301" s="545">
        <f>ROUND(IF(AND(F301:H301),C301*E301*F301*G301*H301,IF(AND(F301,G301),C301*E301*F301*G301,IF(AND(F301,H301),C301*E301*F301*H301,IF(AND(G301,H301),C301*E301*G301*H301,IF(F301,C301*E301*F301,IF(G301,C301*E301*G301,IF(H301,C301*E301*H301,C301*E301))))))),2)</f>
        <v>4.46</v>
      </c>
      <c r="J301" s="553" t="s">
        <v>5</v>
      </c>
      <c r="K301" s="39"/>
      <c r="L301" s="208"/>
      <c r="M301" s="39"/>
      <c r="N301" s="536" t="s">
        <v>2306</v>
      </c>
    </row>
    <row r="302" spans="1:14" s="544" customFormat="1" ht="16.5" customHeight="1">
      <c r="A302" s="16"/>
      <c r="B302" s="39" t="s">
        <v>2923</v>
      </c>
      <c r="C302" s="537">
        <v>1</v>
      </c>
      <c r="D302" s="539" t="s">
        <v>273</v>
      </c>
      <c r="E302" s="540">
        <v>2</v>
      </c>
      <c r="F302" s="541">
        <v>2.72</v>
      </c>
      <c r="G302" s="541">
        <v>0.23</v>
      </c>
      <c r="H302" s="541">
        <v>2.1</v>
      </c>
      <c r="I302" s="545">
        <f t="shared" ref="I302" si="9">ROUND(IF(AND(F302:H302),C302*E302*F302*G302*H302,IF(AND(F302,G302),C302*E302*F302*G302,IF(AND(F302,H302),C302*E302*F302*H302,IF(AND(G302,H302),C302*E302*G302*H302,IF(F302,C302*E302*F302,IF(G302,C302*E302*G302,IF(H302,C302*E302*H302,C302*E302))))))),2)</f>
        <v>2.63</v>
      </c>
      <c r="J302" s="553" t="s">
        <v>5</v>
      </c>
      <c r="K302" s="39"/>
      <c r="L302" s="208"/>
      <c r="M302" s="39"/>
      <c r="N302" s="536" t="s">
        <v>2306</v>
      </c>
    </row>
    <row r="303" spans="1:14" s="544" customFormat="1" ht="16.5" customHeight="1">
      <c r="A303" s="16"/>
      <c r="B303" s="39" t="s">
        <v>281</v>
      </c>
      <c r="C303" s="537">
        <v>1</v>
      </c>
      <c r="D303" s="539" t="s">
        <v>273</v>
      </c>
      <c r="E303" s="540">
        <v>4</v>
      </c>
      <c r="F303" s="541">
        <v>0.38</v>
      </c>
      <c r="G303" s="541">
        <v>0.23</v>
      </c>
      <c r="H303" s="541">
        <v>2.1</v>
      </c>
      <c r="I303" s="545">
        <f>-ROUND(IF(AND(F303:H303),C303*E303*F303*G303*H303,IF(AND(F303,G303),C303*E303*F303*G303,IF(AND(F303,H303),C303*E303*F303*H303,IF(AND(G303,H303),C303*E303*G303*H303,IF(F303,C303*E303*F303,IF(G303,C303*E303*G303,IF(H303,C303*E303*H303,C303*E303))))))),2)</f>
        <v>-0.73</v>
      </c>
      <c r="J303" s="553" t="s">
        <v>5</v>
      </c>
      <c r="K303" s="39"/>
      <c r="L303" s="208"/>
      <c r="M303" s="39"/>
      <c r="N303" s="536" t="s">
        <v>2306</v>
      </c>
    </row>
    <row r="304" spans="1:14" s="544" customFormat="1" ht="16.5" customHeight="1">
      <c r="A304" s="16"/>
      <c r="B304" s="39" t="s">
        <v>579</v>
      </c>
      <c r="C304" s="537">
        <v>1</v>
      </c>
      <c r="D304" s="539" t="s">
        <v>273</v>
      </c>
      <c r="E304" s="540">
        <v>1</v>
      </c>
      <c r="F304" s="541">
        <v>1.2</v>
      </c>
      <c r="G304" s="541">
        <v>0.23</v>
      </c>
      <c r="H304" s="541">
        <v>2.1</v>
      </c>
      <c r="I304" s="545">
        <f>-ROUND(IF(AND(F304:H304),C304*E304*F304*G304*H304,IF(AND(F304,G304),C304*E304*F304*G304,IF(AND(F304,H304),C304*E304*F304*H304,IF(AND(G304,H304),C304*E304*G304*H304,IF(F304,C304*E304*F304,IF(G304,C304*E304*G304,IF(H304,C304*E304*H304,C304*E304))))))),2)</f>
        <v>-0.57999999999999996</v>
      </c>
      <c r="J304" s="553" t="s">
        <v>5</v>
      </c>
      <c r="K304" s="39"/>
      <c r="L304" s="208"/>
      <c r="M304" s="39"/>
      <c r="N304" s="536" t="s">
        <v>2306</v>
      </c>
    </row>
    <row r="305" spans="1:14" s="544" customFormat="1" ht="16.5" customHeight="1">
      <c r="A305" s="16"/>
      <c r="B305" s="39" t="s">
        <v>2970</v>
      </c>
      <c r="C305" s="537">
        <v>1</v>
      </c>
      <c r="D305" s="539" t="s">
        <v>273</v>
      </c>
      <c r="E305" s="540">
        <v>1</v>
      </c>
      <c r="F305" s="541">
        <v>1.27</v>
      </c>
      <c r="G305" s="541">
        <v>0.23</v>
      </c>
      <c r="H305" s="541">
        <v>1.8</v>
      </c>
      <c r="I305" s="545">
        <f>-ROUND(IF(AND(F305:H305),C305*E305*F305*G305*H305,IF(AND(F305,G305),C305*E305*F305*G305,IF(AND(F305,H305),C305*E305*F305*H305,IF(AND(G305,H305),C305*E305*G305*H305,IF(F305,C305*E305*F305,IF(G305,C305*E305*G305,IF(H305,C305*E305*H305,C305*E305))))))),2)</f>
        <v>-0.53</v>
      </c>
      <c r="J305" s="553" t="s">
        <v>5</v>
      </c>
      <c r="K305" s="39"/>
      <c r="L305" s="208"/>
      <c r="M305" s="39"/>
      <c r="N305" s="536" t="s">
        <v>2306</v>
      </c>
    </row>
    <row r="306" spans="1:14" s="544" customFormat="1" ht="16.5" customHeight="1">
      <c r="A306" s="16"/>
      <c r="B306" s="547"/>
      <c r="C306" s="548"/>
      <c r="D306" s="549"/>
      <c r="E306" s="550"/>
      <c r="F306" s="551"/>
      <c r="G306" s="551"/>
      <c r="H306" s="551"/>
      <c r="I306" s="552"/>
      <c r="J306" s="553"/>
      <c r="K306" s="39"/>
      <c r="L306" s="208"/>
      <c r="M306" s="39"/>
      <c r="N306" s="536" t="s">
        <v>2306</v>
      </c>
    </row>
    <row r="307" spans="1:14" ht="15.75">
      <c r="A307" s="16"/>
      <c r="B307" s="39"/>
      <c r="C307" s="554"/>
      <c r="D307" s="555"/>
      <c r="E307" s="540"/>
      <c r="F307" s="541"/>
      <c r="G307" s="40"/>
      <c r="H307" s="16"/>
      <c r="I307" s="552"/>
      <c r="J307" s="553" t="s">
        <v>5</v>
      </c>
      <c r="K307" s="10">
        <f>data!G1293</f>
        <v>6491.829999999999</v>
      </c>
      <c r="L307" s="208" t="s">
        <v>2306</v>
      </c>
      <c r="M307" s="9">
        <f>ROUND(I307*K307,0)</f>
        <v>0</v>
      </c>
      <c r="N307" s="536" t="s">
        <v>2306</v>
      </c>
    </row>
    <row r="308" spans="1:14" ht="69.75" customHeight="1">
      <c r="A308" s="16">
        <v>5</v>
      </c>
      <c r="B308" s="1858" t="s">
        <v>649</v>
      </c>
      <c r="C308" s="1858"/>
      <c r="D308" s="1858"/>
      <c r="E308" s="1858"/>
      <c r="F308" s="1858"/>
      <c r="G308" s="1858"/>
      <c r="H308" s="1858"/>
      <c r="I308" s="537"/>
      <c r="J308" s="538"/>
      <c r="K308" s="16"/>
      <c r="L308" s="208"/>
      <c r="M308" s="38"/>
      <c r="N308" s="536" t="s">
        <v>2317</v>
      </c>
    </row>
    <row r="309" spans="1:14" s="544" customFormat="1" ht="16.5" customHeight="1">
      <c r="A309" s="16"/>
      <c r="B309" s="39" t="s">
        <v>2856</v>
      </c>
      <c r="C309" s="537"/>
      <c r="D309" s="539"/>
      <c r="E309" s="540"/>
      <c r="F309" s="541"/>
      <c r="G309" s="541"/>
      <c r="H309" s="541"/>
      <c r="I309" s="542"/>
      <c r="J309" s="553"/>
      <c r="K309" s="39"/>
      <c r="L309" s="208"/>
      <c r="M309" s="39"/>
      <c r="N309" s="536" t="s">
        <v>2317</v>
      </c>
    </row>
    <row r="310" spans="1:14" s="544" customFormat="1" ht="16.5" customHeight="1">
      <c r="A310" s="16"/>
      <c r="B310" s="39"/>
      <c r="C310" s="537">
        <v>1</v>
      </c>
      <c r="D310" s="539" t="s">
        <v>273</v>
      </c>
      <c r="E310" s="540">
        <v>1</v>
      </c>
      <c r="F310" s="541">
        <v>3.16</v>
      </c>
      <c r="G310" s="541">
        <v>0.23</v>
      </c>
      <c r="H310" s="541">
        <v>2.4</v>
      </c>
      <c r="I310" s="579">
        <f>ROUND(IF(AND(F310:H310),C310*E310*F310*G310*H310,IF(AND(F310,G310),C310*E310*F310*G310,IF(AND(F310,H310),C310*E310*F310*H310,IF(AND(G310,H310),C310*E310*G310*H310,IF(F310,C310*E310*F310,IF(G310,C310*E310*G310,IF(H310,C310*E310*H310,C310*E310))))))),2)</f>
        <v>1.74</v>
      </c>
      <c r="J310" s="553" t="s">
        <v>5</v>
      </c>
      <c r="K310" s="39"/>
      <c r="L310" s="208"/>
      <c r="M310" s="39"/>
      <c r="N310" s="536" t="s">
        <v>2317</v>
      </c>
    </row>
    <row r="311" spans="1:14" s="544" customFormat="1" ht="16.5" customHeight="1">
      <c r="A311" s="16"/>
      <c r="B311" s="547"/>
      <c r="C311" s="548"/>
      <c r="D311" s="549"/>
      <c r="E311" s="550"/>
      <c r="F311" s="551"/>
      <c r="G311" s="551"/>
      <c r="H311" s="551"/>
      <c r="I311" s="552"/>
      <c r="J311" s="553"/>
      <c r="K311" s="39"/>
      <c r="L311" s="208"/>
      <c r="M311" s="39"/>
      <c r="N311" s="536" t="s">
        <v>2317</v>
      </c>
    </row>
    <row r="312" spans="1:14" ht="15.75">
      <c r="A312" s="16"/>
      <c r="B312" s="39"/>
      <c r="C312" s="554"/>
      <c r="D312" s="555"/>
      <c r="E312" s="540"/>
      <c r="F312" s="541"/>
      <c r="G312" s="40"/>
      <c r="H312" s="16"/>
      <c r="I312" s="552"/>
      <c r="J312" s="553" t="s">
        <v>5</v>
      </c>
      <c r="K312" s="10">
        <f>data!G2210</f>
        <v>6937.8099999999995</v>
      </c>
      <c r="L312" s="208" t="s">
        <v>2317</v>
      </c>
      <c r="M312" s="9">
        <f>ROUND(I312*K312,0)</f>
        <v>0</v>
      </c>
      <c r="N312" s="536" t="s">
        <v>2317</v>
      </c>
    </row>
    <row r="313" spans="1:14" ht="69.75" customHeight="1">
      <c r="A313" s="16">
        <v>5</v>
      </c>
      <c r="B313" s="1858" t="s">
        <v>649</v>
      </c>
      <c r="C313" s="1858"/>
      <c r="D313" s="1858"/>
      <c r="E313" s="1858"/>
      <c r="F313" s="1858"/>
      <c r="G313" s="1858"/>
      <c r="H313" s="1858"/>
      <c r="I313" s="537"/>
      <c r="J313" s="538"/>
      <c r="K313" s="16"/>
      <c r="L313" s="208"/>
      <c r="M313" s="38"/>
      <c r="N313" s="536" t="s">
        <v>2318</v>
      </c>
    </row>
    <row r="314" spans="1:14" s="544" customFormat="1" ht="16.5" customHeight="1">
      <c r="A314" s="16"/>
      <c r="B314" s="39" t="s">
        <v>3094</v>
      </c>
      <c r="C314" s="537"/>
      <c r="D314" s="539"/>
      <c r="E314" s="540"/>
      <c r="F314" s="541"/>
      <c r="G314" s="541"/>
      <c r="H314" s="541"/>
      <c r="I314" s="542"/>
      <c r="J314" s="553"/>
      <c r="K314" s="39"/>
      <c r="L314" s="208"/>
      <c r="M314" s="39"/>
      <c r="N314" s="536" t="s">
        <v>2318</v>
      </c>
    </row>
    <row r="315" spans="1:14" s="544" customFormat="1" ht="16.5" customHeight="1">
      <c r="A315" s="16"/>
      <c r="B315" s="39"/>
      <c r="C315" s="537">
        <v>1</v>
      </c>
      <c r="D315" s="539" t="s">
        <v>273</v>
      </c>
      <c r="E315" s="540">
        <v>2</v>
      </c>
      <c r="F315" s="541">
        <v>4.5</v>
      </c>
      <c r="G315" s="541">
        <v>0.23</v>
      </c>
      <c r="H315" s="541">
        <v>2.35</v>
      </c>
      <c r="I315" s="545">
        <f t="shared" ref="I315:I316" si="10">ROUND(IF(AND(F315:H315),C315*E315*F315*G315*H315,IF(AND(F315,G315),C315*E315*F315*G315,IF(AND(F315,H315),C315*E315*F315*H315,IF(AND(G315,H315),C315*E315*G315*H315,IF(F315,C315*E315*F315,IF(G315,C315*E315*G315,IF(H315,C315*E315*H315,C315*E315))))))),2)</f>
        <v>4.8600000000000003</v>
      </c>
      <c r="J315" s="553" t="s">
        <v>5</v>
      </c>
      <c r="K315" s="39"/>
      <c r="L315" s="208"/>
      <c r="M315" s="39"/>
      <c r="N315" s="536" t="s">
        <v>2318</v>
      </c>
    </row>
    <row r="316" spans="1:14" s="544" customFormat="1" ht="16.5" customHeight="1">
      <c r="A316" s="16"/>
      <c r="B316" s="39"/>
      <c r="C316" s="537">
        <v>1</v>
      </c>
      <c r="D316" s="539" t="s">
        <v>273</v>
      </c>
      <c r="E316" s="540">
        <v>2</v>
      </c>
      <c r="F316" s="541">
        <v>2.74</v>
      </c>
      <c r="G316" s="541">
        <v>0.23</v>
      </c>
      <c r="H316" s="541">
        <v>2.35</v>
      </c>
      <c r="I316" s="545">
        <f t="shared" si="10"/>
        <v>2.96</v>
      </c>
      <c r="J316" s="553" t="s">
        <v>5</v>
      </c>
      <c r="K316" s="39"/>
      <c r="L316" s="208"/>
      <c r="M316" s="39"/>
      <c r="N316" s="536" t="s">
        <v>2318</v>
      </c>
    </row>
    <row r="317" spans="1:14" s="544" customFormat="1" ht="16.5" customHeight="1">
      <c r="A317" s="16"/>
      <c r="B317" s="39"/>
      <c r="C317" s="537">
        <v>1</v>
      </c>
      <c r="D317" s="539" t="s">
        <v>273</v>
      </c>
      <c r="E317" s="540">
        <v>1</v>
      </c>
      <c r="F317" s="541">
        <v>0.9</v>
      </c>
      <c r="G317" s="541">
        <v>0.23</v>
      </c>
      <c r="H317" s="541">
        <v>2</v>
      </c>
      <c r="I317" s="545">
        <f>-ROUND(IF(AND(F317:H317),C317*E317*F317*G317*H317,IF(AND(F317,G317),C317*E317*F317*G317,IF(AND(F317,H317),C317*E317*F317*H317,IF(AND(G317,H317),C317*E317*G317*H317,IF(F317,C317*E317*F317,IF(G317,C317*E317*G317,IF(H317,C317*E317*H317,C317*E317))))))),2)</f>
        <v>-0.41</v>
      </c>
      <c r="J317" s="553" t="s">
        <v>5</v>
      </c>
      <c r="K317" s="39"/>
      <c r="L317" s="208"/>
      <c r="M317" s="39"/>
      <c r="N317" s="536" t="s">
        <v>2318</v>
      </c>
    </row>
    <row r="318" spans="1:14" s="544" customFormat="1" ht="16.5" customHeight="1">
      <c r="A318" s="16"/>
      <c r="B318" s="39"/>
      <c r="C318" s="537">
        <v>1</v>
      </c>
      <c r="D318" s="539" t="s">
        <v>273</v>
      </c>
      <c r="E318" s="540">
        <v>1</v>
      </c>
      <c r="F318" s="541">
        <v>1.2</v>
      </c>
      <c r="G318" s="541">
        <v>0.23</v>
      </c>
      <c r="H318" s="541">
        <v>1.1000000000000001</v>
      </c>
      <c r="I318" s="545">
        <f>-ROUND(IF(AND(F318:H318),C318*E318*F318*G318*H318,IF(AND(F318,G318),C318*E318*F318*G318,IF(AND(F318,H318),C318*E318*F318*H318,IF(AND(G318,H318),C318*E318*G318*H318,IF(F318,C318*E318*F318,IF(G318,C318*E318*G318,IF(H318,C318*E318*H318,C318*E318))))))),2)</f>
        <v>-0.3</v>
      </c>
      <c r="J318" s="553" t="s">
        <v>5</v>
      </c>
      <c r="K318" s="39"/>
      <c r="L318" s="208"/>
      <c r="M318" s="39"/>
      <c r="N318" s="536" t="s">
        <v>2318</v>
      </c>
    </row>
    <row r="319" spans="1:14" s="544" customFormat="1" ht="16.5" customHeight="1">
      <c r="A319" s="16"/>
      <c r="B319" s="547"/>
      <c r="C319" s="548"/>
      <c r="D319" s="549"/>
      <c r="E319" s="550"/>
      <c r="F319" s="551"/>
      <c r="G319" s="551"/>
      <c r="H319" s="551"/>
      <c r="I319" s="552"/>
      <c r="J319" s="553"/>
      <c r="K319" s="39"/>
      <c r="L319" s="208"/>
      <c r="M319" s="39"/>
      <c r="N319" s="536" t="s">
        <v>2318</v>
      </c>
    </row>
    <row r="320" spans="1:14" ht="15.75">
      <c r="A320" s="16"/>
      <c r="B320" s="39"/>
      <c r="C320" s="554"/>
      <c r="D320" s="555"/>
      <c r="E320" s="540"/>
      <c r="F320" s="541"/>
      <c r="G320" s="40"/>
      <c r="H320" s="16"/>
      <c r="I320" s="552"/>
      <c r="J320" s="553" t="s">
        <v>5</v>
      </c>
      <c r="K320" s="10">
        <f>data!G3127</f>
        <v>7673.4</v>
      </c>
      <c r="L320" s="208" t="s">
        <v>2318</v>
      </c>
      <c r="M320" s="9">
        <f>ROUND(I320*K320,0)</f>
        <v>0</v>
      </c>
      <c r="N320" s="536" t="s">
        <v>2318</v>
      </c>
    </row>
    <row r="321" spans="1:14" ht="132.75" customHeight="1">
      <c r="A321" s="16">
        <v>5</v>
      </c>
      <c r="B321" s="1858" t="s">
        <v>901</v>
      </c>
      <c r="C321" s="1858"/>
      <c r="D321" s="1858"/>
      <c r="E321" s="1858"/>
      <c r="F321" s="1858"/>
      <c r="G321" s="1858"/>
      <c r="H321" s="1858"/>
      <c r="I321" s="537"/>
      <c r="J321" s="538"/>
      <c r="K321" s="16"/>
      <c r="L321" s="208"/>
      <c r="M321" s="38"/>
      <c r="N321" s="536" t="s">
        <v>2218</v>
      </c>
    </row>
    <row r="322" spans="1:14" s="544" customFormat="1" ht="16.5" customHeight="1">
      <c r="A322" s="16"/>
      <c r="B322" s="39" t="s">
        <v>3122</v>
      </c>
      <c r="C322" s="537"/>
      <c r="D322" s="1145" t="s">
        <v>3332</v>
      </c>
      <c r="E322" s="540"/>
      <c r="F322" s="541"/>
      <c r="G322" s="541"/>
      <c r="H322" s="541"/>
      <c r="I322" s="542"/>
      <c r="J322" s="553"/>
      <c r="K322" s="39"/>
      <c r="L322" s="208"/>
      <c r="M322" s="39"/>
      <c r="N322" s="536" t="s">
        <v>2218</v>
      </c>
    </row>
    <row r="323" spans="1:14" s="544" customFormat="1" ht="16.5" customHeight="1">
      <c r="A323" s="16"/>
      <c r="B323" s="39"/>
      <c r="C323" s="537">
        <v>1</v>
      </c>
      <c r="D323" s="539" t="s">
        <v>273</v>
      </c>
      <c r="E323" s="540">
        <v>1</v>
      </c>
      <c r="F323" s="541">
        <v>10</v>
      </c>
      <c r="G323" s="541">
        <v>0</v>
      </c>
      <c r="H323" s="541">
        <v>0.9</v>
      </c>
      <c r="I323" s="545">
        <f t="shared" ref="I323:I326" si="11">ROUND(IF(AND(F323:H323),C323*E323*F323*G323*H323,IF(AND(F323,G323),C323*E323*F323*G323,IF(AND(F323,H323),C323*E323*F323*H323,IF(AND(G323,H323),C323*E323*G323*H323,IF(F323,C323*E323*F323,IF(G323,C323*E323*G323,IF(H323,C323*E323*H323,C323*E323))))))),2)</f>
        <v>9</v>
      </c>
      <c r="J323" s="553" t="s">
        <v>102</v>
      </c>
      <c r="K323" s="39"/>
      <c r="L323" s="208"/>
      <c r="M323" s="39"/>
      <c r="N323" s="536" t="s">
        <v>2218</v>
      </c>
    </row>
    <row r="324" spans="1:14" s="544" customFormat="1" ht="16.5" customHeight="1">
      <c r="A324" s="16"/>
      <c r="B324" s="39"/>
      <c r="C324" s="537">
        <v>1</v>
      </c>
      <c r="D324" s="539" t="s">
        <v>273</v>
      </c>
      <c r="E324" s="540">
        <v>1</v>
      </c>
      <c r="F324" s="541">
        <v>9.1999999999999993</v>
      </c>
      <c r="G324" s="541">
        <v>0</v>
      </c>
      <c r="H324" s="541">
        <v>0.9</v>
      </c>
      <c r="I324" s="545">
        <f t="shared" si="11"/>
        <v>8.2799999999999994</v>
      </c>
      <c r="J324" s="553" t="s">
        <v>102</v>
      </c>
      <c r="K324" s="39"/>
      <c r="L324" s="208"/>
      <c r="M324" s="39"/>
      <c r="N324" s="536" t="s">
        <v>2218</v>
      </c>
    </row>
    <row r="325" spans="1:14" s="544" customFormat="1" ht="16.5" customHeight="1">
      <c r="A325" s="16"/>
      <c r="B325" s="39"/>
      <c r="C325" s="537">
        <v>1</v>
      </c>
      <c r="D325" s="539" t="s">
        <v>273</v>
      </c>
      <c r="E325" s="540">
        <v>1</v>
      </c>
      <c r="F325" s="541">
        <v>13.7</v>
      </c>
      <c r="G325" s="541">
        <v>0</v>
      </c>
      <c r="H325" s="541">
        <v>0.9</v>
      </c>
      <c r="I325" s="545">
        <f t="shared" si="11"/>
        <v>12.33</v>
      </c>
      <c r="J325" s="553" t="s">
        <v>102</v>
      </c>
      <c r="K325" s="39"/>
      <c r="L325" s="208"/>
      <c r="M325" s="39"/>
      <c r="N325" s="536" t="s">
        <v>2218</v>
      </c>
    </row>
    <row r="326" spans="1:14" s="544" customFormat="1" ht="16.5" customHeight="1">
      <c r="A326" s="16"/>
      <c r="B326" s="39"/>
      <c r="C326" s="537">
        <v>1</v>
      </c>
      <c r="D326" s="539" t="s">
        <v>273</v>
      </c>
      <c r="E326" s="540">
        <v>1</v>
      </c>
      <c r="F326" s="541">
        <v>5.95</v>
      </c>
      <c r="G326" s="541">
        <v>0</v>
      </c>
      <c r="H326" s="541">
        <v>0.9</v>
      </c>
      <c r="I326" s="545">
        <f t="shared" si="11"/>
        <v>5.36</v>
      </c>
      <c r="J326" s="553" t="s">
        <v>102</v>
      </c>
      <c r="K326" s="39"/>
      <c r="L326" s="208"/>
      <c r="M326" s="39"/>
      <c r="N326" s="536" t="s">
        <v>2218</v>
      </c>
    </row>
    <row r="327" spans="1:14" s="544" customFormat="1" ht="16.5" customHeight="1">
      <c r="A327" s="16"/>
      <c r="B327" s="39"/>
      <c r="C327" s="537"/>
      <c r="D327" s="539"/>
      <c r="E327" s="540"/>
      <c r="F327" s="541"/>
      <c r="G327" s="541"/>
      <c r="H327" s="541"/>
      <c r="I327" s="545"/>
      <c r="J327" s="553"/>
      <c r="K327" s="39"/>
      <c r="L327" s="208"/>
      <c r="M327" s="39"/>
      <c r="N327" s="536" t="s">
        <v>2218</v>
      </c>
    </row>
    <row r="328" spans="1:14" ht="15.75">
      <c r="A328" s="16"/>
      <c r="B328" s="39"/>
      <c r="C328" s="554"/>
      <c r="D328" s="555"/>
      <c r="E328" s="540"/>
      <c r="F328" s="541"/>
      <c r="G328" s="40"/>
      <c r="H328" s="16"/>
      <c r="I328" s="552"/>
      <c r="J328" s="553" t="s">
        <v>102</v>
      </c>
      <c r="K328" s="10">
        <f>data!G411</f>
        <v>830.76</v>
      </c>
      <c r="L328" s="208" t="s">
        <v>2218</v>
      </c>
      <c r="M328" s="9">
        <f>ROUND(I328*K328/1,0)</f>
        <v>0</v>
      </c>
      <c r="N328" s="536" t="s">
        <v>2218</v>
      </c>
    </row>
    <row r="329" spans="1:14" ht="132.75" customHeight="1">
      <c r="A329" s="16">
        <v>6</v>
      </c>
      <c r="B329" s="1858" t="s">
        <v>901</v>
      </c>
      <c r="C329" s="1858"/>
      <c r="D329" s="1858"/>
      <c r="E329" s="1858"/>
      <c r="F329" s="1858"/>
      <c r="G329" s="1858"/>
      <c r="H329" s="1858"/>
      <c r="I329" s="537"/>
      <c r="J329" s="538"/>
      <c r="K329" s="16"/>
      <c r="L329" s="208"/>
      <c r="M329" s="38"/>
      <c r="N329" s="536" t="s">
        <v>2306</v>
      </c>
    </row>
    <row r="330" spans="1:14" s="544" customFormat="1" ht="16.5" customHeight="1">
      <c r="A330" s="16"/>
      <c r="B330" s="39" t="s">
        <v>2867</v>
      </c>
      <c r="C330" s="537"/>
      <c r="D330" s="539"/>
      <c r="E330" s="540"/>
      <c r="F330" s="541"/>
      <c r="G330" s="541"/>
      <c r="H330" s="541"/>
      <c r="I330" s="542"/>
      <c r="J330" s="553"/>
      <c r="K330" s="39"/>
      <c r="L330" s="208"/>
      <c r="M330" s="39"/>
      <c r="N330" s="536" t="s">
        <v>2306</v>
      </c>
    </row>
    <row r="331" spans="1:14" s="544" customFormat="1" ht="16.5" customHeight="1">
      <c r="A331" s="16"/>
      <c r="B331" s="39"/>
      <c r="C331" s="537">
        <v>1</v>
      </c>
      <c r="D331" s="539" t="s">
        <v>273</v>
      </c>
      <c r="E331" s="540">
        <v>1</v>
      </c>
      <c r="F331" s="541">
        <v>41.7</v>
      </c>
      <c r="G331" s="541">
        <v>0</v>
      </c>
      <c r="H331" s="541">
        <v>0.9</v>
      </c>
      <c r="I331" s="545">
        <f t="shared" ref="I331" si="12">ROUND(IF(AND(F331:H331),C331*E331*F331*G331*H331,IF(AND(F331,G331),C331*E331*F331*G331,IF(AND(F331,H331),C331*E331*F331*H331,IF(AND(G331,H331),C331*E331*G331*H331,IF(F331,C331*E331*F331,IF(G331,C331*E331*G331,IF(H331,C331*E331*H331,C331*E331))))))),2)</f>
        <v>37.53</v>
      </c>
      <c r="J331" s="553" t="s">
        <v>102</v>
      </c>
      <c r="K331" s="39"/>
      <c r="L331" s="208"/>
      <c r="M331" s="39"/>
      <c r="N331" s="536" t="s">
        <v>2306</v>
      </c>
    </row>
    <row r="332" spans="1:14" s="544" customFormat="1" ht="16.5" customHeight="1">
      <c r="A332" s="16"/>
      <c r="B332" s="39"/>
      <c r="C332" s="537"/>
      <c r="D332" s="539"/>
      <c r="E332" s="540"/>
      <c r="F332" s="541"/>
      <c r="G332" s="541"/>
      <c r="H332" s="541"/>
      <c r="I332" s="545"/>
      <c r="J332" s="553"/>
      <c r="K332" s="39"/>
      <c r="L332" s="208"/>
      <c r="M332" s="39"/>
      <c r="N332" s="536" t="s">
        <v>2306</v>
      </c>
    </row>
    <row r="333" spans="1:14" ht="15.75">
      <c r="A333" s="16"/>
      <c r="B333" s="39"/>
      <c r="C333" s="554"/>
      <c r="D333" s="555"/>
      <c r="E333" s="540"/>
      <c r="F333" s="541"/>
      <c r="G333" s="40"/>
      <c r="H333" s="16"/>
      <c r="I333" s="552"/>
      <c r="J333" s="553" t="s">
        <v>102</v>
      </c>
      <c r="K333" s="10">
        <f>data!G1328</f>
        <v>856.26</v>
      </c>
      <c r="L333" s="208" t="s">
        <v>2306</v>
      </c>
      <c r="M333" s="9">
        <f>ROUND(I333*K333/1,0)</f>
        <v>0</v>
      </c>
      <c r="N333" s="536" t="s">
        <v>2306</v>
      </c>
    </row>
    <row r="334" spans="1:14" ht="132.75" customHeight="1">
      <c r="A334" s="16">
        <v>6</v>
      </c>
      <c r="B334" s="1858" t="s">
        <v>901</v>
      </c>
      <c r="C334" s="1858"/>
      <c r="D334" s="1858"/>
      <c r="E334" s="1858"/>
      <c r="F334" s="1858"/>
      <c r="G334" s="1858"/>
      <c r="H334" s="1858"/>
      <c r="I334" s="537"/>
      <c r="J334" s="538"/>
      <c r="K334" s="16"/>
      <c r="L334" s="208"/>
      <c r="M334" s="38"/>
      <c r="N334" s="536" t="s">
        <v>2317</v>
      </c>
    </row>
    <row r="335" spans="1:14" s="544" customFormat="1" ht="16.5" customHeight="1">
      <c r="A335" s="16"/>
      <c r="B335" s="39" t="s">
        <v>2891</v>
      </c>
      <c r="C335" s="537"/>
      <c r="D335" s="539"/>
      <c r="E335" s="540"/>
      <c r="F335" s="541"/>
      <c r="G335" s="541"/>
      <c r="H335" s="541"/>
      <c r="I335" s="542"/>
      <c r="J335" s="553"/>
      <c r="K335" s="39"/>
      <c r="L335" s="208"/>
      <c r="M335" s="39"/>
      <c r="N335" s="536" t="s">
        <v>2317</v>
      </c>
    </row>
    <row r="336" spans="1:14" s="544" customFormat="1" ht="16.5" customHeight="1">
      <c r="A336" s="16"/>
      <c r="B336" s="39" t="s">
        <v>1531</v>
      </c>
      <c r="C336" s="537">
        <v>1</v>
      </c>
      <c r="D336" s="539" t="s">
        <v>273</v>
      </c>
      <c r="E336" s="540">
        <v>1</v>
      </c>
      <c r="F336" s="541">
        <v>2.72</v>
      </c>
      <c r="G336" s="541">
        <v>0</v>
      </c>
      <c r="H336" s="541">
        <v>2.4</v>
      </c>
      <c r="I336" s="579">
        <f>ROUND(IF(AND(F336:H336),C336*E336*F336*G336*H336,IF(AND(F336,G336),C336*E336*F336*G336,IF(AND(F336,H336),C336*E336*F336*H336,IF(AND(G336,H336),C336*E336*G336*H336,IF(F336,C336*E336*F336,IF(G336,C336*E336*G336,IF(H336,C336*E336*H336,C336*E336))))))),2)</f>
        <v>6.53</v>
      </c>
      <c r="J336" s="553" t="s">
        <v>102</v>
      </c>
      <c r="K336" s="39"/>
      <c r="L336" s="208"/>
      <c r="M336" s="39"/>
      <c r="N336" s="536" t="s">
        <v>2317</v>
      </c>
    </row>
    <row r="337" spans="1:14" s="544" customFormat="1" ht="16.5" customHeight="1">
      <c r="A337" s="16"/>
      <c r="B337" s="39"/>
      <c r="C337" s="537">
        <v>1</v>
      </c>
      <c r="D337" s="539" t="s">
        <v>273</v>
      </c>
      <c r="E337" s="540">
        <v>2</v>
      </c>
      <c r="F337" s="541">
        <v>1</v>
      </c>
      <c r="G337" s="541">
        <v>0</v>
      </c>
      <c r="H337" s="541">
        <v>2.7</v>
      </c>
      <c r="I337" s="579">
        <f>ROUND(IF(AND(F337:H337),C337*E337*F337*G337*H337,IF(AND(F337,G337),C337*E337*F337*G337,IF(AND(F337,H337),C337*E337*F337*H337,IF(AND(G337,H337),C337*E337*G337*H337,IF(F337,C337*E337*F337,IF(G337,C337*E337*G337,IF(H337,C337*E337*H337,C337*E337))))))),2)</f>
        <v>5.4</v>
      </c>
      <c r="J337" s="553" t="s">
        <v>102</v>
      </c>
      <c r="K337" s="39"/>
      <c r="L337" s="208"/>
      <c r="M337" s="39"/>
      <c r="N337" s="536" t="s">
        <v>2317</v>
      </c>
    </row>
    <row r="338" spans="1:14" s="544" customFormat="1" ht="16.5" customHeight="1">
      <c r="A338" s="16"/>
      <c r="B338" s="39"/>
      <c r="C338" s="537"/>
      <c r="D338" s="539"/>
      <c r="E338" s="540"/>
      <c r="F338" s="541"/>
      <c r="G338" s="541"/>
      <c r="H338" s="541"/>
      <c r="I338" s="545"/>
      <c r="J338" s="553"/>
      <c r="K338" s="39"/>
      <c r="L338" s="208"/>
      <c r="M338" s="39"/>
      <c r="N338" s="536" t="s">
        <v>2317</v>
      </c>
    </row>
    <row r="339" spans="1:14" ht="15.75">
      <c r="A339" s="16"/>
      <c r="B339" s="39"/>
      <c r="C339" s="554"/>
      <c r="D339" s="555"/>
      <c r="E339" s="540"/>
      <c r="F339" s="541"/>
      <c r="G339" s="40"/>
      <c r="H339" s="16"/>
      <c r="I339" s="552"/>
      <c r="J339" s="553" t="s">
        <v>102</v>
      </c>
      <c r="K339" s="10">
        <f>data!G2245</f>
        <v>913.89</v>
      </c>
      <c r="L339" s="208" t="s">
        <v>2317</v>
      </c>
      <c r="M339" s="9">
        <f>ROUND(I339*K339/1,0)</f>
        <v>0</v>
      </c>
      <c r="N339" s="536" t="s">
        <v>2317</v>
      </c>
    </row>
    <row r="340" spans="1:14" ht="132.75" customHeight="1">
      <c r="A340" s="16">
        <v>6</v>
      </c>
      <c r="B340" s="1858" t="s">
        <v>901</v>
      </c>
      <c r="C340" s="1858"/>
      <c r="D340" s="1858"/>
      <c r="E340" s="1858"/>
      <c r="F340" s="1858"/>
      <c r="G340" s="1858"/>
      <c r="H340" s="1858"/>
      <c r="I340" s="537"/>
      <c r="J340" s="538"/>
      <c r="K340" s="16"/>
      <c r="L340" s="208"/>
      <c r="M340" s="38"/>
      <c r="N340" s="536" t="s">
        <v>2318</v>
      </c>
    </row>
    <row r="341" spans="1:14" s="544" customFormat="1" ht="16.5" customHeight="1">
      <c r="A341" s="16"/>
      <c r="B341" s="39" t="s">
        <v>3122</v>
      </c>
      <c r="C341" s="537"/>
      <c r="D341" s="539"/>
      <c r="E341" s="540"/>
      <c r="F341" s="541"/>
      <c r="G341" s="541"/>
      <c r="H341" s="541"/>
      <c r="I341" s="542"/>
      <c r="J341" s="553"/>
      <c r="K341" s="39"/>
      <c r="L341" s="208"/>
      <c r="M341" s="39"/>
      <c r="N341" s="536" t="s">
        <v>2318</v>
      </c>
    </row>
    <row r="342" spans="1:14" s="544" customFormat="1" ht="16.5" customHeight="1">
      <c r="A342" s="16"/>
      <c r="B342" s="39"/>
      <c r="C342" s="537">
        <v>1</v>
      </c>
      <c r="D342" s="539" t="s">
        <v>273</v>
      </c>
      <c r="E342" s="540">
        <v>1</v>
      </c>
      <c r="F342" s="541">
        <v>10</v>
      </c>
      <c r="G342" s="541">
        <v>0</v>
      </c>
      <c r="H342" s="541">
        <v>0.9</v>
      </c>
      <c r="I342" s="545">
        <f t="shared" ref="I342:I345" si="13">ROUND(IF(AND(F342:H342),C342*E342*F342*G342*H342,IF(AND(F342,G342),C342*E342*F342*G342,IF(AND(F342,H342),C342*E342*F342*H342,IF(AND(G342,H342),C342*E342*G342*H342,IF(F342,C342*E342*F342,IF(G342,C342*E342*G342,IF(H342,C342*E342*H342,C342*E342))))))),2)</f>
        <v>9</v>
      </c>
      <c r="J342" s="553" t="s">
        <v>102</v>
      </c>
      <c r="K342" s="39"/>
      <c r="L342" s="208"/>
      <c r="M342" s="39"/>
      <c r="N342" s="536" t="s">
        <v>2318</v>
      </c>
    </row>
    <row r="343" spans="1:14" s="544" customFormat="1" ht="16.5" customHeight="1">
      <c r="A343" s="16"/>
      <c r="B343" s="39"/>
      <c r="C343" s="537">
        <v>1</v>
      </c>
      <c r="D343" s="539" t="s">
        <v>273</v>
      </c>
      <c r="E343" s="540">
        <v>1</v>
      </c>
      <c r="F343" s="541">
        <v>9.1999999999999993</v>
      </c>
      <c r="G343" s="541">
        <v>0</v>
      </c>
      <c r="H343" s="541">
        <v>0.9</v>
      </c>
      <c r="I343" s="545">
        <f t="shared" si="13"/>
        <v>8.2799999999999994</v>
      </c>
      <c r="J343" s="553" t="s">
        <v>102</v>
      </c>
      <c r="K343" s="39"/>
      <c r="L343" s="208"/>
      <c r="M343" s="39"/>
      <c r="N343" s="536" t="s">
        <v>2318</v>
      </c>
    </row>
    <row r="344" spans="1:14" s="544" customFormat="1" ht="16.5" customHeight="1">
      <c r="A344" s="16"/>
      <c r="B344" s="39"/>
      <c r="C344" s="537">
        <v>1</v>
      </c>
      <c r="D344" s="539" t="s">
        <v>273</v>
      </c>
      <c r="E344" s="540">
        <v>1</v>
      </c>
      <c r="F344" s="541">
        <v>13.7</v>
      </c>
      <c r="G344" s="541">
        <v>0</v>
      </c>
      <c r="H344" s="541">
        <v>0.9</v>
      </c>
      <c r="I344" s="545">
        <f t="shared" si="13"/>
        <v>12.33</v>
      </c>
      <c r="J344" s="553" t="s">
        <v>102</v>
      </c>
      <c r="K344" s="39"/>
      <c r="L344" s="208"/>
      <c r="M344" s="39"/>
      <c r="N344" s="536" t="s">
        <v>2318</v>
      </c>
    </row>
    <row r="345" spans="1:14" s="544" customFormat="1" ht="16.5" customHeight="1">
      <c r="A345" s="16"/>
      <c r="B345" s="39"/>
      <c r="C345" s="537">
        <v>1</v>
      </c>
      <c r="D345" s="539" t="s">
        <v>273</v>
      </c>
      <c r="E345" s="540">
        <v>1</v>
      </c>
      <c r="F345" s="541">
        <v>5.95</v>
      </c>
      <c r="G345" s="541">
        <v>0</v>
      </c>
      <c r="H345" s="541">
        <v>0.9</v>
      </c>
      <c r="I345" s="545">
        <f t="shared" si="13"/>
        <v>5.36</v>
      </c>
      <c r="J345" s="553" t="s">
        <v>102</v>
      </c>
      <c r="K345" s="39"/>
      <c r="L345" s="208"/>
      <c r="M345" s="39"/>
      <c r="N345" s="536" t="s">
        <v>2318</v>
      </c>
    </row>
    <row r="346" spans="1:14" s="544" customFormat="1" ht="16.5" customHeight="1">
      <c r="A346" s="16"/>
      <c r="B346" s="39"/>
      <c r="C346" s="537"/>
      <c r="D346" s="539"/>
      <c r="E346" s="540"/>
      <c r="F346" s="541"/>
      <c r="G346" s="541"/>
      <c r="H346" s="541"/>
      <c r="I346" s="545"/>
      <c r="J346" s="553"/>
      <c r="K346" s="39"/>
      <c r="L346" s="208"/>
      <c r="M346" s="39"/>
      <c r="N346" s="536" t="s">
        <v>2318</v>
      </c>
    </row>
    <row r="347" spans="1:14" ht="15.75">
      <c r="A347" s="16"/>
      <c r="B347" s="39"/>
      <c r="C347" s="554"/>
      <c r="D347" s="555"/>
      <c r="E347" s="540"/>
      <c r="F347" s="541"/>
      <c r="G347" s="40"/>
      <c r="H347" s="16"/>
      <c r="I347" s="552"/>
      <c r="J347" s="553" t="s">
        <v>102</v>
      </c>
      <c r="K347" s="10">
        <f>data!G3162</f>
        <v>999.57</v>
      </c>
      <c r="L347" s="208" t="s">
        <v>2318</v>
      </c>
      <c r="M347" s="9">
        <f>ROUND(I347*K347/1,0)</f>
        <v>0</v>
      </c>
      <c r="N347" s="536" t="s">
        <v>2318</v>
      </c>
    </row>
    <row r="348" spans="1:14" ht="79.5" customHeight="1">
      <c r="A348" s="16">
        <v>20</v>
      </c>
      <c r="B348" s="1858" t="s">
        <v>1201</v>
      </c>
      <c r="C348" s="1858"/>
      <c r="D348" s="1858"/>
      <c r="E348" s="1858"/>
      <c r="F348" s="1858"/>
      <c r="G348" s="1858"/>
      <c r="H348" s="1858"/>
      <c r="I348" s="537"/>
      <c r="J348" s="538"/>
      <c r="K348" s="16"/>
      <c r="L348" s="208"/>
      <c r="M348" s="38"/>
      <c r="N348" s="536" t="s">
        <v>2218</v>
      </c>
    </row>
    <row r="349" spans="1:14" s="544" customFormat="1" ht="16.5" customHeight="1">
      <c r="A349" s="16"/>
      <c r="B349" s="39" t="s">
        <v>2818</v>
      </c>
      <c r="C349" s="537"/>
      <c r="D349" s="539"/>
      <c r="E349" s="540"/>
      <c r="F349" s="541"/>
      <c r="G349" s="541"/>
      <c r="H349" s="541"/>
      <c r="I349" s="542"/>
      <c r="J349" s="553"/>
      <c r="K349" s="39"/>
      <c r="L349" s="208"/>
      <c r="M349" s="39"/>
      <c r="N349" s="536" t="s">
        <v>2218</v>
      </c>
    </row>
    <row r="350" spans="1:14" s="544" customFormat="1" ht="16.5" customHeight="1">
      <c r="A350" s="16"/>
      <c r="B350" s="39" t="s">
        <v>1242</v>
      </c>
      <c r="C350" s="537">
        <v>1</v>
      </c>
      <c r="D350" s="539" t="s">
        <v>273</v>
      </c>
      <c r="E350" s="540">
        <v>2</v>
      </c>
      <c r="F350" s="541">
        <v>0.75</v>
      </c>
      <c r="G350" s="541">
        <v>0.15</v>
      </c>
      <c r="H350" s="541">
        <v>1.05</v>
      </c>
      <c r="I350" s="545">
        <f t="shared" ref="I350:I352" si="14">ROUND(IF(AND(F350:H350),C350*E350*F350*G350*H350,IF(AND(F350,G350),C350*E350*F350*G350,IF(AND(F350,H350),C350*E350*F350*H350,IF(AND(G350,H350),C350*E350*G350*H350,IF(F350,C350*E350*F350,IF(G350,C350*E350*G350,IF(H350,C350*E350*H350,C350*E350))))))),2)</f>
        <v>0.24</v>
      </c>
      <c r="J350" s="553" t="s">
        <v>5</v>
      </c>
      <c r="K350" s="39"/>
      <c r="L350" s="208"/>
      <c r="M350" s="39"/>
      <c r="N350" s="536" t="s">
        <v>2218</v>
      </c>
    </row>
    <row r="351" spans="1:14" s="544" customFormat="1" ht="16.5" customHeight="1">
      <c r="A351" s="16"/>
      <c r="B351" s="39"/>
      <c r="C351" s="537">
        <v>1</v>
      </c>
      <c r="D351" s="539" t="s">
        <v>273</v>
      </c>
      <c r="E351" s="540">
        <v>1</v>
      </c>
      <c r="F351" s="541">
        <v>1.2</v>
      </c>
      <c r="G351" s="541">
        <v>0.15</v>
      </c>
      <c r="H351" s="541">
        <v>0.75</v>
      </c>
      <c r="I351" s="545">
        <f t="shared" si="14"/>
        <v>0.14000000000000001</v>
      </c>
      <c r="J351" s="553" t="s">
        <v>5</v>
      </c>
      <c r="K351" s="39"/>
      <c r="L351" s="208"/>
      <c r="M351" s="39"/>
      <c r="N351" s="536" t="s">
        <v>2218</v>
      </c>
    </row>
    <row r="352" spans="1:14" s="544" customFormat="1" ht="16.5" customHeight="1">
      <c r="A352" s="16"/>
      <c r="B352" s="39"/>
      <c r="C352" s="537">
        <v>1</v>
      </c>
      <c r="D352" s="539" t="s">
        <v>273</v>
      </c>
      <c r="E352" s="540">
        <v>1</v>
      </c>
      <c r="F352" s="541">
        <v>2.85</v>
      </c>
      <c r="G352" s="541">
        <v>0.15</v>
      </c>
      <c r="H352" s="541">
        <v>1.2</v>
      </c>
      <c r="I352" s="545">
        <f t="shared" si="14"/>
        <v>0.51</v>
      </c>
      <c r="J352" s="553" t="s">
        <v>5</v>
      </c>
      <c r="K352" s="39"/>
      <c r="L352" s="208"/>
      <c r="M352" s="39"/>
      <c r="N352" s="536" t="s">
        <v>2218</v>
      </c>
    </row>
    <row r="353" spans="1:14" s="544" customFormat="1" ht="16.5" customHeight="1">
      <c r="A353" s="16"/>
      <c r="B353" s="547"/>
      <c r="C353" s="548"/>
      <c r="D353" s="549"/>
      <c r="E353" s="550"/>
      <c r="F353" s="551"/>
      <c r="G353" s="551"/>
      <c r="H353" s="551"/>
      <c r="I353" s="552"/>
      <c r="J353" s="553"/>
      <c r="K353" s="39"/>
      <c r="L353" s="208"/>
      <c r="M353" s="39"/>
      <c r="N353" s="536" t="s">
        <v>2218</v>
      </c>
    </row>
    <row r="354" spans="1:14" ht="15.75">
      <c r="A354" s="16"/>
      <c r="B354" s="39"/>
      <c r="C354" s="554"/>
      <c r="D354" s="555"/>
      <c r="E354" s="540"/>
      <c r="F354" s="541"/>
      <c r="G354" s="40"/>
      <c r="H354" s="16"/>
      <c r="I354" s="552"/>
      <c r="J354" s="553" t="s">
        <v>5</v>
      </c>
      <c r="K354" s="10">
        <f>data!G428</f>
        <v>6013.9600000000009</v>
      </c>
      <c r="L354" s="208" t="s">
        <v>2218</v>
      </c>
      <c r="M354" s="9">
        <f>ROUND(I354*K354,0)</f>
        <v>0</v>
      </c>
      <c r="N354" s="536" t="s">
        <v>2218</v>
      </c>
    </row>
    <row r="355" spans="1:14" ht="79.5" customHeight="1">
      <c r="A355" s="16">
        <v>20</v>
      </c>
      <c r="B355" s="1858" t="s">
        <v>1201</v>
      </c>
      <c r="C355" s="1858"/>
      <c r="D355" s="1858"/>
      <c r="E355" s="1858"/>
      <c r="F355" s="1858"/>
      <c r="G355" s="1858"/>
      <c r="H355" s="1858"/>
      <c r="I355" s="537"/>
      <c r="J355" s="538"/>
      <c r="K355" s="16"/>
      <c r="L355" s="208"/>
      <c r="M355" s="38"/>
      <c r="N355" s="536" t="s">
        <v>2306</v>
      </c>
    </row>
    <row r="356" spans="1:14" s="544" customFormat="1" ht="16.5" customHeight="1">
      <c r="A356" s="16"/>
      <c r="B356" s="39" t="s">
        <v>2818</v>
      </c>
      <c r="C356" s="537"/>
      <c r="D356" s="539"/>
      <c r="E356" s="540"/>
      <c r="F356" s="541"/>
      <c r="G356" s="541"/>
      <c r="H356" s="541"/>
      <c r="I356" s="542"/>
      <c r="J356" s="553"/>
      <c r="K356" s="39"/>
      <c r="L356" s="208"/>
      <c r="M356" s="39"/>
      <c r="N356" s="536" t="s">
        <v>2306</v>
      </c>
    </row>
    <row r="357" spans="1:14" s="544" customFormat="1" ht="16.5" customHeight="1">
      <c r="A357" s="16"/>
      <c r="B357" s="39" t="s">
        <v>1242</v>
      </c>
      <c r="C357" s="537">
        <v>1</v>
      </c>
      <c r="D357" s="539" t="s">
        <v>273</v>
      </c>
      <c r="E357" s="540">
        <v>2</v>
      </c>
      <c r="F357" s="541">
        <v>0.75</v>
      </c>
      <c r="G357" s="541">
        <v>0.15</v>
      </c>
      <c r="H357" s="541">
        <v>1.05</v>
      </c>
      <c r="I357" s="545">
        <f>ROUND(IF(AND(F357:H357),C357*E357*F357*G357*H357,IF(AND(F357,G357),C357*E357*F357*G357,IF(AND(F357,H357),C357*E357*F357*H357,IF(AND(G357,H357),C357*E357*G357*H357,IF(F357,C357*E357*F357,IF(G357,C357*E357*G357,IF(H357,C357*E357*H357,C357*E357))))))),2)</f>
        <v>0.24</v>
      </c>
      <c r="J357" s="553" t="s">
        <v>5</v>
      </c>
      <c r="K357" s="39"/>
      <c r="L357" s="208"/>
      <c r="M357" s="39"/>
      <c r="N357" s="536" t="s">
        <v>2306</v>
      </c>
    </row>
    <row r="358" spans="1:14" s="544" customFormat="1" ht="16.5" customHeight="1">
      <c r="A358" s="16"/>
      <c r="B358" s="39"/>
      <c r="C358" s="537">
        <v>1</v>
      </c>
      <c r="D358" s="539" t="s">
        <v>273</v>
      </c>
      <c r="E358" s="540">
        <v>1</v>
      </c>
      <c r="F358" s="541">
        <v>1.2</v>
      </c>
      <c r="G358" s="541">
        <v>0.15</v>
      </c>
      <c r="H358" s="541">
        <v>0.75</v>
      </c>
      <c r="I358" s="545">
        <f>ROUND(IF(AND(F358:H358),C358*E358*F358*G358*H358,IF(AND(F358,G358),C358*E358*F358*G358,IF(AND(F358,H358),C358*E358*F358*H358,IF(AND(G358,H358),C358*E358*G358*H358,IF(F358,C358*E358*F358,IF(G358,C358*E358*G358,IF(H358,C358*E358*H358,C358*E358))))))),2)</f>
        <v>0.14000000000000001</v>
      </c>
      <c r="J358" s="553" t="s">
        <v>5</v>
      </c>
      <c r="K358" s="39"/>
      <c r="L358" s="208"/>
      <c r="M358" s="39"/>
      <c r="N358" s="536" t="s">
        <v>2306</v>
      </c>
    </row>
    <row r="359" spans="1:14" s="544" customFormat="1" ht="16.5" customHeight="1">
      <c r="A359" s="16"/>
      <c r="B359" s="39"/>
      <c r="C359" s="537">
        <v>1</v>
      </c>
      <c r="D359" s="539" t="s">
        <v>273</v>
      </c>
      <c r="E359" s="540">
        <v>1</v>
      </c>
      <c r="F359" s="541">
        <v>2.85</v>
      </c>
      <c r="G359" s="541">
        <v>0.15</v>
      </c>
      <c r="H359" s="541">
        <v>1.2</v>
      </c>
      <c r="I359" s="545">
        <f>ROUND(IF(AND(F359:H359),C359*E359*F359*G359*H359,IF(AND(F359,G359),C359*E359*F359*G359,IF(AND(F359,H359),C359*E359*F359*H359,IF(AND(G359,H359),C359*E359*G359*H359,IF(F359,C359*E359*F359,IF(G359,C359*E359*G359,IF(H359,C359*E359*H359,C359*E359))))))),2)</f>
        <v>0.51</v>
      </c>
      <c r="J359" s="553" t="s">
        <v>5</v>
      </c>
      <c r="K359" s="39"/>
      <c r="L359" s="208"/>
      <c r="M359" s="39"/>
      <c r="N359" s="536" t="s">
        <v>2306</v>
      </c>
    </row>
    <row r="360" spans="1:14" s="544" customFormat="1" ht="16.5" customHeight="1">
      <c r="A360" s="16"/>
      <c r="B360" s="547"/>
      <c r="C360" s="548"/>
      <c r="D360" s="549"/>
      <c r="E360" s="550"/>
      <c r="F360" s="551"/>
      <c r="G360" s="551"/>
      <c r="H360" s="551"/>
      <c r="I360" s="552"/>
      <c r="J360" s="553"/>
      <c r="K360" s="39"/>
      <c r="L360" s="208"/>
      <c r="M360" s="39"/>
      <c r="N360" s="536" t="s">
        <v>2306</v>
      </c>
    </row>
    <row r="361" spans="1:14" ht="15.75">
      <c r="A361" s="16"/>
      <c r="B361" s="39"/>
      <c r="C361" s="554"/>
      <c r="D361" s="555"/>
      <c r="E361" s="540"/>
      <c r="F361" s="541"/>
      <c r="G361" s="40"/>
      <c r="H361" s="16"/>
      <c r="I361" s="552"/>
      <c r="J361" s="553" t="s">
        <v>5</v>
      </c>
      <c r="K361" s="10">
        <f>data!G1345</f>
        <v>6227.11</v>
      </c>
      <c r="L361" s="208" t="s">
        <v>2306</v>
      </c>
      <c r="M361" s="9">
        <f>ROUND(I361*K361,0)</f>
        <v>0</v>
      </c>
      <c r="N361" s="536" t="s">
        <v>2306</v>
      </c>
    </row>
    <row r="362" spans="1:14" ht="79.5" customHeight="1">
      <c r="A362" s="16">
        <v>20</v>
      </c>
      <c r="B362" s="1858" t="s">
        <v>1201</v>
      </c>
      <c r="C362" s="1858"/>
      <c r="D362" s="1858"/>
      <c r="E362" s="1858"/>
      <c r="F362" s="1858"/>
      <c r="G362" s="1858"/>
      <c r="H362" s="1858"/>
      <c r="I362" s="537"/>
      <c r="J362" s="538"/>
      <c r="K362" s="16"/>
      <c r="L362" s="208"/>
      <c r="M362" s="38"/>
      <c r="N362" s="536" t="s">
        <v>2317</v>
      </c>
    </row>
    <row r="363" spans="1:14" s="544" customFormat="1" ht="16.5" customHeight="1">
      <c r="A363" s="16"/>
      <c r="B363" s="39" t="s">
        <v>2818</v>
      </c>
      <c r="C363" s="537"/>
      <c r="D363" s="539"/>
      <c r="E363" s="540"/>
      <c r="F363" s="541"/>
      <c r="G363" s="541"/>
      <c r="H363" s="541"/>
      <c r="I363" s="542"/>
      <c r="J363" s="553"/>
      <c r="K363" s="39"/>
      <c r="L363" s="208"/>
      <c r="M363" s="39"/>
      <c r="N363" s="536" t="s">
        <v>2317</v>
      </c>
    </row>
    <row r="364" spans="1:14" s="544" customFormat="1" ht="16.5" customHeight="1">
      <c r="A364" s="16"/>
      <c r="B364" s="39" t="s">
        <v>1242</v>
      </c>
      <c r="C364" s="537">
        <v>1</v>
      </c>
      <c r="D364" s="539" t="s">
        <v>273</v>
      </c>
      <c r="E364" s="540">
        <v>2</v>
      </c>
      <c r="F364" s="541">
        <v>0.75</v>
      </c>
      <c r="G364" s="541">
        <v>0.15</v>
      </c>
      <c r="H364" s="541">
        <v>1.05</v>
      </c>
      <c r="I364" s="545">
        <f>ROUND(IF(AND(F364:H364),C364*E364*F364*G364*H364,IF(AND(F364,G364),C364*E364*F364*G364,IF(AND(F364,H364),C364*E364*F364*H364,IF(AND(G364,H364),C364*E364*G364*H364,IF(F364,C364*E364*F364,IF(G364,C364*E364*G364,IF(H364,C364*E364*H364,C364*E364))))))),2)</f>
        <v>0.24</v>
      </c>
      <c r="J364" s="553" t="s">
        <v>5</v>
      </c>
      <c r="K364" s="39"/>
      <c r="L364" s="208"/>
      <c r="M364" s="39"/>
      <c r="N364" s="536" t="s">
        <v>2317</v>
      </c>
    </row>
    <row r="365" spans="1:14" s="544" customFormat="1" ht="16.5" customHeight="1">
      <c r="A365" s="16"/>
      <c r="B365" s="39"/>
      <c r="C365" s="537">
        <v>1</v>
      </c>
      <c r="D365" s="539" t="s">
        <v>273</v>
      </c>
      <c r="E365" s="540">
        <v>1</v>
      </c>
      <c r="F365" s="541">
        <v>1.2</v>
      </c>
      <c r="G365" s="541">
        <v>0.15</v>
      </c>
      <c r="H365" s="541">
        <v>0.75</v>
      </c>
      <c r="I365" s="545">
        <f>ROUND(IF(AND(F365:H365),C365*E365*F365*G365*H365,IF(AND(F365,G365),C365*E365*F365*G365,IF(AND(F365,H365),C365*E365*F365*H365,IF(AND(G365,H365),C365*E365*G365*H365,IF(F365,C365*E365*F365,IF(G365,C365*E365*G365,IF(H365,C365*E365*H365,C365*E365))))))),2)</f>
        <v>0.14000000000000001</v>
      </c>
      <c r="J365" s="553" t="s">
        <v>5</v>
      </c>
      <c r="K365" s="39"/>
      <c r="L365" s="208"/>
      <c r="M365" s="39"/>
      <c r="N365" s="536" t="s">
        <v>2317</v>
      </c>
    </row>
    <row r="366" spans="1:14" s="544" customFormat="1" ht="16.5" customHeight="1">
      <c r="A366" s="16"/>
      <c r="B366" s="39"/>
      <c r="C366" s="537">
        <v>1</v>
      </c>
      <c r="D366" s="539" t="s">
        <v>273</v>
      </c>
      <c r="E366" s="540">
        <v>1</v>
      </c>
      <c r="F366" s="541">
        <v>2.85</v>
      </c>
      <c r="G366" s="541">
        <v>0.15</v>
      </c>
      <c r="H366" s="541">
        <v>1.2</v>
      </c>
      <c r="I366" s="545">
        <f>ROUND(IF(AND(F366:H366),C366*E366*F366*G366*H366,IF(AND(F366,G366),C366*E366*F366*G366,IF(AND(F366,H366),C366*E366*F366*H366,IF(AND(G366,H366),C366*E366*G366*H366,IF(F366,C366*E366*F366,IF(G366,C366*E366*G366,IF(H366,C366*E366*H366,C366*E366))))))),2)</f>
        <v>0.51</v>
      </c>
      <c r="J366" s="553" t="s">
        <v>5</v>
      </c>
      <c r="K366" s="39"/>
      <c r="L366" s="208"/>
      <c r="M366" s="39"/>
      <c r="N366" s="536" t="s">
        <v>2317</v>
      </c>
    </row>
    <row r="367" spans="1:14" s="544" customFormat="1" ht="16.5" customHeight="1">
      <c r="A367" s="16"/>
      <c r="B367" s="547"/>
      <c r="C367" s="548"/>
      <c r="D367" s="549"/>
      <c r="E367" s="550"/>
      <c r="F367" s="551"/>
      <c r="G367" s="551"/>
      <c r="H367" s="551"/>
      <c r="I367" s="552"/>
      <c r="J367" s="553"/>
      <c r="K367" s="39"/>
      <c r="L367" s="208"/>
      <c r="M367" s="39"/>
      <c r="N367" s="536" t="s">
        <v>2317</v>
      </c>
    </row>
    <row r="368" spans="1:14" ht="15.75">
      <c r="A368" s="16"/>
      <c r="B368" s="39"/>
      <c r="C368" s="554"/>
      <c r="D368" s="555"/>
      <c r="E368" s="540"/>
      <c r="F368" s="541"/>
      <c r="G368" s="40"/>
      <c r="H368" s="16"/>
      <c r="I368" s="552"/>
      <c r="J368" s="553" t="s">
        <v>5</v>
      </c>
      <c r="K368" s="10">
        <f>data!G2262</f>
        <v>6774.69</v>
      </c>
      <c r="L368" s="208" t="s">
        <v>2317</v>
      </c>
      <c r="M368" s="9">
        <f>ROUND(I368*K368,0)</f>
        <v>0</v>
      </c>
      <c r="N368" s="536" t="s">
        <v>2317</v>
      </c>
    </row>
    <row r="369" spans="1:14" ht="79.5" customHeight="1">
      <c r="A369" s="16">
        <v>20</v>
      </c>
      <c r="B369" s="1858" t="s">
        <v>1201</v>
      </c>
      <c r="C369" s="1858"/>
      <c r="D369" s="1858"/>
      <c r="E369" s="1858"/>
      <c r="F369" s="1858"/>
      <c r="G369" s="1858"/>
      <c r="H369" s="1858"/>
      <c r="I369" s="537"/>
      <c r="J369" s="538"/>
      <c r="K369" s="16"/>
      <c r="L369" s="208"/>
      <c r="M369" s="38"/>
      <c r="N369" s="536" t="s">
        <v>2318</v>
      </c>
    </row>
    <row r="370" spans="1:14" s="544" customFormat="1" ht="16.5" customHeight="1">
      <c r="A370" s="16"/>
      <c r="B370" s="39" t="s">
        <v>2818</v>
      </c>
      <c r="C370" s="537"/>
      <c r="D370" s="539"/>
      <c r="E370" s="540"/>
      <c r="F370" s="541"/>
      <c r="G370" s="541"/>
      <c r="H370" s="541"/>
      <c r="I370" s="542"/>
      <c r="J370" s="553"/>
      <c r="K370" s="39"/>
      <c r="L370" s="208"/>
      <c r="M370" s="39"/>
      <c r="N370" s="536" t="s">
        <v>2318</v>
      </c>
    </row>
    <row r="371" spans="1:14" s="544" customFormat="1" ht="16.5" customHeight="1">
      <c r="A371" s="16"/>
      <c r="B371" s="39" t="s">
        <v>1242</v>
      </c>
      <c r="C371" s="537">
        <v>1</v>
      </c>
      <c r="D371" s="539" t="s">
        <v>273</v>
      </c>
      <c r="E371" s="540">
        <v>2</v>
      </c>
      <c r="F371" s="541">
        <v>0.75</v>
      </c>
      <c r="G371" s="541">
        <v>0.15</v>
      </c>
      <c r="H371" s="541">
        <v>1.05</v>
      </c>
      <c r="I371" s="545">
        <f>ROUND(IF(AND(F371:H371),C371*E371*F371*G371*H371,IF(AND(F371,G371),C371*E371*F371*G371,IF(AND(F371,H371),C371*E371*F371*H371,IF(AND(G371,H371),C371*E371*G371*H371,IF(F371,C371*E371*F371,IF(G371,C371*E371*G371,IF(H371,C371*E371*H371,C371*E371))))))),2)</f>
        <v>0.24</v>
      </c>
      <c r="J371" s="553" t="s">
        <v>5</v>
      </c>
      <c r="K371" s="39"/>
      <c r="L371" s="208"/>
      <c r="M371" s="39"/>
      <c r="N371" s="536" t="s">
        <v>2318</v>
      </c>
    </row>
    <row r="372" spans="1:14" s="544" customFormat="1" ht="16.5" customHeight="1">
      <c r="A372" s="16"/>
      <c r="B372" s="39"/>
      <c r="C372" s="537">
        <v>1</v>
      </c>
      <c r="D372" s="539" t="s">
        <v>273</v>
      </c>
      <c r="E372" s="540">
        <v>1</v>
      </c>
      <c r="F372" s="541">
        <v>1.2</v>
      </c>
      <c r="G372" s="541">
        <v>0.15</v>
      </c>
      <c r="H372" s="541">
        <v>0.75</v>
      </c>
      <c r="I372" s="545">
        <f>ROUND(IF(AND(F372:H372),C372*E372*F372*G372*H372,IF(AND(F372,G372),C372*E372*F372*G372,IF(AND(F372,H372),C372*E372*F372*H372,IF(AND(G372,H372),C372*E372*G372*H372,IF(F372,C372*E372*F372,IF(G372,C372*E372*G372,IF(H372,C372*E372*H372,C372*E372))))))),2)</f>
        <v>0.14000000000000001</v>
      </c>
      <c r="J372" s="553" t="s">
        <v>5</v>
      </c>
      <c r="K372" s="39"/>
      <c r="L372" s="208"/>
      <c r="M372" s="39"/>
      <c r="N372" s="536" t="s">
        <v>2318</v>
      </c>
    </row>
    <row r="373" spans="1:14" s="544" customFormat="1" ht="16.5" customHeight="1">
      <c r="A373" s="16"/>
      <c r="B373" s="39"/>
      <c r="C373" s="537">
        <v>1</v>
      </c>
      <c r="D373" s="539" t="s">
        <v>273</v>
      </c>
      <c r="E373" s="540">
        <v>1</v>
      </c>
      <c r="F373" s="541">
        <v>2.85</v>
      </c>
      <c r="G373" s="541">
        <v>0.15</v>
      </c>
      <c r="H373" s="541">
        <v>1.2</v>
      </c>
      <c r="I373" s="545">
        <f>ROUND(IF(AND(F373:H373),C373*E373*F373*G373*H373,IF(AND(F373,G373),C373*E373*F373*G373,IF(AND(F373,H373),C373*E373*F373*H373,IF(AND(G373,H373),C373*E373*G373*H373,IF(F373,C373*E373*F373,IF(G373,C373*E373*G373,IF(H373,C373*E373*H373,C373*E373))))))),2)</f>
        <v>0.51</v>
      </c>
      <c r="J373" s="553" t="s">
        <v>5</v>
      </c>
      <c r="K373" s="39"/>
      <c r="L373" s="208"/>
      <c r="M373" s="39"/>
      <c r="N373" s="536" t="s">
        <v>2318</v>
      </c>
    </row>
    <row r="374" spans="1:14" s="544" customFormat="1" ht="16.5" customHeight="1">
      <c r="A374" s="16"/>
      <c r="B374" s="547"/>
      <c r="C374" s="548"/>
      <c r="D374" s="549"/>
      <c r="E374" s="550"/>
      <c r="F374" s="551"/>
      <c r="G374" s="551"/>
      <c r="H374" s="551"/>
      <c r="I374" s="552"/>
      <c r="J374" s="553"/>
      <c r="K374" s="39"/>
      <c r="L374" s="208"/>
      <c r="M374" s="39"/>
      <c r="N374" s="536" t="s">
        <v>2318</v>
      </c>
    </row>
    <row r="375" spans="1:14" ht="15.75">
      <c r="A375" s="16"/>
      <c r="B375" s="39"/>
      <c r="C375" s="554"/>
      <c r="D375" s="555"/>
      <c r="E375" s="540"/>
      <c r="F375" s="541"/>
      <c r="G375" s="40"/>
      <c r="H375" s="16"/>
      <c r="I375" s="552"/>
      <c r="J375" s="553" t="s">
        <v>5</v>
      </c>
      <c r="K375" s="10">
        <f>data!G3179</f>
        <v>7187.4500000000007</v>
      </c>
      <c r="L375" s="208" t="s">
        <v>2318</v>
      </c>
      <c r="M375" s="9">
        <f>ROUND(I375*K375,0)</f>
        <v>0</v>
      </c>
      <c r="N375" s="536" t="s">
        <v>2318</v>
      </c>
    </row>
    <row r="376" spans="1:14" ht="54.75" customHeight="1">
      <c r="A376" s="16">
        <v>6</v>
      </c>
      <c r="B376" s="1858" t="s">
        <v>125</v>
      </c>
      <c r="C376" s="1858"/>
      <c r="D376" s="1858"/>
      <c r="E376" s="1858"/>
      <c r="F376" s="1858"/>
      <c r="G376" s="1858"/>
      <c r="H376" s="1858"/>
      <c r="I376" s="537"/>
      <c r="J376" s="538"/>
      <c r="K376" s="16"/>
      <c r="L376" s="208"/>
      <c r="M376" s="38"/>
      <c r="N376" s="536" t="s">
        <v>2218</v>
      </c>
    </row>
    <row r="377" spans="1:14" s="544" customFormat="1" ht="16.5" customHeight="1">
      <c r="A377" s="16"/>
      <c r="B377" s="39" t="s">
        <v>3109</v>
      </c>
      <c r="C377" s="561"/>
      <c r="D377" s="1145" t="s">
        <v>3335</v>
      </c>
      <c r="E377" s="563"/>
      <c r="F377" s="564"/>
      <c r="G377" s="564"/>
      <c r="H377" s="564"/>
      <c r="I377" s="565"/>
      <c r="J377" s="553"/>
      <c r="K377" s="39"/>
      <c r="L377" s="208"/>
      <c r="M377" s="39"/>
      <c r="N377" s="536" t="s">
        <v>2218</v>
      </c>
    </row>
    <row r="378" spans="1:14" s="544" customFormat="1" ht="16.5" customHeight="1">
      <c r="A378" s="16"/>
      <c r="B378" s="39" t="s">
        <v>3173</v>
      </c>
      <c r="C378" s="537">
        <v>1</v>
      </c>
      <c r="D378" s="539" t="s">
        <v>273</v>
      </c>
      <c r="E378" s="540">
        <v>1</v>
      </c>
      <c r="F378" s="541">
        <v>2.68</v>
      </c>
      <c r="G378" s="541">
        <v>3.16</v>
      </c>
      <c r="H378" s="541">
        <v>0</v>
      </c>
      <c r="I378" s="545">
        <f t="shared" ref="I378:I380" si="15">ROUND(IF(AND(F378:H378),C378*E378*F378*G378*H378,IF(AND(F378,G378),C378*E378*F378*G378,IF(AND(F378,H378),C378*E378*F378*H378,IF(AND(G378,H378),C378*E378*G378*H378,IF(F378,C378*E378*F378,IF(G378,C378*E378*G378,IF(H378,C378*E378*H378,C378*E378))))))),2)</f>
        <v>8.4700000000000006</v>
      </c>
      <c r="J378" s="553" t="s">
        <v>102</v>
      </c>
      <c r="K378" s="39"/>
      <c r="L378" s="208"/>
      <c r="M378" s="39"/>
      <c r="N378" s="536" t="s">
        <v>2218</v>
      </c>
    </row>
    <row r="379" spans="1:14" s="544" customFormat="1" ht="16.5" customHeight="1">
      <c r="A379" s="16"/>
      <c r="B379" s="39" t="s">
        <v>813</v>
      </c>
      <c r="C379" s="537">
        <v>1</v>
      </c>
      <c r="D379" s="539" t="s">
        <v>273</v>
      </c>
      <c r="E379" s="540">
        <v>1</v>
      </c>
      <c r="F379" s="541">
        <v>3.7</v>
      </c>
      <c r="G379" s="541">
        <v>0.3</v>
      </c>
      <c r="H379" s="541">
        <v>0</v>
      </c>
      <c r="I379" s="545">
        <f t="shared" si="15"/>
        <v>1.1100000000000001</v>
      </c>
      <c r="J379" s="553" t="s">
        <v>102</v>
      </c>
      <c r="K379" s="39"/>
      <c r="L379" s="208"/>
      <c r="M379" s="39"/>
      <c r="N379" s="536" t="s">
        <v>2218</v>
      </c>
    </row>
    <row r="380" spans="1:14" s="544" customFormat="1" ht="16.5" customHeight="1">
      <c r="A380" s="16"/>
      <c r="B380" s="39" t="s">
        <v>3174</v>
      </c>
      <c r="C380" s="537">
        <v>1</v>
      </c>
      <c r="D380" s="539" t="s">
        <v>273</v>
      </c>
      <c r="E380" s="540">
        <v>2</v>
      </c>
      <c r="F380" s="541">
        <v>5</v>
      </c>
      <c r="G380" s="541">
        <v>0.3</v>
      </c>
      <c r="H380" s="541">
        <v>0</v>
      </c>
      <c r="I380" s="545">
        <f t="shared" si="15"/>
        <v>3</v>
      </c>
      <c r="J380" s="553" t="s">
        <v>102</v>
      </c>
      <c r="K380" s="39"/>
      <c r="L380" s="208"/>
      <c r="M380" s="39"/>
      <c r="N380" s="536" t="s">
        <v>2218</v>
      </c>
    </row>
    <row r="381" spans="1:14" s="544" customFormat="1" ht="16.5" customHeight="1">
      <c r="A381" s="16"/>
      <c r="B381" s="547"/>
      <c r="C381" s="548"/>
      <c r="D381" s="549"/>
      <c r="E381" s="550"/>
      <c r="F381" s="551"/>
      <c r="G381" s="551"/>
      <c r="H381" s="551"/>
      <c r="I381" s="552"/>
      <c r="J381" s="553"/>
      <c r="K381" s="39"/>
      <c r="L381" s="208"/>
      <c r="M381" s="39"/>
      <c r="N381" s="536" t="s">
        <v>2218</v>
      </c>
    </row>
    <row r="382" spans="1:14" ht="15.75">
      <c r="A382" s="16"/>
      <c r="B382" s="39"/>
      <c r="C382" s="554"/>
      <c r="D382" s="555"/>
      <c r="E382" s="540"/>
      <c r="F382" s="541"/>
      <c r="G382" s="40"/>
      <c r="H382" s="16"/>
      <c r="I382" s="552"/>
      <c r="J382" s="553" t="s">
        <v>102</v>
      </c>
      <c r="K382" s="10">
        <f>data!G444</f>
        <v>321.79000000000002</v>
      </c>
      <c r="L382" s="208" t="s">
        <v>2218</v>
      </c>
      <c r="M382" s="9">
        <f>ROUND(I382*K382,0)</f>
        <v>0</v>
      </c>
      <c r="N382" s="536" t="s">
        <v>2218</v>
      </c>
    </row>
    <row r="383" spans="1:14" ht="54.75" customHeight="1">
      <c r="A383" s="16">
        <v>7</v>
      </c>
      <c r="B383" s="1858" t="s">
        <v>125</v>
      </c>
      <c r="C383" s="1858"/>
      <c r="D383" s="1858"/>
      <c r="E383" s="1858"/>
      <c r="F383" s="1858"/>
      <c r="G383" s="1858"/>
      <c r="H383" s="1858"/>
      <c r="I383" s="537"/>
      <c r="J383" s="538"/>
      <c r="K383" s="16"/>
      <c r="L383" s="208"/>
      <c r="M383" s="38"/>
      <c r="N383" s="536" t="s">
        <v>2306</v>
      </c>
    </row>
    <row r="384" spans="1:14" s="544" customFormat="1" ht="16.5" customHeight="1">
      <c r="A384" s="16"/>
      <c r="B384" s="39" t="s">
        <v>2892</v>
      </c>
      <c r="C384" s="537"/>
      <c r="D384" s="539"/>
      <c r="E384" s="540"/>
      <c r="F384" s="541"/>
      <c r="G384" s="541"/>
      <c r="H384" s="541"/>
      <c r="I384" s="542"/>
      <c r="J384" s="553"/>
      <c r="K384" s="39"/>
      <c r="L384" s="208"/>
      <c r="M384" s="39"/>
      <c r="N384" s="536" t="s">
        <v>2306</v>
      </c>
    </row>
    <row r="385" spans="1:14" s="544" customFormat="1" ht="16.5" customHeight="1">
      <c r="A385" s="16"/>
      <c r="B385" s="39" t="s">
        <v>2745</v>
      </c>
      <c r="C385" s="537">
        <v>1</v>
      </c>
      <c r="D385" s="539" t="s">
        <v>273</v>
      </c>
      <c r="E385" s="540">
        <v>1</v>
      </c>
      <c r="F385" s="541">
        <v>4.16</v>
      </c>
      <c r="G385" s="541">
        <v>2.72</v>
      </c>
      <c r="H385" s="541">
        <v>0</v>
      </c>
      <c r="I385" s="545">
        <f t="shared" ref="I385" si="16">ROUND(IF(AND(F385:H385),C385*E385*F385*G385*H385,IF(AND(F385,G385),C385*E385*F385*G385,IF(AND(F385,H385),C385*E385*F385*H385,IF(AND(G385,H385),C385*E385*G385*H385,IF(F385,C385*E385*F385,IF(G385,C385*E385*G385,IF(H385,C385*E385*H385,C385*E385))))))),2)</f>
        <v>11.32</v>
      </c>
      <c r="J385" s="553" t="s">
        <v>102</v>
      </c>
      <c r="K385" s="39"/>
      <c r="L385" s="208"/>
      <c r="M385" s="39"/>
      <c r="N385" s="536" t="s">
        <v>2306</v>
      </c>
    </row>
    <row r="386" spans="1:14" s="544" customFormat="1" ht="16.5" customHeight="1">
      <c r="A386" s="16"/>
      <c r="B386" s="39" t="s">
        <v>2988</v>
      </c>
      <c r="C386" s="537">
        <v>1</v>
      </c>
      <c r="D386" s="539" t="s">
        <v>273</v>
      </c>
      <c r="E386" s="540">
        <v>1</v>
      </c>
      <c r="F386" s="541">
        <v>3.78</v>
      </c>
      <c r="G386" s="541">
        <v>0.6</v>
      </c>
      <c r="H386" s="541">
        <v>0</v>
      </c>
      <c r="I386" s="545">
        <f t="shared" ref="I386:I388" si="17">ROUND(IF(AND(F386:H386),C386*E386*F386*G386*H386,IF(AND(F386,G386),C386*E386*F386*G386,IF(AND(F386,H386),C386*E386*F386*H386,IF(AND(G386,H386),C386*E386*G386*H386,IF(F386,C386*E386*F386,IF(G386,C386*E386*G386,IF(H386,C386*E386*H386,C386*E386))))))),2)</f>
        <v>2.27</v>
      </c>
      <c r="J386" s="553" t="s">
        <v>102</v>
      </c>
      <c r="K386" s="39"/>
      <c r="L386" s="208"/>
      <c r="M386" s="39"/>
      <c r="N386" s="536" t="s">
        <v>2306</v>
      </c>
    </row>
    <row r="387" spans="1:14" s="544" customFormat="1" ht="16.5" customHeight="1">
      <c r="A387" s="16"/>
      <c r="B387" s="39" t="s">
        <v>2989</v>
      </c>
      <c r="C387" s="537">
        <v>1</v>
      </c>
      <c r="D387" s="539" t="s">
        <v>273</v>
      </c>
      <c r="E387" s="540">
        <v>2</v>
      </c>
      <c r="F387" s="541">
        <v>4.62</v>
      </c>
      <c r="G387" s="541">
        <v>0.3</v>
      </c>
      <c r="H387" s="541">
        <v>0</v>
      </c>
      <c r="I387" s="545">
        <f t="shared" si="17"/>
        <v>2.77</v>
      </c>
      <c r="J387" s="553" t="s">
        <v>102</v>
      </c>
      <c r="K387" s="39"/>
      <c r="L387" s="208"/>
      <c r="M387" s="39"/>
      <c r="N387" s="536" t="s">
        <v>2306</v>
      </c>
    </row>
    <row r="388" spans="1:14" s="544" customFormat="1" ht="16.5" customHeight="1">
      <c r="A388" s="16"/>
      <c r="B388" s="39" t="s">
        <v>2990</v>
      </c>
      <c r="C388" s="537">
        <v>1</v>
      </c>
      <c r="D388" s="539" t="s">
        <v>273</v>
      </c>
      <c r="E388" s="540">
        <v>1</v>
      </c>
      <c r="F388" s="541">
        <v>18</v>
      </c>
      <c r="G388" s="541">
        <v>0</v>
      </c>
      <c r="H388" s="541">
        <v>0.125</v>
      </c>
      <c r="I388" s="545">
        <f t="shared" si="17"/>
        <v>2.25</v>
      </c>
      <c r="J388" s="553" t="s">
        <v>102</v>
      </c>
      <c r="K388" s="39"/>
      <c r="L388" s="208"/>
      <c r="M388" s="39"/>
      <c r="N388" s="536" t="s">
        <v>2306</v>
      </c>
    </row>
    <row r="389" spans="1:14" s="544" customFormat="1" ht="16.5" customHeight="1">
      <c r="A389" s="16"/>
      <c r="B389" s="547"/>
      <c r="C389" s="548"/>
      <c r="D389" s="549"/>
      <c r="E389" s="550"/>
      <c r="F389" s="551"/>
      <c r="G389" s="551"/>
      <c r="H389" s="551"/>
      <c r="I389" s="552"/>
      <c r="J389" s="553"/>
      <c r="K389" s="39"/>
      <c r="L389" s="208"/>
      <c r="M389" s="39"/>
      <c r="N389" s="536" t="s">
        <v>2306</v>
      </c>
    </row>
    <row r="390" spans="1:14" ht="15.75">
      <c r="A390" s="16"/>
      <c r="B390" s="39"/>
      <c r="C390" s="554"/>
      <c r="D390" s="555"/>
      <c r="E390" s="540"/>
      <c r="F390" s="541"/>
      <c r="G390" s="40"/>
      <c r="H390" s="16"/>
      <c r="I390" s="552"/>
      <c r="J390" s="553" t="s">
        <v>102</v>
      </c>
      <c r="K390" s="10">
        <f>data!G1361</f>
        <v>344.38</v>
      </c>
      <c r="L390" s="208" t="s">
        <v>2306</v>
      </c>
      <c r="M390" s="9">
        <f>ROUND(I390*K390,0)</f>
        <v>0</v>
      </c>
      <c r="N390" s="536" t="s">
        <v>2306</v>
      </c>
    </row>
    <row r="391" spans="1:14" ht="54.75" customHeight="1">
      <c r="A391" s="16">
        <v>7</v>
      </c>
      <c r="B391" s="1858" t="s">
        <v>125</v>
      </c>
      <c r="C391" s="1858"/>
      <c r="D391" s="1858"/>
      <c r="E391" s="1858"/>
      <c r="F391" s="1858"/>
      <c r="G391" s="1858"/>
      <c r="H391" s="1858"/>
      <c r="I391" s="537"/>
      <c r="J391" s="538"/>
      <c r="K391" s="16"/>
      <c r="L391" s="208"/>
      <c r="M391" s="38"/>
      <c r="N391" s="536" t="s">
        <v>2317</v>
      </c>
    </row>
    <row r="392" spans="1:14" s="544" customFormat="1" ht="16.5" customHeight="1">
      <c r="A392" s="16"/>
      <c r="B392" s="39" t="s">
        <v>2866</v>
      </c>
      <c r="C392" s="537"/>
      <c r="D392" s="539"/>
      <c r="E392" s="540"/>
      <c r="F392" s="541"/>
      <c r="G392" s="541"/>
      <c r="H392" s="541"/>
      <c r="I392" s="542"/>
      <c r="J392" s="553"/>
      <c r="K392" s="39"/>
      <c r="L392" s="208"/>
      <c r="M392" s="39"/>
      <c r="N392" s="536" t="s">
        <v>2317</v>
      </c>
    </row>
    <row r="393" spans="1:14" s="544" customFormat="1" ht="16.5" customHeight="1">
      <c r="A393" s="16"/>
      <c r="B393" s="39" t="s">
        <v>1531</v>
      </c>
      <c r="C393" s="537">
        <v>1</v>
      </c>
      <c r="D393" s="539" t="s">
        <v>273</v>
      </c>
      <c r="E393" s="540">
        <v>1</v>
      </c>
      <c r="F393" s="541">
        <v>2.93</v>
      </c>
      <c r="G393" s="541">
        <v>0.87</v>
      </c>
      <c r="H393" s="541">
        <v>0</v>
      </c>
      <c r="I393" s="579">
        <f>ROUND(IF(AND(F393:H393),C393*E393*F393*G393*H393,IF(AND(F393,G393),C393*E393*F393*G393,IF(AND(F393,H393),C393*E393*F393*H393,IF(AND(G393,H393),C393*E393*G393*H393,IF(F393,C393*E393*F393,IF(G393,C393*E393*G393,IF(H393,C393*E393*H393,C393*E393))))))),2)</f>
        <v>2.5499999999999998</v>
      </c>
      <c r="J393" s="553" t="s">
        <v>102</v>
      </c>
      <c r="K393" s="39"/>
      <c r="L393" s="208"/>
      <c r="M393" s="39"/>
      <c r="N393" s="536" t="s">
        <v>2317</v>
      </c>
    </row>
    <row r="394" spans="1:14" s="544" customFormat="1" ht="16.5" customHeight="1">
      <c r="A394" s="16"/>
      <c r="B394" s="39" t="s">
        <v>1244</v>
      </c>
      <c r="C394" s="537">
        <v>1</v>
      </c>
      <c r="D394" s="539" t="s">
        <v>273</v>
      </c>
      <c r="E394" s="540">
        <v>2</v>
      </c>
      <c r="F394" s="541">
        <v>2.7</v>
      </c>
      <c r="G394" s="541">
        <v>0.3</v>
      </c>
      <c r="H394" s="541">
        <v>0</v>
      </c>
      <c r="I394" s="579">
        <f>ROUND(IF(AND(F394:H394),C394*E394*F394*G394*H394,IF(AND(F394,G394),C394*E394*F394*G394,IF(AND(F394,H394),C394*E394*F394*H394,IF(AND(G394,H394),C394*E394*G394*H394,IF(F394,C394*E394*F394,IF(G394,C394*E394*G394,IF(H394,C394*E394*H394,C394*E394))))))),2)</f>
        <v>1.62</v>
      </c>
      <c r="J394" s="553" t="s">
        <v>102</v>
      </c>
      <c r="K394" s="39"/>
      <c r="L394" s="208"/>
      <c r="M394" s="39"/>
      <c r="N394" s="536" t="s">
        <v>2317</v>
      </c>
    </row>
    <row r="395" spans="1:14" s="544" customFormat="1" ht="16.5" customHeight="1">
      <c r="A395" s="16"/>
      <c r="B395" s="39" t="s">
        <v>2166</v>
      </c>
      <c r="C395" s="537">
        <v>1</v>
      </c>
      <c r="D395" s="539" t="s">
        <v>273</v>
      </c>
      <c r="E395" s="540">
        <v>2</v>
      </c>
      <c r="F395" s="541">
        <v>0.88</v>
      </c>
      <c r="G395" s="541">
        <v>4.5999999999999996</v>
      </c>
      <c r="H395" s="541">
        <v>0</v>
      </c>
      <c r="I395" s="579">
        <f>ROUND(IF(AND(F395:H395),C395*E395*F395*G395*H395,IF(AND(F395,G395),C395*E395*F395*G395,IF(AND(F395,H395),C395*E395*F395*H395,IF(AND(G395,H395),C395*E395*G395*H395,IF(F395,C395*E395*F395,IF(G395,C395*E395*G395,IF(H395,C395*E395*H395,C395*E395))))))),2)</f>
        <v>8.1</v>
      </c>
      <c r="J395" s="553" t="s">
        <v>102</v>
      </c>
      <c r="K395" s="39"/>
      <c r="L395" s="208"/>
      <c r="M395" s="39"/>
      <c r="N395" s="536" t="s">
        <v>2317</v>
      </c>
    </row>
    <row r="396" spans="1:14" s="544" customFormat="1" ht="16.5" customHeight="1">
      <c r="A396" s="16"/>
      <c r="B396" s="547"/>
      <c r="C396" s="548"/>
      <c r="D396" s="549"/>
      <c r="E396" s="550"/>
      <c r="F396" s="551"/>
      <c r="G396" s="551"/>
      <c r="H396" s="551"/>
      <c r="I396" s="552"/>
      <c r="J396" s="553"/>
      <c r="K396" s="39"/>
      <c r="L396" s="208"/>
      <c r="M396" s="39"/>
      <c r="N396" s="536" t="s">
        <v>2317</v>
      </c>
    </row>
    <row r="397" spans="1:14" ht="15.75">
      <c r="A397" s="16"/>
      <c r="B397" s="39"/>
      <c r="C397" s="554"/>
      <c r="D397" s="555"/>
      <c r="E397" s="540"/>
      <c r="F397" s="541"/>
      <c r="G397" s="40"/>
      <c r="H397" s="16"/>
      <c r="I397" s="552"/>
      <c r="J397" s="553" t="s">
        <v>102</v>
      </c>
      <c r="K397" s="10">
        <f>data!G2278</f>
        <v>365.08</v>
      </c>
      <c r="L397" s="208" t="s">
        <v>2317</v>
      </c>
      <c r="M397" s="9">
        <f>ROUND(I397*K397,0)</f>
        <v>0</v>
      </c>
      <c r="N397" s="536" t="s">
        <v>2317</v>
      </c>
    </row>
    <row r="398" spans="1:14" ht="54.75" customHeight="1">
      <c r="A398" s="16">
        <v>7</v>
      </c>
      <c r="B398" s="1858" t="s">
        <v>125</v>
      </c>
      <c r="C398" s="1858"/>
      <c r="D398" s="1858"/>
      <c r="E398" s="1858"/>
      <c r="F398" s="1858"/>
      <c r="G398" s="1858"/>
      <c r="H398" s="1858"/>
      <c r="I398" s="537"/>
      <c r="J398" s="538"/>
      <c r="K398" s="16"/>
      <c r="L398" s="208"/>
      <c r="M398" s="38"/>
      <c r="N398" s="536" t="s">
        <v>2318</v>
      </c>
    </row>
    <row r="399" spans="1:14" s="544" customFormat="1" ht="16.5" customHeight="1">
      <c r="A399" s="16"/>
      <c r="B399" s="39" t="s">
        <v>3109</v>
      </c>
      <c r="C399" s="561"/>
      <c r="D399" s="562"/>
      <c r="E399" s="563"/>
      <c r="F399" s="564"/>
      <c r="G399" s="564"/>
      <c r="H399" s="564"/>
      <c r="I399" s="565"/>
      <c r="J399" s="553"/>
      <c r="K399" s="39"/>
      <c r="L399" s="208"/>
      <c r="M399" s="39"/>
      <c r="N399" s="536" t="s">
        <v>2318</v>
      </c>
    </row>
    <row r="400" spans="1:14" s="544" customFormat="1" ht="16.5" customHeight="1">
      <c r="A400" s="16"/>
      <c r="B400" s="39"/>
      <c r="C400" s="537">
        <v>1</v>
      </c>
      <c r="D400" s="539" t="s">
        <v>273</v>
      </c>
      <c r="E400" s="540">
        <v>1</v>
      </c>
      <c r="F400" s="541">
        <v>2.68</v>
      </c>
      <c r="G400" s="541">
        <v>3.16</v>
      </c>
      <c r="H400" s="541">
        <v>0</v>
      </c>
      <c r="I400" s="545">
        <f t="shared" ref="I400:I402" si="18">ROUND(IF(AND(F400:H400),C400*E400*F400*G400*H400,IF(AND(F400,G400),C400*E400*F400*G400,IF(AND(F400,H400),C400*E400*F400*H400,IF(AND(G400,H400),C400*E400*G400*H400,IF(F400,C400*E400*F400,IF(G400,C400*E400*G400,IF(H400,C400*E400*H400,C400*E400))))))),2)</f>
        <v>8.4700000000000006</v>
      </c>
      <c r="J400" s="553" t="s">
        <v>102</v>
      </c>
      <c r="K400" s="39"/>
      <c r="L400" s="208"/>
      <c r="M400" s="39"/>
      <c r="N400" s="536" t="s">
        <v>2318</v>
      </c>
    </row>
    <row r="401" spans="1:14" s="544" customFormat="1" ht="16.5" customHeight="1">
      <c r="A401" s="16"/>
      <c r="B401" s="39"/>
      <c r="C401" s="537">
        <v>1</v>
      </c>
      <c r="D401" s="539" t="s">
        <v>273</v>
      </c>
      <c r="E401" s="540">
        <v>1</v>
      </c>
      <c r="F401" s="541">
        <v>3.7</v>
      </c>
      <c r="G401" s="541">
        <v>0.3</v>
      </c>
      <c r="H401" s="541">
        <v>0</v>
      </c>
      <c r="I401" s="545">
        <f t="shared" si="18"/>
        <v>1.1100000000000001</v>
      </c>
      <c r="J401" s="553" t="s">
        <v>102</v>
      </c>
      <c r="K401" s="39"/>
      <c r="L401" s="208"/>
      <c r="M401" s="39"/>
      <c r="N401" s="536" t="s">
        <v>2318</v>
      </c>
    </row>
    <row r="402" spans="1:14" s="544" customFormat="1" ht="16.5" customHeight="1">
      <c r="A402" s="16"/>
      <c r="B402" s="39"/>
      <c r="C402" s="537">
        <v>1</v>
      </c>
      <c r="D402" s="539" t="s">
        <v>273</v>
      </c>
      <c r="E402" s="540">
        <v>2</v>
      </c>
      <c r="F402" s="541">
        <v>5</v>
      </c>
      <c r="G402" s="541">
        <v>0.3</v>
      </c>
      <c r="H402" s="541">
        <v>0</v>
      </c>
      <c r="I402" s="545">
        <f t="shared" si="18"/>
        <v>3</v>
      </c>
      <c r="J402" s="553" t="s">
        <v>102</v>
      </c>
      <c r="K402" s="39"/>
      <c r="L402" s="208"/>
      <c r="M402" s="39"/>
      <c r="N402" s="536" t="s">
        <v>2318</v>
      </c>
    </row>
    <row r="403" spans="1:14" s="544" customFormat="1" ht="16.5" customHeight="1">
      <c r="A403" s="16"/>
      <c r="B403" s="547"/>
      <c r="C403" s="548"/>
      <c r="D403" s="549"/>
      <c r="E403" s="550"/>
      <c r="F403" s="551"/>
      <c r="G403" s="551"/>
      <c r="H403" s="551"/>
      <c r="I403" s="552"/>
      <c r="J403" s="553"/>
      <c r="K403" s="39"/>
      <c r="L403" s="208"/>
      <c r="M403" s="39"/>
      <c r="N403" s="536" t="s">
        <v>2318</v>
      </c>
    </row>
    <row r="404" spans="1:14" ht="15.75">
      <c r="A404" s="16"/>
      <c r="B404" s="39"/>
      <c r="C404" s="554"/>
      <c r="D404" s="555"/>
      <c r="E404" s="540"/>
      <c r="F404" s="541"/>
      <c r="G404" s="40"/>
      <c r="H404" s="16"/>
      <c r="I404" s="552"/>
      <c r="J404" s="553" t="s">
        <v>102</v>
      </c>
      <c r="K404" s="10">
        <f>data!G3195</f>
        <v>385.55</v>
      </c>
      <c r="L404" s="208" t="s">
        <v>2318</v>
      </c>
      <c r="M404" s="9">
        <f>ROUND(I404*K404,0)</f>
        <v>0</v>
      </c>
      <c r="N404" s="536" t="s">
        <v>2318</v>
      </c>
    </row>
    <row r="405" spans="1:14" ht="42" customHeight="1">
      <c r="A405" s="16">
        <v>8</v>
      </c>
      <c r="B405" s="1858" t="s">
        <v>126</v>
      </c>
      <c r="C405" s="1858"/>
      <c r="D405" s="1858"/>
      <c r="E405" s="1858"/>
      <c r="F405" s="1858"/>
      <c r="G405" s="1858"/>
      <c r="H405" s="1858"/>
      <c r="I405" s="537"/>
      <c r="J405" s="538"/>
      <c r="K405" s="16"/>
      <c r="L405" s="208"/>
      <c r="M405" s="38"/>
      <c r="N405" s="536" t="s">
        <v>2218</v>
      </c>
    </row>
    <row r="406" spans="1:14" s="544" customFormat="1" ht="16.5" customHeight="1">
      <c r="A406" s="16"/>
      <c r="B406" s="39" t="s">
        <v>2853</v>
      </c>
      <c r="C406" s="566"/>
      <c r="D406" s="567"/>
      <c r="E406" s="568"/>
      <c r="F406" s="569"/>
      <c r="G406" s="569"/>
      <c r="H406" s="570"/>
      <c r="I406" s="571"/>
      <c r="J406" s="553"/>
      <c r="K406" s="39"/>
      <c r="L406" s="208"/>
      <c r="M406" s="39"/>
      <c r="N406" s="536" t="s">
        <v>2218</v>
      </c>
    </row>
    <row r="407" spans="1:14" s="544" customFormat="1" ht="16.5" customHeight="1">
      <c r="A407" s="16"/>
      <c r="B407" s="39" t="s">
        <v>1545</v>
      </c>
      <c r="C407" s="537">
        <v>1</v>
      </c>
      <c r="D407" s="539" t="s">
        <v>273</v>
      </c>
      <c r="E407" s="540">
        <v>2</v>
      </c>
      <c r="F407" s="541">
        <v>4.37</v>
      </c>
      <c r="G407" s="541">
        <v>0</v>
      </c>
      <c r="H407" s="541">
        <v>2.65</v>
      </c>
      <c r="I407" s="579">
        <f t="shared" ref="I407" si="19">ROUND(IF(AND(F407:H407),C407*E407*F407*G407*H407,IF(AND(F407,G407),C407*E407*F407*G407,IF(AND(F407,H407),C407*E407*F407*H407,IF(AND(G407,H407),C407*E407*G407*H407,IF(F407,C407*E407*F407,IF(G407,C407*E407*G407,IF(H407,C407*E407*H407,C407*E407))))))),2)</f>
        <v>23.16</v>
      </c>
      <c r="J407" s="553" t="s">
        <v>102</v>
      </c>
      <c r="K407" s="39"/>
      <c r="L407" s="208"/>
      <c r="M407" s="39"/>
      <c r="N407" s="536" t="s">
        <v>2218</v>
      </c>
    </row>
    <row r="408" spans="1:14" s="544" customFormat="1" ht="16.5" customHeight="1">
      <c r="A408" s="16"/>
      <c r="B408" s="39" t="s">
        <v>579</v>
      </c>
      <c r="C408" s="537">
        <v>1</v>
      </c>
      <c r="D408" s="539" t="s">
        <v>273</v>
      </c>
      <c r="E408" s="540">
        <v>1</v>
      </c>
      <c r="F408" s="541">
        <v>0.9</v>
      </c>
      <c r="G408" s="541">
        <v>0</v>
      </c>
      <c r="H408" s="541">
        <v>2.08</v>
      </c>
      <c r="I408" s="579">
        <f>-ROUND(IF(AND(F408:H408),C408*E408*F408*G408*H408,IF(AND(F408,G408),C408*E408*F408*G408,IF(AND(F408,H408),C408*E408*F408*H408,IF(AND(G408,H408),C408*E408*G408*H408,IF(F408,C408*E408*F408,IF(G408,C408*E408*G408,IF(H408,C408*E408*H408,C408*E408))))))),2)</f>
        <v>-1.87</v>
      </c>
      <c r="J408" s="553" t="s">
        <v>102</v>
      </c>
      <c r="K408" s="39"/>
      <c r="L408" s="208"/>
      <c r="M408" s="39"/>
      <c r="N408" s="536" t="s">
        <v>2218</v>
      </c>
    </row>
    <row r="409" spans="1:14" s="544" customFormat="1" ht="16.5" customHeight="1">
      <c r="A409" s="16"/>
      <c r="B409" s="39" t="s">
        <v>1492</v>
      </c>
      <c r="C409" s="537">
        <v>1</v>
      </c>
      <c r="D409" s="539" t="s">
        <v>273</v>
      </c>
      <c r="E409" s="540">
        <v>1</v>
      </c>
      <c r="F409" s="541">
        <v>38.15</v>
      </c>
      <c r="G409" s="541">
        <v>0</v>
      </c>
      <c r="H409" s="541">
        <v>0.7</v>
      </c>
      <c r="I409" s="579">
        <f t="shared" ref="I409:I410" si="20">ROUND(IF(AND(F409:H409),C409*E409*F409*G409*H409,IF(AND(F409,G409),C409*E409*F409*G409,IF(AND(F409,H409),C409*E409*F409*H409,IF(AND(G409,H409),C409*E409*G409*H409,IF(F409,C409*E409*F409,IF(G409,C409*E409*G409,IF(H409,C409*E409*H409,C409*E409))))))),2)</f>
        <v>26.71</v>
      </c>
      <c r="J409" s="553" t="s">
        <v>102</v>
      </c>
      <c r="K409" s="39"/>
      <c r="L409" s="208"/>
      <c r="M409" s="39"/>
      <c r="N409" s="536" t="s">
        <v>2218</v>
      </c>
    </row>
    <row r="410" spans="1:14" s="544" customFormat="1" ht="16.5" customHeight="1">
      <c r="A410" s="16"/>
      <c r="B410" s="39" t="s">
        <v>2165</v>
      </c>
      <c r="C410" s="537">
        <v>8</v>
      </c>
      <c r="D410" s="539" t="s">
        <v>273</v>
      </c>
      <c r="E410" s="540">
        <v>2</v>
      </c>
      <c r="F410" s="541">
        <v>0.115</v>
      </c>
      <c r="G410" s="541">
        <v>0</v>
      </c>
      <c r="H410" s="541">
        <v>0.7</v>
      </c>
      <c r="I410" s="579">
        <f t="shared" si="20"/>
        <v>1.29</v>
      </c>
      <c r="J410" s="553" t="s">
        <v>102</v>
      </c>
      <c r="K410" s="39"/>
      <c r="L410" s="208"/>
      <c r="M410" s="39"/>
      <c r="N410" s="536" t="s">
        <v>2218</v>
      </c>
    </row>
    <row r="411" spans="1:14" s="544" customFormat="1" ht="16.5" customHeight="1">
      <c r="A411" s="16"/>
      <c r="B411" s="547"/>
      <c r="C411" s="548"/>
      <c r="D411" s="549"/>
      <c r="E411" s="550"/>
      <c r="F411" s="551"/>
      <c r="G411" s="551"/>
      <c r="H411" s="551"/>
      <c r="I411" s="552"/>
      <c r="J411" s="553"/>
      <c r="K411" s="39"/>
      <c r="L411" s="208"/>
      <c r="M411" s="39"/>
      <c r="N411" s="536" t="s">
        <v>2218</v>
      </c>
    </row>
    <row r="412" spans="1:14" ht="15.75">
      <c r="A412" s="16"/>
      <c r="B412" s="39"/>
      <c r="C412" s="554"/>
      <c r="D412" s="555"/>
      <c r="E412" s="540"/>
      <c r="F412" s="541"/>
      <c r="G412" s="40"/>
      <c r="H412" s="16"/>
      <c r="I412" s="552"/>
      <c r="J412" s="553" t="s">
        <v>102</v>
      </c>
      <c r="K412" s="10">
        <f>data!G460</f>
        <v>289.52</v>
      </c>
      <c r="L412" s="208" t="s">
        <v>2218</v>
      </c>
      <c r="M412" s="9">
        <f>ROUND(I412*K412,0)</f>
        <v>0</v>
      </c>
      <c r="N412" s="536" t="s">
        <v>2218</v>
      </c>
    </row>
    <row r="413" spans="1:14" ht="42" customHeight="1">
      <c r="A413" s="16">
        <v>8</v>
      </c>
      <c r="B413" s="1858" t="s">
        <v>126</v>
      </c>
      <c r="C413" s="1858"/>
      <c r="D413" s="1858"/>
      <c r="E413" s="1858"/>
      <c r="F413" s="1858"/>
      <c r="G413" s="1858"/>
      <c r="H413" s="1858"/>
      <c r="I413" s="537"/>
      <c r="J413" s="538"/>
      <c r="K413" s="16"/>
      <c r="L413" s="208"/>
      <c r="M413" s="38"/>
      <c r="N413" s="536" t="s">
        <v>2306</v>
      </c>
    </row>
    <row r="414" spans="1:14" s="544" customFormat="1" ht="16.5" customHeight="1">
      <c r="A414" s="16"/>
      <c r="B414" s="39" t="s">
        <v>2853</v>
      </c>
      <c r="C414" s="566"/>
      <c r="D414" s="567"/>
      <c r="E414" s="568"/>
      <c r="F414" s="569"/>
      <c r="G414" s="569"/>
      <c r="H414" s="570"/>
      <c r="I414" s="571"/>
      <c r="J414" s="553"/>
      <c r="K414" s="39"/>
      <c r="L414" s="208"/>
      <c r="M414" s="39"/>
      <c r="N414" s="536" t="s">
        <v>2306</v>
      </c>
    </row>
    <row r="415" spans="1:14" s="544" customFormat="1" ht="16.5" customHeight="1">
      <c r="A415" s="16"/>
      <c r="B415" s="39" t="s">
        <v>1545</v>
      </c>
      <c r="C415" s="537">
        <v>1</v>
      </c>
      <c r="D415" s="539" t="s">
        <v>273</v>
      </c>
      <c r="E415" s="540">
        <v>2</v>
      </c>
      <c r="F415" s="541">
        <v>4.37</v>
      </c>
      <c r="G415" s="541">
        <v>0</v>
      </c>
      <c r="H415" s="541">
        <v>2.65</v>
      </c>
      <c r="I415" s="579">
        <f>ROUND(IF(AND(F415:H415),C415*E415*F415*G415*H415,IF(AND(F415,G415),C415*E415*F415*G415,IF(AND(F415,H415),C415*E415*F415*H415,IF(AND(G415,H415),C415*E415*G415*H415,IF(F415,C415*E415*F415,IF(G415,C415*E415*G415,IF(H415,C415*E415*H415,C415*E415))))))),2)</f>
        <v>23.16</v>
      </c>
      <c r="J415" s="553" t="s">
        <v>102</v>
      </c>
      <c r="K415" s="39"/>
      <c r="L415" s="208"/>
      <c r="M415" s="39"/>
      <c r="N415" s="536" t="s">
        <v>2306</v>
      </c>
    </row>
    <row r="416" spans="1:14" s="544" customFormat="1" ht="16.5" customHeight="1">
      <c r="A416" s="16"/>
      <c r="B416" s="39" t="s">
        <v>579</v>
      </c>
      <c r="C416" s="537">
        <v>1</v>
      </c>
      <c r="D416" s="539" t="s">
        <v>273</v>
      </c>
      <c r="E416" s="540">
        <v>1</v>
      </c>
      <c r="F416" s="541">
        <v>0.9</v>
      </c>
      <c r="G416" s="541">
        <v>0</v>
      </c>
      <c r="H416" s="541">
        <v>2.08</v>
      </c>
      <c r="I416" s="579">
        <f>-ROUND(IF(AND(F416:H416),C416*E416*F416*G416*H416,IF(AND(F416,G416),C416*E416*F416*G416,IF(AND(F416,H416),C416*E416*F416*H416,IF(AND(G416,H416),C416*E416*G416*H416,IF(F416,C416*E416*F416,IF(G416,C416*E416*G416,IF(H416,C416*E416*H416,C416*E416))))))),2)</f>
        <v>-1.87</v>
      </c>
      <c r="J416" s="553" t="s">
        <v>102</v>
      </c>
      <c r="K416" s="39"/>
      <c r="L416" s="208"/>
      <c r="M416" s="39"/>
      <c r="N416" s="536" t="s">
        <v>2306</v>
      </c>
    </row>
    <row r="417" spans="1:14" s="544" customFormat="1" ht="16.5" customHeight="1">
      <c r="A417" s="16"/>
      <c r="B417" s="39" t="s">
        <v>1492</v>
      </c>
      <c r="C417" s="537">
        <v>1</v>
      </c>
      <c r="D417" s="539" t="s">
        <v>273</v>
      </c>
      <c r="E417" s="540">
        <v>1</v>
      </c>
      <c r="F417" s="541">
        <v>38.15</v>
      </c>
      <c r="G417" s="541">
        <v>0</v>
      </c>
      <c r="H417" s="541">
        <v>0.7</v>
      </c>
      <c r="I417" s="579">
        <f>ROUND(IF(AND(F417:H417),C417*E417*F417*G417*H417,IF(AND(F417,G417),C417*E417*F417*G417,IF(AND(F417,H417),C417*E417*F417*H417,IF(AND(G417,H417),C417*E417*G417*H417,IF(F417,C417*E417*F417,IF(G417,C417*E417*G417,IF(H417,C417*E417*H417,C417*E417))))))),2)</f>
        <v>26.71</v>
      </c>
      <c r="J417" s="553" t="s">
        <v>102</v>
      </c>
      <c r="K417" s="39"/>
      <c r="L417" s="208"/>
      <c r="M417" s="39"/>
      <c r="N417" s="536" t="s">
        <v>2306</v>
      </c>
    </row>
    <row r="418" spans="1:14" s="544" customFormat="1" ht="16.5" customHeight="1">
      <c r="A418" s="16"/>
      <c r="B418" s="39" t="s">
        <v>2165</v>
      </c>
      <c r="C418" s="537">
        <v>8</v>
      </c>
      <c r="D418" s="539" t="s">
        <v>273</v>
      </c>
      <c r="E418" s="540">
        <v>2</v>
      </c>
      <c r="F418" s="541">
        <v>0.115</v>
      </c>
      <c r="G418" s="541">
        <v>0</v>
      </c>
      <c r="H418" s="541">
        <v>0.7</v>
      </c>
      <c r="I418" s="579">
        <f>ROUND(IF(AND(F418:H418),C418*E418*F418*G418*H418,IF(AND(F418,G418),C418*E418*F418*G418,IF(AND(F418,H418),C418*E418*F418*H418,IF(AND(G418,H418),C418*E418*G418*H418,IF(F418,C418*E418*F418,IF(G418,C418*E418*G418,IF(H418,C418*E418*H418,C418*E418))))))),2)</f>
        <v>1.29</v>
      </c>
      <c r="J418" s="553" t="s">
        <v>102</v>
      </c>
      <c r="K418" s="39"/>
      <c r="L418" s="208"/>
      <c r="M418" s="39"/>
      <c r="N418" s="536" t="s">
        <v>2306</v>
      </c>
    </row>
    <row r="419" spans="1:14" s="544" customFormat="1" ht="16.5" customHeight="1">
      <c r="A419" s="16"/>
      <c r="B419" s="547"/>
      <c r="C419" s="548"/>
      <c r="D419" s="549"/>
      <c r="E419" s="550"/>
      <c r="F419" s="551"/>
      <c r="G419" s="551"/>
      <c r="H419" s="551"/>
      <c r="I419" s="552"/>
      <c r="J419" s="553"/>
      <c r="K419" s="39"/>
      <c r="L419" s="208"/>
      <c r="M419" s="39"/>
      <c r="N419" s="536" t="s">
        <v>2306</v>
      </c>
    </row>
    <row r="420" spans="1:14" ht="15.75">
      <c r="A420" s="16"/>
      <c r="B420" s="39"/>
      <c r="C420" s="554"/>
      <c r="D420" s="555"/>
      <c r="E420" s="540"/>
      <c r="F420" s="541"/>
      <c r="G420" s="40"/>
      <c r="H420" s="16"/>
      <c r="I420" s="552"/>
      <c r="J420" s="553" t="s">
        <v>102</v>
      </c>
      <c r="K420" s="10">
        <f>data!G1377</f>
        <v>312.11</v>
      </c>
      <c r="L420" s="208" t="s">
        <v>2306</v>
      </c>
      <c r="M420" s="9">
        <f>ROUND(I420*K420,0)</f>
        <v>0</v>
      </c>
      <c r="N420" s="536" t="s">
        <v>2306</v>
      </c>
    </row>
    <row r="421" spans="1:14" ht="42" customHeight="1">
      <c r="A421" s="16">
        <v>8</v>
      </c>
      <c r="B421" s="1858" t="s">
        <v>126</v>
      </c>
      <c r="C421" s="1858"/>
      <c r="D421" s="1858"/>
      <c r="E421" s="1858"/>
      <c r="F421" s="1858"/>
      <c r="G421" s="1858"/>
      <c r="H421" s="1858"/>
      <c r="I421" s="537"/>
      <c r="J421" s="538"/>
      <c r="K421" s="16"/>
      <c r="L421" s="208"/>
      <c r="M421" s="38"/>
      <c r="N421" s="536" t="s">
        <v>2317</v>
      </c>
    </row>
    <row r="422" spans="1:14" s="544" customFormat="1" ht="16.5" customHeight="1">
      <c r="A422" s="16"/>
      <c r="B422" s="39" t="s">
        <v>2853</v>
      </c>
      <c r="C422" s="566"/>
      <c r="D422" s="567"/>
      <c r="E422" s="568"/>
      <c r="F422" s="569"/>
      <c r="G422" s="569"/>
      <c r="H422" s="570"/>
      <c r="I422" s="571"/>
      <c r="J422" s="553"/>
      <c r="K422" s="39"/>
      <c r="L422" s="208"/>
      <c r="M422" s="39"/>
      <c r="N422" s="536" t="s">
        <v>2317</v>
      </c>
    </row>
    <row r="423" spans="1:14" s="544" customFormat="1" ht="16.5" customHeight="1">
      <c r="A423" s="16"/>
      <c r="B423" s="39" t="s">
        <v>1545</v>
      </c>
      <c r="C423" s="537">
        <v>1</v>
      </c>
      <c r="D423" s="539" t="s">
        <v>273</v>
      </c>
      <c r="E423" s="540">
        <v>2</v>
      </c>
      <c r="F423" s="541">
        <v>4.37</v>
      </c>
      <c r="G423" s="541">
        <v>0</v>
      </c>
      <c r="H423" s="541">
        <v>2.65</v>
      </c>
      <c r="I423" s="579">
        <f>ROUND(IF(AND(F423:H423),C423*E423*F423*G423*H423,IF(AND(F423,G423),C423*E423*F423*G423,IF(AND(F423,H423),C423*E423*F423*H423,IF(AND(G423,H423),C423*E423*G423*H423,IF(F423,C423*E423*F423,IF(G423,C423*E423*G423,IF(H423,C423*E423*H423,C423*E423))))))),2)</f>
        <v>23.16</v>
      </c>
      <c r="J423" s="553" t="s">
        <v>102</v>
      </c>
      <c r="K423" s="39"/>
      <c r="L423" s="208"/>
      <c r="M423" s="39"/>
      <c r="N423" s="536" t="s">
        <v>2317</v>
      </c>
    </row>
    <row r="424" spans="1:14" s="544" customFormat="1" ht="16.5" customHeight="1">
      <c r="A424" s="16"/>
      <c r="B424" s="39" t="s">
        <v>579</v>
      </c>
      <c r="C424" s="537">
        <v>1</v>
      </c>
      <c r="D424" s="539" t="s">
        <v>273</v>
      </c>
      <c r="E424" s="540">
        <v>1</v>
      </c>
      <c r="F424" s="541">
        <v>0.9</v>
      </c>
      <c r="G424" s="541">
        <v>0</v>
      </c>
      <c r="H424" s="541">
        <v>2.08</v>
      </c>
      <c r="I424" s="579">
        <f>-ROUND(IF(AND(F424:H424),C424*E424*F424*G424*H424,IF(AND(F424,G424),C424*E424*F424*G424,IF(AND(F424,H424),C424*E424*F424*H424,IF(AND(G424,H424),C424*E424*G424*H424,IF(F424,C424*E424*F424,IF(G424,C424*E424*G424,IF(H424,C424*E424*H424,C424*E424))))))),2)</f>
        <v>-1.87</v>
      </c>
      <c r="J424" s="553" t="s">
        <v>102</v>
      </c>
      <c r="K424" s="39"/>
      <c r="L424" s="208"/>
      <c r="M424" s="39"/>
      <c r="N424" s="536" t="s">
        <v>2317</v>
      </c>
    </row>
    <row r="425" spans="1:14" s="544" customFormat="1" ht="16.5" customHeight="1">
      <c r="A425" s="16"/>
      <c r="B425" s="39" t="s">
        <v>1492</v>
      </c>
      <c r="C425" s="537">
        <v>1</v>
      </c>
      <c r="D425" s="539" t="s">
        <v>273</v>
      </c>
      <c r="E425" s="540">
        <v>1</v>
      </c>
      <c r="F425" s="541">
        <v>38.15</v>
      </c>
      <c r="G425" s="541">
        <v>0</v>
      </c>
      <c r="H425" s="541">
        <v>0.7</v>
      </c>
      <c r="I425" s="579">
        <f>ROUND(IF(AND(F425:H425),C425*E425*F425*G425*H425,IF(AND(F425,G425),C425*E425*F425*G425,IF(AND(F425,H425),C425*E425*F425*H425,IF(AND(G425,H425),C425*E425*G425*H425,IF(F425,C425*E425*F425,IF(G425,C425*E425*G425,IF(H425,C425*E425*H425,C425*E425))))))),2)</f>
        <v>26.71</v>
      </c>
      <c r="J425" s="553" t="s">
        <v>102</v>
      </c>
      <c r="K425" s="39"/>
      <c r="L425" s="208"/>
      <c r="M425" s="39"/>
      <c r="N425" s="536" t="s">
        <v>2317</v>
      </c>
    </row>
    <row r="426" spans="1:14" s="544" customFormat="1" ht="16.5" customHeight="1">
      <c r="A426" s="16"/>
      <c r="B426" s="39" t="s">
        <v>2165</v>
      </c>
      <c r="C426" s="537">
        <v>8</v>
      </c>
      <c r="D426" s="539" t="s">
        <v>273</v>
      </c>
      <c r="E426" s="540">
        <v>2</v>
      </c>
      <c r="F426" s="541">
        <v>0.115</v>
      </c>
      <c r="G426" s="541">
        <v>0</v>
      </c>
      <c r="H426" s="541">
        <v>0.7</v>
      </c>
      <c r="I426" s="579">
        <f>ROUND(IF(AND(F426:H426),C426*E426*F426*G426*H426,IF(AND(F426,G426),C426*E426*F426*G426,IF(AND(F426,H426),C426*E426*F426*H426,IF(AND(G426,H426),C426*E426*G426*H426,IF(F426,C426*E426*F426,IF(G426,C426*E426*G426,IF(H426,C426*E426*H426,C426*E426))))))),2)</f>
        <v>1.29</v>
      </c>
      <c r="J426" s="553" t="s">
        <v>102</v>
      </c>
      <c r="K426" s="39"/>
      <c r="L426" s="208"/>
      <c r="M426" s="39"/>
      <c r="N426" s="536" t="s">
        <v>2317</v>
      </c>
    </row>
    <row r="427" spans="1:14" s="544" customFormat="1" ht="16.5" customHeight="1">
      <c r="A427" s="16"/>
      <c r="B427" s="547"/>
      <c r="C427" s="548"/>
      <c r="D427" s="549"/>
      <c r="E427" s="550"/>
      <c r="F427" s="551"/>
      <c r="G427" s="551"/>
      <c r="H427" s="551"/>
      <c r="I427" s="552"/>
      <c r="J427" s="553"/>
      <c r="K427" s="39"/>
      <c r="L427" s="208"/>
      <c r="M427" s="39"/>
      <c r="N427" s="536" t="s">
        <v>2317</v>
      </c>
    </row>
    <row r="428" spans="1:14" ht="15.75">
      <c r="A428" s="16"/>
      <c r="B428" s="39"/>
      <c r="C428" s="554"/>
      <c r="D428" s="555"/>
      <c r="E428" s="540"/>
      <c r="F428" s="541"/>
      <c r="G428" s="40"/>
      <c r="H428" s="16"/>
      <c r="I428" s="552"/>
      <c r="J428" s="553" t="s">
        <v>102</v>
      </c>
      <c r="K428" s="10">
        <f>data!G2294</f>
        <v>331.62</v>
      </c>
      <c r="L428" s="208" t="s">
        <v>2317</v>
      </c>
      <c r="M428" s="9">
        <f>ROUND(I428*K428,0)</f>
        <v>0</v>
      </c>
      <c r="N428" s="536" t="s">
        <v>2317</v>
      </c>
    </row>
    <row r="429" spans="1:14" ht="42" customHeight="1">
      <c r="A429" s="16">
        <v>8</v>
      </c>
      <c r="B429" s="1858" t="s">
        <v>126</v>
      </c>
      <c r="C429" s="1858"/>
      <c r="D429" s="1858"/>
      <c r="E429" s="1858"/>
      <c r="F429" s="1858"/>
      <c r="G429" s="1858"/>
      <c r="H429" s="1858"/>
      <c r="I429" s="537"/>
      <c r="J429" s="538"/>
      <c r="K429" s="16"/>
      <c r="L429" s="208"/>
      <c r="M429" s="38"/>
      <c r="N429" s="536" t="s">
        <v>2318</v>
      </c>
    </row>
    <row r="430" spans="1:14" s="544" customFormat="1" ht="16.5" customHeight="1">
      <c r="A430" s="16"/>
      <c r="B430" s="39" t="s">
        <v>2853</v>
      </c>
      <c r="C430" s="566"/>
      <c r="D430" s="567"/>
      <c r="E430" s="568"/>
      <c r="F430" s="569"/>
      <c r="G430" s="569"/>
      <c r="H430" s="570"/>
      <c r="I430" s="571"/>
      <c r="J430" s="553"/>
      <c r="K430" s="39"/>
      <c r="L430" s="208"/>
      <c r="M430" s="39"/>
      <c r="N430" s="536" t="s">
        <v>2318</v>
      </c>
    </row>
    <row r="431" spans="1:14" s="544" customFormat="1" ht="16.5" customHeight="1">
      <c r="A431" s="16"/>
      <c r="B431" s="39" t="s">
        <v>1545</v>
      </c>
      <c r="C431" s="537">
        <v>1</v>
      </c>
      <c r="D431" s="539" t="s">
        <v>273</v>
      </c>
      <c r="E431" s="540">
        <v>2</v>
      </c>
      <c r="F431" s="541">
        <v>4.37</v>
      </c>
      <c r="G431" s="541">
        <v>0</v>
      </c>
      <c r="H431" s="541">
        <v>2.65</v>
      </c>
      <c r="I431" s="579">
        <f>ROUND(IF(AND(F431:H431),C431*E431*F431*G431*H431,IF(AND(F431,G431),C431*E431*F431*G431,IF(AND(F431,H431),C431*E431*F431*H431,IF(AND(G431,H431),C431*E431*G431*H431,IF(F431,C431*E431*F431,IF(G431,C431*E431*G431,IF(H431,C431*E431*H431,C431*E431))))))),2)</f>
        <v>23.16</v>
      </c>
      <c r="J431" s="553" t="s">
        <v>102</v>
      </c>
      <c r="K431" s="39"/>
      <c r="L431" s="208"/>
      <c r="M431" s="39"/>
      <c r="N431" s="536" t="s">
        <v>2318</v>
      </c>
    </row>
    <row r="432" spans="1:14" s="544" customFormat="1" ht="16.5" customHeight="1">
      <c r="A432" s="16"/>
      <c r="B432" s="39" t="s">
        <v>579</v>
      </c>
      <c r="C432" s="537">
        <v>1</v>
      </c>
      <c r="D432" s="539" t="s">
        <v>273</v>
      </c>
      <c r="E432" s="540">
        <v>1</v>
      </c>
      <c r="F432" s="541">
        <v>0.9</v>
      </c>
      <c r="G432" s="541">
        <v>0</v>
      </c>
      <c r="H432" s="541">
        <v>2.08</v>
      </c>
      <c r="I432" s="579">
        <f>-ROUND(IF(AND(F432:H432),C432*E432*F432*G432*H432,IF(AND(F432,G432),C432*E432*F432*G432,IF(AND(F432,H432),C432*E432*F432*H432,IF(AND(G432,H432),C432*E432*G432*H432,IF(F432,C432*E432*F432,IF(G432,C432*E432*G432,IF(H432,C432*E432*H432,C432*E432))))))),2)</f>
        <v>-1.87</v>
      </c>
      <c r="J432" s="553" t="s">
        <v>102</v>
      </c>
      <c r="K432" s="39"/>
      <c r="L432" s="208"/>
      <c r="M432" s="39"/>
      <c r="N432" s="536" t="s">
        <v>2318</v>
      </c>
    </row>
    <row r="433" spans="1:14" s="544" customFormat="1" ht="16.5" customHeight="1">
      <c r="A433" s="16"/>
      <c r="B433" s="39" t="s">
        <v>1492</v>
      </c>
      <c r="C433" s="537">
        <v>1</v>
      </c>
      <c r="D433" s="539" t="s">
        <v>273</v>
      </c>
      <c r="E433" s="540">
        <v>1</v>
      </c>
      <c r="F433" s="541">
        <v>38.15</v>
      </c>
      <c r="G433" s="541">
        <v>0</v>
      </c>
      <c r="H433" s="541">
        <v>0.7</v>
      </c>
      <c r="I433" s="579">
        <f>ROUND(IF(AND(F433:H433),C433*E433*F433*G433*H433,IF(AND(F433,G433),C433*E433*F433*G433,IF(AND(F433,H433),C433*E433*F433*H433,IF(AND(G433,H433),C433*E433*G433*H433,IF(F433,C433*E433*F433,IF(G433,C433*E433*G433,IF(H433,C433*E433*H433,C433*E433))))))),2)</f>
        <v>26.71</v>
      </c>
      <c r="J433" s="553" t="s">
        <v>102</v>
      </c>
      <c r="K433" s="39"/>
      <c r="L433" s="208"/>
      <c r="M433" s="39"/>
      <c r="N433" s="536" t="s">
        <v>2318</v>
      </c>
    </row>
    <row r="434" spans="1:14" s="544" customFormat="1" ht="16.5" customHeight="1">
      <c r="A434" s="16"/>
      <c r="B434" s="39" t="s">
        <v>2165</v>
      </c>
      <c r="C434" s="537">
        <v>8</v>
      </c>
      <c r="D434" s="539" t="s">
        <v>273</v>
      </c>
      <c r="E434" s="540">
        <v>2</v>
      </c>
      <c r="F434" s="541">
        <v>0.115</v>
      </c>
      <c r="G434" s="541">
        <v>0</v>
      </c>
      <c r="H434" s="541">
        <v>0.7</v>
      </c>
      <c r="I434" s="579">
        <f>ROUND(IF(AND(F434:H434),C434*E434*F434*G434*H434,IF(AND(F434,G434),C434*E434*F434*G434,IF(AND(F434,H434),C434*E434*F434*H434,IF(AND(G434,H434),C434*E434*G434*H434,IF(F434,C434*E434*F434,IF(G434,C434*E434*G434,IF(H434,C434*E434*H434,C434*E434))))))),2)</f>
        <v>1.29</v>
      </c>
      <c r="J434" s="553" t="s">
        <v>102</v>
      </c>
      <c r="K434" s="39"/>
      <c r="L434" s="208"/>
      <c r="M434" s="39"/>
      <c r="N434" s="536" t="s">
        <v>2318</v>
      </c>
    </row>
    <row r="435" spans="1:14" s="544" customFormat="1" ht="16.5" customHeight="1">
      <c r="A435" s="16"/>
      <c r="B435" s="547"/>
      <c r="C435" s="548"/>
      <c r="D435" s="549"/>
      <c r="E435" s="550"/>
      <c r="F435" s="551"/>
      <c r="G435" s="551"/>
      <c r="H435" s="551"/>
      <c r="I435" s="552"/>
      <c r="J435" s="553"/>
      <c r="K435" s="39"/>
      <c r="L435" s="208"/>
      <c r="M435" s="39"/>
      <c r="N435" s="536" t="s">
        <v>2318</v>
      </c>
    </row>
    <row r="436" spans="1:14" ht="15.75">
      <c r="A436" s="16"/>
      <c r="B436" s="39"/>
      <c r="C436" s="554"/>
      <c r="D436" s="555"/>
      <c r="E436" s="540"/>
      <c r="F436" s="541"/>
      <c r="G436" s="40"/>
      <c r="H436" s="16"/>
      <c r="I436" s="552"/>
      <c r="J436" s="553" t="s">
        <v>102</v>
      </c>
      <c r="K436" s="10">
        <f>data!G3211</f>
        <v>352.1</v>
      </c>
      <c r="L436" s="208" t="s">
        <v>2318</v>
      </c>
      <c r="M436" s="9">
        <f>ROUND(I436*K436,0)</f>
        <v>0</v>
      </c>
      <c r="N436" s="536" t="s">
        <v>2318</v>
      </c>
    </row>
    <row r="437" spans="1:14" ht="52.5" customHeight="1">
      <c r="A437" s="16">
        <v>9</v>
      </c>
      <c r="B437" s="1858" t="s">
        <v>593</v>
      </c>
      <c r="C437" s="1858"/>
      <c r="D437" s="1858"/>
      <c r="E437" s="1858"/>
      <c r="F437" s="1858"/>
      <c r="G437" s="1858"/>
      <c r="H437" s="1858"/>
      <c r="I437" s="537"/>
      <c r="J437" s="538"/>
      <c r="K437" s="16"/>
      <c r="L437" s="208"/>
      <c r="M437" s="38"/>
      <c r="N437" s="536" t="s">
        <v>2218</v>
      </c>
    </row>
    <row r="438" spans="1:14" s="544" customFormat="1" ht="16.5" customHeight="1">
      <c r="A438" s="16"/>
      <c r="B438" s="39" t="s">
        <v>2839</v>
      </c>
      <c r="C438" s="566"/>
      <c r="D438" s="567"/>
      <c r="E438" s="568"/>
      <c r="F438" s="569"/>
      <c r="G438" s="569"/>
      <c r="H438" s="570"/>
      <c r="I438" s="571"/>
      <c r="J438" s="553"/>
      <c r="K438" s="39"/>
      <c r="L438" s="208"/>
      <c r="M438" s="39"/>
      <c r="N438" s="536" t="s">
        <v>2218</v>
      </c>
    </row>
    <row r="439" spans="1:14" s="544" customFormat="1" ht="15.75">
      <c r="A439" s="16"/>
      <c r="B439" s="39"/>
      <c r="C439" s="537">
        <v>1</v>
      </c>
      <c r="D439" s="539" t="s">
        <v>273</v>
      </c>
      <c r="E439" s="540">
        <v>2</v>
      </c>
      <c r="F439" s="541">
        <v>3.25</v>
      </c>
      <c r="G439" s="541">
        <v>0</v>
      </c>
      <c r="H439" s="541">
        <v>2.6</v>
      </c>
      <c r="I439" s="545">
        <f t="shared" ref="I439:I440" si="21">ROUND(IF(AND(F439:H439),C439*E439*F439*G439*H439,IF(AND(F439,G439),C439*E439*F439*G439,IF(AND(F439,H439),C439*E439*F439*H439,IF(AND(G439,H439),C439*E439*G439*H439,IF(F439,C439*E439*F439,IF(G439,C439*E439*G439,IF(H439,C439*E439*H439,C439*E439))))))),2)</f>
        <v>16.899999999999999</v>
      </c>
      <c r="J439" s="553" t="s">
        <v>102</v>
      </c>
      <c r="K439" s="39"/>
      <c r="L439" s="208"/>
      <c r="M439" s="39"/>
      <c r="N439" s="536" t="s">
        <v>2218</v>
      </c>
    </row>
    <row r="440" spans="1:14" s="544" customFormat="1" ht="15.75">
      <c r="A440" s="16"/>
      <c r="B440" s="39"/>
      <c r="C440" s="537">
        <v>1</v>
      </c>
      <c r="D440" s="539" t="s">
        <v>273</v>
      </c>
      <c r="E440" s="540">
        <v>2</v>
      </c>
      <c r="F440" s="541">
        <v>4.62</v>
      </c>
      <c r="G440" s="541">
        <v>0</v>
      </c>
      <c r="H440" s="541">
        <v>2.6</v>
      </c>
      <c r="I440" s="545">
        <f t="shared" si="21"/>
        <v>24.02</v>
      </c>
      <c r="J440" s="553" t="s">
        <v>102</v>
      </c>
      <c r="K440" s="39"/>
      <c r="L440" s="208"/>
      <c r="M440" s="39"/>
      <c r="N440" s="536" t="s">
        <v>2218</v>
      </c>
    </row>
    <row r="441" spans="1:14" s="544" customFormat="1" ht="15.75">
      <c r="A441" s="16"/>
      <c r="B441" s="39" t="s">
        <v>579</v>
      </c>
      <c r="C441" s="537">
        <v>1</v>
      </c>
      <c r="D441" s="539" t="s">
        <v>273</v>
      </c>
      <c r="E441" s="540">
        <v>1</v>
      </c>
      <c r="F441" s="541">
        <v>0.9</v>
      </c>
      <c r="G441" s="541">
        <v>0</v>
      </c>
      <c r="H441" s="541">
        <v>2.08</v>
      </c>
      <c r="I441" s="545">
        <f>-ROUND(IF(AND(F441:H441),C441*E441*F441*G441*H441,IF(AND(F441,G441),C441*E441*F441*G441,IF(AND(F441,H441),C441*E441*F441*H441,IF(AND(G441,H441),C441*E441*G441*H441,IF(F441,C441*E441*F441,IF(G441,C441*E441*G441,IF(H441,C441*E441*H441,C441*E441))))))),2)</f>
        <v>-1.87</v>
      </c>
      <c r="J441" s="553" t="s">
        <v>102</v>
      </c>
      <c r="K441" s="39"/>
      <c r="L441" s="208"/>
      <c r="M441" s="39"/>
      <c r="N441" s="536" t="s">
        <v>2218</v>
      </c>
    </row>
    <row r="442" spans="1:14" s="544" customFormat="1" ht="15.75">
      <c r="A442" s="16"/>
      <c r="B442" s="39" t="s">
        <v>1492</v>
      </c>
      <c r="C442" s="537">
        <v>1</v>
      </c>
      <c r="D442" s="539" t="s">
        <v>273</v>
      </c>
      <c r="E442" s="540">
        <v>1</v>
      </c>
      <c r="F442" s="541">
        <v>1.2</v>
      </c>
      <c r="G442" s="541">
        <v>0</v>
      </c>
      <c r="H442" s="541">
        <v>1.2</v>
      </c>
      <c r="I442" s="545">
        <f>-ROUND(IF(AND(F442:H442),C442*E442*F442*G442*H442,IF(AND(F442,G442),C442*E442*F442*G442,IF(AND(F442,H442),C442*E442*F442*H442,IF(AND(G442,H442),C442*E442*G442*H442,IF(F442,C442*E442*F442,IF(G442,C442*E442*G442,IF(H442,C442*E442*H442,C442*E442))))))),2)</f>
        <v>-1.44</v>
      </c>
      <c r="J442" s="553" t="s">
        <v>102</v>
      </c>
      <c r="K442" s="39"/>
      <c r="L442" s="208"/>
      <c r="M442" s="39"/>
      <c r="N442" s="536" t="s">
        <v>2218</v>
      </c>
    </row>
    <row r="443" spans="1:14" s="544" customFormat="1" ht="16.5" customHeight="1">
      <c r="A443" s="16"/>
      <c r="B443" s="547"/>
      <c r="C443" s="548"/>
      <c r="D443" s="549"/>
      <c r="E443" s="550"/>
      <c r="F443" s="551"/>
      <c r="G443" s="551"/>
      <c r="H443" s="551"/>
      <c r="I443" s="552"/>
      <c r="J443" s="553"/>
      <c r="K443" s="39"/>
      <c r="L443" s="208"/>
      <c r="M443" s="39"/>
      <c r="N443" s="536" t="s">
        <v>2218</v>
      </c>
    </row>
    <row r="444" spans="1:14" ht="15.75">
      <c r="A444" s="16"/>
      <c r="B444" s="39"/>
      <c r="C444" s="554"/>
      <c r="D444" s="555"/>
      <c r="E444" s="540"/>
      <c r="F444" s="541"/>
      <c r="G444" s="40"/>
      <c r="H444" s="16"/>
      <c r="I444" s="552"/>
      <c r="J444" s="553" t="s">
        <v>102</v>
      </c>
      <c r="K444" s="10">
        <f>data!G476</f>
        <v>307.37</v>
      </c>
      <c r="L444" s="208" t="s">
        <v>2218</v>
      </c>
      <c r="M444" s="9">
        <f>ROUND(I444*K444,0)</f>
        <v>0</v>
      </c>
      <c r="N444" s="536" t="s">
        <v>2218</v>
      </c>
    </row>
    <row r="445" spans="1:14" ht="52.5" customHeight="1">
      <c r="A445" s="16">
        <v>9</v>
      </c>
      <c r="B445" s="1858" t="s">
        <v>593</v>
      </c>
      <c r="C445" s="1858"/>
      <c r="D445" s="1858"/>
      <c r="E445" s="1858"/>
      <c r="F445" s="1858"/>
      <c r="G445" s="1858"/>
      <c r="H445" s="1858"/>
      <c r="I445" s="537"/>
      <c r="J445" s="538"/>
      <c r="K445" s="16"/>
      <c r="L445" s="208"/>
      <c r="M445" s="38"/>
      <c r="N445" s="536" t="s">
        <v>2306</v>
      </c>
    </row>
    <row r="446" spans="1:14" s="544" customFormat="1" ht="16.5" customHeight="1">
      <c r="A446" s="16"/>
      <c r="B446" s="39" t="s">
        <v>2839</v>
      </c>
      <c r="C446" s="566"/>
      <c r="D446" s="567"/>
      <c r="E446" s="568"/>
      <c r="F446" s="569"/>
      <c r="G446" s="569"/>
      <c r="H446" s="570"/>
      <c r="I446" s="571"/>
      <c r="J446" s="553"/>
      <c r="K446" s="39"/>
      <c r="L446" s="208"/>
      <c r="M446" s="39"/>
      <c r="N446" s="536" t="s">
        <v>2306</v>
      </c>
    </row>
    <row r="447" spans="1:14" s="544" customFormat="1" ht="15.75">
      <c r="A447" s="16"/>
      <c r="B447" s="39"/>
      <c r="C447" s="537">
        <v>1</v>
      </c>
      <c r="D447" s="539" t="s">
        <v>273</v>
      </c>
      <c r="E447" s="540">
        <v>2</v>
      </c>
      <c r="F447" s="541">
        <v>3.25</v>
      </c>
      <c r="G447" s="541">
        <v>0</v>
      </c>
      <c r="H447" s="541">
        <v>2.6</v>
      </c>
      <c r="I447" s="545">
        <f>ROUND(IF(AND(F447:H447),C447*E447*F447*G447*H447,IF(AND(F447,G447),C447*E447*F447*G447,IF(AND(F447,H447),C447*E447*F447*H447,IF(AND(G447,H447),C447*E447*G447*H447,IF(F447,C447*E447*F447,IF(G447,C447*E447*G447,IF(H447,C447*E447*H447,C447*E447))))))),2)</f>
        <v>16.899999999999999</v>
      </c>
      <c r="J447" s="553" t="s">
        <v>102</v>
      </c>
      <c r="K447" s="39"/>
      <c r="L447" s="208"/>
      <c r="M447" s="39"/>
      <c r="N447" s="536" t="s">
        <v>2306</v>
      </c>
    </row>
    <row r="448" spans="1:14" s="544" customFormat="1" ht="15.75">
      <c r="A448" s="16"/>
      <c r="B448" s="39"/>
      <c r="C448" s="537">
        <v>1</v>
      </c>
      <c r="D448" s="539" t="s">
        <v>273</v>
      </c>
      <c r="E448" s="540">
        <v>2</v>
      </c>
      <c r="F448" s="541">
        <v>4.62</v>
      </c>
      <c r="G448" s="541">
        <v>0</v>
      </c>
      <c r="H448" s="541">
        <v>2.6</v>
      </c>
      <c r="I448" s="545">
        <f>ROUND(IF(AND(F448:H448),C448*E448*F448*G448*H448,IF(AND(F448,G448),C448*E448*F448*G448,IF(AND(F448,H448),C448*E448*F448*H448,IF(AND(G448,H448),C448*E448*G448*H448,IF(F448,C448*E448*F448,IF(G448,C448*E448*G448,IF(H448,C448*E448*H448,C448*E448))))))),2)</f>
        <v>24.02</v>
      </c>
      <c r="J448" s="553" t="s">
        <v>102</v>
      </c>
      <c r="K448" s="39"/>
      <c r="L448" s="208"/>
      <c r="M448" s="39"/>
      <c r="N448" s="536" t="s">
        <v>2306</v>
      </c>
    </row>
    <row r="449" spans="1:14" s="544" customFormat="1" ht="15.75">
      <c r="A449" s="16"/>
      <c r="B449" s="39" t="s">
        <v>579</v>
      </c>
      <c r="C449" s="537">
        <v>1</v>
      </c>
      <c r="D449" s="539" t="s">
        <v>273</v>
      </c>
      <c r="E449" s="540">
        <v>1</v>
      </c>
      <c r="F449" s="541">
        <v>0.9</v>
      </c>
      <c r="G449" s="541">
        <v>0</v>
      </c>
      <c r="H449" s="541">
        <v>2.08</v>
      </c>
      <c r="I449" s="545">
        <f>-ROUND(IF(AND(F449:H449),C449*E449*F449*G449*H449,IF(AND(F449,G449),C449*E449*F449*G449,IF(AND(F449,H449),C449*E449*F449*H449,IF(AND(G449,H449),C449*E449*G449*H449,IF(F449,C449*E449*F449,IF(G449,C449*E449*G449,IF(H449,C449*E449*H449,C449*E449))))))),2)</f>
        <v>-1.87</v>
      </c>
      <c r="J449" s="553" t="s">
        <v>102</v>
      </c>
      <c r="K449" s="39"/>
      <c r="L449" s="208"/>
      <c r="M449" s="39"/>
      <c r="N449" s="536" t="s">
        <v>2306</v>
      </c>
    </row>
    <row r="450" spans="1:14" s="544" customFormat="1" ht="15.75">
      <c r="A450" s="16"/>
      <c r="B450" s="39" t="s">
        <v>1492</v>
      </c>
      <c r="C450" s="537">
        <v>1</v>
      </c>
      <c r="D450" s="539" t="s">
        <v>273</v>
      </c>
      <c r="E450" s="540">
        <v>1</v>
      </c>
      <c r="F450" s="541">
        <v>1.2</v>
      </c>
      <c r="G450" s="541">
        <v>0</v>
      </c>
      <c r="H450" s="541">
        <v>1.2</v>
      </c>
      <c r="I450" s="545">
        <f>-ROUND(IF(AND(F450:H450),C450*E450*F450*G450*H450,IF(AND(F450,G450),C450*E450*F450*G450,IF(AND(F450,H450),C450*E450*F450*H450,IF(AND(G450,H450),C450*E450*G450*H450,IF(F450,C450*E450*F450,IF(G450,C450*E450*G450,IF(H450,C450*E450*H450,C450*E450))))))),2)</f>
        <v>-1.44</v>
      </c>
      <c r="J450" s="553" t="s">
        <v>102</v>
      </c>
      <c r="K450" s="39"/>
      <c r="L450" s="208"/>
      <c r="M450" s="39"/>
      <c r="N450" s="536" t="s">
        <v>2306</v>
      </c>
    </row>
    <row r="451" spans="1:14" s="544" customFormat="1" ht="16.5" customHeight="1">
      <c r="A451" s="16"/>
      <c r="B451" s="547"/>
      <c r="C451" s="548"/>
      <c r="D451" s="549"/>
      <c r="E451" s="550"/>
      <c r="F451" s="551"/>
      <c r="G451" s="551"/>
      <c r="H451" s="551"/>
      <c r="I451" s="552"/>
      <c r="J451" s="553"/>
      <c r="K451" s="39"/>
      <c r="L451" s="208"/>
      <c r="M451" s="39"/>
      <c r="N451" s="536" t="s">
        <v>2306</v>
      </c>
    </row>
    <row r="452" spans="1:14" ht="15.75">
      <c r="A452" s="16"/>
      <c r="B452" s="39"/>
      <c r="C452" s="554"/>
      <c r="D452" s="555"/>
      <c r="E452" s="540"/>
      <c r="F452" s="541"/>
      <c r="G452" s="40"/>
      <c r="H452" s="16"/>
      <c r="I452" s="552"/>
      <c r="J452" s="553" t="s">
        <v>102</v>
      </c>
      <c r="K452" s="10">
        <f>data!G1393</f>
        <v>330.52</v>
      </c>
      <c r="L452" s="208" t="s">
        <v>2306</v>
      </c>
      <c r="M452" s="9">
        <f>ROUND(I452*K452,0)</f>
        <v>0</v>
      </c>
      <c r="N452" s="536" t="s">
        <v>2306</v>
      </c>
    </row>
    <row r="453" spans="1:14" ht="52.5" customHeight="1">
      <c r="A453" s="16">
        <v>9</v>
      </c>
      <c r="B453" s="1858" t="s">
        <v>593</v>
      </c>
      <c r="C453" s="1858"/>
      <c r="D453" s="1858"/>
      <c r="E453" s="1858"/>
      <c r="F453" s="1858"/>
      <c r="G453" s="1858"/>
      <c r="H453" s="1858"/>
      <c r="I453" s="537"/>
      <c r="J453" s="538"/>
      <c r="K453" s="16"/>
      <c r="L453" s="208"/>
      <c r="M453" s="38"/>
      <c r="N453" s="536" t="s">
        <v>2317</v>
      </c>
    </row>
    <row r="454" spans="1:14" s="544" customFormat="1" ht="16.5" customHeight="1">
      <c r="A454" s="16"/>
      <c r="B454" s="39" t="s">
        <v>2839</v>
      </c>
      <c r="C454" s="566"/>
      <c r="D454" s="567"/>
      <c r="E454" s="568"/>
      <c r="F454" s="569"/>
      <c r="G454" s="569"/>
      <c r="H454" s="570"/>
      <c r="I454" s="571"/>
      <c r="J454" s="553"/>
      <c r="K454" s="39"/>
      <c r="L454" s="208"/>
      <c r="M454" s="39"/>
      <c r="N454" s="536" t="s">
        <v>2317</v>
      </c>
    </row>
    <row r="455" spans="1:14" s="544" customFormat="1" ht="15.75">
      <c r="A455" s="16"/>
      <c r="B455" s="39"/>
      <c r="C455" s="537">
        <v>1</v>
      </c>
      <c r="D455" s="539" t="s">
        <v>273</v>
      </c>
      <c r="E455" s="540">
        <v>2</v>
      </c>
      <c r="F455" s="541">
        <v>3.25</v>
      </c>
      <c r="G455" s="541">
        <v>0</v>
      </c>
      <c r="H455" s="541">
        <v>2.6</v>
      </c>
      <c r="I455" s="545">
        <f>ROUND(IF(AND(F455:H455),C455*E455*F455*G455*H455,IF(AND(F455,G455),C455*E455*F455*G455,IF(AND(F455,H455),C455*E455*F455*H455,IF(AND(G455,H455),C455*E455*G455*H455,IF(F455,C455*E455*F455,IF(G455,C455*E455*G455,IF(H455,C455*E455*H455,C455*E455))))))),2)</f>
        <v>16.899999999999999</v>
      </c>
      <c r="J455" s="553" t="s">
        <v>102</v>
      </c>
      <c r="K455" s="39"/>
      <c r="L455" s="208"/>
      <c r="M455" s="39"/>
      <c r="N455" s="536" t="s">
        <v>2317</v>
      </c>
    </row>
    <row r="456" spans="1:14" s="544" customFormat="1" ht="15.75">
      <c r="A456" s="16"/>
      <c r="B456" s="39"/>
      <c r="C456" s="537">
        <v>1</v>
      </c>
      <c r="D456" s="539" t="s">
        <v>273</v>
      </c>
      <c r="E456" s="540">
        <v>2</v>
      </c>
      <c r="F456" s="541">
        <v>4.62</v>
      </c>
      <c r="G456" s="541">
        <v>0</v>
      </c>
      <c r="H456" s="541">
        <v>2.6</v>
      </c>
      <c r="I456" s="545">
        <f>ROUND(IF(AND(F456:H456),C456*E456*F456*G456*H456,IF(AND(F456,G456),C456*E456*F456*G456,IF(AND(F456,H456),C456*E456*F456*H456,IF(AND(G456,H456),C456*E456*G456*H456,IF(F456,C456*E456*F456,IF(G456,C456*E456*G456,IF(H456,C456*E456*H456,C456*E456))))))),2)</f>
        <v>24.02</v>
      </c>
      <c r="J456" s="553" t="s">
        <v>102</v>
      </c>
      <c r="K456" s="39"/>
      <c r="L456" s="208"/>
      <c r="M456" s="39"/>
      <c r="N456" s="536" t="s">
        <v>2317</v>
      </c>
    </row>
    <row r="457" spans="1:14" s="544" customFormat="1" ht="15.75">
      <c r="A457" s="16"/>
      <c r="B457" s="39" t="s">
        <v>579</v>
      </c>
      <c r="C457" s="537">
        <v>1</v>
      </c>
      <c r="D457" s="539" t="s">
        <v>273</v>
      </c>
      <c r="E457" s="540">
        <v>1</v>
      </c>
      <c r="F457" s="541">
        <v>0.9</v>
      </c>
      <c r="G457" s="541">
        <v>0</v>
      </c>
      <c r="H457" s="541">
        <v>2.08</v>
      </c>
      <c r="I457" s="545">
        <f>-ROUND(IF(AND(F457:H457),C457*E457*F457*G457*H457,IF(AND(F457,G457),C457*E457*F457*G457,IF(AND(F457,H457),C457*E457*F457*H457,IF(AND(G457,H457),C457*E457*G457*H457,IF(F457,C457*E457*F457,IF(G457,C457*E457*G457,IF(H457,C457*E457*H457,C457*E457))))))),2)</f>
        <v>-1.87</v>
      </c>
      <c r="J457" s="553" t="s">
        <v>102</v>
      </c>
      <c r="K457" s="39"/>
      <c r="L457" s="208"/>
      <c r="M457" s="39"/>
      <c r="N457" s="536" t="s">
        <v>2317</v>
      </c>
    </row>
    <row r="458" spans="1:14" s="544" customFormat="1" ht="15.75">
      <c r="A458" s="16"/>
      <c r="B458" s="39" t="s">
        <v>1492</v>
      </c>
      <c r="C458" s="537">
        <v>1</v>
      </c>
      <c r="D458" s="539" t="s">
        <v>273</v>
      </c>
      <c r="E458" s="540">
        <v>1</v>
      </c>
      <c r="F458" s="541">
        <v>1.2</v>
      </c>
      <c r="G458" s="541">
        <v>0</v>
      </c>
      <c r="H458" s="541">
        <v>1.2</v>
      </c>
      <c r="I458" s="545">
        <f>-ROUND(IF(AND(F458:H458),C458*E458*F458*G458*H458,IF(AND(F458,G458),C458*E458*F458*G458,IF(AND(F458,H458),C458*E458*F458*H458,IF(AND(G458,H458),C458*E458*G458*H458,IF(F458,C458*E458*F458,IF(G458,C458*E458*G458,IF(H458,C458*E458*H458,C458*E458))))))),2)</f>
        <v>-1.44</v>
      </c>
      <c r="J458" s="553" t="s">
        <v>102</v>
      </c>
      <c r="K458" s="39"/>
      <c r="L458" s="208"/>
      <c r="M458" s="39"/>
      <c r="N458" s="536" t="s">
        <v>2317</v>
      </c>
    </row>
    <row r="459" spans="1:14" s="544" customFormat="1" ht="16.5" customHeight="1">
      <c r="A459" s="16"/>
      <c r="B459" s="547"/>
      <c r="C459" s="548"/>
      <c r="D459" s="549"/>
      <c r="E459" s="550"/>
      <c r="F459" s="551"/>
      <c r="G459" s="551"/>
      <c r="H459" s="551"/>
      <c r="I459" s="552"/>
      <c r="J459" s="553"/>
      <c r="K459" s="39"/>
      <c r="L459" s="208"/>
      <c r="M459" s="39"/>
      <c r="N459" s="536" t="s">
        <v>2317</v>
      </c>
    </row>
    <row r="460" spans="1:14" ht="15.75">
      <c r="A460" s="16"/>
      <c r="B460" s="39"/>
      <c r="C460" s="554"/>
      <c r="D460" s="555"/>
      <c r="E460" s="540"/>
      <c r="F460" s="541"/>
      <c r="G460" s="40"/>
      <c r="H460" s="16"/>
      <c r="I460" s="552"/>
      <c r="J460" s="553" t="s">
        <v>102</v>
      </c>
      <c r="K460" s="10">
        <f>data!G2310</f>
        <v>351.31</v>
      </c>
      <c r="L460" s="208" t="s">
        <v>2317</v>
      </c>
      <c r="M460" s="9">
        <f>ROUND(I460*K460,0)</f>
        <v>0</v>
      </c>
      <c r="N460" s="536" t="s">
        <v>2317</v>
      </c>
    </row>
    <row r="461" spans="1:14" ht="52.5" customHeight="1">
      <c r="A461" s="16">
        <v>9</v>
      </c>
      <c r="B461" s="1858" t="s">
        <v>593</v>
      </c>
      <c r="C461" s="1858"/>
      <c r="D461" s="1858"/>
      <c r="E461" s="1858"/>
      <c r="F461" s="1858"/>
      <c r="G461" s="1858"/>
      <c r="H461" s="1858"/>
      <c r="I461" s="537"/>
      <c r="J461" s="538"/>
      <c r="K461" s="16"/>
      <c r="L461" s="208"/>
      <c r="M461" s="38"/>
      <c r="N461" s="536" t="s">
        <v>2318</v>
      </c>
    </row>
    <row r="462" spans="1:14" s="544" customFormat="1" ht="16.5" customHeight="1">
      <c r="A462" s="16"/>
      <c r="B462" s="39" t="s">
        <v>2839</v>
      </c>
      <c r="C462" s="566"/>
      <c r="D462" s="567"/>
      <c r="E462" s="568"/>
      <c r="F462" s="569"/>
      <c r="G462" s="569"/>
      <c r="H462" s="570"/>
      <c r="I462" s="571"/>
      <c r="J462" s="553"/>
      <c r="K462" s="39"/>
      <c r="L462" s="208"/>
      <c r="M462" s="39"/>
      <c r="N462" s="536" t="s">
        <v>2318</v>
      </c>
    </row>
    <row r="463" spans="1:14" s="544" customFormat="1" ht="15.75">
      <c r="A463" s="16"/>
      <c r="B463" s="39"/>
      <c r="C463" s="537">
        <v>1</v>
      </c>
      <c r="D463" s="539" t="s">
        <v>273</v>
      </c>
      <c r="E463" s="540">
        <v>2</v>
      </c>
      <c r="F463" s="541">
        <v>3.25</v>
      </c>
      <c r="G463" s="541">
        <v>0</v>
      </c>
      <c r="H463" s="541">
        <v>2.6</v>
      </c>
      <c r="I463" s="545">
        <f>ROUND(IF(AND(F463:H463),C463*E463*F463*G463*H463,IF(AND(F463,G463),C463*E463*F463*G463,IF(AND(F463,H463),C463*E463*F463*H463,IF(AND(G463,H463),C463*E463*G463*H463,IF(F463,C463*E463*F463,IF(G463,C463*E463*G463,IF(H463,C463*E463*H463,C463*E463))))))),2)</f>
        <v>16.899999999999999</v>
      </c>
      <c r="J463" s="553" t="s">
        <v>102</v>
      </c>
      <c r="K463" s="39"/>
      <c r="L463" s="208"/>
      <c r="M463" s="39"/>
      <c r="N463" s="536" t="s">
        <v>2318</v>
      </c>
    </row>
    <row r="464" spans="1:14" s="544" customFormat="1" ht="15.75">
      <c r="A464" s="16"/>
      <c r="B464" s="39"/>
      <c r="C464" s="537">
        <v>1</v>
      </c>
      <c r="D464" s="539" t="s">
        <v>273</v>
      </c>
      <c r="E464" s="540">
        <v>2</v>
      </c>
      <c r="F464" s="541">
        <v>4.62</v>
      </c>
      <c r="G464" s="541">
        <v>0</v>
      </c>
      <c r="H464" s="541">
        <v>2.6</v>
      </c>
      <c r="I464" s="545">
        <f>ROUND(IF(AND(F464:H464),C464*E464*F464*G464*H464,IF(AND(F464,G464),C464*E464*F464*G464,IF(AND(F464,H464),C464*E464*F464*H464,IF(AND(G464,H464),C464*E464*G464*H464,IF(F464,C464*E464*F464,IF(G464,C464*E464*G464,IF(H464,C464*E464*H464,C464*E464))))))),2)</f>
        <v>24.02</v>
      </c>
      <c r="J464" s="553" t="s">
        <v>102</v>
      </c>
      <c r="K464" s="39"/>
      <c r="L464" s="208"/>
      <c r="M464" s="39"/>
      <c r="N464" s="536" t="s">
        <v>2318</v>
      </c>
    </row>
    <row r="465" spans="1:14" s="544" customFormat="1" ht="15.75">
      <c r="A465" s="16"/>
      <c r="B465" s="39" t="s">
        <v>579</v>
      </c>
      <c r="C465" s="537">
        <v>1</v>
      </c>
      <c r="D465" s="539" t="s">
        <v>273</v>
      </c>
      <c r="E465" s="540">
        <v>1</v>
      </c>
      <c r="F465" s="541">
        <v>0.9</v>
      </c>
      <c r="G465" s="541">
        <v>0</v>
      </c>
      <c r="H465" s="541">
        <v>2.08</v>
      </c>
      <c r="I465" s="545">
        <f>-ROUND(IF(AND(F465:H465),C465*E465*F465*G465*H465,IF(AND(F465,G465),C465*E465*F465*G465,IF(AND(F465,H465),C465*E465*F465*H465,IF(AND(G465,H465),C465*E465*G465*H465,IF(F465,C465*E465*F465,IF(G465,C465*E465*G465,IF(H465,C465*E465*H465,C465*E465))))))),2)</f>
        <v>-1.87</v>
      </c>
      <c r="J465" s="553" t="s">
        <v>102</v>
      </c>
      <c r="K465" s="39"/>
      <c r="L465" s="208"/>
      <c r="M465" s="39"/>
      <c r="N465" s="536" t="s">
        <v>2318</v>
      </c>
    </row>
    <row r="466" spans="1:14" s="544" customFormat="1" ht="15.75">
      <c r="A466" s="16"/>
      <c r="B466" s="39" t="s">
        <v>1492</v>
      </c>
      <c r="C466" s="537">
        <v>1</v>
      </c>
      <c r="D466" s="539" t="s">
        <v>273</v>
      </c>
      <c r="E466" s="540">
        <v>1</v>
      </c>
      <c r="F466" s="541">
        <v>1.2</v>
      </c>
      <c r="G466" s="541">
        <v>0</v>
      </c>
      <c r="H466" s="541">
        <v>1.2</v>
      </c>
      <c r="I466" s="545">
        <f>-ROUND(IF(AND(F466:H466),C466*E466*F466*G466*H466,IF(AND(F466,G466),C466*E466*F466*G466,IF(AND(F466,H466),C466*E466*F466*H466,IF(AND(G466,H466),C466*E466*G466*H466,IF(F466,C466*E466*F466,IF(G466,C466*E466*G466,IF(H466,C466*E466*H466,C466*E466))))))),2)</f>
        <v>-1.44</v>
      </c>
      <c r="J466" s="553" t="s">
        <v>102</v>
      </c>
      <c r="K466" s="39"/>
      <c r="L466" s="208"/>
      <c r="M466" s="39"/>
      <c r="N466" s="536" t="s">
        <v>2318</v>
      </c>
    </row>
    <row r="467" spans="1:14" s="544" customFormat="1" ht="16.5" customHeight="1">
      <c r="A467" s="16"/>
      <c r="B467" s="547"/>
      <c r="C467" s="548"/>
      <c r="D467" s="549"/>
      <c r="E467" s="550"/>
      <c r="F467" s="551"/>
      <c r="G467" s="551"/>
      <c r="H467" s="551"/>
      <c r="I467" s="552"/>
      <c r="J467" s="553"/>
      <c r="K467" s="39"/>
      <c r="L467" s="208"/>
      <c r="M467" s="39"/>
      <c r="N467" s="536" t="s">
        <v>2318</v>
      </c>
    </row>
    <row r="468" spans="1:14" ht="15.75">
      <c r="A468" s="16"/>
      <c r="B468" s="39"/>
      <c r="C468" s="554"/>
      <c r="D468" s="555"/>
      <c r="E468" s="540"/>
      <c r="F468" s="541"/>
      <c r="G468" s="40"/>
      <c r="H468" s="16"/>
      <c r="I468" s="552"/>
      <c r="J468" s="553" t="s">
        <v>102</v>
      </c>
      <c r="K468" s="10">
        <f>data!G3227</f>
        <v>372.29</v>
      </c>
      <c r="L468" s="208" t="s">
        <v>2318</v>
      </c>
      <c r="M468" s="9">
        <f>ROUND(I468*K468,0)</f>
        <v>0</v>
      </c>
      <c r="N468" s="536" t="s">
        <v>2318</v>
      </c>
    </row>
    <row r="469" spans="1:14" ht="71.25" customHeight="1">
      <c r="A469" s="16">
        <v>7</v>
      </c>
      <c r="B469" s="1858" t="s">
        <v>808</v>
      </c>
      <c r="C469" s="1858"/>
      <c r="D469" s="1858"/>
      <c r="E469" s="1858"/>
      <c r="F469" s="1858"/>
      <c r="G469" s="1858"/>
      <c r="H469" s="1858"/>
      <c r="I469" s="537"/>
      <c r="J469" s="538"/>
      <c r="K469" s="16"/>
      <c r="L469" s="208"/>
      <c r="M469" s="38"/>
      <c r="N469" s="536" t="s">
        <v>2218</v>
      </c>
    </row>
    <row r="470" spans="1:14" s="544" customFormat="1" ht="16.5" customHeight="1">
      <c r="A470" s="16"/>
      <c r="B470" s="39" t="s">
        <v>3123</v>
      </c>
      <c r="C470" s="561"/>
      <c r="D470" s="1145" t="s">
        <v>3335</v>
      </c>
      <c r="E470" s="563"/>
      <c r="F470" s="564"/>
      <c r="G470" s="564"/>
      <c r="H470" s="564"/>
      <c r="I470" s="565"/>
      <c r="J470" s="553"/>
      <c r="K470" s="39"/>
      <c r="L470" s="208"/>
      <c r="M470" s="39"/>
      <c r="N470" s="536" t="s">
        <v>2218</v>
      </c>
    </row>
    <row r="471" spans="1:14" s="544" customFormat="1" ht="16.5" customHeight="1">
      <c r="A471" s="16"/>
      <c r="B471" s="39"/>
      <c r="C471" s="537">
        <v>1</v>
      </c>
      <c r="D471" s="539" t="s">
        <v>273</v>
      </c>
      <c r="E471" s="540">
        <v>2</v>
      </c>
      <c r="F471" s="541">
        <v>2.72</v>
      </c>
      <c r="G471" s="541">
        <v>0</v>
      </c>
      <c r="H471" s="541">
        <v>2.38</v>
      </c>
      <c r="I471" s="545">
        <f t="shared" ref="I471:I472" si="22">ROUND(IF(AND(F471:H471),C471*E471*F471*G471*H471,IF(AND(F471,G471),C471*E471*F471*G471,IF(AND(F471,H471),C471*E471*F471*H471,IF(AND(G471,H471),C471*E471*G471*H471,IF(F471,C471*E471*F471,IF(G471,C471*E471*G471,IF(H471,C471*E471*H471,C471*E471))))))),2)</f>
        <v>12.95</v>
      </c>
      <c r="J471" s="553" t="s">
        <v>102</v>
      </c>
      <c r="K471" s="39"/>
      <c r="L471" s="208"/>
      <c r="M471" s="39"/>
      <c r="N471" s="536" t="s">
        <v>2218</v>
      </c>
    </row>
    <row r="472" spans="1:14" s="544" customFormat="1" ht="16.5" customHeight="1">
      <c r="A472" s="16"/>
      <c r="B472" s="39"/>
      <c r="C472" s="537">
        <v>1</v>
      </c>
      <c r="D472" s="539" t="s">
        <v>273</v>
      </c>
      <c r="E472" s="540">
        <v>2</v>
      </c>
      <c r="F472" s="541">
        <v>3.16</v>
      </c>
      <c r="G472" s="541">
        <v>0</v>
      </c>
      <c r="H472" s="541">
        <v>2.38</v>
      </c>
      <c r="I472" s="545">
        <f t="shared" si="22"/>
        <v>15.04</v>
      </c>
      <c r="J472" s="553" t="s">
        <v>102</v>
      </c>
      <c r="K472" s="39"/>
      <c r="L472" s="208"/>
      <c r="M472" s="39"/>
      <c r="N472" s="536" t="s">
        <v>2218</v>
      </c>
    </row>
    <row r="473" spans="1:14" s="544" customFormat="1" ht="16.5" customHeight="1">
      <c r="A473" s="16"/>
      <c r="B473" s="39" t="s">
        <v>579</v>
      </c>
      <c r="C473" s="537">
        <v>1</v>
      </c>
      <c r="D473" s="539" t="s">
        <v>273</v>
      </c>
      <c r="E473" s="540">
        <v>1</v>
      </c>
      <c r="F473" s="541">
        <v>0.9</v>
      </c>
      <c r="G473" s="541">
        <v>0</v>
      </c>
      <c r="H473" s="541">
        <v>2.1</v>
      </c>
      <c r="I473" s="545">
        <f>-ROUND(IF(AND(F473:H473),C473*E473*F473*G473*H473,IF(AND(F473,G473),C473*E473*F473*G473,IF(AND(F473,H473),C473*E473*F473*H473,IF(AND(G473,H473),C473*E473*G473*H473,IF(F473,C473*E473*F473,IF(G473,C473*E473*G473,IF(H473,C473*E473*H473,C473*E473))))))),2)</f>
        <v>-1.89</v>
      </c>
      <c r="J473" s="553" t="s">
        <v>102</v>
      </c>
      <c r="K473" s="39"/>
      <c r="L473" s="208"/>
      <c r="M473" s="39"/>
      <c r="N473" s="536" t="s">
        <v>2218</v>
      </c>
    </row>
    <row r="474" spans="1:14" s="544" customFormat="1" ht="16.5" customHeight="1">
      <c r="A474" s="16"/>
      <c r="B474" s="39" t="s">
        <v>579</v>
      </c>
      <c r="C474" s="537">
        <v>1</v>
      </c>
      <c r="D474" s="539" t="s">
        <v>273</v>
      </c>
      <c r="E474" s="540">
        <v>1</v>
      </c>
      <c r="F474" s="541">
        <v>1.2</v>
      </c>
      <c r="G474" s="541">
        <v>0</v>
      </c>
      <c r="H474" s="541">
        <v>1.1000000000000001</v>
      </c>
      <c r="I474" s="545">
        <f>-ROUND(IF(AND(F474:H474),C474*E474*F474*G474*H474,IF(AND(F474,G474),C474*E474*F474*G474,IF(AND(F474,H474),C474*E474*F474*H474,IF(AND(G474,H474),C474*E474*G474*H474,IF(F474,C474*E474*F474,IF(G474,C474*E474*G474,IF(H474,C474*E474*H474,C474*E474))))))),2)</f>
        <v>-1.32</v>
      </c>
      <c r="J474" s="553" t="s">
        <v>102</v>
      </c>
      <c r="K474" s="39"/>
      <c r="L474" s="208"/>
      <c r="M474" s="39"/>
      <c r="N474" s="536" t="s">
        <v>2218</v>
      </c>
    </row>
    <row r="475" spans="1:14" s="544" customFormat="1" ht="16.5" customHeight="1">
      <c r="A475" s="16"/>
      <c r="B475" s="39" t="s">
        <v>1492</v>
      </c>
      <c r="C475" s="537">
        <v>1</v>
      </c>
      <c r="D475" s="539" t="s">
        <v>273</v>
      </c>
      <c r="E475" s="540">
        <v>1</v>
      </c>
      <c r="F475" s="541">
        <v>10.050000000000001</v>
      </c>
      <c r="G475" s="541">
        <v>0</v>
      </c>
      <c r="H475" s="541">
        <v>1.9</v>
      </c>
      <c r="I475" s="545">
        <f t="shared" ref="I475:I478" si="23">ROUND(IF(AND(F475:H475),C475*E475*F475*G475*H475,IF(AND(F475,G475),C475*E475*F475*G475,IF(AND(F475,H475),C475*E475*F475*H475,IF(AND(G475,H475),C475*E475*G475*H475,IF(F475,C475*E475*F475,IF(G475,C475*E475*G475,IF(H475,C475*E475*H475,C475*E475))))))),2)</f>
        <v>19.100000000000001</v>
      </c>
      <c r="J475" s="553" t="s">
        <v>102</v>
      </c>
      <c r="K475" s="39"/>
      <c r="L475" s="208"/>
      <c r="M475" s="39"/>
      <c r="N475" s="536" t="s">
        <v>2218</v>
      </c>
    </row>
    <row r="476" spans="1:14" s="544" customFormat="1" ht="16.5" customHeight="1">
      <c r="A476" s="16"/>
      <c r="B476" s="39"/>
      <c r="C476" s="537">
        <v>1</v>
      </c>
      <c r="D476" s="539" t="s">
        <v>273</v>
      </c>
      <c r="E476" s="540">
        <v>1</v>
      </c>
      <c r="F476" s="541">
        <v>9.1999999999999993</v>
      </c>
      <c r="G476" s="541">
        <v>0</v>
      </c>
      <c r="H476" s="541">
        <v>1.9</v>
      </c>
      <c r="I476" s="545">
        <f t="shared" si="23"/>
        <v>17.48</v>
      </c>
      <c r="J476" s="553" t="s">
        <v>102</v>
      </c>
      <c r="K476" s="39"/>
      <c r="L476" s="208"/>
      <c r="M476" s="39"/>
      <c r="N476" s="536" t="s">
        <v>2218</v>
      </c>
    </row>
    <row r="477" spans="1:14" s="544" customFormat="1" ht="16.5" customHeight="1">
      <c r="A477" s="16"/>
      <c r="B477" s="39"/>
      <c r="C477" s="537">
        <v>1</v>
      </c>
      <c r="D477" s="539" t="s">
        <v>273</v>
      </c>
      <c r="E477" s="540">
        <v>1</v>
      </c>
      <c r="F477" s="541">
        <v>13.7</v>
      </c>
      <c r="G477" s="541">
        <v>0</v>
      </c>
      <c r="H477" s="541">
        <v>1.9</v>
      </c>
      <c r="I477" s="545">
        <f t="shared" si="23"/>
        <v>26.03</v>
      </c>
      <c r="J477" s="553" t="s">
        <v>102</v>
      </c>
      <c r="K477" s="39"/>
      <c r="L477" s="208"/>
      <c r="M477" s="39"/>
      <c r="N477" s="536" t="s">
        <v>2218</v>
      </c>
    </row>
    <row r="478" spans="1:14" s="544" customFormat="1" ht="16.5" customHeight="1">
      <c r="A478" s="16"/>
      <c r="B478" s="39"/>
      <c r="C478" s="537">
        <v>1</v>
      </c>
      <c r="D478" s="539" t="s">
        <v>273</v>
      </c>
      <c r="E478" s="540">
        <v>1</v>
      </c>
      <c r="F478" s="541">
        <v>5.95</v>
      </c>
      <c r="G478" s="541">
        <v>0</v>
      </c>
      <c r="H478" s="541">
        <v>1.9</v>
      </c>
      <c r="I478" s="545">
        <f t="shared" si="23"/>
        <v>11.31</v>
      </c>
      <c r="J478" s="553" t="s">
        <v>102</v>
      </c>
      <c r="K478" s="39"/>
      <c r="L478" s="208"/>
      <c r="M478" s="39"/>
      <c r="N478" s="536" t="s">
        <v>2218</v>
      </c>
    </row>
    <row r="479" spans="1:14" s="544" customFormat="1" ht="16.5" customHeight="1">
      <c r="A479" s="16"/>
      <c r="B479" s="547"/>
      <c r="C479" s="548"/>
      <c r="D479" s="549"/>
      <c r="E479" s="550"/>
      <c r="F479" s="551"/>
      <c r="G479" s="551"/>
      <c r="H479" s="551"/>
      <c r="I479" s="552"/>
      <c r="J479" s="553"/>
      <c r="K479" s="39"/>
      <c r="L479" s="208"/>
      <c r="M479" s="39"/>
      <c r="N479" s="536" t="s">
        <v>2218</v>
      </c>
    </row>
    <row r="480" spans="1:14" ht="15.75">
      <c r="A480" s="16"/>
      <c r="B480" s="39"/>
      <c r="C480" s="554"/>
      <c r="D480" s="555"/>
      <c r="E480" s="540"/>
      <c r="F480" s="541"/>
      <c r="G480" s="40"/>
      <c r="H480" s="16"/>
      <c r="I480" s="552"/>
      <c r="J480" s="553" t="s">
        <v>102</v>
      </c>
      <c r="K480" s="10">
        <f>data!G512</f>
        <v>380.2</v>
      </c>
      <c r="L480" s="208" t="s">
        <v>2218</v>
      </c>
      <c r="M480" s="9">
        <f>ROUND(I480*K480,0)</f>
        <v>0</v>
      </c>
      <c r="N480" s="536" t="s">
        <v>2218</v>
      </c>
    </row>
    <row r="481" spans="1:14" ht="71.25" customHeight="1">
      <c r="A481" s="16">
        <v>8</v>
      </c>
      <c r="B481" s="1858" t="s">
        <v>808</v>
      </c>
      <c r="C481" s="1858"/>
      <c r="D481" s="1858"/>
      <c r="E481" s="1858"/>
      <c r="F481" s="1858"/>
      <c r="G481" s="1858"/>
      <c r="H481" s="1858"/>
      <c r="I481" s="537"/>
      <c r="J481" s="538"/>
      <c r="K481" s="16"/>
      <c r="L481" s="208"/>
      <c r="M481" s="38"/>
      <c r="N481" s="536" t="s">
        <v>2306</v>
      </c>
    </row>
    <row r="482" spans="1:14" s="544" customFormat="1" ht="16.5" customHeight="1">
      <c r="A482" s="16"/>
      <c r="B482" s="39" t="s">
        <v>2994</v>
      </c>
      <c r="C482" s="537"/>
      <c r="D482" s="539"/>
      <c r="E482" s="540"/>
      <c r="F482" s="541"/>
      <c r="G482" s="541"/>
      <c r="H482" s="541"/>
      <c r="I482" s="542"/>
      <c r="J482" s="553"/>
      <c r="K482" s="39"/>
      <c r="L482" s="208"/>
      <c r="M482" s="39"/>
      <c r="N482" s="536" t="s">
        <v>2306</v>
      </c>
    </row>
    <row r="483" spans="1:14" s="544" customFormat="1" ht="16.5" customHeight="1">
      <c r="A483" s="16"/>
      <c r="B483" s="39" t="s">
        <v>3009</v>
      </c>
      <c r="C483" s="537">
        <v>1</v>
      </c>
      <c r="D483" s="539" t="s">
        <v>273</v>
      </c>
      <c r="E483" s="540">
        <v>1</v>
      </c>
      <c r="F483" s="541">
        <v>13.76</v>
      </c>
      <c r="G483" s="541">
        <v>0</v>
      </c>
      <c r="H483" s="541">
        <v>2.4</v>
      </c>
      <c r="I483" s="545">
        <f t="shared" ref="I483:I487" si="24">ROUND(IF(AND(F483:H483),C483*E483*F483*G483*H483,IF(AND(F483,G483),C483*E483*F483*G483,IF(AND(F483,H483),C483*E483*F483*H483,IF(AND(G483,H483),C483*E483*G483*H483,IF(F483,C483*E483*F483,IF(G483,C483*E483*G483,IF(H483,C483*E483*H483,C483*E483))))))),2)</f>
        <v>33.020000000000003</v>
      </c>
      <c r="J483" s="553" t="s">
        <v>102</v>
      </c>
      <c r="K483" s="39"/>
      <c r="L483" s="208"/>
      <c r="M483" s="39"/>
      <c r="N483" s="536" t="s">
        <v>2306</v>
      </c>
    </row>
    <row r="484" spans="1:14" s="544" customFormat="1" ht="16.5" customHeight="1">
      <c r="A484" s="16"/>
      <c r="B484" s="39" t="s">
        <v>579</v>
      </c>
      <c r="C484" s="537">
        <v>1</v>
      </c>
      <c r="D484" s="539" t="s">
        <v>273</v>
      </c>
      <c r="E484" s="540">
        <v>1</v>
      </c>
      <c r="F484" s="541">
        <v>1.2</v>
      </c>
      <c r="G484" s="541">
        <v>0</v>
      </c>
      <c r="H484" s="541">
        <v>2.1</v>
      </c>
      <c r="I484" s="545">
        <f>-ROUND(IF(AND(F484:H484),C484*E484*F484*G484*H484,IF(AND(F484,G484),C484*E484*F484*G484,IF(AND(F484,H484),C484*E484*F484*H484,IF(AND(G484,H484),C484*E484*G484*H484,IF(F484,C484*E484*F484,IF(G484,C484*E484*G484,IF(H484,C484*E484*H484,C484*E484))))))),2)</f>
        <v>-2.52</v>
      </c>
      <c r="J484" s="553" t="s">
        <v>102</v>
      </c>
      <c r="K484" s="39"/>
      <c r="L484" s="208"/>
      <c r="M484" s="39"/>
      <c r="N484" s="536" t="s">
        <v>2306</v>
      </c>
    </row>
    <row r="485" spans="1:14" s="544" customFormat="1" ht="16.5" customHeight="1">
      <c r="A485" s="16"/>
      <c r="B485" s="39" t="s">
        <v>3010</v>
      </c>
      <c r="C485" s="537">
        <v>1</v>
      </c>
      <c r="D485" s="539" t="s">
        <v>273</v>
      </c>
      <c r="E485" s="540">
        <v>1</v>
      </c>
      <c r="F485" s="541">
        <v>1.27</v>
      </c>
      <c r="G485" s="541">
        <v>0</v>
      </c>
      <c r="H485" s="541">
        <v>1.8</v>
      </c>
      <c r="I485" s="545">
        <f>-ROUND(IF(AND(F485:H485),C485*E485*F485*G485*H485,IF(AND(F485,G485),C485*E485*F485*G485,IF(AND(F485,H485),C485*E485*F485*H485,IF(AND(G485,H485),C485*E485*G485*H485,IF(F485,C485*E485*F485,IF(G485,C485*E485*G485,IF(H485,C485*E485*H485,C485*E485))))))),2)</f>
        <v>-2.29</v>
      </c>
      <c r="J485" s="553" t="s">
        <v>102</v>
      </c>
      <c r="K485" s="39"/>
      <c r="L485" s="208"/>
      <c r="M485" s="39"/>
      <c r="N485" s="536" t="s">
        <v>2306</v>
      </c>
    </row>
    <row r="486" spans="1:14" s="544" customFormat="1" ht="16.5" customHeight="1">
      <c r="A486" s="16"/>
      <c r="B486" s="39" t="s">
        <v>3011</v>
      </c>
      <c r="C486" s="537">
        <v>1</v>
      </c>
      <c r="D486" s="539" t="s">
        <v>273</v>
      </c>
      <c r="E486" s="540">
        <v>2</v>
      </c>
      <c r="F486" s="541">
        <v>2.4</v>
      </c>
      <c r="G486" s="541">
        <v>0</v>
      </c>
      <c r="H486" s="541">
        <v>0.3</v>
      </c>
      <c r="I486" s="545">
        <f t="shared" si="24"/>
        <v>1.44</v>
      </c>
      <c r="J486" s="553" t="s">
        <v>102</v>
      </c>
      <c r="K486" s="39"/>
      <c r="L486" s="208"/>
      <c r="M486" s="39"/>
      <c r="N486" s="536" t="s">
        <v>2306</v>
      </c>
    </row>
    <row r="487" spans="1:14" s="544" customFormat="1" ht="16.5" customHeight="1">
      <c r="A487" s="16"/>
      <c r="B487" s="39" t="s">
        <v>3012</v>
      </c>
      <c r="C487" s="537">
        <v>1</v>
      </c>
      <c r="D487" s="539" t="s">
        <v>273</v>
      </c>
      <c r="E487" s="540">
        <v>1</v>
      </c>
      <c r="F487" s="541">
        <v>6.1</v>
      </c>
      <c r="G487" s="541">
        <v>0.23</v>
      </c>
      <c r="H487" s="541">
        <v>0</v>
      </c>
      <c r="I487" s="545">
        <f t="shared" si="24"/>
        <v>1.4</v>
      </c>
      <c r="J487" s="553" t="s">
        <v>102</v>
      </c>
      <c r="K487" s="39"/>
      <c r="L487" s="208"/>
      <c r="M487" s="39"/>
      <c r="N487" s="536" t="s">
        <v>2306</v>
      </c>
    </row>
    <row r="488" spans="1:14" s="544" customFormat="1" ht="16.5" customHeight="1">
      <c r="A488" s="16"/>
      <c r="B488" s="547"/>
      <c r="C488" s="548"/>
      <c r="D488" s="549"/>
      <c r="E488" s="550"/>
      <c r="F488" s="551"/>
      <c r="G488" s="551"/>
      <c r="H488" s="551"/>
      <c r="I488" s="552"/>
      <c r="J488" s="553"/>
      <c r="K488" s="39"/>
      <c r="L488" s="208"/>
      <c r="M488" s="39"/>
      <c r="N488" s="536" t="s">
        <v>2306</v>
      </c>
    </row>
    <row r="489" spans="1:14" ht="15.75">
      <c r="A489" s="16"/>
      <c r="B489" s="39"/>
      <c r="C489" s="554"/>
      <c r="D489" s="555"/>
      <c r="E489" s="540"/>
      <c r="F489" s="541"/>
      <c r="G489" s="40"/>
      <c r="H489" s="16"/>
      <c r="I489" s="552"/>
      <c r="J489" s="553" t="s">
        <v>102</v>
      </c>
      <c r="K489" s="10">
        <f>data!G1429</f>
        <v>410.98</v>
      </c>
      <c r="L489" s="208" t="s">
        <v>2306</v>
      </c>
      <c r="M489" s="9">
        <f>ROUND(I489*K489,0)</f>
        <v>0</v>
      </c>
      <c r="N489" s="536" t="s">
        <v>2306</v>
      </c>
    </row>
    <row r="490" spans="1:14" ht="71.25" customHeight="1">
      <c r="A490" s="16">
        <v>8</v>
      </c>
      <c r="B490" s="1858" t="s">
        <v>808</v>
      </c>
      <c r="C490" s="1858"/>
      <c r="D490" s="1858"/>
      <c r="E490" s="1858"/>
      <c r="F490" s="1858"/>
      <c r="G490" s="1858"/>
      <c r="H490" s="1858"/>
      <c r="I490" s="537"/>
      <c r="J490" s="538"/>
      <c r="K490" s="16"/>
      <c r="L490" s="208"/>
      <c r="M490" s="38"/>
      <c r="N490" s="536" t="s">
        <v>2317</v>
      </c>
    </row>
    <row r="491" spans="1:14" s="544" customFormat="1" ht="16.5" customHeight="1">
      <c r="A491" s="16"/>
      <c r="B491" s="39" t="s">
        <v>2866</v>
      </c>
      <c r="C491" s="537"/>
      <c r="D491" s="539"/>
      <c r="E491" s="540"/>
      <c r="F491" s="541"/>
      <c r="G491" s="541"/>
      <c r="H491" s="541"/>
      <c r="I491" s="542"/>
      <c r="J491" s="553"/>
      <c r="K491" s="39"/>
      <c r="L491" s="208"/>
      <c r="M491" s="39"/>
      <c r="N491" s="536" t="s">
        <v>2317</v>
      </c>
    </row>
    <row r="492" spans="1:14" s="544" customFormat="1" ht="16.5" customHeight="1">
      <c r="A492" s="16"/>
      <c r="B492" s="39" t="s">
        <v>1545</v>
      </c>
      <c r="C492" s="537">
        <v>1</v>
      </c>
      <c r="D492" s="539" t="s">
        <v>273</v>
      </c>
      <c r="E492" s="540">
        <v>2</v>
      </c>
      <c r="F492" s="541">
        <v>4.6399999999999997</v>
      </c>
      <c r="G492" s="541">
        <v>0</v>
      </c>
      <c r="H492" s="541">
        <v>2.7</v>
      </c>
      <c r="I492" s="579">
        <f>ROUND(IF(AND(F492:H492),C492*E492*F492*G492*H492,IF(AND(F492,G492),C492*E492*F492*G492,IF(AND(F492,H492),C492*E492*F492*H492,IF(AND(G492,H492),C492*E492*G492*H492,IF(F492,C492*E492*F492,IF(G492,C492*E492*G492,IF(H492,C492*E492*H492,C492*E492))))))),2)</f>
        <v>25.06</v>
      </c>
      <c r="J492" s="553" t="s">
        <v>102</v>
      </c>
      <c r="K492" s="39"/>
      <c r="L492" s="208"/>
      <c r="M492" s="39"/>
      <c r="N492" s="536" t="s">
        <v>2317</v>
      </c>
    </row>
    <row r="493" spans="1:14" s="544" customFormat="1" ht="16.5" customHeight="1">
      <c r="A493" s="16"/>
      <c r="B493" s="39" t="s">
        <v>579</v>
      </c>
      <c r="C493" s="537">
        <v>1</v>
      </c>
      <c r="D493" s="539" t="s">
        <v>273</v>
      </c>
      <c r="E493" s="540">
        <v>1</v>
      </c>
      <c r="F493" s="541">
        <v>1.07</v>
      </c>
      <c r="G493" s="541">
        <v>0</v>
      </c>
      <c r="H493" s="541">
        <v>2.12</v>
      </c>
      <c r="I493" s="579">
        <f>-ROUND(IF(AND(F493:H493),C493*E493*F493*G493*H493,IF(AND(F493,G493),C493*E493*F493*G493,IF(AND(F493,H493),C493*E493*F493*H493,IF(AND(G493,H493),C493*E493*G493*H493,IF(F493,C493*E493*F493,IF(G493,C493*E493*G493,IF(H493,C493*E493*H493,C493*E493))))))),2)</f>
        <v>-2.27</v>
      </c>
      <c r="J493" s="553" t="s">
        <v>102</v>
      </c>
      <c r="K493" s="39"/>
      <c r="L493" s="208"/>
      <c r="M493" s="39"/>
      <c r="N493" s="536" t="s">
        <v>2317</v>
      </c>
    </row>
    <row r="494" spans="1:14" s="544" customFormat="1" ht="16.5" customHeight="1">
      <c r="A494" s="16"/>
      <c r="B494" s="39" t="s">
        <v>1492</v>
      </c>
      <c r="C494" s="537">
        <v>1</v>
      </c>
      <c r="D494" s="539" t="s">
        <v>273</v>
      </c>
      <c r="E494" s="540">
        <v>1</v>
      </c>
      <c r="F494" s="541">
        <v>37.799999999999997</v>
      </c>
      <c r="G494" s="541">
        <v>0</v>
      </c>
      <c r="H494" s="541">
        <v>0.88</v>
      </c>
      <c r="I494" s="579">
        <f>ROUND(IF(AND(F494:H494),C494*E494*F494*G494*H494,IF(AND(F494,G494),C494*E494*F494*G494,IF(AND(F494,H494),C494*E494*F494*H494,IF(AND(G494,H494),C494*E494*G494*H494,IF(F494,C494*E494*F494,IF(G494,C494*E494*G494,IF(H494,C494*E494*H494,C494*E494))))))),2)</f>
        <v>33.26</v>
      </c>
      <c r="J494" s="553" t="s">
        <v>102</v>
      </c>
      <c r="K494" s="39"/>
      <c r="L494" s="208"/>
      <c r="M494" s="39"/>
      <c r="N494" s="536" t="s">
        <v>2317</v>
      </c>
    </row>
    <row r="495" spans="1:14" s="544" customFormat="1" ht="16.5" customHeight="1">
      <c r="A495" s="16"/>
      <c r="B495" s="547"/>
      <c r="C495" s="548"/>
      <c r="D495" s="549"/>
      <c r="E495" s="550"/>
      <c r="F495" s="551"/>
      <c r="G495" s="551"/>
      <c r="H495" s="551"/>
      <c r="I495" s="552"/>
      <c r="J495" s="553"/>
      <c r="K495" s="39"/>
      <c r="L495" s="208"/>
      <c r="M495" s="39"/>
      <c r="N495" s="536" t="s">
        <v>2317</v>
      </c>
    </row>
    <row r="496" spans="1:14" ht="15.75">
      <c r="A496" s="16"/>
      <c r="B496" s="39"/>
      <c r="C496" s="554"/>
      <c r="D496" s="555"/>
      <c r="E496" s="540"/>
      <c r="F496" s="541"/>
      <c r="G496" s="40"/>
      <c r="H496" s="16"/>
      <c r="I496" s="552"/>
      <c r="J496" s="553" t="s">
        <v>102</v>
      </c>
      <c r="K496" s="10">
        <f>data!G2346</f>
        <v>436.23</v>
      </c>
      <c r="L496" s="208" t="s">
        <v>2317</v>
      </c>
      <c r="M496" s="9">
        <f>ROUND(I496*K496,0)</f>
        <v>0</v>
      </c>
      <c r="N496" s="536" t="s">
        <v>2317</v>
      </c>
    </row>
    <row r="497" spans="1:14" ht="71.25" customHeight="1">
      <c r="A497" s="16">
        <v>8</v>
      </c>
      <c r="B497" s="1858" t="s">
        <v>808</v>
      </c>
      <c r="C497" s="1858"/>
      <c r="D497" s="1858"/>
      <c r="E497" s="1858"/>
      <c r="F497" s="1858"/>
      <c r="G497" s="1858"/>
      <c r="H497" s="1858"/>
      <c r="I497" s="537"/>
      <c r="J497" s="538"/>
      <c r="K497" s="16"/>
      <c r="L497" s="208"/>
      <c r="M497" s="38"/>
      <c r="N497" s="536" t="s">
        <v>2318</v>
      </c>
    </row>
    <row r="498" spans="1:14" s="544" customFormat="1" ht="16.5" customHeight="1">
      <c r="A498" s="16"/>
      <c r="B498" s="39" t="s">
        <v>3123</v>
      </c>
      <c r="C498" s="561"/>
      <c r="D498" s="562"/>
      <c r="E498" s="563"/>
      <c r="F498" s="564"/>
      <c r="G498" s="564"/>
      <c r="H498" s="564"/>
      <c r="I498" s="565"/>
      <c r="J498" s="553"/>
      <c r="K498" s="39"/>
      <c r="L498" s="208"/>
      <c r="M498" s="39"/>
      <c r="N498" s="536" t="s">
        <v>2318</v>
      </c>
    </row>
    <row r="499" spans="1:14" s="544" customFormat="1" ht="16.5" customHeight="1">
      <c r="A499" s="16"/>
      <c r="B499" s="39"/>
      <c r="C499" s="537">
        <v>1</v>
      </c>
      <c r="D499" s="539" t="s">
        <v>273</v>
      </c>
      <c r="E499" s="540">
        <v>2</v>
      </c>
      <c r="F499" s="541">
        <v>2.72</v>
      </c>
      <c r="G499" s="541">
        <v>0</v>
      </c>
      <c r="H499" s="541">
        <v>2.38</v>
      </c>
      <c r="I499" s="545">
        <f t="shared" ref="I499:I506" si="25">ROUND(IF(AND(F499:H499),C499*E499*F499*G499*H499,IF(AND(F499,G499),C499*E499*F499*G499,IF(AND(F499,H499),C499*E499*F499*H499,IF(AND(G499,H499),C499*E499*G499*H499,IF(F499,C499*E499*F499,IF(G499,C499*E499*G499,IF(H499,C499*E499*H499,C499*E499))))))),2)</f>
        <v>12.95</v>
      </c>
      <c r="J499" s="553" t="s">
        <v>102</v>
      </c>
      <c r="K499" s="39"/>
      <c r="L499" s="208"/>
      <c r="M499" s="39"/>
      <c r="N499" s="536" t="s">
        <v>2318</v>
      </c>
    </row>
    <row r="500" spans="1:14" s="544" customFormat="1" ht="16.5" customHeight="1">
      <c r="A500" s="16"/>
      <c r="B500" s="39"/>
      <c r="C500" s="537">
        <v>1</v>
      </c>
      <c r="D500" s="539" t="s">
        <v>273</v>
      </c>
      <c r="E500" s="540">
        <v>2</v>
      </c>
      <c r="F500" s="541">
        <v>3.16</v>
      </c>
      <c r="G500" s="541">
        <v>0</v>
      </c>
      <c r="H500" s="541">
        <v>2.38</v>
      </c>
      <c r="I500" s="545">
        <f t="shared" si="25"/>
        <v>15.04</v>
      </c>
      <c r="J500" s="553" t="s">
        <v>102</v>
      </c>
      <c r="K500" s="39"/>
      <c r="L500" s="208"/>
      <c r="M500" s="39"/>
      <c r="N500" s="536" t="s">
        <v>2318</v>
      </c>
    </row>
    <row r="501" spans="1:14" s="544" customFormat="1" ht="16.5" customHeight="1">
      <c r="A501" s="16"/>
      <c r="B501" s="39"/>
      <c r="C501" s="537">
        <v>1</v>
      </c>
      <c r="D501" s="539" t="s">
        <v>273</v>
      </c>
      <c r="E501" s="540">
        <v>1</v>
      </c>
      <c r="F501" s="541">
        <v>0.9</v>
      </c>
      <c r="G501" s="541">
        <v>0</v>
      </c>
      <c r="H501" s="541">
        <v>2.1</v>
      </c>
      <c r="I501" s="545">
        <f>-ROUND(IF(AND(F501:H501),C501*E501*F501*G501*H501,IF(AND(F501,G501),C501*E501*F501*G501,IF(AND(F501,H501),C501*E501*F501*H501,IF(AND(G501,H501),C501*E501*G501*H501,IF(F501,C501*E501*F501,IF(G501,C501*E501*G501,IF(H501,C501*E501*H501,C501*E501))))))),2)</f>
        <v>-1.89</v>
      </c>
      <c r="J501" s="553" t="s">
        <v>102</v>
      </c>
      <c r="K501" s="39"/>
      <c r="L501" s="208"/>
      <c r="M501" s="39"/>
      <c r="N501" s="536" t="s">
        <v>2318</v>
      </c>
    </row>
    <row r="502" spans="1:14" s="544" customFormat="1" ht="16.5" customHeight="1">
      <c r="A502" s="16"/>
      <c r="B502" s="39"/>
      <c r="C502" s="537">
        <v>1</v>
      </c>
      <c r="D502" s="539" t="s">
        <v>273</v>
      </c>
      <c r="E502" s="540">
        <v>1</v>
      </c>
      <c r="F502" s="541">
        <v>1.2</v>
      </c>
      <c r="G502" s="541">
        <v>0</v>
      </c>
      <c r="H502" s="541">
        <v>1.1000000000000001</v>
      </c>
      <c r="I502" s="545">
        <f>-ROUND(IF(AND(F502:H502),C502*E502*F502*G502*H502,IF(AND(F502,G502),C502*E502*F502*G502,IF(AND(F502,H502),C502*E502*F502*H502,IF(AND(G502,H502),C502*E502*G502*H502,IF(F502,C502*E502*F502,IF(G502,C502*E502*G502,IF(H502,C502*E502*H502,C502*E502))))))),2)</f>
        <v>-1.32</v>
      </c>
      <c r="J502" s="553" t="s">
        <v>102</v>
      </c>
      <c r="K502" s="39"/>
      <c r="L502" s="208"/>
      <c r="M502" s="39"/>
      <c r="N502" s="536" t="s">
        <v>2318</v>
      </c>
    </row>
    <row r="503" spans="1:14" s="544" customFormat="1" ht="16.5" customHeight="1">
      <c r="A503" s="16"/>
      <c r="B503" s="39"/>
      <c r="C503" s="537">
        <v>1</v>
      </c>
      <c r="D503" s="539" t="s">
        <v>273</v>
      </c>
      <c r="E503" s="540">
        <v>1</v>
      </c>
      <c r="F503" s="541">
        <v>10.050000000000001</v>
      </c>
      <c r="G503" s="541">
        <v>0</v>
      </c>
      <c r="H503" s="541">
        <v>1.9</v>
      </c>
      <c r="I503" s="545">
        <f t="shared" si="25"/>
        <v>19.100000000000001</v>
      </c>
      <c r="J503" s="553" t="s">
        <v>102</v>
      </c>
      <c r="K503" s="39"/>
      <c r="L503" s="208"/>
      <c r="M503" s="39"/>
      <c r="N503" s="536" t="s">
        <v>2318</v>
      </c>
    </row>
    <row r="504" spans="1:14" s="544" customFormat="1" ht="16.5" customHeight="1">
      <c r="A504" s="16"/>
      <c r="B504" s="39"/>
      <c r="C504" s="537">
        <v>1</v>
      </c>
      <c r="D504" s="539" t="s">
        <v>273</v>
      </c>
      <c r="E504" s="540">
        <v>1</v>
      </c>
      <c r="F504" s="541">
        <v>9.1999999999999993</v>
      </c>
      <c r="G504" s="541">
        <v>0</v>
      </c>
      <c r="H504" s="541">
        <v>1.9</v>
      </c>
      <c r="I504" s="545">
        <f t="shared" si="25"/>
        <v>17.48</v>
      </c>
      <c r="J504" s="553" t="s">
        <v>102</v>
      </c>
      <c r="K504" s="39"/>
      <c r="L504" s="208"/>
      <c r="M504" s="39"/>
      <c r="N504" s="536" t="s">
        <v>2318</v>
      </c>
    </row>
    <row r="505" spans="1:14" s="544" customFormat="1" ht="16.5" customHeight="1">
      <c r="A505" s="16"/>
      <c r="B505" s="39"/>
      <c r="C505" s="537">
        <v>1</v>
      </c>
      <c r="D505" s="539" t="s">
        <v>273</v>
      </c>
      <c r="E505" s="540">
        <v>1</v>
      </c>
      <c r="F505" s="541">
        <v>13.7</v>
      </c>
      <c r="G505" s="541">
        <v>0</v>
      </c>
      <c r="H505" s="541">
        <v>1.9</v>
      </c>
      <c r="I505" s="545">
        <f t="shared" si="25"/>
        <v>26.03</v>
      </c>
      <c r="J505" s="553" t="s">
        <v>102</v>
      </c>
      <c r="K505" s="39"/>
      <c r="L505" s="208"/>
      <c r="M505" s="39"/>
      <c r="N505" s="536" t="s">
        <v>2318</v>
      </c>
    </row>
    <row r="506" spans="1:14" s="544" customFormat="1" ht="16.5" customHeight="1">
      <c r="A506" s="16"/>
      <c r="B506" s="39"/>
      <c r="C506" s="537">
        <v>1</v>
      </c>
      <c r="D506" s="539" t="s">
        <v>273</v>
      </c>
      <c r="E506" s="540">
        <v>1</v>
      </c>
      <c r="F506" s="541">
        <v>5.95</v>
      </c>
      <c r="G506" s="541">
        <v>0</v>
      </c>
      <c r="H506" s="541">
        <v>1.9</v>
      </c>
      <c r="I506" s="545">
        <f t="shared" si="25"/>
        <v>11.31</v>
      </c>
      <c r="J506" s="553" t="s">
        <v>102</v>
      </c>
      <c r="K506" s="39"/>
      <c r="L506" s="208"/>
      <c r="M506" s="39"/>
      <c r="N506" s="536" t="s">
        <v>2318</v>
      </c>
    </row>
    <row r="507" spans="1:14" s="544" customFormat="1" ht="16.5" customHeight="1">
      <c r="A507" s="16"/>
      <c r="B507" s="547"/>
      <c r="C507" s="548"/>
      <c r="D507" s="549"/>
      <c r="E507" s="550"/>
      <c r="F507" s="551"/>
      <c r="G507" s="551"/>
      <c r="H507" s="551"/>
      <c r="I507" s="552"/>
      <c r="J507" s="553"/>
      <c r="K507" s="39"/>
      <c r="L507" s="208"/>
      <c r="M507" s="39"/>
      <c r="N507" s="536" t="s">
        <v>2318</v>
      </c>
    </row>
    <row r="508" spans="1:14" ht="15.75">
      <c r="A508" s="16"/>
      <c r="B508" s="39"/>
      <c r="C508" s="554"/>
      <c r="D508" s="555"/>
      <c r="E508" s="540"/>
      <c r="F508" s="541"/>
      <c r="G508" s="40"/>
      <c r="H508" s="16"/>
      <c r="I508" s="552"/>
      <c r="J508" s="553" t="s">
        <v>102</v>
      </c>
      <c r="K508" s="10">
        <f>data!G3263</f>
        <v>464.16</v>
      </c>
      <c r="L508" s="208" t="s">
        <v>2318</v>
      </c>
      <c r="M508" s="9">
        <f>ROUND(I508*K508,0)</f>
        <v>0</v>
      </c>
      <c r="N508" s="536" t="s">
        <v>2318</v>
      </c>
    </row>
    <row r="509" spans="1:14" ht="71.25" customHeight="1">
      <c r="A509" s="16">
        <v>8</v>
      </c>
      <c r="B509" s="1858" t="s">
        <v>316</v>
      </c>
      <c r="C509" s="1858"/>
      <c r="D509" s="1858"/>
      <c r="E509" s="1858"/>
      <c r="F509" s="1858"/>
      <c r="G509" s="1858"/>
      <c r="H509" s="1858"/>
      <c r="I509" s="537"/>
      <c r="J509" s="538"/>
      <c r="K509" s="16"/>
      <c r="L509" s="208"/>
      <c r="M509" s="38"/>
      <c r="N509" s="536" t="s">
        <v>2218</v>
      </c>
    </row>
    <row r="510" spans="1:14" s="544" customFormat="1" ht="15.75">
      <c r="A510" s="16"/>
      <c r="B510" s="39" t="s">
        <v>3096</v>
      </c>
      <c r="C510" s="561"/>
      <c r="D510" s="1145" t="s">
        <v>3335</v>
      </c>
      <c r="E510" s="563"/>
      <c r="F510" s="564"/>
      <c r="G510" s="564"/>
      <c r="H510" s="564"/>
      <c r="I510" s="565"/>
      <c r="J510" s="553"/>
      <c r="K510" s="39"/>
      <c r="L510" s="208"/>
      <c r="M510" s="39"/>
      <c r="N510" s="536" t="s">
        <v>2218</v>
      </c>
    </row>
    <row r="511" spans="1:14" s="544" customFormat="1" ht="15.75">
      <c r="A511" s="16"/>
      <c r="B511" s="39" t="s">
        <v>3185</v>
      </c>
      <c r="C511" s="537">
        <v>1</v>
      </c>
      <c r="D511" s="539" t="s">
        <v>273</v>
      </c>
      <c r="E511" s="540">
        <v>2</v>
      </c>
      <c r="F511" s="541">
        <v>4.5</v>
      </c>
      <c r="G511" s="541">
        <v>0</v>
      </c>
      <c r="H511" s="541">
        <v>2.38</v>
      </c>
      <c r="I511" s="545">
        <f t="shared" ref="I511:I512" si="26">ROUND(IF(AND(F511:H511),C511*E511*F511*G511*H511,IF(AND(F511,G511),C511*E511*F511*G511,IF(AND(F511,H511),C511*E511*F511*H511,IF(AND(G511,H511),C511*E511*G511*H511,IF(F511,C511*E511*F511,IF(G511,C511*E511*G511,IF(H511,C511*E511*H511,C511*E511))))))),2)</f>
        <v>21.42</v>
      </c>
      <c r="J511" s="553" t="s">
        <v>102</v>
      </c>
      <c r="K511" s="39"/>
      <c r="L511" s="208"/>
      <c r="M511" s="39"/>
      <c r="N511" s="536" t="s">
        <v>2218</v>
      </c>
    </row>
    <row r="512" spans="1:14" s="544" customFormat="1" ht="15.75">
      <c r="A512" s="16"/>
      <c r="B512" s="39"/>
      <c r="C512" s="537">
        <v>1</v>
      </c>
      <c r="D512" s="539" t="s">
        <v>273</v>
      </c>
      <c r="E512" s="540">
        <v>2</v>
      </c>
      <c r="F512" s="541">
        <v>3.2</v>
      </c>
      <c r="G512" s="541">
        <v>0</v>
      </c>
      <c r="H512" s="541">
        <v>2.38</v>
      </c>
      <c r="I512" s="545">
        <f t="shared" si="26"/>
        <v>15.23</v>
      </c>
      <c r="J512" s="553" t="s">
        <v>102</v>
      </c>
      <c r="K512" s="39"/>
      <c r="L512" s="208"/>
      <c r="M512" s="39"/>
      <c r="N512" s="536" t="s">
        <v>2218</v>
      </c>
    </row>
    <row r="513" spans="1:14" s="544" customFormat="1" ht="15.75">
      <c r="A513" s="16"/>
      <c r="B513" s="39" t="s">
        <v>2508</v>
      </c>
      <c r="C513" s="537">
        <v>1</v>
      </c>
      <c r="D513" s="539" t="s">
        <v>273</v>
      </c>
      <c r="E513" s="540">
        <v>1</v>
      </c>
      <c r="F513" s="541">
        <v>1.2</v>
      </c>
      <c r="G513" s="541">
        <v>0</v>
      </c>
      <c r="H513" s="541">
        <v>1.1000000000000001</v>
      </c>
      <c r="I513" s="545">
        <f>-ROUND(IF(AND(F513:H513),C513*E513*F513*G513*H513,IF(AND(F513,G513),C513*E513*F513*G513,IF(AND(F513,H513),C513*E513*F513*H513,IF(AND(G513,H513),C513*E513*G513*H513,IF(F513,C513*E513*F513,IF(G513,C513*E513*G513,IF(H513,C513*E513*H513,C513*E513))))))),2)</f>
        <v>-1.32</v>
      </c>
      <c r="J513" s="553" t="s">
        <v>102</v>
      </c>
      <c r="K513" s="39"/>
      <c r="L513" s="208"/>
      <c r="M513" s="39"/>
      <c r="N513" s="536" t="s">
        <v>2218</v>
      </c>
    </row>
    <row r="514" spans="1:14" s="544" customFormat="1" ht="15.75">
      <c r="A514" s="16"/>
      <c r="B514" s="547"/>
      <c r="C514" s="548"/>
      <c r="D514" s="549"/>
      <c r="E514" s="550"/>
      <c r="F514" s="551"/>
      <c r="G514" s="551"/>
      <c r="H514" s="551"/>
      <c r="I514" s="552"/>
      <c r="J514" s="553"/>
      <c r="K514" s="39"/>
      <c r="L514" s="208"/>
      <c r="M514" s="39"/>
      <c r="N514" s="536" t="s">
        <v>2218</v>
      </c>
    </row>
    <row r="515" spans="1:14" ht="15.75">
      <c r="A515" s="16"/>
      <c r="B515" s="39"/>
      <c r="C515" s="554"/>
      <c r="D515" s="555"/>
      <c r="E515" s="540"/>
      <c r="F515" s="541"/>
      <c r="G515" s="40"/>
      <c r="H515" s="16"/>
      <c r="I515" s="552"/>
      <c r="J515" s="553" t="s">
        <v>102</v>
      </c>
      <c r="K515" s="10">
        <f>data!G532</f>
        <v>393.56</v>
      </c>
      <c r="L515" s="208" t="s">
        <v>2218</v>
      </c>
      <c r="M515" s="9">
        <f>ROUND(I515*K515,0)</f>
        <v>0</v>
      </c>
      <c r="N515" s="536" t="s">
        <v>2218</v>
      </c>
    </row>
    <row r="516" spans="1:14" ht="71.25" customHeight="1">
      <c r="A516" s="16">
        <v>9</v>
      </c>
      <c r="B516" s="1858" t="s">
        <v>316</v>
      </c>
      <c r="C516" s="1858"/>
      <c r="D516" s="1858"/>
      <c r="E516" s="1858"/>
      <c r="F516" s="1858"/>
      <c r="G516" s="1858"/>
      <c r="H516" s="1858"/>
      <c r="I516" s="537"/>
      <c r="J516" s="538"/>
      <c r="K516" s="16"/>
      <c r="L516" s="208"/>
      <c r="M516" s="38"/>
      <c r="N516" s="536" t="s">
        <v>2306</v>
      </c>
    </row>
    <row r="517" spans="1:14" s="544" customFormat="1" ht="15.75">
      <c r="A517" s="16"/>
      <c r="B517" s="39" t="s">
        <v>3019</v>
      </c>
      <c r="C517" s="537"/>
      <c r="D517" s="539"/>
      <c r="E517" s="540"/>
      <c r="F517" s="541"/>
      <c r="G517" s="541"/>
      <c r="H517" s="541"/>
      <c r="I517" s="542"/>
      <c r="J517" s="553"/>
      <c r="K517" s="39"/>
      <c r="L517" s="208"/>
      <c r="M517" s="39"/>
      <c r="N517" s="536" t="s">
        <v>2306</v>
      </c>
    </row>
    <row r="518" spans="1:14" s="544" customFormat="1" ht="15.75">
      <c r="A518" s="16"/>
      <c r="B518" s="39" t="s">
        <v>3020</v>
      </c>
      <c r="C518" s="537">
        <v>1</v>
      </c>
      <c r="D518" s="539" t="s">
        <v>273</v>
      </c>
      <c r="E518" s="540">
        <v>1</v>
      </c>
      <c r="F518" s="541">
        <v>15.6</v>
      </c>
      <c r="G518" s="541">
        <v>0</v>
      </c>
      <c r="H518" s="541">
        <v>2.4</v>
      </c>
      <c r="I518" s="545">
        <f t="shared" ref="I518" si="27">ROUND(IF(AND(F518:H518),C518*E518*F518*G518*H518,IF(AND(F518,G518),C518*E518*F518*G518,IF(AND(F518,H518),C518*E518*F518*H518,IF(AND(G518,H518),C518*E518*G518*H518,IF(F518,C518*E518*F518,IF(G518,C518*E518*G518,IF(H518,C518*E518*H518,C518*E518))))))),2)</f>
        <v>37.44</v>
      </c>
      <c r="J518" s="553" t="s">
        <v>102</v>
      </c>
      <c r="K518" s="39"/>
      <c r="L518" s="208"/>
      <c r="M518" s="39"/>
      <c r="N518" s="536" t="s">
        <v>2306</v>
      </c>
    </row>
    <row r="519" spans="1:14" s="544" customFormat="1" ht="15.75">
      <c r="A519" s="16"/>
      <c r="B519" s="39" t="s">
        <v>579</v>
      </c>
      <c r="C519" s="537">
        <v>1</v>
      </c>
      <c r="D519" s="539" t="s">
        <v>273</v>
      </c>
      <c r="E519" s="540">
        <v>1</v>
      </c>
      <c r="F519" s="541">
        <v>1.2</v>
      </c>
      <c r="G519" s="541">
        <v>0</v>
      </c>
      <c r="H519" s="541">
        <v>2.1</v>
      </c>
      <c r="I519" s="545">
        <f>-ROUND(IF(AND(F519:H519),C519*E519*F519*G519*H519,IF(AND(F519,G519),C519*E519*F519*G519,IF(AND(F519,H519),C519*E519*F519*H519,IF(AND(G519,H519),C519*E519*G519*H519,IF(F519,C519*E519*F519,IF(G519,C519*E519*G519,IF(H519,C519*E519*H519,C519*E519))))))),2)</f>
        <v>-2.52</v>
      </c>
      <c r="J519" s="553" t="s">
        <v>102</v>
      </c>
      <c r="K519" s="39"/>
      <c r="L519" s="208"/>
      <c r="M519" s="39"/>
      <c r="N519" s="536" t="s">
        <v>2306</v>
      </c>
    </row>
    <row r="520" spans="1:14" s="544" customFormat="1" ht="15.75">
      <c r="A520" s="16"/>
      <c r="B520" s="39" t="s">
        <v>3021</v>
      </c>
      <c r="C520" s="537">
        <v>1</v>
      </c>
      <c r="D520" s="539" t="s">
        <v>273</v>
      </c>
      <c r="E520" s="540">
        <v>1</v>
      </c>
      <c r="F520" s="541">
        <v>1.27</v>
      </c>
      <c r="G520" s="541">
        <v>0</v>
      </c>
      <c r="H520" s="541">
        <v>1.8</v>
      </c>
      <c r="I520" s="545">
        <f>-ROUND(IF(AND(F520:H520),C520*E520*F520*G520*H520,IF(AND(F520,G520),C520*E520*F520*G520,IF(AND(F520,H520),C520*E520*F520*H520,IF(AND(G520,H520),C520*E520*G520*H520,IF(F520,C520*E520*F520,IF(G520,C520*E520*G520,IF(H520,C520*E520*H520,C520*E520))))))),2)</f>
        <v>-2.29</v>
      </c>
      <c r="J520" s="553" t="s">
        <v>102</v>
      </c>
      <c r="K520" s="39"/>
      <c r="L520" s="208"/>
      <c r="M520" s="39"/>
      <c r="N520" s="536" t="s">
        <v>2306</v>
      </c>
    </row>
    <row r="521" spans="1:14" s="544" customFormat="1" ht="15.75">
      <c r="A521" s="16"/>
      <c r="B521" s="39" t="s">
        <v>2990</v>
      </c>
      <c r="C521" s="537">
        <v>1</v>
      </c>
      <c r="D521" s="539" t="s">
        <v>273</v>
      </c>
      <c r="E521" s="540">
        <v>1</v>
      </c>
      <c r="F521" s="541">
        <v>18</v>
      </c>
      <c r="G521" s="541">
        <v>0</v>
      </c>
      <c r="H521" s="541">
        <v>0.125</v>
      </c>
      <c r="I521" s="545">
        <f t="shared" ref="I521" si="28">ROUND(IF(AND(F521:H521),C521*E521*F521*G521*H521,IF(AND(F521,G521),C521*E521*F521*G521,IF(AND(F521,H521),C521*E521*F521*H521,IF(AND(G521,H521),C521*E521*G521*H521,IF(F521,C521*E521*F521,IF(G521,C521*E521*G521,IF(H521,C521*E521*H521,C521*E521))))))),2)</f>
        <v>2.25</v>
      </c>
      <c r="J521" s="553" t="s">
        <v>102</v>
      </c>
      <c r="K521" s="39"/>
      <c r="L521" s="208"/>
      <c r="M521" s="39"/>
      <c r="N521" s="536" t="s">
        <v>2306</v>
      </c>
    </row>
    <row r="522" spans="1:14" s="544" customFormat="1" ht="15.75">
      <c r="A522" s="16"/>
      <c r="B522" s="39" t="s">
        <v>3019</v>
      </c>
      <c r="C522" s="537"/>
      <c r="D522" s="539"/>
      <c r="E522" s="540"/>
      <c r="F522" s="541"/>
      <c r="G522" s="541"/>
      <c r="H522" s="541"/>
      <c r="I522" s="542"/>
      <c r="J522" s="553"/>
      <c r="K522" s="39"/>
      <c r="L522" s="208"/>
      <c r="M522" s="39"/>
      <c r="N522" s="536" t="s">
        <v>2306</v>
      </c>
    </row>
    <row r="523" spans="1:14" s="544" customFormat="1" ht="15.75">
      <c r="A523" s="16"/>
      <c r="B523" s="39" t="s">
        <v>1492</v>
      </c>
      <c r="C523" s="537">
        <v>1</v>
      </c>
      <c r="D523" s="539" t="s">
        <v>273</v>
      </c>
      <c r="E523" s="540">
        <v>2</v>
      </c>
      <c r="F523" s="541">
        <v>41.7</v>
      </c>
      <c r="G523" s="541">
        <v>0</v>
      </c>
      <c r="H523" s="541">
        <v>0.9</v>
      </c>
      <c r="I523" s="545">
        <f t="shared" ref="I523" si="29">ROUND(IF(AND(F523:H523),C523*E523*F523*G523*H523,IF(AND(F523,G523),C523*E523*F523*G523,IF(AND(F523,H523),C523*E523*F523*H523,IF(AND(G523,H523),C523*E523*G523*H523,IF(F523,C523*E523*F523,IF(G523,C523*E523*G523,IF(H523,C523*E523*H523,C523*E523))))))),2)</f>
        <v>75.06</v>
      </c>
      <c r="J523" s="553" t="s">
        <v>102</v>
      </c>
      <c r="K523" s="39"/>
      <c r="L523" s="208"/>
      <c r="M523" s="39"/>
      <c r="N523" s="536" t="s">
        <v>2306</v>
      </c>
    </row>
    <row r="524" spans="1:14" s="544" customFormat="1" ht="15.75">
      <c r="A524" s="16"/>
      <c r="B524" s="547"/>
      <c r="C524" s="548"/>
      <c r="D524" s="549"/>
      <c r="E524" s="550"/>
      <c r="F524" s="551"/>
      <c r="G524" s="551"/>
      <c r="H524" s="551"/>
      <c r="I524" s="552"/>
      <c r="J524" s="553"/>
      <c r="K524" s="39"/>
      <c r="L524" s="208"/>
      <c r="M524" s="39"/>
      <c r="N524" s="536" t="s">
        <v>2306</v>
      </c>
    </row>
    <row r="525" spans="1:14" ht="15.75">
      <c r="A525" s="16"/>
      <c r="B525" s="39"/>
      <c r="C525" s="554"/>
      <c r="D525" s="555"/>
      <c r="E525" s="540"/>
      <c r="F525" s="541"/>
      <c r="G525" s="40"/>
      <c r="H525" s="16"/>
      <c r="I525" s="552"/>
      <c r="J525" s="553" t="s">
        <v>102</v>
      </c>
      <c r="K525" s="10">
        <f>data!G1449</f>
        <v>424.91</v>
      </c>
      <c r="L525" s="208" t="s">
        <v>2306</v>
      </c>
      <c r="M525" s="9">
        <f>ROUND(I525*K525,0)</f>
        <v>0</v>
      </c>
      <c r="N525" s="536" t="s">
        <v>2306</v>
      </c>
    </row>
    <row r="526" spans="1:14" ht="71.25" customHeight="1">
      <c r="A526" s="16">
        <v>9</v>
      </c>
      <c r="B526" s="1858" t="s">
        <v>316</v>
      </c>
      <c r="C526" s="1858"/>
      <c r="D526" s="1858"/>
      <c r="E526" s="1858"/>
      <c r="F526" s="1858"/>
      <c r="G526" s="1858"/>
      <c r="H526" s="1858"/>
      <c r="I526" s="537"/>
      <c r="J526" s="538"/>
      <c r="K526" s="16"/>
      <c r="L526" s="208"/>
      <c r="M526" s="38"/>
      <c r="N526" s="536" t="s">
        <v>2317</v>
      </c>
    </row>
    <row r="527" spans="1:14" s="544" customFormat="1" ht="15.75">
      <c r="A527" s="16"/>
      <c r="B527" s="39" t="s">
        <v>2832</v>
      </c>
      <c r="C527" s="537"/>
      <c r="D527" s="539"/>
      <c r="E527" s="540"/>
      <c r="F527" s="541"/>
      <c r="G527" s="541"/>
      <c r="H527" s="541"/>
      <c r="I527" s="542"/>
      <c r="J527" s="553"/>
      <c r="K527" s="39"/>
      <c r="L527" s="208"/>
      <c r="M527" s="39"/>
      <c r="N527" s="536" t="s">
        <v>2317</v>
      </c>
    </row>
    <row r="528" spans="1:14" s="544" customFormat="1" ht="15.75">
      <c r="A528" s="16"/>
      <c r="B528" s="39"/>
      <c r="C528" s="537">
        <v>1</v>
      </c>
      <c r="D528" s="539" t="s">
        <v>273</v>
      </c>
      <c r="E528" s="540">
        <v>2</v>
      </c>
      <c r="F528" s="541">
        <v>3.25</v>
      </c>
      <c r="G528" s="541">
        <v>0</v>
      </c>
      <c r="H528" s="541">
        <v>2.7</v>
      </c>
      <c r="I528" s="545">
        <f>ROUND(IF(AND(F528:H528),C528*E528*F528*G528*H528,IF(AND(F528,G528),C528*E528*F528*G528,IF(AND(F528,H528),C528*E528*F528*H528,IF(AND(G528,H528),C528*E528*G528*H528,IF(F528,C528*E528*F528,IF(G528,C528*E528*G528,IF(H528,C528*E528*H528,C528*E528))))))),2)</f>
        <v>17.55</v>
      </c>
      <c r="J528" s="553" t="s">
        <v>102</v>
      </c>
      <c r="K528" s="39"/>
      <c r="L528" s="208"/>
      <c r="M528" s="39"/>
      <c r="N528" s="536" t="s">
        <v>2317</v>
      </c>
    </row>
    <row r="529" spans="1:14" s="544" customFormat="1" ht="15.75">
      <c r="A529" s="16"/>
      <c r="B529" s="39"/>
      <c r="C529" s="537">
        <v>1</v>
      </c>
      <c r="D529" s="539" t="s">
        <v>273</v>
      </c>
      <c r="E529" s="540">
        <v>2</v>
      </c>
      <c r="F529" s="541">
        <v>4.74</v>
      </c>
      <c r="G529" s="541">
        <v>0</v>
      </c>
      <c r="H529" s="541">
        <v>2.7</v>
      </c>
      <c r="I529" s="545">
        <f>ROUND(IF(AND(F529:H529),C529*E529*F529*G529*H529,IF(AND(F529,G529),C529*E529*F529*G529,IF(AND(F529,H529),C529*E529*F529*H529,IF(AND(G529,H529),C529*E529*G529*H529,IF(F529,C529*E529*F529,IF(G529,C529*E529*G529,IF(H529,C529*E529*H529,C529*E529))))))),2)</f>
        <v>25.6</v>
      </c>
      <c r="J529" s="553" t="s">
        <v>102</v>
      </c>
      <c r="K529" s="39"/>
      <c r="L529" s="208"/>
      <c r="M529" s="39"/>
      <c r="N529" s="536" t="s">
        <v>2317</v>
      </c>
    </row>
    <row r="530" spans="1:14" s="544" customFormat="1" ht="15.75">
      <c r="A530" s="16"/>
      <c r="B530" s="39" t="s">
        <v>1492</v>
      </c>
      <c r="C530" s="537">
        <v>1</v>
      </c>
      <c r="D530" s="539" t="s">
        <v>273</v>
      </c>
      <c r="E530" s="540">
        <v>1</v>
      </c>
      <c r="F530" s="541">
        <v>1.5</v>
      </c>
      <c r="G530" s="541">
        <v>0</v>
      </c>
      <c r="H530" s="541">
        <v>1.35</v>
      </c>
      <c r="I530" s="545">
        <f>-ROUND(IF(AND(F530:H530),C530*E530*F530*G530*H530,IF(AND(F530,G530),C530*E530*F530*G530,IF(AND(F530,H530),C530*E530*F530*H530,IF(AND(G530,H530),C530*E530*G530*H530,IF(F530,C530*E530*F530,IF(G530,C530*E530*G530,IF(H530,C530*E530*H530,C530*E530))))))),2)</f>
        <v>-2.0299999999999998</v>
      </c>
      <c r="J530" s="553" t="s">
        <v>102</v>
      </c>
      <c r="K530" s="39"/>
      <c r="L530" s="208"/>
      <c r="M530" s="39"/>
      <c r="N530" s="536" t="s">
        <v>2317</v>
      </c>
    </row>
    <row r="531" spans="1:14" s="544" customFormat="1" ht="15.75">
      <c r="A531" s="16"/>
      <c r="B531" s="547"/>
      <c r="C531" s="548"/>
      <c r="D531" s="549"/>
      <c r="E531" s="550"/>
      <c r="F531" s="551"/>
      <c r="G531" s="551"/>
      <c r="H531" s="551"/>
      <c r="I531" s="552"/>
      <c r="J531" s="553"/>
      <c r="K531" s="39"/>
      <c r="L531" s="208"/>
      <c r="M531" s="39"/>
      <c r="N531" s="536" t="s">
        <v>2317</v>
      </c>
    </row>
    <row r="532" spans="1:14" ht="15.75">
      <c r="A532" s="16"/>
      <c r="B532" s="39"/>
      <c r="C532" s="554"/>
      <c r="D532" s="555"/>
      <c r="E532" s="540"/>
      <c r="F532" s="541"/>
      <c r="G532" s="40"/>
      <c r="H532" s="16"/>
      <c r="I532" s="552"/>
      <c r="J532" s="553" t="s">
        <v>102</v>
      </c>
      <c r="K532" s="10">
        <f>data!G2366</f>
        <v>451.54</v>
      </c>
      <c r="L532" s="208" t="s">
        <v>2317</v>
      </c>
      <c r="M532" s="9">
        <f>ROUND(I532*K532,0)</f>
        <v>0</v>
      </c>
      <c r="N532" s="536" t="s">
        <v>2317</v>
      </c>
    </row>
    <row r="533" spans="1:14" ht="71.25" customHeight="1">
      <c r="A533" s="16">
        <v>8</v>
      </c>
      <c r="B533" s="1858" t="s">
        <v>316</v>
      </c>
      <c r="C533" s="1858"/>
      <c r="D533" s="1858"/>
      <c r="E533" s="1858"/>
      <c r="F533" s="1858"/>
      <c r="G533" s="1858"/>
      <c r="H533" s="1858"/>
      <c r="I533" s="537"/>
      <c r="J533" s="538"/>
      <c r="K533" s="16"/>
      <c r="L533" s="208"/>
      <c r="M533" s="38"/>
      <c r="N533" s="536" t="s">
        <v>2318</v>
      </c>
    </row>
    <row r="534" spans="1:14" s="544" customFormat="1" ht="15.75">
      <c r="A534" s="16"/>
      <c r="B534" s="39" t="s">
        <v>3096</v>
      </c>
      <c r="C534" s="561"/>
      <c r="D534" s="1145" t="s">
        <v>3335</v>
      </c>
      <c r="E534" s="563"/>
      <c r="F534" s="564"/>
      <c r="G534" s="564"/>
      <c r="H534" s="564"/>
      <c r="I534" s="565"/>
      <c r="J534" s="553"/>
      <c r="K534" s="39"/>
      <c r="L534" s="208"/>
      <c r="M534" s="39"/>
      <c r="N534" s="536" t="s">
        <v>2318</v>
      </c>
    </row>
    <row r="535" spans="1:14" s="544" customFormat="1" ht="15.75">
      <c r="A535" s="16"/>
      <c r="B535" s="39" t="s">
        <v>3185</v>
      </c>
      <c r="C535" s="537">
        <v>1</v>
      </c>
      <c r="D535" s="539" t="s">
        <v>273</v>
      </c>
      <c r="E535" s="540">
        <v>2</v>
      </c>
      <c r="F535" s="541">
        <v>4.5</v>
      </c>
      <c r="G535" s="541">
        <v>0</v>
      </c>
      <c r="H535" s="541">
        <v>2.38</v>
      </c>
      <c r="I535" s="545">
        <f t="shared" ref="I535:I536" si="30">ROUND(IF(AND(F535:H535),C535*E535*F535*G535*H535,IF(AND(F535,G535),C535*E535*F535*G535,IF(AND(F535,H535),C535*E535*F535*H535,IF(AND(G535,H535),C535*E535*G535*H535,IF(F535,C535*E535*F535,IF(G535,C535*E535*G535,IF(H535,C535*E535*H535,C535*E535))))))),2)</f>
        <v>21.42</v>
      </c>
      <c r="J535" s="553" t="s">
        <v>102</v>
      </c>
      <c r="K535" s="39"/>
      <c r="L535" s="208"/>
      <c r="M535" s="39"/>
      <c r="N535" s="536" t="s">
        <v>2318</v>
      </c>
    </row>
    <row r="536" spans="1:14" s="544" customFormat="1" ht="15.75">
      <c r="A536" s="16"/>
      <c r="B536" s="39"/>
      <c r="C536" s="537">
        <v>1</v>
      </c>
      <c r="D536" s="539" t="s">
        <v>273</v>
      </c>
      <c r="E536" s="540">
        <v>2</v>
      </c>
      <c r="F536" s="541">
        <v>3.2</v>
      </c>
      <c r="G536" s="541">
        <v>0</v>
      </c>
      <c r="H536" s="541">
        <v>2.38</v>
      </c>
      <c r="I536" s="545">
        <f t="shared" si="30"/>
        <v>15.23</v>
      </c>
      <c r="J536" s="553" t="s">
        <v>102</v>
      </c>
      <c r="K536" s="39"/>
      <c r="L536" s="208"/>
      <c r="M536" s="39"/>
      <c r="N536" s="536" t="s">
        <v>2318</v>
      </c>
    </row>
    <row r="537" spans="1:14" s="544" customFormat="1" ht="15.75">
      <c r="A537" s="16"/>
      <c r="B537" s="39" t="s">
        <v>2508</v>
      </c>
      <c r="C537" s="537">
        <v>1</v>
      </c>
      <c r="D537" s="539" t="s">
        <v>273</v>
      </c>
      <c r="E537" s="540">
        <v>1</v>
      </c>
      <c r="F537" s="541">
        <v>1.2</v>
      </c>
      <c r="G537" s="541">
        <v>0</v>
      </c>
      <c r="H537" s="541">
        <v>1.1000000000000001</v>
      </c>
      <c r="I537" s="545">
        <f>-ROUND(IF(AND(F537:H537),C537*E537*F537*G537*H537,IF(AND(F537,G537),C537*E537*F537*G537,IF(AND(F537,H537),C537*E537*F537*H537,IF(AND(G537,H537),C537*E537*G537*H537,IF(F537,C537*E537*F537,IF(G537,C537*E537*G537,IF(H537,C537*E537*H537,C537*E537))))))),2)</f>
        <v>-1.32</v>
      </c>
      <c r="J537" s="553" t="s">
        <v>102</v>
      </c>
      <c r="K537" s="39"/>
      <c r="L537" s="208"/>
      <c r="M537" s="39"/>
      <c r="N537" s="536" t="s">
        <v>2318</v>
      </c>
    </row>
    <row r="538" spans="1:14" s="544" customFormat="1" ht="15.75">
      <c r="A538" s="16"/>
      <c r="B538" s="547"/>
      <c r="C538" s="548"/>
      <c r="D538" s="549"/>
      <c r="E538" s="550"/>
      <c r="F538" s="551"/>
      <c r="G538" s="551"/>
      <c r="H538" s="551"/>
      <c r="I538" s="552"/>
      <c r="J538" s="553"/>
      <c r="K538" s="39"/>
      <c r="L538" s="208"/>
      <c r="M538" s="39"/>
      <c r="N538" s="536" t="s">
        <v>2318</v>
      </c>
    </row>
    <row r="539" spans="1:14" ht="15.75">
      <c r="A539" s="16"/>
      <c r="B539" s="39"/>
      <c r="C539" s="554"/>
      <c r="D539" s="555"/>
      <c r="E539" s="540"/>
      <c r="F539" s="541"/>
      <c r="G539" s="40"/>
      <c r="H539" s="16"/>
      <c r="I539" s="552"/>
      <c r="J539" s="553" t="s">
        <v>102</v>
      </c>
      <c r="K539" s="10">
        <f>data!G3283</f>
        <v>479.98</v>
      </c>
      <c r="L539" s="208" t="s">
        <v>2318</v>
      </c>
      <c r="M539" s="9">
        <f>ROUND(I539*K539,0)</f>
        <v>0</v>
      </c>
      <c r="N539" s="536" t="s">
        <v>2318</v>
      </c>
    </row>
    <row r="540" spans="1:14" ht="92.25" customHeight="1">
      <c r="A540" s="16">
        <v>13</v>
      </c>
      <c r="B540" s="1858" t="s">
        <v>1437</v>
      </c>
      <c r="C540" s="1858"/>
      <c r="D540" s="1858"/>
      <c r="E540" s="1858"/>
      <c r="F540" s="1858"/>
      <c r="G540" s="1858"/>
      <c r="H540" s="1858"/>
      <c r="I540" s="537"/>
      <c r="J540" s="538"/>
      <c r="K540" s="16"/>
      <c r="L540" s="208"/>
      <c r="M540" s="38"/>
      <c r="N540" s="536" t="s">
        <v>2218</v>
      </c>
    </row>
    <row r="541" spans="1:14" s="544" customFormat="1" ht="16.5" customHeight="1">
      <c r="A541" s="16"/>
      <c r="B541" s="607" t="s">
        <v>2902</v>
      </c>
      <c r="C541" s="566"/>
      <c r="D541" s="567"/>
      <c r="E541" s="568"/>
      <c r="F541" s="569"/>
      <c r="G541" s="569"/>
      <c r="H541" s="570"/>
      <c r="I541" s="571"/>
      <c r="J541" s="553"/>
      <c r="K541" s="39"/>
      <c r="L541" s="208"/>
      <c r="M541" s="39"/>
      <c r="N541" s="536" t="s">
        <v>2218</v>
      </c>
    </row>
    <row r="542" spans="1:14" s="544" customFormat="1" ht="16.5" customHeight="1">
      <c r="A542" s="16"/>
      <c r="B542" s="547"/>
      <c r="C542" s="548">
        <v>11</v>
      </c>
      <c r="D542" s="549" t="s">
        <v>273</v>
      </c>
      <c r="E542" s="581">
        <v>0.5</v>
      </c>
      <c r="F542" s="551">
        <v>1.8</v>
      </c>
      <c r="G542" s="551">
        <v>0.3</v>
      </c>
      <c r="H542" s="551">
        <v>0.15</v>
      </c>
      <c r="I542" s="552">
        <f>ROUND(IF(AND(F542:H542),C542*E542*F542*G542*H542,IF(AND(F542,G542),C542*E542*F542*G542,IF(AND(F542,H542),C542*E542*F542*H542,IF(AND(G542,H542),C542*E542*G542*H542,IF(F542,C542*E542*F542,IF(G542,C542*E542*G542,IF(H542,C542*E542*H542,C542*E542))))))),2)</f>
        <v>0.45</v>
      </c>
      <c r="J542" s="553" t="s">
        <v>5</v>
      </c>
      <c r="K542" s="39"/>
      <c r="L542" s="208"/>
      <c r="M542" s="39"/>
      <c r="N542" s="536" t="s">
        <v>2218</v>
      </c>
    </row>
    <row r="543" spans="1:14" s="544" customFormat="1" ht="16.5" customHeight="1">
      <c r="A543" s="16"/>
      <c r="B543" s="547"/>
      <c r="C543" s="548"/>
      <c r="D543" s="549"/>
      <c r="E543" s="581"/>
      <c r="F543" s="551"/>
      <c r="G543" s="551"/>
      <c r="H543" s="551"/>
      <c r="I543" s="552"/>
      <c r="J543" s="553"/>
      <c r="K543" s="39"/>
      <c r="L543" s="208"/>
      <c r="M543" s="39"/>
      <c r="N543" s="536" t="s">
        <v>2218</v>
      </c>
    </row>
    <row r="544" spans="1:14" ht="15.75">
      <c r="A544" s="16"/>
      <c r="B544" s="39"/>
      <c r="C544" s="554"/>
      <c r="D544" s="555"/>
      <c r="E544" s="540"/>
      <c r="F544" s="541"/>
      <c r="G544" s="40"/>
      <c r="H544" s="16"/>
      <c r="I544" s="552"/>
      <c r="J544" s="553" t="s">
        <v>5</v>
      </c>
      <c r="K544" s="10">
        <f>data!G272</f>
        <v>5152.2499999999991</v>
      </c>
      <c r="L544" s="208" t="s">
        <v>2218</v>
      </c>
      <c r="M544" s="9">
        <f>ROUND(I544*K544,0)</f>
        <v>0</v>
      </c>
      <c r="N544" s="536" t="s">
        <v>2218</v>
      </c>
    </row>
    <row r="545" spans="1:14" ht="92.25" customHeight="1">
      <c r="A545" s="16">
        <v>13</v>
      </c>
      <c r="B545" s="1858" t="s">
        <v>1437</v>
      </c>
      <c r="C545" s="1858"/>
      <c r="D545" s="1858"/>
      <c r="E545" s="1858"/>
      <c r="F545" s="1858"/>
      <c r="G545" s="1858"/>
      <c r="H545" s="1858"/>
      <c r="I545" s="537"/>
      <c r="J545" s="538"/>
      <c r="K545" s="16"/>
      <c r="L545" s="208"/>
      <c r="M545" s="38"/>
      <c r="N545" s="536" t="s">
        <v>2306</v>
      </c>
    </row>
    <row r="546" spans="1:14" s="544" customFormat="1" ht="16.5" customHeight="1">
      <c r="A546" s="16"/>
      <c r="B546" s="607" t="s">
        <v>2902</v>
      </c>
      <c r="C546" s="566"/>
      <c r="D546" s="567"/>
      <c r="E546" s="568"/>
      <c r="F546" s="569"/>
      <c r="G546" s="569"/>
      <c r="H546" s="570"/>
      <c r="I546" s="571"/>
      <c r="J546" s="553"/>
      <c r="K546" s="39"/>
      <c r="L546" s="208"/>
      <c r="M546" s="39"/>
      <c r="N546" s="536" t="s">
        <v>2306</v>
      </c>
    </row>
    <row r="547" spans="1:14" s="544" customFormat="1" ht="16.5" customHeight="1">
      <c r="A547" s="16"/>
      <c r="B547" s="547"/>
      <c r="C547" s="548">
        <v>11</v>
      </c>
      <c r="D547" s="549" t="s">
        <v>273</v>
      </c>
      <c r="E547" s="581">
        <v>0.5</v>
      </c>
      <c r="F547" s="551">
        <v>1.8</v>
      </c>
      <c r="G547" s="551">
        <v>0.3</v>
      </c>
      <c r="H547" s="551">
        <v>0.15</v>
      </c>
      <c r="I547" s="552">
        <f>ROUND(IF(AND(F547:H547),C547*E547*F547*G547*H547,IF(AND(F547,G547),C547*E547*F547*G547,IF(AND(F547,H547),C547*E547*F547*H547,IF(AND(G547,H547),C547*E547*G547*H547,IF(F547,C547*E547*F547,IF(G547,C547*E547*G547,IF(H547,C547*E547*H547,C547*E547))))))),2)</f>
        <v>0.45</v>
      </c>
      <c r="J547" s="553" t="s">
        <v>5</v>
      </c>
      <c r="K547" s="39"/>
      <c r="L547" s="208"/>
      <c r="M547" s="39"/>
      <c r="N547" s="536" t="s">
        <v>2306</v>
      </c>
    </row>
    <row r="548" spans="1:14" s="544" customFormat="1" ht="16.5" customHeight="1">
      <c r="A548" s="16"/>
      <c r="B548" s="547"/>
      <c r="C548" s="548"/>
      <c r="D548" s="549"/>
      <c r="E548" s="581"/>
      <c r="F548" s="551"/>
      <c r="G548" s="551"/>
      <c r="H548" s="551"/>
      <c r="I548" s="552"/>
      <c r="J548" s="553"/>
      <c r="K548" s="39"/>
      <c r="L548" s="208"/>
      <c r="M548" s="39"/>
      <c r="N548" s="536" t="s">
        <v>2306</v>
      </c>
    </row>
    <row r="549" spans="1:14" ht="15.75">
      <c r="A549" s="16"/>
      <c r="B549" s="39"/>
      <c r="C549" s="554"/>
      <c r="D549" s="555"/>
      <c r="E549" s="540"/>
      <c r="F549" s="541"/>
      <c r="G549" s="40"/>
      <c r="H549" s="16"/>
      <c r="I549" s="552"/>
      <c r="J549" s="553" t="s">
        <v>5</v>
      </c>
      <c r="K549" s="10">
        <f>data!G1188</f>
        <v>5333.72</v>
      </c>
      <c r="L549" s="208" t="s">
        <v>2306</v>
      </c>
      <c r="M549" s="9">
        <f>ROUND(I549*K549,0)</f>
        <v>0</v>
      </c>
      <c r="N549" s="536" t="s">
        <v>2306</v>
      </c>
    </row>
    <row r="550" spans="1:14" ht="92.25" customHeight="1">
      <c r="A550" s="16">
        <v>13</v>
      </c>
      <c r="B550" s="1858" t="s">
        <v>1437</v>
      </c>
      <c r="C550" s="1858"/>
      <c r="D550" s="1858"/>
      <c r="E550" s="1858"/>
      <c r="F550" s="1858"/>
      <c r="G550" s="1858"/>
      <c r="H550" s="1858"/>
      <c r="I550" s="537"/>
      <c r="J550" s="538"/>
      <c r="K550" s="16"/>
      <c r="L550" s="208"/>
      <c r="M550" s="38"/>
      <c r="N550" s="536" t="s">
        <v>2317</v>
      </c>
    </row>
    <row r="551" spans="1:14" s="544" customFormat="1" ht="16.5" customHeight="1">
      <c r="A551" s="16"/>
      <c r="B551" s="607" t="s">
        <v>2902</v>
      </c>
      <c r="C551" s="566"/>
      <c r="D551" s="567"/>
      <c r="E551" s="568"/>
      <c r="F551" s="569"/>
      <c r="G551" s="569"/>
      <c r="H551" s="570"/>
      <c r="I551" s="571"/>
      <c r="J551" s="553"/>
      <c r="K551" s="39"/>
      <c r="L551" s="208"/>
      <c r="M551" s="39"/>
      <c r="N551" s="536" t="s">
        <v>2317</v>
      </c>
    </row>
    <row r="552" spans="1:14" s="544" customFormat="1" ht="16.5" customHeight="1">
      <c r="A552" s="16"/>
      <c r="B552" s="547"/>
      <c r="C552" s="548">
        <v>11</v>
      </c>
      <c r="D552" s="549" t="s">
        <v>273</v>
      </c>
      <c r="E552" s="581">
        <v>0.5</v>
      </c>
      <c r="F552" s="551">
        <v>1.8</v>
      </c>
      <c r="G552" s="551">
        <v>0.3</v>
      </c>
      <c r="H552" s="551">
        <v>0.15</v>
      </c>
      <c r="I552" s="552">
        <f>ROUND(IF(AND(F552:H552),C552*E552*F552*G552*H552,IF(AND(F552,G552),C552*E552*F552*G552,IF(AND(F552,H552),C552*E552*F552*H552,IF(AND(G552,H552),C552*E552*G552*H552,IF(F552,C552*E552*F552,IF(G552,C552*E552*G552,IF(H552,C552*E552*H552,C552*E552))))))),2)</f>
        <v>0.45</v>
      </c>
      <c r="J552" s="553" t="s">
        <v>5</v>
      </c>
      <c r="K552" s="39"/>
      <c r="L552" s="208"/>
      <c r="M552" s="39"/>
      <c r="N552" s="536" t="s">
        <v>2317</v>
      </c>
    </row>
    <row r="553" spans="1:14" s="544" customFormat="1" ht="16.5" customHeight="1">
      <c r="A553" s="16"/>
      <c r="B553" s="547"/>
      <c r="C553" s="548"/>
      <c r="D553" s="549"/>
      <c r="E553" s="581"/>
      <c r="F553" s="551"/>
      <c r="G553" s="551"/>
      <c r="H553" s="551"/>
      <c r="I553" s="552"/>
      <c r="J553" s="553"/>
      <c r="K553" s="39"/>
      <c r="L553" s="208"/>
      <c r="M553" s="39"/>
      <c r="N553" s="536" t="s">
        <v>2317</v>
      </c>
    </row>
    <row r="554" spans="1:14" ht="15.75">
      <c r="A554" s="16"/>
      <c r="B554" s="39"/>
      <c r="C554" s="554"/>
      <c r="D554" s="555"/>
      <c r="E554" s="540"/>
      <c r="F554" s="541"/>
      <c r="G554" s="40"/>
      <c r="H554" s="16"/>
      <c r="I554" s="552"/>
      <c r="J554" s="553" t="s">
        <v>5</v>
      </c>
      <c r="K554" s="10">
        <f>data!G2105</f>
        <v>5579.3200000000006</v>
      </c>
      <c r="L554" s="208" t="s">
        <v>2317</v>
      </c>
      <c r="M554" s="9">
        <f>ROUND(I554*K554,0)</f>
        <v>0</v>
      </c>
      <c r="N554" s="536" t="s">
        <v>2317</v>
      </c>
    </row>
    <row r="555" spans="1:14" ht="92.25" customHeight="1">
      <c r="A555" s="16">
        <v>13</v>
      </c>
      <c r="B555" s="1858" t="s">
        <v>1437</v>
      </c>
      <c r="C555" s="1858"/>
      <c r="D555" s="1858"/>
      <c r="E555" s="1858"/>
      <c r="F555" s="1858"/>
      <c r="G555" s="1858"/>
      <c r="H555" s="1858"/>
      <c r="I555" s="537"/>
      <c r="J555" s="538"/>
      <c r="K555" s="16"/>
      <c r="L555" s="208"/>
      <c r="M555" s="38"/>
      <c r="N555" s="536" t="s">
        <v>2318</v>
      </c>
    </row>
    <row r="556" spans="1:14" s="544" customFormat="1" ht="16.5" customHeight="1">
      <c r="A556" s="16"/>
      <c r="B556" s="607" t="s">
        <v>2902</v>
      </c>
      <c r="C556" s="566"/>
      <c r="D556" s="567"/>
      <c r="E556" s="568"/>
      <c r="F556" s="569"/>
      <c r="G556" s="569"/>
      <c r="H556" s="570"/>
      <c r="I556" s="571"/>
      <c r="J556" s="553"/>
      <c r="K556" s="39"/>
      <c r="L556" s="208"/>
      <c r="M556" s="39"/>
      <c r="N556" s="536" t="s">
        <v>2318</v>
      </c>
    </row>
    <row r="557" spans="1:14" s="544" customFormat="1" ht="16.5" customHeight="1">
      <c r="A557" s="16"/>
      <c r="B557" s="547"/>
      <c r="C557" s="548">
        <v>11</v>
      </c>
      <c r="D557" s="549" t="s">
        <v>273</v>
      </c>
      <c r="E557" s="581">
        <v>0.5</v>
      </c>
      <c r="F557" s="551">
        <v>1.8</v>
      </c>
      <c r="G557" s="551">
        <v>0.3</v>
      </c>
      <c r="H557" s="551">
        <v>0.15</v>
      </c>
      <c r="I557" s="552">
        <f>ROUND(IF(AND(F557:H557),C557*E557*F557*G557*H557,IF(AND(F557,G557),C557*E557*F557*G557,IF(AND(F557,H557),C557*E557*F557*H557,IF(AND(G557,H557),C557*E557*G557*H557,IF(F557,C557*E557*F557,IF(G557,C557*E557*G557,IF(H557,C557*E557*H557,C557*E557))))))),2)</f>
        <v>0.45</v>
      </c>
      <c r="J557" s="553" t="s">
        <v>5</v>
      </c>
      <c r="K557" s="39"/>
      <c r="L557" s="208"/>
      <c r="M557" s="39"/>
      <c r="N557" s="536" t="s">
        <v>2318</v>
      </c>
    </row>
    <row r="558" spans="1:14" s="544" customFormat="1" ht="16.5" customHeight="1">
      <c r="A558" s="16"/>
      <c r="B558" s="547"/>
      <c r="C558" s="548"/>
      <c r="D558" s="549"/>
      <c r="E558" s="581"/>
      <c r="F558" s="551"/>
      <c r="G558" s="551"/>
      <c r="H558" s="551"/>
      <c r="I558" s="552"/>
      <c r="J558" s="553"/>
      <c r="K558" s="39"/>
      <c r="L558" s="208"/>
      <c r="M558" s="39"/>
      <c r="N558" s="536" t="s">
        <v>2318</v>
      </c>
    </row>
    <row r="559" spans="1:14" ht="15.75">
      <c r="A559" s="16"/>
      <c r="B559" s="39"/>
      <c r="C559" s="554"/>
      <c r="D559" s="555"/>
      <c r="E559" s="540"/>
      <c r="F559" s="541"/>
      <c r="G559" s="40"/>
      <c r="H559" s="16"/>
      <c r="I559" s="552"/>
      <c r="J559" s="553" t="s">
        <v>5</v>
      </c>
      <c r="K559" s="10">
        <f>data!G3022</f>
        <v>5843.9400000000005</v>
      </c>
      <c r="L559" s="208" t="s">
        <v>2318</v>
      </c>
      <c r="M559" s="9">
        <f>ROUND(I559*K559,0)</f>
        <v>0</v>
      </c>
      <c r="N559" s="536" t="s">
        <v>2318</v>
      </c>
    </row>
    <row r="560" spans="1:14" ht="106.5" customHeight="1">
      <c r="A560" s="16">
        <v>10</v>
      </c>
      <c r="B560" s="1858" t="s">
        <v>212</v>
      </c>
      <c r="C560" s="1858"/>
      <c r="D560" s="1858"/>
      <c r="E560" s="1858"/>
      <c r="F560" s="1858"/>
      <c r="G560" s="1858"/>
      <c r="H560" s="1858"/>
      <c r="I560" s="537"/>
      <c r="J560" s="538"/>
      <c r="K560" s="16"/>
      <c r="L560" s="208"/>
      <c r="M560" s="38"/>
      <c r="N560" s="536" t="s">
        <v>2218</v>
      </c>
    </row>
    <row r="561" spans="1:14" s="544" customFormat="1" ht="16.5" customHeight="1">
      <c r="A561" s="16"/>
      <c r="B561" s="39" t="s">
        <v>2903</v>
      </c>
      <c r="C561" s="566"/>
      <c r="D561" s="567"/>
      <c r="E561" s="568"/>
      <c r="F561" s="569"/>
      <c r="G561" s="569"/>
      <c r="H561" s="570"/>
      <c r="I561" s="571"/>
      <c r="J561" s="553"/>
      <c r="K561" s="39"/>
      <c r="L561" s="16"/>
      <c r="M561" s="39"/>
      <c r="N561" s="536" t="s">
        <v>2218</v>
      </c>
    </row>
    <row r="562" spans="1:14" s="544" customFormat="1" ht="16.5" customHeight="1">
      <c r="A562" s="16"/>
      <c r="B562" s="547" t="s">
        <v>1633</v>
      </c>
      <c r="C562" s="548">
        <v>1</v>
      </c>
      <c r="D562" s="549" t="s">
        <v>273</v>
      </c>
      <c r="E562" s="550">
        <v>1</v>
      </c>
      <c r="F562" s="551">
        <v>4</v>
      </c>
      <c r="G562" s="551">
        <v>2.57</v>
      </c>
      <c r="H562" s="551">
        <v>0</v>
      </c>
      <c r="I562" s="552">
        <f>ROUND(IF(AND(F562:H562),C562*E562*F562*G562*H562,IF(AND(F562,G562),C562*E562*F562*G562,IF(AND(F562,H562),C562*E562*F562*H562,IF(AND(G562,H562),C562*E562*G562*H562,IF(F562,C562*E562*F562,IF(G562,C562*E562*G562,IF(H562,C562*E562*H562,C562*E562))))))),2)</f>
        <v>10.28</v>
      </c>
      <c r="J562" s="553" t="s">
        <v>102</v>
      </c>
      <c r="K562" s="39"/>
      <c r="L562" s="16"/>
      <c r="M562" s="39"/>
      <c r="N562" s="536" t="s">
        <v>2218</v>
      </c>
    </row>
    <row r="563" spans="1:14" s="544" customFormat="1" ht="16.5" customHeight="1">
      <c r="A563" s="16"/>
      <c r="B563" s="547" t="s">
        <v>281</v>
      </c>
      <c r="C563" s="548">
        <v>1</v>
      </c>
      <c r="D563" s="549" t="s">
        <v>273</v>
      </c>
      <c r="E563" s="550">
        <v>2</v>
      </c>
      <c r="F563" s="551">
        <v>0.44</v>
      </c>
      <c r="G563" s="551">
        <v>0.26</v>
      </c>
      <c r="H563" s="551">
        <v>0</v>
      </c>
      <c r="I563" s="552">
        <f>-ROUND(IF(AND(F563:H563),C563*E563*F563*G563*H563,IF(AND(F563,G563),C563*E563*F563*G563,IF(AND(F563,H563),C563*E563*F563*H563,IF(AND(G563,H563),C563*E563*G563*H563,IF(F563,C563*E563*F563,IF(G563,C563*E563*G563,IF(H563,C563*E563*H563,C563*E563))))))),2)</f>
        <v>-0.23</v>
      </c>
      <c r="J563" s="553" t="s">
        <v>102</v>
      </c>
      <c r="K563" s="39"/>
      <c r="L563" s="16"/>
      <c r="M563" s="39"/>
      <c r="N563" s="536" t="s">
        <v>2218</v>
      </c>
    </row>
    <row r="564" spans="1:14" s="544" customFormat="1" ht="16.5" customHeight="1">
      <c r="A564" s="16"/>
      <c r="B564" s="547"/>
      <c r="C564" s="548"/>
      <c r="D564" s="549"/>
      <c r="E564" s="550"/>
      <c r="F564" s="551"/>
      <c r="G564" s="551"/>
      <c r="H564" s="551"/>
      <c r="I564" s="552"/>
      <c r="J564" s="553"/>
      <c r="K564" s="39"/>
      <c r="L564" s="208"/>
      <c r="M564" s="39"/>
      <c r="N564" s="536" t="s">
        <v>2218</v>
      </c>
    </row>
    <row r="565" spans="1:14" ht="15.75">
      <c r="A565" s="16"/>
      <c r="B565" s="39"/>
      <c r="C565" s="554"/>
      <c r="D565" s="555"/>
      <c r="E565" s="540"/>
      <c r="F565" s="541"/>
      <c r="G565" s="40"/>
      <c r="H565" s="16"/>
      <c r="I565" s="552"/>
      <c r="J565" s="553" t="s">
        <v>102</v>
      </c>
      <c r="K565" s="10">
        <f>data!G680</f>
        <v>1048.97</v>
      </c>
      <c r="L565" s="208" t="s">
        <v>2218</v>
      </c>
      <c r="M565" s="9">
        <f>ROUND(I565*K565,0)</f>
        <v>0</v>
      </c>
      <c r="N565" s="536" t="s">
        <v>2218</v>
      </c>
    </row>
    <row r="566" spans="1:14" ht="106.5" customHeight="1">
      <c r="A566" s="16">
        <v>10</v>
      </c>
      <c r="B566" s="1858" t="s">
        <v>212</v>
      </c>
      <c r="C566" s="1858"/>
      <c r="D566" s="1858"/>
      <c r="E566" s="1858"/>
      <c r="F566" s="1858"/>
      <c r="G566" s="1858"/>
      <c r="H566" s="1858"/>
      <c r="I566" s="537"/>
      <c r="J566" s="538"/>
      <c r="K566" s="16"/>
      <c r="L566" s="208"/>
      <c r="M566" s="38"/>
      <c r="N566" s="536" t="s">
        <v>2306</v>
      </c>
    </row>
    <row r="567" spans="1:14" s="544" customFormat="1" ht="16.5" customHeight="1">
      <c r="A567" s="16"/>
      <c r="B567" s="39" t="s">
        <v>2903</v>
      </c>
      <c r="C567" s="566"/>
      <c r="D567" s="567"/>
      <c r="E567" s="568"/>
      <c r="F567" s="569"/>
      <c r="G567" s="569"/>
      <c r="H567" s="570"/>
      <c r="I567" s="571"/>
      <c r="J567" s="553"/>
      <c r="K567" s="39"/>
      <c r="L567" s="16"/>
      <c r="M567" s="39"/>
      <c r="N567" s="536" t="s">
        <v>2306</v>
      </c>
    </row>
    <row r="568" spans="1:14" s="544" customFormat="1" ht="16.5" customHeight="1">
      <c r="A568" s="16"/>
      <c r="B568" s="547" t="s">
        <v>1633</v>
      </c>
      <c r="C568" s="548">
        <v>1</v>
      </c>
      <c r="D568" s="549" t="s">
        <v>273</v>
      </c>
      <c r="E568" s="550">
        <v>1</v>
      </c>
      <c r="F568" s="551">
        <v>4</v>
      </c>
      <c r="G568" s="551">
        <v>2.57</v>
      </c>
      <c r="H568" s="551">
        <v>0</v>
      </c>
      <c r="I568" s="552">
        <f>ROUND(IF(AND(F568:H568),C568*E568*F568*G568*H568,IF(AND(F568,G568),C568*E568*F568*G568,IF(AND(F568,H568),C568*E568*F568*H568,IF(AND(G568,H568),C568*E568*G568*H568,IF(F568,C568*E568*F568,IF(G568,C568*E568*G568,IF(H568,C568*E568*H568,C568*E568))))))),2)</f>
        <v>10.28</v>
      </c>
      <c r="J568" s="553" t="s">
        <v>102</v>
      </c>
      <c r="K568" s="39"/>
      <c r="L568" s="16"/>
      <c r="M568" s="39"/>
      <c r="N568" s="536" t="s">
        <v>2306</v>
      </c>
    </row>
    <row r="569" spans="1:14" s="544" customFormat="1" ht="16.5" customHeight="1">
      <c r="A569" s="16"/>
      <c r="B569" s="547" t="s">
        <v>281</v>
      </c>
      <c r="C569" s="548">
        <v>1</v>
      </c>
      <c r="D569" s="549" t="s">
        <v>273</v>
      </c>
      <c r="E569" s="550">
        <v>2</v>
      </c>
      <c r="F569" s="551">
        <v>0.44</v>
      </c>
      <c r="G569" s="551">
        <v>0.26</v>
      </c>
      <c r="H569" s="551">
        <v>0</v>
      </c>
      <c r="I569" s="552">
        <f>-ROUND(IF(AND(F569:H569),C569*E569*F569*G569*H569,IF(AND(F569,G569),C569*E569*F569*G569,IF(AND(F569,H569),C569*E569*F569*H569,IF(AND(G569,H569),C569*E569*G569*H569,IF(F569,C569*E569*F569,IF(G569,C569*E569*G569,IF(H569,C569*E569*H569,C569*E569))))))),2)</f>
        <v>-0.23</v>
      </c>
      <c r="J569" s="553" t="s">
        <v>102</v>
      </c>
      <c r="K569" s="39"/>
      <c r="L569" s="16"/>
      <c r="M569" s="39"/>
      <c r="N569" s="536" t="s">
        <v>2306</v>
      </c>
    </row>
    <row r="570" spans="1:14" s="544" customFormat="1" ht="16.5" customHeight="1">
      <c r="A570" s="16"/>
      <c r="B570" s="547"/>
      <c r="C570" s="548"/>
      <c r="D570" s="549"/>
      <c r="E570" s="550"/>
      <c r="F570" s="551"/>
      <c r="G570" s="551"/>
      <c r="H570" s="551"/>
      <c r="I570" s="552"/>
      <c r="J570" s="553"/>
      <c r="K570" s="39"/>
      <c r="L570" s="208"/>
      <c r="M570" s="39"/>
      <c r="N570" s="536" t="s">
        <v>2306</v>
      </c>
    </row>
    <row r="571" spans="1:14" ht="15.75">
      <c r="A571" s="16"/>
      <c r="B571" s="39"/>
      <c r="C571" s="554"/>
      <c r="D571" s="555"/>
      <c r="E571" s="540"/>
      <c r="F571" s="541"/>
      <c r="G571" s="40"/>
      <c r="H571" s="16"/>
      <c r="I571" s="552"/>
      <c r="J571" s="553" t="s">
        <v>102</v>
      </c>
      <c r="K571" s="10">
        <f>data!G1597</f>
        <v>1082.75</v>
      </c>
      <c r="L571" s="208" t="s">
        <v>2306</v>
      </c>
      <c r="M571" s="9">
        <f>ROUND(I571*K571,0)</f>
        <v>0</v>
      </c>
      <c r="N571" s="536" t="s">
        <v>2306</v>
      </c>
    </row>
    <row r="572" spans="1:14" ht="106.5" customHeight="1">
      <c r="A572" s="16">
        <v>10</v>
      </c>
      <c r="B572" s="1858" t="s">
        <v>212</v>
      </c>
      <c r="C572" s="1858"/>
      <c r="D572" s="1858"/>
      <c r="E572" s="1858"/>
      <c r="F572" s="1858"/>
      <c r="G572" s="1858"/>
      <c r="H572" s="1858"/>
      <c r="I572" s="537"/>
      <c r="J572" s="538"/>
      <c r="K572" s="16"/>
      <c r="L572" s="208"/>
      <c r="M572" s="38"/>
      <c r="N572" s="536" t="s">
        <v>2317</v>
      </c>
    </row>
    <row r="573" spans="1:14" s="544" customFormat="1" ht="16.5" customHeight="1">
      <c r="A573" s="16"/>
      <c r="B573" s="39" t="s">
        <v>2903</v>
      </c>
      <c r="C573" s="566"/>
      <c r="D573" s="567"/>
      <c r="E573" s="568"/>
      <c r="F573" s="569"/>
      <c r="G573" s="569"/>
      <c r="H573" s="570"/>
      <c r="I573" s="571"/>
      <c r="J573" s="553"/>
      <c r="K573" s="39"/>
      <c r="L573" s="16"/>
      <c r="M573" s="39"/>
      <c r="N573" s="536" t="s">
        <v>2317</v>
      </c>
    </row>
    <row r="574" spans="1:14" s="544" customFormat="1" ht="16.5" customHeight="1">
      <c r="A574" s="16"/>
      <c r="B574" s="547" t="s">
        <v>1633</v>
      </c>
      <c r="C574" s="548">
        <v>1</v>
      </c>
      <c r="D574" s="549" t="s">
        <v>273</v>
      </c>
      <c r="E574" s="550">
        <v>1</v>
      </c>
      <c r="F574" s="551">
        <v>4</v>
      </c>
      <c r="G574" s="551">
        <v>2.57</v>
      </c>
      <c r="H574" s="551">
        <v>0</v>
      </c>
      <c r="I574" s="552">
        <f>ROUND(IF(AND(F574:H574),C574*E574*F574*G574*H574,IF(AND(F574,G574),C574*E574*F574*G574,IF(AND(F574,H574),C574*E574*F574*H574,IF(AND(G574,H574),C574*E574*G574*H574,IF(F574,C574*E574*F574,IF(G574,C574*E574*G574,IF(H574,C574*E574*H574,C574*E574))))))),2)</f>
        <v>10.28</v>
      </c>
      <c r="J574" s="553" t="s">
        <v>102</v>
      </c>
      <c r="K574" s="39"/>
      <c r="L574" s="16"/>
      <c r="M574" s="39"/>
      <c r="N574" s="536" t="s">
        <v>2317</v>
      </c>
    </row>
    <row r="575" spans="1:14" s="544" customFormat="1" ht="16.5" customHeight="1">
      <c r="A575" s="16"/>
      <c r="B575" s="547" t="s">
        <v>281</v>
      </c>
      <c r="C575" s="548">
        <v>1</v>
      </c>
      <c r="D575" s="549" t="s">
        <v>273</v>
      </c>
      <c r="E575" s="550">
        <v>2</v>
      </c>
      <c r="F575" s="551">
        <v>0.44</v>
      </c>
      <c r="G575" s="551">
        <v>0.26</v>
      </c>
      <c r="H575" s="551">
        <v>0</v>
      </c>
      <c r="I575" s="552">
        <f>-ROUND(IF(AND(F575:H575),C575*E575*F575*G575*H575,IF(AND(F575,G575),C575*E575*F575*G575,IF(AND(F575,H575),C575*E575*F575*H575,IF(AND(G575,H575),C575*E575*G575*H575,IF(F575,C575*E575*F575,IF(G575,C575*E575*G575,IF(H575,C575*E575*H575,C575*E575))))))),2)</f>
        <v>-0.23</v>
      </c>
      <c r="J575" s="553" t="s">
        <v>102</v>
      </c>
      <c r="K575" s="39"/>
      <c r="L575" s="16"/>
      <c r="M575" s="39"/>
      <c r="N575" s="536" t="s">
        <v>2317</v>
      </c>
    </row>
    <row r="576" spans="1:14" s="544" customFormat="1" ht="16.5" customHeight="1">
      <c r="A576" s="16"/>
      <c r="B576" s="547"/>
      <c r="C576" s="548"/>
      <c r="D576" s="549"/>
      <c r="E576" s="550"/>
      <c r="F576" s="551"/>
      <c r="G576" s="551"/>
      <c r="H576" s="551"/>
      <c r="I576" s="552"/>
      <c r="J576" s="553"/>
      <c r="K576" s="39"/>
      <c r="L576" s="208"/>
      <c r="M576" s="39"/>
      <c r="N576" s="536" t="s">
        <v>2317</v>
      </c>
    </row>
    <row r="577" spans="1:14" ht="15.75">
      <c r="A577" s="16"/>
      <c r="B577" s="39"/>
      <c r="C577" s="554"/>
      <c r="D577" s="555"/>
      <c r="E577" s="540"/>
      <c r="F577" s="541"/>
      <c r="G577" s="40"/>
      <c r="H577" s="16"/>
      <c r="I577" s="552"/>
      <c r="J577" s="553" t="s">
        <v>102</v>
      </c>
      <c r="K577" s="10">
        <f>data!G2514</f>
        <v>1108.3499999999999</v>
      </c>
      <c r="L577" s="208" t="s">
        <v>2317</v>
      </c>
      <c r="M577" s="9">
        <f>ROUND(I577*K577,0)</f>
        <v>0</v>
      </c>
      <c r="N577" s="536" t="s">
        <v>2317</v>
      </c>
    </row>
    <row r="578" spans="1:14" ht="106.5" customHeight="1">
      <c r="A578" s="16">
        <v>10</v>
      </c>
      <c r="B578" s="1858" t="s">
        <v>212</v>
      </c>
      <c r="C578" s="1858"/>
      <c r="D578" s="1858"/>
      <c r="E578" s="1858"/>
      <c r="F578" s="1858"/>
      <c r="G578" s="1858"/>
      <c r="H578" s="1858"/>
      <c r="I578" s="537"/>
      <c r="J578" s="538"/>
      <c r="K578" s="16"/>
      <c r="L578" s="208"/>
      <c r="M578" s="38"/>
      <c r="N578" s="536" t="s">
        <v>2318</v>
      </c>
    </row>
    <row r="579" spans="1:14" s="544" customFormat="1" ht="16.5" customHeight="1">
      <c r="A579" s="16"/>
      <c r="B579" s="39" t="s">
        <v>2903</v>
      </c>
      <c r="C579" s="566"/>
      <c r="D579" s="567"/>
      <c r="E579" s="568"/>
      <c r="F579" s="569"/>
      <c r="G579" s="569"/>
      <c r="H579" s="570"/>
      <c r="I579" s="571"/>
      <c r="J579" s="553"/>
      <c r="K579" s="39"/>
      <c r="L579" s="16"/>
      <c r="M579" s="39"/>
      <c r="N579" s="536" t="s">
        <v>2318</v>
      </c>
    </row>
    <row r="580" spans="1:14" s="544" customFormat="1" ht="16.5" customHeight="1">
      <c r="A580" s="16"/>
      <c r="B580" s="547" t="s">
        <v>1633</v>
      </c>
      <c r="C580" s="548">
        <v>1</v>
      </c>
      <c r="D580" s="549" t="s">
        <v>273</v>
      </c>
      <c r="E580" s="550">
        <v>1</v>
      </c>
      <c r="F580" s="551">
        <v>4</v>
      </c>
      <c r="G580" s="551">
        <v>2.57</v>
      </c>
      <c r="H580" s="551">
        <v>0</v>
      </c>
      <c r="I580" s="552">
        <f>ROUND(IF(AND(F580:H580),C580*E580*F580*G580*H580,IF(AND(F580,G580),C580*E580*F580*G580,IF(AND(F580,H580),C580*E580*F580*H580,IF(AND(G580,H580),C580*E580*G580*H580,IF(F580,C580*E580*F580,IF(G580,C580*E580*G580,IF(H580,C580*E580*H580,C580*E580))))))),2)</f>
        <v>10.28</v>
      </c>
      <c r="J580" s="553" t="s">
        <v>102</v>
      </c>
      <c r="K580" s="39"/>
      <c r="L580" s="16"/>
      <c r="M580" s="39"/>
      <c r="N580" s="536" t="s">
        <v>2318</v>
      </c>
    </row>
    <row r="581" spans="1:14" s="544" customFormat="1" ht="16.5" customHeight="1">
      <c r="A581" s="16"/>
      <c r="B581" s="547" t="s">
        <v>281</v>
      </c>
      <c r="C581" s="548">
        <v>1</v>
      </c>
      <c r="D581" s="549" t="s">
        <v>273</v>
      </c>
      <c r="E581" s="550">
        <v>2</v>
      </c>
      <c r="F581" s="551">
        <v>0.44</v>
      </c>
      <c r="G581" s="551">
        <v>0.26</v>
      </c>
      <c r="H581" s="551">
        <v>0</v>
      </c>
      <c r="I581" s="552">
        <f>-ROUND(IF(AND(F581:H581),C581*E581*F581*G581*H581,IF(AND(F581,G581),C581*E581*F581*G581,IF(AND(F581,H581),C581*E581*F581*H581,IF(AND(G581,H581),C581*E581*G581*H581,IF(F581,C581*E581*F581,IF(G581,C581*E581*G581,IF(H581,C581*E581*H581,C581*E581))))))),2)</f>
        <v>-0.23</v>
      </c>
      <c r="J581" s="553" t="s">
        <v>102</v>
      </c>
      <c r="K581" s="39"/>
      <c r="L581" s="16"/>
      <c r="M581" s="39"/>
      <c r="N581" s="536" t="s">
        <v>2318</v>
      </c>
    </row>
    <row r="582" spans="1:14" s="544" customFormat="1" ht="16.5" customHeight="1">
      <c r="A582" s="16"/>
      <c r="B582" s="547"/>
      <c r="C582" s="548"/>
      <c r="D582" s="549"/>
      <c r="E582" s="550"/>
      <c r="F582" s="551"/>
      <c r="G582" s="551"/>
      <c r="H582" s="551"/>
      <c r="I582" s="552"/>
      <c r="J582" s="553"/>
      <c r="K582" s="39"/>
      <c r="L582" s="208"/>
      <c r="M582" s="39"/>
      <c r="N582" s="536" t="s">
        <v>2318</v>
      </c>
    </row>
    <row r="583" spans="1:14" ht="15.75">
      <c r="A583" s="16"/>
      <c r="B583" s="39"/>
      <c r="C583" s="554"/>
      <c r="D583" s="555"/>
      <c r="E583" s="540"/>
      <c r="F583" s="541"/>
      <c r="G583" s="40"/>
      <c r="H583" s="16"/>
      <c r="I583" s="552"/>
      <c r="J583" s="553" t="s">
        <v>102</v>
      </c>
      <c r="K583" s="10">
        <f>data!G3431</f>
        <v>1139.42</v>
      </c>
      <c r="L583" s="208" t="s">
        <v>2318</v>
      </c>
      <c r="M583" s="9">
        <f>ROUND(I583*K583,0)</f>
        <v>0</v>
      </c>
      <c r="N583" s="536" t="s">
        <v>2318</v>
      </c>
    </row>
    <row r="584" spans="1:14" ht="79.5" customHeight="1">
      <c r="A584" s="16">
        <v>25</v>
      </c>
      <c r="B584" s="1858" t="s">
        <v>213</v>
      </c>
      <c r="C584" s="1858"/>
      <c r="D584" s="1858"/>
      <c r="E584" s="1858"/>
      <c r="F584" s="1858"/>
      <c r="G584" s="1858"/>
      <c r="H584" s="1858"/>
      <c r="I584" s="537"/>
      <c r="J584" s="538"/>
      <c r="K584" s="16"/>
      <c r="L584" s="208"/>
      <c r="M584" s="38"/>
      <c r="N584" s="536" t="s">
        <v>2218</v>
      </c>
    </row>
    <row r="585" spans="1:14" s="544" customFormat="1" ht="16.5" customHeight="1">
      <c r="A585" s="16"/>
      <c r="B585" s="39" t="s">
        <v>2821</v>
      </c>
      <c r="C585" s="566"/>
      <c r="D585" s="567"/>
      <c r="E585" s="568"/>
      <c r="F585" s="569"/>
      <c r="G585" s="569"/>
      <c r="H585" s="570"/>
      <c r="I585" s="571"/>
      <c r="J585" s="553"/>
      <c r="K585" s="39"/>
      <c r="L585" s="208"/>
      <c r="M585" s="39"/>
      <c r="N585" s="536" t="s">
        <v>2218</v>
      </c>
    </row>
    <row r="586" spans="1:14" s="544" customFormat="1" ht="16.5" customHeight="1">
      <c r="A586" s="16"/>
      <c r="B586" s="547" t="s">
        <v>1248</v>
      </c>
      <c r="C586" s="548">
        <v>1</v>
      </c>
      <c r="D586" s="549" t="s">
        <v>273</v>
      </c>
      <c r="E586" s="550">
        <v>1</v>
      </c>
      <c r="F586" s="551">
        <v>26.94</v>
      </c>
      <c r="G586" s="551">
        <v>0</v>
      </c>
      <c r="H586" s="551">
        <v>0.1</v>
      </c>
      <c r="I586" s="552">
        <f>ROUND(IF(AND(F586:H586),C586*E586*F586*G586*H586,IF(AND(F586,G586),C586*E586*F586*G586,IF(AND(F586,H586),C586*E586*F586*H586,IF(AND(G586,H586),C586*E586*G586*H586,IF(F586,C586*E586*F586,IF(G586,C586*E586*G586,IF(H586,C586*E586*H586,C586*E586))))))),2)</f>
        <v>2.69</v>
      </c>
      <c r="J586" s="553" t="s">
        <v>102</v>
      </c>
      <c r="K586" s="39"/>
      <c r="L586" s="208"/>
      <c r="M586" s="39"/>
      <c r="N586" s="536" t="s">
        <v>2218</v>
      </c>
    </row>
    <row r="587" spans="1:14" s="544" customFormat="1" ht="16.5" customHeight="1">
      <c r="A587" s="16"/>
      <c r="B587" s="547" t="s">
        <v>660</v>
      </c>
      <c r="C587" s="548">
        <v>1</v>
      </c>
      <c r="D587" s="549" t="s">
        <v>273</v>
      </c>
      <c r="E587" s="550">
        <v>1</v>
      </c>
      <c r="F587" s="551">
        <v>23.1</v>
      </c>
      <c r="G587" s="551">
        <v>0</v>
      </c>
      <c r="H587" s="551">
        <v>0.1</v>
      </c>
      <c r="I587" s="552">
        <f>ROUND(IF(AND(F587:H587),C587*E587*F587*G587*H587,IF(AND(F587,G587),C587*E587*F587*G587,IF(AND(F587,H587),C587*E587*F587*H587,IF(AND(G587,H587),C587*E587*G587*H587,IF(F587,C587*E587*F587,IF(G587,C587*E587*G587,IF(H587,C587*E587*H587,C587*E587))))))),2)</f>
        <v>2.31</v>
      </c>
      <c r="J587" s="553" t="s">
        <v>102</v>
      </c>
      <c r="K587" s="39"/>
      <c r="L587" s="208"/>
      <c r="M587" s="39"/>
      <c r="N587" s="536" t="s">
        <v>2218</v>
      </c>
    </row>
    <row r="588" spans="1:14" s="544" customFormat="1" ht="16.5" customHeight="1">
      <c r="A588" s="16"/>
      <c r="B588" s="547" t="s">
        <v>1247</v>
      </c>
      <c r="C588" s="548">
        <v>1</v>
      </c>
      <c r="D588" s="549" t="s">
        <v>273</v>
      </c>
      <c r="E588" s="550">
        <v>1</v>
      </c>
      <c r="F588" s="551">
        <v>6.32</v>
      </c>
      <c r="G588" s="551">
        <v>0</v>
      </c>
      <c r="H588" s="551">
        <v>0.1</v>
      </c>
      <c r="I588" s="552">
        <f>ROUND(IF(AND(F588:H588),C588*E588*F588*G588*H588,IF(AND(F588,G588),C588*E588*F588*G588,IF(AND(F588,H588),C588*E588*F588*H588,IF(AND(G588,H588),C588*E588*G588*H588,IF(F588,C588*E588*F588,IF(G588,C588*E588*G588,IF(H588,C588*E588*H588,C588*E588))))))),2)</f>
        <v>0.63</v>
      </c>
      <c r="J588" s="553" t="s">
        <v>102</v>
      </c>
      <c r="K588" s="39"/>
      <c r="L588" s="208"/>
      <c r="M588" s="39"/>
      <c r="N588" s="536" t="s">
        <v>2218</v>
      </c>
    </row>
    <row r="589" spans="1:14" s="544" customFormat="1" ht="16.5" customHeight="1">
      <c r="A589" s="16"/>
      <c r="B589" s="547"/>
      <c r="C589" s="548"/>
      <c r="D589" s="549"/>
      <c r="E589" s="550"/>
      <c r="F589" s="551"/>
      <c r="G589" s="551"/>
      <c r="H589" s="551"/>
      <c r="I589" s="552"/>
      <c r="J589" s="553"/>
      <c r="K589" s="39"/>
      <c r="L589" s="208"/>
      <c r="M589" s="39"/>
      <c r="N589" s="536" t="s">
        <v>2218</v>
      </c>
    </row>
    <row r="590" spans="1:14" ht="15.75">
      <c r="A590" s="16"/>
      <c r="B590" s="39"/>
      <c r="C590" s="554"/>
      <c r="D590" s="555"/>
      <c r="E590" s="540"/>
      <c r="F590" s="541"/>
      <c r="G590" s="40"/>
      <c r="H590" s="16"/>
      <c r="I590" s="552"/>
      <c r="J590" s="553" t="s">
        <v>102</v>
      </c>
      <c r="K590" s="10">
        <f>data!G698</f>
        <v>1044.9000000000001</v>
      </c>
      <c r="L590" s="208" t="s">
        <v>2218</v>
      </c>
      <c r="M590" s="9">
        <f>ROUND(I590*K590,0)</f>
        <v>0</v>
      </c>
      <c r="N590" s="536" t="s">
        <v>2218</v>
      </c>
    </row>
    <row r="591" spans="1:14" ht="79.5" customHeight="1">
      <c r="A591" s="16">
        <v>25</v>
      </c>
      <c r="B591" s="1858" t="s">
        <v>213</v>
      </c>
      <c r="C591" s="1858"/>
      <c r="D591" s="1858"/>
      <c r="E591" s="1858"/>
      <c r="F591" s="1858"/>
      <c r="G591" s="1858"/>
      <c r="H591" s="1858"/>
      <c r="I591" s="537"/>
      <c r="J591" s="538"/>
      <c r="K591" s="16"/>
      <c r="L591" s="208"/>
      <c r="M591" s="38"/>
      <c r="N591" s="536" t="s">
        <v>2306</v>
      </c>
    </row>
    <row r="592" spans="1:14" s="544" customFormat="1" ht="16.5" customHeight="1">
      <c r="A592" s="16"/>
      <c r="B592" s="39" t="s">
        <v>2821</v>
      </c>
      <c r="C592" s="566"/>
      <c r="D592" s="567"/>
      <c r="E592" s="568"/>
      <c r="F592" s="569"/>
      <c r="G592" s="569"/>
      <c r="H592" s="570"/>
      <c r="I592" s="571"/>
      <c r="J592" s="553"/>
      <c r="K592" s="39"/>
      <c r="L592" s="208"/>
      <c r="M592" s="39"/>
      <c r="N592" s="536" t="s">
        <v>2306</v>
      </c>
    </row>
    <row r="593" spans="1:14" s="544" customFormat="1" ht="16.5" customHeight="1">
      <c r="A593" s="16"/>
      <c r="B593" s="547" t="s">
        <v>1248</v>
      </c>
      <c r="C593" s="548">
        <v>1</v>
      </c>
      <c r="D593" s="549" t="s">
        <v>273</v>
      </c>
      <c r="E593" s="550">
        <v>1</v>
      </c>
      <c r="F593" s="551">
        <v>26.94</v>
      </c>
      <c r="G593" s="551">
        <v>0</v>
      </c>
      <c r="H593" s="551">
        <v>0.1</v>
      </c>
      <c r="I593" s="552">
        <f>ROUND(IF(AND(F593:H593),C593*E593*F593*G593*H593,IF(AND(F593,G593),C593*E593*F593*G593,IF(AND(F593,H593),C593*E593*F593*H593,IF(AND(G593,H593),C593*E593*G593*H593,IF(F593,C593*E593*F593,IF(G593,C593*E593*G593,IF(H593,C593*E593*H593,C593*E593))))))),2)</f>
        <v>2.69</v>
      </c>
      <c r="J593" s="553" t="s">
        <v>102</v>
      </c>
      <c r="K593" s="39"/>
      <c r="L593" s="208"/>
      <c r="M593" s="39"/>
      <c r="N593" s="536" t="s">
        <v>2306</v>
      </c>
    </row>
    <row r="594" spans="1:14" s="544" customFormat="1" ht="16.5" customHeight="1">
      <c r="A594" s="16"/>
      <c r="B594" s="547" t="s">
        <v>660</v>
      </c>
      <c r="C594" s="548">
        <v>1</v>
      </c>
      <c r="D594" s="549" t="s">
        <v>273</v>
      </c>
      <c r="E594" s="550">
        <v>1</v>
      </c>
      <c r="F594" s="551">
        <v>23.1</v>
      </c>
      <c r="G594" s="551">
        <v>0</v>
      </c>
      <c r="H594" s="551">
        <v>0.1</v>
      </c>
      <c r="I594" s="552">
        <f>ROUND(IF(AND(F594:H594),C594*E594*F594*G594*H594,IF(AND(F594,G594),C594*E594*F594*G594,IF(AND(F594,H594),C594*E594*F594*H594,IF(AND(G594,H594),C594*E594*G594*H594,IF(F594,C594*E594*F594,IF(G594,C594*E594*G594,IF(H594,C594*E594*H594,C594*E594))))))),2)</f>
        <v>2.31</v>
      </c>
      <c r="J594" s="553" t="s">
        <v>102</v>
      </c>
      <c r="K594" s="39"/>
      <c r="L594" s="208"/>
      <c r="M594" s="39"/>
      <c r="N594" s="536" t="s">
        <v>2306</v>
      </c>
    </row>
    <row r="595" spans="1:14" s="544" customFormat="1" ht="16.5" customHeight="1">
      <c r="A595" s="16"/>
      <c r="B595" s="547" t="s">
        <v>1247</v>
      </c>
      <c r="C595" s="548">
        <v>1</v>
      </c>
      <c r="D595" s="549" t="s">
        <v>273</v>
      </c>
      <c r="E595" s="550">
        <v>1</v>
      </c>
      <c r="F595" s="551">
        <v>6.32</v>
      </c>
      <c r="G595" s="551">
        <v>0</v>
      </c>
      <c r="H595" s="551">
        <v>0.1</v>
      </c>
      <c r="I595" s="552">
        <f>ROUND(IF(AND(F595:H595),C595*E595*F595*G595*H595,IF(AND(F595,G595),C595*E595*F595*G595,IF(AND(F595,H595),C595*E595*F595*H595,IF(AND(G595,H595),C595*E595*G595*H595,IF(F595,C595*E595*F595,IF(G595,C595*E595*G595,IF(H595,C595*E595*H595,C595*E595))))))),2)</f>
        <v>0.63</v>
      </c>
      <c r="J595" s="553" t="s">
        <v>102</v>
      </c>
      <c r="K595" s="39"/>
      <c r="L595" s="208"/>
      <c r="M595" s="39"/>
      <c r="N595" s="536" t="s">
        <v>2306</v>
      </c>
    </row>
    <row r="596" spans="1:14" s="544" customFormat="1" ht="16.5" customHeight="1">
      <c r="A596" s="16"/>
      <c r="B596" s="547"/>
      <c r="C596" s="548"/>
      <c r="D596" s="549"/>
      <c r="E596" s="550"/>
      <c r="F596" s="551"/>
      <c r="G596" s="551"/>
      <c r="H596" s="551"/>
      <c r="I596" s="552"/>
      <c r="J596" s="553"/>
      <c r="K596" s="39"/>
      <c r="L596" s="208"/>
      <c r="M596" s="39"/>
      <c r="N596" s="536" t="s">
        <v>2306</v>
      </c>
    </row>
    <row r="597" spans="1:14" ht="15.75">
      <c r="A597" s="16"/>
      <c r="B597" s="39"/>
      <c r="C597" s="554"/>
      <c r="D597" s="555"/>
      <c r="E597" s="540"/>
      <c r="F597" s="541"/>
      <c r="G597" s="40"/>
      <c r="H597" s="16"/>
      <c r="I597" s="552"/>
      <c r="J597" s="553" t="s">
        <v>102</v>
      </c>
      <c r="K597" s="10">
        <f>data!G1615</f>
        <v>1078.42</v>
      </c>
      <c r="L597" s="208" t="s">
        <v>2306</v>
      </c>
      <c r="M597" s="9">
        <f>ROUND(I597*K597,0)</f>
        <v>0</v>
      </c>
      <c r="N597" s="536" t="s">
        <v>2306</v>
      </c>
    </row>
    <row r="598" spans="1:14" ht="79.5" customHeight="1">
      <c r="A598" s="16">
        <v>25</v>
      </c>
      <c r="B598" s="1858" t="s">
        <v>213</v>
      </c>
      <c r="C598" s="1858"/>
      <c r="D598" s="1858"/>
      <c r="E598" s="1858"/>
      <c r="F598" s="1858"/>
      <c r="G598" s="1858"/>
      <c r="H598" s="1858"/>
      <c r="I598" s="537"/>
      <c r="J598" s="538"/>
      <c r="K598" s="16"/>
      <c r="L598" s="208"/>
      <c r="M598" s="38"/>
      <c r="N598" s="536" t="s">
        <v>2317</v>
      </c>
    </row>
    <row r="599" spans="1:14" s="544" customFormat="1" ht="16.5" customHeight="1">
      <c r="A599" s="16"/>
      <c r="B599" s="39" t="s">
        <v>2821</v>
      </c>
      <c r="C599" s="566"/>
      <c r="D599" s="567"/>
      <c r="E599" s="568"/>
      <c r="F599" s="569"/>
      <c r="G599" s="569"/>
      <c r="H599" s="570"/>
      <c r="I599" s="571"/>
      <c r="J599" s="553"/>
      <c r="K599" s="39"/>
      <c r="L599" s="208"/>
      <c r="M599" s="39"/>
      <c r="N599" s="536" t="s">
        <v>2317</v>
      </c>
    </row>
    <row r="600" spans="1:14" s="544" customFormat="1" ht="16.5" customHeight="1">
      <c r="A600" s="16"/>
      <c r="B600" s="547" t="s">
        <v>1248</v>
      </c>
      <c r="C600" s="548">
        <v>1</v>
      </c>
      <c r="D600" s="549" t="s">
        <v>273</v>
      </c>
      <c r="E600" s="550">
        <v>1</v>
      </c>
      <c r="F600" s="551">
        <v>26.94</v>
      </c>
      <c r="G600" s="551">
        <v>0</v>
      </c>
      <c r="H600" s="551">
        <v>0.1</v>
      </c>
      <c r="I600" s="552">
        <f>ROUND(IF(AND(F600:H600),C600*E600*F600*G600*H600,IF(AND(F600,G600),C600*E600*F600*G600,IF(AND(F600,H600),C600*E600*F600*H600,IF(AND(G600,H600),C600*E600*G600*H600,IF(F600,C600*E600*F600,IF(G600,C600*E600*G600,IF(H600,C600*E600*H600,C600*E600))))))),2)</f>
        <v>2.69</v>
      </c>
      <c r="J600" s="553" t="s">
        <v>102</v>
      </c>
      <c r="K600" s="39"/>
      <c r="L600" s="208"/>
      <c r="M600" s="39"/>
      <c r="N600" s="536" t="s">
        <v>2317</v>
      </c>
    </row>
    <row r="601" spans="1:14" s="544" customFormat="1" ht="16.5" customHeight="1">
      <c r="A601" s="16"/>
      <c r="B601" s="547" t="s">
        <v>660</v>
      </c>
      <c r="C601" s="548">
        <v>1</v>
      </c>
      <c r="D601" s="549" t="s">
        <v>273</v>
      </c>
      <c r="E601" s="550">
        <v>1</v>
      </c>
      <c r="F601" s="551">
        <v>23.1</v>
      </c>
      <c r="G601" s="551">
        <v>0</v>
      </c>
      <c r="H601" s="551">
        <v>0.1</v>
      </c>
      <c r="I601" s="552">
        <f>ROUND(IF(AND(F601:H601),C601*E601*F601*G601*H601,IF(AND(F601,G601),C601*E601*F601*G601,IF(AND(F601,H601),C601*E601*F601*H601,IF(AND(G601,H601),C601*E601*G601*H601,IF(F601,C601*E601*F601,IF(G601,C601*E601*G601,IF(H601,C601*E601*H601,C601*E601))))))),2)</f>
        <v>2.31</v>
      </c>
      <c r="J601" s="553" t="s">
        <v>102</v>
      </c>
      <c r="K601" s="39"/>
      <c r="L601" s="208"/>
      <c r="M601" s="39"/>
      <c r="N601" s="536" t="s">
        <v>2317</v>
      </c>
    </row>
    <row r="602" spans="1:14" s="544" customFormat="1" ht="16.5" customHeight="1">
      <c r="A602" s="16"/>
      <c r="B602" s="547" t="s">
        <v>1247</v>
      </c>
      <c r="C602" s="548">
        <v>1</v>
      </c>
      <c r="D602" s="549" t="s">
        <v>273</v>
      </c>
      <c r="E602" s="550">
        <v>1</v>
      </c>
      <c r="F602" s="551">
        <v>6.32</v>
      </c>
      <c r="G602" s="551">
        <v>0</v>
      </c>
      <c r="H602" s="551">
        <v>0.1</v>
      </c>
      <c r="I602" s="552">
        <f>ROUND(IF(AND(F602:H602),C602*E602*F602*G602*H602,IF(AND(F602,G602),C602*E602*F602*G602,IF(AND(F602,H602),C602*E602*F602*H602,IF(AND(G602,H602),C602*E602*G602*H602,IF(F602,C602*E602*F602,IF(G602,C602*E602*G602,IF(H602,C602*E602*H602,C602*E602))))))),2)</f>
        <v>0.63</v>
      </c>
      <c r="J602" s="553" t="s">
        <v>102</v>
      </c>
      <c r="K602" s="39"/>
      <c r="L602" s="208"/>
      <c r="M602" s="39"/>
      <c r="N602" s="536" t="s">
        <v>2317</v>
      </c>
    </row>
    <row r="603" spans="1:14" s="544" customFormat="1" ht="16.5" customHeight="1">
      <c r="A603" s="16"/>
      <c r="B603" s="547"/>
      <c r="C603" s="548"/>
      <c r="D603" s="549"/>
      <c r="E603" s="550"/>
      <c r="F603" s="551"/>
      <c r="G603" s="551"/>
      <c r="H603" s="551"/>
      <c r="I603" s="552"/>
      <c r="J603" s="553"/>
      <c r="K603" s="39"/>
      <c r="L603" s="208"/>
      <c r="M603" s="39"/>
      <c r="N603" s="536" t="s">
        <v>2317</v>
      </c>
    </row>
    <row r="604" spans="1:14" ht="15.75">
      <c r="A604" s="16"/>
      <c r="B604" s="39"/>
      <c r="C604" s="554"/>
      <c r="D604" s="555"/>
      <c r="E604" s="540"/>
      <c r="F604" s="541"/>
      <c r="G604" s="40"/>
      <c r="H604" s="16"/>
      <c r="I604" s="552"/>
      <c r="J604" s="553" t="s">
        <v>102</v>
      </c>
      <c r="K604" s="10">
        <f>data!G2532</f>
        <v>1103.42</v>
      </c>
      <c r="L604" s="208" t="s">
        <v>2317</v>
      </c>
      <c r="M604" s="9">
        <f>ROUND(I604*K604,0)</f>
        <v>0</v>
      </c>
      <c r="N604" s="536" t="s">
        <v>2317</v>
      </c>
    </row>
    <row r="605" spans="1:14" ht="79.5" customHeight="1">
      <c r="A605" s="16">
        <v>25</v>
      </c>
      <c r="B605" s="1858" t="s">
        <v>213</v>
      </c>
      <c r="C605" s="1858"/>
      <c r="D605" s="1858"/>
      <c r="E605" s="1858"/>
      <c r="F605" s="1858"/>
      <c r="G605" s="1858"/>
      <c r="H605" s="1858"/>
      <c r="I605" s="537"/>
      <c r="J605" s="538"/>
      <c r="K605" s="16"/>
      <c r="L605" s="208"/>
      <c r="M605" s="38"/>
      <c r="N605" s="536" t="s">
        <v>2318</v>
      </c>
    </row>
    <row r="606" spans="1:14" s="544" customFormat="1" ht="16.5" customHeight="1">
      <c r="A606" s="16"/>
      <c r="B606" s="39" t="s">
        <v>2821</v>
      </c>
      <c r="C606" s="566"/>
      <c r="D606" s="567"/>
      <c r="E606" s="568"/>
      <c r="F606" s="569"/>
      <c r="G606" s="569"/>
      <c r="H606" s="570"/>
      <c r="I606" s="571"/>
      <c r="J606" s="553"/>
      <c r="K606" s="39"/>
      <c r="L606" s="208"/>
      <c r="M606" s="39"/>
      <c r="N606" s="536" t="s">
        <v>2318</v>
      </c>
    </row>
    <row r="607" spans="1:14" s="544" customFormat="1" ht="16.5" customHeight="1">
      <c r="A607" s="16"/>
      <c r="B607" s="547" t="s">
        <v>1248</v>
      </c>
      <c r="C607" s="548">
        <v>1</v>
      </c>
      <c r="D607" s="549" t="s">
        <v>273</v>
      </c>
      <c r="E607" s="550">
        <v>1</v>
      </c>
      <c r="F607" s="551">
        <v>26.94</v>
      </c>
      <c r="G607" s="551">
        <v>0</v>
      </c>
      <c r="H607" s="551">
        <v>0.1</v>
      </c>
      <c r="I607" s="552">
        <f>ROUND(IF(AND(F607:H607),C607*E607*F607*G607*H607,IF(AND(F607,G607),C607*E607*F607*G607,IF(AND(F607,H607),C607*E607*F607*H607,IF(AND(G607,H607),C607*E607*G607*H607,IF(F607,C607*E607*F607,IF(G607,C607*E607*G607,IF(H607,C607*E607*H607,C607*E607))))))),2)</f>
        <v>2.69</v>
      </c>
      <c r="J607" s="553" t="s">
        <v>102</v>
      </c>
      <c r="K607" s="39"/>
      <c r="L607" s="208"/>
      <c r="M607" s="39"/>
      <c r="N607" s="536" t="s">
        <v>2318</v>
      </c>
    </row>
    <row r="608" spans="1:14" s="544" customFormat="1" ht="16.5" customHeight="1">
      <c r="A608" s="16"/>
      <c r="B608" s="547" t="s">
        <v>660</v>
      </c>
      <c r="C608" s="548">
        <v>1</v>
      </c>
      <c r="D608" s="549" t="s">
        <v>273</v>
      </c>
      <c r="E608" s="550">
        <v>1</v>
      </c>
      <c r="F608" s="551">
        <v>23.1</v>
      </c>
      <c r="G608" s="551">
        <v>0</v>
      </c>
      <c r="H608" s="551">
        <v>0.1</v>
      </c>
      <c r="I608" s="552">
        <f>ROUND(IF(AND(F608:H608),C608*E608*F608*G608*H608,IF(AND(F608,G608),C608*E608*F608*G608,IF(AND(F608,H608),C608*E608*F608*H608,IF(AND(G608,H608),C608*E608*G608*H608,IF(F608,C608*E608*F608,IF(G608,C608*E608*G608,IF(H608,C608*E608*H608,C608*E608))))))),2)</f>
        <v>2.31</v>
      </c>
      <c r="J608" s="553" t="s">
        <v>102</v>
      </c>
      <c r="K608" s="39"/>
      <c r="L608" s="208"/>
      <c r="M608" s="39"/>
      <c r="N608" s="536" t="s">
        <v>2318</v>
      </c>
    </row>
    <row r="609" spans="1:14" s="544" customFormat="1" ht="16.5" customHeight="1">
      <c r="A609" s="16"/>
      <c r="B609" s="547" t="s">
        <v>1247</v>
      </c>
      <c r="C609" s="548">
        <v>1</v>
      </c>
      <c r="D609" s="549" t="s">
        <v>273</v>
      </c>
      <c r="E609" s="550">
        <v>1</v>
      </c>
      <c r="F609" s="551">
        <v>6.32</v>
      </c>
      <c r="G609" s="551">
        <v>0</v>
      </c>
      <c r="H609" s="551">
        <v>0.1</v>
      </c>
      <c r="I609" s="552">
        <f>ROUND(IF(AND(F609:H609),C609*E609*F609*G609*H609,IF(AND(F609,G609),C609*E609*F609*G609,IF(AND(F609,H609),C609*E609*F609*H609,IF(AND(G609,H609),C609*E609*G609*H609,IF(F609,C609*E609*F609,IF(G609,C609*E609*G609,IF(H609,C609*E609*H609,C609*E609))))))),2)</f>
        <v>0.63</v>
      </c>
      <c r="J609" s="553" t="s">
        <v>102</v>
      </c>
      <c r="K609" s="39"/>
      <c r="L609" s="208"/>
      <c r="M609" s="39"/>
      <c r="N609" s="536" t="s">
        <v>2318</v>
      </c>
    </row>
    <row r="610" spans="1:14" s="544" customFormat="1" ht="16.5" customHeight="1">
      <c r="A610" s="16"/>
      <c r="B610" s="547"/>
      <c r="C610" s="548"/>
      <c r="D610" s="549"/>
      <c r="E610" s="550"/>
      <c r="F610" s="551"/>
      <c r="G610" s="551"/>
      <c r="H610" s="551"/>
      <c r="I610" s="552"/>
      <c r="J610" s="553"/>
      <c r="K610" s="39"/>
      <c r="L610" s="208"/>
      <c r="M610" s="39"/>
      <c r="N610" s="536" t="s">
        <v>2318</v>
      </c>
    </row>
    <row r="611" spans="1:14" ht="15.75">
      <c r="A611" s="16"/>
      <c r="B611" s="39"/>
      <c r="C611" s="554"/>
      <c r="D611" s="555"/>
      <c r="E611" s="540"/>
      <c r="F611" s="541"/>
      <c r="G611" s="40"/>
      <c r="H611" s="16"/>
      <c r="I611" s="552"/>
      <c r="J611" s="553" t="s">
        <v>102</v>
      </c>
      <c r="K611" s="10">
        <f>data!G3449</f>
        <v>1134.08</v>
      </c>
      <c r="L611" s="208" t="s">
        <v>2318</v>
      </c>
      <c r="M611" s="9">
        <f>ROUND(I611*K611,0)</f>
        <v>0</v>
      </c>
      <c r="N611" s="536" t="s">
        <v>2318</v>
      </c>
    </row>
    <row r="612" spans="1:14" ht="108" customHeight="1">
      <c r="A612" s="16">
        <v>23</v>
      </c>
      <c r="B612" s="1858" t="s">
        <v>665</v>
      </c>
      <c r="C612" s="1858"/>
      <c r="D612" s="1858"/>
      <c r="E612" s="1858"/>
      <c r="F612" s="1858"/>
      <c r="G612" s="1858"/>
      <c r="H612" s="1858"/>
      <c r="I612" s="537"/>
      <c r="J612" s="538"/>
      <c r="K612" s="16"/>
      <c r="L612" s="208"/>
      <c r="M612" s="38"/>
      <c r="N612" s="536" t="s">
        <v>2218</v>
      </c>
    </row>
    <row r="613" spans="1:14" s="544" customFormat="1" ht="16.5" customHeight="1">
      <c r="A613" s="16"/>
      <c r="B613" s="39" t="s">
        <v>2854</v>
      </c>
      <c r="C613" s="566"/>
      <c r="D613" s="567"/>
      <c r="E613" s="568"/>
      <c r="F613" s="569"/>
      <c r="G613" s="569"/>
      <c r="H613" s="570"/>
      <c r="I613" s="571"/>
      <c r="J613" s="553"/>
      <c r="K613" s="39"/>
      <c r="L613" s="208"/>
      <c r="M613" s="39"/>
      <c r="N613" s="536" t="s">
        <v>2218</v>
      </c>
    </row>
    <row r="614" spans="1:14" s="544" customFormat="1" ht="16.5" customHeight="1">
      <c r="A614" s="16"/>
      <c r="B614" s="547"/>
      <c r="C614" s="548">
        <v>1</v>
      </c>
      <c r="D614" s="549" t="s">
        <v>273</v>
      </c>
      <c r="E614" s="550">
        <v>2</v>
      </c>
      <c r="F614" s="551">
        <v>3.1</v>
      </c>
      <c r="G614" s="551">
        <v>1.08</v>
      </c>
      <c r="H614" s="551">
        <v>0</v>
      </c>
      <c r="I614" s="552">
        <f>ROUND(IF(AND(F614:H614),C614*E614*F614*G614*H614,IF(AND(F614,G614),C614*E614*F614*G614,IF(AND(F614,H614),C614*E614*F614*H614,IF(AND(G614,H614),C614*E614*G614*H614,IF(F614,C614*E614*F614,IF(G614,C614*E614*G614,IF(H614,C614*E614*H614,C614*E614))))))),2)</f>
        <v>6.7</v>
      </c>
      <c r="J614" s="553" t="s">
        <v>102</v>
      </c>
      <c r="K614" s="39"/>
      <c r="L614" s="208"/>
      <c r="M614" s="39"/>
      <c r="N614" s="536" t="s">
        <v>2218</v>
      </c>
    </row>
    <row r="615" spans="1:14" s="544" customFormat="1" ht="16.5" customHeight="1">
      <c r="A615" s="16"/>
      <c r="B615" s="547"/>
      <c r="C615" s="548">
        <v>1</v>
      </c>
      <c r="D615" s="549" t="s">
        <v>273</v>
      </c>
      <c r="E615" s="550">
        <v>1</v>
      </c>
      <c r="F615" s="551">
        <v>3.69</v>
      </c>
      <c r="G615" s="551">
        <v>2</v>
      </c>
      <c r="H615" s="551">
        <v>0</v>
      </c>
      <c r="I615" s="552">
        <f>ROUND(IF(AND(F615:H615),C615*E615*F615*G615*H615,IF(AND(F615,G615),C615*E615*F615*G615,IF(AND(F615,H615),C615*E615*F615*H615,IF(AND(G615,H615),C615*E615*G615*H615,IF(F615,C615*E615*F615,IF(G615,C615*E615*G615,IF(H615,C615*E615*H615,C615*E615))))))),2)</f>
        <v>7.38</v>
      </c>
      <c r="J615" s="553" t="s">
        <v>102</v>
      </c>
      <c r="K615" s="39"/>
      <c r="L615" s="208"/>
      <c r="M615" s="39"/>
      <c r="N615" s="536" t="s">
        <v>2218</v>
      </c>
    </row>
    <row r="616" spans="1:14" s="544" customFormat="1" ht="16.5" customHeight="1">
      <c r="A616" s="16"/>
      <c r="B616" s="547"/>
      <c r="C616" s="548">
        <v>4</v>
      </c>
      <c r="D616" s="549" t="s">
        <v>273</v>
      </c>
      <c r="E616" s="611">
        <v>0.78500000000000003</v>
      </c>
      <c r="F616" s="551">
        <v>0.23</v>
      </c>
      <c r="G616" s="551">
        <v>0.23</v>
      </c>
      <c r="H616" s="551">
        <v>0</v>
      </c>
      <c r="I616" s="552">
        <f>-ROUND(IF(AND(F616:H616),C616*E616*F616*G616*H616,IF(AND(F616,G616),C616*E616*F616*G616,IF(AND(F616,H616),C616*E616*F616*H616,IF(AND(G616,H616),C616*E616*G616*H616,IF(F616,C616*E616*F616,IF(G616,C616*E616*G616,IF(H616,C616*E616*H616,C616*E616))))))),2)</f>
        <v>-0.17</v>
      </c>
      <c r="J616" s="553" t="s">
        <v>102</v>
      </c>
      <c r="K616" s="39"/>
      <c r="L616" s="208"/>
      <c r="M616" s="39"/>
      <c r="N616" s="536" t="s">
        <v>2218</v>
      </c>
    </row>
    <row r="617" spans="1:14" s="544" customFormat="1" ht="16.5" customHeight="1">
      <c r="A617" s="16"/>
      <c r="B617" s="547"/>
      <c r="C617" s="548"/>
      <c r="D617" s="549"/>
      <c r="E617" s="550"/>
      <c r="F617" s="551"/>
      <c r="G617" s="551"/>
      <c r="H617" s="551"/>
      <c r="I617" s="552"/>
      <c r="J617" s="553"/>
      <c r="K617" s="39"/>
      <c r="L617" s="208"/>
      <c r="M617" s="39"/>
      <c r="N617" s="536" t="s">
        <v>2218</v>
      </c>
    </row>
    <row r="618" spans="1:14" ht="15.75">
      <c r="A618" s="16"/>
      <c r="B618" s="39"/>
      <c r="C618" s="554"/>
      <c r="D618" s="555"/>
      <c r="E618" s="540"/>
      <c r="F618" s="541"/>
      <c r="G618" s="40"/>
      <c r="H618" s="16"/>
      <c r="I618" s="552"/>
      <c r="J618" s="553" t="s">
        <v>102</v>
      </c>
      <c r="K618" s="10">
        <f>data!G602</f>
        <v>2934.5</v>
      </c>
      <c r="L618" s="208" t="s">
        <v>2218</v>
      </c>
      <c r="M618" s="9">
        <f>ROUND(I618*K618,0)</f>
        <v>0</v>
      </c>
      <c r="N618" s="536" t="s">
        <v>2218</v>
      </c>
    </row>
    <row r="619" spans="1:14" ht="108" customHeight="1">
      <c r="A619" s="16">
        <v>23</v>
      </c>
      <c r="B619" s="1858" t="s">
        <v>665</v>
      </c>
      <c r="C619" s="1858"/>
      <c r="D619" s="1858"/>
      <c r="E619" s="1858"/>
      <c r="F619" s="1858"/>
      <c r="G619" s="1858"/>
      <c r="H619" s="1858"/>
      <c r="I619" s="537"/>
      <c r="J619" s="538"/>
      <c r="K619" s="16"/>
      <c r="L619" s="208"/>
      <c r="M619" s="38"/>
      <c r="N619" s="536" t="s">
        <v>2306</v>
      </c>
    </row>
    <row r="620" spans="1:14" s="544" customFormat="1" ht="16.5" customHeight="1">
      <c r="A620" s="16"/>
      <c r="B620" s="39" t="s">
        <v>2854</v>
      </c>
      <c r="C620" s="566"/>
      <c r="D620" s="567"/>
      <c r="E620" s="568"/>
      <c r="F620" s="569"/>
      <c r="G620" s="569"/>
      <c r="H620" s="570"/>
      <c r="I620" s="571"/>
      <c r="J620" s="553"/>
      <c r="K620" s="39"/>
      <c r="L620" s="208"/>
      <c r="M620" s="39"/>
      <c r="N620" s="536" t="s">
        <v>2306</v>
      </c>
    </row>
    <row r="621" spans="1:14" s="544" customFormat="1" ht="16.5" customHeight="1">
      <c r="A621" s="16"/>
      <c r="B621" s="547"/>
      <c r="C621" s="548">
        <v>1</v>
      </c>
      <c r="D621" s="549" t="s">
        <v>273</v>
      </c>
      <c r="E621" s="550">
        <v>2</v>
      </c>
      <c r="F621" s="551">
        <v>3.1</v>
      </c>
      <c r="G621" s="551">
        <v>1.08</v>
      </c>
      <c r="H621" s="551">
        <v>0</v>
      </c>
      <c r="I621" s="552">
        <f>ROUND(IF(AND(F621:H621),C621*E621*F621*G621*H621,IF(AND(F621,G621),C621*E621*F621*G621,IF(AND(F621,H621),C621*E621*F621*H621,IF(AND(G621,H621),C621*E621*G621*H621,IF(F621,C621*E621*F621,IF(G621,C621*E621*G621,IF(H621,C621*E621*H621,C621*E621))))))),2)</f>
        <v>6.7</v>
      </c>
      <c r="J621" s="553" t="s">
        <v>102</v>
      </c>
      <c r="K621" s="39"/>
      <c r="L621" s="208"/>
      <c r="M621" s="39"/>
      <c r="N621" s="536" t="s">
        <v>2306</v>
      </c>
    </row>
    <row r="622" spans="1:14" s="544" customFormat="1" ht="16.5" customHeight="1">
      <c r="A622" s="16"/>
      <c r="B622" s="547"/>
      <c r="C622" s="548">
        <v>1</v>
      </c>
      <c r="D622" s="549" t="s">
        <v>273</v>
      </c>
      <c r="E622" s="550">
        <v>1</v>
      </c>
      <c r="F622" s="551">
        <v>3.69</v>
      </c>
      <c r="G622" s="551">
        <v>2</v>
      </c>
      <c r="H622" s="551">
        <v>0</v>
      </c>
      <c r="I622" s="552">
        <f>ROUND(IF(AND(F622:H622),C622*E622*F622*G622*H622,IF(AND(F622,G622),C622*E622*F622*G622,IF(AND(F622,H622),C622*E622*F622*H622,IF(AND(G622,H622),C622*E622*G622*H622,IF(F622,C622*E622*F622,IF(G622,C622*E622*G622,IF(H622,C622*E622*H622,C622*E622))))))),2)</f>
        <v>7.38</v>
      </c>
      <c r="J622" s="553" t="s">
        <v>102</v>
      </c>
      <c r="K622" s="39"/>
      <c r="L622" s="208"/>
      <c r="M622" s="39"/>
      <c r="N622" s="536" t="s">
        <v>2306</v>
      </c>
    </row>
    <row r="623" spans="1:14" s="544" customFormat="1" ht="16.5" customHeight="1">
      <c r="A623" s="16"/>
      <c r="B623" s="547"/>
      <c r="C623" s="548">
        <v>4</v>
      </c>
      <c r="D623" s="549" t="s">
        <v>273</v>
      </c>
      <c r="E623" s="611">
        <v>0.78500000000000003</v>
      </c>
      <c r="F623" s="551">
        <v>0.23</v>
      </c>
      <c r="G623" s="551">
        <v>0.23</v>
      </c>
      <c r="H623" s="551">
        <v>0</v>
      </c>
      <c r="I623" s="552">
        <f>-ROUND(IF(AND(F623:H623),C623*E623*F623*G623*H623,IF(AND(F623,G623),C623*E623*F623*G623,IF(AND(F623,H623),C623*E623*F623*H623,IF(AND(G623,H623),C623*E623*G623*H623,IF(F623,C623*E623*F623,IF(G623,C623*E623*G623,IF(H623,C623*E623*H623,C623*E623))))))),2)</f>
        <v>-0.17</v>
      </c>
      <c r="J623" s="553" t="s">
        <v>102</v>
      </c>
      <c r="K623" s="39"/>
      <c r="L623" s="208"/>
      <c r="M623" s="39"/>
      <c r="N623" s="536" t="s">
        <v>2306</v>
      </c>
    </row>
    <row r="624" spans="1:14" s="544" customFormat="1" ht="16.5" customHeight="1">
      <c r="A624" s="16"/>
      <c r="B624" s="547"/>
      <c r="C624" s="548"/>
      <c r="D624" s="549"/>
      <c r="E624" s="550"/>
      <c r="F624" s="551"/>
      <c r="G624" s="551"/>
      <c r="H624" s="551"/>
      <c r="I624" s="552"/>
      <c r="J624" s="553"/>
      <c r="K624" s="39"/>
      <c r="L624" s="208"/>
      <c r="M624" s="39"/>
      <c r="N624" s="536" t="s">
        <v>2306</v>
      </c>
    </row>
    <row r="625" spans="1:14" ht="15.75">
      <c r="A625" s="16"/>
      <c r="B625" s="39"/>
      <c r="C625" s="554"/>
      <c r="D625" s="555"/>
      <c r="E625" s="540"/>
      <c r="F625" s="541"/>
      <c r="G625" s="40"/>
      <c r="H625" s="16"/>
      <c r="I625" s="552"/>
      <c r="J625" s="553" t="s">
        <v>102</v>
      </c>
      <c r="K625" s="10">
        <f>data!G1519</f>
        <v>3003.21</v>
      </c>
      <c r="L625" s="208" t="s">
        <v>2306</v>
      </c>
      <c r="M625" s="9">
        <f>ROUND(I625*K625,0)</f>
        <v>0</v>
      </c>
      <c r="N625" s="536" t="s">
        <v>2306</v>
      </c>
    </row>
    <row r="626" spans="1:14" ht="108" customHeight="1">
      <c r="A626" s="16">
        <v>23</v>
      </c>
      <c r="B626" s="1858" t="s">
        <v>665</v>
      </c>
      <c r="C626" s="1858"/>
      <c r="D626" s="1858"/>
      <c r="E626" s="1858"/>
      <c r="F626" s="1858"/>
      <c r="G626" s="1858"/>
      <c r="H626" s="1858"/>
      <c r="I626" s="537"/>
      <c r="J626" s="538"/>
      <c r="K626" s="16"/>
      <c r="L626" s="208"/>
      <c r="M626" s="38"/>
      <c r="N626" s="536" t="s">
        <v>2317</v>
      </c>
    </row>
    <row r="627" spans="1:14" s="544" customFormat="1" ht="16.5" customHeight="1">
      <c r="A627" s="16"/>
      <c r="B627" s="39" t="s">
        <v>2854</v>
      </c>
      <c r="C627" s="566"/>
      <c r="D627" s="567"/>
      <c r="E627" s="568"/>
      <c r="F627" s="569"/>
      <c r="G627" s="569"/>
      <c r="H627" s="570"/>
      <c r="I627" s="571"/>
      <c r="J627" s="553"/>
      <c r="K627" s="39"/>
      <c r="L627" s="208"/>
      <c r="M627" s="39"/>
      <c r="N627" s="536" t="s">
        <v>2317</v>
      </c>
    </row>
    <row r="628" spans="1:14" s="544" customFormat="1" ht="16.5" customHeight="1">
      <c r="A628" s="16"/>
      <c r="B628" s="547"/>
      <c r="C628" s="548">
        <v>1</v>
      </c>
      <c r="D628" s="549" t="s">
        <v>273</v>
      </c>
      <c r="E628" s="550">
        <v>2</v>
      </c>
      <c r="F628" s="551">
        <v>3.1</v>
      </c>
      <c r="G628" s="551">
        <v>1.08</v>
      </c>
      <c r="H628" s="551">
        <v>0</v>
      </c>
      <c r="I628" s="552">
        <f>ROUND(IF(AND(F628:H628),C628*E628*F628*G628*H628,IF(AND(F628,G628),C628*E628*F628*G628,IF(AND(F628,H628),C628*E628*F628*H628,IF(AND(G628,H628),C628*E628*G628*H628,IF(F628,C628*E628*F628,IF(G628,C628*E628*G628,IF(H628,C628*E628*H628,C628*E628))))))),2)</f>
        <v>6.7</v>
      </c>
      <c r="J628" s="553" t="s">
        <v>102</v>
      </c>
      <c r="K628" s="39"/>
      <c r="L628" s="208"/>
      <c r="M628" s="39"/>
      <c r="N628" s="536" t="s">
        <v>2317</v>
      </c>
    </row>
    <row r="629" spans="1:14" s="544" customFormat="1" ht="16.5" customHeight="1">
      <c r="A629" s="16"/>
      <c r="B629" s="547"/>
      <c r="C629" s="548">
        <v>1</v>
      </c>
      <c r="D629" s="549" t="s">
        <v>273</v>
      </c>
      <c r="E629" s="550">
        <v>1</v>
      </c>
      <c r="F629" s="551">
        <v>3.69</v>
      </c>
      <c r="G629" s="551">
        <v>2</v>
      </c>
      <c r="H629" s="551">
        <v>0</v>
      </c>
      <c r="I629" s="552">
        <f>ROUND(IF(AND(F629:H629),C629*E629*F629*G629*H629,IF(AND(F629,G629),C629*E629*F629*G629,IF(AND(F629,H629),C629*E629*F629*H629,IF(AND(G629,H629),C629*E629*G629*H629,IF(F629,C629*E629*F629,IF(G629,C629*E629*G629,IF(H629,C629*E629*H629,C629*E629))))))),2)</f>
        <v>7.38</v>
      </c>
      <c r="J629" s="553" t="s">
        <v>102</v>
      </c>
      <c r="K629" s="39"/>
      <c r="L629" s="208"/>
      <c r="M629" s="39"/>
      <c r="N629" s="536" t="s">
        <v>2317</v>
      </c>
    </row>
    <row r="630" spans="1:14" s="544" customFormat="1" ht="16.5" customHeight="1">
      <c r="A630" s="16"/>
      <c r="B630" s="547"/>
      <c r="C630" s="548">
        <v>4</v>
      </c>
      <c r="D630" s="549" t="s">
        <v>273</v>
      </c>
      <c r="E630" s="611">
        <v>0.78500000000000003</v>
      </c>
      <c r="F630" s="551">
        <v>0.23</v>
      </c>
      <c r="G630" s="551">
        <v>0.23</v>
      </c>
      <c r="H630" s="551">
        <v>0</v>
      </c>
      <c r="I630" s="552">
        <f>-ROUND(IF(AND(F630:H630),C630*E630*F630*G630*H630,IF(AND(F630,G630),C630*E630*F630*G630,IF(AND(F630,H630),C630*E630*F630*H630,IF(AND(G630,H630),C630*E630*G630*H630,IF(F630,C630*E630*F630,IF(G630,C630*E630*G630,IF(H630,C630*E630*H630,C630*E630))))))),2)</f>
        <v>-0.17</v>
      </c>
      <c r="J630" s="553" t="s">
        <v>102</v>
      </c>
      <c r="K630" s="39"/>
      <c r="L630" s="208"/>
      <c r="M630" s="39"/>
      <c r="N630" s="536" t="s">
        <v>2317</v>
      </c>
    </row>
    <row r="631" spans="1:14" s="544" customFormat="1" ht="16.5" customHeight="1">
      <c r="A631" s="16"/>
      <c r="B631" s="547"/>
      <c r="C631" s="548"/>
      <c r="D631" s="549"/>
      <c r="E631" s="550"/>
      <c r="F631" s="551"/>
      <c r="G631" s="551"/>
      <c r="H631" s="551"/>
      <c r="I631" s="552"/>
      <c r="J631" s="553"/>
      <c r="K631" s="39"/>
      <c r="L631" s="208"/>
      <c r="M631" s="39"/>
      <c r="N631" s="536" t="s">
        <v>2317</v>
      </c>
    </row>
    <row r="632" spans="1:14" ht="15.75">
      <c r="A632" s="16"/>
      <c r="B632" s="39"/>
      <c r="C632" s="554"/>
      <c r="D632" s="555"/>
      <c r="E632" s="540"/>
      <c r="F632" s="541"/>
      <c r="G632" s="40"/>
      <c r="H632" s="16"/>
      <c r="I632" s="552"/>
      <c r="J632" s="553" t="s">
        <v>102</v>
      </c>
      <c r="K632" s="10">
        <f>data!G2436</f>
        <v>3066.62</v>
      </c>
      <c r="L632" s="208" t="s">
        <v>2317</v>
      </c>
      <c r="M632" s="9">
        <f>ROUND(I632*K632,0)</f>
        <v>0</v>
      </c>
      <c r="N632" s="536" t="s">
        <v>2317</v>
      </c>
    </row>
    <row r="633" spans="1:14" ht="108" customHeight="1">
      <c r="A633" s="16">
        <v>23</v>
      </c>
      <c r="B633" s="1858" t="s">
        <v>665</v>
      </c>
      <c r="C633" s="1858"/>
      <c r="D633" s="1858"/>
      <c r="E633" s="1858"/>
      <c r="F633" s="1858"/>
      <c r="G633" s="1858"/>
      <c r="H633" s="1858"/>
      <c r="I633" s="537"/>
      <c r="J633" s="538"/>
      <c r="K633" s="16"/>
      <c r="L633" s="208"/>
      <c r="M633" s="38"/>
      <c r="N633" s="536" t="s">
        <v>2318</v>
      </c>
    </row>
    <row r="634" spans="1:14" s="544" customFormat="1" ht="16.5" customHeight="1">
      <c r="A634" s="16"/>
      <c r="B634" s="39" t="s">
        <v>2854</v>
      </c>
      <c r="C634" s="566"/>
      <c r="D634" s="567"/>
      <c r="E634" s="568"/>
      <c r="F634" s="569"/>
      <c r="G634" s="569"/>
      <c r="H634" s="570"/>
      <c r="I634" s="571"/>
      <c r="J634" s="553"/>
      <c r="K634" s="39"/>
      <c r="L634" s="208"/>
      <c r="M634" s="39"/>
      <c r="N634" s="536" t="s">
        <v>2318</v>
      </c>
    </row>
    <row r="635" spans="1:14" s="544" customFormat="1" ht="16.5" customHeight="1">
      <c r="A635" s="16"/>
      <c r="B635" s="547"/>
      <c r="C635" s="548">
        <v>1</v>
      </c>
      <c r="D635" s="549" t="s">
        <v>273</v>
      </c>
      <c r="E635" s="550">
        <v>2</v>
      </c>
      <c r="F635" s="551">
        <v>3.1</v>
      </c>
      <c r="G635" s="551">
        <v>1.08</v>
      </c>
      <c r="H635" s="551">
        <v>0</v>
      </c>
      <c r="I635" s="552">
        <f>ROUND(IF(AND(F635:H635),C635*E635*F635*G635*H635,IF(AND(F635,G635),C635*E635*F635*G635,IF(AND(F635,H635),C635*E635*F635*H635,IF(AND(G635,H635),C635*E635*G635*H635,IF(F635,C635*E635*F635,IF(G635,C635*E635*G635,IF(H635,C635*E635*H635,C635*E635))))))),2)</f>
        <v>6.7</v>
      </c>
      <c r="J635" s="553" t="s">
        <v>102</v>
      </c>
      <c r="K635" s="39"/>
      <c r="L635" s="208"/>
      <c r="M635" s="39"/>
      <c r="N635" s="536" t="s">
        <v>2318</v>
      </c>
    </row>
    <row r="636" spans="1:14" s="544" customFormat="1" ht="16.5" customHeight="1">
      <c r="A636" s="16"/>
      <c r="B636" s="547"/>
      <c r="C636" s="548">
        <v>1</v>
      </c>
      <c r="D636" s="549" t="s">
        <v>273</v>
      </c>
      <c r="E636" s="550">
        <v>1</v>
      </c>
      <c r="F636" s="551">
        <v>3.69</v>
      </c>
      <c r="G636" s="551">
        <v>2</v>
      </c>
      <c r="H636" s="551">
        <v>0</v>
      </c>
      <c r="I636" s="552">
        <f>ROUND(IF(AND(F636:H636),C636*E636*F636*G636*H636,IF(AND(F636,G636),C636*E636*F636*G636,IF(AND(F636,H636),C636*E636*F636*H636,IF(AND(G636,H636),C636*E636*G636*H636,IF(F636,C636*E636*F636,IF(G636,C636*E636*G636,IF(H636,C636*E636*H636,C636*E636))))))),2)</f>
        <v>7.38</v>
      </c>
      <c r="J636" s="553" t="s">
        <v>102</v>
      </c>
      <c r="K636" s="39"/>
      <c r="L636" s="208"/>
      <c r="M636" s="39"/>
      <c r="N636" s="536" t="s">
        <v>2318</v>
      </c>
    </row>
    <row r="637" spans="1:14" s="544" customFormat="1" ht="16.5" customHeight="1">
      <c r="A637" s="16"/>
      <c r="B637" s="547"/>
      <c r="C637" s="548">
        <v>4</v>
      </c>
      <c r="D637" s="549" t="s">
        <v>273</v>
      </c>
      <c r="E637" s="611">
        <v>0.78500000000000003</v>
      </c>
      <c r="F637" s="551">
        <v>0.23</v>
      </c>
      <c r="G637" s="551">
        <v>0.23</v>
      </c>
      <c r="H637" s="551">
        <v>0</v>
      </c>
      <c r="I637" s="552">
        <f>-ROUND(IF(AND(F637:H637),C637*E637*F637*G637*H637,IF(AND(F637,G637),C637*E637*F637*G637,IF(AND(F637,H637),C637*E637*F637*H637,IF(AND(G637,H637),C637*E637*G637*H637,IF(F637,C637*E637*F637,IF(G637,C637*E637*G637,IF(H637,C637*E637*H637,C637*E637))))))),2)</f>
        <v>-0.17</v>
      </c>
      <c r="J637" s="553" t="s">
        <v>102</v>
      </c>
      <c r="K637" s="39"/>
      <c r="L637" s="208"/>
      <c r="M637" s="39"/>
      <c r="N637" s="536" t="s">
        <v>2318</v>
      </c>
    </row>
    <row r="638" spans="1:14" s="544" customFormat="1" ht="16.5" customHeight="1">
      <c r="A638" s="16"/>
      <c r="B638" s="547"/>
      <c r="C638" s="548"/>
      <c r="D638" s="549"/>
      <c r="E638" s="550"/>
      <c r="F638" s="551"/>
      <c r="G638" s="551"/>
      <c r="H638" s="551"/>
      <c r="I638" s="552"/>
      <c r="J638" s="553"/>
      <c r="K638" s="39"/>
      <c r="L638" s="208"/>
      <c r="M638" s="39"/>
      <c r="N638" s="536" t="s">
        <v>2318</v>
      </c>
    </row>
    <row r="639" spans="1:14" ht="15.75">
      <c r="A639" s="16"/>
      <c r="B639" s="39"/>
      <c r="C639" s="554"/>
      <c r="D639" s="555"/>
      <c r="E639" s="540"/>
      <c r="F639" s="541"/>
      <c r="G639" s="40"/>
      <c r="H639" s="16"/>
      <c r="I639" s="552"/>
      <c r="J639" s="553" t="s">
        <v>102</v>
      </c>
      <c r="K639" s="10">
        <f>data!G3353</f>
        <v>3248.17</v>
      </c>
      <c r="L639" s="208" t="s">
        <v>2318</v>
      </c>
      <c r="M639" s="9">
        <f>ROUND(I639*K639,0)</f>
        <v>0</v>
      </c>
      <c r="N639" s="536" t="s">
        <v>2318</v>
      </c>
    </row>
    <row r="640" spans="1:14" ht="93.75" customHeight="1">
      <c r="A640" s="16">
        <v>24</v>
      </c>
      <c r="B640" s="1858" t="s">
        <v>671</v>
      </c>
      <c r="C640" s="1858"/>
      <c r="D640" s="1858"/>
      <c r="E640" s="1858"/>
      <c r="F640" s="1858"/>
      <c r="G640" s="1858"/>
      <c r="H640" s="1858"/>
      <c r="I640" s="537"/>
      <c r="J640" s="538"/>
      <c r="K640" s="16"/>
      <c r="L640" s="208"/>
      <c r="M640" s="38"/>
      <c r="N640" s="536" t="s">
        <v>2218</v>
      </c>
    </row>
    <row r="641" spans="1:14" s="544" customFormat="1" ht="16.5" customHeight="1">
      <c r="A641" s="16"/>
      <c r="B641" s="39" t="s">
        <v>2904</v>
      </c>
      <c r="C641" s="566"/>
      <c r="D641" s="567"/>
      <c r="E641" s="568"/>
      <c r="F641" s="569"/>
      <c r="G641" s="569"/>
      <c r="H641" s="570"/>
      <c r="I641" s="571"/>
      <c r="J641" s="553"/>
      <c r="K641" s="39"/>
      <c r="L641" s="208"/>
      <c r="M641" s="39"/>
      <c r="N641" s="536" t="s">
        <v>2218</v>
      </c>
    </row>
    <row r="642" spans="1:14" s="544" customFormat="1" ht="16.5" customHeight="1">
      <c r="A642" s="16"/>
      <c r="B642" s="547" t="s">
        <v>819</v>
      </c>
      <c r="C642" s="548">
        <v>1</v>
      </c>
      <c r="D642" s="549" t="s">
        <v>273</v>
      </c>
      <c r="E642" s="550">
        <v>1</v>
      </c>
      <c r="F642" s="551">
        <v>6</v>
      </c>
      <c r="G642" s="551">
        <v>0</v>
      </c>
      <c r="H642" s="551">
        <v>0.15</v>
      </c>
      <c r="I642" s="552">
        <f>ROUND(IF(AND(F642:H642),C642*E642*F642*G642*H642,IF(AND(F642,G642),C642*E642*F642*G642,IF(AND(F642,H642),C642*E642*F642*H642,IF(AND(G642,H642),C642*E642*G642*H642,IF(F642,C642*E642*F642,IF(G642,C642*E642*G642,IF(H642,C642*E642*H642,C642*E642))))))),2)</f>
        <v>0.9</v>
      </c>
      <c r="J642" s="553" t="s">
        <v>102</v>
      </c>
      <c r="K642" s="39"/>
      <c r="L642" s="208"/>
      <c r="M642" s="39"/>
      <c r="N642" s="536" t="s">
        <v>2218</v>
      </c>
    </row>
    <row r="643" spans="1:14" s="544" customFormat="1" ht="16.5" customHeight="1">
      <c r="A643" s="16"/>
      <c r="B643" s="547"/>
      <c r="C643" s="548">
        <v>1</v>
      </c>
      <c r="D643" s="549" t="s">
        <v>273</v>
      </c>
      <c r="E643" s="550">
        <v>1</v>
      </c>
      <c r="F643" s="551">
        <v>6</v>
      </c>
      <c r="G643" s="551">
        <v>0</v>
      </c>
      <c r="H643" s="551">
        <v>0.15</v>
      </c>
      <c r="I643" s="552">
        <f>ROUND(IF(AND(F643:H643),C643*E643*F643*G643*H643,IF(AND(F643,G643),C643*E643*F643*G643,IF(AND(F643,H643),C643*E643*F643*H643,IF(AND(G643,H643),C643*E643*G643*H643,IF(F643,C643*E643*F643,IF(G643,C643*E643*G643,IF(H643,C643*E643*H643,C643*E643))))))),2)</f>
        <v>0.9</v>
      </c>
      <c r="J643" s="553" t="s">
        <v>102</v>
      </c>
      <c r="K643" s="39"/>
      <c r="L643" s="208"/>
      <c r="M643" s="39"/>
      <c r="N643" s="536" t="s">
        <v>2218</v>
      </c>
    </row>
    <row r="644" spans="1:14" s="544" customFormat="1" ht="16.5" customHeight="1">
      <c r="A644" s="16"/>
      <c r="B644" s="547" t="s">
        <v>821</v>
      </c>
      <c r="C644" s="548">
        <v>1</v>
      </c>
      <c r="D644" s="549" t="s">
        <v>273</v>
      </c>
      <c r="E644" s="550">
        <v>11</v>
      </c>
      <c r="F644" s="551">
        <v>1.35</v>
      </c>
      <c r="G644" s="551">
        <v>0</v>
      </c>
      <c r="H644" s="551">
        <v>0.15</v>
      </c>
      <c r="I644" s="552">
        <f>ROUND(IF(AND(F644:H644),C644*E644*F644*G644*H644,IF(AND(F644,G644),C644*E644*F644*G644,IF(AND(F644,H644),C644*E644*F644*H644,IF(AND(G644,H644),C644*E644*G644*H644,IF(F644,C644*E644*F644,IF(G644,C644*E644*G644,IF(H644,C644*E644*H644,C644*E644))))))),2)</f>
        <v>2.23</v>
      </c>
      <c r="J644" s="553" t="s">
        <v>102</v>
      </c>
      <c r="K644" s="39"/>
      <c r="L644" s="208"/>
      <c r="M644" s="39"/>
      <c r="N644" s="536" t="s">
        <v>2218</v>
      </c>
    </row>
    <row r="645" spans="1:14" s="544" customFormat="1" ht="16.5" customHeight="1">
      <c r="A645" s="16"/>
      <c r="B645" s="547"/>
      <c r="C645" s="548"/>
      <c r="D645" s="549"/>
      <c r="E645" s="550"/>
      <c r="F645" s="551"/>
      <c r="G645" s="551"/>
      <c r="H645" s="551"/>
      <c r="I645" s="552"/>
      <c r="J645" s="553"/>
      <c r="K645" s="39"/>
      <c r="L645" s="208"/>
      <c r="M645" s="39"/>
      <c r="N645" s="536" t="s">
        <v>2218</v>
      </c>
    </row>
    <row r="646" spans="1:14" ht="15.75">
      <c r="A646" s="16"/>
      <c r="B646" s="39"/>
      <c r="C646" s="554"/>
      <c r="D646" s="555"/>
      <c r="E646" s="540"/>
      <c r="F646" s="541"/>
      <c r="G646" s="40"/>
      <c r="H646" s="16"/>
      <c r="I646" s="552"/>
      <c r="J646" s="553" t="s">
        <v>102</v>
      </c>
      <c r="K646" s="10">
        <f>data!G621</f>
        <v>2740.43</v>
      </c>
      <c r="L646" s="208" t="s">
        <v>2218</v>
      </c>
      <c r="M646" s="9">
        <f>ROUND(I646*K646,0)</f>
        <v>0</v>
      </c>
      <c r="N646" s="536" t="s">
        <v>2218</v>
      </c>
    </row>
    <row r="647" spans="1:14" ht="93.75" customHeight="1">
      <c r="A647" s="16">
        <v>24</v>
      </c>
      <c r="B647" s="1858" t="s">
        <v>671</v>
      </c>
      <c r="C647" s="1858"/>
      <c r="D647" s="1858"/>
      <c r="E647" s="1858"/>
      <c r="F647" s="1858"/>
      <c r="G647" s="1858"/>
      <c r="H647" s="1858"/>
      <c r="I647" s="537"/>
      <c r="J647" s="538"/>
      <c r="K647" s="16"/>
      <c r="L647" s="208"/>
      <c r="M647" s="38"/>
      <c r="N647" s="536" t="s">
        <v>2306</v>
      </c>
    </row>
    <row r="648" spans="1:14" s="544" customFormat="1" ht="16.5" customHeight="1">
      <c r="A648" s="16"/>
      <c r="B648" s="39" t="s">
        <v>2904</v>
      </c>
      <c r="C648" s="566"/>
      <c r="D648" s="567"/>
      <c r="E648" s="568"/>
      <c r="F648" s="569"/>
      <c r="G648" s="569"/>
      <c r="H648" s="570"/>
      <c r="I648" s="571"/>
      <c r="J648" s="553"/>
      <c r="K648" s="39"/>
      <c r="L648" s="208"/>
      <c r="M648" s="39"/>
      <c r="N648" s="536" t="s">
        <v>2306</v>
      </c>
    </row>
    <row r="649" spans="1:14" s="544" customFormat="1" ht="16.5" customHeight="1">
      <c r="A649" s="16"/>
      <c r="B649" s="547" t="s">
        <v>819</v>
      </c>
      <c r="C649" s="548">
        <v>1</v>
      </c>
      <c r="D649" s="549" t="s">
        <v>273</v>
      </c>
      <c r="E649" s="550">
        <v>1</v>
      </c>
      <c r="F649" s="551">
        <v>6</v>
      </c>
      <c r="G649" s="551">
        <v>0</v>
      </c>
      <c r="H649" s="551">
        <v>0.15</v>
      </c>
      <c r="I649" s="552">
        <f>ROUND(IF(AND(F649:H649),C649*E649*F649*G649*H649,IF(AND(F649,G649),C649*E649*F649*G649,IF(AND(F649,H649),C649*E649*F649*H649,IF(AND(G649,H649),C649*E649*G649*H649,IF(F649,C649*E649*F649,IF(G649,C649*E649*G649,IF(H649,C649*E649*H649,C649*E649))))))),2)</f>
        <v>0.9</v>
      </c>
      <c r="J649" s="553" t="s">
        <v>102</v>
      </c>
      <c r="K649" s="39"/>
      <c r="L649" s="208"/>
      <c r="M649" s="39"/>
      <c r="N649" s="536" t="s">
        <v>2306</v>
      </c>
    </row>
    <row r="650" spans="1:14" s="544" customFormat="1" ht="16.5" customHeight="1">
      <c r="A650" s="16"/>
      <c r="B650" s="547"/>
      <c r="C650" s="548">
        <v>1</v>
      </c>
      <c r="D650" s="549" t="s">
        <v>273</v>
      </c>
      <c r="E650" s="550">
        <v>1</v>
      </c>
      <c r="F650" s="551">
        <v>6</v>
      </c>
      <c r="G650" s="551">
        <v>0</v>
      </c>
      <c r="H650" s="551">
        <v>0.15</v>
      </c>
      <c r="I650" s="552">
        <f>ROUND(IF(AND(F650:H650),C650*E650*F650*G650*H650,IF(AND(F650,G650),C650*E650*F650*G650,IF(AND(F650,H650),C650*E650*F650*H650,IF(AND(G650,H650),C650*E650*G650*H650,IF(F650,C650*E650*F650,IF(G650,C650*E650*G650,IF(H650,C650*E650*H650,C650*E650))))))),2)</f>
        <v>0.9</v>
      </c>
      <c r="J650" s="553" t="s">
        <v>102</v>
      </c>
      <c r="K650" s="39"/>
      <c r="L650" s="208"/>
      <c r="M650" s="39"/>
      <c r="N650" s="536" t="s">
        <v>2306</v>
      </c>
    </row>
    <row r="651" spans="1:14" s="544" customFormat="1" ht="16.5" customHeight="1">
      <c r="A651" s="16"/>
      <c r="B651" s="547" t="s">
        <v>821</v>
      </c>
      <c r="C651" s="548">
        <v>1</v>
      </c>
      <c r="D651" s="549" t="s">
        <v>273</v>
      </c>
      <c r="E651" s="550">
        <v>11</v>
      </c>
      <c r="F651" s="551">
        <v>1.35</v>
      </c>
      <c r="G651" s="551">
        <v>0</v>
      </c>
      <c r="H651" s="551">
        <v>0.15</v>
      </c>
      <c r="I651" s="552">
        <f>ROUND(IF(AND(F651:H651),C651*E651*F651*G651*H651,IF(AND(F651,G651),C651*E651*F651*G651,IF(AND(F651,H651),C651*E651*F651*H651,IF(AND(G651,H651),C651*E651*G651*H651,IF(F651,C651*E651*F651,IF(G651,C651*E651*G651,IF(H651,C651*E651*H651,C651*E651))))))),2)</f>
        <v>2.23</v>
      </c>
      <c r="J651" s="553" t="s">
        <v>102</v>
      </c>
      <c r="K651" s="39"/>
      <c r="L651" s="208"/>
      <c r="M651" s="39"/>
      <c r="N651" s="536" t="s">
        <v>2306</v>
      </c>
    </row>
    <row r="652" spans="1:14" s="544" customFormat="1" ht="16.5" customHeight="1">
      <c r="A652" s="16"/>
      <c r="B652" s="547"/>
      <c r="C652" s="548"/>
      <c r="D652" s="549"/>
      <c r="E652" s="550"/>
      <c r="F652" s="551"/>
      <c r="G652" s="551"/>
      <c r="H652" s="551"/>
      <c r="I652" s="552"/>
      <c r="J652" s="553"/>
      <c r="K652" s="39"/>
      <c r="L652" s="208"/>
      <c r="M652" s="39"/>
      <c r="N652" s="536" t="s">
        <v>2306</v>
      </c>
    </row>
    <row r="653" spans="1:14" ht="15.75">
      <c r="A653" s="16"/>
      <c r="B653" s="39"/>
      <c r="C653" s="554"/>
      <c r="D653" s="555"/>
      <c r="E653" s="540"/>
      <c r="F653" s="541"/>
      <c r="G653" s="40"/>
      <c r="H653" s="16"/>
      <c r="I653" s="552"/>
      <c r="J653" s="553" t="s">
        <v>102</v>
      </c>
      <c r="K653" s="10">
        <f>data!G1538</f>
        <v>2787.53</v>
      </c>
      <c r="L653" s="208" t="s">
        <v>2306</v>
      </c>
      <c r="M653" s="9">
        <f>ROUND(I653*K653,0)</f>
        <v>0</v>
      </c>
      <c r="N653" s="536" t="s">
        <v>2306</v>
      </c>
    </row>
    <row r="654" spans="1:14" ht="93.75" customHeight="1">
      <c r="A654" s="16">
        <v>24</v>
      </c>
      <c r="B654" s="1858" t="s">
        <v>671</v>
      </c>
      <c r="C654" s="1858"/>
      <c r="D654" s="1858"/>
      <c r="E654" s="1858"/>
      <c r="F654" s="1858"/>
      <c r="G654" s="1858"/>
      <c r="H654" s="1858"/>
      <c r="I654" s="537"/>
      <c r="J654" s="538"/>
      <c r="K654" s="16"/>
      <c r="L654" s="208"/>
      <c r="M654" s="38"/>
      <c r="N654" s="536" t="s">
        <v>2317</v>
      </c>
    </row>
    <row r="655" spans="1:14" s="544" customFormat="1" ht="16.5" customHeight="1">
      <c r="A655" s="16"/>
      <c r="B655" s="39" t="s">
        <v>2904</v>
      </c>
      <c r="C655" s="566"/>
      <c r="D655" s="567"/>
      <c r="E655" s="568"/>
      <c r="F655" s="569"/>
      <c r="G655" s="569"/>
      <c r="H655" s="570"/>
      <c r="I655" s="571"/>
      <c r="J655" s="553"/>
      <c r="K655" s="39"/>
      <c r="L655" s="208"/>
      <c r="M655" s="39"/>
      <c r="N655" s="536" t="s">
        <v>2317</v>
      </c>
    </row>
    <row r="656" spans="1:14" s="544" customFormat="1" ht="16.5" customHeight="1">
      <c r="A656" s="16"/>
      <c r="B656" s="547" t="s">
        <v>819</v>
      </c>
      <c r="C656" s="548">
        <v>1</v>
      </c>
      <c r="D656" s="549" t="s">
        <v>273</v>
      </c>
      <c r="E656" s="550">
        <v>1</v>
      </c>
      <c r="F656" s="551">
        <v>6</v>
      </c>
      <c r="G656" s="551">
        <v>0</v>
      </c>
      <c r="H656" s="551">
        <v>0.15</v>
      </c>
      <c r="I656" s="552">
        <f>ROUND(IF(AND(F656:H656),C656*E656*F656*G656*H656,IF(AND(F656,G656),C656*E656*F656*G656,IF(AND(F656,H656),C656*E656*F656*H656,IF(AND(G656,H656),C656*E656*G656*H656,IF(F656,C656*E656*F656,IF(G656,C656*E656*G656,IF(H656,C656*E656*H656,C656*E656))))))),2)</f>
        <v>0.9</v>
      </c>
      <c r="J656" s="553" t="s">
        <v>102</v>
      </c>
      <c r="K656" s="39"/>
      <c r="L656" s="208"/>
      <c r="M656" s="39"/>
      <c r="N656" s="536" t="s">
        <v>2317</v>
      </c>
    </row>
    <row r="657" spans="1:14" s="544" customFormat="1" ht="16.5" customHeight="1">
      <c r="A657" s="16"/>
      <c r="B657" s="547"/>
      <c r="C657" s="548">
        <v>1</v>
      </c>
      <c r="D657" s="549" t="s">
        <v>273</v>
      </c>
      <c r="E657" s="550">
        <v>1</v>
      </c>
      <c r="F657" s="551">
        <v>6</v>
      </c>
      <c r="G657" s="551">
        <v>0</v>
      </c>
      <c r="H657" s="551">
        <v>0.15</v>
      </c>
      <c r="I657" s="552">
        <f>ROUND(IF(AND(F657:H657),C657*E657*F657*G657*H657,IF(AND(F657,G657),C657*E657*F657*G657,IF(AND(F657,H657),C657*E657*F657*H657,IF(AND(G657,H657),C657*E657*G657*H657,IF(F657,C657*E657*F657,IF(G657,C657*E657*G657,IF(H657,C657*E657*H657,C657*E657))))))),2)</f>
        <v>0.9</v>
      </c>
      <c r="J657" s="553" t="s">
        <v>102</v>
      </c>
      <c r="K657" s="39"/>
      <c r="L657" s="208"/>
      <c r="M657" s="39"/>
      <c r="N657" s="536" t="s">
        <v>2317</v>
      </c>
    </row>
    <row r="658" spans="1:14" s="544" customFormat="1" ht="16.5" customHeight="1">
      <c r="A658" s="16"/>
      <c r="B658" s="547" t="s">
        <v>821</v>
      </c>
      <c r="C658" s="548">
        <v>1</v>
      </c>
      <c r="D658" s="549" t="s">
        <v>273</v>
      </c>
      <c r="E658" s="550">
        <v>11</v>
      </c>
      <c r="F658" s="551">
        <v>1.35</v>
      </c>
      <c r="G658" s="551">
        <v>0</v>
      </c>
      <c r="H658" s="551">
        <v>0.15</v>
      </c>
      <c r="I658" s="552">
        <f>ROUND(IF(AND(F658:H658),C658*E658*F658*G658*H658,IF(AND(F658,G658),C658*E658*F658*G658,IF(AND(F658,H658),C658*E658*F658*H658,IF(AND(G658,H658),C658*E658*G658*H658,IF(F658,C658*E658*F658,IF(G658,C658*E658*G658,IF(H658,C658*E658*H658,C658*E658))))))),2)</f>
        <v>2.23</v>
      </c>
      <c r="J658" s="553" t="s">
        <v>102</v>
      </c>
      <c r="K658" s="39"/>
      <c r="L658" s="208"/>
      <c r="M658" s="39"/>
      <c r="N658" s="536" t="s">
        <v>2317</v>
      </c>
    </row>
    <row r="659" spans="1:14" s="544" customFormat="1" ht="16.5" customHeight="1">
      <c r="A659" s="16"/>
      <c r="B659" s="547"/>
      <c r="C659" s="548"/>
      <c r="D659" s="549"/>
      <c r="E659" s="550"/>
      <c r="F659" s="551"/>
      <c r="G659" s="551"/>
      <c r="H659" s="551"/>
      <c r="I659" s="552"/>
      <c r="J659" s="553"/>
      <c r="K659" s="39"/>
      <c r="L659" s="208"/>
      <c r="M659" s="39"/>
      <c r="N659" s="536" t="s">
        <v>2317</v>
      </c>
    </row>
    <row r="660" spans="1:14" ht="15.75">
      <c r="A660" s="16"/>
      <c r="B660" s="39"/>
      <c r="C660" s="554"/>
      <c r="D660" s="555"/>
      <c r="E660" s="540"/>
      <c r="F660" s="541"/>
      <c r="G660" s="40"/>
      <c r="H660" s="16"/>
      <c r="I660" s="552"/>
      <c r="J660" s="553" t="s">
        <v>102</v>
      </c>
      <c r="K660" s="10">
        <f>data!G2455</f>
        <v>2831.2</v>
      </c>
      <c r="L660" s="208" t="s">
        <v>2317</v>
      </c>
      <c r="M660" s="9">
        <f>ROUND(I660*K660,0)</f>
        <v>0</v>
      </c>
      <c r="N660" s="536" t="s">
        <v>2317</v>
      </c>
    </row>
    <row r="661" spans="1:14" ht="93.75" customHeight="1">
      <c r="A661" s="16">
        <v>24</v>
      </c>
      <c r="B661" s="1858" t="s">
        <v>671</v>
      </c>
      <c r="C661" s="1858"/>
      <c r="D661" s="1858"/>
      <c r="E661" s="1858"/>
      <c r="F661" s="1858"/>
      <c r="G661" s="1858"/>
      <c r="H661" s="1858"/>
      <c r="I661" s="537"/>
      <c r="J661" s="538"/>
      <c r="K661" s="16"/>
      <c r="L661" s="208"/>
      <c r="M661" s="38"/>
      <c r="N661" s="536" t="s">
        <v>2318</v>
      </c>
    </row>
    <row r="662" spans="1:14" s="544" customFormat="1" ht="16.5" customHeight="1">
      <c r="A662" s="16"/>
      <c r="B662" s="39" t="s">
        <v>2904</v>
      </c>
      <c r="C662" s="566"/>
      <c r="D662" s="567"/>
      <c r="E662" s="568"/>
      <c r="F662" s="569"/>
      <c r="G662" s="569"/>
      <c r="H662" s="570"/>
      <c r="I662" s="571"/>
      <c r="J662" s="553"/>
      <c r="K662" s="39"/>
      <c r="L662" s="208"/>
      <c r="M662" s="39"/>
      <c r="N662" s="536" t="s">
        <v>2318</v>
      </c>
    </row>
    <row r="663" spans="1:14" s="544" customFormat="1" ht="16.5" customHeight="1">
      <c r="A663" s="16"/>
      <c r="B663" s="547" t="s">
        <v>819</v>
      </c>
      <c r="C663" s="548">
        <v>1</v>
      </c>
      <c r="D663" s="549" t="s">
        <v>273</v>
      </c>
      <c r="E663" s="550">
        <v>1</v>
      </c>
      <c r="F663" s="551">
        <v>6</v>
      </c>
      <c r="G663" s="551">
        <v>0</v>
      </c>
      <c r="H663" s="551">
        <v>0.15</v>
      </c>
      <c r="I663" s="552">
        <f>ROUND(IF(AND(F663:H663),C663*E663*F663*G663*H663,IF(AND(F663,G663),C663*E663*F663*G663,IF(AND(F663,H663),C663*E663*F663*H663,IF(AND(G663,H663),C663*E663*G663*H663,IF(F663,C663*E663*F663,IF(G663,C663*E663*G663,IF(H663,C663*E663*H663,C663*E663))))))),2)</f>
        <v>0.9</v>
      </c>
      <c r="J663" s="553" t="s">
        <v>102</v>
      </c>
      <c r="K663" s="39"/>
      <c r="L663" s="208"/>
      <c r="M663" s="39"/>
      <c r="N663" s="536" t="s">
        <v>2318</v>
      </c>
    </row>
    <row r="664" spans="1:14" s="544" customFormat="1" ht="16.5" customHeight="1">
      <c r="A664" s="16"/>
      <c r="B664" s="547"/>
      <c r="C664" s="548">
        <v>1</v>
      </c>
      <c r="D664" s="549" t="s">
        <v>273</v>
      </c>
      <c r="E664" s="550">
        <v>1</v>
      </c>
      <c r="F664" s="551">
        <v>6</v>
      </c>
      <c r="G664" s="551">
        <v>0</v>
      </c>
      <c r="H664" s="551">
        <v>0.15</v>
      </c>
      <c r="I664" s="552">
        <f>ROUND(IF(AND(F664:H664),C664*E664*F664*G664*H664,IF(AND(F664,G664),C664*E664*F664*G664,IF(AND(F664,H664),C664*E664*F664*H664,IF(AND(G664,H664),C664*E664*G664*H664,IF(F664,C664*E664*F664,IF(G664,C664*E664*G664,IF(H664,C664*E664*H664,C664*E664))))))),2)</f>
        <v>0.9</v>
      </c>
      <c r="J664" s="553" t="s">
        <v>102</v>
      </c>
      <c r="K664" s="39"/>
      <c r="L664" s="208"/>
      <c r="M664" s="39"/>
      <c r="N664" s="536" t="s">
        <v>2318</v>
      </c>
    </row>
    <row r="665" spans="1:14" s="544" customFormat="1" ht="16.5" customHeight="1">
      <c r="A665" s="16"/>
      <c r="B665" s="547" t="s">
        <v>821</v>
      </c>
      <c r="C665" s="548">
        <v>1</v>
      </c>
      <c r="D665" s="549" t="s">
        <v>273</v>
      </c>
      <c r="E665" s="550">
        <v>11</v>
      </c>
      <c r="F665" s="551">
        <v>1.35</v>
      </c>
      <c r="G665" s="551">
        <v>0</v>
      </c>
      <c r="H665" s="551">
        <v>0.15</v>
      </c>
      <c r="I665" s="552">
        <f>ROUND(IF(AND(F665:H665),C665*E665*F665*G665*H665,IF(AND(F665,G665),C665*E665*F665*G665,IF(AND(F665,H665),C665*E665*F665*H665,IF(AND(G665,H665),C665*E665*G665*H665,IF(F665,C665*E665*F665,IF(G665,C665*E665*G665,IF(H665,C665*E665*H665,C665*E665))))))),2)</f>
        <v>2.23</v>
      </c>
      <c r="J665" s="553" t="s">
        <v>102</v>
      </c>
      <c r="K665" s="39"/>
      <c r="L665" s="208"/>
      <c r="M665" s="39"/>
      <c r="N665" s="536" t="s">
        <v>2318</v>
      </c>
    </row>
    <row r="666" spans="1:14" s="544" customFormat="1" ht="16.5" customHeight="1">
      <c r="A666" s="16"/>
      <c r="B666" s="547"/>
      <c r="C666" s="548"/>
      <c r="D666" s="549"/>
      <c r="E666" s="550"/>
      <c r="F666" s="551"/>
      <c r="G666" s="551"/>
      <c r="H666" s="551"/>
      <c r="I666" s="552"/>
      <c r="J666" s="553"/>
      <c r="K666" s="39"/>
      <c r="L666" s="208"/>
      <c r="M666" s="39"/>
      <c r="N666" s="536" t="s">
        <v>2318</v>
      </c>
    </row>
    <row r="667" spans="1:14" ht="15.75">
      <c r="A667" s="16"/>
      <c r="B667" s="39"/>
      <c r="C667" s="554"/>
      <c r="D667" s="555"/>
      <c r="E667" s="540"/>
      <c r="F667" s="541"/>
      <c r="G667" s="40"/>
      <c r="H667" s="16"/>
      <c r="I667" s="552"/>
      <c r="J667" s="553" t="s">
        <v>102</v>
      </c>
      <c r="K667" s="10">
        <f>data!G3372</f>
        <v>2995.66</v>
      </c>
      <c r="L667" s="208" t="s">
        <v>2318</v>
      </c>
      <c r="M667" s="9">
        <f>ROUND(I667*K667,0)</f>
        <v>0</v>
      </c>
      <c r="N667" s="536" t="s">
        <v>2318</v>
      </c>
    </row>
    <row r="668" spans="1:14" ht="90" customHeight="1">
      <c r="A668" s="16">
        <v>26</v>
      </c>
      <c r="B668" s="1858" t="s">
        <v>672</v>
      </c>
      <c r="C668" s="1858"/>
      <c r="D668" s="1858"/>
      <c r="E668" s="1858"/>
      <c r="F668" s="1858"/>
      <c r="G668" s="1858"/>
      <c r="H668" s="1858"/>
      <c r="I668" s="537"/>
      <c r="J668" s="538"/>
      <c r="K668" s="16"/>
      <c r="L668" s="208"/>
      <c r="M668" s="38"/>
      <c r="N668" s="536" t="s">
        <v>2218</v>
      </c>
    </row>
    <row r="669" spans="1:14" s="544" customFormat="1" ht="16.5" customHeight="1">
      <c r="A669" s="16"/>
      <c r="B669" s="39" t="s">
        <v>2827</v>
      </c>
      <c r="C669" s="566"/>
      <c r="D669" s="567"/>
      <c r="E669" s="568"/>
      <c r="F669" s="569"/>
      <c r="G669" s="569"/>
      <c r="H669" s="570"/>
      <c r="I669" s="571"/>
      <c r="J669" s="553"/>
      <c r="K669" s="39"/>
      <c r="L669" s="208"/>
      <c r="M669" s="39"/>
      <c r="N669" s="536" t="s">
        <v>2218</v>
      </c>
    </row>
    <row r="670" spans="1:14" s="544" customFormat="1" ht="16.5" customHeight="1">
      <c r="A670" s="16"/>
      <c r="B670" s="547" t="s">
        <v>578</v>
      </c>
      <c r="C670" s="548">
        <v>1</v>
      </c>
      <c r="D670" s="549" t="s">
        <v>273</v>
      </c>
      <c r="E670" s="550">
        <v>1</v>
      </c>
      <c r="F670" s="551">
        <v>9.8699999999999992</v>
      </c>
      <c r="G670" s="551">
        <v>1.83</v>
      </c>
      <c r="H670" s="551">
        <v>0</v>
      </c>
      <c r="I670" s="552">
        <f t="shared" ref="I670:I672" si="31">ROUND(IF(AND(F670:H670),C670*E670*F670*G670*H670,IF(AND(F670,G670),C670*E670*F670*G670,IF(AND(F670,H670),C670*E670*F670*H670,IF(AND(G670,H670),C670*E670*G670*H670,IF(F670,C670*E670*F670,IF(G670,C670*E670*G670,IF(H670,C670*E670*H670,C670*E670))))))),2)</f>
        <v>18.059999999999999</v>
      </c>
      <c r="J670" s="553" t="s">
        <v>102</v>
      </c>
      <c r="K670" s="39"/>
      <c r="L670" s="208"/>
      <c r="M670" s="39"/>
      <c r="N670" s="536" t="s">
        <v>2218</v>
      </c>
    </row>
    <row r="671" spans="1:14" s="544" customFormat="1" ht="16.5" customHeight="1">
      <c r="A671" s="16"/>
      <c r="B671" s="547" t="s">
        <v>654</v>
      </c>
      <c r="C671" s="548">
        <v>1</v>
      </c>
      <c r="D671" s="549" t="s">
        <v>273</v>
      </c>
      <c r="E671" s="550">
        <v>1</v>
      </c>
      <c r="F671" s="551">
        <v>2.83</v>
      </c>
      <c r="G671" s="551">
        <v>1.55</v>
      </c>
      <c r="H671" s="551">
        <v>0</v>
      </c>
      <c r="I671" s="552">
        <f t="shared" si="31"/>
        <v>4.3899999999999997</v>
      </c>
      <c r="J671" s="553" t="s">
        <v>102</v>
      </c>
      <c r="K671" s="39"/>
      <c r="L671" s="208"/>
      <c r="M671" s="39"/>
      <c r="N671" s="536" t="s">
        <v>2218</v>
      </c>
    </row>
    <row r="672" spans="1:14" s="544" customFormat="1" ht="16.5" customHeight="1">
      <c r="A672" s="16"/>
      <c r="B672" s="547" t="s">
        <v>1251</v>
      </c>
      <c r="C672" s="548">
        <v>1</v>
      </c>
      <c r="D672" s="549" t="s">
        <v>273</v>
      </c>
      <c r="E672" s="550">
        <v>21</v>
      </c>
      <c r="F672" s="551">
        <v>1.28</v>
      </c>
      <c r="G672" s="551">
        <v>0.3</v>
      </c>
      <c r="H672" s="551">
        <v>0</v>
      </c>
      <c r="I672" s="552">
        <f t="shared" si="31"/>
        <v>8.06</v>
      </c>
      <c r="J672" s="553" t="s">
        <v>102</v>
      </c>
      <c r="K672" s="39"/>
      <c r="L672" s="208"/>
      <c r="M672" s="39"/>
      <c r="N672" s="536" t="s">
        <v>2218</v>
      </c>
    </row>
    <row r="673" spans="1:14" s="544" customFormat="1" ht="16.5" customHeight="1">
      <c r="A673" s="16"/>
      <c r="B673" s="547"/>
      <c r="C673" s="548"/>
      <c r="D673" s="549"/>
      <c r="E673" s="550"/>
      <c r="F673" s="551"/>
      <c r="G673" s="551"/>
      <c r="H673" s="551"/>
      <c r="I673" s="552"/>
      <c r="J673" s="553"/>
      <c r="K673" s="39"/>
      <c r="L673" s="208"/>
      <c r="M673" s="39"/>
      <c r="N673" s="536" t="s">
        <v>2218</v>
      </c>
    </row>
    <row r="674" spans="1:14" ht="15.75">
      <c r="A674" s="16"/>
      <c r="B674" s="39"/>
      <c r="C674" s="554"/>
      <c r="D674" s="555"/>
      <c r="E674" s="540"/>
      <c r="F674" s="541"/>
      <c r="G674" s="40"/>
      <c r="H674" s="16"/>
      <c r="I674" s="552"/>
      <c r="J674" s="553" t="s">
        <v>102</v>
      </c>
      <c r="K674" s="10">
        <f>data!G642</f>
        <v>660.95</v>
      </c>
      <c r="L674" s="208" t="s">
        <v>2218</v>
      </c>
      <c r="M674" s="9">
        <f>ROUND(I674*K674,0)</f>
        <v>0</v>
      </c>
      <c r="N674" s="536" t="s">
        <v>2218</v>
      </c>
    </row>
    <row r="675" spans="1:14" ht="90" customHeight="1">
      <c r="A675" s="16">
        <v>26</v>
      </c>
      <c r="B675" s="1858" t="s">
        <v>672</v>
      </c>
      <c r="C675" s="1858"/>
      <c r="D675" s="1858"/>
      <c r="E675" s="1858"/>
      <c r="F675" s="1858"/>
      <c r="G675" s="1858"/>
      <c r="H675" s="1858"/>
      <c r="I675" s="537"/>
      <c r="J675" s="538"/>
      <c r="K675" s="16"/>
      <c r="L675" s="208"/>
      <c r="M675" s="38"/>
      <c r="N675" s="536" t="s">
        <v>2306</v>
      </c>
    </row>
    <row r="676" spans="1:14" s="544" customFormat="1" ht="16.5" customHeight="1">
      <c r="A676" s="16"/>
      <c r="B676" s="39" t="s">
        <v>2827</v>
      </c>
      <c r="C676" s="566"/>
      <c r="D676" s="567"/>
      <c r="E676" s="568"/>
      <c r="F676" s="569"/>
      <c r="G676" s="569"/>
      <c r="H676" s="570"/>
      <c r="I676" s="571"/>
      <c r="J676" s="553"/>
      <c r="K676" s="39"/>
      <c r="L676" s="208"/>
      <c r="M676" s="39"/>
      <c r="N676" s="536" t="s">
        <v>2306</v>
      </c>
    </row>
    <row r="677" spans="1:14" s="544" customFormat="1" ht="16.5" customHeight="1">
      <c r="A677" s="16"/>
      <c r="B677" s="547" t="s">
        <v>578</v>
      </c>
      <c r="C677" s="548">
        <v>1</v>
      </c>
      <c r="D677" s="549" t="s">
        <v>273</v>
      </c>
      <c r="E677" s="550">
        <v>1</v>
      </c>
      <c r="F677" s="551">
        <v>9.8699999999999992</v>
      </c>
      <c r="G677" s="551">
        <v>1.83</v>
      </c>
      <c r="H677" s="551">
        <v>0</v>
      </c>
      <c r="I677" s="552">
        <f>ROUND(IF(AND(F677:H677),C677*E677*F677*G677*H677,IF(AND(F677,G677),C677*E677*F677*G677,IF(AND(F677,H677),C677*E677*F677*H677,IF(AND(G677,H677),C677*E677*G677*H677,IF(F677,C677*E677*F677,IF(G677,C677*E677*G677,IF(H677,C677*E677*H677,C677*E677))))))),2)</f>
        <v>18.059999999999999</v>
      </c>
      <c r="J677" s="553" t="s">
        <v>102</v>
      </c>
      <c r="K677" s="39"/>
      <c r="L677" s="208"/>
      <c r="M677" s="39"/>
      <c r="N677" s="536" t="s">
        <v>2306</v>
      </c>
    </row>
    <row r="678" spans="1:14" s="544" customFormat="1" ht="16.5" customHeight="1">
      <c r="A678" s="16"/>
      <c r="B678" s="547" t="s">
        <v>654</v>
      </c>
      <c r="C678" s="548">
        <v>1</v>
      </c>
      <c r="D678" s="549" t="s">
        <v>273</v>
      </c>
      <c r="E678" s="550">
        <v>1</v>
      </c>
      <c r="F678" s="551">
        <v>2.83</v>
      </c>
      <c r="G678" s="551">
        <v>1.55</v>
      </c>
      <c r="H678" s="551">
        <v>0</v>
      </c>
      <c r="I678" s="552">
        <f>ROUND(IF(AND(F678:H678),C678*E678*F678*G678*H678,IF(AND(F678,G678),C678*E678*F678*G678,IF(AND(F678,H678),C678*E678*F678*H678,IF(AND(G678,H678),C678*E678*G678*H678,IF(F678,C678*E678*F678,IF(G678,C678*E678*G678,IF(H678,C678*E678*H678,C678*E678))))))),2)</f>
        <v>4.3899999999999997</v>
      </c>
      <c r="J678" s="553" t="s">
        <v>102</v>
      </c>
      <c r="K678" s="39"/>
      <c r="L678" s="208"/>
      <c r="M678" s="39"/>
      <c r="N678" s="536" t="s">
        <v>2306</v>
      </c>
    </row>
    <row r="679" spans="1:14" s="544" customFormat="1" ht="16.5" customHeight="1">
      <c r="A679" s="16"/>
      <c r="B679" s="547" t="s">
        <v>1251</v>
      </c>
      <c r="C679" s="548">
        <v>1</v>
      </c>
      <c r="D679" s="549" t="s">
        <v>273</v>
      </c>
      <c r="E679" s="550">
        <v>21</v>
      </c>
      <c r="F679" s="551">
        <v>1.28</v>
      </c>
      <c r="G679" s="551">
        <v>0.3</v>
      </c>
      <c r="H679" s="551">
        <v>0</v>
      </c>
      <c r="I679" s="552">
        <f>ROUND(IF(AND(F679:H679),C679*E679*F679*G679*H679,IF(AND(F679,G679),C679*E679*F679*G679,IF(AND(F679,H679),C679*E679*F679*H679,IF(AND(G679,H679),C679*E679*G679*H679,IF(F679,C679*E679*F679,IF(G679,C679*E679*G679,IF(H679,C679*E679*H679,C679*E679))))))),2)</f>
        <v>8.06</v>
      </c>
      <c r="J679" s="553" t="s">
        <v>102</v>
      </c>
      <c r="K679" s="39"/>
      <c r="L679" s="208"/>
      <c r="M679" s="39"/>
      <c r="N679" s="536" t="s">
        <v>2306</v>
      </c>
    </row>
    <row r="680" spans="1:14" s="544" customFormat="1" ht="16.5" customHeight="1">
      <c r="A680" s="16"/>
      <c r="B680" s="547"/>
      <c r="C680" s="548"/>
      <c r="D680" s="549"/>
      <c r="E680" s="550"/>
      <c r="F680" s="551"/>
      <c r="G680" s="551"/>
      <c r="H680" s="551"/>
      <c r="I680" s="552"/>
      <c r="J680" s="553"/>
      <c r="K680" s="39"/>
      <c r="L680" s="208"/>
      <c r="M680" s="39"/>
      <c r="N680" s="536" t="s">
        <v>2306</v>
      </c>
    </row>
    <row r="681" spans="1:14" ht="15.75">
      <c r="A681" s="16"/>
      <c r="B681" s="39"/>
      <c r="C681" s="554"/>
      <c r="D681" s="555"/>
      <c r="E681" s="540"/>
      <c r="F681" s="541"/>
      <c r="G681" s="40"/>
      <c r="H681" s="16"/>
      <c r="I681" s="552"/>
      <c r="J681" s="553" t="s">
        <v>102</v>
      </c>
      <c r="K681" s="10">
        <f>data!G1559</f>
        <v>709.65</v>
      </c>
      <c r="L681" s="208" t="s">
        <v>2306</v>
      </c>
      <c r="M681" s="9">
        <f>ROUND(I681*K681,0)</f>
        <v>0</v>
      </c>
      <c r="N681" s="536" t="s">
        <v>2306</v>
      </c>
    </row>
    <row r="682" spans="1:14" ht="90" customHeight="1">
      <c r="A682" s="16">
        <v>26</v>
      </c>
      <c r="B682" s="1858" t="s">
        <v>672</v>
      </c>
      <c r="C682" s="1858"/>
      <c r="D682" s="1858"/>
      <c r="E682" s="1858"/>
      <c r="F682" s="1858"/>
      <c r="G682" s="1858"/>
      <c r="H682" s="1858"/>
      <c r="I682" s="537"/>
      <c r="J682" s="538"/>
      <c r="K682" s="16"/>
      <c r="L682" s="208"/>
      <c r="M682" s="38"/>
      <c r="N682" s="536" t="s">
        <v>2317</v>
      </c>
    </row>
    <row r="683" spans="1:14" s="544" customFormat="1" ht="16.5" customHeight="1">
      <c r="A683" s="16"/>
      <c r="B683" s="39" t="s">
        <v>2827</v>
      </c>
      <c r="C683" s="566"/>
      <c r="D683" s="567"/>
      <c r="E683" s="568"/>
      <c r="F683" s="569"/>
      <c r="G683" s="569"/>
      <c r="H683" s="570"/>
      <c r="I683" s="571"/>
      <c r="J683" s="553"/>
      <c r="K683" s="39"/>
      <c r="L683" s="208"/>
      <c r="M683" s="39"/>
      <c r="N683" s="536" t="s">
        <v>2317</v>
      </c>
    </row>
    <row r="684" spans="1:14" s="544" customFormat="1" ht="16.5" customHeight="1">
      <c r="A684" s="16"/>
      <c r="B684" s="547" t="s">
        <v>578</v>
      </c>
      <c r="C684" s="548">
        <v>1</v>
      </c>
      <c r="D684" s="549" t="s">
        <v>273</v>
      </c>
      <c r="E684" s="550">
        <v>1</v>
      </c>
      <c r="F684" s="551">
        <v>9.8699999999999992</v>
      </c>
      <c r="G684" s="551">
        <v>1.83</v>
      </c>
      <c r="H684" s="551">
        <v>0</v>
      </c>
      <c r="I684" s="552">
        <f>ROUND(IF(AND(F684:H684),C684*E684*F684*G684*H684,IF(AND(F684,G684),C684*E684*F684*G684,IF(AND(F684,H684),C684*E684*F684*H684,IF(AND(G684,H684),C684*E684*G684*H684,IF(F684,C684*E684*F684,IF(G684,C684*E684*G684,IF(H684,C684*E684*H684,C684*E684))))))),2)</f>
        <v>18.059999999999999</v>
      </c>
      <c r="J684" s="553" t="s">
        <v>102</v>
      </c>
      <c r="K684" s="39"/>
      <c r="L684" s="208"/>
      <c r="M684" s="39"/>
      <c r="N684" s="536" t="s">
        <v>2317</v>
      </c>
    </row>
    <row r="685" spans="1:14" s="544" customFormat="1" ht="16.5" customHeight="1">
      <c r="A685" s="16"/>
      <c r="B685" s="547" t="s">
        <v>654</v>
      </c>
      <c r="C685" s="548">
        <v>1</v>
      </c>
      <c r="D685" s="549" t="s">
        <v>273</v>
      </c>
      <c r="E685" s="550">
        <v>1</v>
      </c>
      <c r="F685" s="551">
        <v>2.83</v>
      </c>
      <c r="G685" s="551">
        <v>1.55</v>
      </c>
      <c r="H685" s="551">
        <v>0</v>
      </c>
      <c r="I685" s="552">
        <f>ROUND(IF(AND(F685:H685),C685*E685*F685*G685*H685,IF(AND(F685,G685),C685*E685*F685*G685,IF(AND(F685,H685),C685*E685*F685*H685,IF(AND(G685,H685),C685*E685*G685*H685,IF(F685,C685*E685*F685,IF(G685,C685*E685*G685,IF(H685,C685*E685*H685,C685*E685))))))),2)</f>
        <v>4.3899999999999997</v>
      </c>
      <c r="J685" s="553" t="s">
        <v>102</v>
      </c>
      <c r="K685" s="39"/>
      <c r="L685" s="208"/>
      <c r="M685" s="39"/>
      <c r="N685" s="536" t="s">
        <v>2317</v>
      </c>
    </row>
    <row r="686" spans="1:14" s="544" customFormat="1" ht="16.5" customHeight="1">
      <c r="A686" s="16"/>
      <c r="B686" s="547" t="s">
        <v>1251</v>
      </c>
      <c r="C686" s="548">
        <v>1</v>
      </c>
      <c r="D686" s="549" t="s">
        <v>273</v>
      </c>
      <c r="E686" s="550">
        <v>21</v>
      </c>
      <c r="F686" s="551">
        <v>1.28</v>
      </c>
      <c r="G686" s="551">
        <v>0.3</v>
      </c>
      <c r="H686" s="551">
        <v>0</v>
      </c>
      <c r="I686" s="552">
        <f>ROUND(IF(AND(F686:H686),C686*E686*F686*G686*H686,IF(AND(F686,G686),C686*E686*F686*G686,IF(AND(F686,H686),C686*E686*F686*H686,IF(AND(G686,H686),C686*E686*G686*H686,IF(F686,C686*E686*F686,IF(G686,C686*E686*G686,IF(H686,C686*E686*H686,C686*E686))))))),2)</f>
        <v>8.06</v>
      </c>
      <c r="J686" s="553" t="s">
        <v>102</v>
      </c>
      <c r="K686" s="39"/>
      <c r="L686" s="208"/>
      <c r="M686" s="39"/>
      <c r="N686" s="536" t="s">
        <v>2317</v>
      </c>
    </row>
    <row r="687" spans="1:14" s="544" customFormat="1" ht="16.5" customHeight="1">
      <c r="A687" s="16"/>
      <c r="B687" s="547"/>
      <c r="C687" s="548"/>
      <c r="D687" s="549"/>
      <c r="E687" s="550"/>
      <c r="F687" s="551"/>
      <c r="G687" s="551"/>
      <c r="H687" s="551"/>
      <c r="I687" s="552"/>
      <c r="J687" s="553"/>
      <c r="K687" s="39"/>
      <c r="L687" s="208"/>
      <c r="M687" s="39"/>
      <c r="N687" s="536" t="s">
        <v>2317</v>
      </c>
    </row>
    <row r="688" spans="1:14" ht="15.75">
      <c r="A688" s="16"/>
      <c r="B688" s="39"/>
      <c r="C688" s="554"/>
      <c r="D688" s="555"/>
      <c r="E688" s="540"/>
      <c r="F688" s="541"/>
      <c r="G688" s="40"/>
      <c r="H688" s="16"/>
      <c r="I688" s="552"/>
      <c r="J688" s="553" t="s">
        <v>102</v>
      </c>
      <c r="K688" s="10">
        <f>data!G2476</f>
        <v>718.32</v>
      </c>
      <c r="L688" s="208" t="s">
        <v>2317</v>
      </c>
      <c r="M688" s="9">
        <f>ROUND(I688*K688,0)</f>
        <v>0</v>
      </c>
      <c r="N688" s="536" t="s">
        <v>2317</v>
      </c>
    </row>
    <row r="689" spans="1:14" ht="90" customHeight="1">
      <c r="A689" s="16">
        <v>26</v>
      </c>
      <c r="B689" s="1858" t="s">
        <v>672</v>
      </c>
      <c r="C689" s="1858"/>
      <c r="D689" s="1858"/>
      <c r="E689" s="1858"/>
      <c r="F689" s="1858"/>
      <c r="G689" s="1858"/>
      <c r="H689" s="1858"/>
      <c r="I689" s="537"/>
      <c r="J689" s="538"/>
      <c r="K689" s="16"/>
      <c r="L689" s="208"/>
      <c r="M689" s="38"/>
      <c r="N689" s="536" t="s">
        <v>2318</v>
      </c>
    </row>
    <row r="690" spans="1:14" s="544" customFormat="1" ht="16.5" customHeight="1">
      <c r="A690" s="16"/>
      <c r="B690" s="39" t="s">
        <v>2827</v>
      </c>
      <c r="C690" s="566"/>
      <c r="D690" s="567"/>
      <c r="E690" s="568"/>
      <c r="F690" s="569"/>
      <c r="G690" s="569"/>
      <c r="H690" s="570"/>
      <c r="I690" s="571"/>
      <c r="J690" s="553"/>
      <c r="K690" s="39"/>
      <c r="L690" s="208"/>
      <c r="M690" s="39"/>
      <c r="N690" s="536" t="s">
        <v>2318</v>
      </c>
    </row>
    <row r="691" spans="1:14" s="544" customFormat="1" ht="16.5" customHeight="1">
      <c r="A691" s="16"/>
      <c r="B691" s="547" t="s">
        <v>578</v>
      </c>
      <c r="C691" s="548">
        <v>1</v>
      </c>
      <c r="D691" s="549" t="s">
        <v>273</v>
      </c>
      <c r="E691" s="550">
        <v>1</v>
      </c>
      <c r="F691" s="551">
        <v>9.8699999999999992</v>
      </c>
      <c r="G691" s="551">
        <v>1.83</v>
      </c>
      <c r="H691" s="551">
        <v>0</v>
      </c>
      <c r="I691" s="552">
        <f>ROUND(IF(AND(F691:H691),C691*E691*F691*G691*H691,IF(AND(F691,G691),C691*E691*F691*G691,IF(AND(F691,H691),C691*E691*F691*H691,IF(AND(G691,H691),C691*E691*G691*H691,IF(F691,C691*E691*F691,IF(G691,C691*E691*G691,IF(H691,C691*E691*H691,C691*E691))))))),2)</f>
        <v>18.059999999999999</v>
      </c>
      <c r="J691" s="553" t="s">
        <v>102</v>
      </c>
      <c r="K691" s="39"/>
      <c r="L691" s="208"/>
      <c r="M691" s="39"/>
      <c r="N691" s="536" t="s">
        <v>2318</v>
      </c>
    </row>
    <row r="692" spans="1:14" s="544" customFormat="1" ht="16.5" customHeight="1">
      <c r="A692" s="16"/>
      <c r="B692" s="547" t="s">
        <v>654</v>
      </c>
      <c r="C692" s="548">
        <v>1</v>
      </c>
      <c r="D692" s="549" t="s">
        <v>273</v>
      </c>
      <c r="E692" s="550">
        <v>1</v>
      </c>
      <c r="F692" s="551">
        <v>2.83</v>
      </c>
      <c r="G692" s="551">
        <v>1.55</v>
      </c>
      <c r="H692" s="551">
        <v>0</v>
      </c>
      <c r="I692" s="552">
        <f>ROUND(IF(AND(F692:H692),C692*E692*F692*G692*H692,IF(AND(F692,G692),C692*E692*F692*G692,IF(AND(F692,H692),C692*E692*F692*H692,IF(AND(G692,H692),C692*E692*G692*H692,IF(F692,C692*E692*F692,IF(G692,C692*E692*G692,IF(H692,C692*E692*H692,C692*E692))))))),2)</f>
        <v>4.3899999999999997</v>
      </c>
      <c r="J692" s="553" t="s">
        <v>102</v>
      </c>
      <c r="K692" s="39"/>
      <c r="L692" s="208"/>
      <c r="M692" s="39"/>
      <c r="N692" s="536" t="s">
        <v>2318</v>
      </c>
    </row>
    <row r="693" spans="1:14" s="544" customFormat="1" ht="16.5" customHeight="1">
      <c r="A693" s="16"/>
      <c r="B693" s="547" t="s">
        <v>1251</v>
      </c>
      <c r="C693" s="548">
        <v>1</v>
      </c>
      <c r="D693" s="549" t="s">
        <v>273</v>
      </c>
      <c r="E693" s="550">
        <v>21</v>
      </c>
      <c r="F693" s="551">
        <v>1.28</v>
      </c>
      <c r="G693" s="551">
        <v>0.3</v>
      </c>
      <c r="H693" s="551">
        <v>0</v>
      </c>
      <c r="I693" s="552">
        <f>ROUND(IF(AND(F693:H693),C693*E693*F693*G693*H693,IF(AND(F693,G693),C693*E693*F693*G693,IF(AND(F693,H693),C693*E693*F693*H693,IF(AND(G693,H693),C693*E693*G693*H693,IF(F693,C693*E693*F693,IF(G693,C693*E693*G693,IF(H693,C693*E693*H693,C693*E693))))))),2)</f>
        <v>8.06</v>
      </c>
      <c r="J693" s="553" t="s">
        <v>102</v>
      </c>
      <c r="K693" s="39"/>
      <c r="L693" s="208"/>
      <c r="M693" s="39"/>
      <c r="N693" s="536" t="s">
        <v>2318</v>
      </c>
    </row>
    <row r="694" spans="1:14" s="544" customFormat="1" ht="16.5" customHeight="1">
      <c r="A694" s="16"/>
      <c r="B694" s="547"/>
      <c r="C694" s="548"/>
      <c r="D694" s="549"/>
      <c r="E694" s="550"/>
      <c r="F694" s="551"/>
      <c r="G694" s="551"/>
      <c r="H694" s="551"/>
      <c r="I694" s="552"/>
      <c r="J694" s="553"/>
      <c r="K694" s="39"/>
      <c r="L694" s="208"/>
      <c r="M694" s="39"/>
      <c r="N694" s="536" t="s">
        <v>2318</v>
      </c>
    </row>
    <row r="695" spans="1:14" ht="15.75">
      <c r="A695" s="16"/>
      <c r="B695" s="39"/>
      <c r="C695" s="554"/>
      <c r="D695" s="555"/>
      <c r="E695" s="540"/>
      <c r="F695" s="541"/>
      <c r="G695" s="40"/>
      <c r="H695" s="16"/>
      <c r="I695" s="552"/>
      <c r="J695" s="553" t="s">
        <v>102</v>
      </c>
      <c r="K695" s="10">
        <f>data!G3393</f>
        <v>816.76</v>
      </c>
      <c r="L695" s="208" t="s">
        <v>2318</v>
      </c>
      <c r="M695" s="9">
        <f>ROUND(I695*K695,0)</f>
        <v>0</v>
      </c>
      <c r="N695" s="536" t="s">
        <v>2318</v>
      </c>
    </row>
    <row r="696" spans="1:14" ht="96" customHeight="1">
      <c r="A696" s="16">
        <v>27</v>
      </c>
      <c r="B696" s="1858" t="s">
        <v>678</v>
      </c>
      <c r="C696" s="1858"/>
      <c r="D696" s="1858"/>
      <c r="E696" s="1858"/>
      <c r="F696" s="1858"/>
      <c r="G696" s="1858"/>
      <c r="H696" s="1858"/>
      <c r="I696" s="537"/>
      <c r="J696" s="538"/>
      <c r="K696" s="16"/>
      <c r="L696" s="208"/>
      <c r="M696" s="38"/>
      <c r="N696" s="536" t="s">
        <v>2218</v>
      </c>
    </row>
    <row r="697" spans="1:14" s="544" customFormat="1" ht="16.5" customHeight="1">
      <c r="A697" s="16"/>
      <c r="B697" s="39" t="s">
        <v>2864</v>
      </c>
      <c r="C697" s="566"/>
      <c r="D697" s="567"/>
      <c r="E697" s="568"/>
      <c r="F697" s="569"/>
      <c r="G697" s="569"/>
      <c r="H697" s="570"/>
      <c r="I697" s="571"/>
      <c r="J697" s="553"/>
      <c r="K697" s="39"/>
      <c r="L697" s="208"/>
      <c r="M697" s="39"/>
      <c r="N697" s="536" t="s">
        <v>2218</v>
      </c>
    </row>
    <row r="698" spans="1:14" s="544" customFormat="1" ht="16.5" customHeight="1">
      <c r="A698" s="16"/>
      <c r="B698" s="547" t="s">
        <v>1249</v>
      </c>
      <c r="C698" s="548">
        <v>1</v>
      </c>
      <c r="D698" s="549" t="s">
        <v>273</v>
      </c>
      <c r="E698" s="550">
        <v>2</v>
      </c>
      <c r="F698" s="551">
        <v>5.25</v>
      </c>
      <c r="G698" s="551">
        <v>0</v>
      </c>
      <c r="H698" s="551">
        <v>0.1</v>
      </c>
      <c r="I698" s="552">
        <f t="shared" ref="I698:I700" si="32">ROUND(IF(AND(F698:H698),C698*E698*F698*G698*H698,IF(AND(F698,G698),C698*E698*F698*G698,IF(AND(F698,H698),C698*E698*F698*H698,IF(AND(G698,H698),C698*E698*G698*H698,IF(F698,C698*E698*F698,IF(G698,C698*E698*G698,IF(H698,C698*E698*H698,C698*E698))))))),2)</f>
        <v>1.05</v>
      </c>
      <c r="J698" s="553" t="s">
        <v>102</v>
      </c>
      <c r="K698" s="39"/>
      <c r="L698" s="208"/>
      <c r="M698" s="39"/>
      <c r="N698" s="536" t="s">
        <v>2218</v>
      </c>
    </row>
    <row r="699" spans="1:14" s="544" customFormat="1" ht="16.5" customHeight="1">
      <c r="A699" s="16"/>
      <c r="B699" s="547" t="s">
        <v>578</v>
      </c>
      <c r="C699" s="548">
        <v>1</v>
      </c>
      <c r="D699" s="549" t="s">
        <v>273</v>
      </c>
      <c r="E699" s="550">
        <v>1</v>
      </c>
      <c r="F699" s="551">
        <v>9.8699999999999992</v>
      </c>
      <c r="G699" s="551">
        <v>0</v>
      </c>
      <c r="H699" s="551">
        <v>0.1</v>
      </c>
      <c r="I699" s="552">
        <f t="shared" si="32"/>
        <v>0.99</v>
      </c>
      <c r="J699" s="553" t="s">
        <v>102</v>
      </c>
      <c r="K699" s="39"/>
      <c r="L699" s="208"/>
      <c r="M699" s="39"/>
      <c r="N699" s="536" t="s">
        <v>2218</v>
      </c>
    </row>
    <row r="700" spans="1:14" s="544" customFormat="1" ht="16.5" customHeight="1">
      <c r="A700" s="16"/>
      <c r="B700" s="547" t="s">
        <v>1245</v>
      </c>
      <c r="C700" s="548">
        <v>1</v>
      </c>
      <c r="D700" s="549" t="s">
        <v>273</v>
      </c>
      <c r="E700" s="550">
        <v>1</v>
      </c>
      <c r="F700" s="551">
        <v>10.53</v>
      </c>
      <c r="G700" s="551">
        <v>0</v>
      </c>
      <c r="H700" s="551">
        <v>0.1</v>
      </c>
      <c r="I700" s="552">
        <f t="shared" si="32"/>
        <v>1.05</v>
      </c>
      <c r="J700" s="553" t="s">
        <v>102</v>
      </c>
      <c r="K700" s="39"/>
      <c r="L700" s="208"/>
      <c r="M700" s="39"/>
      <c r="N700" s="536" t="s">
        <v>2218</v>
      </c>
    </row>
    <row r="701" spans="1:14" s="544" customFormat="1" ht="16.5" customHeight="1">
      <c r="A701" s="16"/>
      <c r="B701" s="547"/>
      <c r="C701" s="548"/>
      <c r="D701" s="549"/>
      <c r="E701" s="550"/>
      <c r="F701" s="551"/>
      <c r="G701" s="551"/>
      <c r="H701" s="551"/>
      <c r="I701" s="552"/>
      <c r="J701" s="553"/>
      <c r="K701" s="39"/>
      <c r="L701" s="208"/>
      <c r="M701" s="39"/>
      <c r="N701" s="536" t="s">
        <v>2218</v>
      </c>
    </row>
    <row r="702" spans="1:14" ht="15.75">
      <c r="A702" s="16"/>
      <c r="B702" s="39"/>
      <c r="C702" s="554"/>
      <c r="D702" s="555"/>
      <c r="E702" s="540"/>
      <c r="F702" s="541"/>
      <c r="G702" s="40"/>
      <c r="H702" s="16"/>
      <c r="I702" s="552"/>
      <c r="J702" s="553" t="s">
        <v>102</v>
      </c>
      <c r="K702" s="10">
        <f>data!G660</f>
        <v>681.6</v>
      </c>
      <c r="L702" s="208" t="s">
        <v>2218</v>
      </c>
      <c r="M702" s="9">
        <f>ROUND(I702*K702,0)</f>
        <v>0</v>
      </c>
      <c r="N702" s="536" t="s">
        <v>2218</v>
      </c>
    </row>
    <row r="703" spans="1:14" ht="96" customHeight="1">
      <c r="A703" s="16">
        <v>27</v>
      </c>
      <c r="B703" s="1858" t="s">
        <v>678</v>
      </c>
      <c r="C703" s="1858"/>
      <c r="D703" s="1858"/>
      <c r="E703" s="1858"/>
      <c r="F703" s="1858"/>
      <c r="G703" s="1858"/>
      <c r="H703" s="1858"/>
      <c r="I703" s="537"/>
      <c r="J703" s="538"/>
      <c r="K703" s="16"/>
      <c r="L703" s="208"/>
      <c r="M703" s="38"/>
      <c r="N703" s="536" t="s">
        <v>2306</v>
      </c>
    </row>
    <row r="704" spans="1:14" s="544" customFormat="1" ht="16.5" customHeight="1">
      <c r="A704" s="16"/>
      <c r="B704" s="39" t="s">
        <v>2864</v>
      </c>
      <c r="C704" s="566"/>
      <c r="D704" s="567"/>
      <c r="E704" s="568"/>
      <c r="F704" s="569"/>
      <c r="G704" s="569"/>
      <c r="H704" s="570"/>
      <c r="I704" s="571"/>
      <c r="J704" s="553"/>
      <c r="K704" s="39"/>
      <c r="L704" s="208"/>
      <c r="M704" s="39"/>
      <c r="N704" s="536" t="s">
        <v>2306</v>
      </c>
    </row>
    <row r="705" spans="1:14" s="544" customFormat="1" ht="16.5" customHeight="1">
      <c r="A705" s="16"/>
      <c r="B705" s="547" t="s">
        <v>1249</v>
      </c>
      <c r="C705" s="548">
        <v>1</v>
      </c>
      <c r="D705" s="549" t="s">
        <v>273</v>
      </c>
      <c r="E705" s="550">
        <v>2</v>
      </c>
      <c r="F705" s="551">
        <v>5.25</v>
      </c>
      <c r="G705" s="551">
        <v>0</v>
      </c>
      <c r="H705" s="551">
        <v>0.1</v>
      </c>
      <c r="I705" s="552">
        <f>ROUND(IF(AND(F705:H705),C705*E705*F705*G705*H705,IF(AND(F705,G705),C705*E705*F705*G705,IF(AND(F705,H705),C705*E705*F705*H705,IF(AND(G705,H705),C705*E705*G705*H705,IF(F705,C705*E705*F705,IF(G705,C705*E705*G705,IF(H705,C705*E705*H705,C705*E705))))))),2)</f>
        <v>1.05</v>
      </c>
      <c r="J705" s="553" t="s">
        <v>102</v>
      </c>
      <c r="K705" s="39"/>
      <c r="L705" s="208"/>
      <c r="M705" s="39"/>
      <c r="N705" s="536" t="s">
        <v>2306</v>
      </c>
    </row>
    <row r="706" spans="1:14" s="544" customFormat="1" ht="16.5" customHeight="1">
      <c r="A706" s="16"/>
      <c r="B706" s="547" t="s">
        <v>578</v>
      </c>
      <c r="C706" s="548">
        <v>1</v>
      </c>
      <c r="D706" s="549" t="s">
        <v>273</v>
      </c>
      <c r="E706" s="550">
        <v>1</v>
      </c>
      <c r="F706" s="551">
        <v>9.8699999999999992</v>
      </c>
      <c r="G706" s="551">
        <v>0</v>
      </c>
      <c r="H706" s="551">
        <v>0.1</v>
      </c>
      <c r="I706" s="552">
        <f>ROUND(IF(AND(F706:H706),C706*E706*F706*G706*H706,IF(AND(F706,G706),C706*E706*F706*G706,IF(AND(F706,H706),C706*E706*F706*H706,IF(AND(G706,H706),C706*E706*G706*H706,IF(F706,C706*E706*F706,IF(G706,C706*E706*G706,IF(H706,C706*E706*H706,C706*E706))))))),2)</f>
        <v>0.99</v>
      </c>
      <c r="J706" s="553" t="s">
        <v>102</v>
      </c>
      <c r="K706" s="39"/>
      <c r="L706" s="208"/>
      <c r="M706" s="39"/>
      <c r="N706" s="536" t="s">
        <v>2306</v>
      </c>
    </row>
    <row r="707" spans="1:14" s="544" customFormat="1" ht="16.5" customHeight="1">
      <c r="A707" s="16"/>
      <c r="B707" s="547" t="s">
        <v>1245</v>
      </c>
      <c r="C707" s="548">
        <v>1</v>
      </c>
      <c r="D707" s="549" t="s">
        <v>273</v>
      </c>
      <c r="E707" s="550">
        <v>1</v>
      </c>
      <c r="F707" s="551">
        <v>10.53</v>
      </c>
      <c r="G707" s="551">
        <v>0</v>
      </c>
      <c r="H707" s="551">
        <v>0.1</v>
      </c>
      <c r="I707" s="552">
        <f>ROUND(IF(AND(F707:H707),C707*E707*F707*G707*H707,IF(AND(F707,G707),C707*E707*F707*G707,IF(AND(F707,H707),C707*E707*F707*H707,IF(AND(G707,H707),C707*E707*G707*H707,IF(F707,C707*E707*F707,IF(G707,C707*E707*G707,IF(H707,C707*E707*H707,C707*E707))))))),2)</f>
        <v>1.05</v>
      </c>
      <c r="J707" s="553" t="s">
        <v>102</v>
      </c>
      <c r="K707" s="39"/>
      <c r="L707" s="208"/>
      <c r="M707" s="39"/>
      <c r="N707" s="536" t="s">
        <v>2306</v>
      </c>
    </row>
    <row r="708" spans="1:14" s="544" customFormat="1" ht="16.5" customHeight="1">
      <c r="A708" s="16"/>
      <c r="B708" s="547"/>
      <c r="C708" s="548"/>
      <c r="D708" s="549"/>
      <c r="E708" s="550"/>
      <c r="F708" s="551"/>
      <c r="G708" s="551"/>
      <c r="H708" s="551"/>
      <c r="I708" s="552"/>
      <c r="J708" s="553"/>
      <c r="K708" s="39"/>
      <c r="L708" s="208"/>
      <c r="M708" s="39"/>
      <c r="N708" s="536" t="s">
        <v>2306</v>
      </c>
    </row>
    <row r="709" spans="1:14" ht="15.75">
      <c r="A709" s="16"/>
      <c r="B709" s="39"/>
      <c r="C709" s="554"/>
      <c r="D709" s="555"/>
      <c r="E709" s="540"/>
      <c r="F709" s="541"/>
      <c r="G709" s="40"/>
      <c r="H709" s="16"/>
      <c r="I709" s="552"/>
      <c r="J709" s="553" t="s">
        <v>102</v>
      </c>
      <c r="K709" s="10">
        <f>data!G1577</f>
        <v>715.12</v>
      </c>
      <c r="L709" s="208" t="s">
        <v>2306</v>
      </c>
      <c r="M709" s="9">
        <f>ROUND(I709*K709,0)</f>
        <v>0</v>
      </c>
      <c r="N709" s="536" t="s">
        <v>2306</v>
      </c>
    </row>
    <row r="710" spans="1:14" ht="96" customHeight="1">
      <c r="A710" s="16">
        <v>27</v>
      </c>
      <c r="B710" s="1858" t="s">
        <v>678</v>
      </c>
      <c r="C710" s="1858"/>
      <c r="D710" s="1858"/>
      <c r="E710" s="1858"/>
      <c r="F710" s="1858"/>
      <c r="G710" s="1858"/>
      <c r="H710" s="1858"/>
      <c r="I710" s="537"/>
      <c r="J710" s="538"/>
      <c r="K710" s="16"/>
      <c r="L710" s="208"/>
      <c r="M710" s="38"/>
      <c r="N710" s="536" t="s">
        <v>2317</v>
      </c>
    </row>
    <row r="711" spans="1:14" s="544" customFormat="1" ht="16.5" customHeight="1">
      <c r="A711" s="16"/>
      <c r="B711" s="39" t="s">
        <v>2864</v>
      </c>
      <c r="C711" s="566"/>
      <c r="D711" s="567"/>
      <c r="E711" s="568"/>
      <c r="F711" s="569"/>
      <c r="G711" s="569"/>
      <c r="H711" s="570"/>
      <c r="I711" s="571"/>
      <c r="J711" s="553"/>
      <c r="K711" s="39"/>
      <c r="L711" s="208"/>
      <c r="M711" s="39"/>
      <c r="N711" s="536" t="s">
        <v>2317</v>
      </c>
    </row>
    <row r="712" spans="1:14" s="544" customFormat="1" ht="16.5" customHeight="1">
      <c r="A712" s="16"/>
      <c r="B712" s="547" t="s">
        <v>1249</v>
      </c>
      <c r="C712" s="548">
        <v>1</v>
      </c>
      <c r="D712" s="549" t="s">
        <v>273</v>
      </c>
      <c r="E712" s="550">
        <v>2</v>
      </c>
      <c r="F712" s="551">
        <v>5.25</v>
      </c>
      <c r="G712" s="551">
        <v>0</v>
      </c>
      <c r="H712" s="551">
        <v>0.1</v>
      </c>
      <c r="I712" s="552">
        <f>ROUND(IF(AND(F712:H712),C712*E712*F712*G712*H712,IF(AND(F712,G712),C712*E712*F712*G712,IF(AND(F712,H712),C712*E712*F712*H712,IF(AND(G712,H712),C712*E712*G712*H712,IF(F712,C712*E712*F712,IF(G712,C712*E712*G712,IF(H712,C712*E712*H712,C712*E712))))))),2)</f>
        <v>1.05</v>
      </c>
      <c r="J712" s="553" t="s">
        <v>102</v>
      </c>
      <c r="K712" s="39"/>
      <c r="L712" s="208"/>
      <c r="M712" s="39"/>
      <c r="N712" s="536" t="s">
        <v>2317</v>
      </c>
    </row>
    <row r="713" spans="1:14" s="544" customFormat="1" ht="16.5" customHeight="1">
      <c r="A713" s="16"/>
      <c r="B713" s="547" t="s">
        <v>578</v>
      </c>
      <c r="C713" s="548">
        <v>1</v>
      </c>
      <c r="D713" s="549" t="s">
        <v>273</v>
      </c>
      <c r="E713" s="550">
        <v>1</v>
      </c>
      <c r="F713" s="551">
        <v>9.8699999999999992</v>
      </c>
      <c r="G713" s="551">
        <v>0</v>
      </c>
      <c r="H713" s="551">
        <v>0.1</v>
      </c>
      <c r="I713" s="552">
        <f>ROUND(IF(AND(F713:H713),C713*E713*F713*G713*H713,IF(AND(F713,G713),C713*E713*F713*G713,IF(AND(F713,H713),C713*E713*F713*H713,IF(AND(G713,H713),C713*E713*G713*H713,IF(F713,C713*E713*F713,IF(G713,C713*E713*G713,IF(H713,C713*E713*H713,C713*E713))))))),2)</f>
        <v>0.99</v>
      </c>
      <c r="J713" s="553" t="s">
        <v>102</v>
      </c>
      <c r="K713" s="39"/>
      <c r="L713" s="208"/>
      <c r="M713" s="39"/>
      <c r="N713" s="536" t="s">
        <v>2317</v>
      </c>
    </row>
    <row r="714" spans="1:14" s="544" customFormat="1" ht="16.5" customHeight="1">
      <c r="A714" s="16"/>
      <c r="B714" s="547" t="s">
        <v>1245</v>
      </c>
      <c r="C714" s="548">
        <v>1</v>
      </c>
      <c r="D714" s="549" t="s">
        <v>273</v>
      </c>
      <c r="E714" s="550">
        <v>1</v>
      </c>
      <c r="F714" s="551">
        <v>10.53</v>
      </c>
      <c r="G714" s="551">
        <v>0</v>
      </c>
      <c r="H714" s="551">
        <v>0.1</v>
      </c>
      <c r="I714" s="552">
        <f>ROUND(IF(AND(F714:H714),C714*E714*F714*G714*H714,IF(AND(F714,G714),C714*E714*F714*G714,IF(AND(F714,H714),C714*E714*F714*H714,IF(AND(G714,H714),C714*E714*G714*H714,IF(F714,C714*E714*F714,IF(G714,C714*E714*G714,IF(H714,C714*E714*H714,C714*E714))))))),2)</f>
        <v>1.05</v>
      </c>
      <c r="J714" s="553" t="s">
        <v>102</v>
      </c>
      <c r="K714" s="39"/>
      <c r="L714" s="208"/>
      <c r="M714" s="39"/>
      <c r="N714" s="536" t="s">
        <v>2317</v>
      </c>
    </row>
    <row r="715" spans="1:14" s="544" customFormat="1" ht="16.5" customHeight="1">
      <c r="A715" s="16"/>
      <c r="B715" s="547"/>
      <c r="C715" s="548"/>
      <c r="D715" s="549"/>
      <c r="E715" s="550"/>
      <c r="F715" s="551"/>
      <c r="G715" s="551"/>
      <c r="H715" s="551"/>
      <c r="I715" s="552"/>
      <c r="J715" s="553"/>
      <c r="K715" s="39"/>
      <c r="L715" s="208"/>
      <c r="M715" s="39"/>
      <c r="N715" s="536" t="s">
        <v>2317</v>
      </c>
    </row>
    <row r="716" spans="1:14" ht="15.75">
      <c r="A716" s="16"/>
      <c r="B716" s="39"/>
      <c r="C716" s="554"/>
      <c r="D716" s="555"/>
      <c r="E716" s="540"/>
      <c r="F716" s="541"/>
      <c r="G716" s="40"/>
      <c r="H716" s="16"/>
      <c r="I716" s="552"/>
      <c r="J716" s="553" t="s">
        <v>102</v>
      </c>
      <c r="K716" s="10">
        <f>data!G2494</f>
        <v>740.12</v>
      </c>
      <c r="L716" s="208" t="s">
        <v>2317</v>
      </c>
      <c r="M716" s="9">
        <f>ROUND(I716*K716,0)</f>
        <v>0</v>
      </c>
      <c r="N716" s="536" t="s">
        <v>2317</v>
      </c>
    </row>
    <row r="717" spans="1:14" ht="96" customHeight="1">
      <c r="A717" s="16">
        <v>27</v>
      </c>
      <c r="B717" s="1858" t="s">
        <v>678</v>
      </c>
      <c r="C717" s="1858"/>
      <c r="D717" s="1858"/>
      <c r="E717" s="1858"/>
      <c r="F717" s="1858"/>
      <c r="G717" s="1858"/>
      <c r="H717" s="1858"/>
      <c r="I717" s="537"/>
      <c r="J717" s="538"/>
      <c r="K717" s="16"/>
      <c r="L717" s="208"/>
      <c r="M717" s="38"/>
      <c r="N717" s="536" t="s">
        <v>2318</v>
      </c>
    </row>
    <row r="718" spans="1:14" s="544" customFormat="1" ht="16.5" customHeight="1">
      <c r="A718" s="16"/>
      <c r="B718" s="39" t="s">
        <v>2864</v>
      </c>
      <c r="C718" s="566"/>
      <c r="D718" s="567"/>
      <c r="E718" s="568"/>
      <c r="F718" s="569"/>
      <c r="G718" s="569"/>
      <c r="H718" s="570"/>
      <c r="I718" s="571"/>
      <c r="J718" s="553"/>
      <c r="K718" s="39"/>
      <c r="L718" s="208"/>
      <c r="M718" s="39"/>
      <c r="N718" s="536" t="s">
        <v>2318</v>
      </c>
    </row>
    <row r="719" spans="1:14" s="544" customFormat="1" ht="16.5" customHeight="1">
      <c r="A719" s="16"/>
      <c r="B719" s="547" t="s">
        <v>1249</v>
      </c>
      <c r="C719" s="548">
        <v>1</v>
      </c>
      <c r="D719" s="549" t="s">
        <v>273</v>
      </c>
      <c r="E719" s="550">
        <v>2</v>
      </c>
      <c r="F719" s="551">
        <v>5.25</v>
      </c>
      <c r="G719" s="551">
        <v>0</v>
      </c>
      <c r="H719" s="551">
        <v>0.1</v>
      </c>
      <c r="I719" s="552">
        <f>ROUND(IF(AND(F719:H719),C719*E719*F719*G719*H719,IF(AND(F719,G719),C719*E719*F719*G719,IF(AND(F719,H719),C719*E719*F719*H719,IF(AND(G719,H719),C719*E719*G719*H719,IF(F719,C719*E719*F719,IF(G719,C719*E719*G719,IF(H719,C719*E719*H719,C719*E719))))))),2)</f>
        <v>1.05</v>
      </c>
      <c r="J719" s="553" t="s">
        <v>102</v>
      </c>
      <c r="K719" s="39"/>
      <c r="L719" s="208"/>
      <c r="M719" s="39"/>
      <c r="N719" s="536" t="s">
        <v>2318</v>
      </c>
    </row>
    <row r="720" spans="1:14" s="544" customFormat="1" ht="16.5" customHeight="1">
      <c r="A720" s="16"/>
      <c r="B720" s="547" t="s">
        <v>578</v>
      </c>
      <c r="C720" s="548">
        <v>1</v>
      </c>
      <c r="D720" s="549" t="s">
        <v>273</v>
      </c>
      <c r="E720" s="550">
        <v>1</v>
      </c>
      <c r="F720" s="551">
        <v>9.8699999999999992</v>
      </c>
      <c r="G720" s="551">
        <v>0</v>
      </c>
      <c r="H720" s="551">
        <v>0.1</v>
      </c>
      <c r="I720" s="552">
        <f>ROUND(IF(AND(F720:H720),C720*E720*F720*G720*H720,IF(AND(F720,G720),C720*E720*F720*G720,IF(AND(F720,H720),C720*E720*F720*H720,IF(AND(G720,H720),C720*E720*G720*H720,IF(F720,C720*E720*F720,IF(G720,C720*E720*G720,IF(H720,C720*E720*H720,C720*E720))))))),2)</f>
        <v>0.99</v>
      </c>
      <c r="J720" s="553" t="s">
        <v>102</v>
      </c>
      <c r="K720" s="39"/>
      <c r="L720" s="208"/>
      <c r="M720" s="39"/>
      <c r="N720" s="536" t="s">
        <v>2318</v>
      </c>
    </row>
    <row r="721" spans="1:14" s="544" customFormat="1" ht="16.5" customHeight="1">
      <c r="A721" s="16"/>
      <c r="B721" s="547" t="s">
        <v>1245</v>
      </c>
      <c r="C721" s="548">
        <v>1</v>
      </c>
      <c r="D721" s="549" t="s">
        <v>273</v>
      </c>
      <c r="E721" s="550">
        <v>1</v>
      </c>
      <c r="F721" s="551">
        <v>10.53</v>
      </c>
      <c r="G721" s="551">
        <v>0</v>
      </c>
      <c r="H721" s="551">
        <v>0.1</v>
      </c>
      <c r="I721" s="552">
        <f>ROUND(IF(AND(F721:H721),C721*E721*F721*G721*H721,IF(AND(F721,G721),C721*E721*F721*G721,IF(AND(F721,H721),C721*E721*F721*H721,IF(AND(G721,H721),C721*E721*G721*H721,IF(F721,C721*E721*F721,IF(G721,C721*E721*G721,IF(H721,C721*E721*H721,C721*E721))))))),2)</f>
        <v>1.05</v>
      </c>
      <c r="J721" s="553" t="s">
        <v>102</v>
      </c>
      <c r="K721" s="39"/>
      <c r="L721" s="208"/>
      <c r="M721" s="39"/>
      <c r="N721" s="536" t="s">
        <v>2318</v>
      </c>
    </row>
    <row r="722" spans="1:14" s="544" customFormat="1" ht="16.5" customHeight="1">
      <c r="A722" s="16"/>
      <c r="B722" s="547"/>
      <c r="C722" s="548"/>
      <c r="D722" s="549"/>
      <c r="E722" s="550"/>
      <c r="F722" s="551"/>
      <c r="G722" s="551"/>
      <c r="H722" s="551"/>
      <c r="I722" s="552"/>
      <c r="J722" s="553"/>
      <c r="K722" s="39"/>
      <c r="L722" s="208"/>
      <c r="M722" s="39"/>
      <c r="N722" s="536" t="s">
        <v>2318</v>
      </c>
    </row>
    <row r="723" spans="1:14" ht="15.75">
      <c r="A723" s="16"/>
      <c r="B723" s="39"/>
      <c r="C723" s="554"/>
      <c r="D723" s="555"/>
      <c r="E723" s="540"/>
      <c r="F723" s="541"/>
      <c r="G723" s="40"/>
      <c r="H723" s="16"/>
      <c r="I723" s="552"/>
      <c r="J723" s="553" t="s">
        <v>102</v>
      </c>
      <c r="K723" s="10">
        <f>data!G3411</f>
        <v>822.23</v>
      </c>
      <c r="L723" s="208" t="s">
        <v>2318</v>
      </c>
      <c r="M723" s="9">
        <f>ROUND(I723*K723,0)</f>
        <v>0</v>
      </c>
      <c r="N723" s="536" t="s">
        <v>2318</v>
      </c>
    </row>
    <row r="724" spans="1:14" ht="94.5" customHeight="1">
      <c r="A724" s="16">
        <v>19</v>
      </c>
      <c r="B724" s="1858" t="s">
        <v>211</v>
      </c>
      <c r="C724" s="1858"/>
      <c r="D724" s="1858"/>
      <c r="E724" s="1858"/>
      <c r="F724" s="1858"/>
      <c r="G724" s="1858"/>
      <c r="H724" s="1858"/>
      <c r="I724" s="537"/>
      <c r="J724" s="538"/>
      <c r="K724" s="16"/>
      <c r="L724" s="208"/>
      <c r="M724" s="38"/>
      <c r="N724" s="536" t="s">
        <v>2218</v>
      </c>
    </row>
    <row r="725" spans="1:14" s="544" customFormat="1" ht="16.5" customHeight="1">
      <c r="A725" s="16"/>
      <c r="B725" s="556" t="s">
        <v>2905</v>
      </c>
      <c r="C725" s="566"/>
      <c r="D725" s="567"/>
      <c r="E725" s="568"/>
      <c r="F725" s="569"/>
      <c r="G725" s="569"/>
      <c r="H725" s="570"/>
      <c r="I725" s="571"/>
      <c r="J725" s="553"/>
      <c r="K725" s="39"/>
      <c r="L725" s="208"/>
      <c r="M725" s="39"/>
      <c r="N725" s="536" t="s">
        <v>2218</v>
      </c>
    </row>
    <row r="726" spans="1:14" s="544" customFormat="1" ht="16.5" customHeight="1">
      <c r="A726" s="16"/>
      <c r="B726" s="547"/>
      <c r="C726" s="548">
        <v>1</v>
      </c>
      <c r="D726" s="549" t="s">
        <v>273</v>
      </c>
      <c r="E726" s="550">
        <v>1</v>
      </c>
      <c r="F726" s="551">
        <v>9.86</v>
      </c>
      <c r="G726" s="551">
        <v>1.1499999999999999</v>
      </c>
      <c r="H726" s="551">
        <v>0</v>
      </c>
      <c r="I726" s="552">
        <f t="shared" ref="I726:I728" si="33">ROUND(IF(AND(F726:H726),C726*E726*F726*G726*H726,IF(AND(F726,G726),C726*E726*F726*G726,IF(AND(F726,H726),C726*E726*F726*H726,IF(AND(G726,H726),C726*E726*G726*H726,IF(F726,C726*E726*F726,IF(G726,C726*E726*G726,IF(H726,C726*E726*H726,C726*E726))))))),2)</f>
        <v>11.34</v>
      </c>
      <c r="J726" s="553" t="s">
        <v>102</v>
      </c>
      <c r="K726" s="39"/>
      <c r="L726" s="208"/>
      <c r="M726" s="39"/>
      <c r="N726" s="536" t="s">
        <v>2218</v>
      </c>
    </row>
    <row r="727" spans="1:14" s="544" customFormat="1" ht="16.5" customHeight="1">
      <c r="A727" s="16"/>
      <c r="B727" s="547"/>
      <c r="C727" s="548">
        <v>1</v>
      </c>
      <c r="D727" s="549" t="s">
        <v>273</v>
      </c>
      <c r="E727" s="550">
        <v>1</v>
      </c>
      <c r="F727" s="551">
        <v>3.1</v>
      </c>
      <c r="G727" s="551">
        <v>0.4</v>
      </c>
      <c r="H727" s="551">
        <v>0</v>
      </c>
      <c r="I727" s="552">
        <f t="shared" si="33"/>
        <v>1.24</v>
      </c>
      <c r="J727" s="553" t="s">
        <v>102</v>
      </c>
      <c r="K727" s="39"/>
      <c r="L727" s="208"/>
      <c r="M727" s="39"/>
      <c r="N727" s="536" t="s">
        <v>2218</v>
      </c>
    </row>
    <row r="728" spans="1:14" s="544" customFormat="1" ht="16.5" customHeight="1">
      <c r="A728" s="16"/>
      <c r="B728" s="547"/>
      <c r="C728" s="548">
        <v>1</v>
      </c>
      <c r="D728" s="549" t="s">
        <v>273</v>
      </c>
      <c r="E728" s="550">
        <v>1</v>
      </c>
      <c r="F728" s="551">
        <v>3.1</v>
      </c>
      <c r="G728" s="551">
        <v>1.18</v>
      </c>
      <c r="H728" s="551">
        <v>0</v>
      </c>
      <c r="I728" s="552">
        <f t="shared" si="33"/>
        <v>3.66</v>
      </c>
      <c r="J728" s="553" t="s">
        <v>102</v>
      </c>
      <c r="K728" s="39"/>
      <c r="L728" s="208"/>
      <c r="M728" s="39"/>
      <c r="N728" s="536" t="s">
        <v>2218</v>
      </c>
    </row>
    <row r="729" spans="1:14" s="544" customFormat="1" ht="16.5" customHeight="1">
      <c r="A729" s="16"/>
      <c r="B729" s="547"/>
      <c r="C729" s="548"/>
      <c r="D729" s="549"/>
      <c r="E729" s="550"/>
      <c r="F729" s="551"/>
      <c r="G729" s="551"/>
      <c r="H729" s="551"/>
      <c r="I729" s="552"/>
      <c r="J729" s="553"/>
      <c r="K729" s="39"/>
      <c r="L729" s="208"/>
      <c r="M729" s="39"/>
      <c r="N729" s="536" t="s">
        <v>2218</v>
      </c>
    </row>
    <row r="730" spans="1:14" ht="15.75">
      <c r="A730" s="16"/>
      <c r="B730" s="39"/>
      <c r="C730" s="554"/>
      <c r="D730" s="555"/>
      <c r="E730" s="540"/>
      <c r="F730" s="541"/>
      <c r="G730" s="40"/>
      <c r="H730" s="16"/>
      <c r="I730" s="552"/>
      <c r="J730" s="553" t="s">
        <v>102</v>
      </c>
      <c r="K730" s="10">
        <f>data!G716</f>
        <v>784.71</v>
      </c>
      <c r="L730" s="208" t="s">
        <v>2218</v>
      </c>
      <c r="M730" s="9">
        <f>ROUND(I730*K730,0)</f>
        <v>0</v>
      </c>
      <c r="N730" s="536" t="s">
        <v>2218</v>
      </c>
    </row>
    <row r="731" spans="1:14" ht="94.5" customHeight="1">
      <c r="A731" s="16">
        <v>19</v>
      </c>
      <c r="B731" s="1858" t="s">
        <v>211</v>
      </c>
      <c r="C731" s="1858"/>
      <c r="D731" s="1858"/>
      <c r="E731" s="1858"/>
      <c r="F731" s="1858"/>
      <c r="G731" s="1858"/>
      <c r="H731" s="1858"/>
      <c r="I731" s="537"/>
      <c r="J731" s="538"/>
      <c r="K731" s="16"/>
      <c r="L731" s="208"/>
      <c r="M731" s="38"/>
      <c r="N731" s="536" t="s">
        <v>2306</v>
      </c>
    </row>
    <row r="732" spans="1:14" s="544" customFormat="1" ht="16.5" customHeight="1">
      <c r="A732" s="16"/>
      <c r="B732" s="556" t="s">
        <v>2905</v>
      </c>
      <c r="C732" s="566"/>
      <c r="D732" s="567"/>
      <c r="E732" s="568"/>
      <c r="F732" s="569"/>
      <c r="G732" s="569"/>
      <c r="H732" s="570"/>
      <c r="I732" s="571"/>
      <c r="J732" s="553"/>
      <c r="K732" s="39"/>
      <c r="L732" s="208"/>
      <c r="M732" s="39"/>
      <c r="N732" s="536" t="s">
        <v>2306</v>
      </c>
    </row>
    <row r="733" spans="1:14" s="544" customFormat="1" ht="16.5" customHeight="1">
      <c r="A733" s="16"/>
      <c r="B733" s="547"/>
      <c r="C733" s="548">
        <v>1</v>
      </c>
      <c r="D733" s="549" t="s">
        <v>273</v>
      </c>
      <c r="E733" s="550">
        <v>1</v>
      </c>
      <c r="F733" s="551">
        <v>9.86</v>
      </c>
      <c r="G733" s="551">
        <v>1.1499999999999999</v>
      </c>
      <c r="H733" s="551">
        <v>0</v>
      </c>
      <c r="I733" s="552">
        <f>ROUND(IF(AND(F733:H733),C733*E733*F733*G733*H733,IF(AND(F733,G733),C733*E733*F733*G733,IF(AND(F733,H733),C733*E733*F733*H733,IF(AND(G733,H733),C733*E733*G733*H733,IF(F733,C733*E733*F733,IF(G733,C733*E733*G733,IF(H733,C733*E733*H733,C733*E733))))))),2)</f>
        <v>11.34</v>
      </c>
      <c r="J733" s="553" t="s">
        <v>102</v>
      </c>
      <c r="K733" s="39"/>
      <c r="L733" s="208"/>
      <c r="M733" s="39"/>
      <c r="N733" s="536" t="s">
        <v>2306</v>
      </c>
    </row>
    <row r="734" spans="1:14" s="544" customFormat="1" ht="16.5" customHeight="1">
      <c r="A734" s="16"/>
      <c r="B734" s="547"/>
      <c r="C734" s="548">
        <v>1</v>
      </c>
      <c r="D734" s="549" t="s">
        <v>273</v>
      </c>
      <c r="E734" s="550">
        <v>1</v>
      </c>
      <c r="F734" s="551">
        <v>3.1</v>
      </c>
      <c r="G734" s="551">
        <v>0.4</v>
      </c>
      <c r="H734" s="551">
        <v>0</v>
      </c>
      <c r="I734" s="552">
        <f>ROUND(IF(AND(F734:H734),C734*E734*F734*G734*H734,IF(AND(F734,G734),C734*E734*F734*G734,IF(AND(F734,H734),C734*E734*F734*H734,IF(AND(G734,H734),C734*E734*G734*H734,IF(F734,C734*E734*F734,IF(G734,C734*E734*G734,IF(H734,C734*E734*H734,C734*E734))))))),2)</f>
        <v>1.24</v>
      </c>
      <c r="J734" s="553" t="s">
        <v>102</v>
      </c>
      <c r="K734" s="39"/>
      <c r="L734" s="208"/>
      <c r="M734" s="39"/>
      <c r="N734" s="536" t="s">
        <v>2306</v>
      </c>
    </row>
    <row r="735" spans="1:14" s="544" customFormat="1" ht="16.5" customHeight="1">
      <c r="A735" s="16"/>
      <c r="B735" s="547"/>
      <c r="C735" s="548">
        <v>1</v>
      </c>
      <c r="D735" s="549" t="s">
        <v>273</v>
      </c>
      <c r="E735" s="550">
        <v>1</v>
      </c>
      <c r="F735" s="551">
        <v>3.1</v>
      </c>
      <c r="G735" s="551">
        <v>1.18</v>
      </c>
      <c r="H735" s="551">
        <v>0</v>
      </c>
      <c r="I735" s="552">
        <f>ROUND(IF(AND(F735:H735),C735*E735*F735*G735*H735,IF(AND(F735,G735),C735*E735*F735*G735,IF(AND(F735,H735),C735*E735*F735*H735,IF(AND(G735,H735),C735*E735*G735*H735,IF(F735,C735*E735*F735,IF(G735,C735*E735*G735,IF(H735,C735*E735*H735,C735*E735))))))),2)</f>
        <v>3.66</v>
      </c>
      <c r="J735" s="553" t="s">
        <v>102</v>
      </c>
      <c r="K735" s="39"/>
      <c r="L735" s="208"/>
      <c r="M735" s="39"/>
      <c r="N735" s="536" t="s">
        <v>2306</v>
      </c>
    </row>
    <row r="736" spans="1:14" s="544" customFormat="1" ht="16.5" customHeight="1">
      <c r="A736" s="16"/>
      <c r="B736" s="547"/>
      <c r="C736" s="548"/>
      <c r="D736" s="549"/>
      <c r="E736" s="550"/>
      <c r="F736" s="551"/>
      <c r="G736" s="551"/>
      <c r="H736" s="551"/>
      <c r="I736" s="552"/>
      <c r="J736" s="553"/>
      <c r="K736" s="39"/>
      <c r="L736" s="208"/>
      <c r="M736" s="39"/>
      <c r="N736" s="536" t="s">
        <v>2306</v>
      </c>
    </row>
    <row r="737" spans="1:14" ht="15.75">
      <c r="A737" s="16"/>
      <c r="B737" s="39"/>
      <c r="C737" s="554"/>
      <c r="D737" s="555"/>
      <c r="E737" s="540"/>
      <c r="F737" s="541"/>
      <c r="G737" s="40"/>
      <c r="H737" s="16"/>
      <c r="I737" s="552"/>
      <c r="J737" s="553" t="s">
        <v>102</v>
      </c>
      <c r="K737" s="10">
        <f>data!G1633</f>
        <v>818.23</v>
      </c>
      <c r="L737" s="208" t="s">
        <v>2306</v>
      </c>
      <c r="M737" s="9">
        <f>ROUND(I737*K737,0)</f>
        <v>0</v>
      </c>
      <c r="N737" s="536" t="s">
        <v>2306</v>
      </c>
    </row>
    <row r="738" spans="1:14" ht="94.5" customHeight="1">
      <c r="A738" s="16">
        <v>19</v>
      </c>
      <c r="B738" s="1858" t="s">
        <v>211</v>
      </c>
      <c r="C738" s="1858"/>
      <c r="D738" s="1858"/>
      <c r="E738" s="1858"/>
      <c r="F738" s="1858"/>
      <c r="G738" s="1858"/>
      <c r="H738" s="1858"/>
      <c r="I738" s="537"/>
      <c r="J738" s="538"/>
      <c r="K738" s="16"/>
      <c r="L738" s="208"/>
      <c r="M738" s="38"/>
      <c r="N738" s="536" t="s">
        <v>2317</v>
      </c>
    </row>
    <row r="739" spans="1:14" s="544" customFormat="1" ht="16.5" customHeight="1">
      <c r="A739" s="16"/>
      <c r="B739" s="556" t="s">
        <v>2905</v>
      </c>
      <c r="C739" s="566"/>
      <c r="D739" s="567"/>
      <c r="E739" s="568"/>
      <c r="F739" s="569"/>
      <c r="G739" s="569"/>
      <c r="H739" s="570"/>
      <c r="I739" s="571"/>
      <c r="J739" s="553"/>
      <c r="K739" s="39"/>
      <c r="L739" s="208"/>
      <c r="M739" s="39"/>
      <c r="N739" s="536" t="s">
        <v>2317</v>
      </c>
    </row>
    <row r="740" spans="1:14" s="544" customFormat="1" ht="16.5" customHeight="1">
      <c r="A740" s="16"/>
      <c r="B740" s="547"/>
      <c r="C740" s="548">
        <v>1</v>
      </c>
      <c r="D740" s="549" t="s">
        <v>273</v>
      </c>
      <c r="E740" s="550">
        <v>1</v>
      </c>
      <c r="F740" s="551">
        <v>9.86</v>
      </c>
      <c r="G740" s="551">
        <v>1.1499999999999999</v>
      </c>
      <c r="H740" s="551">
        <v>0</v>
      </c>
      <c r="I740" s="552">
        <f>ROUND(IF(AND(F740:H740),C740*E740*F740*G740*H740,IF(AND(F740,G740),C740*E740*F740*G740,IF(AND(F740,H740),C740*E740*F740*H740,IF(AND(G740,H740),C740*E740*G740*H740,IF(F740,C740*E740*F740,IF(G740,C740*E740*G740,IF(H740,C740*E740*H740,C740*E740))))))),2)</f>
        <v>11.34</v>
      </c>
      <c r="J740" s="553" t="s">
        <v>102</v>
      </c>
      <c r="K740" s="39"/>
      <c r="L740" s="208"/>
      <c r="M740" s="39"/>
      <c r="N740" s="536" t="s">
        <v>2317</v>
      </c>
    </row>
    <row r="741" spans="1:14" s="544" customFormat="1" ht="16.5" customHeight="1">
      <c r="A741" s="16"/>
      <c r="B741" s="547"/>
      <c r="C741" s="548">
        <v>1</v>
      </c>
      <c r="D741" s="549" t="s">
        <v>273</v>
      </c>
      <c r="E741" s="550">
        <v>1</v>
      </c>
      <c r="F741" s="551">
        <v>3.1</v>
      </c>
      <c r="G741" s="551">
        <v>0.4</v>
      </c>
      <c r="H741" s="551">
        <v>0</v>
      </c>
      <c r="I741" s="552">
        <f>ROUND(IF(AND(F741:H741),C741*E741*F741*G741*H741,IF(AND(F741,G741),C741*E741*F741*G741,IF(AND(F741,H741),C741*E741*F741*H741,IF(AND(G741,H741),C741*E741*G741*H741,IF(F741,C741*E741*F741,IF(G741,C741*E741*G741,IF(H741,C741*E741*H741,C741*E741))))))),2)</f>
        <v>1.24</v>
      </c>
      <c r="J741" s="553" t="s">
        <v>102</v>
      </c>
      <c r="K741" s="39"/>
      <c r="L741" s="208"/>
      <c r="M741" s="39"/>
      <c r="N741" s="536" t="s">
        <v>2317</v>
      </c>
    </row>
    <row r="742" spans="1:14" s="544" customFormat="1" ht="16.5" customHeight="1">
      <c r="A742" s="16"/>
      <c r="B742" s="547"/>
      <c r="C742" s="548">
        <v>1</v>
      </c>
      <c r="D742" s="549" t="s">
        <v>273</v>
      </c>
      <c r="E742" s="550">
        <v>1</v>
      </c>
      <c r="F742" s="551">
        <v>3.1</v>
      </c>
      <c r="G742" s="551">
        <v>1.18</v>
      </c>
      <c r="H742" s="551">
        <v>0</v>
      </c>
      <c r="I742" s="552">
        <f>ROUND(IF(AND(F742:H742),C742*E742*F742*G742*H742,IF(AND(F742,G742),C742*E742*F742*G742,IF(AND(F742,H742),C742*E742*F742*H742,IF(AND(G742,H742),C742*E742*G742*H742,IF(F742,C742*E742*F742,IF(G742,C742*E742*G742,IF(H742,C742*E742*H742,C742*E742))))))),2)</f>
        <v>3.66</v>
      </c>
      <c r="J742" s="553" t="s">
        <v>102</v>
      </c>
      <c r="K742" s="39"/>
      <c r="L742" s="208"/>
      <c r="M742" s="39"/>
      <c r="N742" s="536" t="s">
        <v>2317</v>
      </c>
    </row>
    <row r="743" spans="1:14" s="544" customFormat="1" ht="16.5" customHeight="1">
      <c r="A743" s="16"/>
      <c r="B743" s="547"/>
      <c r="C743" s="548"/>
      <c r="D743" s="549"/>
      <c r="E743" s="550"/>
      <c r="F743" s="551"/>
      <c r="G743" s="551"/>
      <c r="H743" s="551"/>
      <c r="I743" s="552"/>
      <c r="J743" s="553"/>
      <c r="K743" s="39"/>
      <c r="L743" s="208"/>
      <c r="M743" s="39"/>
      <c r="N743" s="536" t="s">
        <v>2317</v>
      </c>
    </row>
    <row r="744" spans="1:14" ht="15.75">
      <c r="A744" s="16"/>
      <c r="B744" s="39"/>
      <c r="C744" s="554"/>
      <c r="D744" s="555"/>
      <c r="E744" s="540"/>
      <c r="F744" s="541"/>
      <c r="G744" s="40"/>
      <c r="H744" s="16"/>
      <c r="I744" s="552"/>
      <c r="J744" s="553" t="s">
        <v>102</v>
      </c>
      <c r="K744" s="10">
        <f>data!G2550</f>
        <v>843.23</v>
      </c>
      <c r="L744" s="208" t="s">
        <v>2317</v>
      </c>
      <c r="M744" s="9">
        <f>ROUND(I744*K744,0)</f>
        <v>0</v>
      </c>
      <c r="N744" s="536" t="s">
        <v>2317</v>
      </c>
    </row>
    <row r="745" spans="1:14" ht="94.5" customHeight="1">
      <c r="A745" s="16">
        <v>19</v>
      </c>
      <c r="B745" s="1858" t="s">
        <v>211</v>
      </c>
      <c r="C745" s="1858"/>
      <c r="D745" s="1858"/>
      <c r="E745" s="1858"/>
      <c r="F745" s="1858"/>
      <c r="G745" s="1858"/>
      <c r="H745" s="1858"/>
      <c r="I745" s="537"/>
      <c r="J745" s="538"/>
      <c r="K745" s="16"/>
      <c r="L745" s="208"/>
      <c r="M745" s="38"/>
      <c r="N745" s="536" t="s">
        <v>2318</v>
      </c>
    </row>
    <row r="746" spans="1:14" s="544" customFormat="1" ht="16.5" customHeight="1">
      <c r="A746" s="16"/>
      <c r="B746" s="556" t="s">
        <v>2905</v>
      </c>
      <c r="C746" s="566"/>
      <c r="D746" s="567"/>
      <c r="E746" s="568"/>
      <c r="F746" s="569"/>
      <c r="G746" s="569"/>
      <c r="H746" s="570"/>
      <c r="I746" s="571"/>
      <c r="J746" s="553"/>
      <c r="K746" s="39"/>
      <c r="L746" s="208"/>
      <c r="M746" s="39"/>
      <c r="N746" s="536" t="s">
        <v>2318</v>
      </c>
    </row>
    <row r="747" spans="1:14" s="544" customFormat="1" ht="16.5" customHeight="1">
      <c r="A747" s="16"/>
      <c r="B747" s="547"/>
      <c r="C747" s="548">
        <v>1</v>
      </c>
      <c r="D747" s="549" t="s">
        <v>273</v>
      </c>
      <c r="E747" s="550">
        <v>1</v>
      </c>
      <c r="F747" s="551">
        <v>9.86</v>
      </c>
      <c r="G747" s="551">
        <v>1.1499999999999999</v>
      </c>
      <c r="H747" s="551">
        <v>0</v>
      </c>
      <c r="I747" s="552">
        <f>ROUND(IF(AND(F747:H747),C747*E747*F747*G747*H747,IF(AND(F747,G747),C747*E747*F747*G747,IF(AND(F747,H747),C747*E747*F747*H747,IF(AND(G747,H747),C747*E747*G747*H747,IF(F747,C747*E747*F747,IF(G747,C747*E747*G747,IF(H747,C747*E747*H747,C747*E747))))))),2)</f>
        <v>11.34</v>
      </c>
      <c r="J747" s="553" t="s">
        <v>102</v>
      </c>
      <c r="K747" s="39"/>
      <c r="L747" s="208"/>
      <c r="M747" s="39"/>
      <c r="N747" s="536" t="s">
        <v>2318</v>
      </c>
    </row>
    <row r="748" spans="1:14" s="544" customFormat="1" ht="16.5" customHeight="1">
      <c r="A748" s="16"/>
      <c r="B748" s="547"/>
      <c r="C748" s="548">
        <v>1</v>
      </c>
      <c r="D748" s="549" t="s">
        <v>273</v>
      </c>
      <c r="E748" s="550">
        <v>1</v>
      </c>
      <c r="F748" s="551">
        <v>3.1</v>
      </c>
      <c r="G748" s="551">
        <v>0.4</v>
      </c>
      <c r="H748" s="551">
        <v>0</v>
      </c>
      <c r="I748" s="552">
        <f>ROUND(IF(AND(F748:H748),C748*E748*F748*G748*H748,IF(AND(F748,G748),C748*E748*F748*G748,IF(AND(F748,H748),C748*E748*F748*H748,IF(AND(G748,H748),C748*E748*G748*H748,IF(F748,C748*E748*F748,IF(G748,C748*E748*G748,IF(H748,C748*E748*H748,C748*E748))))))),2)</f>
        <v>1.24</v>
      </c>
      <c r="J748" s="553" t="s">
        <v>102</v>
      </c>
      <c r="K748" s="39"/>
      <c r="L748" s="208"/>
      <c r="M748" s="39"/>
      <c r="N748" s="536" t="s">
        <v>2318</v>
      </c>
    </row>
    <row r="749" spans="1:14" s="544" customFormat="1" ht="16.5" customHeight="1">
      <c r="A749" s="16"/>
      <c r="B749" s="547"/>
      <c r="C749" s="548">
        <v>1</v>
      </c>
      <c r="D749" s="549" t="s">
        <v>273</v>
      </c>
      <c r="E749" s="550">
        <v>1</v>
      </c>
      <c r="F749" s="551">
        <v>3.1</v>
      </c>
      <c r="G749" s="551">
        <v>1.18</v>
      </c>
      <c r="H749" s="551">
        <v>0</v>
      </c>
      <c r="I749" s="552">
        <f>ROUND(IF(AND(F749:H749),C749*E749*F749*G749*H749,IF(AND(F749,G749),C749*E749*F749*G749,IF(AND(F749,H749),C749*E749*F749*H749,IF(AND(G749,H749),C749*E749*G749*H749,IF(F749,C749*E749*F749,IF(G749,C749*E749*G749,IF(H749,C749*E749*H749,C749*E749))))))),2)</f>
        <v>3.66</v>
      </c>
      <c r="J749" s="553" t="s">
        <v>102</v>
      </c>
      <c r="K749" s="39"/>
      <c r="L749" s="208"/>
      <c r="M749" s="39"/>
      <c r="N749" s="536" t="s">
        <v>2318</v>
      </c>
    </row>
    <row r="750" spans="1:14" s="544" customFormat="1" ht="16.5" customHeight="1">
      <c r="A750" s="16"/>
      <c r="B750" s="547"/>
      <c r="C750" s="548"/>
      <c r="D750" s="549"/>
      <c r="E750" s="550"/>
      <c r="F750" s="551"/>
      <c r="G750" s="551"/>
      <c r="H750" s="551"/>
      <c r="I750" s="552"/>
      <c r="J750" s="553"/>
      <c r="K750" s="39"/>
      <c r="L750" s="208"/>
      <c r="M750" s="39"/>
      <c r="N750" s="536" t="s">
        <v>2318</v>
      </c>
    </row>
    <row r="751" spans="1:14" ht="15.75">
      <c r="A751" s="16"/>
      <c r="B751" s="39"/>
      <c r="C751" s="554"/>
      <c r="D751" s="555"/>
      <c r="E751" s="540"/>
      <c r="F751" s="541"/>
      <c r="G751" s="40"/>
      <c r="H751" s="16"/>
      <c r="I751" s="552"/>
      <c r="J751" s="553" t="s">
        <v>102</v>
      </c>
      <c r="K751" s="10">
        <f>data!G3467</f>
        <v>873.89</v>
      </c>
      <c r="L751" s="208" t="s">
        <v>2318</v>
      </c>
      <c r="M751" s="9">
        <f>ROUND(I751*K751,0)</f>
        <v>0</v>
      </c>
      <c r="N751" s="536" t="s">
        <v>2318</v>
      </c>
    </row>
    <row r="752" spans="1:14" ht="94.5" customHeight="1">
      <c r="A752" s="16">
        <v>20</v>
      </c>
      <c r="B752" s="1858" t="s">
        <v>214</v>
      </c>
      <c r="C752" s="1858"/>
      <c r="D752" s="1858"/>
      <c r="E752" s="1858"/>
      <c r="F752" s="1858"/>
      <c r="G752" s="1858"/>
      <c r="H752" s="1858"/>
      <c r="I752" s="537"/>
      <c r="J752" s="538"/>
      <c r="K752" s="16"/>
      <c r="L752" s="208"/>
      <c r="M752" s="38"/>
      <c r="N752" s="536" t="s">
        <v>2218</v>
      </c>
    </row>
    <row r="753" spans="1:14" s="544" customFormat="1" ht="16.5" customHeight="1">
      <c r="A753" s="16"/>
      <c r="B753" s="607" t="s">
        <v>2906</v>
      </c>
      <c r="C753" s="566"/>
      <c r="D753" s="567"/>
      <c r="E753" s="568"/>
      <c r="F753" s="569"/>
      <c r="G753" s="569"/>
      <c r="H753" s="570"/>
      <c r="I753" s="571"/>
      <c r="J753" s="553"/>
      <c r="K753" s="39"/>
      <c r="L753" s="208"/>
      <c r="M753" s="39"/>
      <c r="N753" s="536" t="s">
        <v>2218</v>
      </c>
    </row>
    <row r="754" spans="1:14" s="544" customFormat="1" ht="16.5" customHeight="1">
      <c r="A754" s="16"/>
      <c r="B754" s="547"/>
      <c r="C754" s="548">
        <v>1</v>
      </c>
      <c r="D754" s="549" t="s">
        <v>273</v>
      </c>
      <c r="E754" s="550">
        <v>1</v>
      </c>
      <c r="F754" s="551">
        <v>8.6300000000000008</v>
      </c>
      <c r="G754" s="551">
        <v>0</v>
      </c>
      <c r="H754" s="551">
        <v>0.1</v>
      </c>
      <c r="I754" s="552">
        <f>ROUND(IF(AND(F754:H754),C754*E754*F754*G754*H754,IF(AND(F754,G754),C754*E754*F754*G754,IF(AND(F754,H754),C754*E754*F754*H754,IF(AND(G754,H754),C754*E754*G754*H754,IF(F754,C754*E754*F754,IF(G754,C754*E754*G754,IF(H754,C754*E754*H754,C754*E754))))))),2)</f>
        <v>0.86</v>
      </c>
      <c r="J754" s="553" t="s">
        <v>102</v>
      </c>
      <c r="K754" s="39"/>
      <c r="L754" s="208"/>
      <c r="M754" s="39"/>
      <c r="N754" s="536" t="s">
        <v>2218</v>
      </c>
    </row>
    <row r="755" spans="1:14" s="544" customFormat="1" ht="16.5" customHeight="1">
      <c r="A755" s="16"/>
      <c r="B755" s="547"/>
      <c r="C755" s="548">
        <v>1</v>
      </c>
      <c r="D755" s="549" t="s">
        <v>273</v>
      </c>
      <c r="E755" s="550">
        <v>4</v>
      </c>
      <c r="F755" s="551">
        <v>3.6</v>
      </c>
      <c r="G755" s="551">
        <v>0</v>
      </c>
      <c r="H755" s="551">
        <v>0.18</v>
      </c>
      <c r="I755" s="552">
        <f>ROUND(IF(AND(F755:H755),C755*E755*F755*G755*H755,IF(AND(F755,G755),C755*E755*F755*G755,IF(AND(F755,H755),C755*E755*F755*H755,IF(AND(G755,H755),C755*E755*G755*H755,IF(F755,C755*E755*F755,IF(G755,C755*E755*G755,IF(H755,C755*E755*H755,C755*E755))))))),2)</f>
        <v>2.59</v>
      </c>
      <c r="J755" s="553" t="s">
        <v>102</v>
      </c>
      <c r="K755" s="39"/>
      <c r="L755" s="208"/>
      <c r="M755" s="39"/>
      <c r="N755" s="536" t="s">
        <v>2218</v>
      </c>
    </row>
    <row r="756" spans="1:14" s="544" customFormat="1" ht="16.5" customHeight="1">
      <c r="A756" s="16"/>
      <c r="B756" s="547"/>
      <c r="C756" s="548"/>
      <c r="D756" s="549"/>
      <c r="E756" s="550"/>
      <c r="F756" s="551"/>
      <c r="G756" s="551"/>
      <c r="H756" s="551"/>
      <c r="I756" s="552"/>
      <c r="J756" s="553"/>
      <c r="K756" s="39"/>
      <c r="L756" s="208"/>
      <c r="M756" s="39"/>
      <c r="N756" s="536" t="s">
        <v>2218</v>
      </c>
    </row>
    <row r="757" spans="1:14" ht="15.75">
      <c r="A757" s="16"/>
      <c r="B757" s="39"/>
      <c r="C757" s="554"/>
      <c r="D757" s="555"/>
      <c r="E757" s="540"/>
      <c r="F757" s="541"/>
      <c r="G757" s="40"/>
      <c r="H757" s="16"/>
      <c r="I757" s="552"/>
      <c r="J757" s="553" t="s">
        <v>102</v>
      </c>
      <c r="K757" s="10">
        <f>data!G733</f>
        <v>502.03</v>
      </c>
      <c r="L757" s="208" t="s">
        <v>2218</v>
      </c>
      <c r="M757" s="9">
        <f>ROUND(I757*K757,0)</f>
        <v>0</v>
      </c>
      <c r="N757" s="536" t="s">
        <v>2218</v>
      </c>
    </row>
    <row r="758" spans="1:14" ht="94.5" customHeight="1">
      <c r="A758" s="16">
        <v>20</v>
      </c>
      <c r="B758" s="1858" t="s">
        <v>214</v>
      </c>
      <c r="C758" s="1858"/>
      <c r="D758" s="1858"/>
      <c r="E758" s="1858"/>
      <c r="F758" s="1858"/>
      <c r="G758" s="1858"/>
      <c r="H758" s="1858"/>
      <c r="I758" s="537"/>
      <c r="J758" s="538"/>
      <c r="K758" s="16"/>
      <c r="L758" s="208"/>
      <c r="M758" s="38"/>
      <c r="N758" s="536" t="s">
        <v>2306</v>
      </c>
    </row>
    <row r="759" spans="1:14" s="544" customFormat="1" ht="16.5" customHeight="1">
      <c r="A759" s="16"/>
      <c r="B759" s="607" t="s">
        <v>2906</v>
      </c>
      <c r="C759" s="566"/>
      <c r="D759" s="567"/>
      <c r="E759" s="568"/>
      <c r="F759" s="569"/>
      <c r="G759" s="569"/>
      <c r="H759" s="570"/>
      <c r="I759" s="571"/>
      <c r="J759" s="553"/>
      <c r="K759" s="39"/>
      <c r="L759" s="208"/>
      <c r="M759" s="39"/>
      <c r="N759" s="536" t="s">
        <v>2306</v>
      </c>
    </row>
    <row r="760" spans="1:14" s="544" customFormat="1" ht="16.5" customHeight="1">
      <c r="A760" s="16"/>
      <c r="B760" s="547"/>
      <c r="C760" s="548">
        <v>1</v>
      </c>
      <c r="D760" s="549" t="s">
        <v>273</v>
      </c>
      <c r="E760" s="550">
        <v>1</v>
      </c>
      <c r="F760" s="551">
        <v>8.6300000000000008</v>
      </c>
      <c r="G760" s="551">
        <v>0</v>
      </c>
      <c r="H760" s="551">
        <v>0.1</v>
      </c>
      <c r="I760" s="552">
        <f>ROUND(IF(AND(F760:H760),C760*E760*F760*G760*H760,IF(AND(F760,G760),C760*E760*F760*G760,IF(AND(F760,H760),C760*E760*F760*H760,IF(AND(G760,H760),C760*E760*G760*H760,IF(F760,C760*E760*F760,IF(G760,C760*E760*G760,IF(H760,C760*E760*H760,C760*E760))))))),2)</f>
        <v>0.86</v>
      </c>
      <c r="J760" s="553" t="s">
        <v>102</v>
      </c>
      <c r="K760" s="39"/>
      <c r="L760" s="208"/>
      <c r="M760" s="39"/>
      <c r="N760" s="536" t="s">
        <v>2306</v>
      </c>
    </row>
    <row r="761" spans="1:14" s="544" customFormat="1" ht="16.5" customHeight="1">
      <c r="A761" s="16"/>
      <c r="B761" s="547"/>
      <c r="C761" s="548">
        <v>1</v>
      </c>
      <c r="D761" s="549" t="s">
        <v>273</v>
      </c>
      <c r="E761" s="550">
        <v>4</v>
      </c>
      <c r="F761" s="551">
        <v>3.6</v>
      </c>
      <c r="G761" s="551">
        <v>0</v>
      </c>
      <c r="H761" s="551">
        <v>0.18</v>
      </c>
      <c r="I761" s="552">
        <f>ROUND(IF(AND(F761:H761),C761*E761*F761*G761*H761,IF(AND(F761,G761),C761*E761*F761*G761,IF(AND(F761,H761),C761*E761*F761*H761,IF(AND(G761,H761),C761*E761*G761*H761,IF(F761,C761*E761*F761,IF(G761,C761*E761*G761,IF(H761,C761*E761*H761,C761*E761))))))),2)</f>
        <v>2.59</v>
      </c>
      <c r="J761" s="553" t="s">
        <v>102</v>
      </c>
      <c r="K761" s="39"/>
      <c r="L761" s="208"/>
      <c r="M761" s="39"/>
      <c r="N761" s="536" t="s">
        <v>2306</v>
      </c>
    </row>
    <row r="762" spans="1:14" s="544" customFormat="1" ht="16.5" customHeight="1">
      <c r="A762" s="16"/>
      <c r="B762" s="547"/>
      <c r="C762" s="548"/>
      <c r="D762" s="549"/>
      <c r="E762" s="550"/>
      <c r="F762" s="551"/>
      <c r="G762" s="551"/>
      <c r="H762" s="551"/>
      <c r="I762" s="552"/>
      <c r="J762" s="553"/>
      <c r="K762" s="39"/>
      <c r="L762" s="208"/>
      <c r="M762" s="39"/>
      <c r="N762" s="536" t="s">
        <v>2306</v>
      </c>
    </row>
    <row r="763" spans="1:14" ht="15.75">
      <c r="A763" s="16"/>
      <c r="B763" s="39"/>
      <c r="C763" s="554"/>
      <c r="D763" s="555"/>
      <c r="E763" s="540"/>
      <c r="F763" s="541"/>
      <c r="G763" s="40"/>
      <c r="H763" s="16"/>
      <c r="I763" s="552"/>
      <c r="J763" s="553" t="s">
        <v>102</v>
      </c>
      <c r="K763" s="10">
        <f>data!G1650</f>
        <v>512.04</v>
      </c>
      <c r="L763" s="208" t="s">
        <v>2306</v>
      </c>
      <c r="M763" s="9">
        <f>ROUND(I763*K763,0)</f>
        <v>0</v>
      </c>
      <c r="N763" s="536" t="s">
        <v>2306</v>
      </c>
    </row>
    <row r="764" spans="1:14" ht="94.5" customHeight="1">
      <c r="A764" s="16">
        <v>20</v>
      </c>
      <c r="B764" s="1858" t="s">
        <v>214</v>
      </c>
      <c r="C764" s="1858"/>
      <c r="D764" s="1858"/>
      <c r="E764" s="1858"/>
      <c r="F764" s="1858"/>
      <c r="G764" s="1858"/>
      <c r="H764" s="1858"/>
      <c r="I764" s="537"/>
      <c r="J764" s="538"/>
      <c r="K764" s="16"/>
      <c r="L764" s="208"/>
      <c r="M764" s="38"/>
      <c r="N764" s="536" t="s">
        <v>2317</v>
      </c>
    </row>
    <row r="765" spans="1:14" s="544" customFormat="1" ht="16.5" customHeight="1">
      <c r="A765" s="16"/>
      <c r="B765" s="607" t="s">
        <v>2906</v>
      </c>
      <c r="C765" s="566"/>
      <c r="D765" s="567"/>
      <c r="E765" s="568"/>
      <c r="F765" s="569"/>
      <c r="G765" s="569"/>
      <c r="H765" s="570"/>
      <c r="I765" s="571"/>
      <c r="J765" s="553"/>
      <c r="K765" s="39"/>
      <c r="L765" s="208"/>
      <c r="M765" s="39"/>
      <c r="N765" s="536" t="s">
        <v>2317</v>
      </c>
    </row>
    <row r="766" spans="1:14" s="544" customFormat="1" ht="16.5" customHeight="1">
      <c r="A766" s="16"/>
      <c r="B766" s="547"/>
      <c r="C766" s="548">
        <v>1</v>
      </c>
      <c r="D766" s="549" t="s">
        <v>273</v>
      </c>
      <c r="E766" s="550">
        <v>1</v>
      </c>
      <c r="F766" s="551">
        <v>8.6300000000000008</v>
      </c>
      <c r="G766" s="551">
        <v>0</v>
      </c>
      <c r="H766" s="551">
        <v>0.1</v>
      </c>
      <c r="I766" s="552">
        <f>ROUND(IF(AND(F766:H766),C766*E766*F766*G766*H766,IF(AND(F766,G766),C766*E766*F766*G766,IF(AND(F766,H766),C766*E766*F766*H766,IF(AND(G766,H766),C766*E766*G766*H766,IF(F766,C766*E766*F766,IF(G766,C766*E766*G766,IF(H766,C766*E766*H766,C766*E766))))))),2)</f>
        <v>0.86</v>
      </c>
      <c r="J766" s="553" t="s">
        <v>102</v>
      </c>
      <c r="K766" s="39"/>
      <c r="L766" s="208"/>
      <c r="M766" s="39"/>
      <c r="N766" s="536" t="s">
        <v>2317</v>
      </c>
    </row>
    <row r="767" spans="1:14" s="544" customFormat="1" ht="16.5" customHeight="1">
      <c r="A767" s="16"/>
      <c r="B767" s="547"/>
      <c r="C767" s="548">
        <v>1</v>
      </c>
      <c r="D767" s="549" t="s">
        <v>273</v>
      </c>
      <c r="E767" s="550">
        <v>4</v>
      </c>
      <c r="F767" s="551">
        <v>3.6</v>
      </c>
      <c r="G767" s="551">
        <v>0</v>
      </c>
      <c r="H767" s="551">
        <v>0.18</v>
      </c>
      <c r="I767" s="552">
        <f>ROUND(IF(AND(F767:H767),C767*E767*F767*G767*H767,IF(AND(F767,G767),C767*E767*F767*G767,IF(AND(F767,H767),C767*E767*F767*H767,IF(AND(G767,H767),C767*E767*G767*H767,IF(F767,C767*E767*F767,IF(G767,C767*E767*G767,IF(H767,C767*E767*H767,C767*E767))))))),2)</f>
        <v>2.59</v>
      </c>
      <c r="J767" s="553" t="s">
        <v>102</v>
      </c>
      <c r="K767" s="39"/>
      <c r="L767" s="208"/>
      <c r="M767" s="39"/>
      <c r="N767" s="536" t="s">
        <v>2317</v>
      </c>
    </row>
    <row r="768" spans="1:14" s="544" customFormat="1" ht="16.5" customHeight="1">
      <c r="A768" s="16"/>
      <c r="B768" s="547"/>
      <c r="C768" s="548"/>
      <c r="D768" s="549"/>
      <c r="E768" s="550"/>
      <c r="F768" s="551"/>
      <c r="G768" s="551"/>
      <c r="H768" s="551"/>
      <c r="I768" s="552"/>
      <c r="J768" s="553"/>
      <c r="K768" s="39"/>
      <c r="L768" s="208"/>
      <c r="M768" s="39"/>
      <c r="N768" s="536" t="s">
        <v>2317</v>
      </c>
    </row>
    <row r="769" spans="1:14" ht="15.75">
      <c r="A769" s="16"/>
      <c r="B769" s="39"/>
      <c r="C769" s="554"/>
      <c r="D769" s="555"/>
      <c r="E769" s="540"/>
      <c r="F769" s="541"/>
      <c r="G769" s="40"/>
      <c r="H769" s="16"/>
      <c r="I769" s="552"/>
      <c r="J769" s="553" t="s">
        <v>102</v>
      </c>
      <c r="K769" s="10">
        <f>data!G2567</f>
        <v>520.52</v>
      </c>
      <c r="L769" s="208" t="s">
        <v>2317</v>
      </c>
      <c r="M769" s="9">
        <f>ROUND(I769*K769,0)</f>
        <v>0</v>
      </c>
      <c r="N769" s="536" t="s">
        <v>2317</v>
      </c>
    </row>
    <row r="770" spans="1:14" ht="94.5" customHeight="1">
      <c r="A770" s="16">
        <v>20</v>
      </c>
      <c r="B770" s="1858" t="s">
        <v>214</v>
      </c>
      <c r="C770" s="1858"/>
      <c r="D770" s="1858"/>
      <c r="E770" s="1858"/>
      <c r="F770" s="1858"/>
      <c r="G770" s="1858"/>
      <c r="H770" s="1858"/>
      <c r="I770" s="537"/>
      <c r="J770" s="538"/>
      <c r="K770" s="16"/>
      <c r="L770" s="208"/>
      <c r="M770" s="38"/>
      <c r="N770" s="536" t="s">
        <v>2318</v>
      </c>
    </row>
    <row r="771" spans="1:14" s="544" customFormat="1" ht="16.5" customHeight="1">
      <c r="A771" s="16"/>
      <c r="B771" s="607" t="s">
        <v>2906</v>
      </c>
      <c r="C771" s="566"/>
      <c r="D771" s="567"/>
      <c r="E771" s="568"/>
      <c r="F771" s="569"/>
      <c r="G771" s="569"/>
      <c r="H771" s="570"/>
      <c r="I771" s="571"/>
      <c r="J771" s="553"/>
      <c r="K771" s="39"/>
      <c r="L771" s="208"/>
      <c r="M771" s="39"/>
      <c r="N771" s="536" t="s">
        <v>2318</v>
      </c>
    </row>
    <row r="772" spans="1:14" s="544" customFormat="1" ht="16.5" customHeight="1">
      <c r="A772" s="16"/>
      <c r="B772" s="547"/>
      <c r="C772" s="548">
        <v>1</v>
      </c>
      <c r="D772" s="549" t="s">
        <v>273</v>
      </c>
      <c r="E772" s="550">
        <v>1</v>
      </c>
      <c r="F772" s="551">
        <v>8.6300000000000008</v>
      </c>
      <c r="G772" s="551">
        <v>0</v>
      </c>
      <c r="H772" s="551">
        <v>0.1</v>
      </c>
      <c r="I772" s="552">
        <f>ROUND(IF(AND(F772:H772),C772*E772*F772*G772*H772,IF(AND(F772,G772),C772*E772*F772*G772,IF(AND(F772,H772),C772*E772*F772*H772,IF(AND(G772,H772),C772*E772*G772*H772,IF(F772,C772*E772*F772,IF(G772,C772*E772*G772,IF(H772,C772*E772*H772,C772*E772))))))),2)</f>
        <v>0.86</v>
      </c>
      <c r="J772" s="553" t="s">
        <v>102</v>
      </c>
      <c r="K772" s="39"/>
      <c r="L772" s="208"/>
      <c r="M772" s="39"/>
      <c r="N772" s="536" t="s">
        <v>2318</v>
      </c>
    </row>
    <row r="773" spans="1:14" s="544" customFormat="1" ht="16.5" customHeight="1">
      <c r="A773" s="16"/>
      <c r="B773" s="547"/>
      <c r="C773" s="548">
        <v>1</v>
      </c>
      <c r="D773" s="549" t="s">
        <v>273</v>
      </c>
      <c r="E773" s="550">
        <v>4</v>
      </c>
      <c r="F773" s="551">
        <v>3.6</v>
      </c>
      <c r="G773" s="551">
        <v>0</v>
      </c>
      <c r="H773" s="551">
        <v>0.18</v>
      </c>
      <c r="I773" s="552">
        <f>ROUND(IF(AND(F773:H773),C773*E773*F773*G773*H773,IF(AND(F773,G773),C773*E773*F773*G773,IF(AND(F773,H773),C773*E773*F773*H773,IF(AND(G773,H773),C773*E773*G773*H773,IF(F773,C773*E773*F773,IF(G773,C773*E773*G773,IF(H773,C773*E773*H773,C773*E773))))))),2)</f>
        <v>2.59</v>
      </c>
      <c r="J773" s="553" t="s">
        <v>102</v>
      </c>
      <c r="K773" s="39"/>
      <c r="L773" s="208"/>
      <c r="M773" s="39"/>
      <c r="N773" s="536" t="s">
        <v>2318</v>
      </c>
    </row>
    <row r="774" spans="1:14" s="544" customFormat="1" ht="16.5" customHeight="1">
      <c r="A774" s="16"/>
      <c r="B774" s="547"/>
      <c r="C774" s="548"/>
      <c r="D774" s="549"/>
      <c r="E774" s="550"/>
      <c r="F774" s="551"/>
      <c r="G774" s="551"/>
      <c r="H774" s="551"/>
      <c r="I774" s="552"/>
      <c r="J774" s="553"/>
      <c r="K774" s="39"/>
      <c r="L774" s="208"/>
      <c r="M774" s="39"/>
      <c r="N774" s="536" t="s">
        <v>2318</v>
      </c>
    </row>
    <row r="775" spans="1:14" ht="15.75">
      <c r="A775" s="16"/>
      <c r="B775" s="39"/>
      <c r="C775" s="554"/>
      <c r="D775" s="555"/>
      <c r="E775" s="540"/>
      <c r="F775" s="541"/>
      <c r="G775" s="40"/>
      <c r="H775" s="16"/>
      <c r="I775" s="552"/>
      <c r="J775" s="553" t="s">
        <v>102</v>
      </c>
      <c r="K775" s="10">
        <f>data!G3484</f>
        <v>536.26</v>
      </c>
      <c r="L775" s="208" t="s">
        <v>2318</v>
      </c>
      <c r="M775" s="9">
        <f>ROUND(I775*K775,0)</f>
        <v>0</v>
      </c>
      <c r="N775" s="536" t="s">
        <v>2318</v>
      </c>
    </row>
    <row r="776" spans="1:14" ht="81.75" customHeight="1">
      <c r="A776" s="16">
        <v>27</v>
      </c>
      <c r="B776" s="1858" t="s">
        <v>1203</v>
      </c>
      <c r="C776" s="1858"/>
      <c r="D776" s="1858"/>
      <c r="E776" s="1858"/>
      <c r="F776" s="1858"/>
      <c r="G776" s="1858"/>
      <c r="H776" s="1858"/>
      <c r="I776" s="537"/>
      <c r="J776" s="538"/>
      <c r="K776" s="16"/>
      <c r="L776" s="208"/>
      <c r="M776" s="38"/>
      <c r="N776" s="536" t="s">
        <v>2218</v>
      </c>
    </row>
    <row r="777" spans="1:14" s="544" customFormat="1" ht="16.5" customHeight="1">
      <c r="A777" s="16"/>
      <c r="B777" s="607" t="s">
        <v>2896</v>
      </c>
      <c r="C777" s="566"/>
      <c r="D777" s="567"/>
      <c r="E777" s="568"/>
      <c r="F777" s="569"/>
      <c r="G777" s="569"/>
      <c r="H777" s="570"/>
      <c r="I777" s="571"/>
      <c r="J777" s="580"/>
      <c r="K777" s="39"/>
      <c r="L777" s="208"/>
      <c r="M777" s="39"/>
      <c r="N777" s="536" t="s">
        <v>2218</v>
      </c>
    </row>
    <row r="778" spans="1:14" s="544" customFormat="1" ht="16.5" customHeight="1">
      <c r="A778" s="16"/>
      <c r="B778" s="556" t="s">
        <v>1189</v>
      </c>
      <c r="C778" s="557">
        <v>2</v>
      </c>
      <c r="D778" s="558" t="s">
        <v>273</v>
      </c>
      <c r="E778" s="221">
        <v>0.5</v>
      </c>
      <c r="F778" s="559">
        <v>0.96</v>
      </c>
      <c r="G778" s="559">
        <v>1</v>
      </c>
      <c r="H778" s="559">
        <v>0</v>
      </c>
      <c r="I778" s="560">
        <f>ROUND(IF(AND(F778:H778),C778*E778*F778*G778*H778,IF(AND(F778,G778),C778*E778*F778*G778,IF(AND(F778,H778),C778*E778*F778*H778,IF(AND(G778,H778),C778*E778*G778*H778,IF(F778,C778*E778*F778,IF(G778,C778*E778*G778,IF(H778,C778*E778*H778,C778*E778))))))),2)</f>
        <v>0.96</v>
      </c>
      <c r="J778" s="580" t="s">
        <v>102</v>
      </c>
      <c r="K778" s="39"/>
      <c r="L778" s="208"/>
      <c r="M778" s="39"/>
      <c r="N778" s="536" t="s">
        <v>2218</v>
      </c>
    </row>
    <row r="779" spans="1:14" s="544" customFormat="1" ht="16.5" customHeight="1">
      <c r="A779" s="16"/>
      <c r="B779" s="556"/>
      <c r="C779" s="557">
        <v>1</v>
      </c>
      <c r="D779" s="558" t="s">
        <v>273</v>
      </c>
      <c r="E779" s="221">
        <v>2</v>
      </c>
      <c r="F779" s="559">
        <v>3.6</v>
      </c>
      <c r="G779" s="559">
        <v>1.1299999999999999</v>
      </c>
      <c r="H779" s="559">
        <v>0</v>
      </c>
      <c r="I779" s="560">
        <f>ROUND(IF(AND(F779:H779),C779*E779*F779*G779*H779,IF(AND(F779,G779),C779*E779*F779*G779,IF(AND(F779,H779),C779*E779*F779*H779,IF(AND(G779,H779),C779*E779*G779*H779,IF(F779,C779*E779*F779,IF(G779,C779*E779*G779,IF(H779,C779*E779*H779,C779*E779))))))),2)</f>
        <v>8.14</v>
      </c>
      <c r="J779" s="580" t="s">
        <v>102</v>
      </c>
      <c r="K779" s="39"/>
      <c r="L779" s="208"/>
      <c r="M779" s="39"/>
      <c r="N779" s="536" t="s">
        <v>2218</v>
      </c>
    </row>
    <row r="780" spans="1:14" s="544" customFormat="1" ht="16.5" customHeight="1">
      <c r="A780" s="16"/>
      <c r="B780" s="547"/>
      <c r="C780" s="548"/>
      <c r="D780" s="549"/>
      <c r="E780" s="550"/>
      <c r="F780" s="551"/>
      <c r="G780" s="551"/>
      <c r="H780" s="551"/>
      <c r="I780" s="552"/>
      <c r="J780" s="580"/>
      <c r="K780" s="39"/>
      <c r="L780" s="208"/>
      <c r="M780" s="39"/>
      <c r="N780" s="536" t="s">
        <v>2218</v>
      </c>
    </row>
    <row r="781" spans="1:14" ht="15.75">
      <c r="A781" s="16"/>
      <c r="B781" s="39"/>
      <c r="C781" s="554"/>
      <c r="D781" s="555"/>
      <c r="E781" s="540"/>
      <c r="F781" s="541"/>
      <c r="G781" s="40"/>
      <c r="H781" s="16"/>
      <c r="I781" s="552"/>
      <c r="J781" s="580" t="s">
        <v>102</v>
      </c>
      <c r="K781" s="10">
        <f>data!G761</f>
        <v>977.96</v>
      </c>
      <c r="L781" s="208" t="s">
        <v>2218</v>
      </c>
      <c r="M781" s="9">
        <f>ROUND(I781*K781,0)</f>
        <v>0</v>
      </c>
      <c r="N781" s="536" t="s">
        <v>2218</v>
      </c>
    </row>
    <row r="782" spans="1:14" ht="81.75" customHeight="1">
      <c r="A782" s="16">
        <v>27</v>
      </c>
      <c r="B782" s="1858" t="s">
        <v>1203</v>
      </c>
      <c r="C782" s="1858"/>
      <c r="D782" s="1858"/>
      <c r="E782" s="1858"/>
      <c r="F782" s="1858"/>
      <c r="G782" s="1858"/>
      <c r="H782" s="1858"/>
      <c r="I782" s="537"/>
      <c r="J782" s="538"/>
      <c r="K782" s="16"/>
      <c r="L782" s="208"/>
      <c r="M782" s="38"/>
      <c r="N782" s="536" t="s">
        <v>2306</v>
      </c>
    </row>
    <row r="783" spans="1:14" s="544" customFormat="1" ht="16.5" customHeight="1">
      <c r="A783" s="16"/>
      <c r="B783" s="607" t="s">
        <v>2896</v>
      </c>
      <c r="C783" s="566"/>
      <c r="D783" s="567"/>
      <c r="E783" s="568"/>
      <c r="F783" s="569"/>
      <c r="G783" s="569"/>
      <c r="H783" s="570"/>
      <c r="I783" s="571"/>
      <c r="J783" s="580"/>
      <c r="K783" s="39"/>
      <c r="L783" s="208"/>
      <c r="M783" s="39"/>
      <c r="N783" s="536" t="s">
        <v>2306</v>
      </c>
    </row>
    <row r="784" spans="1:14" s="544" customFormat="1" ht="16.5" customHeight="1">
      <c r="A784" s="16"/>
      <c r="B784" s="556" t="s">
        <v>1189</v>
      </c>
      <c r="C784" s="557">
        <v>2</v>
      </c>
      <c r="D784" s="558" t="s">
        <v>273</v>
      </c>
      <c r="E784" s="221">
        <v>0.5</v>
      </c>
      <c r="F784" s="559">
        <v>0.96</v>
      </c>
      <c r="G784" s="559">
        <v>1</v>
      </c>
      <c r="H784" s="559">
        <v>0</v>
      </c>
      <c r="I784" s="560">
        <f>ROUND(IF(AND(F784:H784),C784*E784*F784*G784*H784,IF(AND(F784,G784),C784*E784*F784*G784,IF(AND(F784,H784),C784*E784*F784*H784,IF(AND(G784,H784),C784*E784*G784*H784,IF(F784,C784*E784*F784,IF(G784,C784*E784*G784,IF(H784,C784*E784*H784,C784*E784))))))),2)</f>
        <v>0.96</v>
      </c>
      <c r="J784" s="580" t="s">
        <v>102</v>
      </c>
      <c r="K784" s="39"/>
      <c r="L784" s="208"/>
      <c r="M784" s="39"/>
      <c r="N784" s="536" t="s">
        <v>2306</v>
      </c>
    </row>
    <row r="785" spans="1:14" s="544" customFormat="1" ht="16.5" customHeight="1">
      <c r="A785" s="16"/>
      <c r="B785" s="556"/>
      <c r="C785" s="557">
        <v>1</v>
      </c>
      <c r="D785" s="558" t="s">
        <v>273</v>
      </c>
      <c r="E785" s="221">
        <v>2</v>
      </c>
      <c r="F785" s="559">
        <v>3.6</v>
      </c>
      <c r="G785" s="559">
        <v>1.1299999999999999</v>
      </c>
      <c r="H785" s="559">
        <v>0</v>
      </c>
      <c r="I785" s="560">
        <f>ROUND(IF(AND(F785:H785),C785*E785*F785*G785*H785,IF(AND(F785,G785),C785*E785*F785*G785,IF(AND(F785,H785),C785*E785*F785*H785,IF(AND(G785,H785),C785*E785*G785*H785,IF(F785,C785*E785*F785,IF(G785,C785*E785*G785,IF(H785,C785*E785*H785,C785*E785))))))),2)</f>
        <v>8.14</v>
      </c>
      <c r="J785" s="580" t="s">
        <v>102</v>
      </c>
      <c r="K785" s="39"/>
      <c r="L785" s="208"/>
      <c r="M785" s="39"/>
      <c r="N785" s="536" t="s">
        <v>2306</v>
      </c>
    </row>
    <row r="786" spans="1:14" s="544" customFormat="1" ht="16.5" customHeight="1">
      <c r="A786" s="16"/>
      <c r="B786" s="547"/>
      <c r="C786" s="548"/>
      <c r="D786" s="549"/>
      <c r="E786" s="550"/>
      <c r="F786" s="551"/>
      <c r="G786" s="551"/>
      <c r="H786" s="551"/>
      <c r="I786" s="552"/>
      <c r="J786" s="580"/>
      <c r="K786" s="39"/>
      <c r="L786" s="208"/>
      <c r="M786" s="39"/>
      <c r="N786" s="536" t="s">
        <v>2306</v>
      </c>
    </row>
    <row r="787" spans="1:14" ht="15.75">
      <c r="A787" s="16"/>
      <c r="B787" s="39"/>
      <c r="C787" s="554"/>
      <c r="D787" s="555"/>
      <c r="E787" s="540"/>
      <c r="F787" s="541"/>
      <c r="G787" s="40"/>
      <c r="H787" s="16"/>
      <c r="I787" s="552"/>
      <c r="J787" s="580" t="s">
        <v>102</v>
      </c>
      <c r="K787" s="10">
        <f>data!G1678</f>
        <v>1023.19</v>
      </c>
      <c r="L787" s="208" t="s">
        <v>2306</v>
      </c>
      <c r="M787" s="9">
        <f>ROUND(I787*K787,0)</f>
        <v>0</v>
      </c>
      <c r="N787" s="536" t="s">
        <v>2306</v>
      </c>
    </row>
    <row r="788" spans="1:14" ht="81.75" customHeight="1">
      <c r="A788" s="16">
        <v>27</v>
      </c>
      <c r="B788" s="1858" t="s">
        <v>1203</v>
      </c>
      <c r="C788" s="1858"/>
      <c r="D788" s="1858"/>
      <c r="E788" s="1858"/>
      <c r="F788" s="1858"/>
      <c r="G788" s="1858"/>
      <c r="H788" s="1858"/>
      <c r="I788" s="537"/>
      <c r="J788" s="538"/>
      <c r="K788" s="16"/>
      <c r="L788" s="208"/>
      <c r="M788" s="38"/>
      <c r="N788" s="536" t="s">
        <v>2317</v>
      </c>
    </row>
    <row r="789" spans="1:14" s="544" customFormat="1" ht="16.5" customHeight="1">
      <c r="A789" s="16"/>
      <c r="B789" s="607" t="s">
        <v>2896</v>
      </c>
      <c r="C789" s="566"/>
      <c r="D789" s="567"/>
      <c r="E789" s="568"/>
      <c r="F789" s="569"/>
      <c r="G789" s="569"/>
      <c r="H789" s="570"/>
      <c r="I789" s="571"/>
      <c r="J789" s="580"/>
      <c r="K789" s="39"/>
      <c r="L789" s="208"/>
      <c r="M789" s="39"/>
      <c r="N789" s="536" t="s">
        <v>2317</v>
      </c>
    </row>
    <row r="790" spans="1:14" s="544" customFormat="1" ht="16.5" customHeight="1">
      <c r="A790" s="16"/>
      <c r="B790" s="556" t="s">
        <v>1189</v>
      </c>
      <c r="C790" s="557">
        <v>2</v>
      </c>
      <c r="D790" s="558" t="s">
        <v>273</v>
      </c>
      <c r="E790" s="221">
        <v>0.5</v>
      </c>
      <c r="F790" s="559">
        <v>0.96</v>
      </c>
      <c r="G790" s="559">
        <v>1</v>
      </c>
      <c r="H790" s="559">
        <v>0</v>
      </c>
      <c r="I790" s="560">
        <f>ROUND(IF(AND(F790:H790),C790*E790*F790*G790*H790,IF(AND(F790,G790),C790*E790*F790*G790,IF(AND(F790,H790),C790*E790*F790*H790,IF(AND(G790,H790),C790*E790*G790*H790,IF(F790,C790*E790*F790,IF(G790,C790*E790*G790,IF(H790,C790*E790*H790,C790*E790))))))),2)</f>
        <v>0.96</v>
      </c>
      <c r="J790" s="580" t="s">
        <v>102</v>
      </c>
      <c r="K790" s="39"/>
      <c r="L790" s="208"/>
      <c r="M790" s="39"/>
      <c r="N790" s="536" t="s">
        <v>2317</v>
      </c>
    </row>
    <row r="791" spans="1:14" s="544" customFormat="1" ht="16.5" customHeight="1">
      <c r="A791" s="16"/>
      <c r="B791" s="556"/>
      <c r="C791" s="557">
        <v>1</v>
      </c>
      <c r="D791" s="558" t="s">
        <v>273</v>
      </c>
      <c r="E791" s="221">
        <v>2</v>
      </c>
      <c r="F791" s="559">
        <v>3.6</v>
      </c>
      <c r="G791" s="559">
        <v>1.1299999999999999</v>
      </c>
      <c r="H791" s="559">
        <v>0</v>
      </c>
      <c r="I791" s="560">
        <f>ROUND(IF(AND(F791:H791),C791*E791*F791*G791*H791,IF(AND(F791,G791),C791*E791*F791*G791,IF(AND(F791,H791),C791*E791*F791*H791,IF(AND(G791,H791),C791*E791*G791*H791,IF(F791,C791*E791*F791,IF(G791,C791*E791*G791,IF(H791,C791*E791*H791,C791*E791))))))),2)</f>
        <v>8.14</v>
      </c>
      <c r="J791" s="580" t="s">
        <v>102</v>
      </c>
      <c r="K791" s="39"/>
      <c r="L791" s="208"/>
      <c r="M791" s="39"/>
      <c r="N791" s="536" t="s">
        <v>2317</v>
      </c>
    </row>
    <row r="792" spans="1:14" s="544" customFormat="1" ht="16.5" customHeight="1">
      <c r="A792" s="16"/>
      <c r="B792" s="547"/>
      <c r="C792" s="548"/>
      <c r="D792" s="549"/>
      <c r="E792" s="550"/>
      <c r="F792" s="551"/>
      <c r="G792" s="551"/>
      <c r="H792" s="551"/>
      <c r="I792" s="552"/>
      <c r="J792" s="580"/>
      <c r="K792" s="39"/>
      <c r="L792" s="208"/>
      <c r="M792" s="39"/>
      <c r="N792" s="536" t="s">
        <v>2317</v>
      </c>
    </row>
    <row r="793" spans="1:14" ht="15.75">
      <c r="A793" s="16"/>
      <c r="B793" s="39"/>
      <c r="C793" s="554"/>
      <c r="D793" s="555"/>
      <c r="E793" s="540"/>
      <c r="F793" s="541"/>
      <c r="G793" s="40"/>
      <c r="H793" s="16"/>
      <c r="I793" s="552"/>
      <c r="J793" s="580" t="s">
        <v>102</v>
      </c>
      <c r="K793" s="10">
        <f>data!G2595</f>
        <v>1058.68</v>
      </c>
      <c r="L793" s="208" t="s">
        <v>2317</v>
      </c>
      <c r="M793" s="9">
        <f>ROUND(I793*K793,0)</f>
        <v>0</v>
      </c>
      <c r="N793" s="536" t="s">
        <v>2317</v>
      </c>
    </row>
    <row r="794" spans="1:14" ht="81.75" customHeight="1">
      <c r="A794" s="16">
        <v>27</v>
      </c>
      <c r="B794" s="1858" t="s">
        <v>1203</v>
      </c>
      <c r="C794" s="1858"/>
      <c r="D794" s="1858"/>
      <c r="E794" s="1858"/>
      <c r="F794" s="1858"/>
      <c r="G794" s="1858"/>
      <c r="H794" s="1858"/>
      <c r="I794" s="537"/>
      <c r="J794" s="538"/>
      <c r="K794" s="16"/>
      <c r="L794" s="208"/>
      <c r="M794" s="38"/>
      <c r="N794" s="536" t="s">
        <v>2318</v>
      </c>
    </row>
    <row r="795" spans="1:14" s="544" customFormat="1" ht="16.5" customHeight="1">
      <c r="A795" s="16"/>
      <c r="B795" s="607" t="s">
        <v>2896</v>
      </c>
      <c r="C795" s="566"/>
      <c r="D795" s="567"/>
      <c r="E795" s="568"/>
      <c r="F795" s="569"/>
      <c r="G795" s="569"/>
      <c r="H795" s="570"/>
      <c r="I795" s="571"/>
      <c r="J795" s="580"/>
      <c r="K795" s="39"/>
      <c r="L795" s="208"/>
      <c r="M795" s="39"/>
      <c r="N795" s="536" t="s">
        <v>2318</v>
      </c>
    </row>
    <row r="796" spans="1:14" s="544" customFormat="1" ht="16.5" customHeight="1">
      <c r="A796" s="16"/>
      <c r="B796" s="556" t="s">
        <v>1189</v>
      </c>
      <c r="C796" s="557">
        <v>2</v>
      </c>
      <c r="D796" s="558" t="s">
        <v>273</v>
      </c>
      <c r="E796" s="221">
        <v>0.5</v>
      </c>
      <c r="F796" s="559">
        <v>0.96</v>
      </c>
      <c r="G796" s="559">
        <v>1</v>
      </c>
      <c r="H796" s="559">
        <v>0</v>
      </c>
      <c r="I796" s="560">
        <f>ROUND(IF(AND(F796:H796),C796*E796*F796*G796*H796,IF(AND(F796,G796),C796*E796*F796*G796,IF(AND(F796,H796),C796*E796*F796*H796,IF(AND(G796,H796),C796*E796*G796*H796,IF(F796,C796*E796*F796,IF(G796,C796*E796*G796,IF(H796,C796*E796*H796,C796*E796))))))),2)</f>
        <v>0.96</v>
      </c>
      <c r="J796" s="580" t="s">
        <v>102</v>
      </c>
      <c r="K796" s="39"/>
      <c r="L796" s="208"/>
      <c r="M796" s="39"/>
      <c r="N796" s="536" t="s">
        <v>2318</v>
      </c>
    </row>
    <row r="797" spans="1:14" s="544" customFormat="1" ht="16.5" customHeight="1">
      <c r="A797" s="16"/>
      <c r="B797" s="556"/>
      <c r="C797" s="557">
        <v>1</v>
      </c>
      <c r="D797" s="558" t="s">
        <v>273</v>
      </c>
      <c r="E797" s="221">
        <v>2</v>
      </c>
      <c r="F797" s="559">
        <v>3.6</v>
      </c>
      <c r="G797" s="559">
        <v>1.1299999999999999</v>
      </c>
      <c r="H797" s="559">
        <v>0</v>
      </c>
      <c r="I797" s="560">
        <f>ROUND(IF(AND(F797:H797),C797*E797*F797*G797*H797,IF(AND(F797,G797),C797*E797*F797*G797,IF(AND(F797,H797),C797*E797*F797*H797,IF(AND(G797,H797),C797*E797*G797*H797,IF(F797,C797*E797*F797,IF(G797,C797*E797*G797,IF(H797,C797*E797*H797,C797*E797))))))),2)</f>
        <v>8.14</v>
      </c>
      <c r="J797" s="580" t="s">
        <v>102</v>
      </c>
      <c r="K797" s="39"/>
      <c r="L797" s="208"/>
      <c r="M797" s="39"/>
      <c r="N797" s="536" t="s">
        <v>2318</v>
      </c>
    </row>
    <row r="798" spans="1:14" s="544" customFormat="1" ht="16.5" customHeight="1">
      <c r="A798" s="16"/>
      <c r="B798" s="547"/>
      <c r="C798" s="548"/>
      <c r="D798" s="549"/>
      <c r="E798" s="550"/>
      <c r="F798" s="551"/>
      <c r="G798" s="551"/>
      <c r="H798" s="551"/>
      <c r="I798" s="552"/>
      <c r="J798" s="580"/>
      <c r="K798" s="39"/>
      <c r="L798" s="208"/>
      <c r="M798" s="39"/>
      <c r="N798" s="536" t="s">
        <v>2318</v>
      </c>
    </row>
    <row r="799" spans="1:14" ht="15.75">
      <c r="A799" s="16"/>
      <c r="B799" s="39"/>
      <c r="C799" s="554"/>
      <c r="D799" s="555"/>
      <c r="E799" s="540"/>
      <c r="F799" s="541"/>
      <c r="G799" s="40"/>
      <c r="H799" s="16"/>
      <c r="I799" s="552"/>
      <c r="J799" s="580" t="s">
        <v>102</v>
      </c>
      <c r="K799" s="10">
        <f>data!G3512</f>
        <v>1100.49</v>
      </c>
      <c r="L799" s="208" t="s">
        <v>2318</v>
      </c>
      <c r="M799" s="9">
        <f>ROUND(I799*K799,0)</f>
        <v>0</v>
      </c>
      <c r="N799" s="536" t="s">
        <v>2318</v>
      </c>
    </row>
    <row r="800" spans="1:14" ht="66" customHeight="1">
      <c r="A800" s="16">
        <v>26</v>
      </c>
      <c r="B800" s="1858" t="s">
        <v>1193</v>
      </c>
      <c r="C800" s="1858"/>
      <c r="D800" s="1858"/>
      <c r="E800" s="1858"/>
      <c r="F800" s="1858"/>
      <c r="G800" s="1858"/>
      <c r="H800" s="1858"/>
      <c r="I800" s="537"/>
      <c r="J800" s="538"/>
      <c r="K800" s="16"/>
      <c r="L800" s="208"/>
      <c r="M800" s="38"/>
      <c r="N800" s="536" t="s">
        <v>2218</v>
      </c>
    </row>
    <row r="801" spans="1:14" s="544" customFormat="1" ht="16.5" customHeight="1">
      <c r="A801" s="16"/>
      <c r="B801" s="39" t="s">
        <v>2866</v>
      </c>
      <c r="C801" s="566"/>
      <c r="D801" s="567"/>
      <c r="E801" s="568"/>
      <c r="F801" s="569"/>
      <c r="G801" s="569"/>
      <c r="H801" s="570"/>
      <c r="I801" s="571"/>
      <c r="J801" s="553"/>
      <c r="K801" s="39"/>
      <c r="L801" s="208"/>
      <c r="M801" s="39"/>
      <c r="N801" s="536" t="s">
        <v>2218</v>
      </c>
    </row>
    <row r="802" spans="1:14" s="544" customFormat="1" ht="16.5" customHeight="1">
      <c r="A802" s="16"/>
      <c r="B802" s="39" t="s">
        <v>799</v>
      </c>
      <c r="C802" s="537">
        <v>1</v>
      </c>
      <c r="D802" s="539" t="s">
        <v>273</v>
      </c>
      <c r="E802" s="540">
        <v>1</v>
      </c>
      <c r="F802" s="541">
        <v>8.5</v>
      </c>
      <c r="G802" s="541">
        <v>4.95</v>
      </c>
      <c r="H802" s="541">
        <v>0</v>
      </c>
      <c r="I802" s="545">
        <f t="shared" ref="I802:I804" si="34">ROUND(IF(AND(F802:H802),C802*E802*F802*G802*H802,IF(AND(F802,G802),C802*E802*F802*G802,IF(AND(F802,H802),C802*E802*F802*H802,IF(AND(G802,H802),C802*E802*G802*H802,IF(F802,C802*E802*F802,IF(G802,C802*E802*G802,IF(H802,C802*E802*H802,C802*E802))))))),2)</f>
        <v>42.08</v>
      </c>
      <c r="J802" s="553" t="s">
        <v>102</v>
      </c>
      <c r="K802" s="39"/>
      <c r="L802" s="208"/>
      <c r="M802" s="39"/>
      <c r="N802" s="536" t="s">
        <v>2218</v>
      </c>
    </row>
    <row r="803" spans="1:14" s="544" customFormat="1" ht="16.5" customHeight="1">
      <c r="A803" s="16"/>
      <c r="B803" s="39" t="s">
        <v>813</v>
      </c>
      <c r="C803" s="537">
        <v>1</v>
      </c>
      <c r="D803" s="539" t="s">
        <v>273</v>
      </c>
      <c r="E803" s="540">
        <v>1</v>
      </c>
      <c r="F803" s="541">
        <v>5.5</v>
      </c>
      <c r="G803" s="541">
        <v>2.4</v>
      </c>
      <c r="H803" s="541">
        <v>0</v>
      </c>
      <c r="I803" s="545">
        <f t="shared" si="34"/>
        <v>13.2</v>
      </c>
      <c r="J803" s="553" t="s">
        <v>102</v>
      </c>
      <c r="K803" s="39"/>
      <c r="L803" s="208"/>
      <c r="M803" s="39"/>
      <c r="N803" s="536" t="s">
        <v>2218</v>
      </c>
    </row>
    <row r="804" spans="1:14" s="544" customFormat="1" ht="16.5" customHeight="1">
      <c r="A804" s="16"/>
      <c r="B804" s="39" t="s">
        <v>815</v>
      </c>
      <c r="C804" s="537">
        <v>1</v>
      </c>
      <c r="D804" s="539" t="s">
        <v>273</v>
      </c>
      <c r="E804" s="540">
        <v>1</v>
      </c>
      <c r="F804" s="541">
        <v>3.15</v>
      </c>
      <c r="G804" s="541">
        <v>2.85</v>
      </c>
      <c r="H804" s="541">
        <v>0</v>
      </c>
      <c r="I804" s="545">
        <f t="shared" si="34"/>
        <v>8.98</v>
      </c>
      <c r="J804" s="553" t="s">
        <v>102</v>
      </c>
      <c r="K804" s="39"/>
      <c r="L804" s="208"/>
      <c r="M804" s="39"/>
      <c r="N804" s="536" t="s">
        <v>2218</v>
      </c>
    </row>
    <row r="805" spans="1:14" s="544" customFormat="1" ht="16.5" customHeight="1">
      <c r="A805" s="16"/>
      <c r="B805" s="39" t="s">
        <v>816</v>
      </c>
      <c r="C805" s="537">
        <v>1</v>
      </c>
      <c r="D805" s="539" t="s">
        <v>273</v>
      </c>
      <c r="E805" s="540">
        <v>1</v>
      </c>
      <c r="F805" s="541">
        <v>5.45</v>
      </c>
      <c r="G805" s="541">
        <v>0</v>
      </c>
      <c r="H805" s="541">
        <v>3.2</v>
      </c>
      <c r="I805" s="545">
        <f>ROUND(IF(AND(F805:H805),C805*E805*F805*G805*H805,IF(AND(F805,G805),C805*E805*F805*G805,IF(AND(F805,H805),C805*E805*F805*H805,IF(AND(G805,H805),C805*E805*G805*H805,IF(F805,C805*E805*F805,IF(G805,C805*E805*G805,IF(H805,C805*E805*H805,C805*E805))))))),2)</f>
        <v>17.440000000000001</v>
      </c>
      <c r="J805" s="553" t="s">
        <v>102</v>
      </c>
      <c r="K805" s="39"/>
      <c r="L805" s="208"/>
      <c r="M805" s="39"/>
      <c r="N805" s="536" t="s">
        <v>2218</v>
      </c>
    </row>
    <row r="806" spans="1:14" s="544" customFormat="1" ht="16.5" customHeight="1">
      <c r="A806" s="16"/>
      <c r="B806" s="547"/>
      <c r="C806" s="548"/>
      <c r="D806" s="549"/>
      <c r="E806" s="587"/>
      <c r="F806" s="551"/>
      <c r="G806" s="551"/>
      <c r="H806" s="551"/>
      <c r="I806" s="552"/>
      <c r="J806" s="553"/>
      <c r="K806" s="39"/>
      <c r="L806" s="208"/>
      <c r="M806" s="39"/>
      <c r="N806" s="536" t="s">
        <v>2218</v>
      </c>
    </row>
    <row r="807" spans="1:14" ht="15.75">
      <c r="A807" s="16"/>
      <c r="B807" s="39"/>
      <c r="C807" s="554"/>
      <c r="D807" s="555"/>
      <c r="E807" s="540"/>
      <c r="F807" s="541"/>
      <c r="G807" s="40"/>
      <c r="H807" s="16"/>
      <c r="I807" s="552"/>
      <c r="J807" s="553" t="s">
        <v>102</v>
      </c>
      <c r="K807" s="10">
        <f>data!G796</f>
        <v>21.43</v>
      </c>
      <c r="L807" s="208" t="s">
        <v>2218</v>
      </c>
      <c r="M807" s="9">
        <f>ROUND(I807*K807,0)</f>
        <v>0</v>
      </c>
      <c r="N807" s="536" t="s">
        <v>2218</v>
      </c>
    </row>
    <row r="808" spans="1:14" ht="66" customHeight="1">
      <c r="A808" s="16">
        <v>26</v>
      </c>
      <c r="B808" s="1858" t="s">
        <v>1193</v>
      </c>
      <c r="C808" s="1858"/>
      <c r="D808" s="1858"/>
      <c r="E808" s="1858"/>
      <c r="F808" s="1858"/>
      <c r="G808" s="1858"/>
      <c r="H808" s="1858"/>
      <c r="I808" s="537"/>
      <c r="J808" s="538"/>
      <c r="K808" s="16"/>
      <c r="L808" s="208"/>
      <c r="M808" s="38"/>
      <c r="N808" s="536" t="s">
        <v>2306</v>
      </c>
    </row>
    <row r="809" spans="1:14" s="544" customFormat="1" ht="16.5" customHeight="1">
      <c r="A809" s="16"/>
      <c r="B809" s="39" t="s">
        <v>2866</v>
      </c>
      <c r="C809" s="566"/>
      <c r="D809" s="567"/>
      <c r="E809" s="568"/>
      <c r="F809" s="569"/>
      <c r="G809" s="569"/>
      <c r="H809" s="570"/>
      <c r="I809" s="571"/>
      <c r="J809" s="553"/>
      <c r="K809" s="39"/>
      <c r="L809" s="208"/>
      <c r="M809" s="39"/>
      <c r="N809" s="536" t="s">
        <v>2306</v>
      </c>
    </row>
    <row r="810" spans="1:14" s="544" customFormat="1" ht="16.5" customHeight="1">
      <c r="A810" s="16"/>
      <c r="B810" s="39" t="s">
        <v>799</v>
      </c>
      <c r="C810" s="537">
        <v>1</v>
      </c>
      <c r="D810" s="539" t="s">
        <v>273</v>
      </c>
      <c r="E810" s="540">
        <v>1</v>
      </c>
      <c r="F810" s="541">
        <v>8.5</v>
      </c>
      <c r="G810" s="541">
        <v>4.95</v>
      </c>
      <c r="H810" s="541">
        <v>0</v>
      </c>
      <c r="I810" s="545">
        <f>ROUND(IF(AND(F810:H810),C810*E810*F810*G810*H810,IF(AND(F810,G810),C810*E810*F810*G810,IF(AND(F810,H810),C810*E810*F810*H810,IF(AND(G810,H810),C810*E810*G810*H810,IF(F810,C810*E810*F810,IF(G810,C810*E810*G810,IF(H810,C810*E810*H810,C810*E810))))))),2)</f>
        <v>42.08</v>
      </c>
      <c r="J810" s="553" t="s">
        <v>102</v>
      </c>
      <c r="K810" s="39"/>
      <c r="L810" s="208"/>
      <c r="M810" s="39"/>
      <c r="N810" s="536" t="s">
        <v>2306</v>
      </c>
    </row>
    <row r="811" spans="1:14" s="544" customFormat="1" ht="16.5" customHeight="1">
      <c r="A811" s="16"/>
      <c r="B811" s="39" t="s">
        <v>813</v>
      </c>
      <c r="C811" s="537">
        <v>1</v>
      </c>
      <c r="D811" s="539" t="s">
        <v>273</v>
      </c>
      <c r="E811" s="540">
        <v>1</v>
      </c>
      <c r="F811" s="541">
        <v>5.5</v>
      </c>
      <c r="G811" s="541">
        <v>2.4</v>
      </c>
      <c r="H811" s="541">
        <v>0</v>
      </c>
      <c r="I811" s="545">
        <f>ROUND(IF(AND(F811:H811),C811*E811*F811*G811*H811,IF(AND(F811,G811),C811*E811*F811*G811,IF(AND(F811,H811),C811*E811*F811*H811,IF(AND(G811,H811),C811*E811*G811*H811,IF(F811,C811*E811*F811,IF(G811,C811*E811*G811,IF(H811,C811*E811*H811,C811*E811))))))),2)</f>
        <v>13.2</v>
      </c>
      <c r="J811" s="553" t="s">
        <v>102</v>
      </c>
      <c r="K811" s="39"/>
      <c r="L811" s="208"/>
      <c r="M811" s="39"/>
      <c r="N811" s="536" t="s">
        <v>2306</v>
      </c>
    </row>
    <row r="812" spans="1:14" s="544" customFormat="1" ht="16.5" customHeight="1">
      <c r="A812" s="16"/>
      <c r="B812" s="39" t="s">
        <v>815</v>
      </c>
      <c r="C812" s="537">
        <v>1</v>
      </c>
      <c r="D812" s="539" t="s">
        <v>273</v>
      </c>
      <c r="E812" s="540">
        <v>1</v>
      </c>
      <c r="F812" s="541">
        <v>3.15</v>
      </c>
      <c r="G812" s="541">
        <v>2.85</v>
      </c>
      <c r="H812" s="541">
        <v>0</v>
      </c>
      <c r="I812" s="545">
        <f>ROUND(IF(AND(F812:H812),C812*E812*F812*G812*H812,IF(AND(F812,G812),C812*E812*F812*G812,IF(AND(F812,H812),C812*E812*F812*H812,IF(AND(G812,H812),C812*E812*G812*H812,IF(F812,C812*E812*F812,IF(G812,C812*E812*G812,IF(H812,C812*E812*H812,C812*E812))))))),2)</f>
        <v>8.98</v>
      </c>
      <c r="J812" s="553" t="s">
        <v>102</v>
      </c>
      <c r="K812" s="39"/>
      <c r="L812" s="208"/>
      <c r="M812" s="39"/>
      <c r="N812" s="536" t="s">
        <v>2306</v>
      </c>
    </row>
    <row r="813" spans="1:14" s="544" customFormat="1" ht="16.5" customHeight="1">
      <c r="A813" s="16"/>
      <c r="B813" s="39" t="s">
        <v>816</v>
      </c>
      <c r="C813" s="537">
        <v>1</v>
      </c>
      <c r="D813" s="539" t="s">
        <v>273</v>
      </c>
      <c r="E813" s="540">
        <v>1</v>
      </c>
      <c r="F813" s="541">
        <v>5.45</v>
      </c>
      <c r="G813" s="541">
        <v>0</v>
      </c>
      <c r="H813" s="541">
        <v>3.2</v>
      </c>
      <c r="I813" s="545">
        <f>ROUND(IF(AND(F813:H813),C813*E813*F813*G813*H813,IF(AND(F813,G813),C813*E813*F813*G813,IF(AND(F813,H813),C813*E813*F813*H813,IF(AND(G813,H813),C813*E813*G813*H813,IF(F813,C813*E813*F813,IF(G813,C813*E813*G813,IF(H813,C813*E813*H813,C813*E813))))))),2)</f>
        <v>17.440000000000001</v>
      </c>
      <c r="J813" s="553" t="s">
        <v>102</v>
      </c>
      <c r="K813" s="39"/>
      <c r="L813" s="208"/>
      <c r="M813" s="39"/>
      <c r="N813" s="536" t="s">
        <v>2306</v>
      </c>
    </row>
    <row r="814" spans="1:14" s="544" customFormat="1" ht="16.5" customHeight="1">
      <c r="A814" s="16"/>
      <c r="B814" s="547"/>
      <c r="C814" s="548"/>
      <c r="D814" s="549"/>
      <c r="E814" s="587"/>
      <c r="F814" s="551"/>
      <c r="G814" s="551"/>
      <c r="H814" s="551"/>
      <c r="I814" s="552"/>
      <c r="J814" s="553"/>
      <c r="K814" s="39"/>
      <c r="L814" s="208"/>
      <c r="M814" s="39"/>
      <c r="N814" s="536" t="s">
        <v>2306</v>
      </c>
    </row>
    <row r="815" spans="1:14" ht="15.75">
      <c r="A815" s="16"/>
      <c r="B815" s="39"/>
      <c r="C815" s="554"/>
      <c r="D815" s="555"/>
      <c r="E815" s="540"/>
      <c r="F815" s="541"/>
      <c r="G815" s="40"/>
      <c r="H815" s="16"/>
      <c r="I815" s="552"/>
      <c r="J815" s="553" t="s">
        <v>102</v>
      </c>
      <c r="K815" s="10">
        <f>data!G1713</f>
        <v>22.88</v>
      </c>
      <c r="L815" s="208" t="s">
        <v>2306</v>
      </c>
      <c r="M815" s="9">
        <f>ROUND(I815*K815,0)</f>
        <v>0</v>
      </c>
      <c r="N815" s="536" t="s">
        <v>2306</v>
      </c>
    </row>
    <row r="816" spans="1:14" ht="66" customHeight="1">
      <c r="A816" s="16">
        <v>26</v>
      </c>
      <c r="B816" s="1858" t="s">
        <v>1193</v>
      </c>
      <c r="C816" s="1858"/>
      <c r="D816" s="1858"/>
      <c r="E816" s="1858"/>
      <c r="F816" s="1858"/>
      <c r="G816" s="1858"/>
      <c r="H816" s="1858"/>
      <c r="I816" s="537"/>
      <c r="J816" s="538"/>
      <c r="K816" s="16"/>
      <c r="L816" s="208"/>
      <c r="M816" s="38"/>
      <c r="N816" s="536" t="s">
        <v>2317</v>
      </c>
    </row>
    <row r="817" spans="1:14" s="544" customFormat="1" ht="16.5" customHeight="1">
      <c r="A817" s="16"/>
      <c r="B817" s="39" t="s">
        <v>2866</v>
      </c>
      <c r="C817" s="566"/>
      <c r="D817" s="567"/>
      <c r="E817" s="568"/>
      <c r="F817" s="569"/>
      <c r="G817" s="569"/>
      <c r="H817" s="570"/>
      <c r="I817" s="571"/>
      <c r="J817" s="553"/>
      <c r="K817" s="39"/>
      <c r="L817" s="208"/>
      <c r="M817" s="39"/>
      <c r="N817" s="536" t="s">
        <v>2317</v>
      </c>
    </row>
    <row r="818" spans="1:14" s="544" customFormat="1" ht="16.5" customHeight="1">
      <c r="A818" s="16"/>
      <c r="B818" s="39" t="s">
        <v>799</v>
      </c>
      <c r="C818" s="537">
        <v>1</v>
      </c>
      <c r="D818" s="539" t="s">
        <v>273</v>
      </c>
      <c r="E818" s="540">
        <v>1</v>
      </c>
      <c r="F818" s="541">
        <v>8.5</v>
      </c>
      <c r="G818" s="541">
        <v>4.95</v>
      </c>
      <c r="H818" s="541">
        <v>0</v>
      </c>
      <c r="I818" s="545">
        <f>ROUND(IF(AND(F818:H818),C818*E818*F818*G818*H818,IF(AND(F818,G818),C818*E818*F818*G818,IF(AND(F818,H818),C818*E818*F818*H818,IF(AND(G818,H818),C818*E818*G818*H818,IF(F818,C818*E818*F818,IF(G818,C818*E818*G818,IF(H818,C818*E818*H818,C818*E818))))))),2)</f>
        <v>42.08</v>
      </c>
      <c r="J818" s="553" t="s">
        <v>102</v>
      </c>
      <c r="K818" s="39"/>
      <c r="L818" s="208"/>
      <c r="M818" s="39"/>
      <c r="N818" s="536" t="s">
        <v>2317</v>
      </c>
    </row>
    <row r="819" spans="1:14" s="544" customFormat="1" ht="16.5" customHeight="1">
      <c r="A819" s="16"/>
      <c r="B819" s="39" t="s">
        <v>813</v>
      </c>
      <c r="C819" s="537">
        <v>1</v>
      </c>
      <c r="D819" s="539" t="s">
        <v>273</v>
      </c>
      <c r="E819" s="540">
        <v>1</v>
      </c>
      <c r="F819" s="541">
        <v>5.5</v>
      </c>
      <c r="G819" s="541">
        <v>2.4</v>
      </c>
      <c r="H819" s="541">
        <v>0</v>
      </c>
      <c r="I819" s="545">
        <f>ROUND(IF(AND(F819:H819),C819*E819*F819*G819*H819,IF(AND(F819,G819),C819*E819*F819*G819,IF(AND(F819,H819),C819*E819*F819*H819,IF(AND(G819,H819),C819*E819*G819*H819,IF(F819,C819*E819*F819,IF(G819,C819*E819*G819,IF(H819,C819*E819*H819,C819*E819))))))),2)</f>
        <v>13.2</v>
      </c>
      <c r="J819" s="553" t="s">
        <v>102</v>
      </c>
      <c r="K819" s="39"/>
      <c r="L819" s="208"/>
      <c r="M819" s="39"/>
      <c r="N819" s="536" t="s">
        <v>2317</v>
      </c>
    </row>
    <row r="820" spans="1:14" s="544" customFormat="1" ht="16.5" customHeight="1">
      <c r="A820" s="16"/>
      <c r="B820" s="39" t="s">
        <v>815</v>
      </c>
      <c r="C820" s="537">
        <v>1</v>
      </c>
      <c r="D820" s="539" t="s">
        <v>273</v>
      </c>
      <c r="E820" s="540">
        <v>1</v>
      </c>
      <c r="F820" s="541">
        <v>3.15</v>
      </c>
      <c r="G820" s="541">
        <v>2.85</v>
      </c>
      <c r="H820" s="541">
        <v>0</v>
      </c>
      <c r="I820" s="545">
        <f>ROUND(IF(AND(F820:H820),C820*E820*F820*G820*H820,IF(AND(F820,G820),C820*E820*F820*G820,IF(AND(F820,H820),C820*E820*F820*H820,IF(AND(G820,H820),C820*E820*G820*H820,IF(F820,C820*E820*F820,IF(G820,C820*E820*G820,IF(H820,C820*E820*H820,C820*E820))))))),2)</f>
        <v>8.98</v>
      </c>
      <c r="J820" s="553" t="s">
        <v>102</v>
      </c>
      <c r="K820" s="39"/>
      <c r="L820" s="208"/>
      <c r="M820" s="39"/>
      <c r="N820" s="536" t="s">
        <v>2317</v>
      </c>
    </row>
    <row r="821" spans="1:14" s="544" customFormat="1" ht="16.5" customHeight="1">
      <c r="A821" s="16"/>
      <c r="B821" s="39" t="s">
        <v>816</v>
      </c>
      <c r="C821" s="537">
        <v>1</v>
      </c>
      <c r="D821" s="539" t="s">
        <v>273</v>
      </c>
      <c r="E821" s="540">
        <v>1</v>
      </c>
      <c r="F821" s="541">
        <v>5.45</v>
      </c>
      <c r="G821" s="541">
        <v>0</v>
      </c>
      <c r="H821" s="541">
        <v>3.2</v>
      </c>
      <c r="I821" s="545">
        <f>ROUND(IF(AND(F821:H821),C821*E821*F821*G821*H821,IF(AND(F821,G821),C821*E821*F821*G821,IF(AND(F821,H821),C821*E821*F821*H821,IF(AND(G821,H821),C821*E821*G821*H821,IF(F821,C821*E821*F821,IF(G821,C821*E821*G821,IF(H821,C821*E821*H821,C821*E821))))))),2)</f>
        <v>17.440000000000001</v>
      </c>
      <c r="J821" s="553" t="s">
        <v>102</v>
      </c>
      <c r="K821" s="39"/>
      <c r="L821" s="208"/>
      <c r="M821" s="39"/>
      <c r="N821" s="536" t="s">
        <v>2317</v>
      </c>
    </row>
    <row r="822" spans="1:14" s="544" customFormat="1" ht="16.5" customHeight="1">
      <c r="A822" s="16"/>
      <c r="B822" s="547"/>
      <c r="C822" s="548"/>
      <c r="D822" s="549"/>
      <c r="E822" s="587"/>
      <c r="F822" s="551"/>
      <c r="G822" s="551"/>
      <c r="H822" s="551"/>
      <c r="I822" s="552"/>
      <c r="J822" s="553"/>
      <c r="K822" s="39"/>
      <c r="L822" s="208"/>
      <c r="M822" s="39"/>
      <c r="N822" s="536" t="s">
        <v>2317</v>
      </c>
    </row>
    <row r="823" spans="1:14" ht="15.75">
      <c r="A823" s="16"/>
      <c r="B823" s="39"/>
      <c r="C823" s="554"/>
      <c r="D823" s="555"/>
      <c r="E823" s="540"/>
      <c r="F823" s="541"/>
      <c r="G823" s="40"/>
      <c r="H823" s="16"/>
      <c r="I823" s="552"/>
      <c r="J823" s="553" t="s">
        <v>102</v>
      </c>
      <c r="K823" s="10">
        <f>data!G2630</f>
        <v>25.95</v>
      </c>
      <c r="L823" s="208" t="s">
        <v>2317</v>
      </c>
      <c r="M823" s="9">
        <f>ROUND(I823*K823,0)</f>
        <v>0</v>
      </c>
      <c r="N823" s="536" t="s">
        <v>2317</v>
      </c>
    </row>
    <row r="824" spans="1:14" ht="66" customHeight="1">
      <c r="A824" s="16">
        <v>26</v>
      </c>
      <c r="B824" s="1858" t="s">
        <v>1193</v>
      </c>
      <c r="C824" s="1858"/>
      <c r="D824" s="1858"/>
      <c r="E824" s="1858"/>
      <c r="F824" s="1858"/>
      <c r="G824" s="1858"/>
      <c r="H824" s="1858"/>
      <c r="I824" s="537"/>
      <c r="J824" s="538"/>
      <c r="K824" s="16"/>
      <c r="L824" s="208"/>
      <c r="M824" s="38"/>
      <c r="N824" s="536" t="s">
        <v>2318</v>
      </c>
    </row>
    <row r="825" spans="1:14" s="544" customFormat="1" ht="16.5" customHeight="1">
      <c r="A825" s="16"/>
      <c r="B825" s="39" t="s">
        <v>2866</v>
      </c>
      <c r="C825" s="566"/>
      <c r="D825" s="567"/>
      <c r="E825" s="568"/>
      <c r="F825" s="569"/>
      <c r="G825" s="569"/>
      <c r="H825" s="570"/>
      <c r="I825" s="571"/>
      <c r="J825" s="553"/>
      <c r="K825" s="39"/>
      <c r="L825" s="208"/>
      <c r="M825" s="39"/>
      <c r="N825" s="536" t="s">
        <v>2318</v>
      </c>
    </row>
    <row r="826" spans="1:14" s="544" customFormat="1" ht="16.5" customHeight="1">
      <c r="A826" s="16"/>
      <c r="B826" s="39" t="s">
        <v>799</v>
      </c>
      <c r="C826" s="537">
        <v>1</v>
      </c>
      <c r="D826" s="539" t="s">
        <v>273</v>
      </c>
      <c r="E826" s="540">
        <v>1</v>
      </c>
      <c r="F826" s="541">
        <v>8.5</v>
      </c>
      <c r="G826" s="541">
        <v>4.95</v>
      </c>
      <c r="H826" s="541">
        <v>0</v>
      </c>
      <c r="I826" s="545">
        <f>ROUND(IF(AND(F826:H826),C826*E826*F826*G826*H826,IF(AND(F826,G826),C826*E826*F826*G826,IF(AND(F826,H826),C826*E826*F826*H826,IF(AND(G826,H826),C826*E826*G826*H826,IF(F826,C826*E826*F826,IF(G826,C826*E826*G826,IF(H826,C826*E826*H826,C826*E826))))))),2)</f>
        <v>42.08</v>
      </c>
      <c r="J826" s="553" t="s">
        <v>102</v>
      </c>
      <c r="K826" s="39"/>
      <c r="L826" s="208"/>
      <c r="M826" s="39"/>
      <c r="N826" s="536" t="s">
        <v>2318</v>
      </c>
    </row>
    <row r="827" spans="1:14" s="544" customFormat="1" ht="16.5" customHeight="1">
      <c r="A827" s="16"/>
      <c r="B827" s="39" t="s">
        <v>813</v>
      </c>
      <c r="C827" s="537">
        <v>1</v>
      </c>
      <c r="D827" s="539" t="s">
        <v>273</v>
      </c>
      <c r="E827" s="540">
        <v>1</v>
      </c>
      <c r="F827" s="541">
        <v>5.5</v>
      </c>
      <c r="G827" s="541">
        <v>2.4</v>
      </c>
      <c r="H827" s="541">
        <v>0</v>
      </c>
      <c r="I827" s="545">
        <f>ROUND(IF(AND(F827:H827),C827*E827*F827*G827*H827,IF(AND(F827,G827),C827*E827*F827*G827,IF(AND(F827,H827),C827*E827*F827*H827,IF(AND(G827,H827),C827*E827*G827*H827,IF(F827,C827*E827*F827,IF(G827,C827*E827*G827,IF(H827,C827*E827*H827,C827*E827))))))),2)</f>
        <v>13.2</v>
      </c>
      <c r="J827" s="553" t="s">
        <v>102</v>
      </c>
      <c r="K827" s="39"/>
      <c r="L827" s="208"/>
      <c r="M827" s="39"/>
      <c r="N827" s="536" t="s">
        <v>2318</v>
      </c>
    </row>
    <row r="828" spans="1:14" s="544" customFormat="1" ht="16.5" customHeight="1">
      <c r="A828" s="16"/>
      <c r="B828" s="39" t="s">
        <v>815</v>
      </c>
      <c r="C828" s="537">
        <v>1</v>
      </c>
      <c r="D828" s="539" t="s">
        <v>273</v>
      </c>
      <c r="E828" s="540">
        <v>1</v>
      </c>
      <c r="F828" s="541">
        <v>3.15</v>
      </c>
      <c r="G828" s="541">
        <v>2.85</v>
      </c>
      <c r="H828" s="541">
        <v>0</v>
      </c>
      <c r="I828" s="545">
        <f>ROUND(IF(AND(F828:H828),C828*E828*F828*G828*H828,IF(AND(F828,G828),C828*E828*F828*G828,IF(AND(F828,H828),C828*E828*F828*H828,IF(AND(G828,H828),C828*E828*G828*H828,IF(F828,C828*E828*F828,IF(G828,C828*E828*G828,IF(H828,C828*E828*H828,C828*E828))))))),2)</f>
        <v>8.98</v>
      </c>
      <c r="J828" s="553" t="s">
        <v>102</v>
      </c>
      <c r="K828" s="39"/>
      <c r="L828" s="208"/>
      <c r="M828" s="39"/>
      <c r="N828" s="536" t="s">
        <v>2318</v>
      </c>
    </row>
    <row r="829" spans="1:14" s="544" customFormat="1" ht="16.5" customHeight="1">
      <c r="A829" s="16"/>
      <c r="B829" s="39" t="s">
        <v>816</v>
      </c>
      <c r="C829" s="537">
        <v>1</v>
      </c>
      <c r="D829" s="539" t="s">
        <v>273</v>
      </c>
      <c r="E829" s="540">
        <v>1</v>
      </c>
      <c r="F829" s="541">
        <v>5.45</v>
      </c>
      <c r="G829" s="541">
        <v>0</v>
      </c>
      <c r="H829" s="541">
        <v>3.2</v>
      </c>
      <c r="I829" s="545">
        <f>ROUND(IF(AND(F829:H829),C829*E829*F829*G829*H829,IF(AND(F829,G829),C829*E829*F829*G829,IF(AND(F829,H829),C829*E829*F829*H829,IF(AND(G829,H829),C829*E829*G829*H829,IF(F829,C829*E829*F829,IF(G829,C829*E829*G829,IF(H829,C829*E829*H829,C829*E829))))))),2)</f>
        <v>17.440000000000001</v>
      </c>
      <c r="J829" s="553" t="s">
        <v>102</v>
      </c>
      <c r="K829" s="39"/>
      <c r="L829" s="208"/>
      <c r="M829" s="39"/>
      <c r="N829" s="536" t="s">
        <v>2318</v>
      </c>
    </row>
    <row r="830" spans="1:14" s="544" customFormat="1" ht="16.5" customHeight="1">
      <c r="A830" s="16"/>
      <c r="B830" s="547"/>
      <c r="C830" s="548"/>
      <c r="D830" s="549"/>
      <c r="E830" s="587"/>
      <c r="F830" s="551"/>
      <c r="G830" s="551"/>
      <c r="H830" s="551"/>
      <c r="I830" s="552"/>
      <c r="J830" s="553"/>
      <c r="K830" s="39"/>
      <c r="L830" s="208"/>
      <c r="M830" s="39"/>
      <c r="N830" s="536" t="s">
        <v>2318</v>
      </c>
    </row>
    <row r="831" spans="1:14" ht="15.75">
      <c r="A831" s="16"/>
      <c r="B831" s="39"/>
      <c r="C831" s="554"/>
      <c r="D831" s="555"/>
      <c r="E831" s="540"/>
      <c r="F831" s="541"/>
      <c r="G831" s="40"/>
      <c r="H831" s="16"/>
      <c r="I831" s="552"/>
      <c r="J831" s="553" t="s">
        <v>102</v>
      </c>
      <c r="K831" s="10">
        <f>data!G3547</f>
        <v>27.91</v>
      </c>
      <c r="L831" s="208" t="s">
        <v>2318</v>
      </c>
      <c r="M831" s="9">
        <f>ROUND(I831*K831,0)</f>
        <v>0</v>
      </c>
      <c r="N831" s="536" t="s">
        <v>2318</v>
      </c>
    </row>
    <row r="832" spans="1:14" ht="117.75" customHeight="1">
      <c r="A832" s="16">
        <v>9</v>
      </c>
      <c r="B832" s="1858" t="s">
        <v>891</v>
      </c>
      <c r="C832" s="1858"/>
      <c r="D832" s="1858"/>
      <c r="E832" s="1858"/>
      <c r="F832" s="1858"/>
      <c r="G832" s="1858"/>
      <c r="H832" s="1858"/>
      <c r="I832" s="537"/>
      <c r="J832" s="538"/>
      <c r="K832" s="16"/>
      <c r="L832" s="208"/>
      <c r="M832" s="38"/>
      <c r="N832" s="536" t="s">
        <v>2218</v>
      </c>
    </row>
    <row r="833" spans="1:14" s="544" customFormat="1" ht="16.5" customHeight="1">
      <c r="A833" s="16"/>
      <c r="B833" s="39" t="s">
        <v>3113</v>
      </c>
      <c r="C833" s="561"/>
      <c r="D833" s="1145" t="s">
        <v>3336</v>
      </c>
      <c r="E833" s="563"/>
      <c r="F833" s="564"/>
      <c r="G833" s="564"/>
      <c r="H833" s="564"/>
      <c r="I833" s="565"/>
      <c r="J833" s="553"/>
      <c r="K833" s="39"/>
      <c r="L833" s="208"/>
      <c r="M833" s="39"/>
      <c r="N833" s="536" t="s">
        <v>2218</v>
      </c>
    </row>
    <row r="834" spans="1:14" s="544" customFormat="1" ht="16.5" customHeight="1">
      <c r="A834" s="16"/>
      <c r="B834" s="39"/>
      <c r="C834" s="537">
        <v>1</v>
      </c>
      <c r="D834" s="539" t="s">
        <v>273</v>
      </c>
      <c r="E834" s="540">
        <v>2</v>
      </c>
      <c r="F834" s="541">
        <v>2.72</v>
      </c>
      <c r="G834" s="541">
        <v>0</v>
      </c>
      <c r="H834" s="541">
        <v>2.38</v>
      </c>
      <c r="I834" s="545">
        <f t="shared" ref="I834:I835" si="35">ROUND(IF(AND(F834:H834),C834*E834*F834*G834*H834,IF(AND(F834,G834),C834*E834*F834*G834,IF(AND(F834,H834),C834*E834*F834*H834,IF(AND(G834,H834),C834*E834*G834*H834,IF(F834,C834*E834*F834,IF(G834,C834*E834*G834,IF(H834,C834*E834*H834,C834*E834))))))),2)</f>
        <v>12.95</v>
      </c>
      <c r="J834" s="553" t="s">
        <v>102</v>
      </c>
      <c r="K834" s="39"/>
      <c r="L834" s="208"/>
      <c r="M834" s="39"/>
      <c r="N834" s="536" t="s">
        <v>2218</v>
      </c>
    </row>
    <row r="835" spans="1:14" s="544" customFormat="1" ht="16.5" customHeight="1">
      <c r="A835" s="16"/>
      <c r="B835" s="39"/>
      <c r="C835" s="537">
        <v>1</v>
      </c>
      <c r="D835" s="539" t="s">
        <v>273</v>
      </c>
      <c r="E835" s="540">
        <v>2</v>
      </c>
      <c r="F835" s="541">
        <v>3.16</v>
      </c>
      <c r="G835" s="541">
        <v>0</v>
      </c>
      <c r="H835" s="541">
        <v>2.38</v>
      </c>
      <c r="I835" s="545">
        <f t="shared" si="35"/>
        <v>15.04</v>
      </c>
      <c r="J835" s="553" t="s">
        <v>102</v>
      </c>
      <c r="K835" s="39"/>
      <c r="L835" s="208"/>
      <c r="M835" s="39"/>
      <c r="N835" s="536" t="s">
        <v>2218</v>
      </c>
    </row>
    <row r="836" spans="1:14" s="544" customFormat="1" ht="16.5" customHeight="1">
      <c r="A836" s="16"/>
      <c r="B836" s="39" t="s">
        <v>579</v>
      </c>
      <c r="C836" s="537">
        <v>1</v>
      </c>
      <c r="D836" s="539" t="s">
        <v>273</v>
      </c>
      <c r="E836" s="540">
        <v>1</v>
      </c>
      <c r="F836" s="541">
        <v>0.9</v>
      </c>
      <c r="G836" s="541">
        <v>0</v>
      </c>
      <c r="H836" s="541">
        <v>2.1</v>
      </c>
      <c r="I836" s="545">
        <f>-ROUND(IF(AND(F836:H836),C836*E836*F836*G836*H836,IF(AND(F836,G836),C836*E836*F836*G836,IF(AND(F836,H836),C836*E836*F836*H836,IF(AND(G836,H836),C836*E836*G836*H836,IF(F836,C836*E836*F836,IF(G836,C836*E836*G836,IF(H836,C836*E836*H836,C836*E836))))))),2)</f>
        <v>-1.89</v>
      </c>
      <c r="J836" s="553" t="s">
        <v>102</v>
      </c>
      <c r="K836" s="39"/>
      <c r="L836" s="208"/>
      <c r="M836" s="39"/>
      <c r="N836" s="536" t="s">
        <v>2218</v>
      </c>
    </row>
    <row r="837" spans="1:14" s="544" customFormat="1" ht="16.5" customHeight="1">
      <c r="A837" s="16"/>
      <c r="B837" s="39" t="s">
        <v>579</v>
      </c>
      <c r="C837" s="537">
        <v>1</v>
      </c>
      <c r="D837" s="539" t="s">
        <v>273</v>
      </c>
      <c r="E837" s="540">
        <v>1</v>
      </c>
      <c r="F837" s="541">
        <v>1.2</v>
      </c>
      <c r="G837" s="541">
        <v>0</v>
      </c>
      <c r="H837" s="541">
        <v>1.1000000000000001</v>
      </c>
      <c r="I837" s="545">
        <f>-ROUND(IF(AND(F837:H837),C837*E837*F837*G837*H837,IF(AND(F837,G837),C837*E837*F837*G837,IF(AND(F837,H837),C837*E837*F837*H837,IF(AND(G837,H837),C837*E837*G837*H837,IF(F837,C837*E837*F837,IF(G837,C837*E837*G837,IF(H837,C837*E837*H837,C837*E837))))))),2)</f>
        <v>-1.32</v>
      </c>
      <c r="J837" s="553" t="s">
        <v>102</v>
      </c>
      <c r="K837" s="39"/>
      <c r="L837" s="208"/>
      <c r="M837" s="39"/>
      <c r="N837" s="536" t="s">
        <v>2218</v>
      </c>
    </row>
    <row r="838" spans="1:14" s="544" customFormat="1" ht="16.5" customHeight="1">
      <c r="A838" s="16"/>
      <c r="B838" s="547"/>
      <c r="C838" s="548"/>
      <c r="D838" s="549"/>
      <c r="E838" s="587"/>
      <c r="F838" s="551"/>
      <c r="G838" s="551"/>
      <c r="H838" s="551"/>
      <c r="I838" s="552"/>
      <c r="J838" s="553"/>
      <c r="K838" s="39"/>
      <c r="L838" s="208"/>
      <c r="M838" s="39"/>
      <c r="N838" s="536" t="s">
        <v>2218</v>
      </c>
    </row>
    <row r="839" spans="1:14" ht="15.75">
      <c r="A839" s="16"/>
      <c r="B839" s="39"/>
      <c r="C839" s="554"/>
      <c r="D839" s="555"/>
      <c r="E839" s="540"/>
      <c r="F839" s="541"/>
      <c r="G839" s="40"/>
      <c r="H839" s="16"/>
      <c r="I839" s="552"/>
      <c r="J839" s="553" t="s">
        <v>102</v>
      </c>
      <c r="K839" s="10">
        <f>data!G811</f>
        <v>164.74</v>
      </c>
      <c r="L839" s="208" t="s">
        <v>2218</v>
      </c>
      <c r="M839" s="9">
        <f>ROUND(I839*K839,0)</f>
        <v>0</v>
      </c>
      <c r="N839" s="536" t="s">
        <v>2218</v>
      </c>
    </row>
    <row r="840" spans="1:14" ht="117.75" customHeight="1">
      <c r="A840" s="16">
        <v>10</v>
      </c>
      <c r="B840" s="1858" t="s">
        <v>891</v>
      </c>
      <c r="C840" s="1858"/>
      <c r="D840" s="1858"/>
      <c r="E840" s="1858"/>
      <c r="F840" s="1858"/>
      <c r="G840" s="1858"/>
      <c r="H840" s="1858"/>
      <c r="I840" s="537"/>
      <c r="J840" s="538"/>
      <c r="K840" s="16"/>
      <c r="L840" s="208"/>
      <c r="M840" s="38"/>
      <c r="N840" s="536" t="s">
        <v>2306</v>
      </c>
    </row>
    <row r="841" spans="1:14" s="544" customFormat="1" ht="16.5" customHeight="1">
      <c r="A841" s="16"/>
      <c r="B841" s="39" t="s">
        <v>2822</v>
      </c>
      <c r="C841" s="537"/>
      <c r="D841" s="539"/>
      <c r="E841" s="540"/>
      <c r="F841" s="541"/>
      <c r="G841" s="541"/>
      <c r="H841" s="541"/>
      <c r="I841" s="542"/>
      <c r="J841" s="553"/>
      <c r="K841" s="39"/>
      <c r="L841" s="208"/>
      <c r="M841" s="39"/>
      <c r="N841" s="536" t="s">
        <v>2306</v>
      </c>
    </row>
    <row r="842" spans="1:14" s="544" customFormat="1" ht="16.5" customHeight="1">
      <c r="A842" s="16"/>
      <c r="B842" s="39" t="s">
        <v>1545</v>
      </c>
      <c r="C842" s="537">
        <v>1</v>
      </c>
      <c r="D842" s="539" t="s">
        <v>273</v>
      </c>
      <c r="E842" s="540">
        <v>2</v>
      </c>
      <c r="F842" s="541">
        <v>4.37</v>
      </c>
      <c r="G842" s="541">
        <v>0</v>
      </c>
      <c r="H842" s="541">
        <v>2.65</v>
      </c>
      <c r="I842" s="579">
        <f>ROUND(IF(AND(F842:H842),C842*E842*F842*G842*H842,IF(AND(F842,G842),C842*E842*F842*G842,IF(AND(F842,H842),C842*E842*F842*H842,IF(AND(G842,H842),C842*E842*G842*H842,IF(F842,C842*E842*F842,IF(G842,C842*E842*G842,IF(H842,C842*E842*H842,C842*E842))))))),2)</f>
        <v>23.16</v>
      </c>
      <c r="J842" s="553" t="s">
        <v>102</v>
      </c>
      <c r="K842" s="39"/>
      <c r="L842" s="208"/>
      <c r="M842" s="39"/>
      <c r="N842" s="536" t="s">
        <v>2306</v>
      </c>
    </row>
    <row r="843" spans="1:14" s="544" customFormat="1" ht="16.5" customHeight="1">
      <c r="A843" s="16"/>
      <c r="B843" s="39" t="s">
        <v>1546</v>
      </c>
      <c r="C843" s="537">
        <v>1</v>
      </c>
      <c r="D843" s="539" t="s">
        <v>273</v>
      </c>
      <c r="E843" s="540">
        <v>2</v>
      </c>
      <c r="F843" s="541">
        <v>2.94</v>
      </c>
      <c r="G843" s="541">
        <v>0</v>
      </c>
      <c r="H843" s="541">
        <v>2.65</v>
      </c>
      <c r="I843" s="579">
        <f>ROUND(IF(AND(F843:H843),C843*E843*F843*G843*H843,IF(AND(F843,G843),C843*E843*F843*G843,IF(AND(F843,H843),C843*E843*F843*H843,IF(AND(G843,H843),C843*E843*G843*H843,IF(F843,C843*E843*F843,IF(G843,C843*E843*G843,IF(H843,C843*E843*H843,C843*E843))))))),2)</f>
        <v>15.58</v>
      </c>
      <c r="J843" s="553" t="s">
        <v>102</v>
      </c>
      <c r="K843" s="39"/>
      <c r="L843" s="208"/>
      <c r="M843" s="39"/>
      <c r="N843" s="536" t="s">
        <v>2306</v>
      </c>
    </row>
    <row r="844" spans="1:14" s="544" customFormat="1" ht="16.5" customHeight="1">
      <c r="A844" s="16"/>
      <c r="B844" s="39" t="s">
        <v>1535</v>
      </c>
      <c r="C844" s="537">
        <v>1</v>
      </c>
      <c r="D844" s="539" t="s">
        <v>273</v>
      </c>
      <c r="E844" s="540">
        <v>1</v>
      </c>
      <c r="F844" s="541">
        <v>1.2</v>
      </c>
      <c r="G844" s="541">
        <v>0</v>
      </c>
      <c r="H844" s="541">
        <v>1.2</v>
      </c>
      <c r="I844" s="579">
        <f>-ROUND(IF(AND(F844:H844),C844*E844*F844*G844*H844,IF(AND(F844,G844),C844*E844*F844*G844,IF(AND(F844,H844),C844*E844*F844*H844,IF(AND(G844,H844),C844*E844*G844*H844,IF(F844,C844*E844*F844,IF(G844,C844*E844*G844,IF(H844,C844*E844*H844,C844*E844))))))),2)</f>
        <v>-1.44</v>
      </c>
      <c r="J844" s="553" t="s">
        <v>102</v>
      </c>
      <c r="K844" s="39"/>
      <c r="L844" s="208"/>
      <c r="M844" s="39"/>
      <c r="N844" s="536" t="s">
        <v>2306</v>
      </c>
    </row>
    <row r="845" spans="1:14" s="544" customFormat="1" ht="16.5" customHeight="1">
      <c r="A845" s="16"/>
      <c r="B845" s="39" t="s">
        <v>579</v>
      </c>
      <c r="C845" s="537">
        <v>1</v>
      </c>
      <c r="D845" s="539" t="s">
        <v>273</v>
      </c>
      <c r="E845" s="540">
        <v>1</v>
      </c>
      <c r="F845" s="541">
        <v>0.9</v>
      </c>
      <c r="G845" s="541">
        <v>0</v>
      </c>
      <c r="H845" s="541">
        <v>2.08</v>
      </c>
      <c r="I845" s="579">
        <f>-ROUND(IF(AND(F845:H845),C845*E845*F845*G845*H845,IF(AND(F845,G845),C845*E845*F845*G845,IF(AND(F845,H845),C845*E845*F845*H845,IF(AND(G845,H845),C845*E845*G845*H845,IF(F845,C845*E845*F845,IF(G845,C845*E845*G845,IF(H845,C845*E845*H845,C845*E845))))))),2)</f>
        <v>-1.87</v>
      </c>
      <c r="J845" s="553" t="s">
        <v>102</v>
      </c>
      <c r="K845" s="39"/>
      <c r="L845" s="208"/>
      <c r="M845" s="39"/>
      <c r="N845" s="536" t="s">
        <v>2306</v>
      </c>
    </row>
    <row r="846" spans="1:14" s="544" customFormat="1" ht="16.5" customHeight="1">
      <c r="A846" s="16"/>
      <c r="B846" s="547"/>
      <c r="C846" s="548"/>
      <c r="D846" s="549"/>
      <c r="E846" s="587"/>
      <c r="F846" s="551"/>
      <c r="G846" s="551"/>
      <c r="H846" s="551"/>
      <c r="I846" s="552"/>
      <c r="J846" s="553"/>
      <c r="K846" s="39"/>
      <c r="L846" s="208"/>
      <c r="M846" s="39"/>
      <c r="N846" s="536" t="s">
        <v>2306</v>
      </c>
    </row>
    <row r="847" spans="1:14" ht="15.75">
      <c r="A847" s="16"/>
      <c r="B847" s="39"/>
      <c r="C847" s="554"/>
      <c r="D847" s="555"/>
      <c r="E847" s="540"/>
      <c r="F847" s="541"/>
      <c r="G847" s="40"/>
      <c r="H847" s="16"/>
      <c r="I847" s="552"/>
      <c r="J847" s="553" t="s">
        <v>102</v>
      </c>
      <c r="K847" s="10">
        <f>data!G1728</f>
        <v>173.39</v>
      </c>
      <c r="L847" s="208" t="s">
        <v>2306</v>
      </c>
      <c r="M847" s="9">
        <f>ROUND(I847*K847,0)</f>
        <v>0</v>
      </c>
      <c r="N847" s="536" t="s">
        <v>2306</v>
      </c>
    </row>
    <row r="848" spans="1:14" ht="117.75" customHeight="1">
      <c r="A848" s="16">
        <v>10</v>
      </c>
      <c r="B848" s="1858" t="s">
        <v>891</v>
      </c>
      <c r="C848" s="1858"/>
      <c r="D848" s="1858"/>
      <c r="E848" s="1858"/>
      <c r="F848" s="1858"/>
      <c r="G848" s="1858"/>
      <c r="H848" s="1858"/>
      <c r="I848" s="537"/>
      <c r="J848" s="538"/>
      <c r="K848" s="16"/>
      <c r="L848" s="208"/>
      <c r="M848" s="38"/>
      <c r="N848" s="536" t="s">
        <v>2317</v>
      </c>
    </row>
    <row r="849" spans="1:14" s="544" customFormat="1" ht="16.5" customHeight="1">
      <c r="A849" s="16"/>
      <c r="B849" s="39" t="s">
        <v>2822</v>
      </c>
      <c r="C849" s="537"/>
      <c r="D849" s="539"/>
      <c r="E849" s="540"/>
      <c r="F849" s="541"/>
      <c r="G849" s="541"/>
      <c r="H849" s="541"/>
      <c r="I849" s="542"/>
      <c r="J849" s="553"/>
      <c r="K849" s="39"/>
      <c r="L849" s="208"/>
      <c r="M849" s="39"/>
      <c r="N849" s="536" t="s">
        <v>2317</v>
      </c>
    </row>
    <row r="850" spans="1:14" s="544" customFormat="1" ht="16.5" customHeight="1">
      <c r="A850" s="16"/>
      <c r="B850" s="39" t="s">
        <v>1545</v>
      </c>
      <c r="C850" s="537">
        <v>1</v>
      </c>
      <c r="D850" s="539" t="s">
        <v>273</v>
      </c>
      <c r="E850" s="540">
        <v>2</v>
      </c>
      <c r="F850" s="541">
        <v>4.37</v>
      </c>
      <c r="G850" s="541">
        <v>0</v>
      </c>
      <c r="H850" s="541">
        <v>2.65</v>
      </c>
      <c r="I850" s="579">
        <f>ROUND(IF(AND(F850:H850),C850*E850*F850*G850*H850,IF(AND(F850,G850),C850*E850*F850*G850,IF(AND(F850,H850),C850*E850*F850*H850,IF(AND(G850,H850),C850*E850*G850*H850,IF(F850,C850*E850*F850,IF(G850,C850*E850*G850,IF(H850,C850*E850*H850,C850*E850))))))),2)</f>
        <v>23.16</v>
      </c>
      <c r="J850" s="553" t="s">
        <v>102</v>
      </c>
      <c r="K850" s="39"/>
      <c r="L850" s="208"/>
      <c r="M850" s="39"/>
      <c r="N850" s="536" t="s">
        <v>2317</v>
      </c>
    </row>
    <row r="851" spans="1:14" s="544" customFormat="1" ht="16.5" customHeight="1">
      <c r="A851" s="16"/>
      <c r="B851" s="39" t="s">
        <v>1546</v>
      </c>
      <c r="C851" s="537">
        <v>1</v>
      </c>
      <c r="D851" s="539" t="s">
        <v>273</v>
      </c>
      <c r="E851" s="540">
        <v>2</v>
      </c>
      <c r="F851" s="541">
        <v>2.94</v>
      </c>
      <c r="G851" s="541">
        <v>0</v>
      </c>
      <c r="H851" s="541">
        <v>2.65</v>
      </c>
      <c r="I851" s="579">
        <f>ROUND(IF(AND(F851:H851),C851*E851*F851*G851*H851,IF(AND(F851,G851),C851*E851*F851*G851,IF(AND(F851,H851),C851*E851*F851*H851,IF(AND(G851,H851),C851*E851*G851*H851,IF(F851,C851*E851*F851,IF(G851,C851*E851*G851,IF(H851,C851*E851*H851,C851*E851))))))),2)</f>
        <v>15.58</v>
      </c>
      <c r="J851" s="553" t="s">
        <v>102</v>
      </c>
      <c r="K851" s="39"/>
      <c r="L851" s="208"/>
      <c r="M851" s="39"/>
      <c r="N851" s="536" t="s">
        <v>2317</v>
      </c>
    </row>
    <row r="852" spans="1:14" s="544" customFormat="1" ht="16.5" customHeight="1">
      <c r="A852" s="16"/>
      <c r="B852" s="39" t="s">
        <v>1535</v>
      </c>
      <c r="C852" s="537">
        <v>1</v>
      </c>
      <c r="D852" s="539" t="s">
        <v>273</v>
      </c>
      <c r="E852" s="540">
        <v>1</v>
      </c>
      <c r="F852" s="541">
        <v>1.2</v>
      </c>
      <c r="G852" s="541">
        <v>0</v>
      </c>
      <c r="H852" s="541">
        <v>1.2</v>
      </c>
      <c r="I852" s="579">
        <f>-ROUND(IF(AND(F852:H852),C852*E852*F852*G852*H852,IF(AND(F852,G852),C852*E852*F852*G852,IF(AND(F852,H852),C852*E852*F852*H852,IF(AND(G852,H852),C852*E852*G852*H852,IF(F852,C852*E852*F852,IF(G852,C852*E852*G852,IF(H852,C852*E852*H852,C852*E852))))))),2)</f>
        <v>-1.44</v>
      </c>
      <c r="J852" s="553" t="s">
        <v>102</v>
      </c>
      <c r="K852" s="39"/>
      <c r="L852" s="208"/>
      <c r="M852" s="39"/>
      <c r="N852" s="536" t="s">
        <v>2317</v>
      </c>
    </row>
    <row r="853" spans="1:14" s="544" customFormat="1" ht="16.5" customHeight="1">
      <c r="A853" s="16"/>
      <c r="B853" s="39" t="s">
        <v>579</v>
      </c>
      <c r="C853" s="537">
        <v>1</v>
      </c>
      <c r="D853" s="539" t="s">
        <v>273</v>
      </c>
      <c r="E853" s="540">
        <v>1</v>
      </c>
      <c r="F853" s="541">
        <v>0.9</v>
      </c>
      <c r="G853" s="541">
        <v>0</v>
      </c>
      <c r="H853" s="541">
        <v>2.08</v>
      </c>
      <c r="I853" s="579">
        <f>-ROUND(IF(AND(F853:H853),C853*E853*F853*G853*H853,IF(AND(F853,G853),C853*E853*F853*G853,IF(AND(F853,H853),C853*E853*F853*H853,IF(AND(G853,H853),C853*E853*G853*H853,IF(F853,C853*E853*F853,IF(G853,C853*E853*G853,IF(H853,C853*E853*H853,C853*E853))))))),2)</f>
        <v>-1.87</v>
      </c>
      <c r="J853" s="553" t="s">
        <v>102</v>
      </c>
      <c r="K853" s="39"/>
      <c r="L853" s="208"/>
      <c r="M853" s="39"/>
      <c r="N853" s="536" t="s">
        <v>2317</v>
      </c>
    </row>
    <row r="854" spans="1:14" s="544" customFormat="1" ht="16.5" customHeight="1">
      <c r="A854" s="16"/>
      <c r="B854" s="547"/>
      <c r="C854" s="548"/>
      <c r="D854" s="549"/>
      <c r="E854" s="587"/>
      <c r="F854" s="551"/>
      <c r="G854" s="551"/>
      <c r="H854" s="551"/>
      <c r="I854" s="552"/>
      <c r="J854" s="553"/>
      <c r="K854" s="39"/>
      <c r="L854" s="208"/>
      <c r="M854" s="39"/>
      <c r="N854" s="536" t="s">
        <v>2317</v>
      </c>
    </row>
    <row r="855" spans="1:14" ht="15.75">
      <c r="A855" s="16"/>
      <c r="B855" s="39"/>
      <c r="C855" s="554"/>
      <c r="D855" s="555"/>
      <c r="E855" s="540"/>
      <c r="F855" s="541"/>
      <c r="G855" s="40"/>
      <c r="H855" s="16"/>
      <c r="I855" s="552"/>
      <c r="J855" s="553" t="s">
        <v>102</v>
      </c>
      <c r="K855" s="10">
        <f>data!G2645</f>
        <v>179.94</v>
      </c>
      <c r="L855" s="208" t="s">
        <v>2317</v>
      </c>
      <c r="M855" s="9">
        <f>ROUND(I855*K855,0)</f>
        <v>0</v>
      </c>
      <c r="N855" s="536" t="s">
        <v>2317</v>
      </c>
    </row>
    <row r="856" spans="1:14" ht="117.75" customHeight="1">
      <c r="A856" s="16">
        <v>9</v>
      </c>
      <c r="B856" s="1858" t="s">
        <v>891</v>
      </c>
      <c r="C856" s="1858"/>
      <c r="D856" s="1858"/>
      <c r="E856" s="1858"/>
      <c r="F856" s="1858"/>
      <c r="G856" s="1858"/>
      <c r="H856" s="1858"/>
      <c r="I856" s="537"/>
      <c r="J856" s="538"/>
      <c r="K856" s="16"/>
      <c r="L856" s="208"/>
      <c r="M856" s="38"/>
      <c r="N856" s="536" t="s">
        <v>2318</v>
      </c>
    </row>
    <row r="857" spans="1:14" s="544" customFormat="1" ht="16.5" customHeight="1">
      <c r="A857" s="16"/>
      <c r="B857" s="39" t="s">
        <v>3113</v>
      </c>
      <c r="C857" s="561"/>
      <c r="D857" s="1145" t="s">
        <v>3336</v>
      </c>
      <c r="E857" s="563"/>
      <c r="F857" s="564"/>
      <c r="G857" s="564"/>
      <c r="H857" s="564"/>
      <c r="I857" s="565"/>
      <c r="J857" s="553"/>
      <c r="K857" s="39"/>
      <c r="L857" s="208"/>
      <c r="M857" s="39"/>
      <c r="N857" s="536" t="s">
        <v>2318</v>
      </c>
    </row>
    <row r="858" spans="1:14" s="544" customFormat="1" ht="16.5" customHeight="1">
      <c r="A858" s="16"/>
      <c r="B858" s="39"/>
      <c r="C858" s="537">
        <v>1</v>
      </c>
      <c r="D858" s="539" t="s">
        <v>273</v>
      </c>
      <c r="E858" s="540">
        <v>2</v>
      </c>
      <c r="F858" s="541">
        <v>2.72</v>
      </c>
      <c r="G858" s="541">
        <v>0</v>
      </c>
      <c r="H858" s="541">
        <v>2.38</v>
      </c>
      <c r="I858" s="545">
        <f t="shared" ref="I858:I859" si="36">ROUND(IF(AND(F858:H858),C858*E858*F858*G858*H858,IF(AND(F858,G858),C858*E858*F858*G858,IF(AND(F858,H858),C858*E858*F858*H858,IF(AND(G858,H858),C858*E858*G858*H858,IF(F858,C858*E858*F858,IF(G858,C858*E858*G858,IF(H858,C858*E858*H858,C858*E858))))))),2)</f>
        <v>12.95</v>
      </c>
      <c r="J858" s="553" t="s">
        <v>102</v>
      </c>
      <c r="K858" s="39"/>
      <c r="L858" s="208"/>
      <c r="M858" s="39"/>
      <c r="N858" s="536" t="s">
        <v>2318</v>
      </c>
    </row>
    <row r="859" spans="1:14" s="544" customFormat="1" ht="16.5" customHeight="1">
      <c r="A859" s="16"/>
      <c r="B859" s="39"/>
      <c r="C859" s="537">
        <v>1</v>
      </c>
      <c r="D859" s="539" t="s">
        <v>273</v>
      </c>
      <c r="E859" s="540">
        <v>2</v>
      </c>
      <c r="F859" s="541">
        <v>3.16</v>
      </c>
      <c r="G859" s="541">
        <v>0</v>
      </c>
      <c r="H859" s="541">
        <v>2.38</v>
      </c>
      <c r="I859" s="545">
        <f t="shared" si="36"/>
        <v>15.04</v>
      </c>
      <c r="J859" s="553" t="s">
        <v>102</v>
      </c>
      <c r="K859" s="39"/>
      <c r="L859" s="208"/>
      <c r="M859" s="39"/>
      <c r="N859" s="536" t="s">
        <v>2318</v>
      </c>
    </row>
    <row r="860" spans="1:14" s="544" customFormat="1" ht="16.5" customHeight="1">
      <c r="A860" s="16"/>
      <c r="B860" s="39" t="s">
        <v>579</v>
      </c>
      <c r="C860" s="537">
        <v>1</v>
      </c>
      <c r="D860" s="539" t="s">
        <v>273</v>
      </c>
      <c r="E860" s="540">
        <v>1</v>
      </c>
      <c r="F860" s="541">
        <v>0.9</v>
      </c>
      <c r="G860" s="541">
        <v>0</v>
      </c>
      <c r="H860" s="541">
        <v>2.1</v>
      </c>
      <c r="I860" s="545">
        <f>-ROUND(IF(AND(F860:H860),C860*E860*F860*G860*H860,IF(AND(F860,G860),C860*E860*F860*G860,IF(AND(F860,H860),C860*E860*F860*H860,IF(AND(G860,H860),C860*E860*G860*H860,IF(F860,C860*E860*F860,IF(G860,C860*E860*G860,IF(H860,C860*E860*H860,C860*E860))))))),2)</f>
        <v>-1.89</v>
      </c>
      <c r="J860" s="553" t="s">
        <v>102</v>
      </c>
      <c r="K860" s="39"/>
      <c r="L860" s="208"/>
      <c r="M860" s="39"/>
      <c r="N860" s="536" t="s">
        <v>2318</v>
      </c>
    </row>
    <row r="861" spans="1:14" s="544" customFormat="1" ht="16.5" customHeight="1">
      <c r="A861" s="16"/>
      <c r="B861" s="39" t="s">
        <v>579</v>
      </c>
      <c r="C861" s="537">
        <v>1</v>
      </c>
      <c r="D861" s="539" t="s">
        <v>273</v>
      </c>
      <c r="E861" s="540">
        <v>1</v>
      </c>
      <c r="F861" s="541">
        <v>1.2</v>
      </c>
      <c r="G861" s="541">
        <v>0</v>
      </c>
      <c r="H861" s="541">
        <v>1.1000000000000001</v>
      </c>
      <c r="I861" s="545">
        <f>-ROUND(IF(AND(F861:H861),C861*E861*F861*G861*H861,IF(AND(F861,G861),C861*E861*F861*G861,IF(AND(F861,H861),C861*E861*F861*H861,IF(AND(G861,H861),C861*E861*G861*H861,IF(F861,C861*E861*F861,IF(G861,C861*E861*G861,IF(H861,C861*E861*H861,C861*E861))))))),2)</f>
        <v>-1.32</v>
      </c>
      <c r="J861" s="553" t="s">
        <v>102</v>
      </c>
      <c r="K861" s="39"/>
      <c r="L861" s="208"/>
      <c r="M861" s="39"/>
      <c r="N861" s="536" t="s">
        <v>2318</v>
      </c>
    </row>
    <row r="862" spans="1:14" s="544" customFormat="1" ht="16.5" customHeight="1">
      <c r="A862" s="16"/>
      <c r="B862" s="547"/>
      <c r="C862" s="548"/>
      <c r="D862" s="549"/>
      <c r="E862" s="587"/>
      <c r="F862" s="551"/>
      <c r="G862" s="551"/>
      <c r="H862" s="551"/>
      <c r="I862" s="552"/>
      <c r="J862" s="553"/>
      <c r="K862" s="39"/>
      <c r="L862" s="208"/>
      <c r="M862" s="39"/>
      <c r="N862" s="536" t="s">
        <v>2318</v>
      </c>
    </row>
    <row r="863" spans="1:14" ht="15.75">
      <c r="A863" s="16"/>
      <c r="B863" s="39"/>
      <c r="C863" s="554"/>
      <c r="D863" s="555"/>
      <c r="E863" s="540"/>
      <c r="F863" s="541"/>
      <c r="G863" s="40"/>
      <c r="H863" s="16"/>
      <c r="I863" s="552"/>
      <c r="J863" s="553" t="s">
        <v>102</v>
      </c>
      <c r="K863" s="10">
        <f>data!G3562</f>
        <v>194.34</v>
      </c>
      <c r="L863" s="208" t="s">
        <v>2318</v>
      </c>
      <c r="M863" s="9">
        <f>ROUND(I863*K863,0)</f>
        <v>0</v>
      </c>
      <c r="N863" s="536" t="s">
        <v>2318</v>
      </c>
    </row>
    <row r="864" spans="1:14" ht="94.5" customHeight="1">
      <c r="A864" s="16">
        <v>10</v>
      </c>
      <c r="B864" s="1858" t="s">
        <v>1167</v>
      </c>
      <c r="C864" s="1858"/>
      <c r="D864" s="1858"/>
      <c r="E864" s="1858"/>
      <c r="F864" s="1858"/>
      <c r="G864" s="1858"/>
      <c r="H864" s="1858"/>
      <c r="I864" s="537"/>
      <c r="J864" s="538"/>
      <c r="K864" s="16"/>
      <c r="L864" s="208"/>
      <c r="M864" s="38"/>
      <c r="N864" s="536" t="s">
        <v>2218</v>
      </c>
    </row>
    <row r="865" spans="1:14" s="544" customFormat="1" ht="16.5" customHeight="1">
      <c r="A865" s="16"/>
      <c r="B865" s="39" t="s">
        <v>2835</v>
      </c>
      <c r="C865" s="537"/>
      <c r="D865" s="539"/>
      <c r="E865" s="540"/>
      <c r="F865" s="541"/>
      <c r="G865" s="541"/>
      <c r="H865" s="541"/>
      <c r="I865" s="542"/>
      <c r="J865" s="553"/>
      <c r="K865" s="39"/>
      <c r="L865" s="208"/>
      <c r="M865" s="39"/>
      <c r="N865" s="536" t="s">
        <v>2218</v>
      </c>
    </row>
    <row r="866" spans="1:14" s="544" customFormat="1" ht="16.5" customHeight="1">
      <c r="A866" s="16"/>
      <c r="B866" s="39" t="s">
        <v>1531</v>
      </c>
      <c r="C866" s="537">
        <v>1</v>
      </c>
      <c r="D866" s="539" t="s">
        <v>273</v>
      </c>
      <c r="E866" s="540">
        <v>1</v>
      </c>
      <c r="F866" s="541">
        <v>2.93</v>
      </c>
      <c r="G866" s="541">
        <v>0.87</v>
      </c>
      <c r="H866" s="541">
        <v>0</v>
      </c>
      <c r="I866" s="579">
        <f t="shared" ref="I866:I868" si="37">ROUND(IF(AND(F866:H866),C866*E866*F866*G866*H866,IF(AND(F866,G866),C866*E866*F866*G866,IF(AND(F866,H866),C866*E866*F866*H866,IF(AND(G866,H866),C866*E866*G866*H866,IF(F866,C866*E866*F866,IF(G866,C866*E866*G866,IF(H866,C866*E866*H866,C866*E866))))))),2)</f>
        <v>2.5499999999999998</v>
      </c>
      <c r="J866" s="553" t="s">
        <v>102</v>
      </c>
      <c r="K866" s="39"/>
      <c r="L866" s="208"/>
      <c r="M866" s="39"/>
      <c r="N866" s="536" t="s">
        <v>2218</v>
      </c>
    </row>
    <row r="867" spans="1:14" s="544" customFormat="1" ht="16.5" customHeight="1">
      <c r="A867" s="16"/>
      <c r="B867" s="39" t="s">
        <v>1244</v>
      </c>
      <c r="C867" s="537">
        <v>1</v>
      </c>
      <c r="D867" s="539" t="s">
        <v>273</v>
      </c>
      <c r="E867" s="540">
        <v>2</v>
      </c>
      <c r="F867" s="541">
        <v>2.7</v>
      </c>
      <c r="G867" s="541">
        <v>0.3</v>
      </c>
      <c r="H867" s="541">
        <v>0</v>
      </c>
      <c r="I867" s="579">
        <f t="shared" si="37"/>
        <v>1.62</v>
      </c>
      <c r="J867" s="553" t="s">
        <v>102</v>
      </c>
      <c r="K867" s="39"/>
      <c r="L867" s="208"/>
      <c r="M867" s="39"/>
      <c r="N867" s="536" t="s">
        <v>2218</v>
      </c>
    </row>
    <row r="868" spans="1:14" s="544" customFormat="1" ht="16.5" customHeight="1">
      <c r="A868" s="16"/>
      <c r="B868" s="39" t="s">
        <v>1544</v>
      </c>
      <c r="C868" s="537">
        <v>1</v>
      </c>
      <c r="D868" s="539" t="s">
        <v>273</v>
      </c>
      <c r="E868" s="540">
        <v>1</v>
      </c>
      <c r="F868" s="541">
        <v>2.7</v>
      </c>
      <c r="G868" s="541">
        <v>3.3</v>
      </c>
      <c r="H868" s="541">
        <v>0</v>
      </c>
      <c r="I868" s="579">
        <f t="shared" si="37"/>
        <v>8.91</v>
      </c>
      <c r="J868" s="553" t="s">
        <v>102</v>
      </c>
      <c r="K868" s="39"/>
      <c r="L868" s="208"/>
      <c r="M868" s="39"/>
      <c r="N868" s="536" t="s">
        <v>2218</v>
      </c>
    </row>
    <row r="869" spans="1:14" s="544" customFormat="1" ht="16.5" customHeight="1">
      <c r="A869" s="16"/>
      <c r="B869" s="39" t="s">
        <v>1492</v>
      </c>
      <c r="C869" s="537">
        <v>1</v>
      </c>
      <c r="D869" s="539" t="s">
        <v>273</v>
      </c>
      <c r="E869" s="540">
        <v>1</v>
      </c>
      <c r="F869" s="541">
        <v>37.799999999999997</v>
      </c>
      <c r="G869" s="541">
        <v>0</v>
      </c>
      <c r="H869" s="541">
        <v>0.88</v>
      </c>
      <c r="I869" s="579">
        <f t="shared" ref="I869" si="38">ROUND(IF(AND(F869:H869),C869*E869*F869*G869*H869,IF(AND(F869,G869),C869*E869*F869*G869,IF(AND(F869,H869),C869*E869*F869*H869,IF(AND(G869,H869),C869*E869*G869*H869,IF(F869,C869*E869*F869,IF(G869,C869*E869*G869,IF(H869,C869*E869*H869,C869*E869))))))),2)</f>
        <v>33.26</v>
      </c>
      <c r="J869" s="553" t="s">
        <v>102</v>
      </c>
      <c r="K869" s="39"/>
      <c r="L869" s="208"/>
      <c r="M869" s="39"/>
      <c r="N869" s="536" t="s">
        <v>2218</v>
      </c>
    </row>
    <row r="870" spans="1:14" s="544" customFormat="1" ht="16.5" customHeight="1">
      <c r="A870" s="16"/>
      <c r="B870" s="547"/>
      <c r="C870" s="548"/>
      <c r="D870" s="549"/>
      <c r="E870" s="550"/>
      <c r="F870" s="551"/>
      <c r="G870" s="551"/>
      <c r="H870" s="551"/>
      <c r="I870" s="552"/>
      <c r="J870" s="553"/>
      <c r="K870" s="39"/>
      <c r="L870" s="208"/>
      <c r="M870" s="39"/>
      <c r="N870" s="536" t="s">
        <v>2218</v>
      </c>
    </row>
    <row r="871" spans="1:14" ht="15.75">
      <c r="A871" s="16"/>
      <c r="B871" s="39"/>
      <c r="C871" s="554"/>
      <c r="D871" s="555"/>
      <c r="E871" s="540"/>
      <c r="F871" s="541"/>
      <c r="G871" s="40"/>
      <c r="H871" s="16"/>
      <c r="I871" s="552"/>
      <c r="J871" s="553" t="s">
        <v>102</v>
      </c>
      <c r="K871" s="10">
        <f>data!G846</f>
        <v>140.87</v>
      </c>
      <c r="L871" s="208" t="s">
        <v>2218</v>
      </c>
      <c r="M871" s="9">
        <f>ROUND(I871*K871,0)</f>
        <v>0</v>
      </c>
      <c r="N871" s="536" t="s">
        <v>2218</v>
      </c>
    </row>
    <row r="872" spans="1:14" ht="94.5" customHeight="1">
      <c r="A872" s="16">
        <v>10</v>
      </c>
      <c r="B872" s="1858" t="s">
        <v>1167</v>
      </c>
      <c r="C872" s="1858"/>
      <c r="D872" s="1858"/>
      <c r="E872" s="1858"/>
      <c r="F872" s="1858"/>
      <c r="G872" s="1858"/>
      <c r="H872" s="1858"/>
      <c r="I872" s="537"/>
      <c r="J872" s="538"/>
      <c r="K872" s="16"/>
      <c r="L872" s="208"/>
      <c r="M872" s="38"/>
      <c r="N872" s="536" t="s">
        <v>2306</v>
      </c>
    </row>
    <row r="873" spans="1:14" s="544" customFormat="1" ht="16.5" customHeight="1">
      <c r="A873" s="16"/>
      <c r="B873" s="39" t="s">
        <v>3060</v>
      </c>
      <c r="C873" s="537"/>
      <c r="D873" s="539"/>
      <c r="E873" s="540"/>
      <c r="F873" s="541"/>
      <c r="G873" s="541"/>
      <c r="H873" s="541"/>
      <c r="I873" s="542"/>
      <c r="J873" s="553"/>
      <c r="K873" s="39"/>
      <c r="L873" s="208"/>
      <c r="M873" s="39"/>
      <c r="N873" s="536" t="s">
        <v>2306</v>
      </c>
    </row>
    <row r="874" spans="1:14" s="544" customFormat="1" ht="16.5" customHeight="1">
      <c r="A874" s="16"/>
      <c r="B874" s="39" t="s">
        <v>3009</v>
      </c>
      <c r="C874" s="537">
        <v>1</v>
      </c>
      <c r="D874" s="539" t="s">
        <v>273</v>
      </c>
      <c r="E874" s="540">
        <v>1</v>
      </c>
      <c r="F874" s="541">
        <v>13.6</v>
      </c>
      <c r="G874" s="541">
        <v>0</v>
      </c>
      <c r="H874" s="541">
        <v>2.4</v>
      </c>
      <c r="I874" s="545">
        <f t="shared" ref="I874:I878" si="39">ROUND(IF(AND(F874:H874),C874*E874*F874*G874*H874,IF(AND(F874,G874),C874*E874*F874*G874,IF(AND(F874,H874),C874*E874*F874*H874,IF(AND(G874,H874),C874*E874*G874*H874,IF(F874,C874*E874*F874,IF(G874,C874*E874*G874,IF(H874,C874*E874*H874,C874*E874))))))),2)</f>
        <v>32.64</v>
      </c>
      <c r="J874" s="553" t="s">
        <v>102</v>
      </c>
      <c r="K874" s="39"/>
      <c r="L874" s="208"/>
      <c r="M874" s="39"/>
      <c r="N874" s="536" t="s">
        <v>2306</v>
      </c>
    </row>
    <row r="875" spans="1:14" s="544" customFormat="1" ht="16.5" customHeight="1">
      <c r="A875" s="16"/>
      <c r="B875" s="39" t="s">
        <v>579</v>
      </c>
      <c r="C875" s="537">
        <v>1</v>
      </c>
      <c r="D875" s="539" t="s">
        <v>273</v>
      </c>
      <c r="E875" s="540">
        <v>1</v>
      </c>
      <c r="F875" s="541">
        <v>1.2</v>
      </c>
      <c r="G875" s="541">
        <v>0</v>
      </c>
      <c r="H875" s="541">
        <v>2.1</v>
      </c>
      <c r="I875" s="545">
        <f>-ROUND(IF(AND(F875:H875),C875*E875*F875*G875*H875,IF(AND(F875,G875),C875*E875*F875*G875,IF(AND(F875,H875),C875*E875*F875*H875,IF(AND(G875,H875),C875*E875*G875*H875,IF(F875,C875*E875*F875,IF(G875,C875*E875*G875,IF(H875,C875*E875*H875,C875*E875))))))),2)</f>
        <v>-2.52</v>
      </c>
      <c r="J875" s="553" t="s">
        <v>102</v>
      </c>
      <c r="K875" s="39"/>
      <c r="L875" s="208"/>
      <c r="M875" s="39"/>
      <c r="N875" s="536" t="s">
        <v>2306</v>
      </c>
    </row>
    <row r="876" spans="1:14" s="544" customFormat="1" ht="16.5" customHeight="1">
      <c r="A876" s="16"/>
      <c r="B876" s="39" t="s">
        <v>3010</v>
      </c>
      <c r="C876" s="537">
        <v>1</v>
      </c>
      <c r="D876" s="539" t="s">
        <v>273</v>
      </c>
      <c r="E876" s="540">
        <v>1</v>
      </c>
      <c r="F876" s="541">
        <v>1.27</v>
      </c>
      <c r="G876" s="541">
        <v>0</v>
      </c>
      <c r="H876" s="541">
        <v>1.8</v>
      </c>
      <c r="I876" s="545">
        <f>-ROUND(IF(AND(F876:H876),C876*E876*F876*G876*H876,IF(AND(F876,G876),C876*E876*F876*G876,IF(AND(F876,H876),C876*E876*F876*H876,IF(AND(G876,H876),C876*E876*G876*H876,IF(F876,C876*E876*F876,IF(G876,C876*E876*G876,IF(H876,C876*E876*H876,C876*E876))))))),2)</f>
        <v>-2.29</v>
      </c>
      <c r="J876" s="553" t="s">
        <v>102</v>
      </c>
      <c r="K876" s="39"/>
      <c r="L876" s="208"/>
      <c r="M876" s="39"/>
      <c r="N876" s="536" t="s">
        <v>2306</v>
      </c>
    </row>
    <row r="877" spans="1:14" s="544" customFormat="1" ht="16.5" customHeight="1">
      <c r="A877" s="16"/>
      <c r="B877" s="39" t="s">
        <v>3011</v>
      </c>
      <c r="C877" s="537">
        <v>1</v>
      </c>
      <c r="D877" s="539" t="s">
        <v>273</v>
      </c>
      <c r="E877" s="540">
        <v>2</v>
      </c>
      <c r="F877" s="541">
        <v>2.4</v>
      </c>
      <c r="G877" s="541">
        <v>0</v>
      </c>
      <c r="H877" s="541">
        <v>0.3</v>
      </c>
      <c r="I877" s="545">
        <f t="shared" si="39"/>
        <v>1.44</v>
      </c>
      <c r="J877" s="553" t="s">
        <v>102</v>
      </c>
      <c r="K877" s="39"/>
      <c r="L877" s="208"/>
      <c r="M877" s="39"/>
      <c r="N877" s="536" t="s">
        <v>2306</v>
      </c>
    </row>
    <row r="878" spans="1:14" s="544" customFormat="1" ht="16.5" customHeight="1">
      <c r="A878" s="16"/>
      <c r="B878" s="39" t="s">
        <v>1544</v>
      </c>
      <c r="C878" s="537">
        <v>1</v>
      </c>
      <c r="D878" s="539" t="s">
        <v>273</v>
      </c>
      <c r="E878" s="540">
        <v>1</v>
      </c>
      <c r="F878" s="541">
        <v>4.16</v>
      </c>
      <c r="G878" s="541">
        <v>2.72</v>
      </c>
      <c r="H878" s="541">
        <v>0</v>
      </c>
      <c r="I878" s="545">
        <f t="shared" si="39"/>
        <v>11.32</v>
      </c>
      <c r="J878" s="553" t="s">
        <v>102</v>
      </c>
      <c r="K878" s="39"/>
      <c r="L878" s="208"/>
      <c r="M878" s="39"/>
      <c r="N878" s="536" t="s">
        <v>2306</v>
      </c>
    </row>
    <row r="879" spans="1:14" s="544" customFormat="1" ht="16.5" customHeight="1">
      <c r="A879" s="16"/>
      <c r="B879" s="39" t="s">
        <v>3061</v>
      </c>
      <c r="C879" s="537">
        <v>1</v>
      </c>
      <c r="D879" s="539" t="s">
        <v>273</v>
      </c>
      <c r="E879" s="540">
        <v>1</v>
      </c>
      <c r="F879" s="541">
        <v>3.78</v>
      </c>
      <c r="G879" s="541">
        <v>0.6</v>
      </c>
      <c r="H879" s="541">
        <v>0</v>
      </c>
      <c r="I879" s="545">
        <f t="shared" ref="I879:I881" si="40">ROUND(IF(AND(F879:H879),C879*E879*F879*G879*H879,IF(AND(F879,G879),C879*E879*F879*G879,IF(AND(F879,H879),C879*E879*F879*H879,IF(AND(G879,H879),C879*E879*G879*H879,IF(F879,C879*E879*F879,IF(G879,C879*E879*G879,IF(H879,C879*E879*H879,C879*E879))))))),2)</f>
        <v>2.27</v>
      </c>
      <c r="J879" s="553" t="s">
        <v>102</v>
      </c>
      <c r="K879" s="39"/>
      <c r="L879" s="208"/>
      <c r="M879" s="39"/>
      <c r="N879" s="536" t="s">
        <v>2306</v>
      </c>
    </row>
    <row r="880" spans="1:14" s="544" customFormat="1" ht="16.5" customHeight="1">
      <c r="A880" s="16"/>
      <c r="B880" s="39" t="s">
        <v>2989</v>
      </c>
      <c r="C880" s="537">
        <v>1</v>
      </c>
      <c r="D880" s="539" t="s">
        <v>273</v>
      </c>
      <c r="E880" s="540">
        <v>2</v>
      </c>
      <c r="F880" s="541">
        <v>4.62</v>
      </c>
      <c r="G880" s="541">
        <v>0.3</v>
      </c>
      <c r="H880" s="541">
        <v>0</v>
      </c>
      <c r="I880" s="545">
        <f t="shared" si="40"/>
        <v>2.77</v>
      </c>
      <c r="J880" s="553" t="s">
        <v>102</v>
      </c>
      <c r="K880" s="39"/>
      <c r="L880" s="208"/>
      <c r="M880" s="39"/>
      <c r="N880" s="536" t="s">
        <v>2306</v>
      </c>
    </row>
    <row r="881" spans="1:14" s="544" customFormat="1" ht="16.5" customHeight="1">
      <c r="A881" s="16"/>
      <c r="B881" s="39" t="s">
        <v>3062</v>
      </c>
      <c r="C881" s="537">
        <v>1</v>
      </c>
      <c r="D881" s="539" t="s">
        <v>273</v>
      </c>
      <c r="E881" s="540">
        <v>1</v>
      </c>
      <c r="F881" s="541">
        <v>18.8</v>
      </c>
      <c r="G881" s="541">
        <v>0</v>
      </c>
      <c r="H881" s="541">
        <v>0.125</v>
      </c>
      <c r="I881" s="545">
        <f t="shared" si="40"/>
        <v>2.35</v>
      </c>
      <c r="J881" s="553" t="s">
        <v>102</v>
      </c>
      <c r="K881" s="39"/>
      <c r="L881" s="208"/>
      <c r="M881" s="39"/>
      <c r="N881" s="536" t="s">
        <v>2306</v>
      </c>
    </row>
    <row r="882" spans="1:14" s="544" customFormat="1" ht="16.5" customHeight="1">
      <c r="A882" s="16"/>
      <c r="B882" s="547"/>
      <c r="C882" s="548"/>
      <c r="D882" s="549"/>
      <c r="E882" s="550"/>
      <c r="F882" s="551"/>
      <c r="G882" s="551"/>
      <c r="H882" s="551"/>
      <c r="I882" s="552"/>
      <c r="J882" s="553"/>
      <c r="K882" s="39"/>
      <c r="L882" s="208"/>
      <c r="M882" s="39"/>
      <c r="N882" s="536" t="s">
        <v>2306</v>
      </c>
    </row>
    <row r="883" spans="1:14" ht="15.75">
      <c r="A883" s="16"/>
      <c r="B883" s="39"/>
      <c r="C883" s="554"/>
      <c r="D883" s="555"/>
      <c r="E883" s="540"/>
      <c r="F883" s="541"/>
      <c r="G883" s="40"/>
      <c r="H883" s="16"/>
      <c r="I883" s="552"/>
      <c r="J883" s="553" t="s">
        <v>102</v>
      </c>
      <c r="K883" s="10">
        <f>data!G1763</f>
        <v>149.66</v>
      </c>
      <c r="L883" s="208" t="s">
        <v>2306</v>
      </c>
      <c r="M883" s="9">
        <f>ROUND(I883*K883,0)</f>
        <v>0</v>
      </c>
      <c r="N883" s="536" t="s">
        <v>2306</v>
      </c>
    </row>
    <row r="884" spans="1:14" ht="94.5" customHeight="1">
      <c r="A884" s="16">
        <v>10</v>
      </c>
      <c r="B884" s="1858" t="s">
        <v>1167</v>
      </c>
      <c r="C884" s="1858"/>
      <c r="D884" s="1858"/>
      <c r="E884" s="1858"/>
      <c r="F884" s="1858"/>
      <c r="G884" s="1858"/>
      <c r="H884" s="1858"/>
      <c r="I884" s="537"/>
      <c r="J884" s="538"/>
      <c r="K884" s="16"/>
      <c r="L884" s="208"/>
      <c r="M884" s="38"/>
      <c r="N884" s="536" t="s">
        <v>2317</v>
      </c>
    </row>
    <row r="885" spans="1:14" s="544" customFormat="1" ht="16.5" customHeight="1">
      <c r="A885" s="16"/>
      <c r="B885" s="39" t="s">
        <v>2835</v>
      </c>
      <c r="C885" s="537"/>
      <c r="D885" s="539"/>
      <c r="E885" s="540"/>
      <c r="F885" s="541"/>
      <c r="G885" s="541"/>
      <c r="H885" s="541"/>
      <c r="I885" s="542"/>
      <c r="J885" s="553"/>
      <c r="K885" s="39"/>
      <c r="L885" s="208"/>
      <c r="M885" s="39"/>
      <c r="N885" s="536" t="s">
        <v>2317</v>
      </c>
    </row>
    <row r="886" spans="1:14" s="544" customFormat="1" ht="16.5" customHeight="1">
      <c r="A886" s="16"/>
      <c r="B886" s="39" t="s">
        <v>1531</v>
      </c>
      <c r="C886" s="537">
        <v>1</v>
      </c>
      <c r="D886" s="539" t="s">
        <v>273</v>
      </c>
      <c r="E886" s="540">
        <v>1</v>
      </c>
      <c r="F886" s="541">
        <v>2.93</v>
      </c>
      <c r="G886" s="541">
        <v>0.87</v>
      </c>
      <c r="H886" s="541">
        <v>0</v>
      </c>
      <c r="I886" s="579">
        <f>ROUND(IF(AND(F886:H886),C886*E886*F886*G886*H886,IF(AND(F886,G886),C886*E886*F886*G886,IF(AND(F886,H886),C886*E886*F886*H886,IF(AND(G886,H886),C886*E886*G886*H886,IF(F886,C886*E886*F886,IF(G886,C886*E886*G886,IF(H886,C886*E886*H886,C886*E886))))))),2)</f>
        <v>2.5499999999999998</v>
      </c>
      <c r="J886" s="553" t="s">
        <v>102</v>
      </c>
      <c r="K886" s="39"/>
      <c r="L886" s="208"/>
      <c r="M886" s="39"/>
      <c r="N886" s="536" t="s">
        <v>2317</v>
      </c>
    </row>
    <row r="887" spans="1:14" s="544" customFormat="1" ht="16.5" customHeight="1">
      <c r="A887" s="16"/>
      <c r="B887" s="39" t="s">
        <v>1244</v>
      </c>
      <c r="C887" s="537">
        <v>1</v>
      </c>
      <c r="D887" s="539" t="s">
        <v>273</v>
      </c>
      <c r="E887" s="540">
        <v>2</v>
      </c>
      <c r="F887" s="541">
        <v>2.7</v>
      </c>
      <c r="G887" s="541">
        <v>0.3</v>
      </c>
      <c r="H887" s="541">
        <v>0</v>
      </c>
      <c r="I887" s="579">
        <f>ROUND(IF(AND(F887:H887),C887*E887*F887*G887*H887,IF(AND(F887,G887),C887*E887*F887*G887,IF(AND(F887,H887),C887*E887*F887*H887,IF(AND(G887,H887),C887*E887*G887*H887,IF(F887,C887*E887*F887,IF(G887,C887*E887*G887,IF(H887,C887*E887*H887,C887*E887))))))),2)</f>
        <v>1.62</v>
      </c>
      <c r="J887" s="553" t="s">
        <v>102</v>
      </c>
      <c r="K887" s="39"/>
      <c r="L887" s="208"/>
      <c r="M887" s="39"/>
      <c r="N887" s="536" t="s">
        <v>2317</v>
      </c>
    </row>
    <row r="888" spans="1:14" s="544" customFormat="1" ht="16.5" customHeight="1">
      <c r="A888" s="16"/>
      <c r="B888" s="39" t="s">
        <v>1544</v>
      </c>
      <c r="C888" s="537">
        <v>1</v>
      </c>
      <c r="D888" s="539" t="s">
        <v>273</v>
      </c>
      <c r="E888" s="540">
        <v>1</v>
      </c>
      <c r="F888" s="541">
        <v>2.7</v>
      </c>
      <c r="G888" s="541">
        <v>3.3</v>
      </c>
      <c r="H888" s="541">
        <v>0</v>
      </c>
      <c r="I888" s="579">
        <f>ROUND(IF(AND(F888:H888),C888*E888*F888*G888*H888,IF(AND(F888,G888),C888*E888*F888*G888,IF(AND(F888,H888),C888*E888*F888*H888,IF(AND(G888,H888),C888*E888*G888*H888,IF(F888,C888*E888*F888,IF(G888,C888*E888*G888,IF(H888,C888*E888*H888,C888*E888))))))),2)</f>
        <v>8.91</v>
      </c>
      <c r="J888" s="553" t="s">
        <v>102</v>
      </c>
      <c r="K888" s="39"/>
      <c r="L888" s="208"/>
      <c r="M888" s="39"/>
      <c r="N888" s="536" t="s">
        <v>2317</v>
      </c>
    </row>
    <row r="889" spans="1:14" s="544" customFormat="1" ht="16.5" customHeight="1">
      <c r="A889" s="16"/>
      <c r="B889" s="39" t="s">
        <v>1492</v>
      </c>
      <c r="C889" s="537">
        <v>1</v>
      </c>
      <c r="D889" s="539" t="s">
        <v>273</v>
      </c>
      <c r="E889" s="540">
        <v>1</v>
      </c>
      <c r="F889" s="541">
        <v>37.799999999999997</v>
      </c>
      <c r="G889" s="541">
        <v>0</v>
      </c>
      <c r="H889" s="541">
        <v>0.88</v>
      </c>
      <c r="I889" s="579">
        <f>ROUND(IF(AND(F889:H889),C889*E889*F889*G889*H889,IF(AND(F889,G889),C889*E889*F889*G889,IF(AND(F889,H889),C889*E889*F889*H889,IF(AND(G889,H889),C889*E889*G889*H889,IF(F889,C889*E889*F889,IF(G889,C889*E889*G889,IF(H889,C889*E889*H889,C889*E889))))))),2)</f>
        <v>33.26</v>
      </c>
      <c r="J889" s="553" t="s">
        <v>102</v>
      </c>
      <c r="K889" s="39"/>
      <c r="L889" s="208"/>
      <c r="M889" s="39"/>
      <c r="N889" s="536" t="s">
        <v>2317</v>
      </c>
    </row>
    <row r="890" spans="1:14" s="544" customFormat="1" ht="16.5" customHeight="1">
      <c r="A890" s="16"/>
      <c r="B890" s="547"/>
      <c r="C890" s="548"/>
      <c r="D890" s="549"/>
      <c r="E890" s="550"/>
      <c r="F890" s="551"/>
      <c r="G890" s="551"/>
      <c r="H890" s="551"/>
      <c r="I890" s="552"/>
      <c r="J890" s="553"/>
      <c r="K890" s="39"/>
      <c r="L890" s="208"/>
      <c r="M890" s="39"/>
      <c r="N890" s="536" t="s">
        <v>2317</v>
      </c>
    </row>
    <row r="891" spans="1:14" ht="15.75">
      <c r="A891" s="16"/>
      <c r="B891" s="39"/>
      <c r="C891" s="554"/>
      <c r="D891" s="555"/>
      <c r="E891" s="540"/>
      <c r="F891" s="541"/>
      <c r="G891" s="40"/>
      <c r="H891" s="16"/>
      <c r="I891" s="552"/>
      <c r="J891" s="553" t="s">
        <v>102</v>
      </c>
      <c r="K891" s="10">
        <f>data!G2680</f>
        <v>156.4</v>
      </c>
      <c r="L891" s="208" t="s">
        <v>2317</v>
      </c>
      <c r="M891" s="9">
        <f>ROUND(I891*K891,0)</f>
        <v>0</v>
      </c>
      <c r="N891" s="536" t="s">
        <v>2317</v>
      </c>
    </row>
    <row r="892" spans="1:14" ht="94.5" customHeight="1">
      <c r="A892" s="16">
        <v>10</v>
      </c>
      <c r="B892" s="1858" t="s">
        <v>1167</v>
      </c>
      <c r="C892" s="1858"/>
      <c r="D892" s="1858"/>
      <c r="E892" s="1858"/>
      <c r="F892" s="1858"/>
      <c r="G892" s="1858"/>
      <c r="H892" s="1858"/>
      <c r="I892" s="537"/>
      <c r="J892" s="538"/>
      <c r="K892" s="16"/>
      <c r="L892" s="208"/>
      <c r="M892" s="38"/>
      <c r="N892" s="536" t="s">
        <v>2318</v>
      </c>
    </row>
    <row r="893" spans="1:14" s="544" customFormat="1" ht="16.5" customHeight="1">
      <c r="A893" s="16"/>
      <c r="B893" s="39" t="s">
        <v>3204</v>
      </c>
      <c r="C893" s="561"/>
      <c r="D893" s="1145" t="s">
        <v>3337</v>
      </c>
      <c r="E893" s="563"/>
      <c r="F893" s="564"/>
      <c r="G893" s="564"/>
      <c r="H893" s="564"/>
      <c r="I893" s="565"/>
      <c r="J893" s="553"/>
      <c r="K893" s="39"/>
      <c r="L893" s="208"/>
      <c r="M893" s="39"/>
      <c r="N893" s="536" t="s">
        <v>2318</v>
      </c>
    </row>
    <row r="894" spans="1:14" s="544" customFormat="1" ht="16.5" customHeight="1">
      <c r="A894" s="16"/>
      <c r="B894" s="39"/>
      <c r="C894" s="537">
        <v>1</v>
      </c>
      <c r="D894" s="539" t="s">
        <v>273</v>
      </c>
      <c r="E894" s="540">
        <v>2</v>
      </c>
      <c r="F894" s="541">
        <v>2.72</v>
      </c>
      <c r="G894" s="541">
        <v>0</v>
      </c>
      <c r="H894" s="541">
        <v>2.38</v>
      </c>
      <c r="I894" s="545">
        <f t="shared" ref="I894:I895" si="41">ROUND(IF(AND(F894:H894),C894*E894*F894*G894*H894,IF(AND(F894,G894),C894*E894*F894*G894,IF(AND(F894,H894),C894*E894*F894*H894,IF(AND(G894,H894),C894*E894*G894*H894,IF(F894,C894*E894*F894,IF(G894,C894*E894*G894,IF(H894,C894*E894*H894,C894*E894))))))),2)</f>
        <v>12.95</v>
      </c>
      <c r="J894" s="553" t="s">
        <v>102</v>
      </c>
      <c r="K894" s="39"/>
      <c r="L894" s="208"/>
      <c r="M894" s="39"/>
      <c r="N894" s="536" t="s">
        <v>2318</v>
      </c>
    </row>
    <row r="895" spans="1:14" s="544" customFormat="1" ht="16.5" customHeight="1">
      <c r="A895" s="16"/>
      <c r="B895" s="39"/>
      <c r="C895" s="537">
        <v>1</v>
      </c>
      <c r="D895" s="539" t="s">
        <v>273</v>
      </c>
      <c r="E895" s="540">
        <v>2</v>
      </c>
      <c r="F895" s="541">
        <v>3.16</v>
      </c>
      <c r="G895" s="541">
        <v>0</v>
      </c>
      <c r="H895" s="541">
        <v>2.38</v>
      </c>
      <c r="I895" s="545">
        <f t="shared" si="41"/>
        <v>15.04</v>
      </c>
      <c r="J895" s="553" t="s">
        <v>102</v>
      </c>
      <c r="K895" s="39"/>
      <c r="L895" s="208"/>
      <c r="M895" s="39"/>
      <c r="N895" s="536" t="s">
        <v>2318</v>
      </c>
    </row>
    <row r="896" spans="1:14" s="544" customFormat="1" ht="16.5" customHeight="1">
      <c r="A896" s="16"/>
      <c r="B896" s="39" t="s">
        <v>579</v>
      </c>
      <c r="C896" s="537">
        <v>1</v>
      </c>
      <c r="D896" s="539" t="s">
        <v>273</v>
      </c>
      <c r="E896" s="540">
        <v>1</v>
      </c>
      <c r="F896" s="541">
        <v>0.9</v>
      </c>
      <c r="G896" s="541">
        <v>0</v>
      </c>
      <c r="H896" s="541">
        <v>2.1</v>
      </c>
      <c r="I896" s="545">
        <f>-ROUND(IF(AND(F896:H896),C896*E896*F896*G896*H896,IF(AND(F896,G896),C896*E896*F896*G896,IF(AND(F896,H896),C896*E896*F896*H896,IF(AND(G896,H896),C896*E896*G896*H896,IF(F896,C896*E896*F896,IF(G896,C896*E896*G896,IF(H896,C896*E896*H896,C896*E896))))))),2)</f>
        <v>-1.89</v>
      </c>
      <c r="J896" s="553" t="s">
        <v>102</v>
      </c>
      <c r="K896" s="39"/>
      <c r="L896" s="208"/>
      <c r="M896" s="39"/>
      <c r="N896" s="536" t="s">
        <v>2318</v>
      </c>
    </row>
    <row r="897" spans="1:14" s="544" customFormat="1" ht="16.5" customHeight="1">
      <c r="A897" s="16"/>
      <c r="B897" s="39" t="s">
        <v>1535</v>
      </c>
      <c r="C897" s="537">
        <v>1</v>
      </c>
      <c r="D897" s="539" t="s">
        <v>273</v>
      </c>
      <c r="E897" s="540">
        <v>1</v>
      </c>
      <c r="F897" s="541">
        <v>1.2</v>
      </c>
      <c r="G897" s="541">
        <v>0</v>
      </c>
      <c r="H897" s="541">
        <v>1.1000000000000001</v>
      </c>
      <c r="I897" s="545">
        <f>-ROUND(IF(AND(F897:H897),C897*E897*F897*G897*H897,IF(AND(F897,G897),C897*E897*F897*G897,IF(AND(F897,H897),C897*E897*F897*H897,IF(AND(G897,H897),C897*E897*G897*H897,IF(F897,C897*E897*F897,IF(G897,C897*E897*G897,IF(H897,C897*E897*H897,C897*E897))))))),2)</f>
        <v>-1.32</v>
      </c>
      <c r="J897" s="553" t="s">
        <v>102</v>
      </c>
      <c r="K897" s="39"/>
      <c r="L897" s="208"/>
      <c r="M897" s="39"/>
      <c r="N897" s="536" t="s">
        <v>2318</v>
      </c>
    </row>
    <row r="898" spans="1:14" s="544" customFormat="1" ht="16.5" customHeight="1">
      <c r="A898" s="16"/>
      <c r="B898" s="547"/>
      <c r="C898" s="548"/>
      <c r="D898" s="549"/>
      <c r="E898" s="550"/>
      <c r="F898" s="551"/>
      <c r="G898" s="551"/>
      <c r="H898" s="551"/>
      <c r="I898" s="552"/>
      <c r="J898" s="553"/>
      <c r="K898" s="39"/>
      <c r="L898" s="208"/>
      <c r="M898" s="39"/>
      <c r="N898" s="536" t="s">
        <v>2318</v>
      </c>
    </row>
    <row r="899" spans="1:14" ht="15.75">
      <c r="A899" s="16"/>
      <c r="B899" s="39"/>
      <c r="C899" s="554"/>
      <c r="D899" s="555"/>
      <c r="E899" s="540"/>
      <c r="F899" s="541"/>
      <c r="G899" s="40"/>
      <c r="H899" s="16"/>
      <c r="I899" s="552"/>
      <c r="J899" s="553" t="s">
        <v>102</v>
      </c>
      <c r="K899" s="10">
        <f>data!G3597</f>
        <v>169.89</v>
      </c>
      <c r="L899" s="208" t="s">
        <v>2318</v>
      </c>
      <c r="M899" s="9">
        <f>ROUND(I899*K899,0)</f>
        <v>0</v>
      </c>
      <c r="N899" s="536" t="s">
        <v>2318</v>
      </c>
    </row>
    <row r="900" spans="1:14" ht="94.5" customHeight="1">
      <c r="A900" s="16">
        <v>11</v>
      </c>
      <c r="B900" s="1858" t="s">
        <v>1168</v>
      </c>
      <c r="C900" s="1858"/>
      <c r="D900" s="1858"/>
      <c r="E900" s="1858"/>
      <c r="F900" s="1858"/>
      <c r="G900" s="1858"/>
      <c r="H900" s="1858"/>
      <c r="I900" s="537"/>
      <c r="J900" s="538"/>
      <c r="K900" s="16"/>
      <c r="L900" s="208"/>
      <c r="M900" s="38"/>
      <c r="N900" s="536" t="s">
        <v>2218</v>
      </c>
    </row>
    <row r="901" spans="1:14" s="544" customFormat="1" ht="15.75">
      <c r="A901" s="16"/>
      <c r="B901" s="39" t="s">
        <v>2832</v>
      </c>
      <c r="C901" s="537"/>
      <c r="D901" s="539"/>
      <c r="E901" s="540"/>
      <c r="F901" s="541"/>
      <c r="G901" s="541"/>
      <c r="H901" s="541"/>
      <c r="I901" s="542"/>
      <c r="J901" s="553"/>
      <c r="K901" s="39"/>
      <c r="L901" s="208"/>
      <c r="M901" s="39"/>
      <c r="N901" s="536" t="s">
        <v>2218</v>
      </c>
    </row>
    <row r="902" spans="1:14" s="544" customFormat="1" ht="15.75">
      <c r="A902" s="16"/>
      <c r="B902" s="39"/>
      <c r="C902" s="537">
        <v>1</v>
      </c>
      <c r="D902" s="539" t="s">
        <v>273</v>
      </c>
      <c r="E902" s="540">
        <v>2</v>
      </c>
      <c r="F902" s="541">
        <v>3.25</v>
      </c>
      <c r="G902" s="541">
        <v>0</v>
      </c>
      <c r="H902" s="541">
        <v>2.7</v>
      </c>
      <c r="I902" s="545">
        <f t="shared" ref="I902:I904" si="42">ROUND(IF(AND(F902:H902),C902*E902*F902*G902*H902,IF(AND(F902,G902),C902*E902*F902*G902,IF(AND(F902,H902),C902*E902*F902*H902,IF(AND(G902,H902),C902*E902*G902*H902,IF(F902,C902*E902*F902,IF(G902,C902*E902*G902,IF(H902,C902*E902*H902,C902*E902))))))),2)</f>
        <v>17.55</v>
      </c>
      <c r="J902" s="553" t="s">
        <v>102</v>
      </c>
      <c r="K902" s="39"/>
      <c r="L902" s="208"/>
      <c r="M902" s="39"/>
      <c r="N902" s="536" t="s">
        <v>2218</v>
      </c>
    </row>
    <row r="903" spans="1:14" s="544" customFormat="1" ht="15.75">
      <c r="A903" s="16"/>
      <c r="B903" s="39"/>
      <c r="C903" s="537">
        <v>1</v>
      </c>
      <c r="D903" s="539" t="s">
        <v>273</v>
      </c>
      <c r="E903" s="540">
        <v>2</v>
      </c>
      <c r="F903" s="541">
        <v>4.74</v>
      </c>
      <c r="G903" s="541">
        <v>0</v>
      </c>
      <c r="H903" s="541">
        <v>2.7</v>
      </c>
      <c r="I903" s="545">
        <f t="shared" si="42"/>
        <v>25.6</v>
      </c>
      <c r="J903" s="553" t="s">
        <v>102</v>
      </c>
      <c r="K903" s="39"/>
      <c r="L903" s="208"/>
      <c r="M903" s="39"/>
      <c r="N903" s="536" t="s">
        <v>2218</v>
      </c>
    </row>
    <row r="904" spans="1:14" s="544" customFormat="1" ht="15.75">
      <c r="A904" s="16"/>
      <c r="B904" s="39" t="s">
        <v>2207</v>
      </c>
      <c r="C904" s="537">
        <v>1</v>
      </c>
      <c r="D904" s="539" t="s">
        <v>273</v>
      </c>
      <c r="E904" s="540">
        <v>1</v>
      </c>
      <c r="F904" s="541">
        <v>37.799999999999997</v>
      </c>
      <c r="G904" s="541">
        <v>0</v>
      </c>
      <c r="H904" s="541">
        <v>1.76</v>
      </c>
      <c r="I904" s="545">
        <f t="shared" si="42"/>
        <v>66.53</v>
      </c>
      <c r="J904" s="553" t="s">
        <v>102</v>
      </c>
      <c r="K904" s="39"/>
      <c r="L904" s="208"/>
      <c r="M904" s="39"/>
      <c r="N904" s="536" t="s">
        <v>2218</v>
      </c>
    </row>
    <row r="905" spans="1:14" s="544" customFormat="1" ht="16.5" customHeight="1">
      <c r="A905" s="16"/>
      <c r="B905" s="547"/>
      <c r="C905" s="548"/>
      <c r="D905" s="549"/>
      <c r="E905" s="550"/>
      <c r="F905" s="551"/>
      <c r="G905" s="551"/>
      <c r="H905" s="551"/>
      <c r="I905" s="552"/>
      <c r="J905" s="553"/>
      <c r="K905" s="39"/>
      <c r="L905" s="208"/>
      <c r="M905" s="39"/>
      <c r="N905" s="536" t="s">
        <v>2218</v>
      </c>
    </row>
    <row r="906" spans="1:14" ht="15.75">
      <c r="A906" s="16"/>
      <c r="B906" s="39"/>
      <c r="C906" s="554"/>
      <c r="D906" s="555"/>
      <c r="E906" s="540"/>
      <c r="F906" s="541"/>
      <c r="G906" s="40"/>
      <c r="H906" s="16"/>
      <c r="I906" s="552"/>
      <c r="J906" s="553" t="s">
        <v>102</v>
      </c>
      <c r="K906" s="10">
        <f>data!G860</f>
        <v>192.71</v>
      </c>
      <c r="L906" s="208" t="s">
        <v>2218</v>
      </c>
      <c r="M906" s="9">
        <f>ROUND(I906*K906,0)</f>
        <v>0</v>
      </c>
      <c r="N906" s="536" t="s">
        <v>2218</v>
      </c>
    </row>
    <row r="907" spans="1:14" ht="94.5" customHeight="1">
      <c r="A907" s="16">
        <v>11</v>
      </c>
      <c r="B907" s="1858" t="s">
        <v>1168</v>
      </c>
      <c r="C907" s="1858"/>
      <c r="D907" s="1858"/>
      <c r="E907" s="1858"/>
      <c r="F907" s="1858"/>
      <c r="G907" s="1858"/>
      <c r="H907" s="1858"/>
      <c r="I907" s="537"/>
      <c r="J907" s="538"/>
      <c r="K907" s="16"/>
      <c r="L907" s="208"/>
      <c r="M907" s="38"/>
      <c r="N907" s="536" t="s">
        <v>2306</v>
      </c>
    </row>
    <row r="908" spans="1:14" s="544" customFormat="1" ht="15.75">
      <c r="A908" s="16"/>
      <c r="B908" s="39" t="s">
        <v>3066</v>
      </c>
      <c r="C908" s="537"/>
      <c r="D908" s="539"/>
      <c r="E908" s="540"/>
      <c r="F908" s="541"/>
      <c r="G908" s="541"/>
      <c r="H908" s="541"/>
      <c r="I908" s="542"/>
      <c r="J908" s="553"/>
      <c r="K908" s="39"/>
      <c r="L908" s="208"/>
      <c r="M908" s="39"/>
      <c r="N908" s="536" t="s">
        <v>2306</v>
      </c>
    </row>
    <row r="909" spans="1:14" s="544" customFormat="1" ht="15.75">
      <c r="A909" s="16"/>
      <c r="B909" s="39" t="s">
        <v>3020</v>
      </c>
      <c r="C909" s="537">
        <v>1</v>
      </c>
      <c r="D909" s="539" t="s">
        <v>273</v>
      </c>
      <c r="E909" s="540">
        <v>1</v>
      </c>
      <c r="F909" s="541">
        <v>15.6</v>
      </c>
      <c r="G909" s="541">
        <v>0</v>
      </c>
      <c r="H909" s="541">
        <v>2.4</v>
      </c>
      <c r="I909" s="545">
        <f t="shared" ref="I909" si="43">ROUND(IF(AND(F909:H909),C909*E909*F909*G909*H909,IF(AND(F909,G909),C909*E909*F909*G909,IF(AND(F909,H909),C909*E909*F909*H909,IF(AND(G909,H909),C909*E909*G909*H909,IF(F909,C909*E909*F909,IF(G909,C909*E909*G909,IF(H909,C909*E909*H909,C909*E909))))))),2)</f>
        <v>37.44</v>
      </c>
      <c r="J909" s="553" t="s">
        <v>102</v>
      </c>
      <c r="K909" s="39"/>
      <c r="L909" s="208"/>
      <c r="M909" s="39"/>
      <c r="N909" s="536" t="s">
        <v>2306</v>
      </c>
    </row>
    <row r="910" spans="1:14" s="544" customFormat="1" ht="15.75">
      <c r="A910" s="16"/>
      <c r="B910" s="39" t="s">
        <v>579</v>
      </c>
      <c r="C910" s="537">
        <v>1</v>
      </c>
      <c r="D910" s="539" t="s">
        <v>273</v>
      </c>
      <c r="E910" s="540">
        <v>1</v>
      </c>
      <c r="F910" s="541">
        <v>1.2</v>
      </c>
      <c r="G910" s="541">
        <v>0</v>
      </c>
      <c r="H910" s="541">
        <v>2.1</v>
      </c>
      <c r="I910" s="545">
        <f>-ROUND(IF(AND(F910:H910),C910*E910*F910*G910*H910,IF(AND(F910,G910),C910*E910*F910*G910,IF(AND(F910,H910),C910*E910*F910*H910,IF(AND(G910,H910),C910*E910*G910*H910,IF(F910,C910*E910*F910,IF(G910,C910*E910*G910,IF(H910,C910*E910*H910,C910*E910))))))),2)</f>
        <v>-2.52</v>
      </c>
      <c r="J910" s="553" t="s">
        <v>102</v>
      </c>
      <c r="K910" s="39"/>
      <c r="L910" s="208"/>
      <c r="M910" s="39"/>
      <c r="N910" s="536" t="s">
        <v>2306</v>
      </c>
    </row>
    <row r="911" spans="1:14" s="544" customFormat="1" ht="15.75">
      <c r="A911" s="16"/>
      <c r="B911" s="39" t="s">
        <v>3021</v>
      </c>
      <c r="C911" s="537">
        <v>1</v>
      </c>
      <c r="D911" s="539" t="s">
        <v>273</v>
      </c>
      <c r="E911" s="540">
        <v>1</v>
      </c>
      <c r="F911" s="541">
        <v>1.27</v>
      </c>
      <c r="G911" s="541">
        <v>0</v>
      </c>
      <c r="H911" s="541">
        <v>1.8</v>
      </c>
      <c r="I911" s="545">
        <f>-ROUND(IF(AND(F911:H911),C911*E911*F911*G911*H911,IF(AND(F911,G911),C911*E911*F911*G911,IF(AND(F911,H911),C911*E911*F911*H911,IF(AND(G911,H911),C911*E911*G911*H911,IF(F911,C911*E911*F911,IF(G911,C911*E911*G911,IF(H911,C911*E911*H911,C911*E911))))))),2)</f>
        <v>-2.29</v>
      </c>
      <c r="J911" s="553" t="s">
        <v>102</v>
      </c>
      <c r="K911" s="39"/>
      <c r="L911" s="208"/>
      <c r="M911" s="39"/>
      <c r="N911" s="536" t="s">
        <v>2306</v>
      </c>
    </row>
    <row r="912" spans="1:14" s="544" customFormat="1" ht="15.75">
      <c r="A912" s="16"/>
      <c r="B912" s="39" t="s">
        <v>1492</v>
      </c>
      <c r="C912" s="537">
        <v>1</v>
      </c>
      <c r="D912" s="539" t="s">
        <v>273</v>
      </c>
      <c r="E912" s="540">
        <v>2</v>
      </c>
      <c r="F912" s="541">
        <v>41.7</v>
      </c>
      <c r="G912" s="541">
        <v>0</v>
      </c>
      <c r="H912" s="541">
        <v>0.9</v>
      </c>
      <c r="I912" s="545">
        <f t="shared" ref="I912" si="44">ROUND(IF(AND(F912:H912),C912*E912*F912*G912*H912,IF(AND(F912,G912),C912*E912*F912*G912,IF(AND(F912,H912),C912*E912*F912*H912,IF(AND(G912,H912),C912*E912*G912*H912,IF(F912,C912*E912*F912,IF(G912,C912*E912*G912,IF(H912,C912*E912*H912,C912*E912))))))),2)</f>
        <v>75.06</v>
      </c>
      <c r="J912" s="553" t="s">
        <v>102</v>
      </c>
      <c r="K912" s="39"/>
      <c r="L912" s="208"/>
      <c r="M912" s="39"/>
      <c r="N912" s="536" t="s">
        <v>2306</v>
      </c>
    </row>
    <row r="913" spans="1:14" s="544" customFormat="1" ht="16.5" customHeight="1">
      <c r="A913" s="16"/>
      <c r="B913" s="547"/>
      <c r="C913" s="548"/>
      <c r="D913" s="549"/>
      <c r="E913" s="550"/>
      <c r="F913" s="551"/>
      <c r="G913" s="551"/>
      <c r="H913" s="551"/>
      <c r="I913" s="552"/>
      <c r="J913" s="553"/>
      <c r="K913" s="39"/>
      <c r="L913" s="208"/>
      <c r="M913" s="39"/>
      <c r="N913" s="536" t="s">
        <v>2306</v>
      </c>
    </row>
    <row r="914" spans="1:14" ht="15.75">
      <c r="A914" s="16"/>
      <c r="B914" s="39"/>
      <c r="C914" s="554"/>
      <c r="D914" s="555"/>
      <c r="E914" s="540"/>
      <c r="F914" s="541"/>
      <c r="G914" s="40"/>
      <c r="H914" s="16"/>
      <c r="I914" s="552"/>
      <c r="J914" s="553" t="s">
        <v>102</v>
      </c>
      <c r="K914" s="10">
        <f>data!G1777</f>
        <v>206.39</v>
      </c>
      <c r="L914" s="208" t="s">
        <v>2306</v>
      </c>
      <c r="M914" s="9">
        <f>ROUND(I914*K914,0)</f>
        <v>0</v>
      </c>
      <c r="N914" s="536" t="s">
        <v>2306</v>
      </c>
    </row>
    <row r="915" spans="1:14" ht="94.5" customHeight="1">
      <c r="A915" s="16">
        <v>11</v>
      </c>
      <c r="B915" s="1858" t="s">
        <v>1168</v>
      </c>
      <c r="C915" s="1858"/>
      <c r="D915" s="1858"/>
      <c r="E915" s="1858"/>
      <c r="F915" s="1858"/>
      <c r="G915" s="1858"/>
      <c r="H915" s="1858"/>
      <c r="I915" s="537"/>
      <c r="J915" s="538"/>
      <c r="K915" s="16"/>
      <c r="L915" s="208"/>
      <c r="M915" s="38"/>
      <c r="N915" s="536" t="s">
        <v>2317</v>
      </c>
    </row>
    <row r="916" spans="1:14" s="544" customFormat="1" ht="15.75">
      <c r="A916" s="16"/>
      <c r="B916" s="39" t="s">
        <v>2832</v>
      </c>
      <c r="C916" s="537"/>
      <c r="D916" s="539"/>
      <c r="E916" s="540"/>
      <c r="F916" s="541"/>
      <c r="G916" s="541"/>
      <c r="H916" s="541"/>
      <c r="I916" s="542"/>
      <c r="J916" s="553"/>
      <c r="K916" s="39"/>
      <c r="L916" s="208"/>
      <c r="M916" s="39"/>
      <c r="N916" s="536" t="s">
        <v>2317</v>
      </c>
    </row>
    <row r="917" spans="1:14" s="544" customFormat="1" ht="15.75">
      <c r="A917" s="16"/>
      <c r="B917" s="39"/>
      <c r="C917" s="537">
        <v>1</v>
      </c>
      <c r="D917" s="539" t="s">
        <v>273</v>
      </c>
      <c r="E917" s="540">
        <v>2</v>
      </c>
      <c r="F917" s="541">
        <v>3.25</v>
      </c>
      <c r="G917" s="541">
        <v>0</v>
      </c>
      <c r="H917" s="541">
        <v>2.7</v>
      </c>
      <c r="I917" s="545">
        <f>ROUND(IF(AND(F917:H917),C917*E917*F917*G917*H917,IF(AND(F917,G917),C917*E917*F917*G917,IF(AND(F917,H917),C917*E917*F917*H917,IF(AND(G917,H917),C917*E917*G917*H917,IF(F917,C917*E917*F917,IF(G917,C917*E917*G917,IF(H917,C917*E917*H917,C917*E917))))))),2)</f>
        <v>17.55</v>
      </c>
      <c r="J917" s="553" t="s">
        <v>102</v>
      </c>
      <c r="K917" s="39"/>
      <c r="L917" s="208"/>
      <c r="M917" s="39"/>
      <c r="N917" s="536" t="s">
        <v>2317</v>
      </c>
    </row>
    <row r="918" spans="1:14" s="544" customFormat="1" ht="15.75">
      <c r="A918" s="16"/>
      <c r="B918" s="39"/>
      <c r="C918" s="537">
        <v>1</v>
      </c>
      <c r="D918" s="539" t="s">
        <v>273</v>
      </c>
      <c r="E918" s="540">
        <v>2</v>
      </c>
      <c r="F918" s="541">
        <v>4.74</v>
      </c>
      <c r="G918" s="541">
        <v>0</v>
      </c>
      <c r="H918" s="541">
        <v>2.7</v>
      </c>
      <c r="I918" s="545">
        <f>ROUND(IF(AND(F918:H918),C918*E918*F918*G918*H918,IF(AND(F918,G918),C918*E918*F918*G918,IF(AND(F918,H918),C918*E918*F918*H918,IF(AND(G918,H918),C918*E918*G918*H918,IF(F918,C918*E918*F918,IF(G918,C918*E918*G918,IF(H918,C918*E918*H918,C918*E918))))))),2)</f>
        <v>25.6</v>
      </c>
      <c r="J918" s="553" t="s">
        <v>102</v>
      </c>
      <c r="K918" s="39"/>
      <c r="L918" s="208"/>
      <c r="M918" s="39"/>
      <c r="N918" s="536" t="s">
        <v>2317</v>
      </c>
    </row>
    <row r="919" spans="1:14" s="544" customFormat="1" ht="15.75">
      <c r="A919" s="16"/>
      <c r="B919" s="39" t="s">
        <v>2207</v>
      </c>
      <c r="C919" s="537">
        <v>1</v>
      </c>
      <c r="D919" s="539" t="s">
        <v>273</v>
      </c>
      <c r="E919" s="540">
        <v>1</v>
      </c>
      <c r="F919" s="541">
        <v>37.799999999999997</v>
      </c>
      <c r="G919" s="541">
        <v>0</v>
      </c>
      <c r="H919" s="541">
        <v>1.76</v>
      </c>
      <c r="I919" s="545">
        <f>ROUND(IF(AND(F919:H919),C919*E919*F919*G919*H919,IF(AND(F919,G919),C919*E919*F919*G919,IF(AND(F919,H919),C919*E919*F919*H919,IF(AND(G919,H919),C919*E919*G919*H919,IF(F919,C919*E919*F919,IF(G919,C919*E919*G919,IF(H919,C919*E919*H919,C919*E919))))))),2)</f>
        <v>66.53</v>
      </c>
      <c r="J919" s="553" t="s">
        <v>102</v>
      </c>
      <c r="K919" s="39"/>
      <c r="L919" s="208"/>
      <c r="M919" s="39"/>
      <c r="N919" s="536" t="s">
        <v>2317</v>
      </c>
    </row>
    <row r="920" spans="1:14" s="544" customFormat="1" ht="16.5" customHeight="1">
      <c r="A920" s="16"/>
      <c r="B920" s="547"/>
      <c r="C920" s="548"/>
      <c r="D920" s="549"/>
      <c r="E920" s="550"/>
      <c r="F920" s="551"/>
      <c r="G920" s="551"/>
      <c r="H920" s="551"/>
      <c r="I920" s="552"/>
      <c r="J920" s="553"/>
      <c r="K920" s="39"/>
      <c r="L920" s="208"/>
      <c r="M920" s="39"/>
      <c r="N920" s="536" t="s">
        <v>2317</v>
      </c>
    </row>
    <row r="921" spans="1:14" ht="15.75">
      <c r="A921" s="16"/>
      <c r="B921" s="39"/>
      <c r="C921" s="554"/>
      <c r="D921" s="555"/>
      <c r="E921" s="540"/>
      <c r="F921" s="541"/>
      <c r="G921" s="40"/>
      <c r="H921" s="16"/>
      <c r="I921" s="552"/>
      <c r="J921" s="553" t="s">
        <v>102</v>
      </c>
      <c r="K921" s="10">
        <f>data!G2694</f>
        <v>216.76</v>
      </c>
      <c r="L921" s="208" t="s">
        <v>2317</v>
      </c>
      <c r="M921" s="9">
        <f>ROUND(I921*K921,0)</f>
        <v>0</v>
      </c>
      <c r="N921" s="536" t="s">
        <v>2317</v>
      </c>
    </row>
    <row r="922" spans="1:14" ht="94.5" customHeight="1">
      <c r="A922" s="16">
        <v>11</v>
      </c>
      <c r="B922" s="1858" t="s">
        <v>1168</v>
      </c>
      <c r="C922" s="1858"/>
      <c r="D922" s="1858"/>
      <c r="E922" s="1858"/>
      <c r="F922" s="1858"/>
      <c r="G922" s="1858"/>
      <c r="H922" s="1858"/>
      <c r="I922" s="537"/>
      <c r="J922" s="538"/>
      <c r="K922" s="16"/>
      <c r="L922" s="208"/>
      <c r="M922" s="38"/>
      <c r="N922" s="536" t="s">
        <v>2318</v>
      </c>
    </row>
    <row r="923" spans="1:14" s="544" customFormat="1" ht="15.75">
      <c r="A923" s="16"/>
      <c r="B923" s="39" t="s">
        <v>3097</v>
      </c>
      <c r="C923" s="561"/>
      <c r="D923" s="1145" t="s">
        <v>3337</v>
      </c>
      <c r="E923" s="563"/>
      <c r="F923" s="564"/>
      <c r="G923" s="564"/>
      <c r="H923" s="564"/>
      <c r="I923" s="565"/>
      <c r="J923" s="553"/>
      <c r="K923" s="39"/>
      <c r="L923" s="208"/>
      <c r="M923" s="39"/>
      <c r="N923" s="536" t="s">
        <v>2318</v>
      </c>
    </row>
    <row r="924" spans="1:14" s="544" customFormat="1" ht="15.75">
      <c r="A924" s="16"/>
      <c r="B924" s="39" t="s">
        <v>1544</v>
      </c>
      <c r="C924" s="537">
        <v>1</v>
      </c>
      <c r="D924" s="539" t="s">
        <v>273</v>
      </c>
      <c r="E924" s="540">
        <v>1</v>
      </c>
      <c r="F924" s="541">
        <v>2.68</v>
      </c>
      <c r="G924" s="541">
        <v>3.16</v>
      </c>
      <c r="H924" s="541">
        <v>0</v>
      </c>
      <c r="I924" s="545">
        <f t="shared" ref="I924:I925" si="45">ROUND(IF(AND(F924:H924),C924*E924*F924*G924*H924,IF(AND(F924,G924),C924*E924*F924*G924,IF(AND(F924,H924),C924*E924*F924*H924,IF(AND(G924,H924),C924*E924*G924*H924,IF(F924,C924*E924*F924,IF(G924,C924*E924*G924,IF(H924,C924*E924*H924,C924*E924))))))),2)</f>
        <v>8.4700000000000006</v>
      </c>
      <c r="J924" s="553" t="s">
        <v>102</v>
      </c>
      <c r="K924" s="39"/>
      <c r="L924" s="208"/>
      <c r="M924" s="39"/>
      <c r="N924" s="536" t="s">
        <v>2318</v>
      </c>
    </row>
    <row r="925" spans="1:14" s="544" customFormat="1" ht="15.75">
      <c r="A925" s="16"/>
      <c r="B925" s="39" t="s">
        <v>2372</v>
      </c>
      <c r="C925" s="537">
        <v>1</v>
      </c>
      <c r="D925" s="539" t="s">
        <v>273</v>
      </c>
      <c r="E925" s="540">
        <v>6</v>
      </c>
      <c r="F925" s="541">
        <v>1.8</v>
      </c>
      <c r="G925" s="541">
        <v>0.6</v>
      </c>
      <c r="H925" s="541">
        <v>0</v>
      </c>
      <c r="I925" s="545">
        <f t="shared" si="45"/>
        <v>6.48</v>
      </c>
      <c r="J925" s="553" t="s">
        <v>102</v>
      </c>
      <c r="K925" s="39"/>
      <c r="L925" s="208"/>
      <c r="M925" s="39"/>
      <c r="N925" s="536" t="s">
        <v>2318</v>
      </c>
    </row>
    <row r="926" spans="1:14" s="544" customFormat="1" ht="15.75">
      <c r="A926" s="16"/>
      <c r="B926" s="39" t="s">
        <v>3115</v>
      </c>
      <c r="C926" s="561"/>
      <c r="D926" s="1145" t="s">
        <v>3337</v>
      </c>
      <c r="E926" s="563"/>
      <c r="F926" s="564"/>
      <c r="G926" s="564"/>
      <c r="H926" s="564"/>
      <c r="I926" s="565"/>
      <c r="J926" s="553"/>
      <c r="K926" s="39"/>
      <c r="L926" s="208"/>
      <c r="M926" s="39"/>
      <c r="N926" s="536" t="s">
        <v>2318</v>
      </c>
    </row>
    <row r="927" spans="1:14" s="544" customFormat="1" ht="15.75">
      <c r="A927" s="16"/>
      <c r="B927" s="39" t="s">
        <v>813</v>
      </c>
      <c r="C927" s="537">
        <v>1</v>
      </c>
      <c r="D927" s="539" t="s">
        <v>273</v>
      </c>
      <c r="E927" s="540">
        <v>1</v>
      </c>
      <c r="F927" s="541">
        <v>3.7</v>
      </c>
      <c r="G927" s="541">
        <v>0.3</v>
      </c>
      <c r="H927" s="541">
        <v>0</v>
      </c>
      <c r="I927" s="545">
        <f t="shared" ref="I927:I930" si="46">ROUND(IF(AND(F927:H927),C927*E927*F927*G927*H927,IF(AND(F927,G927),C927*E927*F927*G927,IF(AND(F927,H927),C927*E927*F927*H927,IF(AND(G927,H927),C927*E927*G927*H927,IF(F927,C927*E927*F927,IF(G927,C927*E927*G927,IF(H927,C927*E927*H927,C927*E927))))))),2)</f>
        <v>1.1100000000000001</v>
      </c>
      <c r="J927" s="553" t="s">
        <v>102</v>
      </c>
      <c r="K927" s="39"/>
      <c r="L927" s="208"/>
      <c r="M927" s="39"/>
      <c r="N927" s="536" t="s">
        <v>2318</v>
      </c>
    </row>
    <row r="928" spans="1:14" s="544" customFormat="1" ht="15.75">
      <c r="A928" s="16"/>
      <c r="B928" s="39" t="s">
        <v>3174</v>
      </c>
      <c r="C928" s="537">
        <v>1</v>
      </c>
      <c r="D928" s="539" t="s">
        <v>273</v>
      </c>
      <c r="E928" s="540">
        <v>2</v>
      </c>
      <c r="F928" s="541">
        <v>5</v>
      </c>
      <c r="G928" s="541">
        <v>0.3</v>
      </c>
      <c r="H928" s="541">
        <v>0</v>
      </c>
      <c r="I928" s="545">
        <f t="shared" si="46"/>
        <v>3</v>
      </c>
      <c r="J928" s="553" t="s">
        <v>102</v>
      </c>
      <c r="K928" s="39"/>
      <c r="L928" s="208"/>
      <c r="M928" s="39"/>
      <c r="N928" s="536" t="s">
        <v>2318</v>
      </c>
    </row>
    <row r="929" spans="1:15" s="544" customFormat="1" ht="15.75">
      <c r="A929" s="16"/>
      <c r="B929" s="39" t="s">
        <v>2745</v>
      </c>
      <c r="C929" s="537">
        <v>1</v>
      </c>
      <c r="D929" s="539" t="s">
        <v>273</v>
      </c>
      <c r="E929" s="540">
        <v>2</v>
      </c>
      <c r="F929" s="541">
        <v>4.5</v>
      </c>
      <c r="G929" s="541">
        <v>0</v>
      </c>
      <c r="H929" s="541">
        <v>2.38</v>
      </c>
      <c r="I929" s="545">
        <f t="shared" si="46"/>
        <v>21.42</v>
      </c>
      <c r="J929" s="553" t="s">
        <v>102</v>
      </c>
      <c r="K929" s="39"/>
      <c r="L929" s="208"/>
      <c r="M929" s="39"/>
      <c r="N929" s="536" t="s">
        <v>2318</v>
      </c>
    </row>
    <row r="930" spans="1:15" s="544" customFormat="1" ht="15.75">
      <c r="A930" s="16"/>
      <c r="B930" s="39"/>
      <c r="C930" s="537">
        <v>1</v>
      </c>
      <c r="D930" s="539" t="s">
        <v>273</v>
      </c>
      <c r="E930" s="540">
        <v>2</v>
      </c>
      <c r="F930" s="541">
        <v>3.2</v>
      </c>
      <c r="G930" s="541">
        <v>0</v>
      </c>
      <c r="H930" s="541">
        <v>2.38</v>
      </c>
      <c r="I930" s="545">
        <f t="shared" si="46"/>
        <v>15.23</v>
      </c>
      <c r="J930" s="553" t="s">
        <v>102</v>
      </c>
      <c r="K930" s="39"/>
      <c r="L930" s="208"/>
      <c r="M930" s="39"/>
      <c r="N930" s="536" t="s">
        <v>2318</v>
      </c>
    </row>
    <row r="931" spans="1:15" s="544" customFormat="1" ht="15.75">
      <c r="A931" s="16"/>
      <c r="B931" s="39" t="s">
        <v>1535</v>
      </c>
      <c r="C931" s="537">
        <v>1</v>
      </c>
      <c r="D931" s="539" t="s">
        <v>273</v>
      </c>
      <c r="E931" s="540">
        <v>1</v>
      </c>
      <c r="F931" s="541">
        <v>1.2</v>
      </c>
      <c r="G931" s="541">
        <v>0</v>
      </c>
      <c r="H931" s="541">
        <v>1.1000000000000001</v>
      </c>
      <c r="I931" s="545">
        <f>-ROUND(IF(AND(F931:H931),C931*E931*F931*G931*H931,IF(AND(F931,G931),C931*E931*F931*G931,IF(AND(F931,H931),C931*E931*F931*H931,IF(AND(G931,H931),C931*E931*G931*H931,IF(F931,C931*E931*F931,IF(G931,C931*E931*G931,IF(H931,C931*E931*H931,C931*E931))))))),2)</f>
        <v>-1.32</v>
      </c>
      <c r="J931" s="553" t="s">
        <v>102</v>
      </c>
      <c r="K931" s="39"/>
      <c r="L931" s="208"/>
      <c r="M931" s="39"/>
      <c r="N931" s="536" t="s">
        <v>2318</v>
      </c>
    </row>
    <row r="932" spans="1:15" s="544" customFormat="1" ht="15.75">
      <c r="A932" s="16"/>
      <c r="B932" s="39" t="s">
        <v>1492</v>
      </c>
      <c r="C932" s="537">
        <v>1</v>
      </c>
      <c r="D932" s="539" t="s">
        <v>273</v>
      </c>
      <c r="E932" s="540">
        <v>1</v>
      </c>
      <c r="F932" s="541">
        <v>10.050000000000001</v>
      </c>
      <c r="G932" s="541">
        <v>0</v>
      </c>
      <c r="H932" s="541">
        <v>1.9</v>
      </c>
      <c r="I932" s="545">
        <f t="shared" ref="I932:I935" si="47">ROUND(IF(AND(F932:H932),C932*E932*F932*G932*H932,IF(AND(F932,G932),C932*E932*F932*G932,IF(AND(F932,H932),C932*E932*F932*H932,IF(AND(G932,H932),C932*E932*G932*H932,IF(F932,C932*E932*F932,IF(G932,C932*E932*G932,IF(H932,C932*E932*H932,C932*E932))))))),2)</f>
        <v>19.100000000000001</v>
      </c>
      <c r="J932" s="553" t="s">
        <v>102</v>
      </c>
      <c r="K932" s="39"/>
      <c r="L932" s="208"/>
      <c r="M932" s="39"/>
      <c r="N932" s="536" t="s">
        <v>2318</v>
      </c>
    </row>
    <row r="933" spans="1:15" s="544" customFormat="1" ht="15.75">
      <c r="A933" s="16"/>
      <c r="B933" s="39"/>
      <c r="C933" s="537">
        <v>1</v>
      </c>
      <c r="D933" s="539" t="s">
        <v>273</v>
      </c>
      <c r="E933" s="540">
        <v>1</v>
      </c>
      <c r="F933" s="541">
        <v>9.1999999999999993</v>
      </c>
      <c r="G933" s="541">
        <v>0</v>
      </c>
      <c r="H933" s="541">
        <v>1.9</v>
      </c>
      <c r="I933" s="545">
        <f t="shared" si="47"/>
        <v>17.48</v>
      </c>
      <c r="J933" s="553" t="s">
        <v>102</v>
      </c>
      <c r="K933" s="39"/>
      <c r="L933" s="208"/>
      <c r="M933" s="39"/>
      <c r="N933" s="536" t="s">
        <v>2318</v>
      </c>
    </row>
    <row r="934" spans="1:15" s="544" customFormat="1" ht="15.75">
      <c r="A934" s="16"/>
      <c r="B934" s="39"/>
      <c r="C934" s="537">
        <v>1</v>
      </c>
      <c r="D934" s="539" t="s">
        <v>273</v>
      </c>
      <c r="E934" s="540">
        <v>1</v>
      </c>
      <c r="F934" s="541">
        <v>13.7</v>
      </c>
      <c r="G934" s="541">
        <v>0</v>
      </c>
      <c r="H934" s="541">
        <v>1.9</v>
      </c>
      <c r="I934" s="545">
        <f t="shared" si="47"/>
        <v>26.03</v>
      </c>
      <c r="J934" s="553" t="s">
        <v>102</v>
      </c>
      <c r="K934" s="39"/>
      <c r="L934" s="208"/>
      <c r="M934" s="39"/>
      <c r="N934" s="536" t="s">
        <v>2318</v>
      </c>
    </row>
    <row r="935" spans="1:15" s="544" customFormat="1" ht="15.75">
      <c r="A935" s="16"/>
      <c r="B935" s="39"/>
      <c r="C935" s="537">
        <v>1</v>
      </c>
      <c r="D935" s="539" t="s">
        <v>273</v>
      </c>
      <c r="E935" s="540">
        <v>1</v>
      </c>
      <c r="F935" s="541">
        <v>5.95</v>
      </c>
      <c r="G935" s="541">
        <v>0</v>
      </c>
      <c r="H935" s="541">
        <v>1.9</v>
      </c>
      <c r="I935" s="545">
        <f t="shared" si="47"/>
        <v>11.31</v>
      </c>
      <c r="J935" s="553" t="s">
        <v>102</v>
      </c>
      <c r="K935" s="39"/>
      <c r="L935" s="208"/>
      <c r="M935" s="39"/>
      <c r="N935" s="536" t="s">
        <v>2318</v>
      </c>
    </row>
    <row r="936" spans="1:15" s="544" customFormat="1" ht="16.5" customHeight="1">
      <c r="A936" s="16"/>
      <c r="B936" s="547"/>
      <c r="C936" s="548"/>
      <c r="D936" s="549"/>
      <c r="E936" s="550"/>
      <c r="F936" s="551"/>
      <c r="G936" s="551"/>
      <c r="H936" s="551"/>
      <c r="I936" s="552"/>
      <c r="J936" s="553"/>
      <c r="K936" s="39"/>
      <c r="L936" s="208"/>
      <c r="M936" s="39"/>
      <c r="N936" s="536" t="s">
        <v>2318</v>
      </c>
    </row>
    <row r="937" spans="1:15" ht="15.75">
      <c r="A937" s="16"/>
      <c r="B937" s="39"/>
      <c r="C937" s="554"/>
      <c r="D937" s="555"/>
      <c r="E937" s="540"/>
      <c r="F937" s="541"/>
      <c r="G937" s="40"/>
      <c r="H937" s="16"/>
      <c r="I937" s="552"/>
      <c r="J937" s="553" t="s">
        <v>102</v>
      </c>
      <c r="K937" s="10">
        <f>data!G3611</f>
        <v>233.59</v>
      </c>
      <c r="L937" s="208" t="s">
        <v>2318</v>
      </c>
      <c r="M937" s="9">
        <f>ROUND(I937*K937,0)</f>
        <v>0</v>
      </c>
      <c r="N937" s="536" t="s">
        <v>2318</v>
      </c>
    </row>
    <row r="938" spans="1:15" ht="69.75" customHeight="1">
      <c r="A938" s="16">
        <v>12</v>
      </c>
      <c r="B938" s="1858" t="s">
        <v>124</v>
      </c>
      <c r="C938" s="1858"/>
      <c r="D938" s="1858"/>
      <c r="E938" s="1858"/>
      <c r="F938" s="1858"/>
      <c r="G938" s="1858"/>
      <c r="H938" s="1858"/>
      <c r="I938" s="537"/>
      <c r="J938" s="538"/>
      <c r="K938" s="16"/>
      <c r="L938" s="208"/>
      <c r="M938" s="38"/>
      <c r="N938" s="536" t="s">
        <v>2218</v>
      </c>
    </row>
    <row r="939" spans="1:15" s="544" customFormat="1" ht="16.5" customHeight="1">
      <c r="A939" s="16"/>
      <c r="B939" s="39" t="s">
        <v>3124</v>
      </c>
      <c r="C939" s="566" t="s">
        <v>1435</v>
      </c>
      <c r="D939" s="567"/>
      <c r="E939" s="568"/>
      <c r="F939" s="569"/>
      <c r="G939" s="1145" t="s">
        <v>3346</v>
      </c>
      <c r="H939" s="570"/>
      <c r="I939" s="571">
        <v>143.08000000000001</v>
      </c>
      <c r="J939" s="553" t="s">
        <v>141</v>
      </c>
      <c r="K939" s="39"/>
      <c r="L939" s="208"/>
      <c r="M939" s="39"/>
      <c r="N939" s="536" t="s">
        <v>2218</v>
      </c>
      <c r="O939" s="449"/>
    </row>
    <row r="940" spans="1:15" s="544" customFormat="1" ht="16.5" customHeight="1">
      <c r="A940" s="16"/>
      <c r="B940" s="39" t="s">
        <v>3125</v>
      </c>
      <c r="C940" s="566" t="s">
        <v>1626</v>
      </c>
      <c r="D940" s="567"/>
      <c r="E940" s="568"/>
      <c r="F940" s="569"/>
      <c r="G940" s="1145" t="s">
        <v>3347</v>
      </c>
      <c r="H940" s="570"/>
      <c r="I940" s="571">
        <v>279.93</v>
      </c>
      <c r="J940" s="553" t="s">
        <v>141</v>
      </c>
      <c r="K940" s="39"/>
      <c r="L940" s="208"/>
      <c r="M940" s="39"/>
      <c r="N940" s="536" t="s">
        <v>2218</v>
      </c>
      <c r="O940" s="449"/>
    </row>
    <row r="941" spans="1:15" s="544" customFormat="1" ht="16.5" customHeight="1">
      <c r="A941" s="16"/>
      <c r="B941" s="39"/>
      <c r="C941" s="566"/>
      <c r="D941" s="567"/>
      <c r="E941" s="568"/>
      <c r="F941" s="569"/>
      <c r="G941" s="569"/>
      <c r="H941" s="570"/>
      <c r="I941" s="571"/>
      <c r="J941" s="553"/>
      <c r="K941" s="39"/>
      <c r="L941" s="16"/>
      <c r="M941" s="39"/>
      <c r="N941" s="536" t="s">
        <v>2218</v>
      </c>
    </row>
    <row r="942" spans="1:15" s="544" customFormat="1" ht="16.5" customHeight="1">
      <c r="A942" s="16"/>
      <c r="B942" s="39"/>
      <c r="C942" s="566"/>
      <c r="D942" s="567"/>
      <c r="E942" s="568"/>
      <c r="F942" s="569"/>
      <c r="G942" s="569"/>
      <c r="H942" s="570"/>
      <c r="I942" s="571">
        <f>SUM(I939:I941)</f>
        <v>423.01</v>
      </c>
      <c r="J942" s="553" t="s">
        <v>141</v>
      </c>
      <c r="K942" s="39"/>
      <c r="L942" s="208"/>
      <c r="M942" s="39"/>
      <c r="N942" s="536" t="s">
        <v>2218</v>
      </c>
    </row>
    <row r="943" spans="1:15" ht="15.75">
      <c r="A943" s="16"/>
      <c r="B943" s="39"/>
      <c r="C943" s="554"/>
      <c r="D943" s="555"/>
      <c r="E943" s="540"/>
      <c r="F943" s="541"/>
      <c r="G943" s="40"/>
      <c r="H943" s="16" t="s">
        <v>902</v>
      </c>
      <c r="I943" s="552"/>
      <c r="J943" s="553" t="s">
        <v>29</v>
      </c>
      <c r="K943" s="10">
        <f>data!G286</f>
        <v>64288.5</v>
      </c>
      <c r="L943" s="208" t="s">
        <v>2218</v>
      </c>
      <c r="M943" s="9">
        <f>ROUND(I943*K943,0)</f>
        <v>0</v>
      </c>
      <c r="N943" s="536" t="s">
        <v>2218</v>
      </c>
    </row>
    <row r="944" spans="1:15" ht="71.25" customHeight="1">
      <c r="A944" s="16">
        <v>12</v>
      </c>
      <c r="B944" s="1858" t="s">
        <v>124</v>
      </c>
      <c r="C944" s="1858"/>
      <c r="D944" s="1858"/>
      <c r="E944" s="1858"/>
      <c r="F944" s="1858"/>
      <c r="G944" s="1858"/>
      <c r="H944" s="1858"/>
      <c r="I944" s="537"/>
      <c r="J944" s="538"/>
      <c r="K944" s="16"/>
      <c r="L944" s="208"/>
      <c r="M944" s="38"/>
      <c r="N944" s="536" t="s">
        <v>2306</v>
      </c>
    </row>
    <row r="945" spans="1:15" s="544" customFormat="1" ht="16.5" customHeight="1">
      <c r="A945" s="16"/>
      <c r="B945" s="39" t="s">
        <v>2839</v>
      </c>
      <c r="C945" s="448" t="s">
        <v>2569</v>
      </c>
      <c r="D945" s="567"/>
      <c r="E945" s="568"/>
      <c r="F945" s="569"/>
      <c r="G945" s="569"/>
      <c r="H945" s="570"/>
      <c r="I945" s="612">
        <v>95.85</v>
      </c>
      <c r="J945" s="553" t="s">
        <v>141</v>
      </c>
      <c r="K945" s="39"/>
      <c r="L945" s="208"/>
      <c r="M945" s="39"/>
      <c r="N945" s="536" t="s">
        <v>2306</v>
      </c>
      <c r="O945" s="449"/>
    </row>
    <row r="946" spans="1:15" s="544" customFormat="1" ht="16.5" customHeight="1">
      <c r="A946" s="16"/>
      <c r="B946" s="39" t="s">
        <v>2931</v>
      </c>
      <c r="C946" s="566" t="s">
        <v>2932</v>
      </c>
      <c r="D946" s="567"/>
      <c r="E946" s="568"/>
      <c r="F946" s="569"/>
      <c r="G946" s="569"/>
      <c r="H946" s="570"/>
      <c r="I946" s="571">
        <v>353.47</v>
      </c>
      <c r="J946" s="553" t="s">
        <v>141</v>
      </c>
      <c r="K946" s="39"/>
      <c r="L946" s="16"/>
      <c r="M946" s="39"/>
      <c r="N946" s="536" t="s">
        <v>2306</v>
      </c>
    </row>
    <row r="947" spans="1:15" s="544" customFormat="1" ht="16.5" customHeight="1">
      <c r="A947" s="16"/>
      <c r="B947" s="39"/>
      <c r="C947" s="566"/>
      <c r="D947" s="567"/>
      <c r="E947" s="568"/>
      <c r="F947" s="569"/>
      <c r="G947" s="569"/>
      <c r="H947" s="570"/>
      <c r="I947" s="571">
        <f>SUM(I945:I946)</f>
        <v>449.32000000000005</v>
      </c>
      <c r="J947" s="553" t="s">
        <v>141</v>
      </c>
      <c r="K947" s="39"/>
      <c r="L947" s="208"/>
      <c r="M947" s="39"/>
      <c r="N947" s="536" t="s">
        <v>2306</v>
      </c>
    </row>
    <row r="948" spans="1:15" ht="15.75">
      <c r="A948" s="16"/>
      <c r="B948" s="39"/>
      <c r="C948" s="554"/>
      <c r="D948" s="555"/>
      <c r="E948" s="540"/>
      <c r="F948" s="541"/>
      <c r="G948" s="40"/>
      <c r="H948" s="16" t="s">
        <v>902</v>
      </c>
      <c r="I948" s="552"/>
      <c r="J948" s="553" t="s">
        <v>29</v>
      </c>
      <c r="K948" s="10">
        <f>data!G1202</f>
        <v>64635</v>
      </c>
      <c r="L948" s="208" t="s">
        <v>2306</v>
      </c>
      <c r="M948" s="9">
        <f>ROUND(I948*K948,0)</f>
        <v>0</v>
      </c>
      <c r="N948" s="536" t="s">
        <v>2306</v>
      </c>
    </row>
    <row r="949" spans="1:15" ht="69.75" customHeight="1">
      <c r="A949" s="16">
        <v>12</v>
      </c>
      <c r="B949" s="1858" t="s">
        <v>124</v>
      </c>
      <c r="C949" s="1858"/>
      <c r="D949" s="1858"/>
      <c r="E949" s="1858"/>
      <c r="F949" s="1858"/>
      <c r="G949" s="1858"/>
      <c r="H949" s="1858"/>
      <c r="I949" s="537"/>
      <c r="J949" s="538"/>
      <c r="K949" s="16"/>
      <c r="L949" s="208"/>
      <c r="M949" s="38"/>
      <c r="N949" s="536" t="s">
        <v>2317</v>
      </c>
    </row>
    <row r="950" spans="1:15" s="544" customFormat="1" ht="16.5" customHeight="1">
      <c r="A950" s="16"/>
      <c r="B950" s="39" t="s">
        <v>3124</v>
      </c>
      <c r="C950" s="566" t="s">
        <v>1435</v>
      </c>
      <c r="D950" s="567"/>
      <c r="E950" s="568"/>
      <c r="F950" s="569"/>
      <c r="G950" s="569"/>
      <c r="H950" s="570"/>
      <c r="I950" s="571">
        <v>143.08000000000001</v>
      </c>
      <c r="J950" s="553" t="s">
        <v>141</v>
      </c>
      <c r="K950" s="39"/>
      <c r="L950" s="208"/>
      <c r="M950" s="39"/>
      <c r="N950" s="536" t="s">
        <v>2317</v>
      </c>
      <c r="O950" s="449"/>
    </row>
    <row r="951" spans="1:15" s="544" customFormat="1" ht="16.5" customHeight="1">
      <c r="A951" s="16"/>
      <c r="B951" s="39" t="s">
        <v>3125</v>
      </c>
      <c r="C951" s="566" t="s">
        <v>1626</v>
      </c>
      <c r="D951" s="567"/>
      <c r="E951" s="568"/>
      <c r="F951" s="569"/>
      <c r="G951" s="569"/>
      <c r="H951" s="570"/>
      <c r="I951" s="571">
        <v>279.93</v>
      </c>
      <c r="J951" s="553" t="s">
        <v>141</v>
      </c>
      <c r="K951" s="39"/>
      <c r="L951" s="16"/>
      <c r="M951" s="39"/>
      <c r="N951" s="536" t="s">
        <v>2317</v>
      </c>
    </row>
    <row r="952" spans="1:15" s="544" customFormat="1" ht="16.5" customHeight="1">
      <c r="A952" s="16"/>
      <c r="B952" s="39"/>
      <c r="C952" s="566"/>
      <c r="D952" s="567"/>
      <c r="E952" s="568"/>
      <c r="F952" s="569"/>
      <c r="G952" s="569"/>
      <c r="H952" s="570"/>
      <c r="I952" s="571"/>
      <c r="J952" s="553"/>
      <c r="K952" s="39"/>
      <c r="L952" s="16"/>
      <c r="M952" s="39"/>
      <c r="N952" s="536" t="s">
        <v>2317</v>
      </c>
    </row>
    <row r="953" spans="1:15" s="544" customFormat="1" ht="16.5" customHeight="1">
      <c r="A953" s="16"/>
      <c r="B953" s="39"/>
      <c r="C953" s="566"/>
      <c r="D953" s="567"/>
      <c r="E953" s="568"/>
      <c r="F953" s="569"/>
      <c r="G953" s="569"/>
      <c r="H953" s="570"/>
      <c r="I953" s="571"/>
      <c r="J953" s="553" t="s">
        <v>141</v>
      </c>
      <c r="K953" s="39"/>
      <c r="L953" s="208"/>
      <c r="M953" s="39"/>
      <c r="N953" s="536" t="s">
        <v>2317</v>
      </c>
    </row>
    <row r="954" spans="1:15" ht="15.75">
      <c r="A954" s="16"/>
      <c r="B954" s="39"/>
      <c r="C954" s="554"/>
      <c r="D954" s="555"/>
      <c r="E954" s="540"/>
      <c r="F954" s="541"/>
      <c r="G954" s="40"/>
      <c r="H954" s="16" t="s">
        <v>902</v>
      </c>
      <c r="I954" s="552">
        <f>ROUND((I953/1000)*1,2)</f>
        <v>0</v>
      </c>
      <c r="J954" s="553" t="s">
        <v>29</v>
      </c>
      <c r="K954" s="10">
        <f>data!G2119</f>
        <v>82189.5</v>
      </c>
      <c r="L954" s="208" t="s">
        <v>2317</v>
      </c>
      <c r="M954" s="9">
        <f>ROUND(I954*K954,0)</f>
        <v>0</v>
      </c>
      <c r="N954" s="536" t="s">
        <v>2317</v>
      </c>
    </row>
    <row r="955" spans="1:15" ht="69.75" customHeight="1">
      <c r="A955" s="16">
        <v>12</v>
      </c>
      <c r="B955" s="1858" t="s">
        <v>124</v>
      </c>
      <c r="C955" s="1858"/>
      <c r="D955" s="1858"/>
      <c r="E955" s="1858"/>
      <c r="F955" s="1858"/>
      <c r="G955" s="1858"/>
      <c r="H955" s="1858"/>
      <c r="I955" s="537"/>
      <c r="J955" s="538"/>
      <c r="K955" s="16"/>
      <c r="L955" s="208"/>
      <c r="M955" s="38"/>
      <c r="N955" s="536" t="s">
        <v>2318</v>
      </c>
    </row>
    <row r="956" spans="1:15" s="544" customFormat="1" ht="16.5" customHeight="1">
      <c r="A956" s="16"/>
      <c r="B956" s="39" t="s">
        <v>2907</v>
      </c>
      <c r="C956" s="448" t="s">
        <v>1558</v>
      </c>
      <c r="D956" s="567"/>
      <c r="E956" s="568"/>
      <c r="F956" s="569"/>
      <c r="G956" s="569"/>
      <c r="H956" s="570"/>
      <c r="I956" s="612"/>
      <c r="J956" s="553" t="s">
        <v>141</v>
      </c>
      <c r="K956" s="39"/>
      <c r="L956" s="208"/>
      <c r="M956" s="39"/>
      <c r="N956" s="536" t="s">
        <v>2318</v>
      </c>
      <c r="O956" s="449"/>
    </row>
    <row r="957" spans="1:15" s="544" customFormat="1" ht="16.5" customHeight="1">
      <c r="A957" s="16"/>
      <c r="B957" s="39" t="s">
        <v>2880</v>
      </c>
      <c r="C957" s="566" t="s">
        <v>1626</v>
      </c>
      <c r="D957" s="567"/>
      <c r="E957" s="568"/>
      <c r="F957" s="569"/>
      <c r="G957" s="569"/>
      <c r="H957" s="570"/>
      <c r="I957" s="571"/>
      <c r="J957" s="553" t="s">
        <v>141</v>
      </c>
      <c r="K957" s="39"/>
      <c r="L957" s="16"/>
      <c r="M957" s="39"/>
      <c r="N957" s="536" t="s">
        <v>2318</v>
      </c>
    </row>
    <row r="958" spans="1:15" s="544" customFormat="1" ht="16.5" customHeight="1">
      <c r="A958" s="16"/>
      <c r="B958" s="39"/>
      <c r="C958" s="566"/>
      <c r="D958" s="567"/>
      <c r="E958" s="568"/>
      <c r="F958" s="569"/>
      <c r="G958" s="569"/>
      <c r="H958" s="570"/>
      <c r="I958" s="571"/>
      <c r="J958" s="553"/>
      <c r="K958" s="39"/>
      <c r="L958" s="16"/>
      <c r="M958" s="39"/>
      <c r="N958" s="536" t="s">
        <v>2318</v>
      </c>
    </row>
    <row r="959" spans="1:15" s="544" customFormat="1" ht="16.5" customHeight="1">
      <c r="A959" s="16"/>
      <c r="B959" s="39"/>
      <c r="C959" s="566"/>
      <c r="D959" s="567"/>
      <c r="E959" s="568"/>
      <c r="F959" s="569"/>
      <c r="G959" s="569"/>
      <c r="H959" s="570"/>
      <c r="I959" s="571">
        <f>SUM(I956:I958)</f>
        <v>0</v>
      </c>
      <c r="J959" s="553" t="s">
        <v>141</v>
      </c>
      <c r="K959" s="39"/>
      <c r="L959" s="208"/>
      <c r="M959" s="39"/>
      <c r="N959" s="536" t="s">
        <v>2318</v>
      </c>
    </row>
    <row r="960" spans="1:15" ht="15.75">
      <c r="A960" s="16"/>
      <c r="B960" s="39"/>
      <c r="C960" s="554"/>
      <c r="D960" s="555"/>
      <c r="E960" s="540"/>
      <c r="F960" s="541"/>
      <c r="G960" s="40"/>
      <c r="H960" s="16" t="s">
        <v>902</v>
      </c>
      <c r="I960" s="552">
        <f>ROUND((I959/1000)*1,2)</f>
        <v>0</v>
      </c>
      <c r="J960" s="553" t="s">
        <v>29</v>
      </c>
      <c r="K960" s="10">
        <f>data!G3036</f>
        <v>95016</v>
      </c>
      <c r="L960" s="208" t="s">
        <v>2318</v>
      </c>
      <c r="M960" s="9">
        <f>ROUND(I960*K960,0)</f>
        <v>0</v>
      </c>
      <c r="N960" s="536" t="s">
        <v>2318</v>
      </c>
    </row>
    <row r="961" spans="1:15">
      <c r="A961" s="16"/>
      <c r="B961" s="39"/>
      <c r="C961" s="554"/>
      <c r="D961" s="555"/>
      <c r="E961" s="540"/>
      <c r="F961" s="541"/>
      <c r="G961" s="40"/>
      <c r="H961" s="16"/>
      <c r="I961" s="592"/>
      <c r="J961" s="553"/>
      <c r="K961" s="10"/>
      <c r="L961" s="208"/>
      <c r="M961" s="9"/>
    </row>
    <row r="962" spans="1:15">
      <c r="A962" s="16"/>
      <c r="B962" s="39"/>
      <c r="C962" s="554"/>
      <c r="D962" s="555"/>
      <c r="E962" s="540"/>
      <c r="F962" s="541"/>
      <c r="G962" s="40"/>
      <c r="H962" s="16"/>
      <c r="I962" s="592"/>
      <c r="J962" s="553"/>
      <c r="K962" s="10"/>
      <c r="L962" s="208"/>
      <c r="M962" s="9"/>
    </row>
    <row r="963" spans="1:15">
      <c r="A963" s="16"/>
      <c r="B963" s="700"/>
      <c r="C963" s="533"/>
      <c r="D963" s="948"/>
      <c r="E963" s="593"/>
      <c r="F963" s="594"/>
      <c r="G963" s="594"/>
      <c r="H963" s="700"/>
      <c r="I963" s="552"/>
      <c r="J963" s="595"/>
      <c r="K963" s="10"/>
      <c r="L963" s="208"/>
      <c r="M963" s="596">
        <f>SUM(M8:M962)</f>
        <v>0</v>
      </c>
      <c r="N963" s="597"/>
      <c r="O963" s="597"/>
    </row>
    <row r="964" spans="1:15">
      <c r="M964" s="603"/>
    </row>
    <row r="965" spans="1:15">
      <c r="H965" s="58"/>
      <c r="I965" s="58"/>
      <c r="J965" s="58"/>
      <c r="M965" s="597"/>
    </row>
    <row r="966" spans="1:15">
      <c r="H966" s="58"/>
      <c r="I966" s="58"/>
      <c r="J966" s="58"/>
      <c r="M966" s="597"/>
    </row>
    <row r="967" spans="1:15">
      <c r="H967" s="58"/>
      <c r="I967" s="58"/>
      <c r="J967" s="58"/>
      <c r="M967" s="597"/>
    </row>
    <row r="968" spans="1:15">
      <c r="H968" s="55" t="str">
        <f>'lead 19-20'!$H$31</f>
        <v>Deputy Executive Engineer</v>
      </c>
      <c r="I968" s="604"/>
      <c r="J968" s="604"/>
      <c r="K968" s="605"/>
      <c r="L968" s="226" t="str">
        <f>'lead 19-20'!$K$31</f>
        <v>Assistant  Engineer</v>
      </c>
    </row>
    <row r="969" spans="1:15">
      <c r="H969" s="55" t="str">
        <f>'lead 19-20'!$H$32</f>
        <v>PRI Sub Division</v>
      </c>
      <c r="I969" s="604"/>
      <c r="J969" s="604"/>
      <c r="K969" s="605"/>
      <c r="L969" s="226" t="str">
        <f>'lead 19-20'!$K$32</f>
        <v>Mandal Praja parishad</v>
      </c>
    </row>
    <row r="970" spans="1:15">
      <c r="H970" s="55" t="str">
        <f>'lead 19-20'!$H$33</f>
        <v>Kanigiri</v>
      </c>
      <c r="I970" s="12"/>
      <c r="J970" s="12"/>
      <c r="K970" s="526"/>
      <c r="L970" s="226" t="str">
        <f>'lead 19-20'!$K$33</f>
        <v>Kanigiri</v>
      </c>
    </row>
    <row r="976" spans="1:15" s="601" customFormat="1">
      <c r="C976" s="58"/>
      <c r="E976" s="598"/>
      <c r="F976" s="599"/>
      <c r="G976" s="600"/>
      <c r="H976" s="12"/>
      <c r="K976" s="606"/>
      <c r="L976" s="602"/>
    </row>
  </sheetData>
  <autoFilter ref="A7:M961">
    <filterColumn colId="2" showButton="0"/>
    <filterColumn colId="3" showButton="0"/>
  </autoFilter>
  <mergeCells count="157">
    <mergeCell ref="B955:H955"/>
    <mergeCell ref="B949:H949"/>
    <mergeCell ref="B848:H848"/>
    <mergeCell ref="B856:H856"/>
    <mergeCell ref="B884:H884"/>
    <mergeCell ref="B892:H892"/>
    <mergeCell ref="B915:H915"/>
    <mergeCell ref="B770:H770"/>
    <mergeCell ref="B788:H788"/>
    <mergeCell ref="B794:H794"/>
    <mergeCell ref="B816:H816"/>
    <mergeCell ref="B824:H824"/>
    <mergeCell ref="B907:H907"/>
    <mergeCell ref="B944:H944"/>
    <mergeCell ref="B633:H633"/>
    <mergeCell ref="B654:H654"/>
    <mergeCell ref="B661:H661"/>
    <mergeCell ref="B682:H682"/>
    <mergeCell ref="B689:H689"/>
    <mergeCell ref="B647:H647"/>
    <mergeCell ref="B675:H675"/>
    <mergeCell ref="B696:H696"/>
    <mergeCell ref="B640:H640"/>
    <mergeCell ref="B668:H668"/>
    <mergeCell ref="B626:H626"/>
    <mergeCell ref="B497:H497"/>
    <mergeCell ref="B526:H526"/>
    <mergeCell ref="B533:H533"/>
    <mergeCell ref="B550:H550"/>
    <mergeCell ref="B555:H555"/>
    <mergeCell ref="B619:H619"/>
    <mergeCell ref="B591:H591"/>
    <mergeCell ref="B516:H516"/>
    <mergeCell ref="B228:H228"/>
    <mergeCell ref="B233:H233"/>
    <mergeCell ref="B250:H250"/>
    <mergeCell ref="B256:H256"/>
    <mergeCell ref="B275:H275"/>
    <mergeCell ref="B283:H283"/>
    <mergeCell ref="B308:H308"/>
    <mergeCell ref="B313:H313"/>
    <mergeCell ref="B321:H321"/>
    <mergeCell ref="B355:H355"/>
    <mergeCell ref="B383:H383"/>
    <mergeCell ref="B413:H413"/>
    <mergeCell ref="B566:H566"/>
    <mergeCell ref="B22:H22"/>
    <mergeCell ref="B29:H29"/>
    <mergeCell ref="B46:H46"/>
    <mergeCell ref="B52:H52"/>
    <mergeCell ref="B70:H70"/>
    <mergeCell ref="B76:H76"/>
    <mergeCell ref="B92:H92"/>
    <mergeCell ref="B97:H97"/>
    <mergeCell ref="B112:H112"/>
    <mergeCell ref="B334:H334"/>
    <mergeCell ref="B340:H340"/>
    <mergeCell ref="B362:H362"/>
    <mergeCell ref="B369:H369"/>
    <mergeCell ref="B391:H391"/>
    <mergeCell ref="B164:H164"/>
    <mergeCell ref="B184:H184"/>
    <mergeCell ref="B191:H191"/>
    <mergeCell ref="B208:H208"/>
    <mergeCell ref="B213:H213"/>
    <mergeCell ref="B223:H223"/>
    <mergeCell ref="B703:H703"/>
    <mergeCell ref="B731:H731"/>
    <mergeCell ref="B758:H758"/>
    <mergeCell ref="B782:H782"/>
    <mergeCell ref="B808:H808"/>
    <mergeCell ref="B900:H900"/>
    <mergeCell ref="B938:H938"/>
    <mergeCell ref="B724:H724"/>
    <mergeCell ref="B752:H752"/>
    <mergeCell ref="B776:H776"/>
    <mergeCell ref="B800:H800"/>
    <mergeCell ref="B832:H832"/>
    <mergeCell ref="B864:H864"/>
    <mergeCell ref="B840:H840"/>
    <mergeCell ref="B872:H872"/>
    <mergeCell ref="B710:H710"/>
    <mergeCell ref="B717:H717"/>
    <mergeCell ref="B738:H738"/>
    <mergeCell ref="B745:H745"/>
    <mergeCell ref="B764:H764"/>
    <mergeCell ref="B922:H922"/>
    <mergeCell ref="B15:H15"/>
    <mergeCell ref="B64:H64"/>
    <mergeCell ref="B87:H87"/>
    <mergeCell ref="B40:H40"/>
    <mergeCell ref="B8:H8"/>
    <mergeCell ref="B34:H34"/>
    <mergeCell ref="B58:H58"/>
    <mergeCell ref="B4:G4"/>
    <mergeCell ref="I4:K4"/>
    <mergeCell ref="C7:E7"/>
    <mergeCell ref="L4:M4"/>
    <mergeCell ref="A1:M1"/>
    <mergeCell ref="A2:B2"/>
    <mergeCell ref="C2:M2"/>
    <mergeCell ref="A3:B3"/>
    <mergeCell ref="C3:M3"/>
    <mergeCell ref="A5:A6"/>
    <mergeCell ref="B5:B6"/>
    <mergeCell ref="C5:E6"/>
    <mergeCell ref="F5:H5"/>
    <mergeCell ref="L5:L6"/>
    <mergeCell ref="I5:J6"/>
    <mergeCell ref="K5:K6"/>
    <mergeCell ref="M5:M6"/>
    <mergeCell ref="B376:H376"/>
    <mergeCell ref="B405:H405"/>
    <mergeCell ref="B437:H437"/>
    <mergeCell ref="B469:H469"/>
    <mergeCell ref="B509:H509"/>
    <mergeCell ref="B540:H540"/>
    <mergeCell ref="B560:H560"/>
    <mergeCell ref="B584:H584"/>
    <mergeCell ref="B612:H612"/>
    <mergeCell ref="B445:H445"/>
    <mergeCell ref="B481:H481"/>
    <mergeCell ref="B545:H545"/>
    <mergeCell ref="B398:H398"/>
    <mergeCell ref="B421:H421"/>
    <mergeCell ref="B429:H429"/>
    <mergeCell ref="B453:H453"/>
    <mergeCell ref="B461:H461"/>
    <mergeCell ref="B490:H490"/>
    <mergeCell ref="B572:H572"/>
    <mergeCell ref="B578:H578"/>
    <mergeCell ref="B598:H598"/>
    <mergeCell ref="B605:H605"/>
    <mergeCell ref="B348:H348"/>
    <mergeCell ref="B82:H82"/>
    <mergeCell ref="B102:H102"/>
    <mergeCell ref="B122:H122"/>
    <mergeCell ref="B146:H146"/>
    <mergeCell ref="B170:H170"/>
    <mergeCell ref="B198:H198"/>
    <mergeCell ref="B218:H218"/>
    <mergeCell ref="B238:H238"/>
    <mergeCell ref="B262:H262"/>
    <mergeCell ref="B291:H291"/>
    <mergeCell ref="B107:H107"/>
    <mergeCell ref="B128:H128"/>
    <mergeCell ref="B152:H152"/>
    <mergeCell ref="B177:H177"/>
    <mergeCell ref="B203:H203"/>
    <mergeCell ref="B117:H117"/>
    <mergeCell ref="B134:H134"/>
    <mergeCell ref="B140:H140"/>
    <mergeCell ref="B158:H158"/>
    <mergeCell ref="B244:H244"/>
    <mergeCell ref="B270:H270"/>
    <mergeCell ref="B299:H299"/>
    <mergeCell ref="B329:H329"/>
  </mergeCells>
  <printOptions horizontalCentered="1"/>
  <pageMargins left="0.15" right="0.1" top="0.2" bottom="0.23" header="0.25" footer="0.08"/>
  <pageSetup paperSize="9" scale="90" pageOrder="overThenDown" orientation="portrait" r:id="rId1"/>
  <headerFooter alignWithMargins="0"/>
</worksheet>
</file>

<file path=xl/worksheets/sheet11.xml><?xml version="1.0" encoding="utf-8"?>
<worksheet xmlns="http://schemas.openxmlformats.org/spreadsheetml/2006/main" xmlns:r="http://schemas.openxmlformats.org/officeDocument/2006/relationships">
  <sheetPr>
    <tabColor rgb="FF00B050"/>
  </sheetPr>
  <dimension ref="A1:N2054"/>
  <sheetViews>
    <sheetView showZeros="0" defaultGridColor="0" view="pageBreakPreview" topLeftCell="A2" colorId="22" zoomScale="115" zoomScaleNormal="115" zoomScaleSheetLayoutView="115" workbookViewId="0">
      <selection activeCell="G11" sqref="G11"/>
    </sheetView>
  </sheetViews>
  <sheetFormatPr defaultColWidth="9.140625" defaultRowHeight="12.75"/>
  <cols>
    <col min="1" max="1" width="3.5703125" style="58" customWidth="1"/>
    <col min="2" max="2" width="31.42578125" style="58" customWidth="1"/>
    <col min="3" max="3" width="3.5703125" style="58" customWidth="1"/>
    <col min="4" max="4" width="1.7109375" style="58" customWidth="1"/>
    <col min="5" max="5" width="5.140625" style="598" customWidth="1"/>
    <col min="6" max="6" width="6.7109375" style="599" customWidth="1"/>
    <col min="7" max="7" width="6.140625" style="600" customWidth="1"/>
    <col min="8" max="8" width="7.42578125" style="12" customWidth="1"/>
    <col min="9" max="9" width="8.7109375" style="601" customWidth="1"/>
    <col min="10" max="10" width="5.28515625" style="601" customWidth="1"/>
    <col min="11" max="11" width="8.42578125" style="12" customWidth="1"/>
    <col min="12" max="12" width="8.85546875" style="602" customWidth="1"/>
    <col min="13" max="13" width="10.85546875" style="601" customWidth="1"/>
    <col min="14" max="15" width="10.42578125" style="58" bestFit="1" customWidth="1"/>
    <col min="16" max="16384" width="9.140625" style="58"/>
  </cols>
  <sheetData>
    <row r="1" spans="1:13" ht="26.25" customHeight="1">
      <c r="A1" s="1820" t="s">
        <v>269</v>
      </c>
      <c r="B1" s="1820"/>
      <c r="C1" s="1820"/>
      <c r="D1" s="1820"/>
      <c r="E1" s="1820"/>
      <c r="F1" s="1820"/>
      <c r="G1" s="1820"/>
      <c r="H1" s="1820"/>
      <c r="I1" s="1820"/>
      <c r="J1" s="1820"/>
      <c r="K1" s="1820"/>
      <c r="L1" s="1820"/>
      <c r="M1" s="1820"/>
    </row>
    <row r="2" spans="1:13" ht="42" customHeight="1">
      <c r="A2" s="1821" t="s">
        <v>896</v>
      </c>
      <c r="B2" s="1821"/>
      <c r="C2" s="1822" t="str">
        <f>'lead 19-20'!C2</f>
        <v>Providing Additional Space for Agriculture Staff in  Baduguleru GP of Kanigiri Mandal</v>
      </c>
      <c r="D2" s="1822"/>
      <c r="E2" s="1822"/>
      <c r="F2" s="1822"/>
      <c r="G2" s="1822"/>
      <c r="H2" s="1822"/>
      <c r="I2" s="1822"/>
      <c r="J2" s="1822"/>
      <c r="K2" s="1822"/>
      <c r="L2" s="1822"/>
      <c r="M2" s="1822"/>
    </row>
    <row r="3" spans="1:13" ht="17.25" customHeight="1">
      <c r="A3" s="1821" t="s">
        <v>897</v>
      </c>
      <c r="B3" s="1821"/>
      <c r="C3" s="1822" t="s">
        <v>3243</v>
      </c>
      <c r="D3" s="1822"/>
      <c r="E3" s="1822"/>
      <c r="F3" s="1822"/>
      <c r="G3" s="1822"/>
      <c r="H3" s="1822"/>
      <c r="I3" s="1822"/>
      <c r="J3" s="1822"/>
      <c r="K3" s="1822"/>
      <c r="L3" s="1822"/>
      <c r="M3" s="1822"/>
    </row>
    <row r="4" spans="1:13" ht="15" customHeight="1">
      <c r="A4" s="525"/>
      <c r="B4" s="1862"/>
      <c r="C4" s="1862"/>
      <c r="D4" s="1862"/>
      <c r="E4" s="1862"/>
      <c r="F4" s="1862"/>
      <c r="G4" s="1862"/>
      <c r="H4" s="526"/>
      <c r="I4" s="1818"/>
      <c r="J4" s="1818"/>
      <c r="K4" s="1818"/>
      <c r="L4" s="1819"/>
      <c r="M4" s="1819"/>
    </row>
    <row r="5" spans="1:13" s="527" customFormat="1" ht="12.75" customHeight="1">
      <c r="A5" s="1824" t="s">
        <v>271</v>
      </c>
      <c r="B5" s="1824" t="s">
        <v>272</v>
      </c>
      <c r="C5" s="1824" t="s">
        <v>115</v>
      </c>
      <c r="D5" s="1824"/>
      <c r="E5" s="1824"/>
      <c r="F5" s="1824" t="s">
        <v>123</v>
      </c>
      <c r="G5" s="1824"/>
      <c r="H5" s="1824"/>
      <c r="I5" s="1824" t="s">
        <v>6</v>
      </c>
      <c r="J5" s="1824"/>
      <c r="K5" s="1824" t="s">
        <v>8</v>
      </c>
      <c r="L5" s="1823" t="s">
        <v>9</v>
      </c>
      <c r="M5" s="1824" t="s">
        <v>10</v>
      </c>
    </row>
    <row r="6" spans="1:13" s="527" customFormat="1" ht="21.75" customHeight="1">
      <c r="A6" s="1824"/>
      <c r="B6" s="1824"/>
      <c r="C6" s="1824"/>
      <c r="D6" s="1824"/>
      <c r="E6" s="1824"/>
      <c r="F6" s="528" t="s">
        <v>12</v>
      </c>
      <c r="G6" s="528" t="s">
        <v>13</v>
      </c>
      <c r="H6" s="939" t="s">
        <v>14</v>
      </c>
      <c r="I6" s="1824"/>
      <c r="J6" s="1824"/>
      <c r="K6" s="1824"/>
      <c r="L6" s="1823"/>
      <c r="M6" s="1824"/>
    </row>
    <row r="7" spans="1:13" s="527" customFormat="1" ht="15.75">
      <c r="A7" s="939">
        <v>1</v>
      </c>
      <c r="B7" s="939">
        <v>2</v>
      </c>
      <c r="C7" s="1824">
        <v>3</v>
      </c>
      <c r="D7" s="1824"/>
      <c r="E7" s="1824"/>
      <c r="F7" s="938">
        <v>4</v>
      </c>
      <c r="G7" s="938">
        <v>5</v>
      </c>
      <c r="H7" s="939">
        <v>6</v>
      </c>
      <c r="I7" s="529">
        <v>7</v>
      </c>
      <c r="J7" s="530"/>
      <c r="K7" s="939">
        <v>8</v>
      </c>
      <c r="L7" s="938">
        <v>9</v>
      </c>
      <c r="M7" s="939">
        <v>10</v>
      </c>
    </row>
    <row r="2040" spans="1:14" ht="15.75">
      <c r="A2040" s="16"/>
      <c r="B2040" s="554"/>
      <c r="C2040" s="555"/>
      <c r="D2040" s="555"/>
      <c r="E2040" s="913"/>
      <c r="F2040" s="914"/>
      <c r="G2040" s="915"/>
      <c r="H2040" s="543"/>
      <c r="I2040" s="613"/>
      <c r="J2040" s="580"/>
      <c r="K2040" s="10"/>
      <c r="L2040" s="208"/>
      <c r="M2040" s="9"/>
      <c r="N2040" s="536"/>
    </row>
    <row r="2041" spans="1:14" s="871" customFormat="1" ht="20.25" customHeight="1">
      <c r="A2041" s="868"/>
      <c r="B2041" s="1865" t="s">
        <v>2580</v>
      </c>
      <c r="C2041" s="1866"/>
      <c r="D2041" s="1866"/>
      <c r="E2041" s="1866"/>
      <c r="F2041" s="1866"/>
      <c r="G2041" s="1866"/>
      <c r="H2041" s="1867"/>
      <c r="I2041" s="869"/>
      <c r="J2041" s="870"/>
      <c r="K2041" s="868"/>
      <c r="L2041" s="868"/>
      <c r="M2041" s="872">
        <f>SUM(WORK!M2005:M4014)</f>
        <v>225079</v>
      </c>
      <c r="N2041" s="871">
        <v>0</v>
      </c>
    </row>
    <row r="2042" spans="1:14">
      <c r="M2042" s="603"/>
    </row>
    <row r="2043" spans="1:14">
      <c r="H2043" s="58"/>
      <c r="I2043" s="58"/>
      <c r="J2043" s="58"/>
      <c r="M2043" s="597"/>
    </row>
    <row r="2044" spans="1:14">
      <c r="H2044" s="58"/>
      <c r="I2044" s="58"/>
      <c r="J2044" s="58"/>
      <c r="M2044" s="597"/>
    </row>
    <row r="2045" spans="1:14">
      <c r="H2045" s="58"/>
      <c r="I2045" s="58"/>
      <c r="J2045" s="58"/>
      <c r="M2045" s="597"/>
    </row>
    <row r="2046" spans="1:14">
      <c r="H2046" s="55" t="str">
        <f>'lead 19-20'!$H$31</f>
        <v>Deputy Executive Engineer</v>
      </c>
      <c r="I2046" s="604"/>
      <c r="J2046" s="604"/>
      <c r="K2046" s="605"/>
      <c r="L2046" s="226" t="str">
        <f>'lead 19-20'!$K$31</f>
        <v>Assistant  Engineer</v>
      </c>
    </row>
    <row r="2047" spans="1:14">
      <c r="H2047" s="55" t="str">
        <f>'lead 19-20'!$H$32</f>
        <v>PRI Sub Division</v>
      </c>
      <c r="I2047" s="604"/>
      <c r="J2047" s="604"/>
      <c r="K2047" s="605"/>
      <c r="L2047" s="226" t="str">
        <f>'lead 19-20'!$K$32</f>
        <v>Mandal Praja parishad</v>
      </c>
    </row>
    <row r="2048" spans="1:14">
      <c r="H2048" s="55" t="str">
        <f>'lead 19-20'!$H$33</f>
        <v>Kanigiri</v>
      </c>
      <c r="I2048" s="12"/>
      <c r="J2048" s="12"/>
      <c r="K2048" s="526"/>
      <c r="L2048" s="226" t="str">
        <f>'lead 19-20'!$K$33</f>
        <v>Kanigiri</v>
      </c>
    </row>
    <row r="2054" spans="3:12" s="601" customFormat="1">
      <c r="C2054" s="58"/>
      <c r="E2054" s="598"/>
      <c r="F2054" s="599"/>
      <c r="G2054" s="600"/>
      <c r="H2054" s="12"/>
      <c r="K2054" s="606"/>
      <c r="L2054" s="602"/>
    </row>
  </sheetData>
  <autoFilter ref="A7:N2039">
    <filterColumn colId="2" showButton="0"/>
    <filterColumn colId="3" showButton="0"/>
  </autoFilter>
  <mergeCells count="18">
    <mergeCell ref="A1:M1"/>
    <mergeCell ref="A2:B2"/>
    <mergeCell ref="C2:M2"/>
    <mergeCell ref="A3:B3"/>
    <mergeCell ref="C3:M3"/>
    <mergeCell ref="B4:G4"/>
    <mergeCell ref="I4:K4"/>
    <mergeCell ref="L4:M4"/>
    <mergeCell ref="L5:L6"/>
    <mergeCell ref="M5:M6"/>
    <mergeCell ref="I5:J6"/>
    <mergeCell ref="K5:K6"/>
    <mergeCell ref="B2041:H2041"/>
    <mergeCell ref="C7:E7"/>
    <mergeCell ref="A5:A6"/>
    <mergeCell ref="B5:B6"/>
    <mergeCell ref="C5:E6"/>
    <mergeCell ref="F5:H5"/>
  </mergeCells>
  <printOptions horizontalCentered="1"/>
  <pageMargins left="0.15" right="0.1" top="0.2" bottom="0.23" header="0.25" footer="0.08"/>
  <pageSetup paperSize="9" scale="90" pageOrder="overThenDown" orientation="portrait" r:id="rId1"/>
  <headerFooter alignWithMargins="0"/>
</worksheet>
</file>

<file path=xl/worksheets/sheet12.xml><?xml version="1.0" encoding="utf-8"?>
<worksheet xmlns="http://schemas.openxmlformats.org/spreadsheetml/2006/main" xmlns:r="http://schemas.openxmlformats.org/officeDocument/2006/relationships">
  <sheetPr filterMode="1">
    <tabColor rgb="FF00B050"/>
  </sheetPr>
  <dimension ref="A1:Q1478"/>
  <sheetViews>
    <sheetView showZeros="0" defaultGridColor="0" view="pageBreakPreview" topLeftCell="A1000" colorId="22" zoomScale="115" zoomScaleNormal="115" zoomScaleSheetLayoutView="115" workbookViewId="0">
      <selection activeCell="H1045" sqref="H1045"/>
    </sheetView>
  </sheetViews>
  <sheetFormatPr defaultColWidth="9.140625" defaultRowHeight="12.75"/>
  <cols>
    <col min="1" max="1" width="3.5703125" style="58" customWidth="1"/>
    <col min="2" max="2" width="31.42578125" style="58" customWidth="1"/>
    <col min="3" max="3" width="3.5703125" style="58" customWidth="1"/>
    <col min="4" max="4" width="1.7109375" style="58" customWidth="1"/>
    <col min="5" max="5" width="5.140625" style="598" customWidth="1"/>
    <col min="6" max="6" width="6.7109375" style="599" customWidth="1"/>
    <col min="7" max="7" width="6.140625" style="600" customWidth="1"/>
    <col min="8" max="8" width="7.42578125" style="12" customWidth="1"/>
    <col min="9" max="9" width="8.7109375" style="601" customWidth="1"/>
    <col min="10" max="10" width="5.28515625" style="601" customWidth="1"/>
    <col min="11" max="11" width="8.42578125" style="12" customWidth="1"/>
    <col min="12" max="12" width="8.85546875" style="602" customWidth="1"/>
    <col min="13" max="13" width="10.85546875" style="601" customWidth="1"/>
    <col min="14" max="15" width="10.42578125" style="58" bestFit="1" customWidth="1"/>
    <col min="16" max="16" width="10.5703125" style="58" bestFit="1" customWidth="1"/>
    <col min="17" max="16384" width="9.140625" style="58"/>
  </cols>
  <sheetData>
    <row r="1" spans="1:15" ht="26.25" customHeight="1">
      <c r="A1" s="1820" t="s">
        <v>269</v>
      </c>
      <c r="B1" s="1820"/>
      <c r="C1" s="1820"/>
      <c r="D1" s="1820"/>
      <c r="E1" s="1820"/>
      <c r="F1" s="1820"/>
      <c r="G1" s="1820"/>
      <c r="H1" s="1820"/>
      <c r="I1" s="1820"/>
      <c r="J1" s="1820"/>
      <c r="K1" s="1820"/>
      <c r="L1" s="1820"/>
      <c r="M1" s="1820"/>
    </row>
    <row r="2" spans="1:15" ht="42" customHeight="1">
      <c r="A2" s="1821" t="s">
        <v>896</v>
      </c>
      <c r="B2" s="1821"/>
      <c r="C2" s="1822" t="str">
        <f>'lead 19-20'!C2</f>
        <v>Providing Additional Space for Agriculture Staff in  Baduguleru GP of Kanigiri Mandal</v>
      </c>
      <c r="D2" s="1822"/>
      <c r="E2" s="1822"/>
      <c r="F2" s="1822"/>
      <c r="G2" s="1822"/>
      <c r="H2" s="1822"/>
      <c r="I2" s="1822"/>
      <c r="J2" s="1822"/>
      <c r="K2" s="1822"/>
      <c r="L2" s="1822"/>
      <c r="M2" s="1822"/>
    </row>
    <row r="3" spans="1:15" ht="15" customHeight="1">
      <c r="A3" s="525"/>
      <c r="B3" s="944" t="s">
        <v>897</v>
      </c>
      <c r="C3" s="1822" t="s">
        <v>2775</v>
      </c>
      <c r="D3" s="1822"/>
      <c r="E3" s="1822"/>
      <c r="F3" s="1822"/>
      <c r="G3" s="1822"/>
      <c r="H3" s="1822"/>
      <c r="I3" s="1822"/>
      <c r="J3" s="1822"/>
      <c r="K3" s="1822"/>
      <c r="L3" s="1822"/>
      <c r="M3" s="1822"/>
    </row>
    <row r="4" spans="1:15" s="527" customFormat="1" ht="12.75" customHeight="1">
      <c r="A4" s="1824" t="s">
        <v>271</v>
      </c>
      <c r="B4" s="1824" t="s">
        <v>272</v>
      </c>
      <c r="C4" s="1824" t="s">
        <v>115</v>
      </c>
      <c r="D4" s="1824"/>
      <c r="E4" s="1824"/>
      <c r="F4" s="1824" t="s">
        <v>123</v>
      </c>
      <c r="G4" s="1824"/>
      <c r="H4" s="1824"/>
      <c r="I4" s="1824" t="s">
        <v>6</v>
      </c>
      <c r="J4" s="1824"/>
      <c r="K4" s="1824" t="s">
        <v>8</v>
      </c>
      <c r="L4" s="1823" t="s">
        <v>9</v>
      </c>
      <c r="M4" s="1824" t="s">
        <v>10</v>
      </c>
    </row>
    <row r="5" spans="1:15" s="527" customFormat="1" ht="21.75" customHeight="1">
      <c r="A5" s="1824"/>
      <c r="B5" s="1824"/>
      <c r="C5" s="1824"/>
      <c r="D5" s="1824"/>
      <c r="E5" s="1824"/>
      <c r="F5" s="528" t="s">
        <v>12</v>
      </c>
      <c r="G5" s="528" t="s">
        <v>13</v>
      </c>
      <c r="H5" s="939" t="s">
        <v>14</v>
      </c>
      <c r="I5" s="1824"/>
      <c r="J5" s="1824"/>
      <c r="K5" s="1824"/>
      <c r="L5" s="1823"/>
      <c r="M5" s="1824"/>
    </row>
    <row r="6" spans="1:15" s="527" customFormat="1" ht="15.75">
      <c r="A6" s="939">
        <v>1</v>
      </c>
      <c r="B6" s="939">
        <v>2</v>
      </c>
      <c r="C6" s="1824">
        <v>3</v>
      </c>
      <c r="D6" s="1824"/>
      <c r="E6" s="1824"/>
      <c r="F6" s="938">
        <v>4</v>
      </c>
      <c r="G6" s="938">
        <v>5</v>
      </c>
      <c r="H6" s="939">
        <v>6</v>
      </c>
      <c r="I6" s="529">
        <v>7</v>
      </c>
      <c r="J6" s="530"/>
      <c r="K6" s="939">
        <v>8</v>
      </c>
      <c r="L6" s="938">
        <v>9</v>
      </c>
      <c r="M6" s="939">
        <v>10</v>
      </c>
    </row>
    <row r="7" spans="1:15" ht="15.75" hidden="1">
      <c r="A7" s="16"/>
      <c r="B7" s="650" t="s">
        <v>2479</v>
      </c>
      <c r="C7" s="533"/>
      <c r="D7" s="948"/>
      <c r="E7" s="593"/>
      <c r="F7" s="594"/>
      <c r="G7" s="594"/>
      <c r="H7" s="700"/>
      <c r="I7" s="552"/>
      <c r="J7" s="595"/>
      <c r="K7" s="10"/>
      <c r="L7" s="208"/>
      <c r="M7" s="596"/>
      <c r="N7" s="536" t="s">
        <v>2318</v>
      </c>
      <c r="O7" s="597"/>
    </row>
    <row r="8" spans="1:15" s="525" customFormat="1" ht="15.75" hidden="1">
      <c r="A8" s="673"/>
      <c r="B8" s="531" t="s">
        <v>293</v>
      </c>
      <c r="C8" s="945"/>
      <c r="D8" s="946"/>
      <c r="E8" s="947"/>
      <c r="F8" s="532"/>
      <c r="G8" s="532"/>
      <c r="H8" s="673"/>
      <c r="I8" s="533"/>
      <c r="J8" s="534"/>
      <c r="K8" s="673"/>
      <c r="L8" s="535"/>
      <c r="M8" s="673"/>
      <c r="N8" s="536" t="s">
        <v>2318</v>
      </c>
    </row>
    <row r="9" spans="1:15" ht="30" hidden="1" customHeight="1">
      <c r="A9" s="16">
        <v>1</v>
      </c>
      <c r="B9" s="1858" t="s">
        <v>294</v>
      </c>
      <c r="C9" s="1858"/>
      <c r="D9" s="1858"/>
      <c r="E9" s="1858"/>
      <c r="F9" s="1858"/>
      <c r="G9" s="1858"/>
      <c r="H9" s="1858"/>
      <c r="I9" s="537"/>
      <c r="J9" s="538"/>
      <c r="K9" s="16"/>
      <c r="L9" s="208"/>
      <c r="M9" s="38"/>
      <c r="N9" s="536" t="s">
        <v>2318</v>
      </c>
    </row>
    <row r="10" spans="1:15" s="544" customFormat="1" ht="16.5" hidden="1" customHeight="1">
      <c r="A10" s="16"/>
      <c r="B10" s="39" t="s">
        <v>2816</v>
      </c>
      <c r="C10" s="537"/>
      <c r="D10" s="539"/>
      <c r="E10" s="540"/>
      <c r="F10" s="541"/>
      <c r="G10" s="541"/>
      <c r="H10" s="541"/>
      <c r="I10" s="542"/>
      <c r="J10" s="543"/>
      <c r="K10" s="39"/>
      <c r="L10" s="16"/>
      <c r="M10" s="39"/>
      <c r="N10" s="536" t="s">
        <v>2318</v>
      </c>
    </row>
    <row r="11" spans="1:15" s="544" customFormat="1" ht="16.5" hidden="1" customHeight="1">
      <c r="A11" s="16"/>
      <c r="B11" s="39"/>
      <c r="C11" s="537">
        <v>1</v>
      </c>
      <c r="D11" s="539" t="s">
        <v>273</v>
      </c>
      <c r="E11" s="540">
        <v>1</v>
      </c>
      <c r="F11" s="541">
        <v>7.6</v>
      </c>
      <c r="G11" s="541">
        <v>5.24</v>
      </c>
      <c r="H11" s="541">
        <v>0</v>
      </c>
      <c r="I11" s="545">
        <f>ROUND(IF(AND(F11:H11),C11*E11*F11*G11*H11,IF(AND(F11,G11),C11*E11*F11*G11,IF(AND(F11,H11),C11*E11*F11*H11,IF(AND(G11,H11),C11*E11*G11*H11,IF(F11,C11*E11*F11,IF(G11,C11*E11*G11,IF(H11,C11*E11*H11,C11*E11))))))),2)</f>
        <v>39.82</v>
      </c>
      <c r="J11" s="546" t="s">
        <v>102</v>
      </c>
      <c r="K11" s="39"/>
      <c r="L11" s="16"/>
      <c r="M11" s="39"/>
      <c r="N11" s="536" t="s">
        <v>2318</v>
      </c>
    </row>
    <row r="12" spans="1:15" s="544" customFormat="1" ht="16.5" hidden="1" customHeight="1">
      <c r="A12" s="16"/>
      <c r="B12" s="547"/>
      <c r="C12" s="548"/>
      <c r="D12" s="549"/>
      <c r="E12" s="550"/>
      <c r="F12" s="551"/>
      <c r="G12" s="551"/>
      <c r="H12" s="551"/>
      <c r="I12" s="552">
        <f>SUM(I11:I11)</f>
        <v>39.82</v>
      </c>
      <c r="J12" s="553" t="s">
        <v>102</v>
      </c>
      <c r="K12" s="39"/>
      <c r="L12" s="16"/>
      <c r="M12" s="39"/>
      <c r="N12" s="536" t="s">
        <v>2318</v>
      </c>
    </row>
    <row r="13" spans="1:15" s="544" customFormat="1" ht="16.5" hidden="1" customHeight="1">
      <c r="A13" s="16"/>
      <c r="B13" s="547" t="s">
        <v>295</v>
      </c>
      <c r="C13" s="548"/>
      <c r="D13" s="549"/>
      <c r="E13" s="550"/>
      <c r="F13" s="550"/>
      <c r="G13" s="551"/>
      <c r="H13" s="551"/>
      <c r="I13" s="552">
        <f>-ROUND(I12*40%,2)</f>
        <v>-15.93</v>
      </c>
      <c r="J13" s="553" t="s">
        <v>102</v>
      </c>
      <c r="K13" s="39"/>
      <c r="L13" s="16"/>
      <c r="M13" s="39"/>
      <c r="N13" s="536" t="s">
        <v>2318</v>
      </c>
    </row>
    <row r="14" spans="1:15" ht="15.75" hidden="1">
      <c r="A14" s="16"/>
      <c r="B14" s="38"/>
      <c r="C14" s="554"/>
      <c r="D14" s="555"/>
      <c r="E14" s="540"/>
      <c r="F14" s="541"/>
      <c r="G14" s="541"/>
      <c r="H14" s="541"/>
      <c r="I14" s="552"/>
      <c r="J14" s="553" t="s">
        <v>102</v>
      </c>
      <c r="K14" s="10">
        <f>'data 2022-23'!G41</f>
        <v>6.06</v>
      </c>
      <c r="L14" s="208" t="s">
        <v>2437</v>
      </c>
      <c r="M14" s="9">
        <f>ROUND(I14*K14,0)</f>
        <v>0</v>
      </c>
      <c r="N14" s="536" t="s">
        <v>2318</v>
      </c>
    </row>
    <row r="15" spans="1:15" ht="49.5" hidden="1" customHeight="1">
      <c r="A15" s="16">
        <v>1</v>
      </c>
      <c r="B15" s="1858" t="s">
        <v>296</v>
      </c>
      <c r="C15" s="1858"/>
      <c r="D15" s="1858"/>
      <c r="E15" s="1858"/>
      <c r="F15" s="1858"/>
      <c r="G15" s="1858"/>
      <c r="H15" s="1858"/>
      <c r="I15" s="537"/>
      <c r="J15" s="538"/>
      <c r="K15" s="16"/>
      <c r="L15" s="208"/>
      <c r="M15" s="38"/>
      <c r="N15" s="536" t="s">
        <v>2318</v>
      </c>
    </row>
    <row r="16" spans="1:15" s="544" customFormat="1" ht="16.5" hidden="1" customHeight="1">
      <c r="A16" s="16"/>
      <c r="B16" s="39" t="s">
        <v>2512</v>
      </c>
      <c r="C16" s="537"/>
      <c r="D16" s="539"/>
      <c r="E16" s="540"/>
      <c r="F16" s="541"/>
      <c r="G16" s="541"/>
      <c r="H16" s="541"/>
      <c r="I16" s="542"/>
      <c r="J16" s="543"/>
      <c r="K16" s="39"/>
      <c r="L16" s="208"/>
      <c r="M16" s="39"/>
      <c r="N16" s="536" t="s">
        <v>2318</v>
      </c>
    </row>
    <row r="17" spans="1:14" s="544" customFormat="1" ht="18" hidden="1" customHeight="1">
      <c r="A17" s="16"/>
      <c r="B17" s="39" t="s">
        <v>1241</v>
      </c>
      <c r="C17" s="537">
        <v>2</v>
      </c>
      <c r="D17" s="539" t="s">
        <v>273</v>
      </c>
      <c r="E17" s="540">
        <v>0.78500000000000003</v>
      </c>
      <c r="F17" s="541">
        <v>1.2</v>
      </c>
      <c r="G17" s="541">
        <v>1.2</v>
      </c>
      <c r="H17" s="541">
        <v>2.4</v>
      </c>
      <c r="I17" s="545">
        <f>ROUND(IF(AND(F17:H17),C17*E17*F17*G17*H17,IF(AND(F17,G17),C17*E17*F17*G17,IF(AND(F17,H17),C17*E17*F17*H17,IF(AND(G17,H17),C17*E17*G17*H17,IF(F17,C17*E17*F17,IF(G17,C17*E17*G17,IF(H17,C17*E17*H17,C17*E17))))))),2)</f>
        <v>5.43</v>
      </c>
      <c r="J17" s="546" t="s">
        <v>5</v>
      </c>
      <c r="K17" s="39"/>
      <c r="L17" s="208"/>
      <c r="M17" s="39"/>
      <c r="N17" s="536" t="s">
        <v>2318</v>
      </c>
    </row>
    <row r="18" spans="1:14" s="544" customFormat="1" ht="18" hidden="1" customHeight="1">
      <c r="A18" s="16"/>
      <c r="B18" s="39" t="s">
        <v>2513</v>
      </c>
      <c r="C18" s="537">
        <v>1</v>
      </c>
      <c r="D18" s="539" t="s">
        <v>273</v>
      </c>
      <c r="E18" s="540">
        <v>1</v>
      </c>
      <c r="F18" s="541">
        <v>1.85</v>
      </c>
      <c r="G18" s="541">
        <v>0.6</v>
      </c>
      <c r="H18" s="541">
        <v>0.1</v>
      </c>
      <c r="I18" s="545">
        <f>ROUND(IF(AND(F18:H18),C18*E18*F18*G18*H18,IF(AND(F18,G18),C18*E18*F18*G18,IF(AND(F18,H18),C18*E18*F18*H18,IF(AND(G18,H18),C18*E18*G18*H18,IF(F18,C18*E18*F18,IF(G18,C18*E18*G18,IF(H18,C18*E18*H18,C18*E18))))))),2)</f>
        <v>0.11</v>
      </c>
      <c r="J18" s="546" t="s">
        <v>5</v>
      </c>
      <c r="K18" s="39"/>
      <c r="L18" s="208"/>
      <c r="M18" s="39"/>
      <c r="N18" s="536" t="s">
        <v>2318</v>
      </c>
    </row>
    <row r="19" spans="1:14" s="544" customFormat="1" ht="16.5" hidden="1" customHeight="1">
      <c r="A19" s="16"/>
      <c r="B19" s="547"/>
      <c r="C19" s="548"/>
      <c r="D19" s="549"/>
      <c r="E19" s="550"/>
      <c r="F19" s="551"/>
      <c r="G19" s="551"/>
      <c r="H19" s="551"/>
      <c r="I19" s="552"/>
      <c r="J19" s="546"/>
      <c r="K19" s="39"/>
      <c r="L19" s="208"/>
      <c r="M19" s="39"/>
      <c r="N19" s="536" t="s">
        <v>2318</v>
      </c>
    </row>
    <row r="20" spans="1:14" ht="15.75" hidden="1">
      <c r="A20" s="16"/>
      <c r="B20" s="39"/>
      <c r="C20" s="554"/>
      <c r="D20" s="555"/>
      <c r="E20" s="540"/>
      <c r="F20" s="541"/>
      <c r="G20" s="40"/>
      <c r="H20" s="16"/>
      <c r="I20" s="552"/>
      <c r="J20" s="553" t="s">
        <v>5</v>
      </c>
      <c r="K20" s="10">
        <f>'data 2022-23'!G46</f>
        <v>144.26</v>
      </c>
      <c r="L20" s="208" t="s">
        <v>274</v>
      </c>
      <c r="M20" s="9">
        <f>ROUND(I20*K20,0)</f>
        <v>0</v>
      </c>
      <c r="N20" s="536" t="s">
        <v>2318</v>
      </c>
    </row>
    <row r="21" spans="1:14" ht="57" hidden="1" customHeight="1">
      <c r="A21" s="16">
        <v>2</v>
      </c>
      <c r="B21" s="1858" t="s">
        <v>297</v>
      </c>
      <c r="C21" s="1858"/>
      <c r="D21" s="1858"/>
      <c r="E21" s="1858"/>
      <c r="F21" s="1858"/>
      <c r="G21" s="1858"/>
      <c r="H21" s="1858"/>
      <c r="I21" s="537"/>
      <c r="J21" s="538"/>
      <c r="K21" s="16"/>
      <c r="L21" s="208"/>
      <c r="M21" s="38"/>
      <c r="N21" s="536" t="s">
        <v>2318</v>
      </c>
    </row>
    <row r="22" spans="1:14" s="544" customFormat="1" ht="16.5" hidden="1" customHeight="1">
      <c r="A22" s="16"/>
      <c r="B22" s="39" t="s">
        <v>2512</v>
      </c>
      <c r="C22" s="537"/>
      <c r="D22" s="539"/>
      <c r="E22" s="540"/>
      <c r="F22" s="541"/>
      <c r="G22" s="541"/>
      <c r="H22" s="541"/>
      <c r="I22" s="542"/>
      <c r="J22" s="543"/>
      <c r="K22" s="39"/>
      <c r="L22" s="208"/>
      <c r="M22" s="39"/>
      <c r="N22" s="536" t="s">
        <v>2318</v>
      </c>
    </row>
    <row r="23" spans="1:14" s="544" customFormat="1" ht="16.5" hidden="1" customHeight="1">
      <c r="A23" s="16"/>
      <c r="B23" s="39" t="s">
        <v>2514</v>
      </c>
      <c r="C23" s="537">
        <v>1</v>
      </c>
      <c r="D23" s="539" t="s">
        <v>273</v>
      </c>
      <c r="E23" s="540">
        <v>1</v>
      </c>
      <c r="F23" s="541">
        <v>1.85</v>
      </c>
      <c r="G23" s="541">
        <v>0.6</v>
      </c>
      <c r="H23" s="541">
        <v>0.1</v>
      </c>
      <c r="I23" s="545">
        <f>ROUND(IF(AND(F23:H23),C23*E23*F23*G23*H23,IF(AND(F23,G23),C23*E23*F23*G23,IF(AND(F23,H23),C23*E23*F23*H23,IF(AND(G23,H23),C23*E23*G23*H23,IF(F23,C23*E23*F23,IF(G23,C23*E23*G23,IF(H23,C23*E23*H23,C23*E23))))))),2)</f>
        <v>0.11</v>
      </c>
      <c r="J23" s="546" t="s">
        <v>5</v>
      </c>
      <c r="K23" s="39"/>
      <c r="L23" s="208"/>
      <c r="M23" s="39"/>
      <c r="N23" s="536" t="s">
        <v>2318</v>
      </c>
    </row>
    <row r="24" spans="1:14" s="544" customFormat="1" ht="16.5" hidden="1" customHeight="1">
      <c r="A24" s="16"/>
      <c r="B24" s="547"/>
      <c r="C24" s="548"/>
      <c r="D24" s="549"/>
      <c r="E24" s="550"/>
      <c r="F24" s="551"/>
      <c r="G24" s="551"/>
      <c r="H24" s="551"/>
      <c r="I24" s="552"/>
      <c r="J24" s="553"/>
      <c r="K24" s="39"/>
      <c r="L24" s="208"/>
      <c r="M24" s="39"/>
      <c r="N24" s="536" t="s">
        <v>2318</v>
      </c>
    </row>
    <row r="25" spans="1:14" ht="15.75" hidden="1">
      <c r="A25" s="16"/>
      <c r="B25" s="39"/>
      <c r="C25" s="554"/>
      <c r="D25" s="555"/>
      <c r="E25" s="540"/>
      <c r="F25" s="541"/>
      <c r="G25" s="40"/>
      <c r="H25" s="16"/>
      <c r="I25" s="552"/>
      <c r="J25" s="553" t="s">
        <v>5</v>
      </c>
      <c r="K25" s="10">
        <f>'data 2022-23'!G89</f>
        <v>4583.3100000000004</v>
      </c>
      <c r="L25" s="208" t="s">
        <v>274</v>
      </c>
      <c r="M25" s="9">
        <f>ROUND(I25*K25,0)</f>
        <v>0</v>
      </c>
      <c r="N25" s="536" t="s">
        <v>2318</v>
      </c>
    </row>
    <row r="26" spans="1:14" ht="57" hidden="1" customHeight="1">
      <c r="A26" s="16">
        <v>3</v>
      </c>
      <c r="B26" s="1858" t="s">
        <v>67</v>
      </c>
      <c r="C26" s="1858"/>
      <c r="D26" s="1858"/>
      <c r="E26" s="1858"/>
      <c r="F26" s="1858"/>
      <c r="G26" s="1858"/>
      <c r="H26" s="1858"/>
      <c r="I26" s="537"/>
      <c r="J26" s="538"/>
      <c r="K26" s="16"/>
      <c r="L26" s="208"/>
      <c r="M26" s="38"/>
      <c r="N26" s="536" t="s">
        <v>2318</v>
      </c>
    </row>
    <row r="27" spans="1:14" s="544" customFormat="1" ht="16.5" hidden="1" customHeight="1">
      <c r="A27" s="16"/>
      <c r="B27" s="556" t="s">
        <v>2824</v>
      </c>
      <c r="C27" s="557"/>
      <c r="D27" s="558"/>
      <c r="E27" s="221"/>
      <c r="F27" s="559"/>
      <c r="G27" s="559"/>
      <c r="H27" s="559"/>
      <c r="I27" s="560"/>
      <c r="J27" s="553"/>
      <c r="K27" s="39"/>
      <c r="L27" s="208"/>
      <c r="M27" s="39"/>
      <c r="N27" s="536" t="s">
        <v>2318</v>
      </c>
    </row>
    <row r="28" spans="1:14" s="544" customFormat="1" ht="16.5" hidden="1" customHeight="1">
      <c r="A28" s="16"/>
      <c r="B28" s="556"/>
      <c r="C28" s="557">
        <v>1</v>
      </c>
      <c r="D28" s="558" t="s">
        <v>273</v>
      </c>
      <c r="E28" s="221">
        <v>1</v>
      </c>
      <c r="F28" s="559">
        <v>4.72</v>
      </c>
      <c r="G28" s="559">
        <v>0.45</v>
      </c>
      <c r="H28" s="559">
        <v>0.1</v>
      </c>
      <c r="I28" s="560">
        <f>ROUND(IF(AND(F28:H28),C28*E28*F28*G28*H28,IF(AND(F28,G28),C28*E28*F28*G28,IF(AND(F28,H28),C28*E28*F28*H28,IF(AND(G28,H28),C28*E28*G28*H28,IF(F28,C28*E28*F28,IF(G28,C28*E28*G28,IF(H28,C28*E28*H28,C28*E28))))))),2)</f>
        <v>0.21</v>
      </c>
      <c r="J28" s="553" t="s">
        <v>5</v>
      </c>
      <c r="K28" s="39"/>
      <c r="L28" s="208"/>
      <c r="M28" s="39"/>
      <c r="N28" s="536" t="s">
        <v>2318</v>
      </c>
    </row>
    <row r="29" spans="1:14" s="544" customFormat="1" ht="16.5" hidden="1" customHeight="1">
      <c r="A29" s="16"/>
      <c r="B29" s="556" t="s">
        <v>651</v>
      </c>
      <c r="C29" s="557">
        <v>1</v>
      </c>
      <c r="D29" s="558" t="s">
        <v>273</v>
      </c>
      <c r="E29" s="221">
        <v>1</v>
      </c>
      <c r="F29" s="559">
        <v>5.4</v>
      </c>
      <c r="G29" s="559">
        <v>0.45</v>
      </c>
      <c r="H29" s="559">
        <v>0.1</v>
      </c>
      <c r="I29" s="560">
        <f>ROUND(IF(AND(F29:H29),C29*E29*F29*G29*H29,IF(AND(F29,G29),C29*E29*F29*G29,IF(AND(F29,H29),C29*E29*F29*H29,IF(AND(G29,H29),C29*E29*G29*H29,IF(F29,C29*E29*F29,IF(G29,C29*E29*G29,IF(H29,C29*E29*H29,C29*E29))))))),2)</f>
        <v>0.24</v>
      </c>
      <c r="J29" s="553" t="s">
        <v>5</v>
      </c>
      <c r="K29" s="39"/>
      <c r="L29" s="208"/>
      <c r="M29" s="39"/>
      <c r="N29" s="536" t="s">
        <v>2318</v>
      </c>
    </row>
    <row r="30" spans="1:14" s="544" customFormat="1" ht="16.5" hidden="1" customHeight="1">
      <c r="A30" s="16"/>
      <c r="B30" s="556" t="s">
        <v>652</v>
      </c>
      <c r="C30" s="557">
        <v>1</v>
      </c>
      <c r="D30" s="558" t="s">
        <v>273</v>
      </c>
      <c r="E30" s="221">
        <v>1</v>
      </c>
      <c r="F30" s="559">
        <v>10.050000000000001</v>
      </c>
      <c r="G30" s="559">
        <v>0.45</v>
      </c>
      <c r="H30" s="559">
        <v>0.1</v>
      </c>
      <c r="I30" s="560">
        <f>ROUND(IF(AND(F30:H30),C30*E30*F30*G30*H30,IF(AND(F30,G30),C30*E30*F30*G30,IF(AND(F30,H30),C30*E30*F30*H30,IF(AND(G30,H30),C30*E30*G30*H30,IF(F30,C30*E30*F30,IF(G30,C30*E30*G30,IF(H30,C30*E30*H30,C30*E30))))))),2)</f>
        <v>0.45</v>
      </c>
      <c r="J30" s="553" t="s">
        <v>5</v>
      </c>
      <c r="K30" s="39"/>
      <c r="L30" s="208"/>
      <c r="M30" s="39"/>
      <c r="N30" s="536" t="s">
        <v>2318</v>
      </c>
    </row>
    <row r="31" spans="1:14" s="544" customFormat="1" ht="16.5" hidden="1" customHeight="1">
      <c r="A31" s="16"/>
      <c r="B31" s="556" t="s">
        <v>653</v>
      </c>
      <c r="C31" s="557">
        <v>1</v>
      </c>
      <c r="D31" s="558" t="s">
        <v>273</v>
      </c>
      <c r="E31" s="221">
        <v>1</v>
      </c>
      <c r="F31" s="559">
        <v>5.46</v>
      </c>
      <c r="G31" s="559">
        <v>0.3</v>
      </c>
      <c r="H31" s="559">
        <v>0.1</v>
      </c>
      <c r="I31" s="560">
        <f>ROUND(IF(AND(F31:H31),C31*E31*F31*G31*H31,IF(AND(F31,G31),C31*E31*F31*G31,IF(AND(F31,H31),C31*E31*F31*H31,IF(AND(G31,H31),C31*E31*G31*H31,IF(F31,C31*E31*F31,IF(G31,C31*E31*G31,IF(H31,C31*E31*H31,C31*E31))))))),2)</f>
        <v>0.16</v>
      </c>
      <c r="J31" s="553" t="s">
        <v>5</v>
      </c>
      <c r="K31" s="39"/>
      <c r="L31" s="208"/>
      <c r="M31" s="39"/>
      <c r="N31" s="536" t="s">
        <v>2318</v>
      </c>
    </row>
    <row r="32" spans="1:14" s="544" customFormat="1" ht="16.5" hidden="1" customHeight="1">
      <c r="A32" s="16"/>
      <c r="B32" s="556" t="s">
        <v>720</v>
      </c>
      <c r="C32" s="557">
        <v>1</v>
      </c>
      <c r="D32" s="558" t="s">
        <v>273</v>
      </c>
      <c r="E32" s="221">
        <v>1</v>
      </c>
      <c r="F32" s="559">
        <v>4.7</v>
      </c>
      <c r="G32" s="559">
        <v>2.2999999999999998</v>
      </c>
      <c r="H32" s="559">
        <v>0.15</v>
      </c>
      <c r="I32" s="560">
        <f>ROUND(IF(AND(F32:H32),C32*E32*F32*G32*H32,IF(AND(F32,G32),C32*E32*F32*G32,IF(AND(F32,H32),C32*E32*F32*H32,IF(AND(G32,H32),C32*E32*G32*H32,IF(F32,C32*E32*F32,IF(G32,C32*E32*G32,IF(H32,C32*E32*H32,C32*E32))))))),2)</f>
        <v>1.62</v>
      </c>
      <c r="J32" s="553" t="s">
        <v>5</v>
      </c>
      <c r="K32" s="39"/>
      <c r="L32" s="208"/>
      <c r="M32" s="39"/>
      <c r="N32" s="536" t="s">
        <v>2318</v>
      </c>
    </row>
    <row r="33" spans="1:14" s="544" customFormat="1" ht="16.5" hidden="1" customHeight="1">
      <c r="A33" s="16"/>
      <c r="B33" s="547"/>
      <c r="C33" s="548"/>
      <c r="D33" s="549"/>
      <c r="E33" s="550"/>
      <c r="F33" s="551"/>
      <c r="G33" s="551"/>
      <c r="H33" s="551"/>
      <c r="I33" s="552"/>
      <c r="J33" s="553"/>
      <c r="K33" s="39"/>
      <c r="L33" s="208"/>
      <c r="M33" s="39"/>
      <c r="N33" s="536" t="s">
        <v>2318</v>
      </c>
    </row>
    <row r="34" spans="1:14" ht="15.75" hidden="1">
      <c r="A34" s="16"/>
      <c r="B34" s="39"/>
      <c r="C34" s="554"/>
      <c r="D34" s="555"/>
      <c r="E34" s="540"/>
      <c r="F34" s="541"/>
      <c r="G34" s="40"/>
      <c r="H34" s="16"/>
      <c r="I34" s="552"/>
      <c r="J34" s="553" t="s">
        <v>5</v>
      </c>
      <c r="K34" s="10">
        <f>'data 2022-23'!G101</f>
        <v>4431.03</v>
      </c>
      <c r="L34" s="208" t="s">
        <v>274</v>
      </c>
      <c r="M34" s="9">
        <f>ROUND(I34*K34,0)</f>
        <v>0</v>
      </c>
      <c r="N34" s="536" t="s">
        <v>2318</v>
      </c>
    </row>
    <row r="35" spans="1:14" ht="43.5" hidden="1" customHeight="1">
      <c r="A35" s="16">
        <v>3</v>
      </c>
      <c r="B35" s="1858" t="s">
        <v>1187</v>
      </c>
      <c r="C35" s="1858"/>
      <c r="D35" s="1858"/>
      <c r="E35" s="1858"/>
      <c r="F35" s="1858"/>
      <c r="G35" s="1858"/>
      <c r="H35" s="1858"/>
      <c r="I35" s="537"/>
      <c r="J35" s="538"/>
      <c r="K35" s="16"/>
      <c r="L35" s="208"/>
      <c r="M35" s="38"/>
      <c r="N35" s="536" t="s">
        <v>2318</v>
      </c>
    </row>
    <row r="36" spans="1:14" s="544" customFormat="1" ht="18.75" hidden="1" customHeight="1">
      <c r="A36" s="16"/>
      <c r="B36" s="207" t="s">
        <v>2825</v>
      </c>
      <c r="C36" s="561"/>
      <c r="D36" s="562"/>
      <c r="E36" s="563"/>
      <c r="F36" s="564"/>
      <c r="G36" s="564"/>
      <c r="H36" s="564"/>
      <c r="I36" s="565"/>
      <c r="J36" s="546"/>
      <c r="K36" s="39"/>
      <c r="L36" s="16"/>
      <c r="M36" s="39"/>
      <c r="N36" s="536" t="s">
        <v>2318</v>
      </c>
    </row>
    <row r="37" spans="1:14" s="544" customFormat="1" ht="16.5" hidden="1" customHeight="1">
      <c r="A37" s="16"/>
      <c r="B37" s="39" t="s">
        <v>1607</v>
      </c>
      <c r="C37" s="537">
        <v>1</v>
      </c>
      <c r="D37" s="539" t="s">
        <v>273</v>
      </c>
      <c r="E37" s="540">
        <v>1</v>
      </c>
      <c r="F37" s="541">
        <v>1.65</v>
      </c>
      <c r="G37" s="541">
        <v>1.65</v>
      </c>
      <c r="H37" s="541">
        <v>2.25</v>
      </c>
      <c r="I37" s="545">
        <f>ROUND(IF(AND(F37:H37),C37*E37*F37*G37*H37,IF(AND(F37,G37),C37*E37*F37*G37,IF(AND(F37,H37),C37*E37*F37*H37,IF(AND(G37,H37),C37*E37*G37*H37,IF(F37,C37*E37*F37,IF(G37,C37*E37*G37,IF(H37,C37*E37*H37,C37*E37))))))),2)</f>
        <v>6.13</v>
      </c>
      <c r="J37" s="546" t="s">
        <v>5</v>
      </c>
      <c r="K37" s="39"/>
      <c r="L37" s="16"/>
      <c r="M37" s="39"/>
      <c r="N37" s="536" t="s">
        <v>2318</v>
      </c>
    </row>
    <row r="38" spans="1:14" s="544" customFormat="1" ht="16.5" hidden="1" customHeight="1">
      <c r="A38" s="16"/>
      <c r="B38" s="39" t="s">
        <v>1606</v>
      </c>
      <c r="C38" s="537">
        <v>1</v>
      </c>
      <c r="D38" s="539" t="s">
        <v>273</v>
      </c>
      <c r="E38" s="540">
        <v>1</v>
      </c>
      <c r="F38" s="541">
        <v>2.17</v>
      </c>
      <c r="G38" s="541">
        <v>5</v>
      </c>
      <c r="H38" s="541">
        <v>0.18</v>
      </c>
      <c r="I38" s="545">
        <f>ROUND(IF(AND(F38:H38),C38*E38*F38*G38*H38,IF(AND(F38,G38),C38*E38*F38*G38,IF(AND(F38,H38),C38*E38*F38*H38,IF(AND(G38,H38),C38*E38*G38*H38,IF(F38,C38*E38*F38,IF(G38,C38*E38*G38,IF(H38,C38*E38*H38,C38*E38))))))),2)</f>
        <v>1.95</v>
      </c>
      <c r="J38" s="546" t="s">
        <v>5</v>
      </c>
      <c r="K38" s="39"/>
      <c r="L38" s="16"/>
      <c r="M38" s="39"/>
      <c r="N38" s="536" t="s">
        <v>2318</v>
      </c>
    </row>
    <row r="39" spans="1:14" s="544" customFormat="1" ht="16.5" hidden="1" customHeight="1">
      <c r="A39" s="16"/>
      <c r="B39" s="547"/>
      <c r="C39" s="548"/>
      <c r="D39" s="549"/>
      <c r="E39" s="550"/>
      <c r="F39" s="551"/>
      <c r="G39" s="551"/>
      <c r="H39" s="551"/>
      <c r="I39" s="552"/>
      <c r="J39" s="553"/>
      <c r="K39" s="39"/>
      <c r="L39" s="208"/>
      <c r="M39" s="39"/>
      <c r="N39" s="536" t="s">
        <v>2318</v>
      </c>
    </row>
    <row r="40" spans="1:14" ht="15.75" hidden="1">
      <c r="A40" s="16"/>
      <c r="B40" s="39"/>
      <c r="C40" s="554"/>
      <c r="D40" s="555"/>
      <c r="E40" s="540"/>
      <c r="F40" s="541"/>
      <c r="G40" s="40"/>
      <c r="H40" s="16"/>
      <c r="I40" s="552"/>
      <c r="J40" s="553" t="s">
        <v>5</v>
      </c>
      <c r="K40" s="10">
        <f>'data 2022-23'!G63</f>
        <v>216.13</v>
      </c>
      <c r="L40" s="208" t="s">
        <v>274</v>
      </c>
      <c r="M40" s="9">
        <f>ROUND(I40*K40,0)</f>
        <v>0</v>
      </c>
      <c r="N40" s="536" t="s">
        <v>2318</v>
      </c>
    </row>
    <row r="41" spans="1:14" ht="43.5" hidden="1" customHeight="1">
      <c r="A41" s="16">
        <v>4</v>
      </c>
      <c r="B41" s="1858" t="s">
        <v>656</v>
      </c>
      <c r="C41" s="1858"/>
      <c r="D41" s="1858"/>
      <c r="E41" s="1858"/>
      <c r="F41" s="1858"/>
      <c r="G41" s="1858"/>
      <c r="H41" s="1858"/>
      <c r="I41" s="537"/>
      <c r="J41" s="538"/>
      <c r="K41" s="16"/>
      <c r="L41" s="208"/>
      <c r="M41" s="38"/>
      <c r="N41" s="536" t="s">
        <v>2318</v>
      </c>
    </row>
    <row r="42" spans="1:14" s="544" customFormat="1" ht="16.5" hidden="1" customHeight="1">
      <c r="A42" s="16"/>
      <c r="B42" s="556" t="s">
        <v>2826</v>
      </c>
      <c r="C42" s="566"/>
      <c r="D42" s="567"/>
      <c r="E42" s="568"/>
      <c r="F42" s="569"/>
      <c r="G42" s="569"/>
      <c r="H42" s="570"/>
      <c r="I42" s="571"/>
      <c r="J42" s="553"/>
      <c r="K42" s="39"/>
      <c r="L42" s="208"/>
      <c r="M42" s="39"/>
      <c r="N42" s="536" t="s">
        <v>2318</v>
      </c>
    </row>
    <row r="43" spans="1:14" s="544" customFormat="1" ht="16.5" hidden="1" customHeight="1">
      <c r="A43" s="16"/>
      <c r="B43" s="547" t="s">
        <v>657</v>
      </c>
      <c r="C43" s="548">
        <v>1</v>
      </c>
      <c r="D43" s="549" t="s">
        <v>273</v>
      </c>
      <c r="E43" s="550">
        <v>1</v>
      </c>
      <c r="F43" s="551">
        <v>2.72</v>
      </c>
      <c r="G43" s="551">
        <v>0.77</v>
      </c>
      <c r="H43" s="551">
        <v>1.25</v>
      </c>
      <c r="I43" s="552">
        <f>ROUND(IF(AND(F43:H43),C43*E43*F43*G43*H43,IF(AND(F43,G43),C43*E43*F43*G43,IF(AND(F43,H43),C43*E43*F43*H43,IF(AND(G43,H43),C43*E43*G43*H43,IF(F43,C43*E43*F43,IF(G43,C43*E43*G43,IF(H43,C43*E43*H43,C43*E43))))))),2)</f>
        <v>2.62</v>
      </c>
      <c r="J43" s="553" t="s">
        <v>5</v>
      </c>
      <c r="K43" s="39"/>
      <c r="L43" s="208"/>
      <c r="M43" s="39"/>
      <c r="N43" s="536" t="s">
        <v>2318</v>
      </c>
    </row>
    <row r="44" spans="1:14" s="544" customFormat="1" ht="16.5" hidden="1" customHeight="1">
      <c r="A44" s="16"/>
      <c r="B44" s="547" t="s">
        <v>655</v>
      </c>
      <c r="C44" s="548">
        <v>1</v>
      </c>
      <c r="D44" s="549" t="s">
        <v>273</v>
      </c>
      <c r="E44" s="550">
        <v>1</v>
      </c>
      <c r="F44" s="551">
        <v>3.16</v>
      </c>
      <c r="G44" s="551">
        <v>1.27</v>
      </c>
      <c r="H44" s="551">
        <f>(0.1+0.77)/2</f>
        <v>0.435</v>
      </c>
      <c r="I44" s="552">
        <f>ROUND(IF(AND(F44:H44),C44*E44*F44*G44*H44,IF(AND(F44,G44),C44*E44*F44*G44,IF(AND(F44,H44),C44*E44*F44*H44,IF(AND(G44,H44),C44*E44*G44*H44,IF(F44,C44*E44*F44,IF(G44,C44*E44*G44,IF(H44,C44*E44*H44,C44*E44))))))),2)</f>
        <v>1.75</v>
      </c>
      <c r="J44" s="553" t="s">
        <v>5</v>
      </c>
      <c r="K44" s="39"/>
      <c r="L44" s="208"/>
      <c r="M44" s="39"/>
      <c r="N44" s="536" t="s">
        <v>2318</v>
      </c>
    </row>
    <row r="45" spans="1:14" s="544" customFormat="1" ht="16.5" hidden="1" customHeight="1">
      <c r="A45" s="16"/>
      <c r="B45" s="547"/>
      <c r="C45" s="548"/>
      <c r="D45" s="549"/>
      <c r="E45" s="550"/>
      <c r="F45" s="551"/>
      <c r="G45" s="551"/>
      <c r="H45" s="551"/>
      <c r="I45" s="552"/>
      <c r="J45" s="553"/>
      <c r="K45" s="39"/>
      <c r="L45" s="208"/>
      <c r="M45" s="39"/>
      <c r="N45" s="536" t="s">
        <v>2318</v>
      </c>
    </row>
    <row r="46" spans="1:14" ht="15.75" hidden="1">
      <c r="A46" s="16"/>
      <c r="B46" s="39"/>
      <c r="C46" s="554"/>
      <c r="D46" s="555"/>
      <c r="E46" s="540"/>
      <c r="F46" s="541"/>
      <c r="G46" s="40"/>
      <c r="H46" s="16"/>
      <c r="I46" s="552"/>
      <c r="J46" s="553" t="s">
        <v>5</v>
      </c>
      <c r="K46" s="10">
        <f>'data 2022-23'!G71</f>
        <v>272.13</v>
      </c>
      <c r="L46" s="208" t="s">
        <v>274</v>
      </c>
      <c r="M46" s="9">
        <f>ROUND(I46*K46,0)</f>
        <v>0</v>
      </c>
      <c r="N46" s="536" t="s">
        <v>2318</v>
      </c>
    </row>
    <row r="47" spans="1:14" ht="57" hidden="1" customHeight="1">
      <c r="A47" s="16">
        <v>4</v>
      </c>
      <c r="B47" s="1858" t="s">
        <v>55</v>
      </c>
      <c r="C47" s="1858"/>
      <c r="D47" s="1858"/>
      <c r="E47" s="1858"/>
      <c r="F47" s="1858"/>
      <c r="G47" s="1858"/>
      <c r="H47" s="1858"/>
      <c r="I47" s="537"/>
      <c r="J47" s="538"/>
      <c r="K47" s="16"/>
      <c r="L47" s="208"/>
      <c r="M47" s="38"/>
      <c r="N47" s="536" t="s">
        <v>2318</v>
      </c>
    </row>
    <row r="48" spans="1:14" s="544" customFormat="1" ht="16.5" hidden="1" customHeight="1">
      <c r="A48" s="16"/>
      <c r="B48" s="207" t="s">
        <v>2829</v>
      </c>
      <c r="C48" s="561"/>
      <c r="D48" s="562"/>
      <c r="E48" s="563"/>
      <c r="F48" s="564"/>
      <c r="G48" s="564"/>
      <c r="H48" s="564"/>
      <c r="I48" s="565"/>
      <c r="J48" s="546"/>
      <c r="K48" s="39"/>
      <c r="L48" s="16"/>
      <c r="M48" s="39"/>
      <c r="N48" s="536" t="s">
        <v>2318</v>
      </c>
    </row>
    <row r="49" spans="1:14" s="544" customFormat="1" ht="16.5" hidden="1" customHeight="1">
      <c r="A49" s="16"/>
      <c r="B49" s="39" t="s">
        <v>298</v>
      </c>
      <c r="C49" s="537">
        <v>1</v>
      </c>
      <c r="D49" s="539" t="s">
        <v>273</v>
      </c>
      <c r="E49" s="540">
        <v>1</v>
      </c>
      <c r="F49" s="541">
        <v>1.65</v>
      </c>
      <c r="G49" s="541">
        <v>1.65</v>
      </c>
      <c r="H49" s="541">
        <v>0.15</v>
      </c>
      <c r="I49" s="545">
        <f>ROUND(IF(AND(F49:H49),C49*E49*F49*G49*H49,IF(AND(F49,G49),C49*E49*F49*G49,IF(AND(F49,H49),C49*E49*F49*H49,IF(AND(G49,H49),C49*E49*G49*H49,IF(F49,C49*E49*F49,IF(G49,C49*E49*G49,IF(H49,C49*E49*H49,C49*E49))))))),2)</f>
        <v>0.41</v>
      </c>
      <c r="J49" s="546" t="s">
        <v>5</v>
      </c>
      <c r="K49" s="39"/>
      <c r="L49" s="16"/>
      <c r="M49" s="39"/>
      <c r="N49" s="536" t="s">
        <v>2318</v>
      </c>
    </row>
    <row r="50" spans="1:14" s="544" customFormat="1" ht="16.5" hidden="1" customHeight="1">
      <c r="A50" s="16"/>
      <c r="B50" s="39" t="s">
        <v>299</v>
      </c>
      <c r="C50" s="537">
        <v>1</v>
      </c>
      <c r="D50" s="539" t="s">
        <v>273</v>
      </c>
      <c r="E50" s="540">
        <v>4</v>
      </c>
      <c r="F50" s="541">
        <v>2</v>
      </c>
      <c r="G50" s="541">
        <v>2</v>
      </c>
      <c r="H50" s="541">
        <v>0.15</v>
      </c>
      <c r="I50" s="545">
        <f>ROUND(IF(AND(F50:H50),C50*E50*F50*G50*H50,IF(AND(F50,G50),C50*E50*F50*G50,IF(AND(F50,H50),C50*E50*F50*H50,IF(AND(G50,H50),C50*E50*G50*H50,IF(F50,C50*E50*F50,IF(G50,C50*E50*G50,IF(H50,C50*E50*H50,C50*E50))))))),2)</f>
        <v>2.4</v>
      </c>
      <c r="J50" s="546" t="s">
        <v>5</v>
      </c>
      <c r="K50" s="39"/>
      <c r="L50" s="16"/>
      <c r="M50" s="39"/>
      <c r="N50" s="536" t="s">
        <v>2318</v>
      </c>
    </row>
    <row r="51" spans="1:14" s="544" customFormat="1" ht="16.5" hidden="1" customHeight="1">
      <c r="A51" s="16"/>
      <c r="B51" s="547"/>
      <c r="C51" s="548"/>
      <c r="D51" s="549"/>
      <c r="E51" s="550"/>
      <c r="F51" s="551"/>
      <c r="G51" s="551"/>
      <c r="H51" s="551"/>
      <c r="I51" s="552"/>
      <c r="J51" s="553"/>
      <c r="K51" s="39"/>
      <c r="L51" s="208"/>
      <c r="M51" s="39"/>
      <c r="N51" s="536" t="s">
        <v>2318</v>
      </c>
    </row>
    <row r="52" spans="1:14" ht="15.75" hidden="1">
      <c r="A52" s="16"/>
      <c r="B52" s="39"/>
      <c r="C52" s="554"/>
      <c r="D52" s="555"/>
      <c r="E52" s="540"/>
      <c r="F52" s="541"/>
      <c r="G52" s="40"/>
      <c r="H52" s="16"/>
      <c r="I52" s="552"/>
      <c r="J52" s="553" t="s">
        <v>5</v>
      </c>
      <c r="K52" s="10">
        <f>'data 2022-23'!G55</f>
        <v>1603.13</v>
      </c>
      <c r="L52" s="208" t="s">
        <v>274</v>
      </c>
      <c r="M52" s="9">
        <f>ROUND(I52*K52,0)</f>
        <v>0</v>
      </c>
      <c r="N52" s="536" t="s">
        <v>2318</v>
      </c>
    </row>
    <row r="53" spans="1:14" ht="29.25" hidden="1" customHeight="1">
      <c r="A53" s="16">
        <v>4</v>
      </c>
      <c r="B53" s="1858" t="s">
        <v>282</v>
      </c>
      <c r="C53" s="1858"/>
      <c r="D53" s="1858"/>
      <c r="E53" s="1858"/>
      <c r="F53" s="1858"/>
      <c r="G53" s="1858"/>
      <c r="H53" s="1858"/>
      <c r="I53" s="537"/>
      <c r="J53" s="538"/>
      <c r="K53" s="16"/>
      <c r="L53" s="208"/>
      <c r="M53" s="38"/>
      <c r="N53" s="536" t="s">
        <v>2318</v>
      </c>
    </row>
    <row r="54" spans="1:14" s="544" customFormat="1" ht="16.5" hidden="1" customHeight="1">
      <c r="A54" s="16"/>
      <c r="B54" s="207" t="s">
        <v>2831</v>
      </c>
      <c r="C54" s="561"/>
      <c r="D54" s="562"/>
      <c r="E54" s="563"/>
      <c r="F54" s="564"/>
      <c r="G54" s="564"/>
      <c r="H54" s="564"/>
      <c r="I54" s="565"/>
      <c r="J54" s="543"/>
      <c r="K54" s="39"/>
      <c r="L54" s="16"/>
      <c r="M54" s="39"/>
      <c r="N54" s="536" t="s">
        <v>2318</v>
      </c>
    </row>
    <row r="55" spans="1:14" s="544" customFormat="1" ht="16.5" hidden="1" customHeight="1">
      <c r="A55" s="16"/>
      <c r="B55" s="39" t="s">
        <v>1602</v>
      </c>
      <c r="C55" s="537">
        <v>1</v>
      </c>
      <c r="D55" s="539" t="s">
        <v>273</v>
      </c>
      <c r="E55" s="540">
        <v>10</v>
      </c>
      <c r="F55" s="541">
        <v>1.5</v>
      </c>
      <c r="G55" s="541">
        <v>1.5</v>
      </c>
      <c r="H55" s="541">
        <v>1.8</v>
      </c>
      <c r="I55" s="545">
        <f>ROUND(IF(AND(F55:H55),C55*E55*F55*G55*H55,IF(AND(F55,G55),C55*E55*F55*G55,IF(AND(F55,H55),C55*E55*F55*H55,IF(AND(G55,H55),C55*E55*G55*H55,IF(F55,C55*E55*F55,IF(G55,C55*E55*G55,IF(H55,C55*E55*H55,C55*E55))))))),2)</f>
        <v>40.5</v>
      </c>
      <c r="J55" s="546" t="s">
        <v>5</v>
      </c>
      <c r="K55" s="39"/>
      <c r="L55" s="16"/>
      <c r="M55" s="39"/>
      <c r="N55" s="536" t="s">
        <v>2318</v>
      </c>
    </row>
    <row r="56" spans="1:14" s="544" customFormat="1" ht="16.5" hidden="1" customHeight="1">
      <c r="A56" s="16"/>
      <c r="B56" s="39" t="s">
        <v>1603</v>
      </c>
      <c r="C56" s="537">
        <v>1</v>
      </c>
      <c r="D56" s="539" t="s">
        <v>273</v>
      </c>
      <c r="E56" s="540">
        <v>4</v>
      </c>
      <c r="F56" s="541">
        <v>1.5</v>
      </c>
      <c r="G56" s="541">
        <v>1.5</v>
      </c>
      <c r="H56" s="541">
        <v>1.8</v>
      </c>
      <c r="I56" s="545">
        <f>ROUND(IF(AND(F56:H56),C56*E56*F56*G56*H56,IF(AND(F56,G56),C56*E56*F56*G56,IF(AND(F56,H56),C56*E56*F56*H56,IF(AND(G56,H56),C56*E56*G56*H56,IF(F56,C56*E56*F56,IF(G56,C56*E56*G56,IF(H56,C56*E56*H56,C56*E56))))))),2)</f>
        <v>16.2</v>
      </c>
      <c r="J56" s="546" t="s">
        <v>5</v>
      </c>
      <c r="K56" s="39"/>
      <c r="L56" s="16"/>
      <c r="M56" s="39"/>
      <c r="N56" s="536" t="s">
        <v>2318</v>
      </c>
    </row>
    <row r="57" spans="1:14" s="544" customFormat="1" ht="16.5" hidden="1" customHeight="1">
      <c r="A57" s="16"/>
      <c r="B57" s="39" t="s">
        <v>1610</v>
      </c>
      <c r="C57" s="537"/>
      <c r="D57" s="539"/>
      <c r="E57" s="540"/>
      <c r="F57" s="541"/>
      <c r="G57" s="541"/>
      <c r="H57" s="541"/>
      <c r="I57" s="545">
        <v>-16.2</v>
      </c>
      <c r="J57" s="546" t="s">
        <v>5</v>
      </c>
      <c r="K57" s="39"/>
      <c r="L57" s="16"/>
      <c r="M57" s="39"/>
      <c r="N57" s="536" t="s">
        <v>2318</v>
      </c>
    </row>
    <row r="58" spans="1:14" s="544" customFormat="1" ht="16.5" hidden="1" customHeight="1">
      <c r="A58" s="16"/>
      <c r="B58" s="547"/>
      <c r="C58" s="548"/>
      <c r="D58" s="549"/>
      <c r="E58" s="550"/>
      <c r="F58" s="551"/>
      <c r="G58" s="551"/>
      <c r="H58" s="551"/>
      <c r="I58" s="552"/>
      <c r="J58" s="553"/>
      <c r="K58" s="39"/>
      <c r="L58" s="208"/>
      <c r="M58" s="39"/>
      <c r="N58" s="536" t="s">
        <v>2318</v>
      </c>
    </row>
    <row r="59" spans="1:14" ht="15.75" hidden="1">
      <c r="A59" s="16"/>
      <c r="B59" s="39"/>
      <c r="C59" s="554"/>
      <c r="D59" s="555"/>
      <c r="E59" s="540"/>
      <c r="F59" s="541"/>
      <c r="G59" s="40"/>
      <c r="H59" s="16"/>
      <c r="I59" s="552"/>
      <c r="J59" s="553" t="s">
        <v>5</v>
      </c>
      <c r="K59" s="10">
        <f>'data 2022-23'!G77</f>
        <v>284.39999999999998</v>
      </c>
      <c r="L59" s="208" t="s">
        <v>274</v>
      </c>
      <c r="M59" s="9">
        <f>ROUND(I59*K59,0)</f>
        <v>0</v>
      </c>
      <c r="N59" s="536" t="s">
        <v>2318</v>
      </c>
    </row>
    <row r="60" spans="1:14" ht="87.75" hidden="1" customHeight="1">
      <c r="A60" s="16">
        <v>5</v>
      </c>
      <c r="B60" s="1858" t="s">
        <v>1572</v>
      </c>
      <c r="C60" s="1858"/>
      <c r="D60" s="1858"/>
      <c r="E60" s="1858"/>
      <c r="F60" s="1858"/>
      <c r="G60" s="1858"/>
      <c r="H60" s="1858"/>
      <c r="I60" s="537"/>
      <c r="J60" s="538"/>
      <c r="K60" s="16"/>
      <c r="L60" s="208"/>
      <c r="M60" s="38"/>
      <c r="N60" s="536" t="s">
        <v>2318</v>
      </c>
    </row>
    <row r="61" spans="1:14" s="544" customFormat="1" ht="16.5" hidden="1" customHeight="1">
      <c r="A61" s="16"/>
      <c r="B61" s="207" t="s">
        <v>2832</v>
      </c>
      <c r="C61" s="561"/>
      <c r="D61" s="562"/>
      <c r="E61" s="563"/>
      <c r="F61" s="564"/>
      <c r="G61" s="564"/>
      <c r="H61" s="564"/>
      <c r="I61" s="565"/>
      <c r="J61" s="543"/>
      <c r="K61" s="39"/>
      <c r="L61" s="16"/>
      <c r="M61" s="39"/>
      <c r="N61" s="536" t="s">
        <v>2318</v>
      </c>
    </row>
    <row r="62" spans="1:14" s="544" customFormat="1" ht="16.5" hidden="1" customHeight="1">
      <c r="A62" s="16"/>
      <c r="B62" s="39" t="s">
        <v>1607</v>
      </c>
      <c r="C62" s="537">
        <v>1</v>
      </c>
      <c r="D62" s="539" t="s">
        <v>273</v>
      </c>
      <c r="E62" s="540">
        <v>1</v>
      </c>
      <c r="F62" s="541">
        <v>1.35</v>
      </c>
      <c r="G62" s="541">
        <v>1.35</v>
      </c>
      <c r="H62" s="541">
        <v>0.3</v>
      </c>
      <c r="I62" s="545">
        <f>ROUND(IF(AND(F62:H62),C62*E62*F62*G62*H62,IF(AND(F62,G62),C62*E62*F62*G62,IF(AND(F62,H62),C62*E62*F62*H62,IF(AND(G62,H62),C62*E62*G62*H62,IF(F62,C62*E62*F62,IF(G62,C62*E62*G62,IF(H62,C62*E62*H62,C62*E62))))))),2)</f>
        <v>0.55000000000000004</v>
      </c>
      <c r="J62" s="546" t="s">
        <v>5</v>
      </c>
      <c r="K62" s="39"/>
      <c r="L62" s="16"/>
      <c r="M62" s="39"/>
      <c r="N62" s="536" t="s">
        <v>2318</v>
      </c>
    </row>
    <row r="63" spans="1:14" s="544" customFormat="1" ht="16.5" hidden="1" customHeight="1">
      <c r="A63" s="16"/>
      <c r="B63" s="547"/>
      <c r="C63" s="548"/>
      <c r="D63" s="549"/>
      <c r="E63" s="550"/>
      <c r="F63" s="551"/>
      <c r="G63" s="551"/>
      <c r="H63" s="551"/>
      <c r="I63" s="552"/>
      <c r="J63" s="553"/>
      <c r="K63" s="39"/>
      <c r="L63" s="208"/>
      <c r="M63" s="39"/>
      <c r="N63" s="536" t="s">
        <v>2318</v>
      </c>
    </row>
    <row r="64" spans="1:14" ht="15.75" hidden="1">
      <c r="A64" s="16"/>
      <c r="B64" s="39"/>
      <c r="C64" s="554"/>
      <c r="D64" s="555"/>
      <c r="E64" s="540"/>
      <c r="F64" s="541"/>
      <c r="G64" s="40"/>
      <c r="H64" s="16"/>
      <c r="I64" s="552"/>
      <c r="J64" s="553" t="s">
        <v>5</v>
      </c>
      <c r="K64" s="10">
        <f>'data 2022-23'!G121</f>
        <v>8062.18</v>
      </c>
      <c r="L64" s="208" t="s">
        <v>274</v>
      </c>
      <c r="M64" s="9">
        <f>ROUND(I64*K64,0)</f>
        <v>0</v>
      </c>
      <c r="N64" s="536" t="s">
        <v>2318</v>
      </c>
    </row>
    <row r="65" spans="1:14" ht="17.25" hidden="1" customHeight="1">
      <c r="A65" s="16">
        <v>6</v>
      </c>
      <c r="B65" s="1858" t="s">
        <v>300</v>
      </c>
      <c r="C65" s="1858"/>
      <c r="D65" s="1858"/>
      <c r="E65" s="1858"/>
      <c r="F65" s="1858"/>
      <c r="G65" s="1858"/>
      <c r="H65" s="1858"/>
      <c r="I65" s="537"/>
      <c r="J65" s="538"/>
      <c r="K65" s="16"/>
      <c r="L65" s="208"/>
      <c r="M65" s="38"/>
      <c r="N65" s="536" t="s">
        <v>2318</v>
      </c>
    </row>
    <row r="66" spans="1:14" s="544" customFormat="1" ht="16.5" hidden="1" customHeight="1">
      <c r="A66" s="16"/>
      <c r="B66" s="207" t="s">
        <v>2833</v>
      </c>
      <c r="C66" s="561"/>
      <c r="D66" s="562"/>
      <c r="E66" s="563"/>
      <c r="F66" s="564"/>
      <c r="G66" s="564"/>
      <c r="H66" s="564"/>
      <c r="I66" s="565"/>
      <c r="J66" s="553"/>
      <c r="K66" s="39"/>
      <c r="L66" s="16"/>
      <c r="M66" s="39"/>
      <c r="N66" s="536" t="s">
        <v>2318</v>
      </c>
    </row>
    <row r="67" spans="1:14" s="544" customFormat="1" ht="16.5" hidden="1" customHeight="1">
      <c r="A67" s="16"/>
      <c r="B67" s="572"/>
      <c r="C67" s="537">
        <v>1</v>
      </c>
      <c r="D67" s="539" t="s">
        <v>273</v>
      </c>
      <c r="E67" s="540">
        <v>18</v>
      </c>
      <c r="F67" s="541">
        <v>0.45</v>
      </c>
      <c r="G67" s="541">
        <v>0.45</v>
      </c>
      <c r="H67" s="541">
        <v>0.45</v>
      </c>
      <c r="I67" s="545">
        <f>ROUND(IF(AND(F67:H67),C67*E67*F67*G67*H67,IF(AND(F67,G67),C67*E67*F67*G67,IF(AND(F67,H67),C67*E67*F67*H67,IF(AND(G67,H67),C67*E67*G67*H67,IF(F67,C67*E67*F67,IF(G67,C67*E67*G67,IF(H67,C67*E67*H67,C67*E67))))))),2)</f>
        <v>1.64</v>
      </c>
      <c r="J67" s="553" t="s">
        <v>5</v>
      </c>
      <c r="K67" s="39"/>
      <c r="L67" s="16"/>
      <c r="M67" s="39"/>
      <c r="N67" s="536" t="s">
        <v>2318</v>
      </c>
    </row>
    <row r="68" spans="1:14" s="544" customFormat="1" ht="16.5" hidden="1" customHeight="1">
      <c r="A68" s="16"/>
      <c r="B68" s="573"/>
      <c r="C68" s="537"/>
      <c r="D68" s="539"/>
      <c r="E68" s="540"/>
      <c r="F68" s="541"/>
      <c r="G68" s="541"/>
      <c r="H68" s="541"/>
      <c r="I68" s="545"/>
      <c r="J68" s="553"/>
      <c r="K68" s="39"/>
      <c r="L68" s="208"/>
      <c r="M68" s="39"/>
      <c r="N68" s="536" t="s">
        <v>2318</v>
      </c>
    </row>
    <row r="69" spans="1:14" ht="15.75" hidden="1">
      <c r="A69" s="16"/>
      <c r="B69" s="39"/>
      <c r="C69" s="554"/>
      <c r="D69" s="555"/>
      <c r="E69" s="540"/>
      <c r="F69" s="541"/>
      <c r="G69" s="40"/>
      <c r="H69" s="16"/>
      <c r="I69" s="552"/>
      <c r="J69" s="553" t="s">
        <v>5</v>
      </c>
      <c r="K69" s="10">
        <f>'data 2022-23'!G126</f>
        <v>8501.18</v>
      </c>
      <c r="L69" s="208" t="s">
        <v>274</v>
      </c>
      <c r="M69" s="9">
        <f>ROUND(I69*K69,0)</f>
        <v>0</v>
      </c>
      <c r="N69" s="536" t="s">
        <v>2318</v>
      </c>
    </row>
    <row r="70" spans="1:14" ht="17.25" hidden="1" customHeight="1">
      <c r="A70" s="16">
        <v>7</v>
      </c>
      <c r="B70" s="1858" t="s">
        <v>301</v>
      </c>
      <c r="C70" s="1858"/>
      <c r="D70" s="1858"/>
      <c r="E70" s="1858"/>
      <c r="F70" s="1858"/>
      <c r="G70" s="1858"/>
      <c r="H70" s="1858"/>
      <c r="I70" s="537"/>
      <c r="J70" s="538"/>
      <c r="K70" s="16"/>
      <c r="L70" s="208"/>
      <c r="M70" s="38"/>
      <c r="N70" s="536" t="s">
        <v>2318</v>
      </c>
    </row>
    <row r="71" spans="1:14" s="544" customFormat="1" ht="16.5" hidden="1" customHeight="1">
      <c r="A71" s="16"/>
      <c r="B71" s="207" t="s">
        <v>2828</v>
      </c>
      <c r="C71" s="561"/>
      <c r="D71" s="562"/>
      <c r="E71" s="563"/>
      <c r="F71" s="564"/>
      <c r="G71" s="564"/>
      <c r="H71" s="564"/>
      <c r="I71" s="565"/>
      <c r="J71" s="553"/>
      <c r="K71" s="39"/>
      <c r="L71" s="16"/>
      <c r="M71" s="39"/>
      <c r="N71" s="536" t="s">
        <v>2318</v>
      </c>
    </row>
    <row r="72" spans="1:14" s="544" customFormat="1" ht="16.5" hidden="1" customHeight="1">
      <c r="A72" s="16"/>
      <c r="B72" s="39" t="s">
        <v>1607</v>
      </c>
      <c r="C72" s="537">
        <v>1</v>
      </c>
      <c r="D72" s="539" t="s">
        <v>273</v>
      </c>
      <c r="E72" s="540">
        <v>1</v>
      </c>
      <c r="F72" s="541">
        <v>0.23</v>
      </c>
      <c r="G72" s="541">
        <v>0.38</v>
      </c>
      <c r="H72" s="541">
        <v>1.72</v>
      </c>
      <c r="I72" s="545">
        <f t="shared" ref="I72:I79" si="0">ROUND(IF(AND(F72:H72),C72*E72*F72*G72*H72,IF(AND(F72,G72),C72*E72*F72*G72,IF(AND(F72,H72),C72*E72*F72*H72,IF(AND(G72,H72),C72*E72*G72*H72,IF(F72,C72*E72*F72,IF(G72,C72*E72*G72,IF(H72,C72*E72*H72,C72*E72))))))),2)</f>
        <v>0.15</v>
      </c>
      <c r="J72" s="553" t="s">
        <v>5</v>
      </c>
      <c r="K72" s="39"/>
      <c r="L72" s="16"/>
      <c r="M72" s="39"/>
      <c r="N72" s="536" t="s">
        <v>2318</v>
      </c>
    </row>
    <row r="73" spans="1:14" s="544" customFormat="1" ht="16.5" hidden="1" customHeight="1">
      <c r="A73" s="16"/>
      <c r="B73" s="39" t="s">
        <v>1608</v>
      </c>
      <c r="C73" s="537">
        <v>1</v>
      </c>
      <c r="D73" s="539" t="s">
        <v>273</v>
      </c>
      <c r="E73" s="540">
        <v>1</v>
      </c>
      <c r="F73" s="541">
        <v>0.23</v>
      </c>
      <c r="G73" s="541">
        <v>0.38</v>
      </c>
      <c r="H73" s="541">
        <v>1.79</v>
      </c>
      <c r="I73" s="545">
        <f t="shared" si="0"/>
        <v>0.16</v>
      </c>
      <c r="J73" s="553" t="s">
        <v>5</v>
      </c>
      <c r="K73" s="39"/>
      <c r="L73" s="16"/>
      <c r="M73" s="39"/>
      <c r="N73" s="536" t="s">
        <v>2318</v>
      </c>
    </row>
    <row r="74" spans="1:14" s="544" customFormat="1" ht="16.5" hidden="1" customHeight="1">
      <c r="A74" s="16"/>
      <c r="B74" s="39" t="s">
        <v>1608</v>
      </c>
      <c r="C74" s="537">
        <v>1</v>
      </c>
      <c r="D74" s="539" t="s">
        <v>273</v>
      </c>
      <c r="E74" s="540">
        <v>1</v>
      </c>
      <c r="F74" s="541">
        <v>0.23</v>
      </c>
      <c r="G74" s="541">
        <v>0.38</v>
      </c>
      <c r="H74" s="541">
        <v>1.75</v>
      </c>
      <c r="I74" s="545">
        <f t="shared" si="0"/>
        <v>0.15</v>
      </c>
      <c r="J74" s="553" t="s">
        <v>5</v>
      </c>
      <c r="K74" s="39"/>
      <c r="L74" s="16"/>
      <c r="M74" s="39"/>
      <c r="N74" s="536" t="s">
        <v>2318</v>
      </c>
    </row>
    <row r="75" spans="1:14" s="544" customFormat="1" ht="16.5" hidden="1" customHeight="1">
      <c r="A75" s="16"/>
      <c r="B75" s="39" t="s">
        <v>1609</v>
      </c>
      <c r="C75" s="537">
        <v>1</v>
      </c>
      <c r="D75" s="539" t="s">
        <v>273</v>
      </c>
      <c r="E75" s="540">
        <v>1</v>
      </c>
      <c r="F75" s="541">
        <v>0.23</v>
      </c>
      <c r="G75" s="541">
        <v>0.38</v>
      </c>
      <c r="H75" s="541">
        <v>1.68</v>
      </c>
      <c r="I75" s="545">
        <f t="shared" si="0"/>
        <v>0.15</v>
      </c>
      <c r="J75" s="553" t="s">
        <v>5</v>
      </c>
      <c r="K75" s="39"/>
      <c r="L75" s="16"/>
      <c r="M75" s="39"/>
      <c r="N75" s="536" t="s">
        <v>2318</v>
      </c>
    </row>
    <row r="76" spans="1:14" s="544" customFormat="1" ht="16.5" hidden="1" customHeight="1">
      <c r="A76" s="16"/>
      <c r="B76" s="39" t="s">
        <v>1609</v>
      </c>
      <c r="C76" s="537">
        <v>1</v>
      </c>
      <c r="D76" s="539" t="s">
        <v>273</v>
      </c>
      <c r="E76" s="540">
        <v>1</v>
      </c>
      <c r="F76" s="541">
        <v>0.23</v>
      </c>
      <c r="G76" s="541">
        <v>0.38</v>
      </c>
      <c r="H76" s="541">
        <v>1.74</v>
      </c>
      <c r="I76" s="545">
        <f t="shared" si="0"/>
        <v>0.15</v>
      </c>
      <c r="J76" s="553" t="s">
        <v>5</v>
      </c>
      <c r="K76" s="39"/>
      <c r="L76" s="16"/>
      <c r="M76" s="39"/>
      <c r="N76" s="536" t="s">
        <v>2318</v>
      </c>
    </row>
    <row r="77" spans="1:14" s="544" customFormat="1" ht="16.5" hidden="1" customHeight="1">
      <c r="A77" s="16"/>
      <c r="B77" s="39" t="s">
        <v>1607</v>
      </c>
      <c r="C77" s="537">
        <v>1</v>
      </c>
      <c r="D77" s="539" t="s">
        <v>273</v>
      </c>
      <c r="E77" s="540">
        <v>1</v>
      </c>
      <c r="F77" s="541">
        <v>0.23</v>
      </c>
      <c r="G77" s="541">
        <v>0.23</v>
      </c>
      <c r="H77" s="541">
        <v>2.7949999999999999</v>
      </c>
      <c r="I77" s="545">
        <f t="shared" si="0"/>
        <v>0.15</v>
      </c>
      <c r="J77" s="553" t="s">
        <v>5</v>
      </c>
      <c r="K77" s="39"/>
      <c r="L77" s="16"/>
      <c r="M77" s="39"/>
      <c r="N77" s="536" t="s">
        <v>2318</v>
      </c>
    </row>
    <row r="78" spans="1:14" s="544" customFormat="1" ht="16.5" hidden="1" customHeight="1">
      <c r="A78" s="16"/>
      <c r="B78" s="39" t="s">
        <v>1611</v>
      </c>
      <c r="C78" s="537">
        <v>1</v>
      </c>
      <c r="D78" s="539" t="s">
        <v>273</v>
      </c>
      <c r="E78" s="540">
        <v>5</v>
      </c>
      <c r="F78" s="541">
        <v>0.23</v>
      </c>
      <c r="G78" s="541">
        <v>0.38</v>
      </c>
      <c r="H78" s="541">
        <v>2.7949999999999999</v>
      </c>
      <c r="I78" s="545">
        <f t="shared" si="0"/>
        <v>1.22</v>
      </c>
      <c r="J78" s="553" t="s">
        <v>5</v>
      </c>
      <c r="K78" s="39"/>
      <c r="L78" s="16"/>
      <c r="M78" s="39"/>
      <c r="N78" s="536" t="s">
        <v>2318</v>
      </c>
    </row>
    <row r="79" spans="1:14" s="544" customFormat="1" ht="16.5" hidden="1" customHeight="1">
      <c r="A79" s="16"/>
      <c r="B79" s="39" t="s">
        <v>1607</v>
      </c>
      <c r="C79" s="537">
        <v>1</v>
      </c>
      <c r="D79" s="539" t="s">
        <v>273</v>
      </c>
      <c r="E79" s="540">
        <v>1</v>
      </c>
      <c r="F79" s="541">
        <v>0.23</v>
      </c>
      <c r="G79" s="541">
        <v>0.23</v>
      </c>
      <c r="H79" s="541">
        <v>2.7949999999999999</v>
      </c>
      <c r="I79" s="545">
        <f t="shared" si="0"/>
        <v>0.15</v>
      </c>
      <c r="J79" s="553" t="s">
        <v>5</v>
      </c>
      <c r="K79" s="39"/>
      <c r="L79" s="16"/>
      <c r="M79" s="39"/>
      <c r="N79" s="536" t="s">
        <v>2318</v>
      </c>
    </row>
    <row r="80" spans="1:14" s="544" customFormat="1" ht="16.5" hidden="1" customHeight="1">
      <c r="A80" s="16"/>
      <c r="B80" s="547"/>
      <c r="C80" s="548"/>
      <c r="D80" s="549"/>
      <c r="E80" s="550"/>
      <c r="F80" s="551"/>
      <c r="G80" s="551"/>
      <c r="H80" s="551"/>
      <c r="I80" s="552"/>
      <c r="J80" s="553"/>
      <c r="K80" s="39"/>
      <c r="L80" s="208"/>
      <c r="M80" s="39"/>
      <c r="N80" s="536" t="s">
        <v>2318</v>
      </c>
    </row>
    <row r="81" spans="1:14" ht="15.75" hidden="1">
      <c r="A81" s="16"/>
      <c r="B81" s="39"/>
      <c r="C81" s="554"/>
      <c r="D81" s="555"/>
      <c r="E81" s="540"/>
      <c r="F81" s="541"/>
      <c r="G81" s="40"/>
      <c r="H81" s="16"/>
      <c r="I81" s="552"/>
      <c r="J81" s="553" t="s">
        <v>5</v>
      </c>
      <c r="K81" s="10">
        <f>'data 2022-23'!E152</f>
        <v>10417.6</v>
      </c>
      <c r="L81" s="208" t="s">
        <v>274</v>
      </c>
      <c r="M81" s="9">
        <f>ROUND(I81*K81,0)</f>
        <v>0</v>
      </c>
      <c r="N81" s="536" t="s">
        <v>2318</v>
      </c>
    </row>
    <row r="82" spans="1:14" s="544" customFormat="1" ht="16.5" hidden="1" customHeight="1">
      <c r="A82" s="16"/>
      <c r="B82" s="39" t="s">
        <v>2359</v>
      </c>
      <c r="C82" s="537">
        <v>1</v>
      </c>
      <c r="D82" s="539" t="s">
        <v>273</v>
      </c>
      <c r="E82" s="540">
        <v>3</v>
      </c>
      <c r="F82" s="541">
        <v>5.93</v>
      </c>
      <c r="G82" s="541">
        <v>0.23</v>
      </c>
      <c r="H82" s="541">
        <v>0.38</v>
      </c>
      <c r="I82" s="545">
        <f>ROUND(IF(AND(F82:H82),C82*E82*F82*G82*H82,IF(AND(F82,G82),C82*E82*F82*G82,IF(AND(F82,H82),C82*E82*F82*H82,IF(AND(G82,H82),C82*E82*G82*H82,IF(F82,C82*E82*F82,IF(G82,C82*E82*G82,IF(H82,C82*E82*H82,C82*E82))))))),2)</f>
        <v>1.55</v>
      </c>
      <c r="J82" s="553" t="s">
        <v>5</v>
      </c>
      <c r="K82" s="39"/>
      <c r="L82" s="16"/>
      <c r="M82" s="39"/>
      <c r="N82" s="536" t="s">
        <v>2318</v>
      </c>
    </row>
    <row r="83" spans="1:14" s="544" customFormat="1" ht="16.5" hidden="1" customHeight="1">
      <c r="A83" s="16"/>
      <c r="B83" s="39" t="s">
        <v>2358</v>
      </c>
      <c r="C83" s="537">
        <v>1</v>
      </c>
      <c r="D83" s="539" t="s">
        <v>273</v>
      </c>
      <c r="E83" s="540">
        <v>4</v>
      </c>
      <c r="F83" s="541">
        <v>2.7</v>
      </c>
      <c r="G83" s="541">
        <v>0.23</v>
      </c>
      <c r="H83" s="541">
        <v>0.38</v>
      </c>
      <c r="I83" s="545">
        <f>ROUND(IF(AND(F83:H83),C83*E83*F83*G83*H83,IF(AND(F83,G83),C83*E83*F83*G83,IF(AND(F83,H83),C83*E83*F83*H83,IF(AND(G83,H83),C83*E83*G83*H83,IF(F83,C83*E83*F83,IF(G83,C83*E83*G83,IF(H83,C83*E83*H83,C83*E83))))))),2)</f>
        <v>0.94</v>
      </c>
      <c r="J83" s="553" t="s">
        <v>5</v>
      </c>
      <c r="K83" s="39"/>
      <c r="L83" s="16"/>
      <c r="M83" s="39"/>
      <c r="N83" s="536" t="s">
        <v>2318</v>
      </c>
    </row>
    <row r="84" spans="1:14" ht="17.25" hidden="1" customHeight="1">
      <c r="A84" s="16">
        <v>8</v>
      </c>
      <c r="B84" s="1858" t="s">
        <v>302</v>
      </c>
      <c r="C84" s="1858"/>
      <c r="D84" s="1858"/>
      <c r="E84" s="1858"/>
      <c r="F84" s="1858"/>
      <c r="G84" s="1858"/>
      <c r="H84" s="1858"/>
      <c r="I84" s="537"/>
      <c r="J84" s="538"/>
      <c r="K84" s="16"/>
      <c r="L84" s="208"/>
      <c r="M84" s="38"/>
      <c r="N84" s="536" t="s">
        <v>2318</v>
      </c>
    </row>
    <row r="85" spans="1:14" s="544" customFormat="1" ht="16.5" hidden="1" customHeight="1">
      <c r="A85" s="16"/>
      <c r="B85" s="207" t="s">
        <v>2834</v>
      </c>
      <c r="C85" s="561"/>
      <c r="D85" s="562"/>
      <c r="E85" s="563"/>
      <c r="F85" s="564"/>
      <c r="G85" s="564"/>
      <c r="H85" s="564"/>
      <c r="I85" s="565"/>
      <c r="J85" s="553"/>
      <c r="K85" s="39"/>
      <c r="L85" s="16"/>
      <c r="M85" s="39"/>
      <c r="N85" s="536" t="s">
        <v>2318</v>
      </c>
    </row>
    <row r="86" spans="1:14" s="544" customFormat="1" ht="16.5" hidden="1" customHeight="1">
      <c r="A86" s="16"/>
      <c r="B86" s="39" t="s">
        <v>268</v>
      </c>
      <c r="C86" s="537">
        <v>1</v>
      </c>
      <c r="D86" s="539" t="s">
        <v>273</v>
      </c>
      <c r="E86" s="540">
        <v>1</v>
      </c>
      <c r="F86" s="541">
        <v>48.51</v>
      </c>
      <c r="G86" s="541">
        <v>0.23</v>
      </c>
      <c r="H86" s="541">
        <f>(0.36+0.38)/2</f>
        <v>0.37</v>
      </c>
      <c r="I86" s="545">
        <f>ROUND(IF(AND(F86:H86),C86*E86*F86*G86*H86,IF(AND(F86,G86),C86*E86*F86*G86,IF(AND(F86,H86),C86*E86*F86*H86,IF(AND(G86,H86),C86*E86*G86*H86,IF(F86,C86*E86*F86,IF(G86,C86*E86*G86,IF(H86,C86*E86*H86,C86*E86))))))),2)</f>
        <v>4.13</v>
      </c>
      <c r="J86" s="553" t="s">
        <v>5</v>
      </c>
      <c r="K86" s="39"/>
      <c r="L86" s="16"/>
      <c r="M86" s="39"/>
      <c r="N86" s="536" t="s">
        <v>2318</v>
      </c>
    </row>
    <row r="87" spans="1:14" s="544" customFormat="1" ht="16.5" hidden="1" customHeight="1">
      <c r="A87" s="16"/>
      <c r="B87" s="39"/>
      <c r="C87" s="537">
        <v>1</v>
      </c>
      <c r="D87" s="539" t="s">
        <v>273</v>
      </c>
      <c r="E87" s="540">
        <v>1</v>
      </c>
      <c r="F87" s="541">
        <v>6.3</v>
      </c>
      <c r="G87" s="541">
        <v>0.3</v>
      </c>
      <c r="H87" s="541">
        <v>0.2</v>
      </c>
      <c r="I87" s="545">
        <f>ROUND(IF(AND(F87:H87),C87*E87*F87*G87*H87,IF(AND(F87,G87),C87*E87*F87*G87,IF(AND(F87,H87),C87*E87*F87*H87,IF(AND(G87,H87),C87*E87*G87*H87,IF(F87,C87*E87*F87,IF(G87,C87*E87*G87,IF(H87,C87*E87*H87,C87*E87))))))),2)</f>
        <v>0.38</v>
      </c>
      <c r="J87" s="553" t="s">
        <v>5</v>
      </c>
      <c r="K87" s="39"/>
      <c r="L87" s="16"/>
      <c r="M87" s="39"/>
      <c r="N87" s="536" t="s">
        <v>2318</v>
      </c>
    </row>
    <row r="88" spans="1:14" s="544" customFormat="1" ht="16.5" hidden="1" customHeight="1">
      <c r="A88" s="16"/>
      <c r="B88" s="547"/>
      <c r="C88" s="548"/>
      <c r="D88" s="549"/>
      <c r="E88" s="550"/>
      <c r="F88" s="551"/>
      <c r="G88" s="551"/>
      <c r="H88" s="551"/>
      <c r="I88" s="552"/>
      <c r="J88" s="553"/>
      <c r="K88" s="39"/>
      <c r="L88" s="208"/>
      <c r="M88" s="39"/>
      <c r="N88" s="536" t="s">
        <v>2318</v>
      </c>
    </row>
    <row r="89" spans="1:14" ht="15.75" hidden="1">
      <c r="A89" s="16"/>
      <c r="B89" s="39"/>
      <c r="C89" s="554"/>
      <c r="D89" s="555"/>
      <c r="E89" s="540"/>
      <c r="F89" s="541"/>
      <c r="G89" s="40"/>
      <c r="H89" s="16"/>
      <c r="I89" s="552"/>
      <c r="J89" s="553" t="s">
        <v>5</v>
      </c>
      <c r="K89" s="10">
        <f>'data 2022-23'!G131</f>
        <v>10162.18</v>
      </c>
      <c r="L89" s="208" t="s">
        <v>274</v>
      </c>
      <c r="M89" s="9">
        <f>ROUND(I89*K89,0)</f>
        <v>0</v>
      </c>
      <c r="N89" s="536" t="s">
        <v>2318</v>
      </c>
    </row>
    <row r="90" spans="1:14" ht="17.25" hidden="1" customHeight="1">
      <c r="A90" s="16">
        <v>9</v>
      </c>
      <c r="B90" s="1858" t="s">
        <v>303</v>
      </c>
      <c r="C90" s="1858"/>
      <c r="D90" s="1858"/>
      <c r="E90" s="1858"/>
      <c r="F90" s="1858"/>
      <c r="G90" s="1858"/>
      <c r="H90" s="1858"/>
      <c r="I90" s="537"/>
      <c r="J90" s="538"/>
      <c r="K90" s="16"/>
      <c r="L90" s="208"/>
      <c r="M90" s="38"/>
      <c r="N90" s="536" t="s">
        <v>2318</v>
      </c>
    </row>
    <row r="91" spans="1:14" s="544" customFormat="1" ht="16.5" hidden="1" customHeight="1">
      <c r="A91" s="16"/>
      <c r="B91" s="207" t="s">
        <v>2836</v>
      </c>
      <c r="C91" s="561"/>
      <c r="D91" s="562"/>
      <c r="E91" s="563"/>
      <c r="F91" s="564"/>
      <c r="G91" s="564"/>
      <c r="H91" s="564"/>
      <c r="I91" s="565"/>
      <c r="J91" s="553"/>
      <c r="K91" s="39"/>
      <c r="L91" s="16"/>
      <c r="M91" s="39"/>
      <c r="N91" s="536" t="s">
        <v>2318</v>
      </c>
    </row>
    <row r="92" spans="1:14" s="544" customFormat="1" ht="16.5" hidden="1" customHeight="1">
      <c r="A92" s="16"/>
      <c r="B92" s="39" t="s">
        <v>1239</v>
      </c>
      <c r="C92" s="537">
        <v>1</v>
      </c>
      <c r="D92" s="539" t="s">
        <v>273</v>
      </c>
      <c r="E92" s="540">
        <v>1</v>
      </c>
      <c r="F92" s="541">
        <v>2.65</v>
      </c>
      <c r="G92" s="541">
        <v>0.23</v>
      </c>
      <c r="H92" s="541">
        <v>0.3</v>
      </c>
      <c r="I92" s="545">
        <f>ROUND(IF(AND(F92:H92),C92*E92*F92*G92*H92,IF(AND(F92,G92),C92*E92*F92*G92,IF(AND(F92,H92),C92*E92*F92*H92,IF(AND(G92,H92),C92*E92*G92*H92,IF(F92,C92*E92*F92,IF(G92,C92*E92*G92,IF(H92,C92*E92*H92,C92*E92))))))),2)</f>
        <v>0.18</v>
      </c>
      <c r="J92" s="553" t="s">
        <v>5</v>
      </c>
      <c r="K92" s="39"/>
      <c r="L92" s="16"/>
      <c r="M92" s="39"/>
      <c r="N92" s="536" t="s">
        <v>2318</v>
      </c>
    </row>
    <row r="93" spans="1:14" s="544" customFormat="1" ht="16.5" hidden="1" customHeight="1">
      <c r="A93" s="16"/>
      <c r="B93" s="39" t="s">
        <v>1612</v>
      </c>
      <c r="C93" s="537">
        <v>1</v>
      </c>
      <c r="D93" s="539" t="s">
        <v>273</v>
      </c>
      <c r="E93" s="540">
        <v>2</v>
      </c>
      <c r="F93" s="541">
        <v>1</v>
      </c>
      <c r="G93" s="541">
        <v>0.23</v>
      </c>
      <c r="H93" s="541">
        <v>0.3</v>
      </c>
      <c r="I93" s="545">
        <f>ROUND(IF(AND(F93:H93),C93*E93*F93*G93*H93,IF(AND(F93,G93),C93*E93*F93*G93,IF(AND(F93,H93),C93*E93*F93*H93,IF(AND(G93,H93),C93*E93*G93*H93,IF(F93,C93*E93*F93,IF(G93,C93*E93*G93,IF(H93,C93*E93*H93,C93*E93))))))),2)</f>
        <v>0.14000000000000001</v>
      </c>
      <c r="J93" s="553" t="s">
        <v>5</v>
      </c>
      <c r="K93" s="39"/>
      <c r="L93" s="16"/>
      <c r="M93" s="39"/>
      <c r="N93" s="536" t="s">
        <v>2318</v>
      </c>
    </row>
    <row r="94" spans="1:14" s="544" customFormat="1" ht="16.5" hidden="1" customHeight="1">
      <c r="A94" s="16"/>
      <c r="B94" s="39" t="s">
        <v>1614</v>
      </c>
      <c r="C94" s="537">
        <v>1</v>
      </c>
      <c r="D94" s="539" t="s">
        <v>273</v>
      </c>
      <c r="E94" s="540">
        <v>1</v>
      </c>
      <c r="F94" s="541">
        <v>15.75</v>
      </c>
      <c r="G94" s="541">
        <v>0.23</v>
      </c>
      <c r="H94" s="541">
        <v>0.3</v>
      </c>
      <c r="I94" s="545">
        <f>ROUND(IF(AND(F94:H94),C94*E94*F94*G94*H94,IF(AND(F94,G94),C94*E94*F94*G94,IF(AND(F94,H94),C94*E94*F94*H94,IF(AND(G94,H94),C94*E94*G94*H94,IF(F94,C94*E94*F94,IF(G94,C94*E94*G94,IF(H94,C94*E94*H94,C94*E94))))))),2)</f>
        <v>1.0900000000000001</v>
      </c>
      <c r="J94" s="553" t="s">
        <v>5</v>
      </c>
      <c r="K94" s="39"/>
      <c r="L94" s="16"/>
      <c r="M94" s="39"/>
      <c r="N94" s="536" t="s">
        <v>2318</v>
      </c>
    </row>
    <row r="95" spans="1:14" s="544" customFormat="1" ht="16.5" hidden="1" customHeight="1">
      <c r="A95" s="16"/>
      <c r="B95" s="39" t="s">
        <v>1613</v>
      </c>
      <c r="C95" s="537">
        <v>1</v>
      </c>
      <c r="D95" s="539" t="s">
        <v>273</v>
      </c>
      <c r="E95" s="540">
        <v>6</v>
      </c>
      <c r="F95" s="541">
        <v>0.23</v>
      </c>
      <c r="G95" s="541">
        <v>0.23</v>
      </c>
      <c r="H95" s="541">
        <v>0.3</v>
      </c>
      <c r="I95" s="545">
        <f>-ROUND(IF(AND(F95:H95),C95*E95*F95*G95*H95,IF(AND(F95,G95),C95*E95*F95*G95,IF(AND(F95,H95),C95*E95*F95*H95,IF(AND(G95,H95),C95*E95*G95*H95,IF(F95,C95*E95*F95,IF(G95,C95*E95*G95,IF(H95,C95*E95*H95,C95*E95))))))),2)</f>
        <v>-0.1</v>
      </c>
      <c r="J95" s="553" t="s">
        <v>5</v>
      </c>
      <c r="K95" s="39"/>
      <c r="L95" s="16"/>
      <c r="M95" s="39"/>
      <c r="N95" s="536" t="s">
        <v>2318</v>
      </c>
    </row>
    <row r="96" spans="1:14" s="544" customFormat="1" ht="16.5" hidden="1" customHeight="1">
      <c r="A96" s="16"/>
      <c r="B96" s="547"/>
      <c r="C96" s="548"/>
      <c r="D96" s="549"/>
      <c r="E96" s="550"/>
      <c r="F96" s="551"/>
      <c r="G96" s="551"/>
      <c r="H96" s="551"/>
      <c r="I96" s="552"/>
      <c r="J96" s="553"/>
      <c r="K96" s="39"/>
      <c r="L96" s="208"/>
      <c r="M96" s="39"/>
      <c r="N96" s="536" t="s">
        <v>2318</v>
      </c>
    </row>
    <row r="97" spans="1:14" ht="15.75" hidden="1">
      <c r="A97" s="16"/>
      <c r="B97" s="39"/>
      <c r="C97" s="554"/>
      <c r="D97" s="555"/>
      <c r="E97" s="540"/>
      <c r="F97" s="541"/>
      <c r="G97" s="40"/>
      <c r="H97" s="16"/>
      <c r="I97" s="552"/>
      <c r="J97" s="553" t="s">
        <v>5</v>
      </c>
      <c r="K97" s="10">
        <f>'data 2022-23'!E179</f>
        <v>9921.19</v>
      </c>
      <c r="L97" s="208" t="s">
        <v>274</v>
      </c>
      <c r="M97" s="9">
        <f>ROUND(I97*K97,0)</f>
        <v>0</v>
      </c>
      <c r="N97" s="536" t="s">
        <v>2318</v>
      </c>
    </row>
    <row r="98" spans="1:14" ht="17.25" hidden="1" customHeight="1">
      <c r="A98" s="16">
        <v>10</v>
      </c>
      <c r="B98" s="1858" t="s">
        <v>304</v>
      </c>
      <c r="C98" s="1858"/>
      <c r="D98" s="1858"/>
      <c r="E98" s="1858"/>
      <c r="F98" s="1858"/>
      <c r="G98" s="1858"/>
      <c r="H98" s="1858"/>
      <c r="I98" s="537"/>
      <c r="J98" s="538"/>
      <c r="K98" s="16"/>
      <c r="L98" s="208"/>
      <c r="M98" s="38"/>
      <c r="N98" s="536" t="s">
        <v>2318</v>
      </c>
    </row>
    <row r="99" spans="1:14" s="544" customFormat="1" ht="16.5" hidden="1" customHeight="1">
      <c r="A99" s="16"/>
      <c r="B99" s="207" t="s">
        <v>2836</v>
      </c>
      <c r="C99" s="561"/>
      <c r="D99" s="562"/>
      <c r="E99" s="563"/>
      <c r="F99" s="564"/>
      <c r="G99" s="564"/>
      <c r="H99" s="564"/>
      <c r="I99" s="565"/>
      <c r="J99" s="553"/>
      <c r="K99" s="39"/>
      <c r="L99" s="16"/>
      <c r="M99" s="39"/>
      <c r="N99" s="536" t="s">
        <v>2318</v>
      </c>
    </row>
    <row r="100" spans="1:14" s="544" customFormat="1" ht="16.5" hidden="1" customHeight="1">
      <c r="A100" s="16"/>
      <c r="B100" s="39" t="s">
        <v>1615</v>
      </c>
      <c r="C100" s="537">
        <v>1</v>
      </c>
      <c r="D100" s="539" t="s">
        <v>273</v>
      </c>
      <c r="E100" s="540">
        <v>1</v>
      </c>
      <c r="F100" s="541">
        <v>3.2</v>
      </c>
      <c r="G100" s="541">
        <v>1.2</v>
      </c>
      <c r="H100" s="541">
        <v>0</v>
      </c>
      <c r="I100" s="545">
        <f>ROUND(IF(AND(F100:H100),C100*E100*F100*G100*H100,IF(AND(F100,G100),C100*E100*F100*G100,IF(AND(F100,H100),C100*E100*F100*H100,IF(AND(G100,H100),C100*E100*G100*H100,IF(F100,C100*E100*F100,IF(G100,C100*E100*G100,IF(H100,C100*E100*H100,C100*E100))))))),2)</f>
        <v>3.84</v>
      </c>
      <c r="J100" s="553" t="s">
        <v>102</v>
      </c>
      <c r="K100" s="39"/>
      <c r="L100" s="16"/>
      <c r="M100" s="39"/>
      <c r="N100" s="536" t="s">
        <v>2318</v>
      </c>
    </row>
    <row r="101" spans="1:14" s="544" customFormat="1" ht="16.5" hidden="1" customHeight="1">
      <c r="A101" s="16"/>
      <c r="B101" s="39" t="s">
        <v>1616</v>
      </c>
      <c r="C101" s="537">
        <v>1</v>
      </c>
      <c r="D101" s="539" t="s">
        <v>273</v>
      </c>
      <c r="E101" s="540">
        <v>1</v>
      </c>
      <c r="F101" s="541">
        <v>3.6</v>
      </c>
      <c r="G101" s="541">
        <v>1.21</v>
      </c>
      <c r="H101" s="541">
        <v>0</v>
      </c>
      <c r="I101" s="545">
        <f>ROUND(IF(AND(F101:H101),C101*E101*F101*G101*H101,IF(AND(F101,G101),C101*E101*F101*G101,IF(AND(F101,H101),C101*E101*F101*H101,IF(AND(G101,H101),C101*E101*G101*H101,IF(F101,C101*E101*F101,IF(G101,C101*E101*G101,IF(H101,C101*E101*H101,C101*E101))))))),2)</f>
        <v>4.3600000000000003</v>
      </c>
      <c r="J101" s="553" t="s">
        <v>102</v>
      </c>
      <c r="K101" s="39"/>
      <c r="L101" s="16"/>
      <c r="M101" s="39"/>
      <c r="N101" s="536" t="s">
        <v>2318</v>
      </c>
    </row>
    <row r="102" spans="1:14" s="544" customFormat="1" ht="16.5" hidden="1" customHeight="1">
      <c r="A102" s="16"/>
      <c r="B102" s="547"/>
      <c r="C102" s="548"/>
      <c r="D102" s="549"/>
      <c r="E102" s="550"/>
      <c r="F102" s="551"/>
      <c r="G102" s="551"/>
      <c r="H102" s="551"/>
      <c r="I102" s="552"/>
      <c r="J102" s="553"/>
      <c r="K102" s="39"/>
      <c r="L102" s="208"/>
      <c r="M102" s="39"/>
      <c r="N102" s="536" t="s">
        <v>2318</v>
      </c>
    </row>
    <row r="103" spans="1:14" ht="15.75" hidden="1">
      <c r="A103" s="16"/>
      <c r="B103" s="39"/>
      <c r="C103" s="554"/>
      <c r="D103" s="555"/>
      <c r="E103" s="540"/>
      <c r="F103" s="541"/>
      <c r="G103" s="40"/>
      <c r="H103" s="16"/>
      <c r="I103" s="552"/>
      <c r="J103" s="553" t="s">
        <v>102</v>
      </c>
      <c r="K103" s="10">
        <f>'data 2022-23'!E200</f>
        <v>1345.28</v>
      </c>
      <c r="L103" s="208" t="s">
        <v>2437</v>
      </c>
      <c r="M103" s="9">
        <f>ROUND(I103*K103,0)</f>
        <v>0</v>
      </c>
      <c r="N103" s="536" t="s">
        <v>2318</v>
      </c>
    </row>
    <row r="104" spans="1:14" ht="17.25" hidden="1" customHeight="1">
      <c r="A104" s="16">
        <v>11</v>
      </c>
      <c r="B104" s="1858" t="s">
        <v>305</v>
      </c>
      <c r="C104" s="1858"/>
      <c r="D104" s="1858"/>
      <c r="E104" s="1858"/>
      <c r="F104" s="1858"/>
      <c r="G104" s="1858"/>
      <c r="H104" s="1858"/>
      <c r="I104" s="537"/>
      <c r="J104" s="538"/>
      <c r="K104" s="16"/>
      <c r="L104" s="208"/>
      <c r="M104" s="38"/>
      <c r="N104" s="536" t="s">
        <v>2318</v>
      </c>
    </row>
    <row r="105" spans="1:14" s="544" customFormat="1" ht="16.5" hidden="1" customHeight="1">
      <c r="A105" s="16"/>
      <c r="B105" s="207" t="s">
        <v>2838</v>
      </c>
      <c r="C105" s="561"/>
      <c r="D105" s="562"/>
      <c r="E105" s="563"/>
      <c r="F105" s="564"/>
      <c r="G105" s="564"/>
      <c r="H105" s="564"/>
      <c r="I105" s="565"/>
      <c r="J105" s="553"/>
      <c r="K105" s="39"/>
      <c r="L105" s="16"/>
      <c r="M105" s="39"/>
      <c r="N105" s="536" t="s">
        <v>2318</v>
      </c>
    </row>
    <row r="106" spans="1:14" s="544" customFormat="1" ht="16.5" hidden="1" customHeight="1">
      <c r="A106" s="16"/>
      <c r="B106" s="39"/>
      <c r="C106" s="537">
        <v>1</v>
      </c>
      <c r="D106" s="539" t="s">
        <v>273</v>
      </c>
      <c r="E106" s="540">
        <v>1</v>
      </c>
      <c r="F106" s="541">
        <v>16.09</v>
      </c>
      <c r="G106" s="541">
        <v>10.19</v>
      </c>
      <c r="H106" s="541">
        <v>0</v>
      </c>
      <c r="I106" s="545">
        <f>ROUND(IF(AND(F106:H106),C106*E106*F106*G106*H106,IF(AND(F106,G106),C106*E106*F106*G106,IF(AND(F106,H106),C106*E106*F106*H106,IF(AND(G106,H106),C106*E106*G106*H106,IF(F106,C106*E106*F106,IF(G106,C106*E106*G106,IF(H106,C106*E106*H106,C106*E106))))))),2)</f>
        <v>163.96</v>
      </c>
      <c r="J106" s="553" t="s">
        <v>102</v>
      </c>
      <c r="K106" s="39"/>
      <c r="L106" s="16"/>
      <c r="M106" s="39"/>
      <c r="N106" s="536" t="s">
        <v>2318</v>
      </c>
    </row>
    <row r="107" spans="1:14" s="544" customFormat="1" ht="16.5" hidden="1" customHeight="1">
      <c r="A107" s="16"/>
      <c r="B107" s="39"/>
      <c r="C107" s="537">
        <v>1</v>
      </c>
      <c r="D107" s="539" t="s">
        <v>273</v>
      </c>
      <c r="E107" s="540">
        <v>1</v>
      </c>
      <c r="F107" s="541">
        <v>3.86</v>
      </c>
      <c r="G107" s="541">
        <v>2.63</v>
      </c>
      <c r="H107" s="541">
        <v>0</v>
      </c>
      <c r="I107" s="545">
        <f>-ROUND(IF(AND(F107:H107),C107*E107*F107*G107*H107,IF(AND(F107,G107),C107*E107*F107*G107,IF(AND(F107,H107),C107*E107*F107*H107,IF(AND(G107,H107),C107*E107*G107*H107,IF(F107,C107*E107*F107,IF(G107,C107*E107*G107,IF(H107,C107*E107*H107,C107*E107))))))),2)</f>
        <v>-10.15</v>
      </c>
      <c r="J107" s="553" t="s">
        <v>102</v>
      </c>
      <c r="K107" s="39"/>
      <c r="L107" s="16"/>
      <c r="M107" s="39"/>
      <c r="N107" s="536" t="s">
        <v>2318</v>
      </c>
    </row>
    <row r="108" spans="1:14" s="544" customFormat="1" ht="16.5" hidden="1" customHeight="1">
      <c r="A108" s="16"/>
      <c r="B108" s="574"/>
      <c r="C108" s="575"/>
      <c r="D108" s="558"/>
      <c r="E108" s="576"/>
      <c r="F108" s="577"/>
      <c r="G108" s="577"/>
      <c r="H108" s="578"/>
      <c r="I108" s="560"/>
      <c r="J108" s="553"/>
      <c r="K108" s="39"/>
      <c r="L108" s="208"/>
      <c r="M108" s="39"/>
      <c r="N108" s="536" t="s">
        <v>2318</v>
      </c>
    </row>
    <row r="109" spans="1:14" ht="15.75" hidden="1">
      <c r="A109" s="16"/>
      <c r="B109" s="39"/>
      <c r="C109" s="554"/>
      <c r="D109" s="555"/>
      <c r="E109" s="540"/>
      <c r="F109" s="541"/>
      <c r="G109" s="40"/>
      <c r="H109" s="16"/>
      <c r="I109" s="552"/>
      <c r="J109" s="553" t="s">
        <v>102</v>
      </c>
      <c r="K109" s="10">
        <f>'data 2022-23'!E193</f>
        <v>1202.4000000000001</v>
      </c>
      <c r="L109" s="208" t="s">
        <v>2437</v>
      </c>
      <c r="M109" s="9">
        <f>ROUND(I109*K109,0)</f>
        <v>0</v>
      </c>
      <c r="N109" s="536" t="s">
        <v>2318</v>
      </c>
    </row>
    <row r="110" spans="1:14" ht="17.25" hidden="1" customHeight="1">
      <c r="A110" s="16">
        <v>11</v>
      </c>
      <c r="B110" s="1858" t="s">
        <v>582</v>
      </c>
      <c r="C110" s="1858"/>
      <c r="D110" s="1858"/>
      <c r="E110" s="1858"/>
      <c r="F110" s="1858"/>
      <c r="G110" s="1858"/>
      <c r="H110" s="1858"/>
      <c r="I110" s="537"/>
      <c r="J110" s="538"/>
      <c r="K110" s="16"/>
      <c r="L110" s="208"/>
      <c r="M110" s="38"/>
      <c r="N110" s="536" t="s">
        <v>2318</v>
      </c>
    </row>
    <row r="111" spans="1:14" s="544" customFormat="1" ht="16.5" hidden="1" customHeight="1">
      <c r="A111" s="16"/>
      <c r="B111" s="207" t="s">
        <v>1617</v>
      </c>
      <c r="C111" s="561"/>
      <c r="D111" s="562"/>
      <c r="E111" s="563"/>
      <c r="F111" s="564"/>
      <c r="G111" s="564"/>
      <c r="H111" s="564"/>
      <c r="I111" s="565"/>
      <c r="J111" s="553"/>
      <c r="K111" s="39"/>
      <c r="L111" s="16"/>
      <c r="M111" s="39"/>
      <c r="N111" s="536" t="s">
        <v>2318</v>
      </c>
    </row>
    <row r="112" spans="1:14" s="544" customFormat="1" ht="16.5" hidden="1" customHeight="1">
      <c r="A112" s="16"/>
      <c r="B112" s="39"/>
      <c r="C112" s="537">
        <v>1</v>
      </c>
      <c r="D112" s="539" t="s">
        <v>273</v>
      </c>
      <c r="E112" s="540">
        <v>2</v>
      </c>
      <c r="F112" s="541">
        <f>(3.05+3.65)/2</f>
        <v>3.3499999999999996</v>
      </c>
      <c r="G112" s="541">
        <v>0.95</v>
      </c>
      <c r="H112" s="541">
        <v>0</v>
      </c>
      <c r="I112" s="545">
        <f>ROUND(IF(AND(F112:H112),C112*E112*F112*G112*H112,IF(AND(F112,G112),C112*E112*F112*G112,IF(AND(F112,H112),C112*E112*F112*H112,IF(AND(G112,H112),C112*E112*G112*H112,IF(F112,C112*E112*F112,IF(G112,C112*E112*G112,IF(H112,C112*E112*H112,C112*E112))))))),2)</f>
        <v>6.37</v>
      </c>
      <c r="J112" s="553" t="s">
        <v>102</v>
      </c>
      <c r="K112" s="39"/>
      <c r="L112" s="16"/>
      <c r="M112" s="39"/>
      <c r="N112" s="536" t="s">
        <v>2318</v>
      </c>
    </row>
    <row r="113" spans="1:14" s="544" customFormat="1" ht="16.5" hidden="1" customHeight="1">
      <c r="A113" s="16"/>
      <c r="B113" s="39"/>
      <c r="C113" s="537">
        <v>1</v>
      </c>
      <c r="D113" s="539" t="s">
        <v>273</v>
      </c>
      <c r="E113" s="540">
        <v>1</v>
      </c>
      <c r="F113" s="541">
        <f>(16+17.2)/2</f>
        <v>16.600000000000001</v>
      </c>
      <c r="G113" s="541">
        <v>0.95</v>
      </c>
      <c r="H113" s="541">
        <v>0</v>
      </c>
      <c r="I113" s="545">
        <f>ROUND(IF(AND(F113:H113),C113*E113*F113*G113*H113,IF(AND(F113,G113),C113*E113*F113*G113,IF(AND(F113,H113),C113*E113*F113*H113,IF(AND(G113,H113),C113*E113*G113*H113,IF(F113,C113*E113*F113,IF(G113,C113*E113*G113,IF(H113,C113*E113*H113,C113*E113))))))),2)</f>
        <v>15.77</v>
      </c>
      <c r="J113" s="553" t="s">
        <v>102</v>
      </c>
      <c r="K113" s="39"/>
      <c r="L113" s="16"/>
      <c r="M113" s="39"/>
      <c r="N113" s="536" t="s">
        <v>2318</v>
      </c>
    </row>
    <row r="114" spans="1:14" s="544" customFormat="1" ht="16.5" hidden="1" customHeight="1">
      <c r="A114" s="16"/>
      <c r="B114" s="574"/>
      <c r="C114" s="575"/>
      <c r="D114" s="558"/>
      <c r="E114" s="576"/>
      <c r="F114" s="577"/>
      <c r="G114" s="577"/>
      <c r="H114" s="578"/>
      <c r="I114" s="560"/>
      <c r="J114" s="553"/>
      <c r="K114" s="39"/>
      <c r="L114" s="208"/>
      <c r="M114" s="39"/>
      <c r="N114" s="536" t="s">
        <v>2318</v>
      </c>
    </row>
    <row r="115" spans="1:14" ht="15.75" hidden="1">
      <c r="A115" s="16"/>
      <c r="B115" s="39"/>
      <c r="C115" s="554"/>
      <c r="D115" s="555"/>
      <c r="E115" s="540"/>
      <c r="F115" s="541"/>
      <c r="G115" s="40"/>
      <c r="H115" s="16"/>
      <c r="I115" s="552"/>
      <c r="J115" s="553" t="s">
        <v>102</v>
      </c>
      <c r="K115" s="10">
        <f>'data 2022-23'!E186</f>
        <v>1059.52</v>
      </c>
      <c r="L115" s="208" t="s">
        <v>2437</v>
      </c>
      <c r="M115" s="9">
        <f>ROUND(I115*K115,0)</f>
        <v>0</v>
      </c>
      <c r="N115" s="536" t="s">
        <v>2318</v>
      </c>
    </row>
    <row r="116" spans="1:14" ht="18.75" hidden="1" customHeight="1">
      <c r="A116" s="16">
        <v>11</v>
      </c>
      <c r="B116" s="1858" t="s">
        <v>1315</v>
      </c>
      <c r="C116" s="1858"/>
      <c r="D116" s="1858"/>
      <c r="E116" s="1858"/>
      <c r="F116" s="1858"/>
      <c r="G116" s="1858"/>
      <c r="H116" s="1858"/>
      <c r="I116" s="537"/>
      <c r="J116" s="538"/>
      <c r="K116" s="16"/>
      <c r="L116" s="208"/>
      <c r="M116" s="38"/>
      <c r="N116" s="536" t="s">
        <v>2318</v>
      </c>
    </row>
    <row r="117" spans="1:14" s="544" customFormat="1" ht="16.5" hidden="1" customHeight="1">
      <c r="A117" s="16"/>
      <c r="B117" s="39" t="s">
        <v>2828</v>
      </c>
      <c r="C117" s="537"/>
      <c r="D117" s="539"/>
      <c r="E117" s="540"/>
      <c r="F117" s="541"/>
      <c r="G117" s="541"/>
      <c r="H117" s="541"/>
      <c r="I117" s="542"/>
      <c r="J117" s="553"/>
      <c r="K117" s="39"/>
      <c r="L117" s="208"/>
      <c r="M117" s="39"/>
      <c r="N117" s="536" t="s">
        <v>2318</v>
      </c>
    </row>
    <row r="118" spans="1:14" s="544" customFormat="1" ht="16.5" hidden="1" customHeight="1">
      <c r="A118" s="16"/>
      <c r="B118" s="39" t="s">
        <v>1491</v>
      </c>
      <c r="C118" s="537">
        <v>1</v>
      </c>
      <c r="D118" s="539" t="s">
        <v>273</v>
      </c>
      <c r="E118" s="540">
        <v>2</v>
      </c>
      <c r="F118" s="541">
        <v>3.33</v>
      </c>
      <c r="G118" s="541">
        <v>1.32</v>
      </c>
      <c r="H118" s="541">
        <v>0</v>
      </c>
      <c r="I118" s="545">
        <f>ROUND(IF(AND(F118:H118),C118*E118*F118*G118*H118,IF(AND(F118,G118),C118*E118*F118*G118,IF(AND(F118,H118),C118*E118*F118*H118,IF(AND(G118,H118),C118*E118*G118*H118,IF(F118,C118*E118*F118,IF(G118,C118*E118*G118,IF(H118,C118*E118*H118,C118*E118))))))),2)</f>
        <v>8.7899999999999991</v>
      </c>
      <c r="J118" s="553" t="s">
        <v>102</v>
      </c>
      <c r="K118" s="39"/>
      <c r="L118" s="208"/>
      <c r="M118" s="39"/>
      <c r="N118" s="536" t="s">
        <v>2318</v>
      </c>
    </row>
    <row r="119" spans="1:14" s="544" customFormat="1" ht="16.5" hidden="1" customHeight="1">
      <c r="A119" s="16"/>
      <c r="B119" s="39"/>
      <c r="C119" s="537">
        <v>2</v>
      </c>
      <c r="D119" s="539" t="s">
        <v>273</v>
      </c>
      <c r="E119" s="540">
        <v>0.5</v>
      </c>
      <c r="F119" s="541">
        <v>0.94</v>
      </c>
      <c r="G119" s="541">
        <v>1.35</v>
      </c>
      <c r="H119" s="541">
        <v>0</v>
      </c>
      <c r="I119" s="545">
        <f>ROUND(IF(AND(F119:H119),C119*E119*F119*G119*H119,IF(AND(F119,G119),C119*E119*F119*G119,IF(AND(F119,H119),C119*E119*F119*H119,IF(AND(G119,H119),C119*E119*G119*H119,IF(F119,C119*E119*F119,IF(G119,C119*E119*G119,IF(H119,C119*E119*H119,C119*E119))))))),2)</f>
        <v>1.27</v>
      </c>
      <c r="J119" s="553" t="s">
        <v>102</v>
      </c>
      <c r="K119" s="39"/>
      <c r="L119" s="208"/>
      <c r="M119" s="39"/>
      <c r="N119" s="536" t="s">
        <v>2318</v>
      </c>
    </row>
    <row r="120" spans="1:14" s="544" customFormat="1" ht="16.5" hidden="1" customHeight="1">
      <c r="A120" s="16"/>
      <c r="B120" s="547"/>
      <c r="C120" s="548"/>
      <c r="D120" s="549"/>
      <c r="E120" s="550"/>
      <c r="F120" s="551"/>
      <c r="G120" s="551"/>
      <c r="H120" s="551"/>
      <c r="I120" s="552"/>
      <c r="J120" s="553"/>
      <c r="K120" s="39"/>
      <c r="L120" s="208"/>
      <c r="M120" s="39"/>
      <c r="N120" s="536" t="s">
        <v>2318</v>
      </c>
    </row>
    <row r="121" spans="1:14" ht="15.75" hidden="1">
      <c r="A121" s="16"/>
      <c r="B121" s="39"/>
      <c r="C121" s="554"/>
      <c r="D121" s="555"/>
      <c r="E121" s="540"/>
      <c r="F121" s="541"/>
      <c r="G121" s="40"/>
      <c r="H121" s="16"/>
      <c r="I121" s="552"/>
      <c r="J121" s="553" t="s">
        <v>102</v>
      </c>
      <c r="K121" s="10">
        <f>'data 2022-23'!E242</f>
        <v>526.29999999999995</v>
      </c>
      <c r="L121" s="208" t="s">
        <v>2437</v>
      </c>
      <c r="M121" s="9">
        <f>ROUND(I121*K121,0)</f>
        <v>0</v>
      </c>
      <c r="N121" s="536" t="s">
        <v>2318</v>
      </c>
    </row>
    <row r="122" spans="1:14" ht="18.75" hidden="1" customHeight="1">
      <c r="A122" s="16">
        <v>16</v>
      </c>
      <c r="B122" s="1858" t="s">
        <v>1317</v>
      </c>
      <c r="C122" s="1858"/>
      <c r="D122" s="1858"/>
      <c r="E122" s="1858"/>
      <c r="F122" s="1858"/>
      <c r="G122" s="1858"/>
      <c r="H122" s="1858"/>
      <c r="I122" s="537"/>
      <c r="J122" s="538"/>
      <c r="K122" s="16"/>
      <c r="L122" s="208"/>
      <c r="M122" s="38"/>
      <c r="N122" s="536" t="s">
        <v>2318</v>
      </c>
    </row>
    <row r="123" spans="1:14" s="544" customFormat="1" ht="16.5" hidden="1" customHeight="1">
      <c r="A123" s="16"/>
      <c r="B123" s="39" t="s">
        <v>2819</v>
      </c>
      <c r="C123" s="537"/>
      <c r="D123" s="539"/>
      <c r="E123" s="540"/>
      <c r="F123" s="541"/>
      <c r="G123" s="541"/>
      <c r="H123" s="541"/>
      <c r="I123" s="542"/>
      <c r="J123" s="553"/>
      <c r="K123" s="39"/>
      <c r="L123" s="208"/>
      <c r="M123" s="39"/>
      <c r="N123" s="536" t="s">
        <v>2318</v>
      </c>
    </row>
    <row r="124" spans="1:14" s="544" customFormat="1" ht="16.5" hidden="1" customHeight="1">
      <c r="A124" s="16"/>
      <c r="B124" s="39" t="s">
        <v>1230</v>
      </c>
      <c r="C124" s="537">
        <v>1</v>
      </c>
      <c r="D124" s="539" t="s">
        <v>273</v>
      </c>
      <c r="E124" s="540">
        <v>5</v>
      </c>
      <c r="F124" s="541">
        <v>1.52</v>
      </c>
      <c r="G124" s="541">
        <v>0.23</v>
      </c>
      <c r="H124" s="541">
        <v>0</v>
      </c>
      <c r="I124" s="545">
        <f>ROUND(IF(AND(F124:H124),C124*E124*F124*G124*H124,IF(AND(F124,G124),C124*E124*F124*G124,IF(AND(F124,H124),C124*E124*F124*H124,IF(AND(G124,H124),C124*E124*G124*H124,IF(F124,C124*E124*F124,IF(G124,C124*E124*G124,IF(H124,C124*E124*H124,C124*E124))))))),2)</f>
        <v>1.75</v>
      </c>
      <c r="J124" s="553" t="s">
        <v>102</v>
      </c>
      <c r="K124" s="39"/>
      <c r="L124" s="208"/>
      <c r="M124" s="39"/>
      <c r="N124" s="536" t="s">
        <v>2318</v>
      </c>
    </row>
    <row r="125" spans="1:14" s="544" customFormat="1" ht="16.5" hidden="1" customHeight="1">
      <c r="A125" s="16"/>
      <c r="B125" s="39"/>
      <c r="C125" s="537">
        <v>1</v>
      </c>
      <c r="D125" s="539" t="s">
        <v>273</v>
      </c>
      <c r="E125" s="540">
        <v>4</v>
      </c>
      <c r="F125" s="541">
        <v>1.83</v>
      </c>
      <c r="G125" s="541">
        <v>0.23</v>
      </c>
      <c r="H125" s="541">
        <v>0</v>
      </c>
      <c r="I125" s="545">
        <f>ROUND(IF(AND(F125:H125),C125*E125*F125*G125*H125,IF(AND(F125,G125),C125*E125*F125*G125,IF(AND(F125,H125),C125*E125*F125*H125,IF(AND(G125,H125),C125*E125*G125*H125,IF(F125,C125*E125*F125,IF(G125,C125*E125*G125,IF(H125,C125*E125*H125,C125*E125))))))),2)</f>
        <v>1.68</v>
      </c>
      <c r="J125" s="553" t="s">
        <v>102</v>
      </c>
      <c r="K125" s="39"/>
      <c r="L125" s="208"/>
      <c r="M125" s="39"/>
      <c r="N125" s="536" t="s">
        <v>2318</v>
      </c>
    </row>
    <row r="126" spans="1:14" s="544" customFormat="1" ht="16.5" hidden="1" customHeight="1">
      <c r="A126" s="16"/>
      <c r="B126" s="39" t="s">
        <v>1243</v>
      </c>
      <c r="C126" s="537">
        <v>1</v>
      </c>
      <c r="D126" s="539" t="s">
        <v>273</v>
      </c>
      <c r="E126" s="540">
        <v>1</v>
      </c>
      <c r="F126" s="541">
        <v>1.4</v>
      </c>
      <c r="G126" s="541">
        <v>1.4</v>
      </c>
      <c r="H126" s="541">
        <v>0</v>
      </c>
      <c r="I126" s="545">
        <f>ROUND(IF(AND(F126:H126),C126*E126*F126*G126*H126,IF(AND(F126,G126),C126*E126*F126*G126,IF(AND(F126,H126),C126*E126*F126*H126,IF(AND(G126,H126),C126*E126*G126*H126,IF(F126,C126*E126*F126,IF(G126,C126*E126*G126,IF(H126,C126*E126*H126,C126*E126))))))),2)</f>
        <v>1.96</v>
      </c>
      <c r="J126" s="553" t="s">
        <v>102</v>
      </c>
      <c r="K126" s="39"/>
      <c r="L126" s="208"/>
      <c r="M126" s="39"/>
      <c r="N126" s="536" t="s">
        <v>2318</v>
      </c>
    </row>
    <row r="127" spans="1:14" s="544" customFormat="1" ht="16.5" hidden="1" customHeight="1">
      <c r="A127" s="16"/>
      <c r="B127" s="547"/>
      <c r="C127" s="548"/>
      <c r="D127" s="549"/>
      <c r="E127" s="550"/>
      <c r="F127" s="551"/>
      <c r="G127" s="551"/>
      <c r="H127" s="551"/>
      <c r="I127" s="552"/>
      <c r="J127" s="553"/>
      <c r="K127" s="39"/>
      <c r="L127" s="208"/>
      <c r="M127" s="39"/>
      <c r="N127" s="536" t="s">
        <v>2318</v>
      </c>
    </row>
    <row r="128" spans="1:14" ht="15.75" hidden="1">
      <c r="A128" s="16"/>
      <c r="B128" s="39"/>
      <c r="C128" s="554"/>
      <c r="D128" s="555"/>
      <c r="E128" s="540"/>
      <c r="F128" s="541"/>
      <c r="G128" s="40"/>
      <c r="H128" s="16"/>
      <c r="I128" s="552"/>
      <c r="J128" s="553" t="s">
        <v>102</v>
      </c>
      <c r="K128" s="10">
        <f>'data 2022-23'!E249</f>
        <v>385.15</v>
      </c>
      <c r="L128" s="208" t="s">
        <v>2437</v>
      </c>
      <c r="M128" s="9">
        <f>ROUND(I128*K128,0)</f>
        <v>0</v>
      </c>
      <c r="N128" s="536" t="s">
        <v>2318</v>
      </c>
    </row>
    <row r="129" spans="1:14" ht="97.5" hidden="1" customHeight="1">
      <c r="A129" s="16">
        <v>15</v>
      </c>
      <c r="B129" s="1858" t="s">
        <v>2063</v>
      </c>
      <c r="C129" s="1858"/>
      <c r="D129" s="1858"/>
      <c r="E129" s="1858"/>
      <c r="F129" s="1858"/>
      <c r="G129" s="1858"/>
      <c r="H129" s="1858"/>
      <c r="I129" s="537"/>
      <c r="J129" s="538"/>
      <c r="K129" s="16"/>
      <c r="L129" s="208"/>
      <c r="M129" s="38"/>
      <c r="N129" s="536" t="s">
        <v>2318</v>
      </c>
    </row>
    <row r="130" spans="1:14" s="544" customFormat="1" ht="16.5" hidden="1" customHeight="1">
      <c r="A130" s="16"/>
      <c r="B130" s="39" t="s">
        <v>2842</v>
      </c>
      <c r="C130" s="537"/>
      <c r="D130" s="539"/>
      <c r="E130" s="540"/>
      <c r="F130" s="541"/>
      <c r="G130" s="541"/>
      <c r="H130" s="541"/>
      <c r="I130" s="542"/>
      <c r="J130" s="553"/>
      <c r="K130" s="39"/>
      <c r="L130" s="208"/>
      <c r="M130" s="39"/>
      <c r="N130" s="536" t="s">
        <v>2318</v>
      </c>
    </row>
    <row r="131" spans="1:14" s="544" customFormat="1" ht="16.5" hidden="1" customHeight="1">
      <c r="A131" s="16"/>
      <c r="B131" s="39" t="s">
        <v>2138</v>
      </c>
      <c r="C131" s="537">
        <v>1</v>
      </c>
      <c r="D131" s="539" t="s">
        <v>273</v>
      </c>
      <c r="E131" s="540">
        <v>2</v>
      </c>
      <c r="F131" s="541">
        <v>2.86</v>
      </c>
      <c r="G131" s="541">
        <v>0.23</v>
      </c>
      <c r="H131" s="541">
        <v>0.15</v>
      </c>
      <c r="I131" s="545">
        <f>ROUND(IF(AND(F131:H131),C131*E131*F131*G131*H131,IF(AND(F131,G131),C131*E131*F131*G131,IF(AND(F131,H131),C131*E131*F131*H131,IF(AND(G131,H131),C131*E131*G131*H131,IF(F131,C131*E131*F131,IF(G131,C131*E131*G131,IF(H131,C131*E131*H131,C131*E131))))))),2)</f>
        <v>0.2</v>
      </c>
      <c r="J131" s="553" t="s">
        <v>5</v>
      </c>
      <c r="K131" s="39"/>
      <c r="L131" s="208"/>
      <c r="M131" s="39"/>
      <c r="N131" s="536" t="s">
        <v>2318</v>
      </c>
    </row>
    <row r="132" spans="1:14" s="544" customFormat="1" ht="16.5" hidden="1" customHeight="1">
      <c r="A132" s="16"/>
      <c r="B132" s="39" t="s">
        <v>2139</v>
      </c>
      <c r="C132" s="537">
        <v>1</v>
      </c>
      <c r="D132" s="539" t="s">
        <v>273</v>
      </c>
      <c r="E132" s="540">
        <v>2</v>
      </c>
      <c r="F132" s="541">
        <v>4.84</v>
      </c>
      <c r="G132" s="541">
        <v>0.23</v>
      </c>
      <c r="H132" s="541">
        <v>0.15</v>
      </c>
      <c r="I132" s="545">
        <f>ROUND(IF(AND(F132:H132),C132*E132*F132*G132*H132,IF(AND(F132,G132),C132*E132*F132*G132,IF(AND(F132,H132),C132*E132*F132*H132,IF(AND(G132,H132),C132*E132*G132*H132,IF(F132,C132*E132*F132,IF(G132,C132*E132*G132,IF(H132,C132*E132*H132,C132*E132))))))),2)</f>
        <v>0.33</v>
      </c>
      <c r="J132" s="553" t="s">
        <v>5</v>
      </c>
      <c r="K132" s="39"/>
      <c r="L132" s="208"/>
      <c r="M132" s="39"/>
      <c r="N132" s="536" t="s">
        <v>2318</v>
      </c>
    </row>
    <row r="133" spans="1:14" s="544" customFormat="1" ht="16.5" hidden="1" customHeight="1">
      <c r="A133" s="16"/>
      <c r="B133" s="39" t="s">
        <v>2140</v>
      </c>
      <c r="C133" s="537">
        <v>1</v>
      </c>
      <c r="D133" s="539" t="s">
        <v>273</v>
      </c>
      <c r="E133" s="540">
        <v>2</v>
      </c>
      <c r="F133" s="541">
        <v>3.23</v>
      </c>
      <c r="G133" s="541">
        <v>0.23</v>
      </c>
      <c r="H133" s="541">
        <v>0.15</v>
      </c>
      <c r="I133" s="545">
        <f>ROUND(IF(AND(F133:H133),C133*E133*F133*G133*H133,IF(AND(F133,G133),C133*E133*F133*G133,IF(AND(F133,H133),C133*E133*F133*H133,IF(AND(G133,H133),C133*E133*G133*H133,IF(F133,C133*E133*F133,IF(G133,C133*E133*G133,IF(H133,C133*E133*H133,C133*E133))))))),2)</f>
        <v>0.22</v>
      </c>
      <c r="J133" s="553" t="s">
        <v>5</v>
      </c>
      <c r="K133" s="39"/>
      <c r="L133" s="208"/>
      <c r="M133" s="39"/>
      <c r="N133" s="536" t="s">
        <v>2318</v>
      </c>
    </row>
    <row r="134" spans="1:14" s="544" customFormat="1" ht="16.5" hidden="1" customHeight="1">
      <c r="A134" s="16"/>
      <c r="B134" s="39" t="s">
        <v>1532</v>
      </c>
      <c r="C134" s="537">
        <v>1</v>
      </c>
      <c r="D134" s="539" t="s">
        <v>273</v>
      </c>
      <c r="E134" s="540">
        <v>1</v>
      </c>
      <c r="F134" s="541">
        <v>2.5</v>
      </c>
      <c r="G134" s="541">
        <v>0.115</v>
      </c>
      <c r="H134" s="541">
        <v>0.15</v>
      </c>
      <c r="I134" s="545">
        <f>ROUND(IF(AND(F134:H134),C134*E134*F134*G134*H134,IF(AND(F134,G134),C134*E134*F134*G134,IF(AND(F134,H134),C134*E134*F134*H134,IF(AND(G134,H134),C134*E134*G134*H134,IF(F134,C134*E134*F134,IF(G134,C134*E134*G134,IF(H134,C134*E134*H134,C134*E134))))))),2)</f>
        <v>0.04</v>
      </c>
      <c r="J134" s="553" t="s">
        <v>5</v>
      </c>
      <c r="K134" s="39"/>
      <c r="L134" s="208"/>
      <c r="M134" s="39"/>
      <c r="N134" s="536" t="s">
        <v>2318</v>
      </c>
    </row>
    <row r="135" spans="1:14" s="544" customFormat="1" ht="16.5" hidden="1" customHeight="1">
      <c r="A135" s="16"/>
      <c r="B135" s="39" t="s">
        <v>1533</v>
      </c>
      <c r="C135" s="537">
        <v>1</v>
      </c>
      <c r="D135" s="539" t="s">
        <v>273</v>
      </c>
      <c r="E135" s="540">
        <v>1</v>
      </c>
      <c r="F135" s="541">
        <v>2.7</v>
      </c>
      <c r="G135" s="541">
        <v>0.115</v>
      </c>
      <c r="H135" s="541">
        <v>0.15</v>
      </c>
      <c r="I135" s="545">
        <f>ROUND(IF(AND(F135:H135),C135*E135*F135*G135*H135,IF(AND(F135,G135),C135*E135*F135*G135,IF(AND(F135,H135),C135*E135*F135*H135,IF(AND(G135,H135),C135*E135*G135*H135,IF(F135,C135*E135*F135,IF(G135,C135*E135*G135,IF(H135,C135*E135*H135,C135*E135))))))),2)</f>
        <v>0.05</v>
      </c>
      <c r="J135" s="553" t="s">
        <v>5</v>
      </c>
      <c r="K135" s="39"/>
      <c r="L135" s="208"/>
      <c r="M135" s="39"/>
      <c r="N135" s="536" t="s">
        <v>2318</v>
      </c>
    </row>
    <row r="136" spans="1:14" s="544" customFormat="1" ht="16.5" hidden="1" customHeight="1">
      <c r="A136" s="16"/>
      <c r="B136" s="547"/>
      <c r="C136" s="548"/>
      <c r="D136" s="549"/>
      <c r="E136" s="550"/>
      <c r="F136" s="541"/>
      <c r="G136" s="541"/>
      <c r="H136" s="541"/>
      <c r="I136" s="552"/>
      <c r="J136" s="553"/>
      <c r="K136" s="39"/>
      <c r="L136" s="208"/>
      <c r="M136" s="39"/>
      <c r="N136" s="536" t="s">
        <v>2318</v>
      </c>
    </row>
    <row r="137" spans="1:14" ht="15.75" hidden="1">
      <c r="A137" s="16"/>
      <c r="B137" s="39"/>
      <c r="C137" s="554"/>
      <c r="D137" s="555"/>
      <c r="E137" s="540"/>
      <c r="F137" s="541"/>
      <c r="G137" s="40"/>
      <c r="H137" s="16"/>
      <c r="I137" s="552"/>
      <c r="J137" s="553" t="s">
        <v>5</v>
      </c>
      <c r="K137" s="10">
        <f>'data 2022-23'!E158</f>
        <v>10584.6</v>
      </c>
      <c r="L137" s="208" t="s">
        <v>274</v>
      </c>
      <c r="M137" s="9">
        <f>ROUND(I137*K137,0)</f>
        <v>0</v>
      </c>
      <c r="N137" s="536" t="s">
        <v>2318</v>
      </c>
    </row>
    <row r="138" spans="1:14" ht="17.25" hidden="1" customHeight="1">
      <c r="A138" s="16">
        <v>16</v>
      </c>
      <c r="B138" s="1858" t="s">
        <v>648</v>
      </c>
      <c r="C138" s="1858"/>
      <c r="D138" s="1858"/>
      <c r="E138" s="1858"/>
      <c r="F138" s="1858"/>
      <c r="G138" s="1858"/>
      <c r="H138" s="1858"/>
      <c r="I138" s="537"/>
      <c r="J138" s="538"/>
      <c r="K138" s="16"/>
      <c r="L138" s="208"/>
      <c r="M138" s="38"/>
      <c r="N138" s="536" t="s">
        <v>2318</v>
      </c>
    </row>
    <row r="139" spans="1:14" s="544" customFormat="1" ht="16.5" hidden="1" customHeight="1">
      <c r="A139" s="16"/>
      <c r="B139" s="39" t="s">
        <v>2844</v>
      </c>
      <c r="C139" s="537"/>
      <c r="D139" s="539"/>
      <c r="E139" s="540"/>
      <c r="F139" s="541"/>
      <c r="G139" s="541"/>
      <c r="H139" s="541"/>
      <c r="I139" s="542"/>
      <c r="J139" s="553"/>
      <c r="K139" s="39"/>
      <c r="L139" s="208"/>
      <c r="M139" s="39"/>
      <c r="N139" s="536" t="s">
        <v>2318</v>
      </c>
    </row>
    <row r="140" spans="1:14" s="544" customFormat="1" ht="16.5" hidden="1" customHeight="1">
      <c r="A140" s="16"/>
      <c r="B140" s="39"/>
      <c r="C140" s="537">
        <v>1</v>
      </c>
      <c r="D140" s="539" t="s">
        <v>273</v>
      </c>
      <c r="E140" s="540">
        <v>5</v>
      </c>
      <c r="F140" s="541">
        <v>1.8</v>
      </c>
      <c r="G140" s="541">
        <v>0</v>
      </c>
      <c r="H140" s="541">
        <v>0</v>
      </c>
      <c r="I140" s="545">
        <f>ROUND(IF(AND(F140:H140),C140*E140*F140*G140*H140,IF(AND(F140,G140),C140*E140*F140*G140,IF(AND(F140,H140),C140*E140*F140*H140,IF(AND(G140,H140),C140*E140*G140*H140,IF(F140,C140*E140*F140,IF(G140,C140*E140*G140,IF(H140,C140*E140*H140,C140*E140))))))),2)</f>
        <v>9</v>
      </c>
      <c r="J140" s="553" t="s">
        <v>277</v>
      </c>
      <c r="K140" s="39"/>
      <c r="L140" s="208"/>
      <c r="M140" s="39"/>
      <c r="N140" s="536" t="s">
        <v>2318</v>
      </c>
    </row>
    <row r="141" spans="1:14" s="544" customFormat="1" ht="16.5" hidden="1" customHeight="1">
      <c r="A141" s="16"/>
      <c r="B141" s="39"/>
      <c r="C141" s="537">
        <v>1</v>
      </c>
      <c r="D141" s="539" t="s">
        <v>273</v>
      </c>
      <c r="E141" s="540">
        <v>1</v>
      </c>
      <c r="F141" s="541">
        <v>2.7</v>
      </c>
      <c r="G141" s="541">
        <v>0</v>
      </c>
      <c r="H141" s="541">
        <v>0</v>
      </c>
      <c r="I141" s="545">
        <f>ROUND(IF(AND(F141:H141),C141*E141*F141*G141*H141,IF(AND(F141,G141),C141*E141*F141*G141,IF(AND(F141,H141),C141*E141*F141*H141,IF(AND(G141,H141),C141*E141*G141*H141,IF(F141,C141*E141*F141,IF(G141,C141*E141*G141,IF(H141,C141*E141*H141,C141*E141))))))),2)</f>
        <v>2.7</v>
      </c>
      <c r="J141" s="553" t="s">
        <v>277</v>
      </c>
      <c r="K141" s="39"/>
      <c r="L141" s="208"/>
      <c r="M141" s="39"/>
      <c r="N141" s="536" t="s">
        <v>2318</v>
      </c>
    </row>
    <row r="142" spans="1:14" s="544" customFormat="1" ht="16.5" hidden="1" customHeight="1">
      <c r="A142" s="16"/>
      <c r="B142" s="547"/>
      <c r="C142" s="548"/>
      <c r="D142" s="549"/>
      <c r="E142" s="550"/>
      <c r="F142" s="551"/>
      <c r="G142" s="551"/>
      <c r="H142" s="551"/>
      <c r="I142" s="552"/>
      <c r="J142" s="553"/>
      <c r="K142" s="39"/>
      <c r="L142" s="208"/>
      <c r="M142" s="39"/>
      <c r="N142" s="536" t="s">
        <v>2318</v>
      </c>
    </row>
    <row r="143" spans="1:14" ht="15.75" hidden="1">
      <c r="A143" s="16"/>
      <c r="B143" s="39"/>
      <c r="C143" s="554"/>
      <c r="D143" s="555"/>
      <c r="E143" s="540"/>
      <c r="F143" s="541"/>
      <c r="G143" s="40"/>
      <c r="H143" s="16"/>
      <c r="I143" s="552"/>
      <c r="J143" s="553" t="s">
        <v>277</v>
      </c>
      <c r="K143" s="10">
        <f>'data 2022-23'!E221</f>
        <v>518.52</v>
      </c>
      <c r="L143" s="208" t="s">
        <v>279</v>
      </c>
      <c r="M143" s="9">
        <f>ROUND(I143*K143,0)</f>
        <v>0</v>
      </c>
      <c r="N143" s="536" t="s">
        <v>2318</v>
      </c>
    </row>
    <row r="144" spans="1:14" ht="64.5" hidden="1" customHeight="1">
      <c r="A144" s="16">
        <v>21</v>
      </c>
      <c r="B144" s="1858" t="s">
        <v>151</v>
      </c>
      <c r="C144" s="1858"/>
      <c r="D144" s="1858"/>
      <c r="E144" s="1858"/>
      <c r="F144" s="1858"/>
      <c r="G144" s="1858"/>
      <c r="H144" s="1858"/>
      <c r="I144" s="537"/>
      <c r="J144" s="538"/>
      <c r="K144" s="16"/>
      <c r="L144" s="208"/>
      <c r="M144" s="38"/>
      <c r="N144" s="536" t="s">
        <v>2318</v>
      </c>
    </row>
    <row r="145" spans="1:14" s="544" customFormat="1" ht="16.5" hidden="1" customHeight="1">
      <c r="A145" s="16"/>
      <c r="B145" s="39" t="s">
        <v>2845</v>
      </c>
      <c r="C145" s="537"/>
      <c r="D145" s="539"/>
      <c r="E145" s="540"/>
      <c r="F145" s="541"/>
      <c r="G145" s="541"/>
      <c r="H145" s="541"/>
      <c r="I145" s="542"/>
      <c r="J145" s="553"/>
      <c r="K145" s="39"/>
      <c r="L145" s="208"/>
      <c r="M145" s="39"/>
      <c r="N145" s="536" t="s">
        <v>2318</v>
      </c>
    </row>
    <row r="146" spans="1:14" s="544" customFormat="1" ht="16.5" hidden="1" customHeight="1">
      <c r="A146" s="16"/>
      <c r="B146" s="39" t="s">
        <v>1538</v>
      </c>
      <c r="C146" s="537">
        <v>1</v>
      </c>
      <c r="D146" s="539" t="s">
        <v>273</v>
      </c>
      <c r="E146" s="540">
        <v>2</v>
      </c>
      <c r="F146" s="541">
        <v>1.3</v>
      </c>
      <c r="G146" s="541">
        <v>0</v>
      </c>
      <c r="H146" s="541">
        <v>2.4</v>
      </c>
      <c r="I146" s="545">
        <f>ROUND(IF(AND(F146:H146),C146*E146*F146*G146*H146,IF(AND(F146,G146),C146*E146*F146*G146,IF(AND(F146,H146),C146*E146*F146*H146,IF(AND(G146,H146),C146*E146*G146*H146,IF(F146,C146*E146*F146,IF(G146,C146*E146*G146,IF(H146,C146*E146*H146,C146*E146))))))),2)</f>
        <v>6.24</v>
      </c>
      <c r="J146" s="553" t="s">
        <v>102</v>
      </c>
      <c r="K146" s="39"/>
      <c r="L146" s="208"/>
      <c r="M146" s="39"/>
      <c r="N146" s="536" t="s">
        <v>2318</v>
      </c>
    </row>
    <row r="147" spans="1:14" s="544" customFormat="1" ht="16.5" hidden="1" customHeight="1">
      <c r="A147" s="16"/>
      <c r="B147" s="39"/>
      <c r="C147" s="537">
        <v>1</v>
      </c>
      <c r="D147" s="539" t="s">
        <v>273</v>
      </c>
      <c r="E147" s="540">
        <v>2</v>
      </c>
      <c r="F147" s="541">
        <v>2.2999999999999998</v>
      </c>
      <c r="G147" s="541">
        <v>0</v>
      </c>
      <c r="H147" s="541">
        <v>2.4</v>
      </c>
      <c r="I147" s="545">
        <f>ROUND(IF(AND(F147:H147),C147*E147*F147*G147*H147,IF(AND(F147,G147),C147*E147*F147*G147,IF(AND(F147,H147),C147*E147*F147*H147,IF(AND(G147,H147),C147*E147*G147*H147,IF(F147,C147*E147*F147,IF(G147,C147*E147*G147,IF(H147,C147*E147*H147,C147*E147))))))),2)</f>
        <v>11.04</v>
      </c>
      <c r="J147" s="553" t="s">
        <v>102</v>
      </c>
      <c r="K147" s="39"/>
      <c r="L147" s="208"/>
      <c r="M147" s="39"/>
      <c r="N147" s="536" t="s">
        <v>2318</v>
      </c>
    </row>
    <row r="148" spans="1:14" s="544" customFormat="1" ht="16.5" hidden="1" customHeight="1">
      <c r="A148" s="16"/>
      <c r="B148" s="547"/>
      <c r="C148" s="548"/>
      <c r="D148" s="549"/>
      <c r="E148" s="550"/>
      <c r="F148" s="551"/>
      <c r="G148" s="551"/>
      <c r="H148" s="551"/>
      <c r="I148" s="552"/>
      <c r="J148" s="553"/>
      <c r="K148" s="39"/>
      <c r="L148" s="208"/>
      <c r="M148" s="39"/>
      <c r="N148" s="536" t="s">
        <v>2318</v>
      </c>
    </row>
    <row r="149" spans="1:14" ht="15.75" hidden="1">
      <c r="A149" s="16"/>
      <c r="B149" s="39"/>
      <c r="C149" s="554"/>
      <c r="D149" s="555"/>
      <c r="E149" s="540"/>
      <c r="F149" s="541"/>
      <c r="G149" s="40"/>
      <c r="H149" s="16"/>
      <c r="I149" s="552"/>
      <c r="J149" s="553" t="s">
        <v>102</v>
      </c>
      <c r="K149" s="10">
        <f>'data 2022-23'!E566</f>
        <v>315.69</v>
      </c>
      <c r="L149" s="208" t="s">
        <v>2437</v>
      </c>
      <c r="M149" s="9">
        <f>ROUND(I149*K149,0)</f>
        <v>0</v>
      </c>
      <c r="N149" s="536" t="s">
        <v>2318</v>
      </c>
    </row>
    <row r="150" spans="1:14" ht="64.5" hidden="1" customHeight="1">
      <c r="A150" s="16">
        <v>14</v>
      </c>
      <c r="B150" s="1858" t="s">
        <v>1314</v>
      </c>
      <c r="C150" s="1858"/>
      <c r="D150" s="1858"/>
      <c r="E150" s="1858"/>
      <c r="F150" s="1858"/>
      <c r="G150" s="1858"/>
      <c r="H150" s="1858"/>
      <c r="I150" s="537"/>
      <c r="J150" s="538"/>
      <c r="K150" s="16"/>
      <c r="L150" s="208"/>
      <c r="M150" s="38"/>
      <c r="N150" s="536" t="s">
        <v>2318</v>
      </c>
    </row>
    <row r="151" spans="1:14" s="544" customFormat="1" ht="16.5" hidden="1" customHeight="1">
      <c r="A151" s="16"/>
      <c r="B151" s="39" t="s">
        <v>2846</v>
      </c>
      <c r="C151" s="537"/>
      <c r="D151" s="539"/>
      <c r="E151" s="540"/>
      <c r="F151" s="541"/>
      <c r="G151" s="541"/>
      <c r="H151" s="541"/>
      <c r="I151" s="542"/>
      <c r="J151" s="553"/>
      <c r="K151" s="39"/>
      <c r="L151" s="208"/>
      <c r="M151" s="39"/>
      <c r="N151" s="536" t="s">
        <v>2318</v>
      </c>
    </row>
    <row r="152" spans="1:14" s="544" customFormat="1" ht="16.5" hidden="1" customHeight="1">
      <c r="A152" s="16"/>
      <c r="B152" s="39"/>
      <c r="C152" s="537">
        <v>1</v>
      </c>
      <c r="D152" s="539" t="s">
        <v>273</v>
      </c>
      <c r="E152" s="540">
        <v>1</v>
      </c>
      <c r="F152" s="541">
        <v>10.45</v>
      </c>
      <c r="G152" s="541">
        <v>12</v>
      </c>
      <c r="H152" s="541">
        <v>0</v>
      </c>
      <c r="I152" s="545">
        <f>ROUND(IF(AND(F152:H152),C152*E152*F152*G152*H152,IF(AND(F152,G152),C152*E152*F152*G152,IF(AND(F152,H152),C152*E152*F152*H152,IF(AND(G152,H152),C152*E152*G152*H152,IF(F152,C152*E152*F152,IF(G152,C152*E152*G152,IF(H152,C152*E152*H152,C152*E152))))))),2)</f>
        <v>125.4</v>
      </c>
      <c r="J152" s="553" t="s">
        <v>102</v>
      </c>
      <c r="K152" s="39"/>
      <c r="L152" s="208"/>
      <c r="M152" s="39"/>
      <c r="N152" s="536" t="s">
        <v>2318</v>
      </c>
    </row>
    <row r="153" spans="1:14" s="544" customFormat="1" ht="16.5" hidden="1" customHeight="1">
      <c r="A153" s="16"/>
      <c r="B153" s="39"/>
      <c r="C153" s="537">
        <v>1</v>
      </c>
      <c r="D153" s="539" t="s">
        <v>273</v>
      </c>
      <c r="E153" s="540">
        <v>1</v>
      </c>
      <c r="F153" s="541">
        <v>3.52</v>
      </c>
      <c r="G153" s="541">
        <v>0.9</v>
      </c>
      <c r="H153" s="541">
        <v>0</v>
      </c>
      <c r="I153" s="545">
        <f>ROUND(IF(AND(F153:H153),C153*E153*F153*G153*H153,IF(AND(F153,G153),C153*E153*F153*G153,IF(AND(F153,H153),C153*E153*F153*H153,IF(AND(G153,H153),C153*E153*G153*H153,IF(F153,C153*E153*F153,IF(G153,C153*E153*G153,IF(H153,C153*E153*H153,C153*E153))))))),2)</f>
        <v>3.17</v>
      </c>
      <c r="J153" s="553" t="s">
        <v>102</v>
      </c>
      <c r="K153" s="39"/>
      <c r="L153" s="208"/>
      <c r="M153" s="39"/>
      <c r="N153" s="536" t="s">
        <v>2318</v>
      </c>
    </row>
    <row r="154" spans="1:14" s="544" customFormat="1" ht="16.5" hidden="1" customHeight="1">
      <c r="A154" s="16"/>
      <c r="B154" s="547"/>
      <c r="C154" s="548"/>
      <c r="D154" s="549"/>
      <c r="E154" s="550"/>
      <c r="F154" s="551"/>
      <c r="G154" s="551"/>
      <c r="H154" s="551"/>
      <c r="I154" s="552"/>
      <c r="J154" s="553"/>
      <c r="K154" s="39"/>
      <c r="L154" s="208"/>
      <c r="M154" s="39"/>
      <c r="N154" s="536" t="s">
        <v>2318</v>
      </c>
    </row>
    <row r="155" spans="1:14" ht="15.75" hidden="1">
      <c r="A155" s="16"/>
      <c r="B155" s="39"/>
      <c r="C155" s="554"/>
      <c r="D155" s="555"/>
      <c r="E155" s="540"/>
      <c r="F155" s="541"/>
      <c r="G155" s="40"/>
      <c r="H155" s="16"/>
      <c r="I155" s="552"/>
      <c r="J155" s="553" t="s">
        <v>102</v>
      </c>
      <c r="K155" s="10">
        <f>'data 2022-23'!E581</f>
        <v>405.78</v>
      </c>
      <c r="L155" s="208" t="s">
        <v>2437</v>
      </c>
      <c r="M155" s="9">
        <f>ROUND(I155*K155,0)</f>
        <v>0</v>
      </c>
      <c r="N155" s="536" t="s">
        <v>2318</v>
      </c>
    </row>
    <row r="156" spans="1:14" ht="44.25" hidden="1" customHeight="1">
      <c r="A156" s="16">
        <v>14</v>
      </c>
      <c r="B156" s="1858" t="s">
        <v>1186</v>
      </c>
      <c r="C156" s="1858"/>
      <c r="D156" s="1858"/>
      <c r="E156" s="1858"/>
      <c r="F156" s="1858"/>
      <c r="G156" s="1858"/>
      <c r="H156" s="1858"/>
      <c r="I156" s="537"/>
      <c r="J156" s="538"/>
      <c r="K156" s="16"/>
      <c r="L156" s="208"/>
      <c r="M156" s="38"/>
      <c r="N156" s="536" t="s">
        <v>2318</v>
      </c>
    </row>
    <row r="157" spans="1:14" s="544" customFormat="1" ht="16.5" hidden="1" customHeight="1">
      <c r="A157" s="16"/>
      <c r="B157" s="207" t="s">
        <v>2847</v>
      </c>
      <c r="C157" s="561"/>
      <c r="D157" s="562"/>
      <c r="E157" s="563"/>
      <c r="F157" s="564"/>
      <c r="G157" s="564"/>
      <c r="H157" s="564"/>
      <c r="I157" s="565"/>
      <c r="J157" s="546"/>
      <c r="K157" s="39"/>
      <c r="L157" s="16"/>
      <c r="M157" s="39"/>
      <c r="N157" s="536" t="s">
        <v>2318</v>
      </c>
    </row>
    <row r="158" spans="1:14" s="544" customFormat="1" ht="16.5" hidden="1" customHeight="1">
      <c r="A158" s="16"/>
      <c r="B158" s="39" t="s">
        <v>268</v>
      </c>
      <c r="C158" s="537">
        <v>1</v>
      </c>
      <c r="D158" s="539" t="s">
        <v>273</v>
      </c>
      <c r="E158" s="540">
        <v>1</v>
      </c>
      <c r="F158" s="541">
        <v>48.51</v>
      </c>
      <c r="G158" s="541">
        <v>0.45</v>
      </c>
      <c r="H158" s="541">
        <v>0.7</v>
      </c>
      <c r="I158" s="545">
        <f>ROUND(IF(AND(F158:H158),C158*E158*F158*G158*H158,IF(AND(F158,G158),C158*E158*F158*G158,IF(AND(F158,H158),C158*E158*F158*H158,IF(AND(G158,H158),C158*E158*G158*H158,IF(F158,C158*E158*F158,IF(G158,C158*E158*G158,IF(H158,C158*E158*H158,C158*E158))))))),2)</f>
        <v>15.28</v>
      </c>
      <c r="J158" s="546" t="s">
        <v>5</v>
      </c>
      <c r="K158" s="39"/>
      <c r="L158" s="16"/>
      <c r="M158" s="39"/>
      <c r="N158" s="536" t="s">
        <v>2318</v>
      </c>
    </row>
    <row r="159" spans="1:14" s="544" customFormat="1" ht="16.5" hidden="1" customHeight="1">
      <c r="A159" s="16"/>
      <c r="B159" s="39" t="s">
        <v>1604</v>
      </c>
      <c r="C159" s="537">
        <v>1</v>
      </c>
      <c r="D159" s="539" t="s">
        <v>273</v>
      </c>
      <c r="E159" s="540">
        <v>1</v>
      </c>
      <c r="F159" s="541">
        <v>14.37</v>
      </c>
      <c r="G159" s="541">
        <v>0.45</v>
      </c>
      <c r="H159" s="541">
        <v>0.7</v>
      </c>
      <c r="I159" s="545">
        <f>ROUND(IF(AND(F159:H159),C159*E159*F159*G159*H159,IF(AND(F159,G159),C159*E159*F159*G159,IF(AND(F159,H159),C159*E159*F159*H159,IF(AND(G159,H159),C159*E159*G159*H159,IF(F159,C159*E159*F159,IF(G159,C159*E159*G159,IF(H159,C159*E159*H159,C159*E159))))))),2)</f>
        <v>4.53</v>
      </c>
      <c r="J159" s="546" t="s">
        <v>5</v>
      </c>
      <c r="K159" s="39"/>
      <c r="L159" s="16"/>
      <c r="M159" s="39"/>
      <c r="N159" s="536" t="s">
        <v>2318</v>
      </c>
    </row>
    <row r="160" spans="1:14" s="544" customFormat="1" ht="16.5" hidden="1" customHeight="1">
      <c r="A160" s="16"/>
      <c r="B160" s="39" t="s">
        <v>1605</v>
      </c>
      <c r="C160" s="537">
        <v>1</v>
      </c>
      <c r="D160" s="539" t="s">
        <v>273</v>
      </c>
      <c r="E160" s="540">
        <v>2</v>
      </c>
      <c r="F160" s="541">
        <v>8.3800000000000008</v>
      </c>
      <c r="G160" s="541">
        <v>0.45</v>
      </c>
      <c r="H160" s="541">
        <v>0.7</v>
      </c>
      <c r="I160" s="545">
        <f>ROUND(IF(AND(F160:H160),C160*E160*F160*G160*H160,IF(AND(F160,G160),C160*E160*F160*G160,IF(AND(F160,H160),C160*E160*F160*H160,IF(AND(G160,H160),C160*E160*G160*H160,IF(F160,C160*E160*F160,IF(G160,C160*E160*G160,IF(H160,C160*E160*H160,C160*E160))))))),2)</f>
        <v>5.28</v>
      </c>
      <c r="J160" s="546" t="s">
        <v>5</v>
      </c>
      <c r="K160" s="39"/>
      <c r="L160" s="16"/>
      <c r="M160" s="39"/>
      <c r="N160" s="536" t="s">
        <v>2318</v>
      </c>
    </row>
    <row r="161" spans="1:14" s="544" customFormat="1" ht="16.5" hidden="1" customHeight="1">
      <c r="A161" s="16"/>
      <c r="B161" s="547"/>
      <c r="C161" s="548"/>
      <c r="D161" s="549"/>
      <c r="E161" s="550"/>
      <c r="F161" s="551"/>
      <c r="G161" s="551"/>
      <c r="H161" s="551"/>
      <c r="I161" s="552"/>
      <c r="J161" s="553"/>
      <c r="K161" s="39"/>
      <c r="L161" s="208"/>
      <c r="M161" s="39"/>
      <c r="N161" s="536" t="s">
        <v>2318</v>
      </c>
    </row>
    <row r="162" spans="1:14" ht="15.75" hidden="1">
      <c r="A162" s="16"/>
      <c r="B162" s="39"/>
      <c r="C162" s="554"/>
      <c r="D162" s="555"/>
      <c r="E162" s="540"/>
      <c r="F162" s="541"/>
      <c r="G162" s="40"/>
      <c r="H162" s="16"/>
      <c r="I162" s="552"/>
      <c r="J162" s="553" t="s">
        <v>5</v>
      </c>
      <c r="K162" s="10">
        <f>'data 2022-23'!G357</f>
        <v>3828.3500000000004</v>
      </c>
      <c r="L162" s="208" t="s">
        <v>274</v>
      </c>
      <c r="M162" s="9">
        <f>ROUND(I162*K162,0)</f>
        <v>0</v>
      </c>
      <c r="N162" s="536" t="s">
        <v>2318</v>
      </c>
    </row>
    <row r="163" spans="1:14" ht="69.75" hidden="1" customHeight="1">
      <c r="A163" s="16">
        <v>20</v>
      </c>
      <c r="B163" s="1858" t="s">
        <v>306</v>
      </c>
      <c r="C163" s="1858"/>
      <c r="D163" s="1858"/>
      <c r="E163" s="1858"/>
      <c r="F163" s="1858"/>
      <c r="G163" s="1858"/>
      <c r="H163" s="1858"/>
      <c r="I163" s="537"/>
      <c r="J163" s="538"/>
      <c r="K163" s="16"/>
      <c r="L163" s="208"/>
      <c r="M163" s="38"/>
      <c r="N163" s="536" t="s">
        <v>2318</v>
      </c>
    </row>
    <row r="164" spans="1:14" s="544" customFormat="1" ht="16.5" hidden="1" customHeight="1">
      <c r="A164" s="16"/>
      <c r="B164" s="39" t="s">
        <v>2829</v>
      </c>
      <c r="C164" s="537"/>
      <c r="D164" s="539"/>
      <c r="E164" s="540"/>
      <c r="F164" s="541"/>
      <c r="G164" s="541"/>
      <c r="H164" s="541"/>
      <c r="I164" s="542"/>
      <c r="J164" s="543"/>
      <c r="K164" s="39"/>
      <c r="L164" s="208"/>
      <c r="M164" s="39"/>
      <c r="N164" s="536" t="s">
        <v>2318</v>
      </c>
    </row>
    <row r="165" spans="1:14" s="544" customFormat="1" ht="16.5" hidden="1" customHeight="1">
      <c r="A165" s="16"/>
      <c r="B165" s="39" t="s">
        <v>2201</v>
      </c>
      <c r="C165" s="537">
        <v>1</v>
      </c>
      <c r="D165" s="539" t="s">
        <v>273</v>
      </c>
      <c r="E165" s="540">
        <v>1</v>
      </c>
      <c r="F165" s="541">
        <v>5.5</v>
      </c>
      <c r="G165" s="541">
        <v>0.9</v>
      </c>
      <c r="H165" s="541">
        <v>0.15</v>
      </c>
      <c r="I165" s="545">
        <f>ROUND(IF(AND(F165:H165),C165*E165*F165*G165*H165,IF(AND(F165,G165),C165*E165*F165*G165,IF(AND(F165,H165),C165*E165*F165*H165,IF(AND(G165,H165),C165*E165*G165*H165,IF(F165,C165*E165*F165,IF(G165,C165*E165*G165,IF(H165,C165*E165*H165,C165*E165))))))),2)</f>
        <v>0.74</v>
      </c>
      <c r="J165" s="546" t="s">
        <v>5</v>
      </c>
      <c r="K165" s="39"/>
      <c r="L165" s="208"/>
      <c r="M165" s="39"/>
      <c r="N165" s="536" t="s">
        <v>2318</v>
      </c>
    </row>
    <row r="166" spans="1:14" s="544" customFormat="1" ht="16.5" hidden="1" customHeight="1">
      <c r="A166" s="16"/>
      <c r="B166" s="39"/>
      <c r="C166" s="537">
        <v>1</v>
      </c>
      <c r="D166" s="539" t="s">
        <v>273</v>
      </c>
      <c r="E166" s="540">
        <v>1</v>
      </c>
      <c r="F166" s="541">
        <v>5.5</v>
      </c>
      <c r="G166" s="541">
        <v>0.6</v>
      </c>
      <c r="H166" s="541">
        <v>0.15</v>
      </c>
      <c r="I166" s="545">
        <f>ROUND(IF(AND(F166:H166),C166*E166*F166*G166*H166,IF(AND(F166,G166),C166*E166*F166*G166,IF(AND(F166,H166),C166*E166*F166*H166,IF(AND(G166,H166),C166*E166*G166*H166,IF(F166,C166*E166*F166,IF(G166,C166*E166*G166,IF(H166,C166*E166*H166,C166*E166))))))),2)</f>
        <v>0.5</v>
      </c>
      <c r="J166" s="546" t="s">
        <v>5</v>
      </c>
      <c r="K166" s="39"/>
      <c r="L166" s="208"/>
      <c r="M166" s="39"/>
      <c r="N166" s="536" t="s">
        <v>2318</v>
      </c>
    </row>
    <row r="167" spans="1:14" s="544" customFormat="1" ht="16.5" hidden="1" customHeight="1">
      <c r="A167" s="16"/>
      <c r="B167" s="39"/>
      <c r="C167" s="537">
        <v>1</v>
      </c>
      <c r="D167" s="539" t="s">
        <v>273</v>
      </c>
      <c r="E167" s="540">
        <v>1</v>
      </c>
      <c r="F167" s="541">
        <v>5.5</v>
      </c>
      <c r="G167" s="541">
        <v>0.3</v>
      </c>
      <c r="H167" s="541">
        <v>0.15</v>
      </c>
      <c r="I167" s="545">
        <f>ROUND(IF(AND(F167:H167),C167*E167*F167*G167*H167,IF(AND(F167,G167),C167*E167*F167*G167,IF(AND(F167,H167),C167*E167*F167*H167,IF(AND(G167,H167),C167*E167*G167*H167,IF(F167,C167*E167*F167,IF(G167,C167*E167*G167,IF(H167,C167*E167*H167,C167*E167))))))),2)</f>
        <v>0.25</v>
      </c>
      <c r="J167" s="546" t="s">
        <v>5</v>
      </c>
      <c r="K167" s="39"/>
      <c r="L167" s="208"/>
      <c r="M167" s="39"/>
      <c r="N167" s="536" t="s">
        <v>2318</v>
      </c>
    </row>
    <row r="168" spans="1:14" s="544" customFormat="1" ht="16.5" hidden="1" customHeight="1">
      <c r="A168" s="16"/>
      <c r="B168" s="39" t="s">
        <v>2163</v>
      </c>
      <c r="C168" s="537">
        <v>1</v>
      </c>
      <c r="D168" s="539" t="s">
        <v>273</v>
      </c>
      <c r="E168" s="540">
        <v>1</v>
      </c>
      <c r="F168" s="541">
        <v>4.3499999999999996</v>
      </c>
      <c r="G168" s="541">
        <v>0.23</v>
      </c>
      <c r="H168" s="541">
        <v>0.15</v>
      </c>
      <c r="I168" s="545">
        <f>ROUND(IF(AND(F168:H168),C168*E168*F168*G168*H168,IF(AND(F168,G168),C168*E168*F168*G168,IF(AND(F168,H168),C168*E168*F168*H168,IF(AND(G168,H168),C168*E168*G168*H168,IF(F168,C168*E168*F168,IF(G168,C168*E168*G168,IF(H168,C168*E168*H168,C168*E168))))))),2)</f>
        <v>0.15</v>
      </c>
      <c r="J168" s="546" t="s">
        <v>5</v>
      </c>
      <c r="K168" s="39"/>
      <c r="L168" s="208"/>
      <c r="M168" s="39"/>
      <c r="N168" s="536" t="s">
        <v>2318</v>
      </c>
    </row>
    <row r="169" spans="1:14" s="544" customFormat="1" ht="16.5" hidden="1" customHeight="1">
      <c r="A169" s="16"/>
      <c r="B169" s="547"/>
      <c r="C169" s="548"/>
      <c r="D169" s="549"/>
      <c r="E169" s="550"/>
      <c r="F169" s="551"/>
      <c r="G169" s="551"/>
      <c r="H169" s="551"/>
      <c r="I169" s="552"/>
      <c r="J169" s="553"/>
      <c r="K169" s="39"/>
      <c r="L169" s="208"/>
      <c r="M169" s="39"/>
      <c r="N169" s="536" t="s">
        <v>2318</v>
      </c>
    </row>
    <row r="170" spans="1:14" ht="15.75" hidden="1">
      <c r="A170" s="16"/>
      <c r="B170" s="39"/>
      <c r="C170" s="554"/>
      <c r="D170" s="555"/>
      <c r="E170" s="540"/>
      <c r="F170" s="541"/>
      <c r="G170" s="40"/>
      <c r="H170" s="16"/>
      <c r="I170" s="552"/>
      <c r="J170" s="553" t="s">
        <v>5</v>
      </c>
      <c r="K170" s="10">
        <f>'data 2022-23'!E391</f>
        <v>6869.83</v>
      </c>
      <c r="L170" s="208" t="s">
        <v>274</v>
      </c>
      <c r="M170" s="9">
        <f>ROUND(I170*K170,0)</f>
        <v>0</v>
      </c>
      <c r="N170" s="536" t="s">
        <v>2318</v>
      </c>
    </row>
    <row r="171" spans="1:14" ht="69.75" hidden="1" customHeight="1">
      <c r="A171" s="16">
        <v>3</v>
      </c>
      <c r="B171" s="1858" t="s">
        <v>649</v>
      </c>
      <c r="C171" s="1858"/>
      <c r="D171" s="1858"/>
      <c r="E171" s="1858"/>
      <c r="F171" s="1858"/>
      <c r="G171" s="1858"/>
      <c r="H171" s="1858"/>
      <c r="I171" s="537"/>
      <c r="J171" s="538"/>
      <c r="K171" s="16"/>
      <c r="L171" s="208"/>
      <c r="M171" s="38"/>
      <c r="N171" s="536" t="s">
        <v>2318</v>
      </c>
    </row>
    <row r="172" spans="1:14" s="544" customFormat="1" ht="16.5" hidden="1" customHeight="1">
      <c r="A172" s="16"/>
      <c r="B172" s="39" t="s">
        <v>2518</v>
      </c>
      <c r="C172" s="537"/>
      <c r="D172" s="539"/>
      <c r="E172" s="540"/>
      <c r="F172" s="541"/>
      <c r="G172" s="541"/>
      <c r="H172" s="541"/>
      <c r="I172" s="542"/>
      <c r="J172" s="553"/>
      <c r="K172" s="39"/>
      <c r="L172" s="208"/>
      <c r="M172" s="39"/>
      <c r="N172" s="536" t="s">
        <v>2318</v>
      </c>
    </row>
    <row r="173" spans="1:14" s="544" customFormat="1" ht="16.5" hidden="1" customHeight="1">
      <c r="A173" s="16"/>
      <c r="B173" s="39" t="s">
        <v>2515</v>
      </c>
      <c r="C173" s="537">
        <v>1</v>
      </c>
      <c r="D173" s="539" t="s">
        <v>273</v>
      </c>
      <c r="E173" s="540">
        <v>1</v>
      </c>
      <c r="F173" s="541">
        <v>1.85</v>
      </c>
      <c r="G173" s="541">
        <v>0.6</v>
      </c>
      <c r="H173" s="541">
        <v>0.2</v>
      </c>
      <c r="I173" s="545">
        <f>ROUND(IF(AND(F173:H173),C173*E173*F173*G173*H173,IF(AND(F173,G173),C173*E173*F173*G173,IF(AND(F173,H173),C173*E173*F173*H173,IF(AND(G173,H173),C173*E173*G173*H173,IF(F173,C173*E173*F173,IF(G173,C173*E173*G173,IF(H173,C173*E173*H173,C173*E173))))))),2)</f>
        <v>0.22</v>
      </c>
      <c r="J173" s="546" t="s">
        <v>5</v>
      </c>
      <c r="K173" s="39"/>
      <c r="L173" s="208"/>
      <c r="M173" s="39"/>
      <c r="N173" s="536" t="s">
        <v>2318</v>
      </c>
    </row>
    <row r="174" spans="1:14" s="544" customFormat="1" ht="16.5" hidden="1" customHeight="1">
      <c r="A174" s="16"/>
      <c r="B174" s="39"/>
      <c r="C174" s="537">
        <v>1</v>
      </c>
      <c r="D174" s="539" t="s">
        <v>273</v>
      </c>
      <c r="E174" s="540">
        <v>1</v>
      </c>
      <c r="F174" s="541">
        <v>1.85</v>
      </c>
      <c r="G174" s="541">
        <v>0.3</v>
      </c>
      <c r="H174" s="541">
        <v>0.15</v>
      </c>
      <c r="I174" s="545">
        <f>ROUND(IF(AND(F174:H174),C174*E174*F174*G174*H174,IF(AND(F174,G174),C174*E174*F174*G174,IF(AND(F174,H174),C174*E174*F174*H174,IF(AND(G174,H174),C174*E174*G174*H174,IF(F174,C174*E174*F174,IF(G174,C174*E174*G174,IF(H174,C174*E174*H174,C174*E174))))))),2)</f>
        <v>0.08</v>
      </c>
      <c r="J174" s="546" t="s">
        <v>5</v>
      </c>
      <c r="K174" s="39"/>
      <c r="L174" s="208"/>
      <c r="M174" s="39"/>
      <c r="N174" s="536" t="s">
        <v>2318</v>
      </c>
    </row>
    <row r="175" spans="1:14" s="544" customFormat="1" ht="16.5" hidden="1" customHeight="1">
      <c r="A175" s="16"/>
      <c r="B175" s="39" t="s">
        <v>2516</v>
      </c>
      <c r="C175" s="537">
        <v>1</v>
      </c>
      <c r="D175" s="539" t="s">
        <v>273</v>
      </c>
      <c r="E175" s="540">
        <v>3</v>
      </c>
      <c r="F175" s="541">
        <v>0.43</v>
      </c>
      <c r="G175" s="541">
        <v>0.115</v>
      </c>
      <c r="H175" s="541">
        <v>0.65</v>
      </c>
      <c r="I175" s="545">
        <f>ROUND(IF(AND(F175:H175),C175*E175*F175*G175*H175,IF(AND(F175,G175),C175*E175*F175*G175,IF(AND(F175,H175),C175*E175*F175*H175,IF(AND(G175,H175),C175*E175*G175*H175,IF(F175,C175*E175*F175,IF(G175,C175*E175*G175,IF(H175,C175*E175*H175,C175*E175))))))),2)</f>
        <v>0.1</v>
      </c>
      <c r="J175" s="546" t="s">
        <v>5</v>
      </c>
      <c r="K175" s="39"/>
      <c r="L175" s="208"/>
      <c r="M175" s="39"/>
      <c r="N175" s="536" t="s">
        <v>2318</v>
      </c>
    </row>
    <row r="176" spans="1:14" s="544" customFormat="1" ht="16.5" hidden="1" customHeight="1">
      <c r="A176" s="16"/>
      <c r="B176" s="39" t="s">
        <v>2517</v>
      </c>
      <c r="C176" s="537">
        <v>1</v>
      </c>
      <c r="D176" s="539" t="s">
        <v>273</v>
      </c>
      <c r="E176" s="540">
        <v>2</v>
      </c>
      <c r="F176" s="541">
        <v>0.42</v>
      </c>
      <c r="G176" s="541">
        <v>0.115</v>
      </c>
      <c r="H176" s="541">
        <v>0.65</v>
      </c>
      <c r="I176" s="545">
        <f>ROUND(IF(AND(F176:H176),C176*E176*F176*G176*H176,IF(AND(F176,G176),C176*E176*F176*G176,IF(AND(F176,H176),C176*E176*F176*H176,IF(AND(G176,H176),C176*E176*G176*H176,IF(F176,C176*E176*F176,IF(G176,C176*E176*G176,IF(H176,C176*E176*H176,C176*E176))))))),2)</f>
        <v>0.06</v>
      </c>
      <c r="J176" s="546" t="s">
        <v>5</v>
      </c>
      <c r="K176" s="39"/>
      <c r="L176" s="208"/>
      <c r="M176" s="39"/>
      <c r="N176" s="536" t="s">
        <v>2318</v>
      </c>
    </row>
    <row r="177" spans="1:14" s="544" customFormat="1" ht="16.5" hidden="1" customHeight="1">
      <c r="A177" s="16"/>
      <c r="B177" s="547"/>
      <c r="C177" s="548"/>
      <c r="D177" s="549"/>
      <c r="E177" s="550"/>
      <c r="F177" s="551"/>
      <c r="G177" s="551"/>
      <c r="H177" s="551"/>
      <c r="I177" s="552"/>
      <c r="J177" s="553"/>
      <c r="K177" s="39"/>
      <c r="L177" s="208"/>
      <c r="M177" s="39"/>
      <c r="N177" s="536" t="s">
        <v>2318</v>
      </c>
    </row>
    <row r="178" spans="1:14" ht="15.75" hidden="1">
      <c r="A178" s="16"/>
      <c r="B178" s="39"/>
      <c r="C178" s="554"/>
      <c r="D178" s="555"/>
      <c r="E178" s="540"/>
      <c r="F178" s="541"/>
      <c r="G178" s="40"/>
      <c r="H178" s="16"/>
      <c r="I178" s="552"/>
      <c r="J178" s="553" t="s">
        <v>5</v>
      </c>
      <c r="K178" s="10">
        <f>'data 2022-23'!E374</f>
        <v>6926.2300000000005</v>
      </c>
      <c r="L178" s="208" t="s">
        <v>274</v>
      </c>
      <c r="M178" s="9">
        <f>ROUND(I178*K178,0)</f>
        <v>0</v>
      </c>
      <c r="N178" s="536" t="s">
        <v>2318</v>
      </c>
    </row>
    <row r="179" spans="1:14" ht="132.75" hidden="1" customHeight="1">
      <c r="A179" s="16">
        <v>19</v>
      </c>
      <c r="B179" s="1858" t="s">
        <v>901</v>
      </c>
      <c r="C179" s="1858"/>
      <c r="D179" s="1858"/>
      <c r="E179" s="1858"/>
      <c r="F179" s="1858"/>
      <c r="G179" s="1858"/>
      <c r="H179" s="1858"/>
      <c r="I179" s="537"/>
      <c r="J179" s="538"/>
      <c r="K179" s="16"/>
      <c r="L179" s="208"/>
      <c r="M179" s="38"/>
      <c r="N179" s="536" t="s">
        <v>2318</v>
      </c>
    </row>
    <row r="180" spans="1:14" s="544" customFormat="1" ht="16.5" hidden="1" customHeight="1">
      <c r="A180" s="16"/>
      <c r="B180" s="39" t="s">
        <v>2857</v>
      </c>
      <c r="C180" s="537"/>
      <c r="D180" s="539"/>
      <c r="E180" s="540"/>
      <c r="F180" s="541"/>
      <c r="G180" s="541"/>
      <c r="H180" s="541"/>
      <c r="I180" s="542"/>
      <c r="J180" s="553"/>
      <c r="K180" s="39"/>
      <c r="L180" s="208"/>
      <c r="M180" s="39"/>
      <c r="N180" s="536" t="s">
        <v>2318</v>
      </c>
    </row>
    <row r="181" spans="1:14" s="544" customFormat="1" ht="16.5" hidden="1" customHeight="1">
      <c r="A181" s="16"/>
      <c r="B181" s="39" t="s">
        <v>2136</v>
      </c>
      <c r="C181" s="537">
        <v>1</v>
      </c>
      <c r="D181" s="539" t="s">
        <v>273</v>
      </c>
      <c r="E181" s="540">
        <v>1</v>
      </c>
      <c r="F181" s="541">
        <v>4.72</v>
      </c>
      <c r="G181" s="541">
        <v>0</v>
      </c>
      <c r="H181" s="541">
        <v>0.6</v>
      </c>
      <c r="I181" s="545">
        <f>ROUND(IF(AND(F181:H181),C181*E181*F181*G181*H181,IF(AND(F181,G181),C181*E181*F181*G181,IF(AND(F181,H181),C181*E181*F181*H181,IF(AND(G181,H181),C181*E181*G181*H181,IF(F181,C181*E181*F181,IF(G181,C181*E181*G181,IF(H181,C181*E181*H181,C181*E181))))))),2)</f>
        <v>2.83</v>
      </c>
      <c r="J181" s="553" t="s">
        <v>102</v>
      </c>
      <c r="K181" s="39"/>
      <c r="L181" s="208"/>
      <c r="M181" s="39"/>
      <c r="N181" s="536" t="s">
        <v>2318</v>
      </c>
    </row>
    <row r="182" spans="1:14" s="544" customFormat="1" ht="16.5" hidden="1" customHeight="1">
      <c r="A182" s="16"/>
      <c r="B182" s="39" t="s">
        <v>1533</v>
      </c>
      <c r="C182" s="537">
        <v>1</v>
      </c>
      <c r="D182" s="539" t="s">
        <v>273</v>
      </c>
      <c r="E182" s="540">
        <v>1</v>
      </c>
      <c r="F182" s="541">
        <v>2.85</v>
      </c>
      <c r="G182" s="541">
        <v>0</v>
      </c>
      <c r="H182" s="541">
        <v>0.62</v>
      </c>
      <c r="I182" s="545">
        <f>ROUND(IF(AND(F182:H182),C182*E182*F182*G182*H182,IF(AND(F182,G182),C182*E182*F182*G182,IF(AND(F182,H182),C182*E182*F182*H182,IF(AND(G182,H182),C182*E182*G182*H182,IF(F182,C182*E182*F182,IF(G182,C182*E182*G182,IF(H182,C182*E182*H182,C182*E182))))))),2)</f>
        <v>1.77</v>
      </c>
      <c r="J182" s="553" t="s">
        <v>102</v>
      </c>
      <c r="K182" s="39"/>
      <c r="L182" s="208"/>
      <c r="M182" s="39"/>
      <c r="N182" s="536" t="s">
        <v>2318</v>
      </c>
    </row>
    <row r="183" spans="1:14" s="544" customFormat="1" ht="16.5" hidden="1" customHeight="1">
      <c r="A183" s="16"/>
      <c r="B183" s="39" t="s">
        <v>581</v>
      </c>
      <c r="C183" s="537">
        <v>1</v>
      </c>
      <c r="D183" s="539" t="s">
        <v>273</v>
      </c>
      <c r="E183" s="540">
        <v>2</v>
      </c>
      <c r="F183" s="541">
        <v>0.6</v>
      </c>
      <c r="G183" s="541">
        <v>0</v>
      </c>
      <c r="H183" s="541">
        <v>0.3</v>
      </c>
      <c r="I183" s="545">
        <f>-ROUND(IF(AND(F183:H183),C183*E183*F183*G183*H183,IF(AND(F183,G183),C183*E183*F183*G183,IF(AND(F183,H183),C183*E183*F183*H183,IF(AND(G183,H183),C183*E183*G183*H183,IF(F183,C183*E183*F183,IF(G183,C183*E183*G183,IF(H183,C183*E183*H183,C183*E183))))))),2)</f>
        <v>-0.36</v>
      </c>
      <c r="J183" s="553" t="s">
        <v>102</v>
      </c>
      <c r="K183" s="39"/>
      <c r="L183" s="208"/>
      <c r="M183" s="39"/>
      <c r="N183" s="536" t="s">
        <v>2318</v>
      </c>
    </row>
    <row r="184" spans="1:14" s="544" customFormat="1" ht="16.5" hidden="1" customHeight="1">
      <c r="A184" s="16"/>
      <c r="B184" s="39"/>
      <c r="C184" s="537"/>
      <c r="D184" s="539"/>
      <c r="E184" s="540"/>
      <c r="F184" s="541"/>
      <c r="G184" s="541"/>
      <c r="H184" s="541"/>
      <c r="I184" s="545"/>
      <c r="J184" s="553"/>
      <c r="K184" s="39"/>
      <c r="L184" s="208"/>
      <c r="M184" s="39"/>
      <c r="N184" s="536" t="s">
        <v>2318</v>
      </c>
    </row>
    <row r="185" spans="1:14" ht="15.75" hidden="1">
      <c r="A185" s="16"/>
      <c r="B185" s="39"/>
      <c r="C185" s="554"/>
      <c r="D185" s="555"/>
      <c r="E185" s="540"/>
      <c r="F185" s="541"/>
      <c r="G185" s="40"/>
      <c r="H185" s="16"/>
      <c r="I185" s="552"/>
      <c r="J185" s="553" t="s">
        <v>102</v>
      </c>
      <c r="K185" s="10">
        <f>'data 2022-23'!E409</f>
        <v>881.3</v>
      </c>
      <c r="L185" s="208" t="s">
        <v>2437</v>
      </c>
      <c r="M185" s="9">
        <f>ROUND(I185*K185/1,0)</f>
        <v>0</v>
      </c>
      <c r="N185" s="536" t="s">
        <v>2318</v>
      </c>
    </row>
    <row r="186" spans="1:14" ht="79.5" hidden="1" customHeight="1">
      <c r="A186" s="16">
        <v>18</v>
      </c>
      <c r="B186" s="1858" t="s">
        <v>1201</v>
      </c>
      <c r="C186" s="1858"/>
      <c r="D186" s="1858"/>
      <c r="E186" s="1858"/>
      <c r="F186" s="1858"/>
      <c r="G186" s="1858"/>
      <c r="H186" s="1858"/>
      <c r="I186" s="537"/>
      <c r="J186" s="538"/>
      <c r="K186" s="16"/>
      <c r="L186" s="208"/>
      <c r="M186" s="38"/>
      <c r="N186" s="536" t="s">
        <v>2318</v>
      </c>
    </row>
    <row r="187" spans="1:14" s="544" customFormat="1" ht="16.5" hidden="1" customHeight="1">
      <c r="A187" s="16"/>
      <c r="B187" s="39" t="s">
        <v>2835</v>
      </c>
      <c r="C187" s="537"/>
      <c r="D187" s="539"/>
      <c r="E187" s="540"/>
      <c r="F187" s="541"/>
      <c r="G187" s="541"/>
      <c r="H187" s="541"/>
      <c r="I187" s="542"/>
      <c r="J187" s="553"/>
      <c r="K187" s="39"/>
      <c r="L187" s="208"/>
      <c r="M187" s="39"/>
      <c r="N187" s="536" t="s">
        <v>2318</v>
      </c>
    </row>
    <row r="188" spans="1:14" s="544" customFormat="1" ht="16.5" hidden="1" customHeight="1">
      <c r="A188" s="16"/>
      <c r="B188" s="39"/>
      <c r="C188" s="537">
        <v>1</v>
      </c>
      <c r="D188" s="539" t="s">
        <v>273</v>
      </c>
      <c r="E188" s="540">
        <v>1</v>
      </c>
      <c r="F188" s="541">
        <v>1.02</v>
      </c>
      <c r="G188" s="541">
        <v>0.115</v>
      </c>
      <c r="H188" s="541">
        <v>0.83</v>
      </c>
      <c r="I188" s="545">
        <f>ROUND(IF(AND(F188:H188),C188*E188*F188*G188*H188,IF(AND(F188,G188),C188*E188*F188*G188,IF(AND(F188,H188),C188*E188*F188*H188,IF(AND(G188,H188),C188*E188*G188*H188,IF(F188,C188*E188*F188,IF(G188,C188*E188*G188,IF(H188,C188*E188*H188,C188*E188))))))),2)</f>
        <v>0.1</v>
      </c>
      <c r="J188" s="553" t="s">
        <v>5</v>
      </c>
      <c r="K188" s="39"/>
      <c r="L188" s="208"/>
      <c r="M188" s="39"/>
      <c r="N188" s="536" t="s">
        <v>2318</v>
      </c>
    </row>
    <row r="189" spans="1:14" s="544" customFormat="1" ht="16.5" hidden="1" customHeight="1">
      <c r="A189" s="16"/>
      <c r="B189" s="39"/>
      <c r="C189" s="537">
        <v>1</v>
      </c>
      <c r="D189" s="539" t="s">
        <v>273</v>
      </c>
      <c r="E189" s="540">
        <v>1</v>
      </c>
      <c r="F189" s="541">
        <v>3.09</v>
      </c>
      <c r="G189" s="541">
        <v>0.115</v>
      </c>
      <c r="H189" s="541">
        <v>0.56000000000000005</v>
      </c>
      <c r="I189" s="545">
        <f>ROUND(IF(AND(F189:H189),C189*E189*F189*G189*H189,IF(AND(F189,G189),C189*E189*F189*G189,IF(AND(F189,H189),C189*E189*F189*H189,IF(AND(G189,H189),C189*E189*G189*H189,IF(F189,C189*E189*F189,IF(G189,C189*E189*G189,IF(H189,C189*E189*H189,C189*E189))))))),2)</f>
        <v>0.2</v>
      </c>
      <c r="J189" s="553" t="s">
        <v>5</v>
      </c>
      <c r="K189" s="39"/>
      <c r="L189" s="208"/>
      <c r="M189" s="39"/>
      <c r="N189" s="536" t="s">
        <v>2318</v>
      </c>
    </row>
    <row r="190" spans="1:14" s="544" customFormat="1" ht="16.5" hidden="1" customHeight="1">
      <c r="A190" s="16"/>
      <c r="B190" s="39"/>
      <c r="C190" s="537">
        <v>1</v>
      </c>
      <c r="D190" s="539" t="s">
        <v>273</v>
      </c>
      <c r="E190" s="540">
        <v>1</v>
      </c>
      <c r="F190" s="541">
        <v>0.79</v>
      </c>
      <c r="G190" s="541">
        <v>0.115</v>
      </c>
      <c r="H190" s="541">
        <v>0.64</v>
      </c>
      <c r="I190" s="545">
        <f>ROUND(IF(AND(F190:H190),C190*E190*F190*G190*H190,IF(AND(F190,G190),C190*E190*F190*G190,IF(AND(F190,H190),C190*E190*F190*H190,IF(AND(G190,H190),C190*E190*G190*H190,IF(F190,C190*E190*F190,IF(G190,C190*E190*G190,IF(H190,C190*E190*H190,C190*E190))))))),2)</f>
        <v>0.06</v>
      </c>
      <c r="J190" s="553" t="s">
        <v>5</v>
      </c>
      <c r="K190" s="39"/>
      <c r="L190" s="208"/>
      <c r="M190" s="39"/>
      <c r="N190" s="536" t="s">
        <v>2318</v>
      </c>
    </row>
    <row r="191" spans="1:14" s="544" customFormat="1" ht="16.5" hidden="1" customHeight="1">
      <c r="A191" s="16"/>
      <c r="B191" s="39"/>
      <c r="C191" s="537">
        <v>1</v>
      </c>
      <c r="D191" s="539" t="s">
        <v>273</v>
      </c>
      <c r="E191" s="540">
        <v>1</v>
      </c>
      <c r="F191" s="541">
        <v>3.09</v>
      </c>
      <c r="G191" s="541">
        <v>0.115</v>
      </c>
      <c r="H191" s="541">
        <v>0.54</v>
      </c>
      <c r="I191" s="545">
        <f>ROUND(IF(AND(F191:H191),C191*E191*F191*G191*H191,IF(AND(F191,G191),C191*E191*F191*G191,IF(AND(F191,H191),C191*E191*F191*H191,IF(AND(G191,H191),C191*E191*G191*H191,IF(F191,C191*E191*F191,IF(G191,C191*E191*G191,IF(H191,C191*E191*H191,C191*E191))))))),2)</f>
        <v>0.19</v>
      </c>
      <c r="J191" s="553" t="s">
        <v>5</v>
      </c>
      <c r="K191" s="39"/>
      <c r="L191" s="208"/>
      <c r="M191" s="39"/>
      <c r="N191" s="536" t="s">
        <v>2318</v>
      </c>
    </row>
    <row r="192" spans="1:14" s="544" customFormat="1" ht="16.5" hidden="1" customHeight="1">
      <c r="A192" s="16"/>
      <c r="B192" s="547"/>
      <c r="C192" s="548"/>
      <c r="D192" s="549"/>
      <c r="E192" s="550"/>
      <c r="F192" s="551"/>
      <c r="G192" s="551"/>
      <c r="H192" s="551"/>
      <c r="I192" s="552"/>
      <c r="J192" s="553"/>
      <c r="K192" s="39"/>
      <c r="L192" s="208"/>
      <c r="M192" s="39"/>
      <c r="N192" s="536" t="s">
        <v>2318</v>
      </c>
    </row>
    <row r="193" spans="1:14" ht="15.75" hidden="1">
      <c r="A193" s="16"/>
      <c r="B193" s="39"/>
      <c r="C193" s="554"/>
      <c r="D193" s="555"/>
      <c r="E193" s="540"/>
      <c r="F193" s="541"/>
      <c r="G193" s="40"/>
      <c r="H193" s="16"/>
      <c r="I193" s="552"/>
      <c r="J193" s="553" t="s">
        <v>5</v>
      </c>
      <c r="K193" s="10">
        <f>'data 2022-23'!E426</f>
        <v>6281.3700000000008</v>
      </c>
      <c r="L193" s="208" t="s">
        <v>274</v>
      </c>
      <c r="M193" s="9">
        <f>ROUND(I193*K193,0)</f>
        <v>0</v>
      </c>
      <c r="N193" s="536" t="s">
        <v>2318</v>
      </c>
    </row>
    <row r="194" spans="1:14" ht="103.5" hidden="1" customHeight="1">
      <c r="A194" s="16">
        <v>17</v>
      </c>
      <c r="B194" s="1858" t="s">
        <v>1171</v>
      </c>
      <c r="C194" s="1858"/>
      <c r="D194" s="1858"/>
      <c r="E194" s="1858"/>
      <c r="F194" s="1858"/>
      <c r="G194" s="1858"/>
      <c r="H194" s="1858"/>
      <c r="I194" s="537"/>
      <c r="J194" s="538"/>
      <c r="K194" s="16"/>
      <c r="L194" s="208"/>
      <c r="M194" s="38"/>
      <c r="N194" s="536" t="s">
        <v>2318</v>
      </c>
    </row>
    <row r="195" spans="1:14" s="544" customFormat="1" ht="16.5" hidden="1" customHeight="1">
      <c r="A195" s="16"/>
      <c r="B195" s="39" t="s">
        <v>2857</v>
      </c>
      <c r="C195" s="557"/>
      <c r="D195" s="558"/>
      <c r="E195" s="221"/>
      <c r="F195" s="559"/>
      <c r="G195" s="559"/>
      <c r="H195" s="559"/>
      <c r="I195" s="560"/>
      <c r="J195" s="580"/>
      <c r="K195" s="39"/>
      <c r="L195" s="16"/>
      <c r="M195" s="39"/>
      <c r="N195" s="536" t="s">
        <v>2318</v>
      </c>
    </row>
    <row r="196" spans="1:14" s="544" customFormat="1" ht="16.5" hidden="1" customHeight="1">
      <c r="A196" s="16"/>
      <c r="B196" s="556" t="s">
        <v>1618</v>
      </c>
      <c r="C196" s="557">
        <v>2</v>
      </c>
      <c r="D196" s="558" t="s">
        <v>273</v>
      </c>
      <c r="E196" s="221">
        <v>0.5</v>
      </c>
      <c r="F196" s="559">
        <v>1</v>
      </c>
      <c r="G196" s="559">
        <v>0</v>
      </c>
      <c r="H196" s="559">
        <v>1.1000000000000001</v>
      </c>
      <c r="I196" s="560">
        <f>ROUND(IF(AND(F196:H196),C196*E196*F196*G196*H196,IF(AND(F196,G196),C196*E196*F196*G196,IF(AND(F196,H196),C196*E196*F196*H196,IF(AND(G196,H196),C196*E196*G196*H196,IF(F196,C196*E196*F196,IF(G196,C196*E196*G196,IF(H196,C196*E196*H196,C196*E196))))))),2)</f>
        <v>1.1000000000000001</v>
      </c>
      <c r="J196" s="580" t="s">
        <v>102</v>
      </c>
      <c r="K196" s="39"/>
      <c r="L196" s="16"/>
      <c r="M196" s="39"/>
      <c r="N196" s="536" t="s">
        <v>2318</v>
      </c>
    </row>
    <row r="197" spans="1:14" s="544" customFormat="1" ht="16.5" hidden="1" customHeight="1">
      <c r="A197" s="16"/>
      <c r="B197" s="556" t="s">
        <v>1619</v>
      </c>
      <c r="C197" s="557">
        <v>1</v>
      </c>
      <c r="D197" s="558" t="s">
        <v>273</v>
      </c>
      <c r="E197" s="221">
        <v>2</v>
      </c>
      <c r="F197" s="559">
        <v>3.15</v>
      </c>
      <c r="G197" s="559">
        <v>0</v>
      </c>
      <c r="H197" s="559">
        <v>1.1000000000000001</v>
      </c>
      <c r="I197" s="560">
        <f>ROUND(IF(AND(F197:H197),C197*E197*F197*G197*H197,IF(AND(F197,G197),C197*E197*F197*G197,IF(AND(F197,H197),C197*E197*F197*H197,IF(AND(G197,H197),C197*E197*G197*H197,IF(F197,C197*E197*F197,IF(G197,C197*E197*G197,IF(H197,C197*E197*H197,C197*E197))))))),2)</f>
        <v>6.93</v>
      </c>
      <c r="J197" s="580" t="s">
        <v>102</v>
      </c>
      <c r="K197" s="39"/>
      <c r="L197" s="16"/>
      <c r="M197" s="39"/>
      <c r="N197" s="536" t="s">
        <v>2318</v>
      </c>
    </row>
    <row r="198" spans="1:14" s="544" customFormat="1" ht="16.5" hidden="1" customHeight="1">
      <c r="A198" s="16"/>
      <c r="B198" s="556" t="s">
        <v>1619</v>
      </c>
      <c r="C198" s="557">
        <v>1</v>
      </c>
      <c r="D198" s="558" t="s">
        <v>273</v>
      </c>
      <c r="E198" s="221">
        <v>2</v>
      </c>
      <c r="F198" s="559">
        <v>2</v>
      </c>
      <c r="G198" s="559">
        <v>0</v>
      </c>
      <c r="H198" s="559">
        <v>1.9</v>
      </c>
      <c r="I198" s="560">
        <f>ROUND(IF(AND(F198:H198),C198*E198*F198*G198*H198,IF(AND(F198,G198),C198*E198*F198*G198,IF(AND(F198,H198),C198*E198*F198*H198,IF(AND(G198,H198),C198*E198*G198*H198,IF(F198,C198*E198*F198,IF(G198,C198*E198*G198,IF(H198,C198*E198*H198,C198*E198))))))),2)</f>
        <v>7.6</v>
      </c>
      <c r="J198" s="580" t="s">
        <v>102</v>
      </c>
      <c r="K198" s="39"/>
      <c r="L198" s="16"/>
      <c r="M198" s="39"/>
      <c r="N198" s="536" t="s">
        <v>2318</v>
      </c>
    </row>
    <row r="199" spans="1:14" s="544" customFormat="1" ht="16.5" hidden="1" customHeight="1">
      <c r="A199" s="16"/>
      <c r="B199" s="39"/>
      <c r="C199" s="537"/>
      <c r="D199" s="539"/>
      <c r="E199" s="540"/>
      <c r="F199" s="541"/>
      <c r="G199" s="541"/>
      <c r="H199" s="541"/>
      <c r="I199" s="545"/>
      <c r="J199" s="553"/>
      <c r="K199" s="39"/>
      <c r="L199" s="208"/>
      <c r="M199" s="39"/>
      <c r="N199" s="536" t="s">
        <v>2318</v>
      </c>
    </row>
    <row r="200" spans="1:14" ht="15.75" hidden="1">
      <c r="A200" s="16"/>
      <c r="B200" s="39"/>
      <c r="C200" s="554"/>
      <c r="D200" s="555"/>
      <c r="E200" s="540"/>
      <c r="F200" s="541"/>
      <c r="G200" s="40"/>
      <c r="H200" s="16"/>
      <c r="I200" s="552"/>
      <c r="J200" s="553" t="s">
        <v>102</v>
      </c>
      <c r="K200" s="10">
        <f>'data 2022-23'!E551</f>
        <v>2232.9699999999998</v>
      </c>
      <c r="L200" s="208" t="s">
        <v>2437</v>
      </c>
      <c r="M200" s="9">
        <f>ROUND(I200*K200/1,0)</f>
        <v>0</v>
      </c>
      <c r="N200" s="536" t="s">
        <v>2318</v>
      </c>
    </row>
    <row r="201" spans="1:14" ht="54.75" hidden="1" customHeight="1">
      <c r="A201" s="16">
        <v>22</v>
      </c>
      <c r="B201" s="1858" t="s">
        <v>125</v>
      </c>
      <c r="C201" s="1858"/>
      <c r="D201" s="1858"/>
      <c r="E201" s="1858"/>
      <c r="F201" s="1858"/>
      <c r="G201" s="1858"/>
      <c r="H201" s="1858"/>
      <c r="I201" s="537"/>
      <c r="J201" s="538"/>
      <c r="K201" s="16"/>
      <c r="L201" s="208"/>
      <c r="M201" s="38"/>
      <c r="N201" s="536" t="s">
        <v>2318</v>
      </c>
    </row>
    <row r="202" spans="1:14" s="544" customFormat="1" ht="16.5" hidden="1" customHeight="1">
      <c r="A202" s="16"/>
      <c r="B202" s="39" t="s">
        <v>2830</v>
      </c>
      <c r="C202" s="537"/>
      <c r="D202" s="539"/>
      <c r="E202" s="540"/>
      <c r="F202" s="541"/>
      <c r="G202" s="541"/>
      <c r="H202" s="541"/>
      <c r="I202" s="542"/>
      <c r="J202" s="553"/>
      <c r="K202" s="39"/>
      <c r="L202" s="208"/>
      <c r="M202" s="39"/>
      <c r="N202" s="536" t="s">
        <v>2318</v>
      </c>
    </row>
    <row r="203" spans="1:14" s="544" customFormat="1" ht="16.5" hidden="1" customHeight="1">
      <c r="A203" s="16"/>
      <c r="B203" s="39" t="s">
        <v>799</v>
      </c>
      <c r="C203" s="537">
        <v>1</v>
      </c>
      <c r="D203" s="539" t="s">
        <v>273</v>
      </c>
      <c r="E203" s="540">
        <v>1</v>
      </c>
      <c r="F203" s="541">
        <v>8.4499999999999993</v>
      </c>
      <c r="G203" s="541">
        <v>4.92</v>
      </c>
      <c r="H203" s="541">
        <v>0</v>
      </c>
      <c r="I203" s="545">
        <f>ROUND(IF(AND(F203:H203),C203*E203*F203*G203*H203,IF(AND(F203,G203),C203*E203*F203*G203,IF(AND(F203,H203),C203*E203*F203*H203,IF(AND(G203,H203),C203*E203*G203*H203,IF(F203,C203*E203*F203,IF(G203,C203*E203*G203,IF(H203,C203*E203*H203,C203*E203))))))),2)</f>
        <v>41.57</v>
      </c>
      <c r="J203" s="553" t="s">
        <v>102</v>
      </c>
      <c r="K203" s="39"/>
      <c r="L203" s="208"/>
      <c r="M203" s="39"/>
      <c r="N203" s="536" t="s">
        <v>2318</v>
      </c>
    </row>
    <row r="204" spans="1:14" s="544" customFormat="1" ht="16.5" hidden="1" customHeight="1">
      <c r="A204" s="16"/>
      <c r="B204" s="39" t="s">
        <v>650</v>
      </c>
      <c r="C204" s="537">
        <v>1</v>
      </c>
      <c r="D204" s="539" t="s">
        <v>273</v>
      </c>
      <c r="E204" s="540">
        <v>1</v>
      </c>
      <c r="F204" s="541">
        <v>2.74</v>
      </c>
      <c r="G204" s="541">
        <v>3.33</v>
      </c>
      <c r="H204" s="541">
        <v>0</v>
      </c>
      <c r="I204" s="545">
        <f>ROUND(IF(AND(F204:H204),C204*E204*F204*G204*H204,IF(AND(F204,G204),C204*E204*F204*G204,IF(AND(F204,H204),C204*E204*F204*H204,IF(AND(G204,H204),C204*E204*G204*H204,IF(F204,C204*E204*F204,IF(G204,C204*E204*G204,IF(H204,C204*E204*H204,C204*E204))))))),2)</f>
        <v>9.1199999999999992</v>
      </c>
      <c r="J204" s="553" t="s">
        <v>102</v>
      </c>
      <c r="K204" s="39"/>
      <c r="L204" s="208"/>
      <c r="M204" s="39"/>
      <c r="N204" s="536" t="s">
        <v>2318</v>
      </c>
    </row>
    <row r="205" spans="1:14" s="544" customFormat="1" ht="16.5" hidden="1" customHeight="1">
      <c r="A205" s="16"/>
      <c r="B205" s="39" t="s">
        <v>1539</v>
      </c>
      <c r="C205" s="537">
        <v>1</v>
      </c>
      <c r="D205" s="539" t="s">
        <v>273</v>
      </c>
      <c r="E205" s="540">
        <v>1</v>
      </c>
      <c r="F205" s="541">
        <v>2.8</v>
      </c>
      <c r="G205" s="541">
        <v>3.31</v>
      </c>
      <c r="H205" s="541">
        <v>0</v>
      </c>
      <c r="I205" s="545">
        <f>ROUND(IF(AND(F205:H205),C205*E205*F205*G205*H205,IF(AND(F205,G205),C205*E205*F205*G205,IF(AND(F205,H205),C205*E205*F205*H205,IF(AND(G205,H205),C205*E205*G205*H205,IF(F205,C205*E205*F205,IF(G205,C205*E205*G205,IF(H205,C205*E205*H205,C205*E205))))))),2)</f>
        <v>9.27</v>
      </c>
      <c r="J205" s="553" t="s">
        <v>102</v>
      </c>
      <c r="K205" s="39"/>
      <c r="L205" s="208"/>
      <c r="M205" s="39"/>
      <c r="N205" s="536" t="s">
        <v>2318</v>
      </c>
    </row>
    <row r="206" spans="1:14" s="544" customFormat="1" ht="16.5" hidden="1" customHeight="1">
      <c r="A206" s="16"/>
      <c r="B206" s="39" t="s">
        <v>660</v>
      </c>
      <c r="C206" s="537">
        <v>1</v>
      </c>
      <c r="D206" s="539" t="s">
        <v>273</v>
      </c>
      <c r="E206" s="540">
        <v>1</v>
      </c>
      <c r="F206" s="541">
        <v>8.4</v>
      </c>
      <c r="G206" s="541">
        <v>3.36</v>
      </c>
      <c r="H206" s="541">
        <v>0</v>
      </c>
      <c r="I206" s="545">
        <f>ROUND(IF(AND(F206:H206),C206*E206*F206*G206*H206,IF(AND(F206,G206),C206*E206*F206*G206,IF(AND(F206,H206),C206*E206*F206*H206,IF(AND(G206,H206),C206*E206*G206*H206,IF(F206,C206*E206*F206,IF(G206,C206*E206*G206,IF(H206,C206*E206*H206,C206*E206))))))),2)</f>
        <v>28.22</v>
      </c>
      <c r="J206" s="553" t="s">
        <v>102</v>
      </c>
      <c r="K206" s="39"/>
      <c r="L206" s="208"/>
      <c r="M206" s="39"/>
      <c r="N206" s="536" t="s">
        <v>2318</v>
      </c>
    </row>
    <row r="207" spans="1:14" s="544" customFormat="1" ht="16.5" hidden="1" customHeight="1">
      <c r="A207" s="16"/>
      <c r="B207" s="39" t="s">
        <v>2186</v>
      </c>
      <c r="C207" s="537">
        <v>1</v>
      </c>
      <c r="D207" s="539" t="s">
        <v>273</v>
      </c>
      <c r="E207" s="540">
        <v>1</v>
      </c>
      <c r="F207" s="541">
        <v>4.4000000000000004</v>
      </c>
      <c r="G207" s="541">
        <v>0.88</v>
      </c>
      <c r="H207" s="541">
        <v>0</v>
      </c>
      <c r="I207" s="545">
        <f>ROUND(IF(AND(F207:H207),C207*E207*F207*G207*H207,IF(AND(F207,G207),C207*E207*F207*G207,IF(AND(F207,H207),C207*E207*F207*H207,IF(AND(G207,H207),C207*E207*G207*H207,IF(F207,C207*E207*F207,IF(G207,C207*E207*G207,IF(H207,C207*E207*H207,C207*E207))))))),2)</f>
        <v>3.87</v>
      </c>
      <c r="J207" s="553" t="s">
        <v>102</v>
      </c>
      <c r="K207" s="39"/>
      <c r="L207" s="208"/>
      <c r="M207" s="39"/>
      <c r="N207" s="536" t="s">
        <v>2318</v>
      </c>
    </row>
    <row r="208" spans="1:14" s="544" customFormat="1" ht="16.5" hidden="1" customHeight="1">
      <c r="A208" s="16"/>
      <c r="B208" s="547"/>
      <c r="C208" s="548"/>
      <c r="D208" s="549"/>
      <c r="E208" s="550"/>
      <c r="F208" s="551"/>
      <c r="G208" s="551"/>
      <c r="H208" s="551"/>
      <c r="I208" s="552"/>
      <c r="J208" s="553"/>
      <c r="K208" s="39"/>
      <c r="L208" s="208"/>
      <c r="M208" s="39"/>
      <c r="N208" s="536" t="s">
        <v>2318</v>
      </c>
    </row>
    <row r="209" spans="1:14" ht="15.75" hidden="1">
      <c r="A209" s="16"/>
      <c r="B209" s="39"/>
      <c r="C209" s="554"/>
      <c r="D209" s="555"/>
      <c r="E209" s="540"/>
      <c r="F209" s="541"/>
      <c r="G209" s="40"/>
      <c r="H209" s="16"/>
      <c r="I209" s="552"/>
      <c r="J209" s="553" t="s">
        <v>102</v>
      </c>
      <c r="K209" s="10">
        <f>'data 2022-23'!E442</f>
        <v>318.2</v>
      </c>
      <c r="L209" s="208" t="s">
        <v>2437</v>
      </c>
      <c r="M209" s="9">
        <f>ROUND(I209*K209,0)</f>
        <v>0</v>
      </c>
      <c r="N209" s="536" t="s">
        <v>2318</v>
      </c>
    </row>
    <row r="210" spans="1:14" ht="42" hidden="1" customHeight="1">
      <c r="A210" s="16">
        <v>4</v>
      </c>
      <c r="B210" s="1858" t="s">
        <v>126</v>
      </c>
      <c r="C210" s="1858"/>
      <c r="D210" s="1858"/>
      <c r="E210" s="1858"/>
      <c r="F210" s="1858"/>
      <c r="G210" s="1858"/>
      <c r="H210" s="1858"/>
      <c r="I210" s="537"/>
      <c r="J210" s="538"/>
      <c r="K210" s="16"/>
      <c r="L210" s="208"/>
      <c r="M210" s="38"/>
      <c r="N210" s="536" t="s">
        <v>2318</v>
      </c>
    </row>
    <row r="211" spans="1:14" s="544" customFormat="1" ht="16.5" hidden="1" customHeight="1">
      <c r="A211" s="16"/>
      <c r="B211" s="39" t="s">
        <v>2521</v>
      </c>
      <c r="C211" s="566"/>
      <c r="D211" s="567"/>
      <c r="E211" s="568"/>
      <c r="F211" s="569"/>
      <c r="G211" s="569"/>
      <c r="H211" s="570"/>
      <c r="I211" s="571"/>
      <c r="J211" s="553"/>
      <c r="K211" s="39"/>
      <c r="L211" s="16"/>
      <c r="M211" s="39"/>
      <c r="N211" s="536" t="s">
        <v>2318</v>
      </c>
    </row>
    <row r="212" spans="1:14" s="544" customFormat="1" ht="16.5" hidden="1" customHeight="1">
      <c r="A212" s="16"/>
      <c r="B212" s="39" t="s">
        <v>2522</v>
      </c>
      <c r="C212" s="548">
        <v>1</v>
      </c>
      <c r="D212" s="549" t="s">
        <v>273</v>
      </c>
      <c r="E212" s="550">
        <v>2</v>
      </c>
      <c r="F212" s="551">
        <v>1.85</v>
      </c>
      <c r="G212" s="551">
        <v>0.3</v>
      </c>
      <c r="H212" s="551">
        <v>0</v>
      </c>
      <c r="I212" s="552">
        <f t="shared" ref="I212:I217" si="1">ROUND(IF(AND(F212:H212),C212*E212*F212*G212*H212,IF(AND(F212,G212),C212*E212*F212*G212,IF(AND(F212,H212),C212*E212*F212*H212,IF(AND(G212,H212),C212*E212*G212*H212,IF(F212,C212*E212*F212,IF(G212,C212*E212*G212,IF(H212,C212*E212*H212,C212*E212))))))),2)</f>
        <v>1.1100000000000001</v>
      </c>
      <c r="J212" s="553" t="s">
        <v>102</v>
      </c>
      <c r="K212" s="39"/>
      <c r="L212" s="16"/>
      <c r="M212" s="39"/>
      <c r="N212" s="536" t="s">
        <v>2318</v>
      </c>
    </row>
    <row r="213" spans="1:14" s="544" customFormat="1" ht="16.5" hidden="1" customHeight="1">
      <c r="A213" s="16"/>
      <c r="B213" s="39" t="s">
        <v>2523</v>
      </c>
      <c r="C213" s="548">
        <v>1</v>
      </c>
      <c r="D213" s="549" t="s">
        <v>273</v>
      </c>
      <c r="E213" s="550">
        <v>3</v>
      </c>
      <c r="F213" s="551">
        <v>1.85</v>
      </c>
      <c r="G213" s="551">
        <v>0</v>
      </c>
      <c r="H213" s="551">
        <v>0.2</v>
      </c>
      <c r="I213" s="552">
        <f t="shared" si="1"/>
        <v>1.1100000000000001</v>
      </c>
      <c r="J213" s="553" t="s">
        <v>102</v>
      </c>
      <c r="K213" s="39"/>
      <c r="L213" s="16"/>
      <c r="M213" s="39"/>
      <c r="N213" s="536" t="s">
        <v>2318</v>
      </c>
    </row>
    <row r="214" spans="1:14" s="544" customFormat="1" ht="16.5" hidden="1" customHeight="1">
      <c r="A214" s="16"/>
      <c r="B214" s="39" t="s">
        <v>2524</v>
      </c>
      <c r="C214" s="548">
        <v>1</v>
      </c>
      <c r="D214" s="549" t="s">
        <v>273</v>
      </c>
      <c r="E214" s="550">
        <v>2</v>
      </c>
      <c r="F214" s="551">
        <v>0.97</v>
      </c>
      <c r="G214" s="551">
        <v>0</v>
      </c>
      <c r="H214" s="551">
        <v>0.65</v>
      </c>
      <c r="I214" s="552">
        <f t="shared" si="1"/>
        <v>1.26</v>
      </c>
      <c r="J214" s="553" t="s">
        <v>102</v>
      </c>
      <c r="K214" s="39"/>
      <c r="L214" s="16"/>
      <c r="M214" s="39"/>
      <c r="N214" s="536" t="s">
        <v>2318</v>
      </c>
    </row>
    <row r="215" spans="1:14" s="544" customFormat="1" ht="16.5" hidden="1" customHeight="1">
      <c r="A215" s="16"/>
      <c r="B215" s="39"/>
      <c r="C215" s="548">
        <v>1</v>
      </c>
      <c r="D215" s="549" t="s">
        <v>273</v>
      </c>
      <c r="E215" s="550">
        <v>1</v>
      </c>
      <c r="F215" s="551">
        <v>0.54</v>
      </c>
      <c r="G215" s="551">
        <v>0</v>
      </c>
      <c r="H215" s="551">
        <v>0.65</v>
      </c>
      <c r="I215" s="552">
        <f t="shared" si="1"/>
        <v>0.35</v>
      </c>
      <c r="J215" s="553" t="s">
        <v>102</v>
      </c>
      <c r="K215" s="39"/>
      <c r="L215" s="16"/>
      <c r="M215" s="39"/>
      <c r="N215" s="536" t="s">
        <v>2318</v>
      </c>
    </row>
    <row r="216" spans="1:14" s="544" customFormat="1" ht="16.5" hidden="1" customHeight="1">
      <c r="A216" s="16"/>
      <c r="B216" s="39" t="s">
        <v>2525</v>
      </c>
      <c r="C216" s="548">
        <v>1</v>
      </c>
      <c r="D216" s="549" t="s">
        <v>273</v>
      </c>
      <c r="E216" s="550">
        <v>2</v>
      </c>
      <c r="F216" s="551">
        <v>0.95</v>
      </c>
      <c r="G216" s="551">
        <v>0</v>
      </c>
      <c r="H216" s="551">
        <v>0.65</v>
      </c>
      <c r="I216" s="552">
        <f t="shared" si="1"/>
        <v>1.24</v>
      </c>
      <c r="J216" s="553" t="s">
        <v>102</v>
      </c>
      <c r="K216" s="39"/>
      <c r="L216" s="16"/>
      <c r="M216" s="39"/>
      <c r="N216" s="536" t="s">
        <v>2318</v>
      </c>
    </row>
    <row r="217" spans="1:14" s="544" customFormat="1" ht="16.5" hidden="1" customHeight="1">
      <c r="A217" s="16"/>
      <c r="B217" s="39"/>
      <c r="C217" s="548">
        <v>1</v>
      </c>
      <c r="D217" s="549" t="s">
        <v>273</v>
      </c>
      <c r="E217" s="550">
        <v>1</v>
      </c>
      <c r="F217" s="551">
        <v>0.54</v>
      </c>
      <c r="G217" s="551">
        <v>0</v>
      </c>
      <c r="H217" s="551">
        <v>0.65</v>
      </c>
      <c r="I217" s="552">
        <f t="shared" si="1"/>
        <v>0.35</v>
      </c>
      <c r="J217" s="553" t="s">
        <v>102</v>
      </c>
      <c r="K217" s="39"/>
      <c r="L217" s="16"/>
      <c r="M217" s="39"/>
      <c r="N217" s="536" t="s">
        <v>2318</v>
      </c>
    </row>
    <row r="218" spans="1:14" s="544" customFormat="1" ht="16.5" hidden="1" customHeight="1">
      <c r="A218" s="16"/>
      <c r="B218" s="39"/>
      <c r="C218" s="548"/>
      <c r="D218" s="549"/>
      <c r="E218" s="550"/>
      <c r="F218" s="551"/>
      <c r="G218" s="551"/>
      <c r="H218" s="551"/>
      <c r="I218" s="552"/>
      <c r="J218" s="553"/>
      <c r="K218" s="39"/>
      <c r="L218" s="208"/>
      <c r="M218" s="39"/>
      <c r="N218" s="536" t="s">
        <v>2318</v>
      </c>
    </row>
    <row r="219" spans="1:14" ht="15.75" hidden="1">
      <c r="A219" s="16"/>
      <c r="B219" s="39"/>
      <c r="C219" s="554"/>
      <c r="D219" s="555"/>
      <c r="E219" s="540"/>
      <c r="F219" s="541"/>
      <c r="G219" s="40"/>
      <c r="H219" s="16"/>
      <c r="I219" s="552"/>
      <c r="J219" s="553" t="s">
        <v>102</v>
      </c>
      <c r="K219" s="10">
        <f>'data 2022-23'!E458</f>
        <v>294.70999999999998</v>
      </c>
      <c r="L219" s="208" t="s">
        <v>2437</v>
      </c>
      <c r="M219" s="9">
        <f>ROUND(I219*K219,0)</f>
        <v>0</v>
      </c>
      <c r="N219" s="536" t="s">
        <v>2318</v>
      </c>
    </row>
    <row r="220" spans="1:14" ht="52.5" hidden="1" customHeight="1">
      <c r="A220" s="16">
        <v>22</v>
      </c>
      <c r="B220" s="1858" t="s">
        <v>593</v>
      </c>
      <c r="C220" s="1858"/>
      <c r="D220" s="1858"/>
      <c r="E220" s="1858"/>
      <c r="F220" s="1858"/>
      <c r="G220" s="1858"/>
      <c r="H220" s="1858"/>
      <c r="I220" s="537"/>
      <c r="J220" s="538"/>
      <c r="K220" s="16"/>
      <c r="L220" s="208"/>
      <c r="M220" s="38"/>
      <c r="N220" s="536" t="s">
        <v>2318</v>
      </c>
    </row>
    <row r="221" spans="1:14" s="544" customFormat="1" ht="16.5" hidden="1" customHeight="1">
      <c r="A221" s="16"/>
      <c r="B221" s="39" t="s">
        <v>2858</v>
      </c>
      <c r="C221" s="566"/>
      <c r="D221" s="567"/>
      <c r="E221" s="568"/>
      <c r="F221" s="569"/>
      <c r="G221" s="569"/>
      <c r="H221" s="570"/>
      <c r="I221" s="571"/>
      <c r="J221" s="553"/>
      <c r="K221" s="39"/>
      <c r="L221" s="208"/>
      <c r="M221" s="39"/>
      <c r="N221" s="536" t="s">
        <v>2318</v>
      </c>
    </row>
    <row r="222" spans="1:14" s="544" customFormat="1" ht="15.75" hidden="1">
      <c r="A222" s="16"/>
      <c r="B222" s="39" t="s">
        <v>1540</v>
      </c>
      <c r="C222" s="537">
        <v>1</v>
      </c>
      <c r="D222" s="539" t="s">
        <v>273</v>
      </c>
      <c r="E222" s="540">
        <v>1</v>
      </c>
      <c r="F222" s="541">
        <v>12.49</v>
      </c>
      <c r="G222" s="541">
        <v>0</v>
      </c>
      <c r="H222" s="541">
        <v>3.93</v>
      </c>
      <c r="I222" s="545">
        <f>ROUND(IF(AND(F222:H222),C222*E222*F222*G222*H222,IF(AND(F222,G222),C222*E222*F222*G222,IF(AND(F222,H222),C222*E222*F222*H222,IF(AND(G222,H222),C222*E222*G222*H222,IF(F222,C222*E222*F222,IF(G222,C222*E222*G222,IF(H222,C222*E222*H222,C222*E222))))))),2)</f>
        <v>49.09</v>
      </c>
      <c r="J222" s="553" t="s">
        <v>102</v>
      </c>
      <c r="K222" s="39"/>
      <c r="L222" s="208"/>
      <c r="M222" s="39"/>
      <c r="N222" s="536" t="s">
        <v>2318</v>
      </c>
    </row>
    <row r="223" spans="1:14" s="544" customFormat="1" ht="15.75" hidden="1">
      <c r="A223" s="16"/>
      <c r="B223" s="39" t="s">
        <v>581</v>
      </c>
      <c r="C223" s="537">
        <v>1</v>
      </c>
      <c r="D223" s="539" t="s">
        <v>273</v>
      </c>
      <c r="E223" s="540">
        <v>8</v>
      </c>
      <c r="F223" s="541">
        <v>0.6</v>
      </c>
      <c r="G223" s="541">
        <v>0</v>
      </c>
      <c r="H223" s="541">
        <v>0.45</v>
      </c>
      <c r="I223" s="545">
        <f>-ROUND(IF(AND(F223:H223),C223*E223*F223*G223*H223,IF(AND(F223,G223),C223*E223*F223*G223,IF(AND(F223,H223),C223*E223*F223*H223,IF(AND(G223,H223),C223*E223*G223*H223,IF(F223,C223*E223*F223,IF(G223,C223*E223*G223,IF(H223,C223*E223*H223,C223*E223))))))),2)</f>
        <v>-2.16</v>
      </c>
      <c r="J223" s="553" t="s">
        <v>102</v>
      </c>
      <c r="K223" s="39"/>
      <c r="L223" s="208"/>
      <c r="M223" s="39"/>
      <c r="N223" s="536" t="s">
        <v>2318</v>
      </c>
    </row>
    <row r="224" spans="1:14" s="544" customFormat="1" ht="15.75" hidden="1">
      <c r="A224" s="16"/>
      <c r="B224" s="39" t="s">
        <v>2189</v>
      </c>
      <c r="C224" s="537">
        <v>1</v>
      </c>
      <c r="D224" s="539" t="s">
        <v>273</v>
      </c>
      <c r="E224" s="540">
        <v>1</v>
      </c>
      <c r="F224" s="541">
        <v>1.2</v>
      </c>
      <c r="G224" s="541">
        <v>0</v>
      </c>
      <c r="H224" s="541">
        <v>1.2</v>
      </c>
      <c r="I224" s="545">
        <f>-ROUND(IF(AND(F224:H224),C224*E224*F224*G224*H224,IF(AND(F224,G224),C224*E224*F224*G224,IF(AND(F224,H224),C224*E224*F224*H224,IF(AND(G224,H224),C224*E224*G224*H224,IF(F224,C224*E224*F224,IF(G224,C224*E224*G224,IF(H224,C224*E224*H224,C224*E224))))))),2)</f>
        <v>-1.44</v>
      </c>
      <c r="J224" s="553" t="s">
        <v>102</v>
      </c>
      <c r="K224" s="39"/>
      <c r="L224" s="208"/>
      <c r="M224" s="39"/>
      <c r="N224" s="536" t="s">
        <v>2318</v>
      </c>
    </row>
    <row r="225" spans="1:14" s="544" customFormat="1" ht="16.5" hidden="1" customHeight="1">
      <c r="A225" s="16"/>
      <c r="B225" s="547"/>
      <c r="C225" s="548"/>
      <c r="D225" s="549"/>
      <c r="E225" s="550"/>
      <c r="F225" s="551"/>
      <c r="G225" s="551"/>
      <c r="H225" s="551"/>
      <c r="I225" s="552"/>
      <c r="J225" s="553"/>
      <c r="K225" s="39"/>
      <c r="L225" s="208"/>
      <c r="M225" s="39"/>
      <c r="N225" s="536" t="s">
        <v>2318</v>
      </c>
    </row>
    <row r="226" spans="1:14" ht="15.75" hidden="1">
      <c r="A226" s="16"/>
      <c r="B226" s="39"/>
      <c r="C226" s="554"/>
      <c r="D226" s="555"/>
      <c r="E226" s="540"/>
      <c r="F226" s="541"/>
      <c r="G226" s="40"/>
      <c r="H226" s="16"/>
      <c r="I226" s="552"/>
      <c r="J226" s="553" t="s">
        <v>102</v>
      </c>
      <c r="K226" s="10">
        <f>'data 2022-23'!E474</f>
        <v>314.89999999999998</v>
      </c>
      <c r="L226" s="208" t="s">
        <v>2437</v>
      </c>
      <c r="M226" s="9">
        <f>ROUND(I226*K226,0)</f>
        <v>0</v>
      </c>
      <c r="N226" s="536" t="s">
        <v>2318</v>
      </c>
    </row>
    <row r="227" spans="1:14" ht="71.25" hidden="1" customHeight="1">
      <c r="A227" s="16">
        <v>23</v>
      </c>
      <c r="B227" s="1858" t="s">
        <v>808</v>
      </c>
      <c r="C227" s="1858"/>
      <c r="D227" s="1858"/>
      <c r="E227" s="1858"/>
      <c r="F227" s="1858"/>
      <c r="G227" s="1858"/>
      <c r="H227" s="1858"/>
      <c r="I227" s="537"/>
      <c r="J227" s="538"/>
      <c r="K227" s="16"/>
      <c r="L227" s="208"/>
      <c r="M227" s="38"/>
      <c r="N227" s="536" t="s">
        <v>2318</v>
      </c>
    </row>
    <row r="228" spans="1:14" s="544" customFormat="1" ht="16.5" hidden="1" customHeight="1">
      <c r="A228" s="16"/>
      <c r="B228" s="39" t="s">
        <v>2821</v>
      </c>
      <c r="C228" s="537"/>
      <c r="D228" s="539"/>
      <c r="E228" s="540"/>
      <c r="F228" s="541"/>
      <c r="G228" s="541"/>
      <c r="H228" s="541"/>
      <c r="I228" s="542"/>
      <c r="J228" s="553"/>
      <c r="K228" s="39"/>
      <c r="L228" s="208"/>
      <c r="M228" s="39"/>
      <c r="N228" s="536" t="s">
        <v>2318</v>
      </c>
    </row>
    <row r="229" spans="1:14" s="544" customFormat="1" ht="16.5" hidden="1" customHeight="1">
      <c r="A229" s="16"/>
      <c r="B229" s="39" t="s">
        <v>818</v>
      </c>
      <c r="C229" s="537">
        <v>1</v>
      </c>
      <c r="D229" s="539" t="s">
        <v>273</v>
      </c>
      <c r="E229" s="540">
        <v>1</v>
      </c>
      <c r="F229" s="541">
        <v>26.74</v>
      </c>
      <c r="G229" s="541">
        <v>0</v>
      </c>
      <c r="H229" s="541">
        <v>3.25</v>
      </c>
      <c r="I229" s="545">
        <f>ROUND(IF(AND(F229:H229),C229*E229*F229*G229*H229,IF(AND(F229,G229),C229*E229*F229*G229,IF(AND(F229,H229),C229*E229*F229*H229,IF(AND(G229,H229),C229*E229*G229*H229,IF(F229,C229*E229*F229,IF(G229,C229*E229*G229,IF(H229,C229*E229*H229,C229*E229))))))),2)</f>
        <v>86.91</v>
      </c>
      <c r="J229" s="553" t="s">
        <v>102</v>
      </c>
      <c r="K229" s="39"/>
      <c r="L229" s="208"/>
      <c r="M229" s="39"/>
      <c r="N229" s="536" t="s">
        <v>2318</v>
      </c>
    </row>
    <row r="230" spans="1:14" s="544" customFormat="1" ht="16.5" hidden="1" customHeight="1">
      <c r="A230" s="16"/>
      <c r="B230" s="39"/>
      <c r="C230" s="537">
        <v>12</v>
      </c>
      <c r="D230" s="539" t="s">
        <v>273</v>
      </c>
      <c r="E230" s="540">
        <v>0.5</v>
      </c>
      <c r="F230" s="541">
        <v>0.3</v>
      </c>
      <c r="G230" s="541">
        <v>0</v>
      </c>
      <c r="H230" s="541">
        <v>0.15</v>
      </c>
      <c r="I230" s="545">
        <f>-ROUND(IF(AND(F230:H230),C230*E230*F230*G230*H230,IF(AND(F230,G230),C230*E230*F230*G230,IF(AND(F230,H230),C230*E230*F230*H230,IF(AND(G230,H230),C230*E230*G230*H230,IF(F230,C230*E230*F230,IF(G230,C230*E230*G230,IF(H230,C230*E230*H230,C230*E230))))))),2)</f>
        <v>-0.27</v>
      </c>
      <c r="J230" s="553" t="s">
        <v>102</v>
      </c>
      <c r="K230" s="39"/>
      <c r="L230" s="208"/>
      <c r="M230" s="39"/>
      <c r="N230" s="536" t="s">
        <v>2318</v>
      </c>
    </row>
    <row r="231" spans="1:14" s="544" customFormat="1" ht="16.5" hidden="1" customHeight="1">
      <c r="A231" s="16"/>
      <c r="B231" s="39" t="s">
        <v>1240</v>
      </c>
      <c r="C231" s="537">
        <v>1</v>
      </c>
      <c r="D231" s="539" t="s">
        <v>273</v>
      </c>
      <c r="E231" s="540">
        <v>1</v>
      </c>
      <c r="F231" s="541">
        <v>2.65</v>
      </c>
      <c r="G231" s="541">
        <v>0</v>
      </c>
      <c r="H231" s="541">
        <v>2.4</v>
      </c>
      <c r="I231" s="545">
        <f>-ROUND(IF(AND(F231:H231),C231*E231*F231*G231*H231,IF(AND(F231,G231),C231*E231*F231*G231,IF(AND(F231,H231),C231*E231*F231*H231,IF(AND(G231,H231),C231*E231*G231*H231,IF(F231,C231*E231*F231,IF(G231,C231*E231*G231,IF(H231,C231*E231*H231,C231*E231))))))),2)</f>
        <v>-6.36</v>
      </c>
      <c r="J231" s="553" t="s">
        <v>102</v>
      </c>
      <c r="K231" s="39"/>
      <c r="L231" s="208"/>
      <c r="M231" s="39"/>
      <c r="N231" s="536" t="s">
        <v>2318</v>
      </c>
    </row>
    <row r="232" spans="1:14" s="544" customFormat="1" ht="16.5" hidden="1" customHeight="1">
      <c r="A232" s="16"/>
      <c r="B232" s="547"/>
      <c r="C232" s="548"/>
      <c r="D232" s="549"/>
      <c r="E232" s="550"/>
      <c r="F232" s="551"/>
      <c r="G232" s="551"/>
      <c r="H232" s="551"/>
      <c r="I232" s="552"/>
      <c r="J232" s="553"/>
      <c r="K232" s="39"/>
      <c r="L232" s="208"/>
      <c r="M232" s="39"/>
      <c r="N232" s="536" t="s">
        <v>2318</v>
      </c>
    </row>
    <row r="233" spans="1:14" ht="15.75" hidden="1">
      <c r="A233" s="16"/>
      <c r="B233" s="39"/>
      <c r="C233" s="554"/>
      <c r="D233" s="555"/>
      <c r="E233" s="540"/>
      <c r="F233" s="541"/>
      <c r="G233" s="40"/>
      <c r="H233" s="16"/>
      <c r="I233" s="552"/>
      <c r="J233" s="553" t="s">
        <v>102</v>
      </c>
      <c r="K233" s="10">
        <f>'data 2022-23'!E510</f>
        <v>388.21</v>
      </c>
      <c r="L233" s="208" t="s">
        <v>2437</v>
      </c>
      <c r="M233" s="9">
        <f>ROUND(I233*K233,0)</f>
        <v>0</v>
      </c>
      <c r="N233" s="536" t="s">
        <v>2318</v>
      </c>
    </row>
    <row r="234" spans="1:14" s="544" customFormat="1" ht="15.75" hidden="1">
      <c r="A234" s="16"/>
      <c r="B234" s="39"/>
      <c r="C234" s="537">
        <v>1</v>
      </c>
      <c r="D234" s="539" t="s">
        <v>273</v>
      </c>
      <c r="E234" s="540">
        <v>1</v>
      </c>
      <c r="F234" s="541">
        <v>1.32</v>
      </c>
      <c r="G234" s="541">
        <v>0</v>
      </c>
      <c r="H234" s="541">
        <v>0.3</v>
      </c>
      <c r="I234" s="545">
        <f>ROUND(IF(AND(F234:H234),C234*E234*F234*G234*H234,IF(AND(F234,G234),C234*E234*F234*G234,IF(AND(F234,H234),C234*E234*F234*H234,IF(AND(G234,H234),C234*E234*G234*H234,IF(F234,C234*E234*F234,IF(G234,C234*E234*G234,IF(H234,C234*E234*H234,C234*E234))))))),2)</f>
        <v>0.4</v>
      </c>
      <c r="J234" s="553" t="s">
        <v>102</v>
      </c>
      <c r="K234" s="39"/>
      <c r="L234" s="208"/>
      <c r="M234" s="39"/>
      <c r="N234" s="536" t="s">
        <v>2318</v>
      </c>
    </row>
    <row r="235" spans="1:14" s="544" customFormat="1" ht="15.75" hidden="1">
      <c r="A235" s="16"/>
      <c r="B235" s="39"/>
      <c r="C235" s="537">
        <v>1</v>
      </c>
      <c r="D235" s="539" t="s">
        <v>273</v>
      </c>
      <c r="E235" s="540">
        <v>1</v>
      </c>
      <c r="F235" s="541">
        <v>2.1</v>
      </c>
      <c r="G235" s="541">
        <v>0</v>
      </c>
      <c r="H235" s="541">
        <v>0.55000000000000004</v>
      </c>
      <c r="I235" s="545">
        <f>ROUND(IF(AND(F235:H235),C235*E235*F235*G235*H235,IF(AND(F235,G235),C235*E235*F235*G235,IF(AND(F235,H235),C235*E235*F235*H235,IF(AND(G235,H235),C235*E235*G235*H235,IF(F235,C235*E235*F235,IF(G235,C235*E235*G235,IF(H235,C235*E235*H235,C235*E235))))))),2)</f>
        <v>1.1599999999999999</v>
      </c>
      <c r="J235" s="553" t="s">
        <v>102</v>
      </c>
      <c r="K235" s="39"/>
      <c r="L235" s="208"/>
      <c r="M235" s="39"/>
      <c r="N235" s="536" t="s">
        <v>2318</v>
      </c>
    </row>
    <row r="236" spans="1:14" s="544" customFormat="1" ht="15.75" hidden="1">
      <c r="A236" s="16"/>
      <c r="B236" s="39"/>
      <c r="C236" s="537">
        <v>1</v>
      </c>
      <c r="D236" s="539" t="s">
        <v>273</v>
      </c>
      <c r="E236" s="540">
        <v>1</v>
      </c>
      <c r="F236" s="541">
        <v>1.32</v>
      </c>
      <c r="G236" s="541">
        <v>0</v>
      </c>
      <c r="H236" s="541">
        <v>0.4</v>
      </c>
      <c r="I236" s="545">
        <f>ROUND(IF(AND(F236:H236),C236*E236*F236*G236*H236,IF(AND(F236,G236),C236*E236*F236*G236,IF(AND(F236,H236),C236*E236*F236*H236,IF(AND(G236,H236),C236*E236*G236*H236,IF(F236,C236*E236*F236,IF(G236,C236*E236*G236,IF(H236,C236*E236*H236,C236*E236))))))),2)</f>
        <v>0.53</v>
      </c>
      <c r="J236" s="553" t="s">
        <v>102</v>
      </c>
      <c r="K236" s="39"/>
      <c r="L236" s="208"/>
      <c r="M236" s="39"/>
      <c r="N236" s="536" t="s">
        <v>2318</v>
      </c>
    </row>
    <row r="237" spans="1:14" s="544" customFormat="1" ht="15.75" hidden="1">
      <c r="A237" s="16"/>
      <c r="B237" s="39" t="s">
        <v>2377</v>
      </c>
      <c r="C237" s="537">
        <v>1</v>
      </c>
      <c r="D237" s="539" t="s">
        <v>273</v>
      </c>
      <c r="E237" s="540">
        <v>1</v>
      </c>
      <c r="F237" s="541">
        <v>1.5</v>
      </c>
      <c r="G237" s="541">
        <v>0</v>
      </c>
      <c r="H237" s="541">
        <v>0.5</v>
      </c>
      <c r="I237" s="545">
        <f t="shared" ref="I237:I242" si="2">-ROUND(IF(AND(F237:H237),C237*E237*F237*G237*H237,IF(AND(F237,G237),C237*E237*F237*G237,IF(AND(F237,H237),C237*E237*F237*H237,IF(AND(G237,H237),C237*E237*G237*H237,IF(F237,C237*E237*F237,IF(G237,C237*E237*G237,IF(H237,C237*E237*H237,C237*E237))))))),2)</f>
        <v>-0.75</v>
      </c>
      <c r="J237" s="553" t="s">
        <v>102</v>
      </c>
      <c r="K237" s="39"/>
      <c r="L237" s="208"/>
      <c r="M237" s="39"/>
      <c r="N237" s="536" t="s">
        <v>2318</v>
      </c>
    </row>
    <row r="238" spans="1:14" s="544" customFormat="1" ht="15.75" hidden="1">
      <c r="A238" s="16"/>
      <c r="B238" s="39" t="s">
        <v>2377</v>
      </c>
      <c r="C238" s="537">
        <v>1</v>
      </c>
      <c r="D238" s="539" t="s">
        <v>273</v>
      </c>
      <c r="E238" s="540">
        <v>1</v>
      </c>
      <c r="F238" s="541">
        <v>1.28</v>
      </c>
      <c r="G238" s="541">
        <v>0</v>
      </c>
      <c r="H238" s="541">
        <v>0.5</v>
      </c>
      <c r="I238" s="545">
        <f t="shared" si="2"/>
        <v>-0.64</v>
      </c>
      <c r="J238" s="553" t="s">
        <v>102</v>
      </c>
      <c r="K238" s="39"/>
      <c r="L238" s="208"/>
      <c r="M238" s="39"/>
      <c r="N238" s="536" t="s">
        <v>2318</v>
      </c>
    </row>
    <row r="239" spans="1:14" s="544" customFormat="1" ht="15.75" hidden="1">
      <c r="A239" s="16"/>
      <c r="B239" s="39" t="s">
        <v>579</v>
      </c>
      <c r="C239" s="537">
        <v>1</v>
      </c>
      <c r="D239" s="539" t="s">
        <v>273</v>
      </c>
      <c r="E239" s="540">
        <v>1</v>
      </c>
      <c r="F239" s="541">
        <v>1.26</v>
      </c>
      <c r="G239" s="541">
        <v>0</v>
      </c>
      <c r="H239" s="541">
        <v>2.13</v>
      </c>
      <c r="I239" s="545">
        <f t="shared" si="2"/>
        <v>-2.68</v>
      </c>
      <c r="J239" s="553" t="s">
        <v>102</v>
      </c>
      <c r="K239" s="39"/>
      <c r="L239" s="208"/>
      <c r="M239" s="39"/>
      <c r="N239" s="536" t="s">
        <v>2318</v>
      </c>
    </row>
    <row r="240" spans="1:14" s="544" customFormat="1" ht="15.75" hidden="1">
      <c r="A240" s="16"/>
      <c r="B240" s="39" t="s">
        <v>579</v>
      </c>
      <c r="C240" s="537">
        <v>1</v>
      </c>
      <c r="D240" s="539" t="s">
        <v>273</v>
      </c>
      <c r="E240" s="540">
        <v>1</v>
      </c>
      <c r="F240" s="541">
        <v>0.96</v>
      </c>
      <c r="G240" s="541">
        <v>0</v>
      </c>
      <c r="H240" s="541">
        <v>2.1</v>
      </c>
      <c r="I240" s="545">
        <f t="shared" si="2"/>
        <v>-2.02</v>
      </c>
      <c r="J240" s="553" t="s">
        <v>102</v>
      </c>
      <c r="K240" s="39"/>
      <c r="L240" s="208"/>
      <c r="M240" s="39"/>
      <c r="N240" s="536" t="s">
        <v>2318</v>
      </c>
    </row>
    <row r="241" spans="1:14" s="544" customFormat="1" ht="15.75" hidden="1">
      <c r="A241" s="16"/>
      <c r="B241" s="39" t="s">
        <v>579</v>
      </c>
      <c r="C241" s="537">
        <v>1</v>
      </c>
      <c r="D241" s="539" t="s">
        <v>273</v>
      </c>
      <c r="E241" s="540">
        <v>1</v>
      </c>
      <c r="F241" s="541">
        <v>0.83</v>
      </c>
      <c r="G241" s="541">
        <v>0</v>
      </c>
      <c r="H241" s="541">
        <v>2.13</v>
      </c>
      <c r="I241" s="545">
        <f t="shared" si="2"/>
        <v>-1.77</v>
      </c>
      <c r="J241" s="553" t="s">
        <v>102</v>
      </c>
      <c r="K241" s="39"/>
      <c r="L241" s="208"/>
      <c r="M241" s="39"/>
      <c r="N241" s="536" t="s">
        <v>2318</v>
      </c>
    </row>
    <row r="242" spans="1:14" s="544" customFormat="1" ht="15.75" hidden="1">
      <c r="A242" s="16"/>
      <c r="B242" s="39" t="s">
        <v>2378</v>
      </c>
      <c r="C242" s="537">
        <v>1</v>
      </c>
      <c r="D242" s="539" t="s">
        <v>273</v>
      </c>
      <c r="E242" s="540">
        <v>8</v>
      </c>
      <c r="F242" s="541">
        <v>1.2</v>
      </c>
      <c r="G242" s="541">
        <v>0</v>
      </c>
      <c r="H242" s="541">
        <v>1.2</v>
      </c>
      <c r="I242" s="545">
        <f t="shared" si="2"/>
        <v>-11.52</v>
      </c>
      <c r="J242" s="553" t="s">
        <v>102</v>
      </c>
      <c r="K242" s="39"/>
      <c r="L242" s="208"/>
      <c r="M242" s="39"/>
      <c r="N242" s="536" t="s">
        <v>2318</v>
      </c>
    </row>
    <row r="243" spans="1:14" ht="71.25" hidden="1" customHeight="1">
      <c r="A243" s="16">
        <v>24</v>
      </c>
      <c r="B243" s="1858" t="s">
        <v>316</v>
      </c>
      <c r="C243" s="1858"/>
      <c r="D243" s="1858"/>
      <c r="E243" s="1858"/>
      <c r="F243" s="1858"/>
      <c r="G243" s="1858"/>
      <c r="H243" s="1858"/>
      <c r="I243" s="537"/>
      <c r="J243" s="538"/>
      <c r="K243" s="16"/>
      <c r="L243" s="208"/>
      <c r="M243" s="38"/>
      <c r="N243" s="536" t="s">
        <v>2318</v>
      </c>
    </row>
    <row r="244" spans="1:14" s="544" customFormat="1" ht="15.75" hidden="1">
      <c r="A244" s="16"/>
      <c r="B244" s="39" t="s">
        <v>2821</v>
      </c>
      <c r="C244" s="537"/>
      <c r="D244" s="539"/>
      <c r="E244" s="540"/>
      <c r="F244" s="541"/>
      <c r="G244" s="541"/>
      <c r="H244" s="541"/>
      <c r="I244" s="542"/>
      <c r="J244" s="553"/>
      <c r="K244" s="39"/>
      <c r="L244" s="208"/>
      <c r="M244" s="39"/>
      <c r="N244" s="536" t="s">
        <v>2318</v>
      </c>
    </row>
    <row r="245" spans="1:14" s="544" customFormat="1" ht="15.75" hidden="1">
      <c r="A245" s="16"/>
      <c r="B245" s="39" t="s">
        <v>1540</v>
      </c>
      <c r="C245" s="537">
        <v>1</v>
      </c>
      <c r="D245" s="539" t="s">
        <v>273</v>
      </c>
      <c r="E245" s="540">
        <v>1</v>
      </c>
      <c r="F245" s="541">
        <v>12.48</v>
      </c>
      <c r="G245" s="541">
        <v>0</v>
      </c>
      <c r="H245" s="541">
        <v>3.3</v>
      </c>
      <c r="I245" s="545">
        <f>ROUND(IF(AND(F245:H245),C245*E245*F245*G245*H245,IF(AND(F245,G245),C245*E245*F245*G245,IF(AND(F245,H245),C245*E245*F245*H245,IF(AND(G245,H245),C245*E245*G245*H245,IF(F245,C245*E245*F245,IF(G245,C245*E245*G245,IF(H245,C245*E245*H245,C245*E245))))))),2)</f>
        <v>41.18</v>
      </c>
      <c r="J245" s="553" t="s">
        <v>102</v>
      </c>
      <c r="K245" s="39"/>
      <c r="L245" s="208"/>
      <c r="M245" s="39"/>
      <c r="N245" s="536" t="s">
        <v>2318</v>
      </c>
    </row>
    <row r="246" spans="1:14" s="544" customFormat="1" ht="15.75" hidden="1">
      <c r="A246" s="16"/>
      <c r="B246" s="39" t="s">
        <v>1534</v>
      </c>
      <c r="C246" s="537">
        <v>1</v>
      </c>
      <c r="D246" s="539" t="s">
        <v>273</v>
      </c>
      <c r="E246" s="540">
        <v>1</v>
      </c>
      <c r="F246" s="541">
        <v>1.59</v>
      </c>
      <c r="G246" s="541">
        <v>0</v>
      </c>
      <c r="H246" s="541">
        <v>1.35</v>
      </c>
      <c r="I246" s="545">
        <f>-ROUND(IF(AND(F246:H246),C246*E246*F246*G246*H246,IF(AND(F246,G246),C246*E246*F246*G246,IF(AND(F246,H246),C246*E246*F246*H246,IF(AND(G246,H246),C246*E246*G246*H246,IF(F246,C246*E246*F246,IF(G246,C246*E246*G246,IF(H246,C246*E246*H246,C246*E246))))))),2)</f>
        <v>-2.15</v>
      </c>
      <c r="J246" s="553" t="s">
        <v>102</v>
      </c>
      <c r="K246" s="39"/>
      <c r="L246" s="208"/>
      <c r="M246" s="39"/>
      <c r="N246" s="536" t="s">
        <v>2318</v>
      </c>
    </row>
    <row r="247" spans="1:14" s="544" customFormat="1" ht="15.75" hidden="1">
      <c r="A247" s="16"/>
      <c r="B247" s="39" t="s">
        <v>798</v>
      </c>
      <c r="C247" s="537">
        <v>1</v>
      </c>
      <c r="D247" s="539" t="s">
        <v>273</v>
      </c>
      <c r="E247" s="540">
        <v>10</v>
      </c>
      <c r="F247" s="541">
        <v>0.6</v>
      </c>
      <c r="G247" s="541">
        <v>0</v>
      </c>
      <c r="H247" s="541">
        <v>0.3</v>
      </c>
      <c r="I247" s="545">
        <f>-ROUND(IF(AND(F247:H247),C247*E247*F247*G247*H247,IF(AND(F247,G247),C247*E247*F247*G247,IF(AND(F247,H247),C247*E247*F247*H247,IF(AND(G247,H247),C247*E247*G247*H247,IF(F247,C247*E247*F247,IF(G247,C247*E247*G247,IF(H247,C247*E247*H247,C247*E247))))))),2)</f>
        <v>-1.8</v>
      </c>
      <c r="J247" s="553" t="s">
        <v>102</v>
      </c>
      <c r="K247" s="39"/>
      <c r="L247" s="208"/>
      <c r="M247" s="39"/>
      <c r="N247" s="536" t="s">
        <v>2318</v>
      </c>
    </row>
    <row r="248" spans="1:14" s="544" customFormat="1" ht="15.75" hidden="1">
      <c r="A248" s="16"/>
      <c r="B248" s="547"/>
      <c r="C248" s="548"/>
      <c r="D248" s="549"/>
      <c r="E248" s="550"/>
      <c r="F248" s="551"/>
      <c r="G248" s="551"/>
      <c r="H248" s="551"/>
      <c r="I248" s="552"/>
      <c r="J248" s="553"/>
      <c r="K248" s="39"/>
      <c r="L248" s="208"/>
      <c r="M248" s="39"/>
      <c r="N248" s="536" t="s">
        <v>2318</v>
      </c>
    </row>
    <row r="249" spans="1:14" ht="15.75" hidden="1">
      <c r="A249" s="16"/>
      <c r="B249" s="39"/>
      <c r="C249" s="554"/>
      <c r="D249" s="555"/>
      <c r="E249" s="540"/>
      <c r="F249" s="541"/>
      <c r="G249" s="40"/>
      <c r="H249" s="16"/>
      <c r="I249" s="552"/>
      <c r="J249" s="553" t="s">
        <v>102</v>
      </c>
      <c r="K249" s="10">
        <f>'data 2022-23'!E530</f>
        <v>404.02</v>
      </c>
      <c r="L249" s="208" t="s">
        <v>2437</v>
      </c>
      <c r="M249" s="9">
        <f>ROUND(I249*K249,0)</f>
        <v>0</v>
      </c>
      <c r="N249" s="536" t="s">
        <v>2318</v>
      </c>
    </row>
    <row r="250" spans="1:14" ht="92.25" hidden="1" customHeight="1">
      <c r="A250" s="16">
        <v>20</v>
      </c>
      <c r="B250" s="1858" t="s">
        <v>1437</v>
      </c>
      <c r="C250" s="1858"/>
      <c r="D250" s="1858"/>
      <c r="E250" s="1858"/>
      <c r="F250" s="1858"/>
      <c r="G250" s="1858"/>
      <c r="H250" s="1858"/>
      <c r="I250" s="537"/>
      <c r="J250" s="538"/>
      <c r="K250" s="16"/>
      <c r="L250" s="208"/>
      <c r="M250" s="38"/>
      <c r="N250" s="536" t="s">
        <v>2318</v>
      </c>
    </row>
    <row r="251" spans="1:14" s="544" customFormat="1" ht="16.5" hidden="1" customHeight="1">
      <c r="A251" s="16"/>
      <c r="B251" s="39" t="s">
        <v>2860</v>
      </c>
      <c r="C251" s="566"/>
      <c r="D251" s="567"/>
      <c r="E251" s="568"/>
      <c r="F251" s="569"/>
      <c r="G251" s="569"/>
      <c r="H251" s="570"/>
      <c r="I251" s="571"/>
      <c r="J251" s="553"/>
      <c r="K251" s="39"/>
      <c r="L251" s="208"/>
      <c r="M251" s="39"/>
      <c r="N251" s="536" t="s">
        <v>2318</v>
      </c>
    </row>
    <row r="252" spans="1:14" s="544" customFormat="1" ht="16.5" hidden="1" customHeight="1">
      <c r="A252" s="16"/>
      <c r="B252" s="547" t="s">
        <v>1620</v>
      </c>
      <c r="C252" s="548">
        <v>10</v>
      </c>
      <c r="D252" s="549" t="s">
        <v>273</v>
      </c>
      <c r="E252" s="581">
        <v>0.5</v>
      </c>
      <c r="F252" s="551">
        <v>1.2</v>
      </c>
      <c r="G252" s="551">
        <v>0.17</v>
      </c>
      <c r="H252" s="551">
        <v>0.12</v>
      </c>
      <c r="I252" s="552">
        <f>ROUND(IF(AND(F252:H252),C252*E252*F252*G252*H252,IF(AND(F252,G252),C252*E252*F252*G252,IF(AND(F252,H252),C252*E252*F252*H252,IF(AND(G252,H252),C252*E252*G252*H252,IF(F252,C252*E252*F252,IF(G252,C252*E252*G252,IF(H252,C252*E252*H252,C252*E252))))))),2)</f>
        <v>0.12</v>
      </c>
      <c r="J252" s="553" t="s">
        <v>5</v>
      </c>
      <c r="K252" s="39"/>
      <c r="L252" s="208"/>
      <c r="M252" s="39"/>
      <c r="N252" s="536" t="s">
        <v>2318</v>
      </c>
    </row>
    <row r="253" spans="1:14" s="544" customFormat="1" ht="16.5" hidden="1" customHeight="1">
      <c r="A253" s="16"/>
      <c r="B253" s="547"/>
      <c r="C253" s="548">
        <v>1</v>
      </c>
      <c r="D253" s="549" t="s">
        <v>273</v>
      </c>
      <c r="E253" s="550">
        <v>1</v>
      </c>
      <c r="F253" s="551">
        <v>1.2</v>
      </c>
      <c r="G253" s="551">
        <v>0.37</v>
      </c>
      <c r="H253" s="551">
        <v>0.12</v>
      </c>
      <c r="I253" s="552">
        <f>ROUND(IF(AND(F253:H253),C253*E253*F253*G253*H253,IF(AND(F253,G253),C253*E253*F253*G253,IF(AND(F253,H253),C253*E253*F253*H253,IF(AND(G253,H253),C253*E253*G253*H253,IF(F253,C253*E253*F253,IF(G253,C253*E253*G253,IF(H253,C253*E253*H253,C253*E253))))))),2)</f>
        <v>0.05</v>
      </c>
      <c r="J253" s="553" t="s">
        <v>5</v>
      </c>
      <c r="K253" s="39"/>
      <c r="L253" s="208"/>
      <c r="M253" s="39"/>
      <c r="N253" s="536" t="s">
        <v>2318</v>
      </c>
    </row>
    <row r="254" spans="1:14" s="544" customFormat="1" ht="16.5" hidden="1" customHeight="1">
      <c r="A254" s="16"/>
      <c r="B254" s="547" t="s">
        <v>1621</v>
      </c>
      <c r="C254" s="548">
        <v>11</v>
      </c>
      <c r="D254" s="549" t="s">
        <v>273</v>
      </c>
      <c r="E254" s="581">
        <v>0.5</v>
      </c>
      <c r="F254" s="551">
        <v>1.2</v>
      </c>
      <c r="G254" s="551">
        <v>0.17</v>
      </c>
      <c r="H254" s="551">
        <v>0.12</v>
      </c>
      <c r="I254" s="552">
        <f>ROUND(IF(AND(F254:H254),C254*E254*F254*G254*H254,IF(AND(F254,G254),C254*E254*F254*G254,IF(AND(F254,H254),C254*E254*F254*H254,IF(AND(G254,H254),C254*E254*G254*H254,IF(F254,C254*E254*F254,IF(G254,C254*E254*G254,IF(H254,C254*E254*H254,C254*E254))))))),2)</f>
        <v>0.13</v>
      </c>
      <c r="J254" s="553" t="s">
        <v>5</v>
      </c>
      <c r="K254" s="39"/>
      <c r="L254" s="208"/>
      <c r="M254" s="39"/>
      <c r="N254" s="536" t="s">
        <v>2318</v>
      </c>
    </row>
    <row r="255" spans="1:14" s="544" customFormat="1" ht="16.5" hidden="1" customHeight="1">
      <c r="A255" s="16"/>
      <c r="B255" s="547"/>
      <c r="C255" s="548"/>
      <c r="D255" s="549"/>
      <c r="E255" s="581"/>
      <c r="F255" s="551"/>
      <c r="G255" s="551"/>
      <c r="H255" s="551"/>
      <c r="I255" s="552"/>
      <c r="J255" s="553"/>
      <c r="K255" s="39"/>
      <c r="L255" s="208"/>
      <c r="M255" s="39"/>
      <c r="N255" s="536" t="s">
        <v>2318</v>
      </c>
    </row>
    <row r="256" spans="1:14" ht="15.75" hidden="1">
      <c r="A256" s="16"/>
      <c r="B256" s="39"/>
      <c r="C256" s="554"/>
      <c r="D256" s="555"/>
      <c r="E256" s="540"/>
      <c r="F256" s="541"/>
      <c r="G256" s="40"/>
      <c r="H256" s="16"/>
      <c r="I256" s="552"/>
      <c r="J256" s="553" t="s">
        <v>5</v>
      </c>
      <c r="K256" s="10">
        <f>'data 2022-23'!E269</f>
        <v>5601.67</v>
      </c>
      <c r="L256" s="208" t="s">
        <v>274</v>
      </c>
      <c r="M256" s="9">
        <f>ROUND(I256*K256,0)</f>
        <v>0</v>
      </c>
      <c r="N256" s="536" t="s">
        <v>2318</v>
      </c>
    </row>
    <row r="257" spans="1:14" ht="106.5" hidden="1" customHeight="1">
      <c r="A257" s="16">
        <v>5</v>
      </c>
      <c r="B257" s="1858" t="s">
        <v>212</v>
      </c>
      <c r="C257" s="1858"/>
      <c r="D257" s="1858"/>
      <c r="E257" s="1858"/>
      <c r="F257" s="1858"/>
      <c r="G257" s="1858"/>
      <c r="H257" s="1858"/>
      <c r="I257" s="537"/>
      <c r="J257" s="538"/>
      <c r="K257" s="16"/>
      <c r="L257" s="208"/>
      <c r="M257" s="38"/>
      <c r="N257" s="536" t="s">
        <v>2318</v>
      </c>
    </row>
    <row r="258" spans="1:14" s="544" customFormat="1" ht="16.5" hidden="1" customHeight="1">
      <c r="A258" s="16"/>
      <c r="B258" s="39" t="s">
        <v>2526</v>
      </c>
      <c r="C258" s="566"/>
      <c r="D258" s="567"/>
      <c r="E258" s="568"/>
      <c r="F258" s="569"/>
      <c r="G258" s="569"/>
      <c r="H258" s="570"/>
      <c r="I258" s="571"/>
      <c r="J258" s="553"/>
      <c r="K258" s="39"/>
      <c r="L258" s="208"/>
      <c r="M258" s="39"/>
      <c r="N258" s="536" t="s">
        <v>2318</v>
      </c>
    </row>
    <row r="259" spans="1:14" s="544" customFormat="1" ht="16.5" hidden="1" customHeight="1">
      <c r="A259" s="16"/>
      <c r="B259" s="582" t="s">
        <v>2466</v>
      </c>
      <c r="C259" s="583">
        <v>1</v>
      </c>
      <c r="D259" s="584" t="s">
        <v>273</v>
      </c>
      <c r="E259" s="585">
        <v>1</v>
      </c>
      <c r="F259" s="586">
        <v>6.78</v>
      </c>
      <c r="G259" s="586">
        <v>2.95</v>
      </c>
      <c r="H259" s="586">
        <v>0</v>
      </c>
      <c r="I259" s="552">
        <f t="shared" ref="I259:I266" si="3">ROUND(IF(AND(F259:H259),C259*E259*F259*G259*H259,IF(AND(F259,G259),C259*E259*F259*G259,IF(AND(F259,H259),C259*E259*F259*H259,IF(AND(G259,H259),C259*E259*G259*H259,IF(F259,C259*E259*F259,IF(G259,C259*E259*G259,IF(H259,C259*E259*H259,C259*E259))))))),2)</f>
        <v>20</v>
      </c>
      <c r="J259" s="553" t="s">
        <v>102</v>
      </c>
      <c r="K259" s="39"/>
      <c r="L259" s="208"/>
      <c r="M259" s="39"/>
      <c r="N259" s="536" t="s">
        <v>2318</v>
      </c>
    </row>
    <row r="260" spans="1:14" s="544" customFormat="1" ht="16.5" hidden="1" customHeight="1">
      <c r="A260" s="16"/>
      <c r="B260" s="582" t="s">
        <v>2364</v>
      </c>
      <c r="C260" s="583">
        <v>1</v>
      </c>
      <c r="D260" s="584" t="s">
        <v>273</v>
      </c>
      <c r="E260" s="585">
        <v>1</v>
      </c>
      <c r="F260" s="586">
        <v>2.87</v>
      </c>
      <c r="G260" s="586">
        <v>2.78</v>
      </c>
      <c r="H260" s="586">
        <v>0</v>
      </c>
      <c r="I260" s="552">
        <f t="shared" si="3"/>
        <v>7.98</v>
      </c>
      <c r="J260" s="553" t="s">
        <v>102</v>
      </c>
      <c r="K260" s="39"/>
      <c r="L260" s="208"/>
      <c r="M260" s="39"/>
      <c r="N260" s="536" t="s">
        <v>2318</v>
      </c>
    </row>
    <row r="261" spans="1:14" s="544" customFormat="1" ht="16.5" hidden="1" customHeight="1">
      <c r="A261" s="16"/>
      <c r="B261" s="582" t="s">
        <v>2527</v>
      </c>
      <c r="C261" s="583">
        <v>1</v>
      </c>
      <c r="D261" s="584" t="s">
        <v>273</v>
      </c>
      <c r="E261" s="585">
        <v>1</v>
      </c>
      <c r="F261" s="586">
        <v>2.29</v>
      </c>
      <c r="G261" s="586">
        <v>2.79</v>
      </c>
      <c r="H261" s="586">
        <v>0</v>
      </c>
      <c r="I261" s="552">
        <f t="shared" si="3"/>
        <v>6.39</v>
      </c>
      <c r="J261" s="553" t="s">
        <v>102</v>
      </c>
      <c r="K261" s="39"/>
      <c r="L261" s="208"/>
      <c r="M261" s="39"/>
      <c r="N261" s="536" t="s">
        <v>2318</v>
      </c>
    </row>
    <row r="262" spans="1:14" s="544" customFormat="1" ht="16.5" hidden="1" customHeight="1">
      <c r="A262" s="16"/>
      <c r="B262" s="582" t="s">
        <v>2469</v>
      </c>
      <c r="C262" s="583">
        <v>1</v>
      </c>
      <c r="D262" s="584" t="s">
        <v>273</v>
      </c>
      <c r="E262" s="585">
        <v>1</v>
      </c>
      <c r="F262" s="586">
        <v>1.31</v>
      </c>
      <c r="G262" s="586">
        <v>1.19</v>
      </c>
      <c r="H262" s="586">
        <v>0</v>
      </c>
      <c r="I262" s="552">
        <f t="shared" si="3"/>
        <v>1.56</v>
      </c>
      <c r="J262" s="553" t="s">
        <v>102</v>
      </c>
      <c r="K262" s="39"/>
      <c r="L262" s="208"/>
      <c r="M262" s="39"/>
      <c r="N262" s="536" t="s">
        <v>2318</v>
      </c>
    </row>
    <row r="263" spans="1:14" s="544" customFormat="1" ht="16.5" hidden="1" customHeight="1">
      <c r="A263" s="16"/>
      <c r="B263" s="582" t="s">
        <v>2361</v>
      </c>
      <c r="C263" s="583">
        <v>1</v>
      </c>
      <c r="D263" s="584" t="s">
        <v>273</v>
      </c>
      <c r="E263" s="585">
        <v>1</v>
      </c>
      <c r="F263" s="586">
        <v>6.11</v>
      </c>
      <c r="G263" s="586">
        <v>2.95</v>
      </c>
      <c r="H263" s="586">
        <v>0</v>
      </c>
      <c r="I263" s="552">
        <f t="shared" si="3"/>
        <v>18.02</v>
      </c>
      <c r="J263" s="553" t="s">
        <v>102</v>
      </c>
      <c r="K263" s="39"/>
      <c r="L263" s="208"/>
      <c r="M263" s="39"/>
      <c r="N263" s="536" t="s">
        <v>2318</v>
      </c>
    </row>
    <row r="264" spans="1:14" s="544" customFormat="1" ht="16.5" hidden="1" customHeight="1">
      <c r="A264" s="16"/>
      <c r="B264" s="582" t="s">
        <v>2467</v>
      </c>
      <c r="C264" s="583">
        <v>1</v>
      </c>
      <c r="D264" s="584" t="s">
        <v>273</v>
      </c>
      <c r="E264" s="585">
        <v>1</v>
      </c>
      <c r="F264" s="586">
        <v>2.75</v>
      </c>
      <c r="G264" s="586">
        <v>2.7</v>
      </c>
      <c r="H264" s="586">
        <v>0</v>
      </c>
      <c r="I264" s="552">
        <f t="shared" si="3"/>
        <v>7.43</v>
      </c>
      <c r="J264" s="553" t="s">
        <v>102</v>
      </c>
      <c r="K264" s="39"/>
      <c r="L264" s="208"/>
      <c r="M264" s="39"/>
      <c r="N264" s="536" t="s">
        <v>2318</v>
      </c>
    </row>
    <row r="265" spans="1:14" s="544" customFormat="1" ht="16.5" hidden="1" customHeight="1">
      <c r="A265" s="16"/>
      <c r="B265" s="582" t="s">
        <v>2363</v>
      </c>
      <c r="C265" s="583">
        <v>1</v>
      </c>
      <c r="D265" s="584" t="s">
        <v>273</v>
      </c>
      <c r="E265" s="585">
        <v>1</v>
      </c>
      <c r="F265" s="586">
        <v>1.8</v>
      </c>
      <c r="G265" s="586">
        <v>2.8</v>
      </c>
      <c r="H265" s="586">
        <v>0</v>
      </c>
      <c r="I265" s="552">
        <f t="shared" si="3"/>
        <v>5.04</v>
      </c>
      <c r="J265" s="553" t="s">
        <v>102</v>
      </c>
      <c r="K265" s="39"/>
      <c r="L265" s="208"/>
      <c r="M265" s="39"/>
      <c r="N265" s="536" t="s">
        <v>2318</v>
      </c>
    </row>
    <row r="266" spans="1:14" s="544" customFormat="1" ht="16.5" hidden="1" customHeight="1">
      <c r="A266" s="16"/>
      <c r="B266" s="582" t="s">
        <v>2528</v>
      </c>
      <c r="C266" s="583">
        <v>1</v>
      </c>
      <c r="D266" s="584" t="s">
        <v>273</v>
      </c>
      <c r="E266" s="585">
        <v>1</v>
      </c>
      <c r="F266" s="586">
        <v>1.3</v>
      </c>
      <c r="G266" s="586">
        <v>0.7</v>
      </c>
      <c r="H266" s="586">
        <v>0</v>
      </c>
      <c r="I266" s="552">
        <f t="shared" si="3"/>
        <v>0.91</v>
      </c>
      <c r="J266" s="553" t="s">
        <v>102</v>
      </c>
      <c r="K266" s="39"/>
      <c r="L266" s="208"/>
      <c r="M266" s="39"/>
      <c r="N266" s="536" t="s">
        <v>2318</v>
      </c>
    </row>
    <row r="267" spans="1:14" s="544" customFormat="1" ht="16.5" hidden="1" customHeight="1">
      <c r="A267" s="16"/>
      <c r="B267" s="547"/>
      <c r="C267" s="548"/>
      <c r="D267" s="549"/>
      <c r="E267" s="550"/>
      <c r="F267" s="551"/>
      <c r="G267" s="551"/>
      <c r="H267" s="551"/>
      <c r="I267" s="552"/>
      <c r="J267" s="553"/>
      <c r="K267" s="39"/>
      <c r="L267" s="208"/>
      <c r="M267" s="39"/>
      <c r="N267" s="536" t="s">
        <v>2318</v>
      </c>
    </row>
    <row r="268" spans="1:14" ht="15.75" hidden="1">
      <c r="A268" s="16"/>
      <c r="B268" s="39"/>
      <c r="C268" s="554"/>
      <c r="D268" s="555"/>
      <c r="E268" s="540"/>
      <c r="F268" s="541"/>
      <c r="G268" s="40"/>
      <c r="H268" s="16"/>
      <c r="I268" s="552"/>
      <c r="J268" s="553" t="s">
        <v>102</v>
      </c>
      <c r="K268" s="10">
        <f>'data 2022-23'!E678</f>
        <v>1067.3599999999999</v>
      </c>
      <c r="L268" s="208" t="s">
        <v>2437</v>
      </c>
      <c r="M268" s="9">
        <f>ROUND(I268*K268,0)</f>
        <v>0</v>
      </c>
      <c r="N268" s="536" t="s">
        <v>2318</v>
      </c>
    </row>
    <row r="269" spans="1:14" ht="79.5" hidden="1" customHeight="1">
      <c r="A269" s="16">
        <v>6</v>
      </c>
      <c r="B269" s="1858" t="s">
        <v>213</v>
      </c>
      <c r="C269" s="1858"/>
      <c r="D269" s="1858"/>
      <c r="E269" s="1858"/>
      <c r="F269" s="1858"/>
      <c r="G269" s="1858"/>
      <c r="H269" s="1858"/>
      <c r="I269" s="537"/>
      <c r="J269" s="538"/>
      <c r="K269" s="16"/>
      <c r="L269" s="208"/>
      <c r="M269" s="38"/>
      <c r="N269" s="536" t="s">
        <v>2318</v>
      </c>
    </row>
    <row r="270" spans="1:14" s="544" customFormat="1" ht="16.5" hidden="1" customHeight="1">
      <c r="A270" s="16"/>
      <c r="B270" s="39" t="s">
        <v>2529</v>
      </c>
      <c r="C270" s="566"/>
      <c r="D270" s="567"/>
      <c r="E270" s="568"/>
      <c r="F270" s="569"/>
      <c r="G270" s="569"/>
      <c r="H270" s="570"/>
      <c r="I270" s="571"/>
      <c r="J270" s="553"/>
      <c r="K270" s="39"/>
      <c r="L270" s="208"/>
      <c r="M270" s="39"/>
      <c r="N270" s="536" t="s">
        <v>2318</v>
      </c>
    </row>
    <row r="271" spans="1:14" s="544" customFormat="1" ht="16.5" hidden="1" customHeight="1">
      <c r="A271" s="16"/>
      <c r="B271" s="582" t="s">
        <v>1622</v>
      </c>
      <c r="C271" s="583">
        <v>1</v>
      </c>
      <c r="D271" s="584" t="s">
        <v>273</v>
      </c>
      <c r="E271" s="585">
        <v>1</v>
      </c>
      <c r="F271" s="586">
        <v>10.16</v>
      </c>
      <c r="G271" s="586">
        <v>0</v>
      </c>
      <c r="H271" s="586">
        <v>0.1</v>
      </c>
      <c r="I271" s="552">
        <f>ROUND(IF(AND(F271:H271),C271*E271*F271*G271*H271,IF(AND(F271,G271),C271*E271*F271*G271,IF(AND(F271,H271),C271*E271*F271*H271,IF(AND(G271,H271),C271*E271*G271*H271,IF(F271,C271*E271*F271,IF(G271,C271*E271*G271,IF(H271,C271*E271*H271,C271*E271))))))),2)</f>
        <v>1.02</v>
      </c>
      <c r="J271" s="553" t="s">
        <v>102</v>
      </c>
      <c r="K271" s="39"/>
      <c r="L271" s="208"/>
      <c r="M271" s="39"/>
      <c r="N271" s="536" t="s">
        <v>2318</v>
      </c>
    </row>
    <row r="272" spans="1:14" s="544" customFormat="1" ht="16.5" hidden="1" customHeight="1">
      <c r="A272" s="16"/>
      <c r="B272" s="582" t="s">
        <v>2466</v>
      </c>
      <c r="C272" s="583">
        <v>1</v>
      </c>
      <c r="D272" s="584" t="s">
        <v>273</v>
      </c>
      <c r="E272" s="585">
        <v>1</v>
      </c>
      <c r="F272" s="586">
        <v>19.46</v>
      </c>
      <c r="G272" s="586">
        <v>0</v>
      </c>
      <c r="H272" s="586">
        <v>0.1</v>
      </c>
      <c r="I272" s="552">
        <f>ROUND(IF(AND(F272:H272),C272*E272*F272*G272*H272,IF(AND(F272,G272),C272*E272*F272*G272,IF(AND(F272,H272),C272*E272*F272*H272,IF(AND(G272,H272),C272*E272*G272*H272,IF(F272,C272*E272*F272,IF(G272,C272*E272*G272,IF(H272,C272*E272*H272,C272*E272))))))),2)</f>
        <v>1.95</v>
      </c>
      <c r="J272" s="553" t="s">
        <v>102</v>
      </c>
      <c r="K272" s="39"/>
      <c r="L272" s="208"/>
      <c r="M272" s="39"/>
      <c r="N272" s="536" t="s">
        <v>2318</v>
      </c>
    </row>
    <row r="273" spans="1:14" s="544" customFormat="1" ht="16.5" hidden="1" customHeight="1">
      <c r="A273" s="16"/>
      <c r="B273" s="582" t="s">
        <v>2364</v>
      </c>
      <c r="C273" s="583">
        <v>1</v>
      </c>
      <c r="D273" s="584" t="s">
        <v>273</v>
      </c>
      <c r="E273" s="585">
        <v>1</v>
      </c>
      <c r="F273" s="586">
        <v>11.3</v>
      </c>
      <c r="G273" s="586">
        <v>0</v>
      </c>
      <c r="H273" s="586">
        <v>0.1</v>
      </c>
      <c r="I273" s="552">
        <f>ROUND(IF(AND(F273:H273),C273*E273*F273*G273*H273,IF(AND(F273,G273),C273*E273*F273*G273,IF(AND(F273,H273),C273*E273*F273*H273,IF(AND(G273,H273),C273*E273*G273*H273,IF(F273,C273*E273*F273,IF(G273,C273*E273*G273,IF(H273,C273*E273*H273,C273*E273))))))),2)</f>
        <v>1.1299999999999999</v>
      </c>
      <c r="J273" s="553" t="s">
        <v>102</v>
      </c>
      <c r="K273" s="39"/>
      <c r="L273" s="208"/>
      <c r="M273" s="39"/>
      <c r="N273" s="536" t="s">
        <v>2318</v>
      </c>
    </row>
    <row r="274" spans="1:14" s="544" customFormat="1" ht="16.5" hidden="1" customHeight="1">
      <c r="A274" s="16"/>
      <c r="B274" s="582" t="s">
        <v>2530</v>
      </c>
      <c r="C274" s="583">
        <v>1</v>
      </c>
      <c r="D274" s="584" t="s">
        <v>273</v>
      </c>
      <c r="E274" s="585">
        <v>1</v>
      </c>
      <c r="F274" s="586">
        <v>5</v>
      </c>
      <c r="G274" s="586">
        <v>0</v>
      </c>
      <c r="H274" s="586">
        <v>0.1</v>
      </c>
      <c r="I274" s="552">
        <f>ROUND(IF(AND(F274:H274),C274*E274*F274*G274*H274,IF(AND(F274,G274),C274*E274*F274*G274,IF(AND(F274,H274),C274*E274*F274*H274,IF(AND(G274,H274),C274*E274*G274*H274,IF(F274,C274*E274*F274,IF(G274,C274*E274*G274,IF(H274,C274*E274*H274,C274*E274))))))),2)</f>
        <v>0.5</v>
      </c>
      <c r="J274" s="553" t="s">
        <v>102</v>
      </c>
      <c r="K274" s="39"/>
      <c r="L274" s="208"/>
      <c r="M274" s="39"/>
      <c r="N274" s="536" t="s">
        <v>2318</v>
      </c>
    </row>
    <row r="275" spans="1:14" s="544" customFormat="1" ht="16.5" hidden="1" customHeight="1">
      <c r="A275" s="16"/>
      <c r="B275" s="582" t="s">
        <v>579</v>
      </c>
      <c r="C275" s="583">
        <v>1</v>
      </c>
      <c r="D275" s="584" t="s">
        <v>273</v>
      </c>
      <c r="E275" s="585">
        <v>1</v>
      </c>
      <c r="F275" s="586">
        <v>1.2</v>
      </c>
      <c r="G275" s="586">
        <v>0</v>
      </c>
      <c r="H275" s="586">
        <v>0.1</v>
      </c>
      <c r="I275" s="552">
        <f>-ROUND(IF(AND(F275:H275),C275*E275*F275*G275*H275,IF(AND(F275,G275),C275*E275*F275*G275,IF(AND(F275,H275),C275*E275*F275*H275,IF(AND(G275,H275),C275*E275*G275*H275,IF(F275,C275*E275*F275,IF(G275,C275*E275*G275,IF(H275,C275*E275*H275,C275*E275))))))),2)</f>
        <v>-0.12</v>
      </c>
      <c r="J275" s="553" t="s">
        <v>102</v>
      </c>
      <c r="K275" s="39"/>
      <c r="L275" s="208"/>
      <c r="M275" s="39"/>
      <c r="N275" s="536" t="s">
        <v>2318</v>
      </c>
    </row>
    <row r="276" spans="1:14" s="544" customFormat="1" ht="16.5" hidden="1" customHeight="1">
      <c r="A276" s="16"/>
      <c r="B276" s="582" t="s">
        <v>579</v>
      </c>
      <c r="C276" s="583">
        <v>1</v>
      </c>
      <c r="D276" s="584" t="s">
        <v>273</v>
      </c>
      <c r="E276" s="585">
        <v>2</v>
      </c>
      <c r="F276" s="586">
        <v>0.92</v>
      </c>
      <c r="G276" s="586">
        <v>0</v>
      </c>
      <c r="H276" s="586">
        <v>0.1</v>
      </c>
      <c r="I276" s="552">
        <f>-ROUND(IF(AND(F276:H276),C276*E276*F276*G276*H276,IF(AND(F276,G276),C276*E276*F276*G276,IF(AND(F276,H276),C276*E276*F276*H276,IF(AND(G276,H276),C276*E276*G276*H276,IF(F276,C276*E276*F276,IF(G276,C276*E276*G276,IF(H276,C276*E276*H276,C276*E276))))))),2)</f>
        <v>-0.18</v>
      </c>
      <c r="J276" s="553" t="s">
        <v>102</v>
      </c>
      <c r="K276" s="39"/>
      <c r="L276" s="208"/>
      <c r="M276" s="39"/>
      <c r="N276" s="536" t="s">
        <v>2318</v>
      </c>
    </row>
    <row r="277" spans="1:14" s="544" customFormat="1" ht="16.5" hidden="1" customHeight="1">
      <c r="A277" s="16"/>
      <c r="B277" s="582" t="s">
        <v>579</v>
      </c>
      <c r="C277" s="583">
        <v>1</v>
      </c>
      <c r="D277" s="584" t="s">
        <v>273</v>
      </c>
      <c r="E277" s="585">
        <v>2</v>
      </c>
      <c r="F277" s="586">
        <v>1.04</v>
      </c>
      <c r="G277" s="586">
        <v>0</v>
      </c>
      <c r="H277" s="586">
        <v>0.1</v>
      </c>
      <c r="I277" s="552">
        <f>-ROUND(IF(AND(F277:H277),C277*E277*F277*G277*H277,IF(AND(F277,G277),C277*E277*F277*G277,IF(AND(F277,H277),C277*E277*F277*H277,IF(AND(G277,H277),C277*E277*G277*H277,IF(F277,C277*E277*F277,IF(G277,C277*E277*G277,IF(H277,C277*E277*H277,C277*E277))))))),2)</f>
        <v>-0.21</v>
      </c>
      <c r="J277" s="553" t="s">
        <v>102</v>
      </c>
      <c r="K277" s="39"/>
      <c r="L277" s="208"/>
      <c r="M277" s="39"/>
      <c r="N277" s="536" t="s">
        <v>2318</v>
      </c>
    </row>
    <row r="278" spans="1:14" s="544" customFormat="1" ht="16.5" hidden="1" customHeight="1">
      <c r="A278" s="16"/>
      <c r="B278" s="582" t="s">
        <v>579</v>
      </c>
      <c r="C278" s="583">
        <v>1</v>
      </c>
      <c r="D278" s="584" t="s">
        <v>273</v>
      </c>
      <c r="E278" s="585">
        <v>2</v>
      </c>
      <c r="F278" s="586">
        <v>1.31</v>
      </c>
      <c r="G278" s="586">
        <v>0</v>
      </c>
      <c r="H278" s="586">
        <v>0.1</v>
      </c>
      <c r="I278" s="552">
        <f>-ROUND(IF(AND(F278:H278),C278*E278*F278*G278*H278,IF(AND(F278,G278),C278*E278*F278*G278,IF(AND(F278,H278),C278*E278*F278*H278,IF(AND(G278,H278),C278*E278*G278*H278,IF(F278,C278*E278*F278,IF(G278,C278*E278*G278,IF(H278,C278*E278*H278,C278*E278))))))),2)</f>
        <v>-0.26</v>
      </c>
      <c r="J278" s="553" t="s">
        <v>102</v>
      </c>
      <c r="K278" s="39"/>
      <c r="L278" s="208"/>
      <c r="M278" s="39"/>
      <c r="N278" s="536" t="s">
        <v>2318</v>
      </c>
    </row>
    <row r="279" spans="1:14" s="544" customFormat="1" ht="16.5" hidden="1" customHeight="1">
      <c r="A279" s="16"/>
      <c r="B279" s="582" t="s">
        <v>2361</v>
      </c>
      <c r="C279" s="583">
        <v>1</v>
      </c>
      <c r="D279" s="584" t="s">
        <v>273</v>
      </c>
      <c r="E279" s="585">
        <v>1</v>
      </c>
      <c r="F279" s="586">
        <v>18.12</v>
      </c>
      <c r="G279" s="586">
        <v>0</v>
      </c>
      <c r="H279" s="586">
        <v>0.1</v>
      </c>
      <c r="I279" s="552">
        <f>ROUND(IF(AND(F279:H279),C279*E279*F279*G279*H279,IF(AND(F279,G279),C279*E279*F279*G279,IF(AND(F279,H279),C279*E279*F279*H279,IF(AND(G279,H279),C279*E279*G279*H279,IF(F279,C279*E279*F279,IF(G279,C279*E279*G279,IF(H279,C279*E279*H279,C279*E279))))))),2)</f>
        <v>1.81</v>
      </c>
      <c r="J279" s="553" t="s">
        <v>102</v>
      </c>
      <c r="K279" s="39"/>
      <c r="L279" s="208"/>
      <c r="M279" s="39"/>
      <c r="N279" s="536" t="s">
        <v>2318</v>
      </c>
    </row>
    <row r="280" spans="1:14" s="544" customFormat="1" ht="16.5" hidden="1" customHeight="1">
      <c r="A280" s="16"/>
      <c r="B280" s="582" t="s">
        <v>2467</v>
      </c>
      <c r="C280" s="583">
        <v>1</v>
      </c>
      <c r="D280" s="584" t="s">
        <v>273</v>
      </c>
      <c r="E280" s="585">
        <v>1</v>
      </c>
      <c r="F280" s="586">
        <v>10.9</v>
      </c>
      <c r="G280" s="586">
        <v>0</v>
      </c>
      <c r="H280" s="586">
        <v>0.1</v>
      </c>
      <c r="I280" s="552">
        <f>ROUND(IF(AND(F280:H280),C280*E280*F280*G280*H280,IF(AND(F280,G280),C280*E280*F280*G280,IF(AND(F280,H280),C280*E280*F280*H280,IF(AND(G280,H280),C280*E280*G280*H280,IF(F280,C280*E280*F280,IF(G280,C280*E280*G280,IF(H280,C280*E280*H280,C280*E280))))))),2)</f>
        <v>1.0900000000000001</v>
      </c>
      <c r="J280" s="553" t="s">
        <v>102</v>
      </c>
      <c r="K280" s="39"/>
      <c r="L280" s="208"/>
      <c r="M280" s="39"/>
      <c r="N280" s="536" t="s">
        <v>2318</v>
      </c>
    </row>
    <row r="281" spans="1:14" s="544" customFormat="1" ht="16.5" hidden="1" customHeight="1">
      <c r="A281" s="16"/>
      <c r="B281" s="582" t="s">
        <v>2363</v>
      </c>
      <c r="C281" s="583">
        <v>1</v>
      </c>
      <c r="D281" s="584" t="s">
        <v>273</v>
      </c>
      <c r="E281" s="585">
        <v>1</v>
      </c>
      <c r="F281" s="586">
        <v>9.1999999999999993</v>
      </c>
      <c r="G281" s="586">
        <v>0</v>
      </c>
      <c r="H281" s="586">
        <v>0.1</v>
      </c>
      <c r="I281" s="552">
        <f>ROUND(IF(AND(F281:H281),C281*E281*F281*G281*H281,IF(AND(F281,G281),C281*E281*F281*G281,IF(AND(F281,H281),C281*E281*F281*H281,IF(AND(G281,H281),C281*E281*G281*H281,IF(F281,C281*E281*F281,IF(G281,C281*E281*G281,IF(H281,C281*E281*H281,C281*E281))))))),2)</f>
        <v>0.92</v>
      </c>
      <c r="J281" s="553" t="s">
        <v>102</v>
      </c>
      <c r="K281" s="39"/>
      <c r="L281" s="208"/>
      <c r="M281" s="39"/>
      <c r="N281" s="536" t="s">
        <v>2318</v>
      </c>
    </row>
    <row r="282" spans="1:14" s="544" customFormat="1" ht="16.5" hidden="1" customHeight="1">
      <c r="A282" s="16"/>
      <c r="B282" s="582" t="s">
        <v>2530</v>
      </c>
      <c r="C282" s="583">
        <v>1</v>
      </c>
      <c r="D282" s="584" t="s">
        <v>273</v>
      </c>
      <c r="E282" s="585">
        <v>1</v>
      </c>
      <c r="F282" s="586">
        <v>4</v>
      </c>
      <c r="G282" s="586">
        <v>0</v>
      </c>
      <c r="H282" s="586">
        <v>0.1</v>
      </c>
      <c r="I282" s="552">
        <f>ROUND(IF(AND(F282:H282),C282*E282*F282*G282*H282,IF(AND(F282,G282),C282*E282*F282*G282,IF(AND(F282,H282),C282*E282*F282*H282,IF(AND(G282,H282),C282*E282*G282*H282,IF(F282,C282*E282*F282,IF(G282,C282*E282*G282,IF(H282,C282*E282*H282,C282*E282))))))),2)</f>
        <v>0.4</v>
      </c>
      <c r="J282" s="553" t="s">
        <v>102</v>
      </c>
      <c r="K282" s="39"/>
      <c r="L282" s="208"/>
      <c r="M282" s="39"/>
      <c r="N282" s="536" t="s">
        <v>2318</v>
      </c>
    </row>
    <row r="283" spans="1:14" s="544" customFormat="1" ht="16.5" hidden="1" customHeight="1">
      <c r="A283" s="16"/>
      <c r="B283" s="582" t="s">
        <v>579</v>
      </c>
      <c r="C283" s="583">
        <v>1</v>
      </c>
      <c r="D283" s="584" t="s">
        <v>273</v>
      </c>
      <c r="E283" s="585">
        <v>1</v>
      </c>
      <c r="F283" s="586">
        <v>0.91</v>
      </c>
      <c r="G283" s="586">
        <v>0</v>
      </c>
      <c r="H283" s="586">
        <v>0.1</v>
      </c>
      <c r="I283" s="552">
        <f>-ROUND(IF(AND(F283:H283),C283*E283*F283*G283*H283,IF(AND(F283,G283),C283*E283*F283*G283,IF(AND(F283,H283),C283*E283*F283*H283,IF(AND(G283,H283),C283*E283*G283*H283,IF(F283,C283*E283*F283,IF(G283,C283*E283*G283,IF(H283,C283*E283*H283,C283*E283))))))),2)</f>
        <v>-0.09</v>
      </c>
      <c r="J283" s="553" t="s">
        <v>102</v>
      </c>
      <c r="K283" s="39"/>
      <c r="L283" s="208"/>
      <c r="M283" s="39"/>
      <c r="N283" s="536" t="s">
        <v>2318</v>
      </c>
    </row>
    <row r="284" spans="1:14" s="544" customFormat="1" ht="16.5" hidden="1" customHeight="1">
      <c r="A284" s="16"/>
      <c r="B284" s="582" t="s">
        <v>579</v>
      </c>
      <c r="C284" s="583">
        <v>1</v>
      </c>
      <c r="D284" s="584" t="s">
        <v>273</v>
      </c>
      <c r="E284" s="585">
        <v>3</v>
      </c>
      <c r="F284" s="586">
        <v>0.82</v>
      </c>
      <c r="G284" s="586">
        <v>0</v>
      </c>
      <c r="H284" s="586">
        <v>0.1</v>
      </c>
      <c r="I284" s="552">
        <f>-ROUND(IF(AND(F284:H284),C284*E284*F284*G284*H284,IF(AND(F284,G284),C284*E284*F284*G284,IF(AND(F284,H284),C284*E284*F284*H284,IF(AND(G284,H284),C284*E284*G284*H284,IF(F284,C284*E284*F284,IF(G284,C284*E284*G284,IF(H284,C284*E284*H284,C284*E284))))))),2)</f>
        <v>-0.25</v>
      </c>
      <c r="J284" s="553" t="s">
        <v>102</v>
      </c>
      <c r="K284" s="39"/>
      <c r="L284" s="208"/>
      <c r="M284" s="39"/>
      <c r="N284" s="536" t="s">
        <v>2318</v>
      </c>
    </row>
    <row r="285" spans="1:14" s="544" customFormat="1" ht="16.5" hidden="1" customHeight="1">
      <c r="A285" s="16"/>
      <c r="B285" s="582" t="s">
        <v>579</v>
      </c>
      <c r="C285" s="583">
        <v>1</v>
      </c>
      <c r="D285" s="584" t="s">
        <v>273</v>
      </c>
      <c r="E285" s="585">
        <v>2</v>
      </c>
      <c r="F285" s="586">
        <v>0.93</v>
      </c>
      <c r="G285" s="586">
        <v>0</v>
      </c>
      <c r="H285" s="586">
        <v>0.1</v>
      </c>
      <c r="I285" s="552">
        <f>-ROUND(IF(AND(F285:H285),C285*E285*F285*G285*H285,IF(AND(F285,G285),C285*E285*F285*G285,IF(AND(F285,H285),C285*E285*F285*H285,IF(AND(G285,H285),C285*E285*G285*H285,IF(F285,C285*E285*F285,IF(G285,C285*E285*G285,IF(H285,C285*E285*H285,C285*E285))))))),2)</f>
        <v>-0.19</v>
      </c>
      <c r="J285" s="553" t="s">
        <v>102</v>
      </c>
      <c r="K285" s="39"/>
      <c r="L285" s="208"/>
      <c r="M285" s="39"/>
      <c r="N285" s="536" t="s">
        <v>2318</v>
      </c>
    </row>
    <row r="286" spans="1:14" s="544" customFormat="1" ht="16.5" hidden="1" customHeight="1">
      <c r="A286" s="16"/>
      <c r="B286" s="582" t="s">
        <v>579</v>
      </c>
      <c r="C286" s="583">
        <v>1</v>
      </c>
      <c r="D286" s="584" t="s">
        <v>273</v>
      </c>
      <c r="E286" s="585">
        <v>1</v>
      </c>
      <c r="F286" s="586">
        <v>1.3</v>
      </c>
      <c r="G286" s="586">
        <v>0</v>
      </c>
      <c r="H286" s="586">
        <v>0.1</v>
      </c>
      <c r="I286" s="552">
        <f>-ROUND(IF(AND(F286:H286),C286*E286*F286*G286*H286,IF(AND(F286,G286),C286*E286*F286*G286,IF(AND(F286,H286),C286*E286*F286*H286,IF(AND(G286,H286),C286*E286*G286*H286,IF(F286,C286*E286*F286,IF(G286,C286*E286*G286,IF(H286,C286*E286*H286,C286*E286))))))),2)</f>
        <v>-0.13</v>
      </c>
      <c r="J286" s="553" t="s">
        <v>102</v>
      </c>
      <c r="K286" s="39"/>
      <c r="L286" s="208"/>
      <c r="M286" s="39"/>
      <c r="N286" s="536" t="s">
        <v>2318</v>
      </c>
    </row>
    <row r="287" spans="1:14" s="544" customFormat="1" ht="16.5" hidden="1" customHeight="1">
      <c r="A287" s="16"/>
      <c r="B287" s="582" t="s">
        <v>2531</v>
      </c>
      <c r="C287" s="583">
        <v>1</v>
      </c>
      <c r="D287" s="584" t="s">
        <v>273</v>
      </c>
      <c r="E287" s="585">
        <v>3</v>
      </c>
      <c r="F287" s="586">
        <v>1.25</v>
      </c>
      <c r="G287" s="586">
        <v>0</v>
      </c>
      <c r="H287" s="586">
        <v>0.15</v>
      </c>
      <c r="I287" s="552">
        <f>ROUND(IF(AND(F287:H287),C287*E287*F287*G287*H287,IF(AND(F287,G287),C287*E287*F287*G287,IF(AND(F287,H287),C287*E287*F287*H287,IF(AND(G287,H287),C287*E287*G287*H287,IF(F287,C287*E287*F287,IF(G287,C287*E287*G287,IF(H287,C287*E287*H287,C287*E287))))))),2)</f>
        <v>0.56000000000000005</v>
      </c>
      <c r="J287" s="553" t="s">
        <v>102</v>
      </c>
      <c r="K287" s="39"/>
      <c r="L287" s="208"/>
      <c r="M287" s="39"/>
      <c r="N287" s="536" t="s">
        <v>2318</v>
      </c>
    </row>
    <row r="288" spans="1:14" s="544" customFormat="1" ht="16.5" hidden="1" customHeight="1">
      <c r="A288" s="16"/>
      <c r="B288" s="582"/>
      <c r="C288" s="583">
        <v>1</v>
      </c>
      <c r="D288" s="584" t="s">
        <v>273</v>
      </c>
      <c r="E288" s="585">
        <v>3</v>
      </c>
      <c r="F288" s="586">
        <v>1.3</v>
      </c>
      <c r="G288" s="586">
        <v>0</v>
      </c>
      <c r="H288" s="586">
        <v>0.15</v>
      </c>
      <c r="I288" s="552">
        <f>ROUND(IF(AND(F288:H288),C288*E288*F288*G288*H288,IF(AND(F288,G288),C288*E288*F288*G288,IF(AND(F288,H288),C288*E288*F288*H288,IF(AND(G288,H288),C288*E288*G288*H288,IF(F288,C288*E288*F288,IF(G288,C288*E288*G288,IF(H288,C288*E288*H288,C288*E288))))))),2)</f>
        <v>0.59</v>
      </c>
      <c r="J288" s="553" t="s">
        <v>102</v>
      </c>
      <c r="K288" s="39"/>
      <c r="L288" s="208"/>
      <c r="M288" s="39"/>
      <c r="N288" s="536" t="s">
        <v>2318</v>
      </c>
    </row>
    <row r="289" spans="1:14" s="544" customFormat="1" ht="16.5" hidden="1" customHeight="1">
      <c r="A289" s="16"/>
      <c r="B289" s="582"/>
      <c r="C289" s="583">
        <v>1</v>
      </c>
      <c r="D289" s="584" t="s">
        <v>273</v>
      </c>
      <c r="E289" s="585">
        <v>3</v>
      </c>
      <c r="F289" s="586">
        <v>1.85</v>
      </c>
      <c r="G289" s="586">
        <v>0</v>
      </c>
      <c r="H289" s="586">
        <v>0.15</v>
      </c>
      <c r="I289" s="552">
        <f>ROUND(IF(AND(F289:H289),C289*E289*F289*G289*H289,IF(AND(F289,G289),C289*E289*F289*G289,IF(AND(F289,H289),C289*E289*F289*H289,IF(AND(G289,H289),C289*E289*G289*H289,IF(F289,C289*E289*F289,IF(G289,C289*E289*G289,IF(H289,C289*E289*H289,C289*E289))))))),2)</f>
        <v>0.83</v>
      </c>
      <c r="J289" s="553" t="s">
        <v>102</v>
      </c>
      <c r="K289" s="39"/>
      <c r="L289" s="208"/>
      <c r="M289" s="39"/>
      <c r="N289" s="536" t="s">
        <v>2318</v>
      </c>
    </row>
    <row r="290" spans="1:14" s="544" customFormat="1" ht="16.5" hidden="1" customHeight="1">
      <c r="A290" s="16"/>
      <c r="B290" s="547"/>
      <c r="C290" s="548"/>
      <c r="D290" s="549"/>
      <c r="E290" s="550"/>
      <c r="F290" s="551"/>
      <c r="G290" s="551"/>
      <c r="H290" s="551"/>
      <c r="I290" s="552"/>
      <c r="J290" s="553"/>
      <c r="K290" s="39"/>
      <c r="L290" s="208"/>
      <c r="M290" s="39"/>
      <c r="N290" s="536" t="s">
        <v>2318</v>
      </c>
    </row>
    <row r="291" spans="1:14" ht="15.75" hidden="1">
      <c r="A291" s="16"/>
      <c r="B291" s="39"/>
      <c r="C291" s="554"/>
      <c r="D291" s="555"/>
      <c r="E291" s="540"/>
      <c r="F291" s="541"/>
      <c r="G291" s="40"/>
      <c r="H291" s="16"/>
      <c r="I291" s="552"/>
      <c r="J291" s="553" t="s">
        <v>102</v>
      </c>
      <c r="K291" s="10">
        <f>'data 2022-23'!E696</f>
        <v>1062.03</v>
      </c>
      <c r="L291" s="208" t="s">
        <v>2437</v>
      </c>
      <c r="M291" s="9">
        <f>ROUND(I291*K291,0)</f>
        <v>0</v>
      </c>
      <c r="N291" s="536" t="s">
        <v>2318</v>
      </c>
    </row>
    <row r="292" spans="1:14" ht="108" hidden="1" customHeight="1">
      <c r="A292" s="16">
        <v>27</v>
      </c>
      <c r="B292" s="1858" t="s">
        <v>665</v>
      </c>
      <c r="C292" s="1858"/>
      <c r="D292" s="1858"/>
      <c r="E292" s="1858"/>
      <c r="F292" s="1858"/>
      <c r="G292" s="1858"/>
      <c r="H292" s="1858"/>
      <c r="I292" s="537"/>
      <c r="J292" s="538"/>
      <c r="K292" s="16"/>
      <c r="L292" s="208"/>
      <c r="M292" s="38"/>
      <c r="N292" s="536" t="s">
        <v>2318</v>
      </c>
    </row>
    <row r="293" spans="1:14" s="544" customFormat="1" ht="16.5" hidden="1" customHeight="1">
      <c r="A293" s="16"/>
      <c r="B293" s="39" t="s">
        <v>2862</v>
      </c>
      <c r="C293" s="566"/>
      <c r="D293" s="567"/>
      <c r="E293" s="568"/>
      <c r="F293" s="569"/>
      <c r="G293" s="569"/>
      <c r="H293" s="570"/>
      <c r="I293" s="571"/>
      <c r="J293" s="553"/>
      <c r="K293" s="39"/>
      <c r="L293" s="208"/>
      <c r="M293" s="39"/>
      <c r="N293" s="536" t="s">
        <v>2318</v>
      </c>
    </row>
    <row r="294" spans="1:14" s="544" customFormat="1" ht="16.5" hidden="1" customHeight="1">
      <c r="A294" s="16"/>
      <c r="B294" s="582" t="s">
        <v>2169</v>
      </c>
      <c r="C294" s="583">
        <v>1</v>
      </c>
      <c r="D294" s="584" t="s">
        <v>273</v>
      </c>
      <c r="E294" s="585">
        <v>11</v>
      </c>
      <c r="F294" s="586">
        <v>1.32</v>
      </c>
      <c r="G294" s="586">
        <v>0.3</v>
      </c>
      <c r="H294" s="586">
        <v>0</v>
      </c>
      <c r="I294" s="552">
        <f>ROUND(IF(AND(F294:H294),C294*E294*F294*G294*H294,IF(AND(F294,G294),C294*E294*F294*G294,IF(AND(F294,H294),C294*E294*F294*H294,IF(AND(G294,H294),C294*E294*G294*H294,IF(F294,C294*E294*F294,IF(G294,C294*E294*G294,IF(H294,C294*E294*H294,C294*E294))))))),2)</f>
        <v>4.3600000000000003</v>
      </c>
      <c r="J294" s="553" t="s">
        <v>102</v>
      </c>
      <c r="K294" s="39"/>
      <c r="L294" s="208"/>
      <c r="M294" s="39"/>
      <c r="N294" s="536" t="s">
        <v>2318</v>
      </c>
    </row>
    <row r="295" spans="1:14" s="544" customFormat="1" ht="16.5" hidden="1" customHeight="1">
      <c r="A295" s="16"/>
      <c r="B295" s="582"/>
      <c r="C295" s="583">
        <v>1</v>
      </c>
      <c r="D295" s="584" t="s">
        <v>273</v>
      </c>
      <c r="E295" s="585">
        <v>1</v>
      </c>
      <c r="F295" s="586">
        <v>1.42</v>
      </c>
      <c r="G295" s="586">
        <v>0.56000000000000005</v>
      </c>
      <c r="H295" s="586">
        <v>0</v>
      </c>
      <c r="I295" s="552">
        <f>ROUND(IF(AND(F295:H295),C295*E295*F295*G295*H295,IF(AND(F295,G295),C295*E295*F295*G295,IF(AND(F295,H295),C295*E295*F295*H295,IF(AND(G295,H295),C295*E295*G295*H295,IF(F295,C295*E295*F295,IF(G295,C295*E295*G295,IF(H295,C295*E295*H295,C295*E295))))))),2)</f>
        <v>0.8</v>
      </c>
      <c r="J295" s="553" t="s">
        <v>102</v>
      </c>
      <c r="K295" s="39"/>
      <c r="L295" s="208"/>
      <c r="M295" s="39"/>
      <c r="N295" s="536" t="s">
        <v>2318</v>
      </c>
    </row>
    <row r="296" spans="1:14" s="544" customFormat="1" ht="16.5" hidden="1" customHeight="1">
      <c r="A296" s="16"/>
      <c r="B296" s="582" t="s">
        <v>2170</v>
      </c>
      <c r="C296" s="583">
        <v>1</v>
      </c>
      <c r="D296" s="584" t="s">
        <v>273</v>
      </c>
      <c r="E296" s="585">
        <v>12</v>
      </c>
      <c r="F296" s="586">
        <v>1.23</v>
      </c>
      <c r="G296" s="586">
        <v>0.3</v>
      </c>
      <c r="H296" s="586">
        <v>0</v>
      </c>
      <c r="I296" s="552">
        <f>ROUND(IF(AND(F296:H296),C296*E296*F296*G296*H296,IF(AND(F296,G296),C296*E296*F296*G296,IF(AND(F296,H296),C296*E296*F296*H296,IF(AND(G296,H296),C296*E296*G296*H296,IF(F296,C296*E296*F296,IF(G296,C296*E296*G296,IF(H296,C296*E296*H296,C296*E296))))))),2)</f>
        <v>4.43</v>
      </c>
      <c r="J296" s="553" t="s">
        <v>102</v>
      </c>
      <c r="K296" s="39"/>
      <c r="L296" s="208"/>
      <c r="M296" s="39"/>
      <c r="N296" s="536" t="s">
        <v>2318</v>
      </c>
    </row>
    <row r="297" spans="1:14" s="544" customFormat="1" ht="16.5" hidden="1" customHeight="1">
      <c r="A297" s="16"/>
      <c r="B297" s="547"/>
      <c r="C297" s="548"/>
      <c r="D297" s="549"/>
      <c r="E297" s="550"/>
      <c r="F297" s="551"/>
      <c r="G297" s="551"/>
      <c r="H297" s="551"/>
      <c r="I297" s="552"/>
      <c r="J297" s="553"/>
      <c r="K297" s="39"/>
      <c r="L297" s="208"/>
      <c r="M297" s="39"/>
      <c r="N297" s="536" t="s">
        <v>2318</v>
      </c>
    </row>
    <row r="298" spans="1:14" ht="15.75" hidden="1">
      <c r="A298" s="16"/>
      <c r="B298" s="39"/>
      <c r="C298" s="554"/>
      <c r="D298" s="555"/>
      <c r="E298" s="540"/>
      <c r="F298" s="541"/>
      <c r="G298" s="40"/>
      <c r="H298" s="16"/>
      <c r="I298" s="552"/>
      <c r="J298" s="553" t="s">
        <v>102</v>
      </c>
      <c r="K298" s="10">
        <f>'data 2022-23'!E600</f>
        <v>3115.07</v>
      </c>
      <c r="L298" s="208" t="s">
        <v>2437</v>
      </c>
      <c r="M298" s="9">
        <f>ROUND(I298*K298,0)</f>
        <v>0</v>
      </c>
      <c r="N298" s="536" t="s">
        <v>2318</v>
      </c>
    </row>
    <row r="299" spans="1:14" ht="93.75" hidden="1" customHeight="1">
      <c r="A299" s="16">
        <v>28</v>
      </c>
      <c r="B299" s="1858" t="s">
        <v>671</v>
      </c>
      <c r="C299" s="1858"/>
      <c r="D299" s="1858"/>
      <c r="E299" s="1858"/>
      <c r="F299" s="1858"/>
      <c r="G299" s="1858"/>
      <c r="H299" s="1858"/>
      <c r="I299" s="537"/>
      <c r="J299" s="538"/>
      <c r="K299" s="16"/>
      <c r="L299" s="208"/>
      <c r="M299" s="38"/>
      <c r="N299" s="536" t="s">
        <v>2318</v>
      </c>
    </row>
    <row r="300" spans="1:14" s="544" customFormat="1" ht="16.5" hidden="1" customHeight="1">
      <c r="A300" s="16"/>
      <c r="B300" s="39" t="s">
        <v>2863</v>
      </c>
      <c r="C300" s="566"/>
      <c r="D300" s="567"/>
      <c r="E300" s="568"/>
      <c r="F300" s="569"/>
      <c r="G300" s="569"/>
      <c r="H300" s="570"/>
      <c r="I300" s="571"/>
      <c r="J300" s="553"/>
      <c r="K300" s="39"/>
      <c r="L300" s="16"/>
      <c r="M300" s="39"/>
      <c r="N300" s="536" t="s">
        <v>2318</v>
      </c>
    </row>
    <row r="301" spans="1:14" s="544" customFormat="1" ht="16.5" hidden="1" customHeight="1">
      <c r="A301" s="16"/>
      <c r="B301" s="547" t="s">
        <v>820</v>
      </c>
      <c r="C301" s="548">
        <v>1</v>
      </c>
      <c r="D301" s="549" t="s">
        <v>273</v>
      </c>
      <c r="E301" s="550">
        <v>11</v>
      </c>
      <c r="F301" s="551">
        <v>1.32</v>
      </c>
      <c r="G301" s="551">
        <v>0.15</v>
      </c>
      <c r="H301" s="551">
        <v>0</v>
      </c>
      <c r="I301" s="552">
        <f>ROUND(IF(AND(F301:H301),C301*E301*F301*G301*H301,IF(AND(F301,G301),C301*E301*F301*G301,IF(AND(F301,H301),C301*E301*F301*H301,IF(AND(G301,H301),C301*E301*G301*H301,IF(F301,C301*E301*F301,IF(G301,C301*E301*G301,IF(H301,C301*E301*H301,C301*E301))))))),2)</f>
        <v>2.1800000000000002</v>
      </c>
      <c r="J301" s="553" t="s">
        <v>102</v>
      </c>
      <c r="K301" s="39"/>
      <c r="L301" s="16"/>
      <c r="M301" s="39"/>
      <c r="N301" s="536" t="s">
        <v>2318</v>
      </c>
    </row>
    <row r="302" spans="1:14" s="544" customFormat="1" ht="16.5" hidden="1" customHeight="1">
      <c r="A302" s="16"/>
      <c r="B302" s="547"/>
      <c r="C302" s="548">
        <v>1</v>
      </c>
      <c r="D302" s="549" t="s">
        <v>273</v>
      </c>
      <c r="E302" s="550">
        <v>1</v>
      </c>
      <c r="F302" s="551">
        <v>0.5</v>
      </c>
      <c r="G302" s="551">
        <v>0</v>
      </c>
      <c r="H302" s="551">
        <v>0.14000000000000001</v>
      </c>
      <c r="I302" s="552">
        <f>ROUND(IF(AND(F302:H302),C302*E302*F302*G302*H302,IF(AND(F302,G302),C302*E302*F302*G302,IF(AND(F302,H302),C302*E302*F302*H302,IF(AND(G302,H302),C302*E302*G302*H302,IF(F302,C302*E302*F302,IF(G302,C302*E302*G302,IF(H302,C302*E302*H302,C302*E302))))))),2)</f>
        <v>7.0000000000000007E-2</v>
      </c>
      <c r="J302" s="553" t="s">
        <v>102</v>
      </c>
      <c r="K302" s="39"/>
      <c r="L302" s="16"/>
      <c r="M302" s="39"/>
      <c r="N302" s="536" t="s">
        <v>2318</v>
      </c>
    </row>
    <row r="303" spans="1:14" s="544" customFormat="1" ht="16.5" hidden="1" customHeight="1">
      <c r="A303" s="16"/>
      <c r="B303" s="547" t="s">
        <v>800</v>
      </c>
      <c r="C303" s="548">
        <v>1</v>
      </c>
      <c r="D303" s="549" t="s">
        <v>273</v>
      </c>
      <c r="E303" s="550">
        <v>1</v>
      </c>
      <c r="F303" s="551">
        <v>4.6500000000000004</v>
      </c>
      <c r="G303" s="551">
        <v>0</v>
      </c>
      <c r="H303" s="551">
        <v>0.14000000000000001</v>
      </c>
      <c r="I303" s="552">
        <f>ROUND(IF(AND(F303:H303),C303*E303*F303*G303*H303,IF(AND(F303,G303),C303*E303*F303*G303,IF(AND(F303,H303),C303*E303*F303*H303,IF(AND(G303,H303),C303*E303*G303*H303,IF(F303,C303*E303*F303,IF(G303,C303*E303*G303,IF(H303,C303*E303*H303,C303*E303))))))),2)</f>
        <v>0.65</v>
      </c>
      <c r="J303" s="553" t="s">
        <v>102</v>
      </c>
      <c r="K303" s="39"/>
      <c r="L303" s="16"/>
      <c r="M303" s="39"/>
      <c r="N303" s="536" t="s">
        <v>2318</v>
      </c>
    </row>
    <row r="304" spans="1:14" s="544" customFormat="1" ht="16.5" hidden="1" customHeight="1">
      <c r="A304" s="16"/>
      <c r="B304" s="547"/>
      <c r="C304" s="548">
        <v>1</v>
      </c>
      <c r="D304" s="549" t="s">
        <v>273</v>
      </c>
      <c r="E304" s="550">
        <v>12</v>
      </c>
      <c r="F304" s="551">
        <v>0.4</v>
      </c>
      <c r="G304" s="551">
        <v>0</v>
      </c>
      <c r="H304" s="551">
        <v>0.14000000000000001</v>
      </c>
      <c r="I304" s="552">
        <f>ROUND(IF(AND(F304:H304),C304*E304*F304*G304*H304,IF(AND(F304,G304),C304*E304*F304*G304,IF(AND(F304,H304),C304*E304*F304*H304,IF(AND(G304,H304),C304*E304*G304*H304,IF(F304,C304*E304*F304,IF(G304,C304*E304*G304,IF(H304,C304*E304*H304,C304*E304))))))),2)</f>
        <v>0.67</v>
      </c>
      <c r="J304" s="553" t="s">
        <v>102</v>
      </c>
      <c r="K304" s="39"/>
      <c r="L304" s="16"/>
      <c r="M304" s="39"/>
      <c r="N304" s="536" t="s">
        <v>2318</v>
      </c>
    </row>
    <row r="305" spans="1:14" s="544" customFormat="1" ht="16.5" hidden="1" customHeight="1">
      <c r="A305" s="16"/>
      <c r="B305" s="547"/>
      <c r="C305" s="548"/>
      <c r="D305" s="549"/>
      <c r="E305" s="550"/>
      <c r="F305" s="551"/>
      <c r="G305" s="551"/>
      <c r="H305" s="551"/>
      <c r="I305" s="552"/>
      <c r="J305" s="553"/>
      <c r="K305" s="39"/>
      <c r="L305" s="208"/>
      <c r="M305" s="39"/>
      <c r="N305" s="536" t="s">
        <v>2318</v>
      </c>
    </row>
    <row r="306" spans="1:14" ht="15.75" hidden="1">
      <c r="A306" s="16"/>
      <c r="B306" s="39"/>
      <c r="C306" s="554"/>
      <c r="D306" s="555"/>
      <c r="E306" s="540"/>
      <c r="F306" s="541"/>
      <c r="G306" s="40"/>
      <c r="H306" s="16"/>
      <c r="I306" s="552"/>
      <c r="J306" s="553" t="s">
        <v>102</v>
      </c>
      <c r="K306" s="10">
        <f>'data 2022-23'!E619</f>
        <v>2905.43</v>
      </c>
      <c r="L306" s="208" t="s">
        <v>2437</v>
      </c>
      <c r="M306" s="9">
        <f>ROUND(I306*K306,0)</f>
        <v>0</v>
      </c>
      <c r="N306" s="536" t="s">
        <v>2318</v>
      </c>
    </row>
    <row r="307" spans="1:14" ht="90" hidden="1" customHeight="1">
      <c r="A307" s="16">
        <v>26</v>
      </c>
      <c r="B307" s="1858" t="s">
        <v>672</v>
      </c>
      <c r="C307" s="1858"/>
      <c r="D307" s="1858"/>
      <c r="E307" s="1858"/>
      <c r="F307" s="1858"/>
      <c r="G307" s="1858"/>
      <c r="H307" s="1858"/>
      <c r="I307" s="537"/>
      <c r="J307" s="538"/>
      <c r="K307" s="16"/>
      <c r="L307" s="208"/>
      <c r="M307" s="38"/>
      <c r="N307" s="536" t="s">
        <v>2318</v>
      </c>
    </row>
    <row r="308" spans="1:14" s="544" customFormat="1" ht="16.5" hidden="1" customHeight="1">
      <c r="A308" s="16"/>
      <c r="B308" s="547"/>
      <c r="C308" s="548">
        <v>1</v>
      </c>
      <c r="D308" s="549" t="s">
        <v>273</v>
      </c>
      <c r="E308" s="550">
        <v>1</v>
      </c>
      <c r="F308" s="551">
        <v>2.65</v>
      </c>
      <c r="G308" s="551">
        <v>0.53</v>
      </c>
      <c r="H308" s="551">
        <v>0</v>
      </c>
      <c r="I308" s="552">
        <f>ROUND(IF(AND(F308:H308),C308*E308*F308*G308*H308,IF(AND(F308,G308),C308*E308*F308*G308,IF(AND(F308,H308),C308*E308*F308*H308,IF(AND(G308,H308),C308*E308*G308*H308,IF(F308,C308*E308*F308,IF(G308,C308*E308*G308,IF(H308,C308*E308*H308,C308*E308))))))),2)</f>
        <v>1.4</v>
      </c>
      <c r="J308" s="553" t="s">
        <v>102</v>
      </c>
      <c r="K308" s="39"/>
      <c r="L308" s="208"/>
      <c r="M308" s="39"/>
      <c r="N308" s="536" t="s">
        <v>2318</v>
      </c>
    </row>
    <row r="309" spans="1:14" s="544" customFormat="1" ht="16.5" hidden="1" customHeight="1">
      <c r="A309" s="16"/>
      <c r="B309" s="547"/>
      <c r="C309" s="548">
        <v>1</v>
      </c>
      <c r="D309" s="549" t="s">
        <v>273</v>
      </c>
      <c r="E309" s="550">
        <v>1</v>
      </c>
      <c r="F309" s="551">
        <v>2.65</v>
      </c>
      <c r="G309" s="551">
        <v>0.9</v>
      </c>
      <c r="H309" s="551">
        <v>0</v>
      </c>
      <c r="I309" s="552">
        <f>ROUND(IF(AND(F309:H309),C309*E309*F309*G309*H309,IF(AND(F309,G309),C309*E309*F309*G309,IF(AND(F309,H309),C309*E309*F309*H309,IF(AND(G309,H309),C309*E309*G309*H309,IF(F309,C309*E309*F309,IF(G309,C309*E309*G309,IF(H309,C309*E309*H309,C309*E309))))))),2)</f>
        <v>2.39</v>
      </c>
      <c r="J309" s="553" t="s">
        <v>102</v>
      </c>
      <c r="K309" s="39"/>
      <c r="L309" s="208"/>
      <c r="M309" s="39"/>
      <c r="N309" s="536" t="s">
        <v>2318</v>
      </c>
    </row>
    <row r="310" spans="1:14" s="544" customFormat="1" ht="16.5" hidden="1" customHeight="1">
      <c r="A310" s="16"/>
      <c r="B310" s="547" t="s">
        <v>1250</v>
      </c>
      <c r="C310" s="548">
        <v>1</v>
      </c>
      <c r="D310" s="549" t="s">
        <v>273</v>
      </c>
      <c r="E310" s="550">
        <v>4</v>
      </c>
      <c r="F310" s="551">
        <v>2.5</v>
      </c>
      <c r="G310" s="551">
        <v>0.38</v>
      </c>
      <c r="H310" s="551">
        <v>0</v>
      </c>
      <c r="I310" s="552">
        <f>ROUND(IF(AND(F310:H310),C310*E310*F310*G310*H310,IF(AND(F310,G310),C310*E310*F310*G310,IF(AND(F310,H310),C310*E310*F310*H310,IF(AND(G310,H310),C310*E310*G310*H310,IF(F310,C310*E310*F310,IF(G310,C310*E310*G310,IF(H310,C310*E310*H310,C310*E310))))))),2)</f>
        <v>3.8</v>
      </c>
      <c r="J310" s="553" t="s">
        <v>102</v>
      </c>
      <c r="K310" s="39"/>
      <c r="L310" s="208"/>
      <c r="M310" s="39"/>
      <c r="N310" s="536" t="s">
        <v>2318</v>
      </c>
    </row>
    <row r="311" spans="1:14" s="544" customFormat="1" ht="16.5" hidden="1" customHeight="1">
      <c r="A311" s="16"/>
      <c r="B311" s="547" t="s">
        <v>1251</v>
      </c>
      <c r="C311" s="548">
        <v>1</v>
      </c>
      <c r="D311" s="549" t="s">
        <v>273</v>
      </c>
      <c r="E311" s="550">
        <v>21</v>
      </c>
      <c r="F311" s="551">
        <v>1.28</v>
      </c>
      <c r="G311" s="551">
        <v>0.3</v>
      </c>
      <c r="H311" s="551">
        <v>0</v>
      </c>
      <c r="I311" s="552">
        <f>ROUND(IF(AND(F311:H311),C311*E311*F311*G311*H311,IF(AND(F311,G311),C311*E311*F311*G311,IF(AND(F311,H311),C311*E311*F311*H311,IF(AND(G311,H311),C311*E311*G311*H311,IF(F311,C311*E311*F311,IF(G311,C311*E311*G311,IF(H311,C311*E311*H311,C311*E311))))))),2)</f>
        <v>8.06</v>
      </c>
      <c r="J311" s="553" t="s">
        <v>102</v>
      </c>
      <c r="K311" s="39"/>
      <c r="L311" s="208"/>
      <c r="M311" s="39"/>
      <c r="N311" s="536" t="s">
        <v>2318</v>
      </c>
    </row>
    <row r="312" spans="1:14" s="544" customFormat="1" ht="16.5" hidden="1" customHeight="1">
      <c r="A312" s="16"/>
      <c r="B312" s="547"/>
      <c r="C312" s="548"/>
      <c r="D312" s="549"/>
      <c r="E312" s="550"/>
      <c r="F312" s="551"/>
      <c r="G312" s="551"/>
      <c r="H312" s="551"/>
      <c r="I312" s="552"/>
      <c r="J312" s="553"/>
      <c r="K312" s="39"/>
      <c r="L312" s="208"/>
      <c r="M312" s="39"/>
      <c r="N312" s="536" t="s">
        <v>2318</v>
      </c>
    </row>
    <row r="313" spans="1:14" ht="15.75" hidden="1">
      <c r="A313" s="16"/>
      <c r="B313" s="39"/>
      <c r="C313" s="554"/>
      <c r="D313" s="555"/>
      <c r="E313" s="540"/>
      <c r="F313" s="541"/>
      <c r="G313" s="40"/>
      <c r="H313" s="16"/>
      <c r="I313" s="552"/>
      <c r="J313" s="553" t="s">
        <v>102</v>
      </c>
      <c r="K313" s="10">
        <f>'data 2022-23'!E640</f>
        <v>744.7</v>
      </c>
      <c r="L313" s="208" t="s">
        <v>2437</v>
      </c>
      <c r="M313" s="9">
        <f>ROUND(I313*K313,0)</f>
        <v>0</v>
      </c>
      <c r="N313" s="536" t="s">
        <v>2318</v>
      </c>
    </row>
    <row r="314" spans="1:14" ht="96" hidden="1" customHeight="1">
      <c r="A314" s="16">
        <v>27</v>
      </c>
      <c r="B314" s="1858" t="s">
        <v>678</v>
      </c>
      <c r="C314" s="1858"/>
      <c r="D314" s="1858"/>
      <c r="E314" s="1858"/>
      <c r="F314" s="1858"/>
      <c r="G314" s="1858"/>
      <c r="H314" s="1858"/>
      <c r="I314" s="537"/>
      <c r="J314" s="538"/>
      <c r="K314" s="16"/>
      <c r="L314" s="208"/>
      <c r="M314" s="38"/>
      <c r="N314" s="536" t="s">
        <v>2318</v>
      </c>
    </row>
    <row r="315" spans="1:14" s="544" customFormat="1" ht="16.5" hidden="1" customHeight="1">
      <c r="A315" s="16"/>
      <c r="B315" s="39" t="s">
        <v>2864</v>
      </c>
      <c r="C315" s="566"/>
      <c r="D315" s="567"/>
      <c r="E315" s="568"/>
      <c r="F315" s="569"/>
      <c r="G315" s="569"/>
      <c r="H315" s="570"/>
      <c r="I315" s="571"/>
      <c r="J315" s="553"/>
      <c r="K315" s="39"/>
      <c r="L315" s="208"/>
      <c r="M315" s="39"/>
      <c r="N315" s="536" t="s">
        <v>2318</v>
      </c>
    </row>
    <row r="316" spans="1:14" s="544" customFormat="1" ht="16.5" hidden="1" customHeight="1">
      <c r="A316" s="16"/>
      <c r="B316" s="547" t="s">
        <v>1249</v>
      </c>
      <c r="C316" s="548">
        <v>1</v>
      </c>
      <c r="D316" s="549" t="s">
        <v>273</v>
      </c>
      <c r="E316" s="550">
        <v>2</v>
      </c>
      <c r="F316" s="551">
        <v>5.25</v>
      </c>
      <c r="G316" s="551">
        <v>0</v>
      </c>
      <c r="H316" s="551">
        <v>0.1</v>
      </c>
      <c r="I316" s="552">
        <f>ROUND(IF(AND(F316:H316),C316*E316*F316*G316*H316,IF(AND(F316,G316),C316*E316*F316*G316,IF(AND(F316,H316),C316*E316*F316*H316,IF(AND(G316,H316),C316*E316*G316*H316,IF(F316,C316*E316*F316,IF(G316,C316*E316*G316,IF(H316,C316*E316*H316,C316*E316))))))),2)</f>
        <v>1.05</v>
      </c>
      <c r="J316" s="553" t="s">
        <v>102</v>
      </c>
      <c r="K316" s="39"/>
      <c r="L316" s="208"/>
      <c r="M316" s="39"/>
      <c r="N316" s="536" t="s">
        <v>2318</v>
      </c>
    </row>
    <row r="317" spans="1:14" s="544" customFormat="1" ht="16.5" hidden="1" customHeight="1">
      <c r="A317" s="16"/>
      <c r="B317" s="547" t="s">
        <v>1251</v>
      </c>
      <c r="C317" s="548">
        <v>1</v>
      </c>
      <c r="D317" s="549" t="s">
        <v>273</v>
      </c>
      <c r="E317" s="550">
        <v>22</v>
      </c>
      <c r="F317" s="551">
        <v>1.28</v>
      </c>
      <c r="G317" s="551">
        <v>0</v>
      </c>
      <c r="H317" s="551">
        <v>0.15</v>
      </c>
      <c r="I317" s="552">
        <f>ROUND(IF(AND(F317:H317),C317*E317*F317*G317*H317,IF(AND(F317,G317),C317*E317*F317*G317,IF(AND(F317,H317),C317*E317*F317*H317,IF(AND(G317,H317),C317*E317*G317*H317,IF(F317,C317*E317*F317,IF(G317,C317*E317*G317,IF(H317,C317*E317*H317,C317*E317))))))),2)</f>
        <v>4.22</v>
      </c>
      <c r="J317" s="553" t="s">
        <v>102</v>
      </c>
      <c r="K317" s="39"/>
      <c r="L317" s="208"/>
      <c r="M317" s="39"/>
      <c r="N317" s="536" t="s">
        <v>2318</v>
      </c>
    </row>
    <row r="318" spans="1:14" s="544" customFormat="1" ht="16.5" hidden="1" customHeight="1">
      <c r="A318" s="16"/>
      <c r="B318" s="547" t="s">
        <v>1245</v>
      </c>
      <c r="C318" s="548">
        <v>1</v>
      </c>
      <c r="D318" s="549" t="s">
        <v>273</v>
      </c>
      <c r="E318" s="550">
        <v>1</v>
      </c>
      <c r="F318" s="551">
        <v>10.53</v>
      </c>
      <c r="G318" s="551">
        <v>0</v>
      </c>
      <c r="H318" s="551">
        <v>0.1</v>
      </c>
      <c r="I318" s="552">
        <f>ROUND(IF(AND(F318:H318),C318*E318*F318*G318*H318,IF(AND(F318,G318),C318*E318*F318*G318,IF(AND(F318,H318),C318*E318*F318*H318,IF(AND(G318,H318),C318*E318*G318*H318,IF(F318,C318*E318*F318,IF(G318,C318*E318*G318,IF(H318,C318*E318*H318,C318*E318))))))),2)</f>
        <v>1.05</v>
      </c>
      <c r="J318" s="553" t="s">
        <v>102</v>
      </c>
      <c r="K318" s="39"/>
      <c r="L318" s="208"/>
      <c r="M318" s="39"/>
      <c r="N318" s="536" t="s">
        <v>2318</v>
      </c>
    </row>
    <row r="319" spans="1:14" s="544" customFormat="1" ht="16.5" hidden="1" customHeight="1">
      <c r="A319" s="16"/>
      <c r="B319" s="547"/>
      <c r="C319" s="548"/>
      <c r="D319" s="549"/>
      <c r="E319" s="550"/>
      <c r="F319" s="551"/>
      <c r="G319" s="551"/>
      <c r="H319" s="551"/>
      <c r="I319" s="552"/>
      <c r="J319" s="553"/>
      <c r="K319" s="39"/>
      <c r="L319" s="208"/>
      <c r="M319" s="39"/>
      <c r="N319" s="536" t="s">
        <v>2318</v>
      </c>
    </row>
    <row r="320" spans="1:14" ht="15.75" hidden="1">
      <c r="A320" s="16"/>
      <c r="B320" s="39"/>
      <c r="C320" s="554"/>
      <c r="D320" s="555"/>
      <c r="E320" s="540"/>
      <c r="F320" s="541"/>
      <c r="G320" s="40"/>
      <c r="H320" s="16"/>
      <c r="I320" s="552"/>
      <c r="J320" s="553" t="s">
        <v>102</v>
      </c>
      <c r="K320" s="10">
        <f>'data 2022-23'!E658</f>
        <v>750.18</v>
      </c>
      <c r="L320" s="208" t="s">
        <v>2437</v>
      </c>
      <c r="M320" s="9">
        <f>ROUND(I320*K320,0)</f>
        <v>0</v>
      </c>
      <c r="N320" s="536" t="s">
        <v>2318</v>
      </c>
    </row>
    <row r="321" spans="1:14" ht="94.5" hidden="1" customHeight="1">
      <c r="A321" s="16">
        <v>7</v>
      </c>
      <c r="B321" s="1858" t="s">
        <v>211</v>
      </c>
      <c r="C321" s="1858"/>
      <c r="D321" s="1858"/>
      <c r="E321" s="1858"/>
      <c r="F321" s="1858"/>
      <c r="G321" s="1858"/>
      <c r="H321" s="1858"/>
      <c r="I321" s="537"/>
      <c r="J321" s="538"/>
      <c r="K321" s="16"/>
      <c r="L321" s="208"/>
      <c r="M321" s="38"/>
      <c r="N321" s="536" t="s">
        <v>2318</v>
      </c>
    </row>
    <row r="322" spans="1:14" s="544" customFormat="1" ht="16.5" hidden="1" customHeight="1">
      <c r="A322" s="16"/>
      <c r="B322" s="39" t="s">
        <v>2532</v>
      </c>
      <c r="C322" s="566"/>
      <c r="D322" s="567"/>
      <c r="E322" s="568"/>
      <c r="F322" s="569"/>
      <c r="G322" s="569"/>
      <c r="H322" s="570"/>
      <c r="I322" s="571"/>
      <c r="J322" s="553"/>
      <c r="K322" s="39"/>
      <c r="L322" s="208"/>
      <c r="M322" s="39"/>
      <c r="N322" s="536" t="s">
        <v>2318</v>
      </c>
    </row>
    <row r="323" spans="1:14" s="544" customFormat="1" ht="16.5" hidden="1" customHeight="1">
      <c r="A323" s="16"/>
      <c r="B323" s="582" t="s">
        <v>2468</v>
      </c>
      <c r="C323" s="583">
        <v>1</v>
      </c>
      <c r="D323" s="584" t="s">
        <v>273</v>
      </c>
      <c r="E323" s="585">
        <v>1</v>
      </c>
      <c r="F323" s="586">
        <v>1.31</v>
      </c>
      <c r="G323" s="586">
        <v>1.58</v>
      </c>
      <c r="H323" s="586">
        <v>0</v>
      </c>
      <c r="I323" s="552">
        <f t="shared" ref="I323:I331" si="4">ROUND(IF(AND(F323:H323),C323*E323*F323*G323*H323,IF(AND(F323,G323),C323*E323*F323*G323,IF(AND(F323,H323),C323*E323*F323*H323,IF(AND(G323,H323),C323*E323*G323*H323,IF(F323,C323*E323*F323,IF(G323,C323*E323*G323,IF(H323,C323*E323*H323,C323*E323))))))),2)</f>
        <v>2.0699999999999998</v>
      </c>
      <c r="J323" s="553" t="s">
        <v>102</v>
      </c>
      <c r="K323" s="39"/>
      <c r="L323" s="208"/>
      <c r="M323" s="39"/>
      <c r="N323" s="536" t="s">
        <v>2318</v>
      </c>
    </row>
    <row r="324" spans="1:14" s="544" customFormat="1" ht="16.5" hidden="1" customHeight="1">
      <c r="A324" s="16"/>
      <c r="B324" s="582" t="s">
        <v>2507</v>
      </c>
      <c r="C324" s="583">
        <v>1</v>
      </c>
      <c r="D324" s="584" t="s">
        <v>273</v>
      </c>
      <c r="E324" s="585">
        <v>1</v>
      </c>
      <c r="F324" s="586">
        <v>1.3</v>
      </c>
      <c r="G324" s="586">
        <v>1.9</v>
      </c>
      <c r="H324" s="586">
        <v>0</v>
      </c>
      <c r="I324" s="552">
        <f t="shared" si="4"/>
        <v>2.4700000000000002</v>
      </c>
      <c r="J324" s="553" t="s">
        <v>102</v>
      </c>
      <c r="K324" s="39"/>
      <c r="L324" s="208"/>
      <c r="M324" s="39"/>
      <c r="N324" s="536" t="s">
        <v>2318</v>
      </c>
    </row>
    <row r="325" spans="1:14" s="544" customFormat="1" ht="16.5" hidden="1" customHeight="1">
      <c r="A325" s="16"/>
      <c r="B325" s="582" t="s">
        <v>578</v>
      </c>
      <c r="C325" s="583">
        <v>1</v>
      </c>
      <c r="D325" s="584" t="s">
        <v>273</v>
      </c>
      <c r="E325" s="585">
        <v>1</v>
      </c>
      <c r="F325" s="586">
        <v>12.85</v>
      </c>
      <c r="G325" s="586">
        <v>1.25</v>
      </c>
      <c r="H325" s="586">
        <v>0</v>
      </c>
      <c r="I325" s="552">
        <f t="shared" si="4"/>
        <v>16.059999999999999</v>
      </c>
      <c r="J325" s="553" t="s">
        <v>102</v>
      </c>
      <c r="K325" s="39"/>
      <c r="L325" s="208"/>
      <c r="M325" s="39"/>
      <c r="N325" s="536" t="s">
        <v>2318</v>
      </c>
    </row>
    <row r="326" spans="1:14" s="544" customFormat="1" ht="16.5" hidden="1" customHeight="1">
      <c r="A326" s="16"/>
      <c r="B326" s="582" t="s">
        <v>2143</v>
      </c>
      <c r="C326" s="583">
        <v>1</v>
      </c>
      <c r="D326" s="584" t="s">
        <v>273</v>
      </c>
      <c r="E326" s="585">
        <v>1</v>
      </c>
      <c r="F326" s="586">
        <v>3.9</v>
      </c>
      <c r="G326" s="586">
        <v>1.3</v>
      </c>
      <c r="H326" s="586">
        <v>0</v>
      </c>
      <c r="I326" s="552">
        <f t="shared" si="4"/>
        <v>5.07</v>
      </c>
      <c r="J326" s="553" t="s">
        <v>102</v>
      </c>
      <c r="K326" s="39"/>
      <c r="L326" s="208"/>
      <c r="M326" s="39"/>
      <c r="N326" s="536" t="s">
        <v>2318</v>
      </c>
    </row>
    <row r="327" spans="1:14" s="544" customFormat="1" ht="16.5" hidden="1" customHeight="1">
      <c r="A327" s="16"/>
      <c r="B327" s="582"/>
      <c r="C327" s="583">
        <v>1</v>
      </c>
      <c r="D327" s="584" t="s">
        <v>273</v>
      </c>
      <c r="E327" s="585">
        <v>1</v>
      </c>
      <c r="F327" s="586">
        <v>1.3</v>
      </c>
      <c r="G327" s="586">
        <v>1.2</v>
      </c>
      <c r="H327" s="586">
        <v>0</v>
      </c>
      <c r="I327" s="552">
        <f t="shared" si="4"/>
        <v>1.56</v>
      </c>
      <c r="J327" s="553" t="s">
        <v>102</v>
      </c>
      <c r="K327" s="39"/>
      <c r="L327" s="208"/>
      <c r="M327" s="39"/>
      <c r="N327" s="536"/>
    </row>
    <row r="328" spans="1:14" s="544" customFormat="1" ht="16.5" hidden="1" customHeight="1">
      <c r="A328" s="16"/>
      <c r="B328" s="582" t="s">
        <v>2533</v>
      </c>
      <c r="C328" s="583">
        <v>1</v>
      </c>
      <c r="D328" s="584" t="s">
        <v>273</v>
      </c>
      <c r="E328" s="585">
        <v>1</v>
      </c>
      <c r="F328" s="586">
        <v>1.35</v>
      </c>
      <c r="G328" s="586">
        <v>1.85</v>
      </c>
      <c r="H328" s="586">
        <v>0</v>
      </c>
      <c r="I328" s="552">
        <f t="shared" si="4"/>
        <v>2.5</v>
      </c>
      <c r="J328" s="553" t="s">
        <v>102</v>
      </c>
      <c r="K328" s="39"/>
      <c r="L328" s="208"/>
      <c r="M328" s="39"/>
      <c r="N328" s="536"/>
    </row>
    <row r="329" spans="1:14" s="544" customFormat="1" ht="16.5" hidden="1" customHeight="1">
      <c r="A329" s="16"/>
      <c r="B329" s="582" t="s">
        <v>314</v>
      </c>
      <c r="C329" s="583">
        <v>1</v>
      </c>
      <c r="D329" s="584" t="s">
        <v>273</v>
      </c>
      <c r="E329" s="585">
        <v>2</v>
      </c>
      <c r="F329" s="586">
        <v>1.25</v>
      </c>
      <c r="G329" s="586">
        <v>0.3</v>
      </c>
      <c r="H329" s="586">
        <v>0</v>
      </c>
      <c r="I329" s="552">
        <f t="shared" si="4"/>
        <v>0.75</v>
      </c>
      <c r="J329" s="553" t="s">
        <v>102</v>
      </c>
      <c r="K329" s="39"/>
      <c r="L329" s="208"/>
      <c r="M329" s="39"/>
      <c r="N329" s="536" t="s">
        <v>2318</v>
      </c>
    </row>
    <row r="330" spans="1:14" s="544" customFormat="1" ht="16.5" hidden="1" customHeight="1">
      <c r="A330" s="16"/>
      <c r="B330" s="582"/>
      <c r="C330" s="583">
        <v>1</v>
      </c>
      <c r="D330" s="584" t="s">
        <v>273</v>
      </c>
      <c r="E330" s="585">
        <v>2</v>
      </c>
      <c r="F330" s="586">
        <v>1.3</v>
      </c>
      <c r="G330" s="586">
        <v>0.3</v>
      </c>
      <c r="H330" s="586">
        <v>0</v>
      </c>
      <c r="I330" s="552">
        <f t="shared" si="4"/>
        <v>0.78</v>
      </c>
      <c r="J330" s="553" t="s">
        <v>102</v>
      </c>
      <c r="K330" s="39"/>
      <c r="L330" s="208"/>
      <c r="M330" s="39"/>
      <c r="N330" s="536" t="s">
        <v>2318</v>
      </c>
    </row>
    <row r="331" spans="1:14" s="544" customFormat="1" ht="16.5" hidden="1" customHeight="1">
      <c r="A331" s="16"/>
      <c r="B331" s="582" t="s">
        <v>314</v>
      </c>
      <c r="C331" s="583">
        <v>1</v>
      </c>
      <c r="D331" s="584" t="s">
        <v>273</v>
      </c>
      <c r="E331" s="585">
        <v>2</v>
      </c>
      <c r="F331" s="586">
        <v>1.85</v>
      </c>
      <c r="G331" s="586">
        <v>0.3</v>
      </c>
      <c r="H331" s="586">
        <v>0</v>
      </c>
      <c r="I331" s="552">
        <f t="shared" si="4"/>
        <v>1.1100000000000001</v>
      </c>
      <c r="J331" s="553" t="s">
        <v>102</v>
      </c>
      <c r="K331" s="39"/>
      <c r="L331" s="208"/>
      <c r="M331" s="39"/>
      <c r="N331" s="536" t="s">
        <v>2318</v>
      </c>
    </row>
    <row r="332" spans="1:14" s="544" customFormat="1" ht="16.5" hidden="1" customHeight="1">
      <c r="A332" s="16"/>
      <c r="B332" s="547"/>
      <c r="C332" s="548"/>
      <c r="D332" s="549"/>
      <c r="E332" s="550"/>
      <c r="F332" s="551"/>
      <c r="G332" s="551"/>
      <c r="H332" s="551"/>
      <c r="I332" s="552"/>
      <c r="J332" s="553"/>
      <c r="K332" s="39"/>
      <c r="L332" s="208"/>
      <c r="M332" s="39"/>
      <c r="N332" s="536" t="s">
        <v>2318</v>
      </c>
    </row>
    <row r="333" spans="1:14" ht="15.75" hidden="1">
      <c r="A333" s="16"/>
      <c r="B333" s="39"/>
      <c r="C333" s="554"/>
      <c r="D333" s="555"/>
      <c r="E333" s="540"/>
      <c r="F333" s="541"/>
      <c r="G333" s="40"/>
      <c r="H333" s="16"/>
      <c r="I333" s="552"/>
      <c r="J333" s="553" t="s">
        <v>102</v>
      </c>
      <c r="K333" s="10">
        <f>'data 2022-23'!E714</f>
        <v>801.83</v>
      </c>
      <c r="L333" s="208" t="s">
        <v>2437</v>
      </c>
      <c r="M333" s="9">
        <f>ROUND(I333*K333,0)</f>
        <v>0</v>
      </c>
      <c r="N333" s="536" t="s">
        <v>2318</v>
      </c>
    </row>
    <row r="334" spans="1:14" ht="94.5" hidden="1" customHeight="1">
      <c r="A334" s="16">
        <v>8</v>
      </c>
      <c r="B334" s="1858" t="s">
        <v>214</v>
      </c>
      <c r="C334" s="1858"/>
      <c r="D334" s="1858"/>
      <c r="E334" s="1858"/>
      <c r="F334" s="1858"/>
      <c r="G334" s="1858"/>
      <c r="H334" s="1858"/>
      <c r="I334" s="537"/>
      <c r="J334" s="538"/>
      <c r="K334" s="16"/>
      <c r="L334" s="208"/>
      <c r="M334" s="38"/>
      <c r="N334" s="536" t="s">
        <v>2318</v>
      </c>
    </row>
    <row r="335" spans="1:14" s="544" customFormat="1" ht="16.5" hidden="1" customHeight="1">
      <c r="A335" s="16"/>
      <c r="B335" s="39" t="s">
        <v>2534</v>
      </c>
      <c r="C335" s="566"/>
      <c r="D335" s="567"/>
      <c r="E335" s="568"/>
      <c r="F335" s="569"/>
      <c r="G335" s="569"/>
      <c r="H335" s="570"/>
      <c r="I335" s="571"/>
      <c r="J335" s="553"/>
      <c r="K335" s="39"/>
      <c r="L335" s="16"/>
      <c r="M335" s="39"/>
      <c r="N335" s="536" t="s">
        <v>2318</v>
      </c>
    </row>
    <row r="336" spans="1:14" s="544" customFormat="1" ht="15.75" hidden="1">
      <c r="A336" s="16"/>
      <c r="B336" s="582" t="s">
        <v>2535</v>
      </c>
      <c r="C336" s="583">
        <v>1</v>
      </c>
      <c r="D336" s="584" t="s">
        <v>273</v>
      </c>
      <c r="E336" s="585">
        <v>1</v>
      </c>
      <c r="F336" s="586">
        <v>5.78</v>
      </c>
      <c r="G336" s="586">
        <v>0</v>
      </c>
      <c r="H336" s="586">
        <v>2.0299999999999998</v>
      </c>
      <c r="I336" s="552">
        <f>ROUND(IF(AND(F336:H336),C336*E336*F336*G336*H336,IF(AND(F336,G336),C336*E336*F336*G336,IF(AND(F336,H336),C336*E336*F336*H336,IF(AND(G336,H336),C336*E336*G336*H336,IF(F336,C336*E336*F336,IF(G336,C336*E336*G336,IF(H336,C336*E336*H336,C336*E336))))))),2)</f>
        <v>11.73</v>
      </c>
      <c r="J336" s="553" t="s">
        <v>102</v>
      </c>
      <c r="K336" s="39"/>
      <c r="L336" s="208"/>
      <c r="M336" s="39"/>
      <c r="N336" s="536" t="s">
        <v>2318</v>
      </c>
    </row>
    <row r="337" spans="1:14" s="544" customFormat="1" ht="15.75" hidden="1">
      <c r="A337" s="16"/>
      <c r="B337" s="582" t="s">
        <v>579</v>
      </c>
      <c r="C337" s="583">
        <v>1</v>
      </c>
      <c r="D337" s="584" t="s">
        <v>273</v>
      </c>
      <c r="E337" s="585">
        <v>1</v>
      </c>
      <c r="F337" s="586">
        <v>0.81</v>
      </c>
      <c r="G337" s="586">
        <v>0</v>
      </c>
      <c r="H337" s="586">
        <v>2.0299999999999998</v>
      </c>
      <c r="I337" s="552">
        <f>-ROUND(IF(AND(F337:H337),C337*E337*F337*G337*H337,IF(AND(F337,G337),C337*E337*F337*G337,IF(AND(F337,H337),C337*E337*F337*H337,IF(AND(G337,H337),C337*E337*G337*H337,IF(F337,C337*E337*F337,IF(G337,C337*E337*G337,IF(H337,C337*E337*H337,C337*E337))))))),2)</f>
        <v>-1.64</v>
      </c>
      <c r="J337" s="553" t="s">
        <v>102</v>
      </c>
      <c r="K337" s="39"/>
      <c r="L337" s="208"/>
      <c r="M337" s="39"/>
      <c r="N337" s="536" t="s">
        <v>2318</v>
      </c>
    </row>
    <row r="338" spans="1:14" s="544" customFormat="1" ht="15.75" hidden="1">
      <c r="A338" s="16"/>
      <c r="B338" s="582" t="s">
        <v>2536</v>
      </c>
      <c r="C338" s="583">
        <v>1</v>
      </c>
      <c r="D338" s="584" t="s">
        <v>273</v>
      </c>
      <c r="E338" s="585">
        <v>1</v>
      </c>
      <c r="F338" s="586">
        <v>6.4</v>
      </c>
      <c r="G338" s="586">
        <v>0</v>
      </c>
      <c r="H338" s="586">
        <v>2.0299999999999998</v>
      </c>
      <c r="I338" s="552">
        <f>ROUND(IF(AND(F338:H338),C338*E338*F338*G338*H338,IF(AND(F338,G338),C338*E338*F338*G338,IF(AND(F338,H338),C338*E338*F338*H338,IF(AND(G338,H338),C338*E338*G338*H338,IF(F338,C338*E338*F338,IF(G338,C338*E338*G338,IF(H338,C338*E338*H338,C338*E338))))))),2)</f>
        <v>12.99</v>
      </c>
      <c r="J338" s="553" t="s">
        <v>102</v>
      </c>
      <c r="K338" s="39"/>
      <c r="L338" s="208"/>
      <c r="M338" s="39"/>
      <c r="N338" s="536" t="s">
        <v>2318</v>
      </c>
    </row>
    <row r="339" spans="1:14" s="544" customFormat="1" ht="15.75" hidden="1">
      <c r="A339" s="16"/>
      <c r="B339" s="582" t="s">
        <v>579</v>
      </c>
      <c r="C339" s="583">
        <v>1</v>
      </c>
      <c r="D339" s="584" t="s">
        <v>273</v>
      </c>
      <c r="E339" s="585">
        <v>1</v>
      </c>
      <c r="F339" s="586">
        <v>0.83</v>
      </c>
      <c r="G339" s="586">
        <v>0</v>
      </c>
      <c r="H339" s="586">
        <v>2.0299999999999998</v>
      </c>
      <c r="I339" s="552">
        <f>-ROUND(IF(AND(F339:H339),C339*E339*F339*G339*H339,IF(AND(F339,G339),C339*E339*F339*G339,IF(AND(F339,H339),C339*E339*F339*H339,IF(AND(G339,H339),C339*E339*G339*H339,IF(F339,C339*E339*F339,IF(G339,C339*E339*G339,IF(H339,C339*E339*H339,C339*E339))))))),2)</f>
        <v>-1.68</v>
      </c>
      <c r="J339" s="553" t="s">
        <v>102</v>
      </c>
      <c r="K339" s="39"/>
      <c r="L339" s="208"/>
      <c r="M339" s="39"/>
      <c r="N339" s="536" t="s">
        <v>2318</v>
      </c>
    </row>
    <row r="340" spans="1:14" s="544" customFormat="1" ht="16.5" hidden="1" customHeight="1">
      <c r="A340" s="16"/>
      <c r="B340" s="547"/>
      <c r="C340" s="548"/>
      <c r="D340" s="549"/>
      <c r="E340" s="550"/>
      <c r="F340" s="551"/>
      <c r="G340" s="551"/>
      <c r="H340" s="551"/>
      <c r="I340" s="552"/>
      <c r="J340" s="553"/>
      <c r="K340" s="39"/>
      <c r="L340" s="208"/>
      <c r="M340" s="39"/>
      <c r="N340" s="536" t="s">
        <v>2318</v>
      </c>
    </row>
    <row r="341" spans="1:14" ht="15.75" hidden="1">
      <c r="A341" s="16"/>
      <c r="B341" s="39"/>
      <c r="C341" s="554"/>
      <c r="D341" s="555"/>
      <c r="E341" s="540"/>
      <c r="F341" s="541"/>
      <c r="G341" s="40"/>
      <c r="H341" s="16"/>
      <c r="I341" s="552"/>
      <c r="J341" s="553" t="s">
        <v>102</v>
      </c>
      <c r="K341" s="10">
        <f>'data 2022-23'!E731</f>
        <v>518.15</v>
      </c>
      <c r="L341" s="208" t="s">
        <v>2437</v>
      </c>
      <c r="M341" s="9">
        <f>ROUND(I341*K341,0)</f>
        <v>0</v>
      </c>
      <c r="N341" s="536" t="s">
        <v>2318</v>
      </c>
    </row>
    <row r="342" spans="1:14" ht="81.75" hidden="1" customHeight="1">
      <c r="A342" s="16">
        <v>25</v>
      </c>
      <c r="B342" s="1858" t="s">
        <v>1203</v>
      </c>
      <c r="C342" s="1858"/>
      <c r="D342" s="1858"/>
      <c r="E342" s="1858"/>
      <c r="F342" s="1858"/>
      <c r="G342" s="1858"/>
      <c r="H342" s="1858"/>
      <c r="I342" s="537"/>
      <c r="J342" s="538"/>
      <c r="K342" s="16"/>
      <c r="L342" s="208"/>
      <c r="M342" s="38"/>
      <c r="N342" s="536" t="s">
        <v>2318</v>
      </c>
    </row>
    <row r="343" spans="1:14" s="544" customFormat="1" ht="16.5" hidden="1" customHeight="1">
      <c r="A343" s="16"/>
      <c r="B343" s="39" t="s">
        <v>2836</v>
      </c>
      <c r="C343" s="566"/>
      <c r="D343" s="567"/>
      <c r="E343" s="568"/>
      <c r="F343" s="569"/>
      <c r="G343" s="569"/>
      <c r="H343" s="570"/>
      <c r="I343" s="571"/>
      <c r="J343" s="553"/>
      <c r="K343" s="39"/>
      <c r="L343" s="16"/>
      <c r="M343" s="39"/>
      <c r="N343" s="536" t="s">
        <v>2318</v>
      </c>
    </row>
    <row r="344" spans="1:14" s="544" customFormat="1" ht="16.5" hidden="1" customHeight="1">
      <c r="A344" s="16"/>
      <c r="B344" s="547" t="s">
        <v>1618</v>
      </c>
      <c r="C344" s="548">
        <v>1</v>
      </c>
      <c r="D344" s="549" t="s">
        <v>273</v>
      </c>
      <c r="E344" s="550">
        <v>2</v>
      </c>
      <c r="F344" s="551">
        <v>1</v>
      </c>
      <c r="G344" s="551">
        <v>0</v>
      </c>
      <c r="H344" s="551">
        <v>1</v>
      </c>
      <c r="I344" s="552">
        <f>ROUND(IF(AND(F344:H344),C344*E344*F344*G344*H344,IF(AND(F344,G344),C344*E344*F344*G344,IF(AND(F344,H344),C344*E344*F344*H344,IF(AND(G344,H344),C344*E344*G344*H344,IF(F344,C344*E344*F344,IF(G344,C344*E344*G344,IF(H344,C344*E344*H344,C344*E344))))))),2)</f>
        <v>2</v>
      </c>
      <c r="J344" s="553" t="s">
        <v>102</v>
      </c>
      <c r="K344" s="39"/>
      <c r="L344" s="16"/>
      <c r="M344" s="39"/>
      <c r="N344" s="536" t="s">
        <v>2318</v>
      </c>
    </row>
    <row r="345" spans="1:14" s="544" customFormat="1" ht="16.5" hidden="1" customHeight="1">
      <c r="A345" s="16"/>
      <c r="B345" s="547" t="s">
        <v>1619</v>
      </c>
      <c r="C345" s="548">
        <v>1</v>
      </c>
      <c r="D345" s="549" t="s">
        <v>273</v>
      </c>
      <c r="E345" s="550">
        <v>2</v>
      </c>
      <c r="F345" s="551">
        <v>3.15</v>
      </c>
      <c r="G345" s="551">
        <v>0</v>
      </c>
      <c r="H345" s="551">
        <v>1</v>
      </c>
      <c r="I345" s="552">
        <f>ROUND(IF(AND(F345:H345),C345*E345*F345*G345*H345,IF(AND(F345,G345),C345*E345*F345*G345,IF(AND(F345,H345),C345*E345*F345*H345,IF(AND(G345,H345),C345*E345*G345*H345,IF(F345,C345*E345*F345,IF(G345,C345*E345*G345,IF(H345,C345*E345*H345,C345*E345))))))),2)</f>
        <v>6.3</v>
      </c>
      <c r="J345" s="553" t="s">
        <v>102</v>
      </c>
      <c r="K345" s="39"/>
      <c r="L345" s="16"/>
      <c r="M345" s="39"/>
      <c r="N345" s="536" t="s">
        <v>2318</v>
      </c>
    </row>
    <row r="346" spans="1:14" s="544" customFormat="1" ht="16.5" hidden="1" customHeight="1">
      <c r="A346" s="16"/>
      <c r="B346" s="547" t="s">
        <v>1619</v>
      </c>
      <c r="C346" s="548">
        <v>1</v>
      </c>
      <c r="D346" s="549" t="s">
        <v>273</v>
      </c>
      <c r="E346" s="550">
        <v>2</v>
      </c>
      <c r="F346" s="551">
        <v>2</v>
      </c>
      <c r="G346" s="551">
        <v>0</v>
      </c>
      <c r="H346" s="551">
        <v>1.9</v>
      </c>
      <c r="I346" s="552">
        <f>ROUND(IF(AND(F346:H346),C346*E346*F346*G346*H346,IF(AND(F346,G346),C346*E346*F346*G346,IF(AND(F346,H346),C346*E346*F346*H346,IF(AND(G346,H346),C346*E346*G346*H346,IF(F346,C346*E346*F346,IF(G346,C346*E346*G346,IF(H346,C346*E346*H346,C346*E346))))))),2)</f>
        <v>7.6</v>
      </c>
      <c r="J346" s="553" t="s">
        <v>102</v>
      </c>
      <c r="K346" s="39"/>
      <c r="L346" s="16"/>
      <c r="M346" s="39"/>
      <c r="N346" s="536" t="s">
        <v>2318</v>
      </c>
    </row>
    <row r="347" spans="1:14" s="544" customFormat="1" ht="16.5" hidden="1" customHeight="1">
      <c r="A347" s="16"/>
      <c r="B347" s="547"/>
      <c r="C347" s="548"/>
      <c r="D347" s="549"/>
      <c r="E347" s="550"/>
      <c r="F347" s="551"/>
      <c r="G347" s="551"/>
      <c r="H347" s="551"/>
      <c r="I347" s="552"/>
      <c r="J347" s="580"/>
      <c r="K347" s="39"/>
      <c r="L347" s="16"/>
      <c r="M347" s="39"/>
      <c r="N347" s="536" t="s">
        <v>2318</v>
      </c>
    </row>
    <row r="348" spans="1:14" ht="15.75" hidden="1">
      <c r="A348" s="16"/>
      <c r="B348" s="39"/>
      <c r="C348" s="554"/>
      <c r="D348" s="555"/>
      <c r="E348" s="540"/>
      <c r="F348" s="541"/>
      <c r="G348" s="40"/>
      <c r="H348" s="16"/>
      <c r="I348" s="552"/>
      <c r="J348" s="580" t="s">
        <v>102</v>
      </c>
      <c r="K348" s="10">
        <f>'data 2022-23'!E759</f>
        <v>1017.93</v>
      </c>
      <c r="L348" s="208" t="s">
        <v>2437</v>
      </c>
      <c r="M348" s="9">
        <f>ROUND(I348*K348,0)</f>
        <v>0</v>
      </c>
      <c r="N348" s="536" t="s">
        <v>2318</v>
      </c>
    </row>
    <row r="349" spans="1:14" ht="81.75" hidden="1" customHeight="1">
      <c r="A349" s="16">
        <v>25</v>
      </c>
      <c r="B349" s="1858" t="s">
        <v>2255</v>
      </c>
      <c r="C349" s="1858"/>
      <c r="D349" s="1858"/>
      <c r="E349" s="1858"/>
      <c r="F349" s="1858"/>
      <c r="G349" s="1858"/>
      <c r="H349" s="1858"/>
      <c r="I349" s="537"/>
      <c r="J349" s="538"/>
      <c r="K349" s="16"/>
      <c r="L349" s="208"/>
      <c r="M349" s="38"/>
      <c r="N349" s="536" t="s">
        <v>2318</v>
      </c>
    </row>
    <row r="350" spans="1:14" s="544" customFormat="1" ht="16.5" hidden="1" customHeight="1">
      <c r="A350" s="16"/>
      <c r="B350" s="39" t="s">
        <v>2836</v>
      </c>
      <c r="C350" s="566"/>
      <c r="D350" s="567"/>
      <c r="E350" s="568"/>
      <c r="F350" s="569"/>
      <c r="G350" s="569"/>
      <c r="H350" s="570"/>
      <c r="I350" s="571"/>
      <c r="J350" s="553"/>
      <c r="K350" s="39"/>
      <c r="L350" s="16"/>
      <c r="M350" s="39"/>
      <c r="N350" s="536" t="s">
        <v>2318</v>
      </c>
    </row>
    <row r="351" spans="1:14" s="544" customFormat="1" ht="16.5" hidden="1" customHeight="1">
      <c r="A351" s="16"/>
      <c r="B351" s="547" t="s">
        <v>1618</v>
      </c>
      <c r="C351" s="548">
        <v>1</v>
      </c>
      <c r="D351" s="549" t="s">
        <v>273</v>
      </c>
      <c r="E351" s="550">
        <v>2</v>
      </c>
      <c r="F351" s="551">
        <v>1</v>
      </c>
      <c r="G351" s="551">
        <v>0</v>
      </c>
      <c r="H351" s="551">
        <v>1</v>
      </c>
      <c r="I351" s="552">
        <f>ROUND(IF(AND(F351:H351),C351*E351*F351*G351*H351,IF(AND(F351,G351),C351*E351*F351*G351,IF(AND(F351,H351),C351*E351*F351*H351,IF(AND(G351,H351),C351*E351*G351*H351,IF(F351,C351*E351*F351,IF(G351,C351*E351*G351,IF(H351,C351*E351*H351,C351*E351))))))),2)</f>
        <v>2</v>
      </c>
      <c r="J351" s="553" t="s">
        <v>102</v>
      </c>
      <c r="K351" s="39"/>
      <c r="L351" s="16"/>
      <c r="M351" s="39"/>
      <c r="N351" s="536" t="s">
        <v>2318</v>
      </c>
    </row>
    <row r="352" spans="1:14" s="544" customFormat="1" ht="16.5" hidden="1" customHeight="1">
      <c r="A352" s="16"/>
      <c r="B352" s="547" t="s">
        <v>1619</v>
      </c>
      <c r="C352" s="548">
        <v>1</v>
      </c>
      <c r="D352" s="549" t="s">
        <v>273</v>
      </c>
      <c r="E352" s="550">
        <v>2</v>
      </c>
      <c r="F352" s="551">
        <v>3.15</v>
      </c>
      <c r="G352" s="551">
        <v>0</v>
      </c>
      <c r="H352" s="551">
        <v>1</v>
      </c>
      <c r="I352" s="552">
        <f>ROUND(IF(AND(F352:H352),C352*E352*F352*G352*H352,IF(AND(F352,G352),C352*E352*F352*G352,IF(AND(F352,H352),C352*E352*F352*H352,IF(AND(G352,H352),C352*E352*G352*H352,IF(F352,C352*E352*F352,IF(G352,C352*E352*G352,IF(H352,C352*E352*H352,C352*E352))))))),2)</f>
        <v>6.3</v>
      </c>
      <c r="J352" s="553" t="s">
        <v>102</v>
      </c>
      <c r="K352" s="39"/>
      <c r="L352" s="16"/>
      <c r="M352" s="39"/>
      <c r="N352" s="536" t="s">
        <v>2318</v>
      </c>
    </row>
    <row r="353" spans="1:14" s="544" customFormat="1" ht="16.5" hidden="1" customHeight="1">
      <c r="A353" s="16"/>
      <c r="B353" s="547" t="s">
        <v>1619</v>
      </c>
      <c r="C353" s="548">
        <v>1</v>
      </c>
      <c r="D353" s="549" t="s">
        <v>273</v>
      </c>
      <c r="E353" s="550">
        <v>2</v>
      </c>
      <c r="F353" s="551">
        <v>2</v>
      </c>
      <c r="G353" s="551">
        <v>0</v>
      </c>
      <c r="H353" s="551">
        <v>1.9</v>
      </c>
      <c r="I353" s="552">
        <f>ROUND(IF(AND(F353:H353),C353*E353*F353*G353*H353,IF(AND(F353,G353),C353*E353*F353*G353,IF(AND(F353,H353),C353*E353*F353*H353,IF(AND(G353,H353),C353*E353*G353*H353,IF(F353,C353*E353*F353,IF(G353,C353*E353*G353,IF(H353,C353*E353*H353,C353*E353))))))),2)</f>
        <v>7.6</v>
      </c>
      <c r="J353" s="553" t="s">
        <v>102</v>
      </c>
      <c r="K353" s="39"/>
      <c r="L353" s="16"/>
      <c r="M353" s="39"/>
      <c r="N353" s="536" t="s">
        <v>2318</v>
      </c>
    </row>
    <row r="354" spans="1:14" s="544" customFormat="1" ht="16.5" hidden="1" customHeight="1">
      <c r="A354" s="16"/>
      <c r="B354" s="547"/>
      <c r="C354" s="548"/>
      <c r="D354" s="549"/>
      <c r="E354" s="550"/>
      <c r="F354" s="551"/>
      <c r="G354" s="551"/>
      <c r="H354" s="551"/>
      <c r="I354" s="552"/>
      <c r="J354" s="580"/>
      <c r="K354" s="39"/>
      <c r="L354" s="16"/>
      <c r="M354" s="39"/>
      <c r="N354" s="536" t="s">
        <v>2318</v>
      </c>
    </row>
    <row r="355" spans="1:14" ht="15.75" hidden="1">
      <c r="A355" s="16"/>
      <c r="B355" s="39"/>
      <c r="C355" s="554"/>
      <c r="D355" s="555"/>
      <c r="E355" s="540"/>
      <c r="F355" s="541"/>
      <c r="G355" s="40"/>
      <c r="H355" s="16"/>
      <c r="I355" s="552"/>
      <c r="J355" s="580" t="s">
        <v>102</v>
      </c>
      <c r="K355" s="10">
        <f>'data 2022-23'!G764</f>
        <v>610</v>
      </c>
      <c r="L355" s="208" t="s">
        <v>2437</v>
      </c>
      <c r="M355" s="9">
        <f>ROUND(I355*K355,0)</f>
        <v>0</v>
      </c>
      <c r="N355" s="536" t="s">
        <v>2318</v>
      </c>
    </row>
    <row r="356" spans="1:14" ht="96" hidden="1" customHeight="1">
      <c r="A356" s="16">
        <v>25</v>
      </c>
      <c r="B356" s="1858" t="s">
        <v>2259</v>
      </c>
      <c r="C356" s="1858"/>
      <c r="D356" s="1858"/>
      <c r="E356" s="1858"/>
      <c r="F356" s="1858"/>
      <c r="G356" s="1858"/>
      <c r="H356" s="1858"/>
      <c r="I356" s="537"/>
      <c r="J356" s="538"/>
      <c r="K356" s="16"/>
      <c r="L356" s="208"/>
      <c r="M356" s="38"/>
      <c r="N356" s="536" t="s">
        <v>2318</v>
      </c>
    </row>
    <row r="357" spans="1:14" s="544" customFormat="1" ht="16.5" hidden="1" customHeight="1">
      <c r="A357" s="16"/>
      <c r="B357" s="39" t="s">
        <v>2836</v>
      </c>
      <c r="C357" s="566"/>
      <c r="D357" s="567"/>
      <c r="E357" s="568"/>
      <c r="F357" s="569"/>
      <c r="G357" s="569"/>
      <c r="H357" s="570"/>
      <c r="I357" s="571"/>
      <c r="J357" s="553"/>
      <c r="K357" s="39"/>
      <c r="L357" s="16"/>
      <c r="M357" s="39"/>
      <c r="N357" s="536" t="s">
        <v>2318</v>
      </c>
    </row>
    <row r="358" spans="1:14" s="544" customFormat="1" ht="16.5" hidden="1" customHeight="1">
      <c r="A358" s="16"/>
      <c r="B358" s="547" t="s">
        <v>1618</v>
      </c>
      <c r="C358" s="548">
        <v>1</v>
      </c>
      <c r="D358" s="549" t="s">
        <v>273</v>
      </c>
      <c r="E358" s="550">
        <v>2</v>
      </c>
      <c r="F358" s="551">
        <v>1</v>
      </c>
      <c r="G358" s="551">
        <v>0</v>
      </c>
      <c r="H358" s="551">
        <v>1</v>
      </c>
      <c r="I358" s="552">
        <f>ROUND(IF(AND(F358:H358),C358*E358*F358*G358*H358,IF(AND(F358,G358),C358*E358*F358*G358,IF(AND(F358,H358),C358*E358*F358*H358,IF(AND(G358,H358),C358*E358*G358*H358,IF(F358,C358*E358*F358,IF(G358,C358*E358*G358,IF(H358,C358*E358*H358,C358*E358))))))),2)</f>
        <v>2</v>
      </c>
      <c r="J358" s="553" t="s">
        <v>102</v>
      </c>
      <c r="K358" s="39"/>
      <c r="L358" s="16"/>
      <c r="M358" s="39"/>
      <c r="N358" s="536" t="s">
        <v>2318</v>
      </c>
    </row>
    <row r="359" spans="1:14" s="544" customFormat="1" ht="16.5" hidden="1" customHeight="1">
      <c r="A359" s="16"/>
      <c r="B359" s="547" t="s">
        <v>1619</v>
      </c>
      <c r="C359" s="548">
        <v>1</v>
      </c>
      <c r="D359" s="549" t="s">
        <v>273</v>
      </c>
      <c r="E359" s="550">
        <v>2</v>
      </c>
      <c r="F359" s="551">
        <v>3.15</v>
      </c>
      <c r="G359" s="551">
        <v>0</v>
      </c>
      <c r="H359" s="551">
        <v>1</v>
      </c>
      <c r="I359" s="552">
        <f>ROUND(IF(AND(F359:H359),C359*E359*F359*G359*H359,IF(AND(F359,G359),C359*E359*F359*G359,IF(AND(F359,H359),C359*E359*F359*H359,IF(AND(G359,H359),C359*E359*G359*H359,IF(F359,C359*E359*F359,IF(G359,C359*E359*G359,IF(H359,C359*E359*H359,C359*E359))))))),2)</f>
        <v>6.3</v>
      </c>
      <c r="J359" s="553" t="s">
        <v>102</v>
      </c>
      <c r="K359" s="39"/>
      <c r="L359" s="16"/>
      <c r="M359" s="39"/>
      <c r="N359" s="536" t="s">
        <v>2318</v>
      </c>
    </row>
    <row r="360" spans="1:14" s="544" customFormat="1" ht="16.5" hidden="1" customHeight="1">
      <c r="A360" s="16"/>
      <c r="B360" s="547" t="s">
        <v>1619</v>
      </c>
      <c r="C360" s="548">
        <v>1</v>
      </c>
      <c r="D360" s="549" t="s">
        <v>273</v>
      </c>
      <c r="E360" s="550">
        <v>2</v>
      </c>
      <c r="F360" s="551">
        <v>2</v>
      </c>
      <c r="G360" s="551">
        <v>0</v>
      </c>
      <c r="H360" s="551">
        <v>1.9</v>
      </c>
      <c r="I360" s="552">
        <f>ROUND(IF(AND(F360:H360),C360*E360*F360*G360*H360,IF(AND(F360,G360),C360*E360*F360*G360,IF(AND(F360,H360),C360*E360*F360*H360,IF(AND(G360,H360),C360*E360*G360*H360,IF(F360,C360*E360*F360,IF(G360,C360*E360*G360,IF(H360,C360*E360*H360,C360*E360))))))),2)</f>
        <v>7.6</v>
      </c>
      <c r="J360" s="553" t="s">
        <v>102</v>
      </c>
      <c r="K360" s="39"/>
      <c r="L360" s="16"/>
      <c r="M360" s="39"/>
      <c r="N360" s="536" t="s">
        <v>2318</v>
      </c>
    </row>
    <row r="361" spans="1:14" s="544" customFormat="1" ht="16.5" hidden="1" customHeight="1">
      <c r="A361" s="16"/>
      <c r="B361" s="547"/>
      <c r="C361" s="548"/>
      <c r="D361" s="549"/>
      <c r="E361" s="550"/>
      <c r="F361" s="551"/>
      <c r="G361" s="551"/>
      <c r="H361" s="551"/>
      <c r="I361" s="552"/>
      <c r="J361" s="580"/>
      <c r="K361" s="39"/>
      <c r="L361" s="16"/>
      <c r="M361" s="39"/>
      <c r="N361" s="536" t="s">
        <v>2318</v>
      </c>
    </row>
    <row r="362" spans="1:14" ht="15.75" hidden="1">
      <c r="A362" s="16"/>
      <c r="B362" s="39"/>
      <c r="C362" s="554"/>
      <c r="D362" s="555"/>
      <c r="E362" s="540"/>
      <c r="F362" s="541"/>
      <c r="G362" s="40"/>
      <c r="H362" s="16"/>
      <c r="I362" s="552"/>
      <c r="J362" s="580" t="s">
        <v>102</v>
      </c>
      <c r="K362" s="10">
        <f>'data 2022-23'!E780</f>
        <v>345.47</v>
      </c>
      <c r="L362" s="208" t="s">
        <v>2437</v>
      </c>
      <c r="M362" s="9">
        <f>ROUND(I362*K362,0)</f>
        <v>0</v>
      </c>
      <c r="N362" s="536" t="s">
        <v>2318</v>
      </c>
    </row>
    <row r="363" spans="1:14" ht="66" hidden="1" customHeight="1">
      <c r="A363" s="16">
        <v>26</v>
      </c>
      <c r="B363" s="1858" t="s">
        <v>1193</v>
      </c>
      <c r="C363" s="1858"/>
      <c r="D363" s="1858"/>
      <c r="E363" s="1858"/>
      <c r="F363" s="1858"/>
      <c r="G363" s="1858"/>
      <c r="H363" s="1858"/>
      <c r="I363" s="537"/>
      <c r="J363" s="538"/>
      <c r="K363" s="16"/>
      <c r="L363" s="208"/>
      <c r="M363" s="38"/>
      <c r="N363" s="536" t="s">
        <v>2318</v>
      </c>
    </row>
    <row r="364" spans="1:14" s="544" customFormat="1" ht="16.5" hidden="1" customHeight="1">
      <c r="A364" s="16"/>
      <c r="B364" s="39" t="s">
        <v>2866</v>
      </c>
      <c r="C364" s="566"/>
      <c r="D364" s="567"/>
      <c r="E364" s="568"/>
      <c r="F364" s="569"/>
      <c r="G364" s="569"/>
      <c r="H364" s="570"/>
      <c r="I364" s="571"/>
      <c r="J364" s="553"/>
      <c r="K364" s="39"/>
      <c r="L364" s="208"/>
      <c r="M364" s="39"/>
      <c r="N364" s="536" t="s">
        <v>2318</v>
      </c>
    </row>
    <row r="365" spans="1:14" s="544" customFormat="1" ht="16.5" hidden="1" customHeight="1">
      <c r="A365" s="16"/>
      <c r="B365" s="39" t="s">
        <v>799</v>
      </c>
      <c r="C365" s="537">
        <v>1</v>
      </c>
      <c r="D365" s="539" t="s">
        <v>273</v>
      </c>
      <c r="E365" s="540">
        <v>1</v>
      </c>
      <c r="F365" s="541">
        <v>8.5</v>
      </c>
      <c r="G365" s="541">
        <v>4.95</v>
      </c>
      <c r="H365" s="541">
        <v>0</v>
      </c>
      <c r="I365" s="545">
        <f>ROUND(IF(AND(F365:H365),C365*E365*F365*G365*H365,IF(AND(F365,G365),C365*E365*F365*G365,IF(AND(F365,H365),C365*E365*F365*H365,IF(AND(G365,H365),C365*E365*G365*H365,IF(F365,C365*E365*F365,IF(G365,C365*E365*G365,IF(H365,C365*E365*H365,C365*E365))))))),2)</f>
        <v>42.08</v>
      </c>
      <c r="J365" s="553" t="s">
        <v>102</v>
      </c>
      <c r="K365" s="39"/>
      <c r="L365" s="208"/>
      <c r="M365" s="39"/>
      <c r="N365" s="536" t="s">
        <v>2318</v>
      </c>
    </row>
    <row r="366" spans="1:14" s="544" customFormat="1" ht="16.5" hidden="1" customHeight="1">
      <c r="A366" s="16"/>
      <c r="B366" s="39" t="s">
        <v>817</v>
      </c>
      <c r="C366" s="537">
        <v>1</v>
      </c>
      <c r="D366" s="539" t="s">
        <v>273</v>
      </c>
      <c r="E366" s="540">
        <v>1</v>
      </c>
      <c r="F366" s="541">
        <v>6.25</v>
      </c>
      <c r="G366" s="541">
        <v>0</v>
      </c>
      <c r="H366" s="541">
        <v>3.6</v>
      </c>
      <c r="I366" s="545">
        <f>ROUND(IF(AND(F366:H366),C366*E366*F366*G366*H366,IF(AND(F366,G366),C366*E366*F366*G366,IF(AND(F366,H366),C366*E366*F366*H366,IF(AND(G366,H366),C366*E366*G366*H366,IF(F366,C366*E366*F366,IF(G366,C366*E366*G366,IF(H366,C366*E366*H366,C366*E366))))))),2)</f>
        <v>22.5</v>
      </c>
      <c r="J366" s="553" t="s">
        <v>102</v>
      </c>
      <c r="K366" s="39"/>
      <c r="L366" s="208"/>
      <c r="M366" s="39"/>
      <c r="N366" s="536" t="s">
        <v>2318</v>
      </c>
    </row>
    <row r="367" spans="1:14" s="544" customFormat="1" ht="16.5" hidden="1" customHeight="1">
      <c r="A367" s="16"/>
      <c r="B367" s="39" t="s">
        <v>816</v>
      </c>
      <c r="C367" s="537">
        <v>1</v>
      </c>
      <c r="D367" s="539" t="s">
        <v>273</v>
      </c>
      <c r="E367" s="540">
        <v>1</v>
      </c>
      <c r="F367" s="541">
        <v>5.45</v>
      </c>
      <c r="G367" s="541">
        <v>0</v>
      </c>
      <c r="H367" s="541">
        <v>3.2</v>
      </c>
      <c r="I367" s="545">
        <f>ROUND(IF(AND(F367:H367),C367*E367*F367*G367*H367,IF(AND(F367,G367),C367*E367*F367*G367,IF(AND(F367,H367),C367*E367*F367*H367,IF(AND(G367,H367),C367*E367*G367*H367,IF(F367,C367*E367*F367,IF(G367,C367*E367*G367,IF(H367,C367*E367*H367,C367*E367))))))),2)</f>
        <v>17.440000000000001</v>
      </c>
      <c r="J367" s="553" t="s">
        <v>102</v>
      </c>
      <c r="K367" s="39"/>
      <c r="L367" s="208"/>
      <c r="M367" s="39"/>
      <c r="N367" s="536" t="s">
        <v>2318</v>
      </c>
    </row>
    <row r="368" spans="1:14" s="544" customFormat="1" ht="16.5" hidden="1" customHeight="1">
      <c r="A368" s="16"/>
      <c r="B368" s="547"/>
      <c r="C368" s="548"/>
      <c r="D368" s="549"/>
      <c r="E368" s="587"/>
      <c r="F368" s="551"/>
      <c r="G368" s="551"/>
      <c r="H368" s="551"/>
      <c r="I368" s="552"/>
      <c r="J368" s="553"/>
      <c r="K368" s="39"/>
      <c r="L368" s="208"/>
      <c r="M368" s="39"/>
      <c r="N368" s="536" t="s">
        <v>2318</v>
      </c>
    </row>
    <row r="369" spans="1:14" ht="15.75" hidden="1">
      <c r="A369" s="16"/>
      <c r="B369" s="39"/>
      <c r="C369" s="554"/>
      <c r="D369" s="555"/>
      <c r="E369" s="540"/>
      <c r="F369" s="541"/>
      <c r="G369" s="40"/>
      <c r="H369" s="16"/>
      <c r="I369" s="552"/>
      <c r="J369" s="553" t="s">
        <v>102</v>
      </c>
      <c r="K369" s="10">
        <f>'data 2022-23'!E794</f>
        <v>24.05</v>
      </c>
      <c r="L369" s="208" t="s">
        <v>2437</v>
      </c>
      <c r="M369" s="9">
        <f>ROUND(I369*K369,0)</f>
        <v>0</v>
      </c>
      <c r="N369" s="536" t="s">
        <v>2318</v>
      </c>
    </row>
    <row r="370" spans="1:14" ht="117.75" hidden="1" customHeight="1">
      <c r="A370" s="16">
        <v>29</v>
      </c>
      <c r="B370" s="1858" t="s">
        <v>891</v>
      </c>
      <c r="C370" s="1858"/>
      <c r="D370" s="1858"/>
      <c r="E370" s="1858"/>
      <c r="F370" s="1858"/>
      <c r="G370" s="1858"/>
      <c r="H370" s="1858"/>
      <c r="I370" s="537"/>
      <c r="J370" s="538"/>
      <c r="K370" s="16"/>
      <c r="L370" s="208"/>
      <c r="M370" s="38"/>
      <c r="N370" s="536" t="s">
        <v>2318</v>
      </c>
    </row>
    <row r="371" spans="1:14" s="544" customFormat="1" ht="16.5" hidden="1" customHeight="1">
      <c r="A371" s="16"/>
      <c r="B371" s="39" t="s">
        <v>2823</v>
      </c>
      <c r="C371" s="537"/>
      <c r="D371" s="539"/>
      <c r="E371" s="540"/>
      <c r="F371" s="541"/>
      <c r="G371" s="541"/>
      <c r="H371" s="541"/>
      <c r="I371" s="542"/>
      <c r="J371" s="553"/>
      <c r="K371" s="39"/>
      <c r="L371" s="208"/>
      <c r="M371" s="39"/>
      <c r="N371" s="536" t="s">
        <v>2318</v>
      </c>
    </row>
    <row r="372" spans="1:14" s="544" customFormat="1" ht="16.5" hidden="1" customHeight="1">
      <c r="A372" s="16"/>
      <c r="B372" s="39" t="s">
        <v>818</v>
      </c>
      <c r="C372" s="537">
        <v>1</v>
      </c>
      <c r="D372" s="539" t="s">
        <v>273</v>
      </c>
      <c r="E372" s="540">
        <v>1</v>
      </c>
      <c r="F372" s="541">
        <v>26.74</v>
      </c>
      <c r="G372" s="541">
        <v>0</v>
      </c>
      <c r="H372" s="541">
        <v>3.25</v>
      </c>
      <c r="I372" s="545">
        <f>ROUND(IF(AND(F372:H372),C372*E372*F372*G372*H372,IF(AND(F372,G372),C372*E372*F372*G372,IF(AND(F372,H372),C372*E372*F372*H372,IF(AND(G372,H372),C372*E372*G372*H372,IF(F372,C372*E372*F372,IF(G372,C372*E372*G372,IF(H372,C372*E372*H372,C372*E372))))))),2)</f>
        <v>86.91</v>
      </c>
      <c r="J372" s="553" t="s">
        <v>102</v>
      </c>
      <c r="K372" s="39"/>
      <c r="L372" s="208"/>
      <c r="M372" s="39"/>
      <c r="N372" s="536" t="s">
        <v>2318</v>
      </c>
    </row>
    <row r="373" spans="1:14" s="544" customFormat="1" ht="16.5" hidden="1" customHeight="1">
      <c r="A373" s="16"/>
      <c r="B373" s="39" t="s">
        <v>581</v>
      </c>
      <c r="C373" s="537">
        <v>1</v>
      </c>
      <c r="D373" s="539" t="s">
        <v>273</v>
      </c>
      <c r="E373" s="540">
        <v>11</v>
      </c>
      <c r="F373" s="541">
        <v>0.6</v>
      </c>
      <c r="G373" s="541">
        <v>0</v>
      </c>
      <c r="H373" s="541">
        <v>0.3</v>
      </c>
      <c r="I373" s="545">
        <f>-ROUND(IF(AND(F373:H373),C373*E373*F373*G373*H373,IF(AND(F373,G373),C373*E373*F373*G373,IF(AND(F373,H373),C373*E373*F373*H373,IF(AND(G373,H373),C373*E373*G373*H373,IF(F373,C373*E373*F373,IF(G373,C373*E373*G373,IF(H373,C373*E373*H373,C373*E373))))))),2)</f>
        <v>-1.98</v>
      </c>
      <c r="J373" s="553" t="s">
        <v>102</v>
      </c>
      <c r="K373" s="39"/>
      <c r="L373" s="208"/>
      <c r="M373" s="39"/>
      <c r="N373" s="536" t="s">
        <v>2318</v>
      </c>
    </row>
    <row r="374" spans="1:14" s="544" customFormat="1" ht="16.5" hidden="1" customHeight="1">
      <c r="A374" s="16"/>
      <c r="B374" s="39" t="s">
        <v>2202</v>
      </c>
      <c r="C374" s="537">
        <v>1</v>
      </c>
      <c r="D374" s="539" t="s">
        <v>273</v>
      </c>
      <c r="E374" s="540">
        <v>1</v>
      </c>
      <c r="F374" s="541">
        <v>2.7</v>
      </c>
      <c r="G374" s="541">
        <v>0</v>
      </c>
      <c r="H374" s="541">
        <v>2.95</v>
      </c>
      <c r="I374" s="545">
        <f>-ROUND(IF(AND(F374:H374),C374*E374*F374*G374*H374,IF(AND(F374,G374),C374*E374*F374*G374,IF(AND(F374,H374),C374*E374*F374*H374,IF(AND(G374,H374),C374*E374*G374*H374,IF(F374,C374*E374*F374,IF(G374,C374*E374*G374,IF(H374,C374*E374*H374,C374*E374))))))),2)</f>
        <v>-7.97</v>
      </c>
      <c r="J374" s="553" t="s">
        <v>102</v>
      </c>
      <c r="K374" s="39"/>
      <c r="L374" s="208"/>
      <c r="M374" s="39"/>
      <c r="N374" s="536" t="s">
        <v>2318</v>
      </c>
    </row>
    <row r="375" spans="1:14" s="544" customFormat="1" ht="16.5" hidden="1" customHeight="1">
      <c r="A375" s="16"/>
      <c r="B375" s="547"/>
      <c r="C375" s="548"/>
      <c r="D375" s="549"/>
      <c r="E375" s="587"/>
      <c r="F375" s="551"/>
      <c r="G375" s="551"/>
      <c r="H375" s="551"/>
      <c r="I375" s="552"/>
      <c r="J375" s="553"/>
      <c r="K375" s="39"/>
      <c r="L375" s="208"/>
      <c r="M375" s="39"/>
      <c r="N375" s="536" t="s">
        <v>2318</v>
      </c>
    </row>
    <row r="376" spans="1:14" ht="15.75" hidden="1">
      <c r="A376" s="16"/>
      <c r="B376" s="39"/>
      <c r="C376" s="554"/>
      <c r="D376" s="555"/>
      <c r="E376" s="540"/>
      <c r="F376" s="541"/>
      <c r="G376" s="40"/>
      <c r="H376" s="16"/>
      <c r="I376" s="552"/>
      <c r="J376" s="553" t="s">
        <v>102</v>
      </c>
      <c r="K376" s="10">
        <f>'data 2022-23'!E809</f>
        <v>173.73</v>
      </c>
      <c r="L376" s="208" t="s">
        <v>2437</v>
      </c>
      <c r="M376" s="9">
        <f>ROUND(I376*K376,0)</f>
        <v>0</v>
      </c>
      <c r="N376" s="536" t="s">
        <v>2318</v>
      </c>
    </row>
    <row r="377" spans="1:14" ht="94.5" hidden="1" customHeight="1">
      <c r="A377" s="16">
        <v>30</v>
      </c>
      <c r="B377" s="1858" t="s">
        <v>1167</v>
      </c>
      <c r="C377" s="1858"/>
      <c r="D377" s="1858"/>
      <c r="E377" s="1858"/>
      <c r="F377" s="1858"/>
      <c r="G377" s="1858"/>
      <c r="H377" s="1858"/>
      <c r="I377" s="537"/>
      <c r="J377" s="538"/>
      <c r="K377" s="16"/>
      <c r="L377" s="208"/>
      <c r="M377" s="38"/>
      <c r="N377" s="536" t="s">
        <v>2318</v>
      </c>
    </row>
    <row r="378" spans="1:14" s="544" customFormat="1" ht="16.5" hidden="1" customHeight="1">
      <c r="A378" s="16"/>
      <c r="B378" s="39" t="s">
        <v>2837</v>
      </c>
      <c r="C378" s="537"/>
      <c r="D378" s="539"/>
      <c r="E378" s="540"/>
      <c r="F378" s="541"/>
      <c r="G378" s="541"/>
      <c r="H378" s="541"/>
      <c r="I378" s="542"/>
      <c r="J378" s="553"/>
      <c r="K378" s="39"/>
      <c r="L378" s="208"/>
      <c r="M378" s="39"/>
      <c r="N378" s="536" t="s">
        <v>2318</v>
      </c>
    </row>
    <row r="379" spans="1:14" s="544" customFormat="1" ht="16.5" hidden="1" customHeight="1">
      <c r="A379" s="16"/>
      <c r="B379" s="39" t="s">
        <v>799</v>
      </c>
      <c r="C379" s="537">
        <v>1</v>
      </c>
      <c r="D379" s="539" t="s">
        <v>273</v>
      </c>
      <c r="E379" s="540">
        <v>1</v>
      </c>
      <c r="F379" s="541">
        <v>8.4499999999999993</v>
      </c>
      <c r="G379" s="541">
        <v>4.92</v>
      </c>
      <c r="H379" s="541">
        <v>0</v>
      </c>
      <c r="I379" s="545">
        <f>ROUND(IF(AND(F379:H379),C379*E379*F379*G379*H379,IF(AND(F379,G379),C379*E379*F379*G379,IF(AND(F379,H379),C379*E379*F379*H379,IF(AND(G379,H379),C379*E379*G379*H379,IF(F379,C379*E379*F379,IF(G379,C379*E379*G379,IF(H379,C379*E379*H379,C379*E379))))))),2)</f>
        <v>41.57</v>
      </c>
      <c r="J379" s="553" t="s">
        <v>102</v>
      </c>
      <c r="K379" s="39"/>
      <c r="L379" s="208"/>
      <c r="M379" s="39"/>
      <c r="N379" s="536" t="s">
        <v>2318</v>
      </c>
    </row>
    <row r="380" spans="1:14" s="544" customFormat="1" ht="16.5" hidden="1" customHeight="1">
      <c r="A380" s="16"/>
      <c r="B380" s="39" t="s">
        <v>650</v>
      </c>
      <c r="C380" s="537">
        <v>1</v>
      </c>
      <c r="D380" s="539" t="s">
        <v>273</v>
      </c>
      <c r="E380" s="540">
        <v>1</v>
      </c>
      <c r="F380" s="541">
        <v>2.74</v>
      </c>
      <c r="G380" s="541">
        <v>3.33</v>
      </c>
      <c r="H380" s="541">
        <v>0</v>
      </c>
      <c r="I380" s="545">
        <f>ROUND(IF(AND(F380:H380),C380*E380*F380*G380*H380,IF(AND(F380,G380),C380*E380*F380*G380,IF(AND(F380,H380),C380*E380*F380*H380,IF(AND(G380,H380),C380*E380*G380*H380,IF(F380,C380*E380*F380,IF(G380,C380*E380*G380,IF(H380,C380*E380*H380,C380*E380))))))),2)</f>
        <v>9.1199999999999992</v>
      </c>
      <c r="J380" s="553" t="s">
        <v>102</v>
      </c>
      <c r="K380" s="39"/>
      <c r="L380" s="208"/>
      <c r="M380" s="39"/>
      <c r="N380" s="536" t="s">
        <v>2318</v>
      </c>
    </row>
    <row r="381" spans="1:14" s="544" customFormat="1" ht="16.5" hidden="1" customHeight="1">
      <c r="A381" s="16"/>
      <c r="B381" s="39" t="s">
        <v>1240</v>
      </c>
      <c r="C381" s="537">
        <v>1</v>
      </c>
      <c r="D381" s="539" t="s">
        <v>273</v>
      </c>
      <c r="E381" s="540">
        <v>1</v>
      </c>
      <c r="F381" s="541">
        <v>2.65</v>
      </c>
      <c r="G381" s="541">
        <v>0</v>
      </c>
      <c r="H381" s="541">
        <v>2.4</v>
      </c>
      <c r="I381" s="545">
        <f>-ROUND(IF(AND(F381:H381),C381*E381*F381*G381*H381,IF(AND(F381,G381),C381*E381*F381*G381,IF(AND(F381,H381),C381*E381*F381*H381,IF(AND(G381,H381),C381*E381*G381*H381,IF(F381,C381*E381*F381,IF(G381,C381*E381*G381,IF(H381,C381*E381*H381,C381*E381))))))),2)</f>
        <v>-6.36</v>
      </c>
      <c r="J381" s="553" t="s">
        <v>102</v>
      </c>
      <c r="K381" s="39"/>
      <c r="L381" s="208"/>
      <c r="M381" s="39"/>
      <c r="N381" s="536" t="s">
        <v>2318</v>
      </c>
    </row>
    <row r="382" spans="1:14" s="544" customFormat="1" ht="16.5" hidden="1" customHeight="1">
      <c r="A382" s="16"/>
      <c r="B382" s="547"/>
      <c r="C382" s="548"/>
      <c r="D382" s="549"/>
      <c r="E382" s="550"/>
      <c r="F382" s="551"/>
      <c r="G382" s="551"/>
      <c r="H382" s="551"/>
      <c r="I382" s="552"/>
      <c r="J382" s="553"/>
      <c r="K382" s="39"/>
      <c r="L382" s="208"/>
      <c r="M382" s="39"/>
      <c r="N382" s="536" t="s">
        <v>2318</v>
      </c>
    </row>
    <row r="383" spans="1:14" ht="15.75" hidden="1">
      <c r="A383" s="16"/>
      <c r="B383" s="39"/>
      <c r="C383" s="554"/>
      <c r="D383" s="555"/>
      <c r="E383" s="540"/>
      <c r="F383" s="541"/>
      <c r="G383" s="40"/>
      <c r="H383" s="16"/>
      <c r="I383" s="552"/>
      <c r="J383" s="553" t="s">
        <v>102</v>
      </c>
      <c r="K383" s="10">
        <f>'data 2022-23'!E844</f>
        <v>146.82</v>
      </c>
      <c r="L383" s="208" t="s">
        <v>2437</v>
      </c>
      <c r="M383" s="9">
        <f>ROUND(I383*K383,0)</f>
        <v>0</v>
      </c>
      <c r="N383" s="536" t="s">
        <v>2318</v>
      </c>
    </row>
    <row r="384" spans="1:14" ht="94.5" hidden="1" customHeight="1">
      <c r="A384" s="16">
        <v>29</v>
      </c>
      <c r="B384" s="1859" t="s">
        <v>1168</v>
      </c>
      <c r="C384" s="1860"/>
      <c r="D384" s="1860"/>
      <c r="E384" s="1860"/>
      <c r="F384" s="1860"/>
      <c r="G384" s="1860"/>
      <c r="H384" s="1861"/>
      <c r="I384" s="537"/>
      <c r="J384" s="538"/>
      <c r="K384" s="16"/>
      <c r="L384" s="208"/>
      <c r="M384" s="38"/>
      <c r="N384" s="536" t="s">
        <v>2318</v>
      </c>
    </row>
    <row r="385" spans="1:14" s="544" customFormat="1" ht="15.75" hidden="1">
      <c r="A385" s="16"/>
      <c r="B385" s="39" t="s">
        <v>2867</v>
      </c>
      <c r="C385" s="537"/>
      <c r="D385" s="539"/>
      <c r="E385" s="540"/>
      <c r="F385" s="541"/>
      <c r="G385" s="541"/>
      <c r="H385" s="541"/>
      <c r="I385" s="542"/>
      <c r="J385" s="553"/>
      <c r="K385" s="39"/>
      <c r="L385" s="208"/>
      <c r="M385" s="39"/>
      <c r="N385" s="536" t="s">
        <v>2318</v>
      </c>
    </row>
    <row r="386" spans="1:14" s="544" customFormat="1" ht="15.75" hidden="1">
      <c r="A386" s="16"/>
      <c r="B386" s="39" t="s">
        <v>1246</v>
      </c>
      <c r="C386" s="537">
        <v>1</v>
      </c>
      <c r="D386" s="539" t="s">
        <v>273</v>
      </c>
      <c r="E386" s="540">
        <v>1</v>
      </c>
      <c r="F386" s="541">
        <v>13.54</v>
      </c>
      <c r="G386" s="541">
        <v>0</v>
      </c>
      <c r="H386" s="541">
        <v>3.2</v>
      </c>
      <c r="I386" s="545">
        <f t="shared" ref="I386:I396" si="5">ROUND(IF(AND(F386:H386),C386*E386*F386*G386*H386,IF(AND(F386,G386),C386*E386*F386*G386,IF(AND(F386,H386),C386*E386*F386*H386,IF(AND(G386,H386),C386*E386*G386*H386,IF(F386,C386*E386*F386,IF(G386,C386*E386*G386,IF(H386,C386*E386*H386,C386*E386))))))),2)</f>
        <v>43.33</v>
      </c>
      <c r="J386" s="553" t="s">
        <v>102</v>
      </c>
      <c r="K386" s="39"/>
      <c r="L386" s="208"/>
      <c r="M386" s="39"/>
      <c r="N386" s="536" t="s">
        <v>2318</v>
      </c>
    </row>
    <row r="387" spans="1:14" s="544" customFormat="1" ht="15.75" hidden="1">
      <c r="A387" s="16"/>
      <c r="B387" s="39"/>
      <c r="C387" s="537">
        <v>1</v>
      </c>
      <c r="D387" s="539" t="s">
        <v>273</v>
      </c>
      <c r="E387" s="540">
        <v>0.5</v>
      </c>
      <c r="F387" s="541">
        <v>5.45</v>
      </c>
      <c r="G387" s="541">
        <v>0</v>
      </c>
      <c r="H387" s="541">
        <v>0.4</v>
      </c>
      <c r="I387" s="545">
        <f t="shared" si="5"/>
        <v>1.0900000000000001</v>
      </c>
      <c r="J387" s="553" t="s">
        <v>102</v>
      </c>
      <c r="K387" s="39"/>
      <c r="L387" s="208"/>
      <c r="M387" s="39"/>
      <c r="N387" s="536" t="s">
        <v>2318</v>
      </c>
    </row>
    <row r="388" spans="1:14" s="544" customFormat="1" ht="15.75" hidden="1">
      <c r="A388" s="16"/>
      <c r="B388" s="39" t="s">
        <v>2376</v>
      </c>
      <c r="C388" s="537">
        <v>1</v>
      </c>
      <c r="D388" s="539" t="s">
        <v>273</v>
      </c>
      <c r="E388" s="540">
        <v>1</v>
      </c>
      <c r="F388" s="541">
        <v>6.43</v>
      </c>
      <c r="G388" s="541">
        <v>0</v>
      </c>
      <c r="H388" s="541">
        <v>3.35</v>
      </c>
      <c r="I388" s="545">
        <f t="shared" si="5"/>
        <v>21.54</v>
      </c>
      <c r="J388" s="553" t="s">
        <v>102</v>
      </c>
      <c r="K388" s="39"/>
      <c r="L388" s="208"/>
      <c r="M388" s="39"/>
      <c r="N388" s="536" t="s">
        <v>2318</v>
      </c>
    </row>
    <row r="389" spans="1:14" s="544" customFormat="1" ht="15.75" hidden="1">
      <c r="A389" s="16"/>
      <c r="B389" s="39" t="s">
        <v>2379</v>
      </c>
      <c r="C389" s="537">
        <v>1</v>
      </c>
      <c r="D389" s="539" t="s">
        <v>273</v>
      </c>
      <c r="E389" s="540">
        <v>1</v>
      </c>
      <c r="F389" s="541">
        <v>13.54</v>
      </c>
      <c r="G389" s="541">
        <v>0</v>
      </c>
      <c r="H389" s="541">
        <v>3.35</v>
      </c>
      <c r="I389" s="545">
        <f t="shared" si="5"/>
        <v>45.36</v>
      </c>
      <c r="J389" s="553" t="s">
        <v>102</v>
      </c>
      <c r="K389" s="39"/>
      <c r="L389" s="208"/>
      <c r="M389" s="39"/>
      <c r="N389" s="536" t="s">
        <v>2318</v>
      </c>
    </row>
    <row r="390" spans="1:14" s="544" customFormat="1" ht="15.75" hidden="1">
      <c r="A390" s="16"/>
      <c r="B390" s="39" t="s">
        <v>1540</v>
      </c>
      <c r="C390" s="537">
        <v>1</v>
      </c>
      <c r="D390" s="539" t="s">
        <v>273</v>
      </c>
      <c r="E390" s="540">
        <v>1</v>
      </c>
      <c r="F390" s="541">
        <v>6.43</v>
      </c>
      <c r="G390" s="541">
        <v>0</v>
      </c>
      <c r="H390" s="541">
        <v>3.4</v>
      </c>
      <c r="I390" s="545">
        <f t="shared" si="5"/>
        <v>21.86</v>
      </c>
      <c r="J390" s="553" t="s">
        <v>102</v>
      </c>
      <c r="K390" s="39"/>
      <c r="L390" s="208"/>
      <c r="M390" s="39"/>
      <c r="N390" s="536" t="s">
        <v>2318</v>
      </c>
    </row>
    <row r="391" spans="1:14" s="544" customFormat="1" ht="15.75" hidden="1">
      <c r="A391" s="16"/>
      <c r="B391" s="39" t="s">
        <v>2380</v>
      </c>
      <c r="C391" s="537">
        <v>1</v>
      </c>
      <c r="D391" s="539" t="s">
        <v>273</v>
      </c>
      <c r="E391" s="540">
        <v>1</v>
      </c>
      <c r="F391" s="541">
        <v>13.54</v>
      </c>
      <c r="G391" s="541">
        <v>2.2999999999999998</v>
      </c>
      <c r="H391" s="541">
        <v>0</v>
      </c>
      <c r="I391" s="545">
        <f t="shared" si="5"/>
        <v>31.14</v>
      </c>
      <c r="J391" s="553" t="s">
        <v>102</v>
      </c>
      <c r="K391" s="39"/>
      <c r="L391" s="208"/>
      <c r="M391" s="39"/>
      <c r="N391" s="536" t="s">
        <v>2318</v>
      </c>
    </row>
    <row r="392" spans="1:14" s="544" customFormat="1" ht="15.75" hidden="1">
      <c r="A392" s="16"/>
      <c r="B392" s="39"/>
      <c r="C392" s="537">
        <v>1</v>
      </c>
      <c r="D392" s="539" t="s">
        <v>273</v>
      </c>
      <c r="E392" s="540">
        <v>2</v>
      </c>
      <c r="F392" s="541">
        <v>3.8</v>
      </c>
      <c r="G392" s="541">
        <v>2.2999999999999998</v>
      </c>
      <c r="H392" s="541">
        <v>0</v>
      </c>
      <c r="I392" s="545">
        <f t="shared" si="5"/>
        <v>17.48</v>
      </c>
      <c r="J392" s="553" t="s">
        <v>102</v>
      </c>
      <c r="K392" s="39"/>
      <c r="L392" s="208"/>
      <c r="M392" s="39"/>
      <c r="N392" s="536" t="s">
        <v>2318</v>
      </c>
    </row>
    <row r="393" spans="1:14" s="544" customFormat="1" ht="15.75" hidden="1">
      <c r="A393" s="16"/>
      <c r="B393" s="39"/>
      <c r="C393" s="537">
        <v>1</v>
      </c>
      <c r="D393" s="539" t="s">
        <v>273</v>
      </c>
      <c r="E393" s="540">
        <v>1</v>
      </c>
      <c r="F393" s="541">
        <v>26</v>
      </c>
      <c r="G393" s="541">
        <v>0</v>
      </c>
      <c r="H393" s="541">
        <v>0.125</v>
      </c>
      <c r="I393" s="545">
        <f t="shared" si="5"/>
        <v>3.25</v>
      </c>
      <c r="J393" s="553" t="s">
        <v>102</v>
      </c>
      <c r="K393" s="39"/>
      <c r="L393" s="208"/>
      <c r="M393" s="39"/>
      <c r="N393" s="536" t="s">
        <v>2318</v>
      </c>
    </row>
    <row r="394" spans="1:14" s="544" customFormat="1" ht="15.75" hidden="1">
      <c r="A394" s="16"/>
      <c r="B394" s="39" t="s">
        <v>2381</v>
      </c>
      <c r="C394" s="537">
        <v>1</v>
      </c>
      <c r="D394" s="539" t="s">
        <v>273</v>
      </c>
      <c r="E394" s="540">
        <v>2</v>
      </c>
      <c r="F394" s="541">
        <v>4.2300000000000004</v>
      </c>
      <c r="G394" s="541">
        <v>0.42</v>
      </c>
      <c r="H394" s="541">
        <v>0</v>
      </c>
      <c r="I394" s="545">
        <f t="shared" si="5"/>
        <v>3.55</v>
      </c>
      <c r="J394" s="553" t="s">
        <v>102</v>
      </c>
      <c r="K394" s="39"/>
      <c r="L394" s="208"/>
      <c r="M394" s="39"/>
      <c r="N394" s="536" t="s">
        <v>2318</v>
      </c>
    </row>
    <row r="395" spans="1:14" s="544" customFormat="1" ht="15.75" hidden="1">
      <c r="A395" s="16"/>
      <c r="B395" s="39" t="s">
        <v>1547</v>
      </c>
      <c r="C395" s="537">
        <v>1</v>
      </c>
      <c r="D395" s="539" t="s">
        <v>273</v>
      </c>
      <c r="E395" s="540">
        <v>1</v>
      </c>
      <c r="F395" s="541">
        <v>14.14</v>
      </c>
      <c r="G395" s="541">
        <v>0.42</v>
      </c>
      <c r="H395" s="541">
        <v>0</v>
      </c>
      <c r="I395" s="545">
        <f t="shared" si="5"/>
        <v>5.94</v>
      </c>
      <c r="J395" s="553" t="s">
        <v>102</v>
      </c>
      <c r="K395" s="39"/>
      <c r="L395" s="208"/>
      <c r="M395" s="39"/>
      <c r="N395" s="536" t="s">
        <v>2318</v>
      </c>
    </row>
    <row r="396" spans="1:14" s="544" customFormat="1" ht="15.75" hidden="1">
      <c r="A396" s="16"/>
      <c r="B396" s="39" t="s">
        <v>1244</v>
      </c>
      <c r="C396" s="537">
        <v>1</v>
      </c>
      <c r="D396" s="539" t="s">
        <v>273</v>
      </c>
      <c r="E396" s="540">
        <v>2</v>
      </c>
      <c r="F396" s="541">
        <v>16.13</v>
      </c>
      <c r="G396" s="541">
        <v>0</v>
      </c>
      <c r="H396" s="541">
        <v>0.3</v>
      </c>
      <c r="I396" s="545">
        <f t="shared" si="5"/>
        <v>9.68</v>
      </c>
      <c r="J396" s="553" t="s">
        <v>102</v>
      </c>
      <c r="K396" s="39"/>
      <c r="L396" s="208"/>
      <c r="M396" s="39"/>
      <c r="N396" s="536" t="s">
        <v>2318</v>
      </c>
    </row>
    <row r="397" spans="1:14" s="544" customFormat="1" ht="15.75" hidden="1">
      <c r="A397" s="16"/>
      <c r="B397" s="39" t="s">
        <v>2373</v>
      </c>
      <c r="C397" s="537">
        <v>1</v>
      </c>
      <c r="D397" s="539" t="s">
        <v>273</v>
      </c>
      <c r="E397" s="540">
        <v>7</v>
      </c>
      <c r="F397" s="541">
        <v>0.23</v>
      </c>
      <c r="G397" s="541">
        <v>0</v>
      </c>
      <c r="H397" s="541">
        <v>0.3</v>
      </c>
      <c r="I397" s="545">
        <f>-ROUND(IF(AND(F397:H397),C397*E397*F397*G397*H397,IF(AND(F397,G397),C397*E397*F397*G397,IF(AND(F397,H397),C397*E397*F397*H397,IF(AND(G397,H397),C397*E397*G397*H397,IF(F397,C397*E397*F397,IF(G397,C397*E397*G397,IF(H397,C397*E397*H397,C397*E397))))))),2)</f>
        <v>-0.48</v>
      </c>
      <c r="J397" s="553" t="s">
        <v>102</v>
      </c>
      <c r="K397" s="39"/>
      <c r="L397" s="208"/>
      <c r="M397" s="39"/>
      <c r="N397" s="536" t="s">
        <v>2318</v>
      </c>
    </row>
    <row r="398" spans="1:14" s="544" customFormat="1" ht="15.75" hidden="1">
      <c r="A398" s="16"/>
      <c r="B398" s="39" t="s">
        <v>2382</v>
      </c>
      <c r="C398" s="537">
        <v>2</v>
      </c>
      <c r="D398" s="539" t="s">
        <v>273</v>
      </c>
      <c r="E398" s="540">
        <v>2</v>
      </c>
      <c r="F398" s="541">
        <v>2.65</v>
      </c>
      <c r="G398" s="541">
        <v>0</v>
      </c>
      <c r="H398" s="541">
        <v>0.3</v>
      </c>
      <c r="I398" s="545">
        <f>ROUND(IF(AND(F398:H398),C398*E398*F398*G398*H398,IF(AND(F398,G398),C398*E398*F398*G398,IF(AND(F398,H398),C398*E398*F398*H398,IF(AND(G398,H398),C398*E398*G398*H398,IF(F398,C398*E398*F398,IF(G398,C398*E398*G398,IF(H398,C398*E398*H398,C398*E398))))))),2)</f>
        <v>3.18</v>
      </c>
      <c r="J398" s="553" t="s">
        <v>102</v>
      </c>
      <c r="K398" s="39"/>
      <c r="L398" s="208"/>
      <c r="M398" s="39"/>
      <c r="N398" s="536" t="s">
        <v>2318</v>
      </c>
    </row>
    <row r="399" spans="1:14" s="544" customFormat="1" ht="15.75" hidden="1">
      <c r="A399" s="16"/>
      <c r="B399" s="39" t="s">
        <v>2373</v>
      </c>
      <c r="C399" s="537">
        <v>2</v>
      </c>
      <c r="D399" s="539" t="s">
        <v>273</v>
      </c>
      <c r="E399" s="540">
        <v>2</v>
      </c>
      <c r="F399" s="541">
        <v>0.23</v>
      </c>
      <c r="G399" s="541">
        <v>0</v>
      </c>
      <c r="H399" s="541">
        <v>0.3</v>
      </c>
      <c r="I399" s="545">
        <f>-ROUND(IF(AND(F399:H399),C399*E399*F399*G399*H399,IF(AND(F399,G399),C399*E399*F399*G399,IF(AND(F399,H399),C399*E399*F399*H399,IF(AND(G399,H399),C399*E399*G399*H399,IF(F399,C399*E399*F399,IF(G399,C399*E399*G399,IF(H399,C399*E399*H399,C399*E399))))))),2)</f>
        <v>-0.28000000000000003</v>
      </c>
      <c r="J399" s="553" t="s">
        <v>102</v>
      </c>
      <c r="K399" s="39"/>
      <c r="L399" s="208"/>
      <c r="M399" s="39"/>
      <c r="N399" s="536" t="s">
        <v>2318</v>
      </c>
    </row>
    <row r="400" spans="1:14" s="544" customFormat="1" ht="15.75" hidden="1">
      <c r="A400" s="16"/>
      <c r="B400" s="39" t="s">
        <v>2382</v>
      </c>
      <c r="C400" s="537">
        <v>9</v>
      </c>
      <c r="D400" s="539" t="s">
        <v>273</v>
      </c>
      <c r="E400" s="540">
        <v>2</v>
      </c>
      <c r="F400" s="541">
        <v>0.95</v>
      </c>
      <c r="G400" s="541">
        <v>0</v>
      </c>
      <c r="H400" s="541">
        <v>0.3</v>
      </c>
      <c r="I400" s="545">
        <f t="shared" ref="I400:I409" si="6">ROUND(IF(AND(F400:H400),C400*E400*F400*G400*H400,IF(AND(F400,G400),C400*E400*F400*G400,IF(AND(F400,H400),C400*E400*F400*H400,IF(AND(G400,H400),C400*E400*G400*H400,IF(F400,C400*E400*F400,IF(G400,C400*E400*G400,IF(H400,C400*E400*H400,C400*E400))))))),2)</f>
        <v>5.13</v>
      </c>
      <c r="J400" s="553" t="s">
        <v>102</v>
      </c>
      <c r="K400" s="39"/>
      <c r="L400" s="208"/>
      <c r="M400" s="39"/>
      <c r="N400" s="536" t="s">
        <v>2318</v>
      </c>
    </row>
    <row r="401" spans="1:14" s="544" customFormat="1" ht="15.75" hidden="1">
      <c r="A401" s="16"/>
      <c r="B401" s="39" t="s">
        <v>1492</v>
      </c>
      <c r="C401" s="537">
        <v>1</v>
      </c>
      <c r="D401" s="539" t="s">
        <v>273</v>
      </c>
      <c r="E401" s="540">
        <v>2</v>
      </c>
      <c r="F401" s="541">
        <v>22.38</v>
      </c>
      <c r="G401" s="541">
        <v>0</v>
      </c>
      <c r="H401" s="541">
        <v>0.73</v>
      </c>
      <c r="I401" s="545">
        <f t="shared" si="6"/>
        <v>32.67</v>
      </c>
      <c r="J401" s="553" t="s">
        <v>102</v>
      </c>
      <c r="K401" s="39"/>
      <c r="L401" s="208"/>
      <c r="M401" s="39"/>
      <c r="N401" s="536" t="s">
        <v>2318</v>
      </c>
    </row>
    <row r="402" spans="1:14" s="544" customFormat="1" ht="15.75" hidden="1">
      <c r="A402" s="16"/>
      <c r="B402" s="39"/>
      <c r="C402" s="537">
        <v>1</v>
      </c>
      <c r="D402" s="539" t="s">
        <v>273</v>
      </c>
      <c r="E402" s="540">
        <v>1</v>
      </c>
      <c r="F402" s="541">
        <v>23.84</v>
      </c>
      <c r="G402" s="541">
        <v>0.1</v>
      </c>
      <c r="H402" s="541">
        <v>0</v>
      </c>
      <c r="I402" s="545">
        <f t="shared" si="6"/>
        <v>2.38</v>
      </c>
      <c r="J402" s="553" t="s">
        <v>102</v>
      </c>
      <c r="K402" s="39"/>
      <c r="L402" s="208"/>
      <c r="M402" s="39"/>
      <c r="N402" s="536" t="s">
        <v>2318</v>
      </c>
    </row>
    <row r="403" spans="1:14" s="544" customFormat="1" ht="15.75" hidden="1">
      <c r="A403" s="16"/>
      <c r="B403" s="39" t="s">
        <v>2374</v>
      </c>
      <c r="C403" s="537">
        <v>1</v>
      </c>
      <c r="D403" s="539" t="s">
        <v>273</v>
      </c>
      <c r="E403" s="540">
        <v>8</v>
      </c>
      <c r="F403" s="541">
        <v>4.8</v>
      </c>
      <c r="G403" s="541">
        <v>0.115</v>
      </c>
      <c r="H403" s="541">
        <v>0</v>
      </c>
      <c r="I403" s="545">
        <f t="shared" si="6"/>
        <v>4.42</v>
      </c>
      <c r="J403" s="553" t="s">
        <v>102</v>
      </c>
      <c r="K403" s="39"/>
      <c r="L403" s="208"/>
      <c r="M403" s="39"/>
      <c r="N403" s="536" t="s">
        <v>2318</v>
      </c>
    </row>
    <row r="404" spans="1:14" s="544" customFormat="1" ht="15.75" hidden="1">
      <c r="A404" s="16"/>
      <c r="B404" s="39" t="s">
        <v>2375</v>
      </c>
      <c r="C404" s="537">
        <v>1</v>
      </c>
      <c r="D404" s="539" t="s">
        <v>273</v>
      </c>
      <c r="E404" s="540">
        <v>13</v>
      </c>
      <c r="F404" s="541">
        <v>1.8</v>
      </c>
      <c r="G404" s="541">
        <v>0.115</v>
      </c>
      <c r="H404" s="541">
        <v>0</v>
      </c>
      <c r="I404" s="545">
        <f t="shared" si="6"/>
        <v>2.69</v>
      </c>
      <c r="J404" s="553" t="s">
        <v>102</v>
      </c>
      <c r="K404" s="39"/>
      <c r="L404" s="208"/>
      <c r="M404" s="39"/>
      <c r="N404" s="536" t="s">
        <v>2318</v>
      </c>
    </row>
    <row r="405" spans="1:14" s="544" customFormat="1" ht="15.75" hidden="1">
      <c r="A405" s="16"/>
      <c r="B405" s="39" t="s">
        <v>2383</v>
      </c>
      <c r="C405" s="537">
        <v>1</v>
      </c>
      <c r="D405" s="539" t="s">
        <v>273</v>
      </c>
      <c r="E405" s="540">
        <v>15</v>
      </c>
      <c r="F405" s="541">
        <v>1.6</v>
      </c>
      <c r="G405" s="541">
        <v>0</v>
      </c>
      <c r="H405" s="541">
        <v>0.48</v>
      </c>
      <c r="I405" s="545">
        <f t="shared" si="6"/>
        <v>11.52</v>
      </c>
      <c r="J405" s="553" t="s">
        <v>102</v>
      </c>
      <c r="K405" s="39"/>
      <c r="L405" s="208"/>
      <c r="M405" s="39"/>
      <c r="N405" s="536" t="s">
        <v>2318</v>
      </c>
    </row>
    <row r="406" spans="1:14" s="544" customFormat="1" ht="15.75" hidden="1">
      <c r="A406" s="16"/>
      <c r="B406" s="39"/>
      <c r="C406" s="537">
        <v>1</v>
      </c>
      <c r="D406" s="539" t="s">
        <v>273</v>
      </c>
      <c r="E406" s="540">
        <v>15</v>
      </c>
      <c r="F406" s="541">
        <v>0.45</v>
      </c>
      <c r="G406" s="541">
        <v>0.5</v>
      </c>
      <c r="H406" s="541">
        <v>0</v>
      </c>
      <c r="I406" s="545">
        <f t="shared" si="6"/>
        <v>3.38</v>
      </c>
      <c r="J406" s="553" t="s">
        <v>102</v>
      </c>
      <c r="K406" s="39"/>
      <c r="L406" s="208"/>
      <c r="M406" s="39"/>
      <c r="N406" s="536" t="s">
        <v>2318</v>
      </c>
    </row>
    <row r="407" spans="1:14" s="544" customFormat="1" ht="15.75" hidden="1">
      <c r="A407" s="16"/>
      <c r="B407" s="39" t="s">
        <v>2384</v>
      </c>
      <c r="C407" s="537">
        <v>1</v>
      </c>
      <c r="D407" s="539" t="s">
        <v>273</v>
      </c>
      <c r="E407" s="540">
        <v>1</v>
      </c>
      <c r="F407" s="541">
        <v>14.1</v>
      </c>
      <c r="G407" s="541">
        <v>0</v>
      </c>
      <c r="H407" s="541">
        <v>0.5</v>
      </c>
      <c r="I407" s="545">
        <f t="shared" si="6"/>
        <v>7.05</v>
      </c>
      <c r="J407" s="553" t="s">
        <v>102</v>
      </c>
      <c r="K407" s="39"/>
      <c r="L407" s="208"/>
      <c r="M407" s="39"/>
      <c r="N407" s="536" t="s">
        <v>2318</v>
      </c>
    </row>
    <row r="408" spans="1:14" s="544" customFormat="1" ht="15.75" hidden="1">
      <c r="A408" s="16"/>
      <c r="B408" s="39"/>
      <c r="C408" s="537">
        <v>1</v>
      </c>
      <c r="D408" s="539" t="s">
        <v>273</v>
      </c>
      <c r="E408" s="540">
        <v>1</v>
      </c>
      <c r="F408" s="541">
        <v>4.74</v>
      </c>
      <c r="G408" s="541">
        <v>0</v>
      </c>
      <c r="H408" s="541">
        <v>0.3</v>
      </c>
      <c r="I408" s="545">
        <f t="shared" si="6"/>
        <v>1.42</v>
      </c>
      <c r="J408" s="553" t="s">
        <v>102</v>
      </c>
      <c r="K408" s="39"/>
      <c r="L408" s="208"/>
      <c r="M408" s="39"/>
      <c r="N408" s="536" t="s">
        <v>2318</v>
      </c>
    </row>
    <row r="409" spans="1:14" s="544" customFormat="1" ht="15.75" hidden="1">
      <c r="A409" s="16"/>
      <c r="B409" s="39" t="s">
        <v>2385</v>
      </c>
      <c r="C409" s="537">
        <v>1</v>
      </c>
      <c r="D409" s="539" t="s">
        <v>273</v>
      </c>
      <c r="E409" s="540">
        <v>1</v>
      </c>
      <c r="F409" s="541">
        <v>22.38</v>
      </c>
      <c r="G409" s="541">
        <v>0.96</v>
      </c>
      <c r="H409" s="541">
        <v>0</v>
      </c>
      <c r="I409" s="545">
        <f t="shared" si="6"/>
        <v>21.48</v>
      </c>
      <c r="J409" s="553" t="s">
        <v>102</v>
      </c>
      <c r="K409" s="39"/>
      <c r="L409" s="208"/>
      <c r="M409" s="39"/>
      <c r="N409" s="536" t="s">
        <v>2318</v>
      </c>
    </row>
    <row r="410" spans="1:14" s="544" customFormat="1" ht="15.75" hidden="1">
      <c r="A410" s="16"/>
      <c r="B410" s="39" t="s">
        <v>2377</v>
      </c>
      <c r="C410" s="537">
        <v>1</v>
      </c>
      <c r="D410" s="539" t="s">
        <v>273</v>
      </c>
      <c r="E410" s="540">
        <v>1</v>
      </c>
      <c r="F410" s="541">
        <v>1.5</v>
      </c>
      <c r="G410" s="541">
        <v>0</v>
      </c>
      <c r="H410" s="541">
        <v>0.5</v>
      </c>
      <c r="I410" s="545">
        <f t="shared" ref="I410:I416" si="7">-ROUND(IF(AND(F410:H410),C410*E410*F410*G410*H410,IF(AND(F410,G410),C410*E410*F410*G410,IF(AND(F410,H410),C410*E410*F410*H410,IF(AND(G410,H410),C410*E410*G410*H410,IF(F410,C410*E410*F410,IF(G410,C410*E410*G410,IF(H410,C410*E410*H410,C410*E410))))))),2)</f>
        <v>-0.75</v>
      </c>
      <c r="J410" s="553" t="s">
        <v>102</v>
      </c>
      <c r="K410" s="39"/>
      <c r="L410" s="208"/>
      <c r="M410" s="39"/>
      <c r="N410" s="536" t="s">
        <v>2318</v>
      </c>
    </row>
    <row r="411" spans="1:14" s="544" customFormat="1" ht="15.75" hidden="1">
      <c r="A411" s="16"/>
      <c r="B411" s="39"/>
      <c r="C411" s="537">
        <v>1</v>
      </c>
      <c r="D411" s="539" t="s">
        <v>273</v>
      </c>
      <c r="E411" s="540">
        <v>1</v>
      </c>
      <c r="F411" s="541">
        <v>1.28</v>
      </c>
      <c r="G411" s="541">
        <v>0</v>
      </c>
      <c r="H411" s="541">
        <v>0.5</v>
      </c>
      <c r="I411" s="545">
        <f t="shared" si="7"/>
        <v>-0.64</v>
      </c>
      <c r="J411" s="553" t="s">
        <v>102</v>
      </c>
      <c r="K411" s="39"/>
      <c r="L411" s="208"/>
      <c r="M411" s="39"/>
      <c r="N411" s="536" t="s">
        <v>2318</v>
      </c>
    </row>
    <row r="412" spans="1:14" s="544" customFormat="1" ht="15.75" hidden="1">
      <c r="A412" s="16"/>
      <c r="B412" s="39" t="s">
        <v>579</v>
      </c>
      <c r="C412" s="537">
        <v>1</v>
      </c>
      <c r="D412" s="539" t="s">
        <v>273</v>
      </c>
      <c r="E412" s="540">
        <v>1</v>
      </c>
      <c r="F412" s="541">
        <v>1.26</v>
      </c>
      <c r="G412" s="541">
        <v>0</v>
      </c>
      <c r="H412" s="541">
        <v>2.13</v>
      </c>
      <c r="I412" s="545">
        <f t="shared" si="7"/>
        <v>-2.68</v>
      </c>
      <c r="J412" s="553" t="s">
        <v>102</v>
      </c>
      <c r="K412" s="39"/>
      <c r="L412" s="208"/>
      <c r="M412" s="39"/>
      <c r="N412" s="536" t="s">
        <v>2318</v>
      </c>
    </row>
    <row r="413" spans="1:14" s="544" customFormat="1" ht="15.75" hidden="1">
      <c r="A413" s="16"/>
      <c r="B413" s="39" t="s">
        <v>579</v>
      </c>
      <c r="C413" s="537">
        <v>1</v>
      </c>
      <c r="D413" s="539" t="s">
        <v>273</v>
      </c>
      <c r="E413" s="540">
        <v>1</v>
      </c>
      <c r="F413" s="541">
        <v>0.96</v>
      </c>
      <c r="G413" s="541">
        <v>0</v>
      </c>
      <c r="H413" s="541">
        <v>2.1</v>
      </c>
      <c r="I413" s="545">
        <f t="shared" si="7"/>
        <v>-2.02</v>
      </c>
      <c r="J413" s="553" t="s">
        <v>102</v>
      </c>
      <c r="K413" s="39"/>
      <c r="L413" s="208"/>
      <c r="M413" s="39"/>
      <c r="N413" s="536" t="s">
        <v>2318</v>
      </c>
    </row>
    <row r="414" spans="1:14" s="544" customFormat="1" ht="15.75" hidden="1">
      <c r="A414" s="16"/>
      <c r="B414" s="39" t="s">
        <v>579</v>
      </c>
      <c r="C414" s="537">
        <v>1</v>
      </c>
      <c r="D414" s="539" t="s">
        <v>273</v>
      </c>
      <c r="E414" s="540">
        <v>1</v>
      </c>
      <c r="F414" s="541">
        <v>0.83</v>
      </c>
      <c r="G414" s="541">
        <v>0</v>
      </c>
      <c r="H414" s="541">
        <v>2.13</v>
      </c>
      <c r="I414" s="545">
        <f t="shared" si="7"/>
        <v>-1.77</v>
      </c>
      <c r="J414" s="553" t="s">
        <v>102</v>
      </c>
      <c r="K414" s="39"/>
      <c r="L414" s="208"/>
      <c r="M414" s="39"/>
      <c r="N414" s="536" t="s">
        <v>2318</v>
      </c>
    </row>
    <row r="415" spans="1:14" s="544" customFormat="1" ht="15.75" hidden="1">
      <c r="A415" s="16"/>
      <c r="B415" s="39" t="s">
        <v>2378</v>
      </c>
      <c r="C415" s="537">
        <v>1</v>
      </c>
      <c r="D415" s="539" t="s">
        <v>273</v>
      </c>
      <c r="E415" s="540">
        <v>8</v>
      </c>
      <c r="F415" s="541">
        <v>1.2</v>
      </c>
      <c r="G415" s="541">
        <v>0</v>
      </c>
      <c r="H415" s="541">
        <v>1.2</v>
      </c>
      <c r="I415" s="545">
        <f t="shared" si="7"/>
        <v>-11.52</v>
      </c>
      <c r="J415" s="553" t="s">
        <v>102</v>
      </c>
      <c r="K415" s="39"/>
      <c r="L415" s="208"/>
      <c r="M415" s="39"/>
      <c r="N415" s="536" t="s">
        <v>2318</v>
      </c>
    </row>
    <row r="416" spans="1:14" s="544" customFormat="1" ht="15.75" hidden="1">
      <c r="A416" s="16"/>
      <c r="B416" s="39" t="s">
        <v>581</v>
      </c>
      <c r="C416" s="537">
        <v>1</v>
      </c>
      <c r="D416" s="539" t="s">
        <v>273</v>
      </c>
      <c r="E416" s="540">
        <v>13</v>
      </c>
      <c r="F416" s="541">
        <v>0.6</v>
      </c>
      <c r="G416" s="541">
        <v>0</v>
      </c>
      <c r="H416" s="541">
        <v>0.3</v>
      </c>
      <c r="I416" s="545">
        <f t="shared" si="7"/>
        <v>-2.34</v>
      </c>
      <c r="J416" s="553" t="s">
        <v>102</v>
      </c>
      <c r="K416" s="39"/>
      <c r="L416" s="208"/>
      <c r="M416" s="39"/>
      <c r="N416" s="536" t="s">
        <v>2318</v>
      </c>
    </row>
    <row r="417" spans="1:14" s="544" customFormat="1" ht="16.5" hidden="1" customHeight="1">
      <c r="A417" s="16"/>
      <c r="B417" s="547"/>
      <c r="C417" s="548"/>
      <c r="D417" s="549"/>
      <c r="E417" s="550"/>
      <c r="F417" s="551"/>
      <c r="G417" s="551"/>
      <c r="H417" s="551"/>
      <c r="I417" s="552">
        <f>SUBTOTAL(9,I386:I416)</f>
        <v>0</v>
      </c>
      <c r="J417" s="553" t="s">
        <v>102</v>
      </c>
      <c r="K417" s="39"/>
      <c r="L417" s="208"/>
      <c r="M417" s="39"/>
      <c r="N417" s="536" t="s">
        <v>2318</v>
      </c>
    </row>
    <row r="418" spans="1:14" ht="15.75" hidden="1">
      <c r="A418" s="16"/>
      <c r="B418" s="39"/>
      <c r="C418" s="554"/>
      <c r="D418" s="555"/>
      <c r="E418" s="540"/>
      <c r="F418" s="541"/>
      <c r="G418" s="40"/>
      <c r="H418" s="16"/>
      <c r="I418" s="552"/>
      <c r="J418" s="553" t="s">
        <v>102</v>
      </c>
      <c r="K418" s="10">
        <f>'data 2022-23'!E858</f>
        <v>200.84</v>
      </c>
      <c r="L418" s="208" t="s">
        <v>2437</v>
      </c>
      <c r="M418" s="9">
        <f>ROUND(I418*K418,0)</f>
        <v>0</v>
      </c>
      <c r="N418" s="536" t="s">
        <v>2318</v>
      </c>
    </row>
    <row r="419" spans="1:14" ht="66" hidden="1" customHeight="1">
      <c r="A419" s="16">
        <v>28</v>
      </c>
      <c r="B419" s="1859" t="s">
        <v>606</v>
      </c>
      <c r="C419" s="1860"/>
      <c r="D419" s="1860"/>
      <c r="E419" s="1860"/>
      <c r="F419" s="1860"/>
      <c r="G419" s="1860"/>
      <c r="H419" s="1861"/>
      <c r="I419" s="537"/>
      <c r="J419" s="538"/>
      <c r="K419" s="16"/>
      <c r="L419" s="208"/>
      <c r="M419" s="38"/>
      <c r="N419" s="536" t="s">
        <v>2318</v>
      </c>
    </row>
    <row r="420" spans="1:14" s="544" customFormat="1" ht="16.5" hidden="1" customHeight="1">
      <c r="A420" s="16"/>
      <c r="B420" s="39"/>
      <c r="C420" s="566"/>
      <c r="D420" s="567"/>
      <c r="E420" s="568"/>
      <c r="F420" s="569"/>
      <c r="G420" s="569"/>
      <c r="H420" s="570"/>
      <c r="I420" s="571"/>
      <c r="J420" s="553"/>
      <c r="K420" s="39"/>
      <c r="L420" s="16"/>
      <c r="M420" s="39"/>
      <c r="N420" s="536" t="s">
        <v>2318</v>
      </c>
    </row>
    <row r="421" spans="1:14" s="544" customFormat="1" ht="16.5" hidden="1" customHeight="1">
      <c r="A421" s="16"/>
      <c r="B421" s="547" t="s">
        <v>2543</v>
      </c>
      <c r="C421" s="548">
        <v>1</v>
      </c>
      <c r="D421" s="549" t="s">
        <v>273</v>
      </c>
      <c r="E421" s="550">
        <v>8</v>
      </c>
      <c r="F421" s="551">
        <v>1.2</v>
      </c>
      <c r="G421" s="551">
        <v>0</v>
      </c>
      <c r="H421" s="551">
        <v>1.2</v>
      </c>
      <c r="I421" s="552">
        <f>ROUND(IF(AND(F421:H421),C421*E421*F421*G421*H421,IF(AND(F421,G421),C421*E421*F421*G421,IF(AND(F421,H421),C421*E421*F421*H421,IF(AND(G421,H421),C421*E421*G421*H421,IF(F421,C421*E421*F421,IF(G421,C421*E421*G421,IF(H421,C421*E421*H421,C421*E421))))))),2)</f>
        <v>11.52</v>
      </c>
      <c r="J421" s="553" t="s">
        <v>102</v>
      </c>
      <c r="K421" s="39"/>
      <c r="L421" s="16"/>
      <c r="M421" s="39"/>
      <c r="N421" s="536" t="s">
        <v>2318</v>
      </c>
    </row>
    <row r="422" spans="1:14" s="544" customFormat="1" ht="16.5" hidden="1" customHeight="1">
      <c r="A422" s="16"/>
      <c r="B422" s="547" t="s">
        <v>2542</v>
      </c>
      <c r="C422" s="548">
        <v>1</v>
      </c>
      <c r="D422" s="549" t="s">
        <v>273</v>
      </c>
      <c r="E422" s="587">
        <v>2.25</v>
      </c>
      <c r="F422" s="551">
        <v>1.2</v>
      </c>
      <c r="G422" s="551">
        <v>0</v>
      </c>
      <c r="H422" s="551">
        <v>2.1</v>
      </c>
      <c r="I422" s="552">
        <f>ROUND(IF(AND(F422:H422),C422*E422*F422*G422*H422,IF(AND(F422,G422),C422*E422*F422*G422,IF(AND(F422,H422),C422*E422*F422*H422,IF(AND(G422,H422),C422*E422*G422*H422,IF(F422,C422*E422*F422,IF(G422,C422*E422*G422,IF(H422,C422*E422*H422,C422*E422))))))),2)</f>
        <v>5.67</v>
      </c>
      <c r="J422" s="553" t="s">
        <v>102</v>
      </c>
      <c r="K422" s="39"/>
      <c r="L422" s="16"/>
      <c r="M422" s="39"/>
      <c r="N422" s="536" t="s">
        <v>2318</v>
      </c>
    </row>
    <row r="423" spans="1:14" s="544" customFormat="1" ht="16.5" hidden="1" customHeight="1">
      <c r="A423" s="16"/>
      <c r="B423" s="547"/>
      <c r="C423" s="548"/>
      <c r="D423" s="549"/>
      <c r="E423" s="587"/>
      <c r="F423" s="551"/>
      <c r="G423" s="551"/>
      <c r="H423" s="551"/>
      <c r="I423" s="552"/>
      <c r="J423" s="553"/>
      <c r="K423" s="39"/>
      <c r="L423" s="208"/>
      <c r="M423" s="39"/>
      <c r="N423" s="536" t="s">
        <v>2318</v>
      </c>
    </row>
    <row r="424" spans="1:14" ht="15.75" hidden="1">
      <c r="A424" s="16"/>
      <c r="B424" s="39"/>
      <c r="C424" s="554"/>
      <c r="D424" s="555"/>
      <c r="E424" s="540"/>
      <c r="F424" s="541"/>
      <c r="G424" s="40"/>
      <c r="H424" s="16"/>
      <c r="I424" s="552"/>
      <c r="J424" s="553" t="s">
        <v>102</v>
      </c>
      <c r="K424" s="10">
        <f>'data 2022-23'!G875</f>
        <v>149.86000000000001</v>
      </c>
      <c r="L424" s="208" t="s">
        <v>2437</v>
      </c>
      <c r="M424" s="9">
        <f>ROUND(I424*K424,0)</f>
        <v>0</v>
      </c>
      <c r="N424" s="536" t="s">
        <v>2318</v>
      </c>
    </row>
    <row r="425" spans="1:14" ht="181.5" hidden="1" customHeight="1">
      <c r="A425" s="16">
        <v>29</v>
      </c>
      <c r="B425" s="1858" t="s">
        <v>1183</v>
      </c>
      <c r="C425" s="1858"/>
      <c r="D425" s="1858"/>
      <c r="E425" s="1858"/>
      <c r="F425" s="1858"/>
      <c r="G425" s="1858"/>
      <c r="H425" s="1858"/>
      <c r="I425" s="537"/>
      <c r="J425" s="538"/>
      <c r="K425" s="16"/>
      <c r="L425" s="208"/>
      <c r="M425" s="38"/>
      <c r="N425" s="536" t="s">
        <v>2318</v>
      </c>
    </row>
    <row r="426" spans="1:14" s="544" customFormat="1" ht="16.5" hidden="1" customHeight="1">
      <c r="A426" s="16"/>
      <c r="B426" s="39" t="s">
        <v>2868</v>
      </c>
      <c r="C426" s="566"/>
      <c r="D426" s="567"/>
      <c r="E426" s="568"/>
      <c r="F426" s="569"/>
      <c r="G426" s="569"/>
      <c r="H426" s="570"/>
      <c r="I426" s="571"/>
      <c r="J426" s="580"/>
      <c r="K426" s="39"/>
      <c r="L426" s="16"/>
      <c r="M426" s="39"/>
      <c r="N426" s="536" t="s">
        <v>2318</v>
      </c>
    </row>
    <row r="427" spans="1:14" s="544" customFormat="1" ht="16.5" hidden="1" customHeight="1">
      <c r="A427" s="16"/>
      <c r="B427" s="547" t="s">
        <v>1625</v>
      </c>
      <c r="C427" s="548">
        <v>1</v>
      </c>
      <c r="D427" s="549" t="s">
        <v>273</v>
      </c>
      <c r="E427" s="587">
        <v>2.25</v>
      </c>
      <c r="F427" s="551">
        <v>1.2</v>
      </c>
      <c r="G427" s="551">
        <v>0</v>
      </c>
      <c r="H427" s="551">
        <v>2.1</v>
      </c>
      <c r="I427" s="552">
        <f>ROUND(IF(AND(F427:H427),C427*E427*F427*G427*H427,IF(AND(F427,G427),C427*E427*F427*G427,IF(AND(F427,H427),C427*E427*F427*H427,IF(AND(G427,H427),C427*E427*G427*H427,IF(F427,C427*E427*F427,IF(G427,C427*E427*G427,IF(H427,C427*E427*H427,C427*E427))))))),2)</f>
        <v>5.67</v>
      </c>
      <c r="J427" s="580" t="s">
        <v>102</v>
      </c>
      <c r="K427" s="39"/>
      <c r="L427" s="16"/>
      <c r="M427" s="39"/>
      <c r="N427" s="536" t="s">
        <v>2318</v>
      </c>
    </row>
    <row r="428" spans="1:14" s="544" customFormat="1" ht="16.5" hidden="1" customHeight="1">
      <c r="A428" s="16"/>
      <c r="B428" s="547"/>
      <c r="C428" s="548"/>
      <c r="D428" s="549"/>
      <c r="E428" s="587"/>
      <c r="F428" s="551"/>
      <c r="G428" s="551"/>
      <c r="H428" s="551"/>
      <c r="I428" s="552"/>
      <c r="J428" s="553"/>
      <c r="K428" s="39"/>
      <c r="L428" s="208"/>
      <c r="M428" s="39"/>
      <c r="N428" s="536" t="s">
        <v>2318</v>
      </c>
    </row>
    <row r="429" spans="1:14" ht="15.75" hidden="1">
      <c r="A429" s="16"/>
      <c r="B429" s="39"/>
      <c r="C429" s="554"/>
      <c r="D429" s="555"/>
      <c r="E429" s="540"/>
      <c r="F429" s="541"/>
      <c r="G429" s="40"/>
      <c r="H429" s="16"/>
      <c r="I429" s="552"/>
      <c r="J429" s="553" t="s">
        <v>102</v>
      </c>
      <c r="K429" s="10">
        <f>'data 2022-23'!G886</f>
        <v>968.78</v>
      </c>
      <c r="L429" s="208" t="s">
        <v>2437</v>
      </c>
      <c r="M429" s="9">
        <f>ROUND(I429*K429,0)</f>
        <v>0</v>
      </c>
      <c r="N429" s="536" t="s">
        <v>2318</v>
      </c>
    </row>
    <row r="430" spans="1:14" ht="111.75" hidden="1" customHeight="1">
      <c r="A430" s="16">
        <v>32</v>
      </c>
      <c r="B430" s="1858" t="s">
        <v>680</v>
      </c>
      <c r="C430" s="1858"/>
      <c r="D430" s="1858"/>
      <c r="E430" s="1858"/>
      <c r="F430" s="1858"/>
      <c r="G430" s="1858"/>
      <c r="H430" s="1858"/>
      <c r="I430" s="537"/>
      <c r="J430" s="538"/>
      <c r="K430" s="16"/>
      <c r="L430" s="208"/>
      <c r="M430" s="38"/>
      <c r="N430" s="536" t="s">
        <v>2318</v>
      </c>
    </row>
    <row r="431" spans="1:14" s="544" customFormat="1" ht="16.5" hidden="1" customHeight="1">
      <c r="A431" s="16"/>
      <c r="B431" s="39" t="s">
        <v>2854</v>
      </c>
      <c r="C431" s="566"/>
      <c r="D431" s="567"/>
      <c r="E431" s="568"/>
      <c r="F431" s="569"/>
      <c r="G431" s="569"/>
      <c r="H431" s="570"/>
      <c r="I431" s="571"/>
      <c r="J431" s="553"/>
      <c r="K431" s="39"/>
      <c r="L431" s="208"/>
      <c r="M431" s="39"/>
      <c r="N431" s="536" t="s">
        <v>2318</v>
      </c>
    </row>
    <row r="432" spans="1:14" s="544" customFormat="1" ht="16.5" hidden="1" customHeight="1">
      <c r="A432" s="16"/>
      <c r="B432" s="582"/>
      <c r="C432" s="583">
        <v>1</v>
      </c>
      <c r="D432" s="584" t="s">
        <v>273</v>
      </c>
      <c r="E432" s="585">
        <v>1</v>
      </c>
      <c r="F432" s="588">
        <v>2.4</v>
      </c>
      <c r="G432" s="586">
        <v>0</v>
      </c>
      <c r="H432" s="586">
        <v>2.1</v>
      </c>
      <c r="I432" s="552">
        <f>ROUND(IF(AND(F432:H432),C432*E432*F432*G432*H432,IF(AND(F432,G432),C432*E432*F432*G432,IF(AND(F432,H432),C432*E432*F432*H432,IF(AND(G432,H432),C432*E432*G432*H432,IF(F432,C432*E432*F432,IF(G432,C432*E432*G432,IF(H432,C432*E432*H432,C432*E432))))))),2)</f>
        <v>5.04</v>
      </c>
      <c r="J432" s="553" t="s">
        <v>102</v>
      </c>
      <c r="K432" s="39"/>
      <c r="L432" s="208"/>
      <c r="M432" s="39"/>
      <c r="N432" s="536" t="s">
        <v>2318</v>
      </c>
    </row>
    <row r="433" spans="1:14" s="544" customFormat="1" ht="16.5" hidden="1" customHeight="1">
      <c r="A433" s="16"/>
      <c r="B433" s="547"/>
      <c r="C433" s="548"/>
      <c r="D433" s="549"/>
      <c r="E433" s="550"/>
      <c r="F433" s="589"/>
      <c r="G433" s="551"/>
      <c r="H433" s="551"/>
      <c r="I433" s="552"/>
      <c r="J433" s="553"/>
      <c r="K433" s="39"/>
      <c r="L433" s="208"/>
      <c r="M433" s="39"/>
      <c r="N433" s="536" t="s">
        <v>2318</v>
      </c>
    </row>
    <row r="434" spans="1:14" ht="15.75" hidden="1">
      <c r="A434" s="16"/>
      <c r="B434" s="39"/>
      <c r="C434" s="554"/>
      <c r="D434" s="555"/>
      <c r="E434" s="540"/>
      <c r="F434" s="541"/>
      <c r="G434" s="40"/>
      <c r="H434" s="16"/>
      <c r="I434" s="552"/>
      <c r="J434" s="553" t="s">
        <v>102</v>
      </c>
      <c r="K434" s="10">
        <f>'data 2022-23'!G892</f>
        <v>4025</v>
      </c>
      <c r="L434" s="208" t="s">
        <v>2437</v>
      </c>
      <c r="M434" s="9">
        <f>ROUND(I434*K434,0)</f>
        <v>0</v>
      </c>
      <c r="N434" s="536" t="s">
        <v>2318</v>
      </c>
    </row>
    <row r="435" spans="1:14" ht="36.75" hidden="1" customHeight="1">
      <c r="A435" s="16">
        <v>33</v>
      </c>
      <c r="B435" s="1858" t="s">
        <v>952</v>
      </c>
      <c r="C435" s="1858"/>
      <c r="D435" s="1858"/>
      <c r="E435" s="1858"/>
      <c r="F435" s="1858"/>
      <c r="G435" s="1858"/>
      <c r="H435" s="1858"/>
      <c r="I435" s="537"/>
      <c r="J435" s="538"/>
      <c r="K435" s="16"/>
      <c r="L435" s="208"/>
      <c r="M435" s="38"/>
      <c r="N435" s="536" t="s">
        <v>2318</v>
      </c>
    </row>
    <row r="436" spans="1:14" s="544" customFormat="1" ht="16.5" hidden="1" customHeight="1">
      <c r="A436" s="16"/>
      <c r="B436" s="39" t="s">
        <v>2869</v>
      </c>
      <c r="C436" s="566"/>
      <c r="D436" s="567"/>
      <c r="E436" s="568"/>
      <c r="F436" s="569"/>
      <c r="G436" s="569"/>
      <c r="H436" s="570"/>
      <c r="I436" s="571"/>
      <c r="J436" s="553"/>
      <c r="K436" s="39"/>
      <c r="L436" s="16"/>
      <c r="M436" s="39"/>
      <c r="N436" s="536" t="s">
        <v>2318</v>
      </c>
    </row>
    <row r="437" spans="1:14" s="544" customFormat="1" ht="16.5" hidden="1" customHeight="1">
      <c r="A437" s="16"/>
      <c r="B437" s="547"/>
      <c r="C437" s="548">
        <v>1</v>
      </c>
      <c r="D437" s="549" t="s">
        <v>273</v>
      </c>
      <c r="E437" s="550">
        <v>8</v>
      </c>
      <c r="F437" s="551">
        <v>0</v>
      </c>
      <c r="G437" s="551">
        <v>0</v>
      </c>
      <c r="H437" s="551">
        <v>0</v>
      </c>
      <c r="I437" s="552">
        <f>ROUND(IF(AND(F437:H437),C437*E437*F437*G437*H437,IF(AND(F437,G437),C437*E437*F437*G437,IF(AND(F437,H437),C437*E437*F437*H437,IF(AND(G437,H437),C437*E437*G437*H437,IF(F437,C437*E437*F437,IF(G437,C437*E437*G437,IF(H437,C437*E437*H437,C437*E437))))))),2)</f>
        <v>8</v>
      </c>
      <c r="J437" s="553" t="s">
        <v>115</v>
      </c>
      <c r="K437" s="39"/>
      <c r="L437" s="16"/>
      <c r="M437" s="39"/>
      <c r="N437" s="536" t="s">
        <v>2318</v>
      </c>
    </row>
    <row r="438" spans="1:14" s="544" customFormat="1" ht="16.5" hidden="1" customHeight="1">
      <c r="A438" s="16"/>
      <c r="B438" s="547"/>
      <c r="C438" s="548"/>
      <c r="D438" s="549"/>
      <c r="E438" s="550"/>
      <c r="F438" s="551"/>
      <c r="G438" s="551"/>
      <c r="H438" s="551"/>
      <c r="I438" s="552"/>
      <c r="J438" s="553"/>
      <c r="K438" s="39"/>
      <c r="L438" s="16"/>
      <c r="M438" s="39"/>
      <c r="N438" s="536" t="s">
        <v>2318</v>
      </c>
    </row>
    <row r="439" spans="1:14" ht="15.75" hidden="1">
      <c r="A439" s="16"/>
      <c r="B439" s="39"/>
      <c r="C439" s="554"/>
      <c r="D439" s="555"/>
      <c r="E439" s="540"/>
      <c r="F439" s="541"/>
      <c r="G439" s="40"/>
      <c r="H439" s="16"/>
      <c r="I439" s="552"/>
      <c r="J439" s="553" t="s">
        <v>115</v>
      </c>
      <c r="K439" s="10">
        <f>'data 2022-23'!G901</f>
        <v>666.66</v>
      </c>
      <c r="L439" s="208" t="s">
        <v>275</v>
      </c>
      <c r="M439" s="9">
        <f>ROUND(I439*K439,0)</f>
        <v>0</v>
      </c>
      <c r="N439" s="536" t="s">
        <v>2318</v>
      </c>
    </row>
    <row r="440" spans="1:14" ht="33" hidden="1" customHeight="1">
      <c r="A440" s="16">
        <v>9</v>
      </c>
      <c r="B440" s="1858" t="s">
        <v>1232</v>
      </c>
      <c r="C440" s="1858"/>
      <c r="D440" s="1858"/>
      <c r="E440" s="1858"/>
      <c r="F440" s="1858"/>
      <c r="G440" s="1858"/>
      <c r="H440" s="1858"/>
      <c r="I440" s="537"/>
      <c r="J440" s="538"/>
      <c r="K440" s="16"/>
      <c r="L440" s="208"/>
      <c r="M440" s="38"/>
      <c r="N440" s="536" t="s">
        <v>2318</v>
      </c>
    </row>
    <row r="441" spans="1:14" s="544" customFormat="1" ht="16.5" hidden="1" customHeight="1">
      <c r="A441" s="16"/>
      <c r="B441" s="39" t="s">
        <v>2534</v>
      </c>
      <c r="C441" s="566"/>
      <c r="D441" s="567"/>
      <c r="E441" s="568"/>
      <c r="F441" s="569"/>
      <c r="G441" s="569"/>
      <c r="H441" s="570"/>
      <c r="I441" s="571"/>
      <c r="J441" s="553"/>
      <c r="K441" s="39"/>
      <c r="L441" s="16"/>
      <c r="M441" s="39"/>
      <c r="N441" s="536" t="s">
        <v>2318</v>
      </c>
    </row>
    <row r="442" spans="1:14" s="544" customFormat="1" ht="16.5" hidden="1" customHeight="1">
      <c r="A442" s="16"/>
      <c r="B442" s="547"/>
      <c r="C442" s="548">
        <v>2</v>
      </c>
      <c r="D442" s="549" t="s">
        <v>273</v>
      </c>
      <c r="E442" s="550">
        <v>7</v>
      </c>
      <c r="F442" s="551">
        <v>0</v>
      </c>
      <c r="G442" s="551">
        <v>0</v>
      </c>
      <c r="H442" s="551">
        <v>0</v>
      </c>
      <c r="I442" s="613">
        <f>ROUND(IF(AND(F442:H442),C442*E442*F442*G442*H442,IF(AND(F442,G442),C442*E442*F442*G442,IF(AND(F442,H442),C442*E442*F442*H442,IF(AND(G442,H442),C442*E442*G442*H442,IF(F442,C442*E442*F442,IF(G442,C442*E442*G442,IF(H442,C442*E442*H442,C442*E442))))))),2)</f>
        <v>14</v>
      </c>
      <c r="J442" s="553" t="s">
        <v>115</v>
      </c>
      <c r="K442" s="39"/>
      <c r="L442" s="16"/>
      <c r="M442" s="39"/>
      <c r="N442" s="536" t="s">
        <v>2318</v>
      </c>
    </row>
    <row r="443" spans="1:14" s="544" customFormat="1" ht="16.5" hidden="1" customHeight="1">
      <c r="A443" s="16"/>
      <c r="B443" s="547"/>
      <c r="C443" s="548"/>
      <c r="D443" s="549"/>
      <c r="E443" s="550"/>
      <c r="F443" s="551"/>
      <c r="G443" s="551"/>
      <c r="H443" s="551"/>
      <c r="I443" s="613"/>
      <c r="J443" s="553"/>
      <c r="K443" s="39"/>
      <c r="L443" s="16"/>
      <c r="M443" s="39"/>
      <c r="N443" s="536" t="s">
        <v>2318</v>
      </c>
    </row>
    <row r="444" spans="1:14" ht="15.75" hidden="1">
      <c r="A444" s="16"/>
      <c r="B444" s="39"/>
      <c r="C444" s="554"/>
      <c r="D444" s="555"/>
      <c r="E444" s="540"/>
      <c r="F444" s="541"/>
      <c r="G444" s="40"/>
      <c r="H444" s="16"/>
      <c r="I444" s="613"/>
      <c r="J444" s="553" t="s">
        <v>115</v>
      </c>
      <c r="K444" s="10">
        <f>'data 2022-23'!G910</f>
        <v>500</v>
      </c>
      <c r="L444" s="208" t="s">
        <v>275</v>
      </c>
      <c r="M444" s="9">
        <f>ROUND(I444*K444,0)</f>
        <v>0</v>
      </c>
      <c r="N444" s="536" t="s">
        <v>2318</v>
      </c>
    </row>
    <row r="445" spans="1:14" ht="36.75" hidden="1" customHeight="1">
      <c r="A445" s="16">
        <v>10</v>
      </c>
      <c r="B445" s="1858" t="s">
        <v>1439</v>
      </c>
      <c r="C445" s="1858"/>
      <c r="D445" s="1858"/>
      <c r="E445" s="1858"/>
      <c r="F445" s="1858"/>
      <c r="G445" s="1858"/>
      <c r="H445" s="1858"/>
      <c r="I445" s="537"/>
      <c r="J445" s="538"/>
      <c r="K445" s="16"/>
      <c r="L445" s="208"/>
      <c r="M445" s="38"/>
      <c r="N445" s="536" t="s">
        <v>2318</v>
      </c>
    </row>
    <row r="446" spans="1:14" s="544" customFormat="1" ht="16.5" hidden="1" customHeight="1">
      <c r="A446" s="16"/>
      <c r="B446" s="39" t="s">
        <v>2534</v>
      </c>
      <c r="C446" s="566"/>
      <c r="D446" s="567"/>
      <c r="E446" s="568"/>
      <c r="F446" s="569"/>
      <c r="G446" s="569"/>
      <c r="H446" s="570"/>
      <c r="I446" s="571"/>
      <c r="J446" s="553"/>
      <c r="K446" s="39"/>
      <c r="L446" s="208"/>
      <c r="M446" s="39"/>
      <c r="N446" s="536" t="s">
        <v>2318</v>
      </c>
    </row>
    <row r="447" spans="1:14" s="544" customFormat="1" ht="16.5" hidden="1" customHeight="1">
      <c r="A447" s="16"/>
      <c r="B447" s="547"/>
      <c r="C447" s="548">
        <v>1</v>
      </c>
      <c r="D447" s="549" t="s">
        <v>273</v>
      </c>
      <c r="E447" s="550">
        <v>2</v>
      </c>
      <c r="F447" s="551">
        <v>0</v>
      </c>
      <c r="G447" s="551">
        <v>0</v>
      </c>
      <c r="H447" s="551">
        <v>0</v>
      </c>
      <c r="I447" s="613">
        <f>ROUND(IF(AND(F447:H447),C447*E447*F447*G447*H447,IF(AND(F447,G447),C447*E447*F447*G447,IF(AND(F447,H447),C447*E447*F447*H447,IF(AND(G447,H447),C447*E447*G447*H447,IF(F447,C447*E447*F447,IF(G447,C447*E447*G447,IF(H447,C447*E447*H447,C447*E447))))))),2)</f>
        <v>2</v>
      </c>
      <c r="J447" s="553" t="s">
        <v>115</v>
      </c>
      <c r="K447" s="39"/>
      <c r="L447" s="208"/>
      <c r="M447" s="39"/>
      <c r="N447" s="536" t="s">
        <v>2318</v>
      </c>
    </row>
    <row r="448" spans="1:14" s="544" customFormat="1" ht="16.5" hidden="1" customHeight="1">
      <c r="A448" s="16"/>
      <c r="B448" s="547"/>
      <c r="C448" s="548"/>
      <c r="D448" s="549"/>
      <c r="E448" s="550"/>
      <c r="F448" s="551"/>
      <c r="G448" s="551"/>
      <c r="H448" s="551"/>
      <c r="I448" s="613"/>
      <c r="J448" s="553"/>
      <c r="K448" s="39"/>
      <c r="L448" s="208"/>
      <c r="M448" s="39"/>
      <c r="N448" s="536" t="s">
        <v>2318</v>
      </c>
    </row>
    <row r="449" spans="1:15" ht="15.75" hidden="1">
      <c r="A449" s="16"/>
      <c r="B449" s="39"/>
      <c r="C449" s="554"/>
      <c r="D449" s="555"/>
      <c r="E449" s="540"/>
      <c r="F449" s="541"/>
      <c r="G449" s="40"/>
      <c r="H449" s="16"/>
      <c r="I449" s="613"/>
      <c r="J449" s="553" t="s">
        <v>115</v>
      </c>
      <c r="K449" s="10">
        <f>'data 2022-23'!G914</f>
        <v>130</v>
      </c>
      <c r="L449" s="208" t="s">
        <v>275</v>
      </c>
      <c r="M449" s="9">
        <f>ROUND(I449*K449,0)</f>
        <v>0</v>
      </c>
      <c r="N449" s="536" t="s">
        <v>2318</v>
      </c>
    </row>
    <row r="450" spans="1:15" ht="69.75" hidden="1" customHeight="1">
      <c r="A450" s="16">
        <v>31</v>
      </c>
      <c r="B450" s="1858" t="s">
        <v>124</v>
      </c>
      <c r="C450" s="1858"/>
      <c r="D450" s="1858"/>
      <c r="E450" s="1858"/>
      <c r="F450" s="1858"/>
      <c r="G450" s="1858"/>
      <c r="H450" s="1858"/>
      <c r="I450" s="537"/>
      <c r="J450" s="538"/>
      <c r="K450" s="16"/>
      <c r="L450" s="208"/>
      <c r="M450" s="38"/>
      <c r="N450" s="536" t="s">
        <v>2318</v>
      </c>
    </row>
    <row r="451" spans="1:15" s="544" customFormat="1" ht="16.5" hidden="1" customHeight="1">
      <c r="A451" s="16"/>
      <c r="B451" s="39" t="s">
        <v>2875</v>
      </c>
      <c r="C451" s="448" t="s">
        <v>1559</v>
      </c>
      <c r="D451" s="567"/>
      <c r="E451" s="568"/>
      <c r="F451" s="569"/>
      <c r="G451" s="569"/>
      <c r="H451" s="570"/>
      <c r="I451" s="571"/>
      <c r="J451" s="553" t="s">
        <v>141</v>
      </c>
      <c r="K451" s="39"/>
      <c r="L451" s="208"/>
      <c r="M451" s="39"/>
      <c r="N451" s="536" t="s">
        <v>2318</v>
      </c>
      <c r="O451" s="449"/>
    </row>
    <row r="452" spans="1:15" s="544" customFormat="1" ht="16.5" hidden="1" customHeight="1">
      <c r="A452" s="16"/>
      <c r="B452" s="39" t="s">
        <v>2876</v>
      </c>
      <c r="C452" s="448" t="s">
        <v>1559</v>
      </c>
      <c r="D452" s="567"/>
      <c r="E452" s="568"/>
      <c r="F452" s="569"/>
      <c r="G452" s="569"/>
      <c r="H452" s="570"/>
      <c r="I452" s="571"/>
      <c r="J452" s="553" t="s">
        <v>141</v>
      </c>
      <c r="K452" s="39"/>
      <c r="L452" s="208"/>
      <c r="M452" s="39"/>
      <c r="N452" s="536" t="s">
        <v>2318</v>
      </c>
      <c r="O452" s="449"/>
    </row>
    <row r="453" spans="1:15" s="544" customFormat="1" ht="16.5" hidden="1" customHeight="1">
      <c r="A453" s="16"/>
      <c r="B453" s="39" t="s">
        <v>2869</v>
      </c>
      <c r="C453" s="448" t="s">
        <v>1561</v>
      </c>
      <c r="D453" s="567"/>
      <c r="E453" s="568"/>
      <c r="F453" s="569"/>
      <c r="G453" s="569"/>
      <c r="H453" s="570"/>
      <c r="I453" s="571"/>
      <c r="J453" s="553" t="s">
        <v>141</v>
      </c>
      <c r="K453" s="39"/>
      <c r="L453" s="208"/>
      <c r="M453" s="39"/>
      <c r="N453" s="536" t="s">
        <v>2318</v>
      </c>
      <c r="O453" s="449"/>
    </row>
    <row r="454" spans="1:15" s="544" customFormat="1" ht="16.5" hidden="1" customHeight="1">
      <c r="A454" s="16"/>
      <c r="B454" s="207"/>
      <c r="C454" s="590"/>
      <c r="D454" s="567"/>
      <c r="E454" s="568"/>
      <c r="F454" s="569"/>
      <c r="G454" s="569"/>
      <c r="H454" s="570"/>
      <c r="I454" s="571"/>
      <c r="J454" s="553"/>
      <c r="K454" s="39"/>
      <c r="L454" s="208"/>
      <c r="M454" s="39"/>
      <c r="N454" s="536" t="s">
        <v>2318</v>
      </c>
      <c r="O454" s="591"/>
    </row>
    <row r="455" spans="1:15" s="544" customFormat="1" ht="16.5" hidden="1" customHeight="1">
      <c r="A455" s="16"/>
      <c r="B455" s="39"/>
      <c r="C455" s="566"/>
      <c r="D455" s="567"/>
      <c r="E455" s="568"/>
      <c r="F455" s="569"/>
      <c r="G455" s="569"/>
      <c r="H455" s="570"/>
      <c r="I455" s="571">
        <f>SUM(I451:I454)</f>
        <v>0</v>
      </c>
      <c r="J455" s="553" t="s">
        <v>141</v>
      </c>
      <c r="K455" s="39"/>
      <c r="L455" s="208"/>
      <c r="M455" s="39"/>
      <c r="N455" s="536" t="s">
        <v>2318</v>
      </c>
    </row>
    <row r="456" spans="1:15" ht="15.75" hidden="1">
      <c r="A456" s="16"/>
      <c r="B456" s="39"/>
      <c r="C456" s="554"/>
      <c r="D456" s="555"/>
      <c r="E456" s="540"/>
      <c r="F456" s="541"/>
      <c r="G456" s="40"/>
      <c r="H456" s="16" t="s">
        <v>902</v>
      </c>
      <c r="I456" s="552">
        <f>ROUND((I455/1000)*1.05,2)</f>
        <v>0</v>
      </c>
      <c r="J456" s="553" t="s">
        <v>29</v>
      </c>
      <c r="K456" s="10">
        <f>'data 2022-23'!E283</f>
        <v>89280</v>
      </c>
      <c r="L456" s="208" t="s">
        <v>280</v>
      </c>
      <c r="M456" s="9">
        <f>ROUND(I456*K456,0)</f>
        <v>0</v>
      </c>
      <c r="N456" s="536" t="s">
        <v>2318</v>
      </c>
    </row>
    <row r="457" spans="1:15" ht="15.75" hidden="1">
      <c r="A457" s="16"/>
      <c r="B457" s="39" t="s">
        <v>2429</v>
      </c>
      <c r="C457" s="554"/>
      <c r="D457" s="555"/>
      <c r="E457" s="540"/>
      <c r="F457" s="541"/>
      <c r="G457" s="40"/>
      <c r="H457" s="16"/>
      <c r="I457" s="552"/>
      <c r="J457" s="553"/>
      <c r="K457" s="10"/>
      <c r="L457" s="208"/>
      <c r="M457" s="9"/>
      <c r="N457" s="536" t="s">
        <v>2318</v>
      </c>
    </row>
    <row r="458" spans="1:15" ht="93.75" hidden="1" customHeight="1">
      <c r="A458" s="16">
        <v>1</v>
      </c>
      <c r="B458" s="1858" t="s">
        <v>1573</v>
      </c>
      <c r="C458" s="1858"/>
      <c r="D458" s="1858"/>
      <c r="E458" s="1858"/>
      <c r="F458" s="1858"/>
      <c r="G458" s="1858"/>
      <c r="H458" s="1858"/>
      <c r="I458" s="537"/>
      <c r="J458" s="538"/>
      <c r="K458" s="16"/>
      <c r="L458" s="208"/>
      <c r="M458" s="38"/>
      <c r="N458" s="536" t="s">
        <v>2318</v>
      </c>
    </row>
    <row r="459" spans="1:15" s="544" customFormat="1" ht="16.5" hidden="1" customHeight="1">
      <c r="A459" s="16"/>
      <c r="B459" s="39" t="s">
        <v>2877</v>
      </c>
      <c r="C459" s="537"/>
      <c r="D459" s="539"/>
      <c r="E459" s="540"/>
      <c r="F459" s="541"/>
      <c r="G459" s="541"/>
      <c r="H459" s="541"/>
      <c r="I459" s="542"/>
      <c r="J459" s="553"/>
      <c r="K459" s="39"/>
      <c r="L459" s="16"/>
      <c r="M459" s="39"/>
      <c r="N459" s="536" t="s">
        <v>2318</v>
      </c>
    </row>
    <row r="460" spans="1:15" s="544" customFormat="1" ht="16.5" hidden="1" customHeight="1">
      <c r="A460" s="16"/>
      <c r="B460" s="39" t="s">
        <v>1493</v>
      </c>
      <c r="C460" s="537">
        <v>1</v>
      </c>
      <c r="D460" s="539" t="s">
        <v>273</v>
      </c>
      <c r="E460" s="540">
        <v>11</v>
      </c>
      <c r="F460" s="541">
        <v>0.36</v>
      </c>
      <c r="G460" s="541">
        <v>0.48</v>
      </c>
      <c r="H460" s="541">
        <v>0.05</v>
      </c>
      <c r="I460" s="545">
        <f>ROUND(IF(AND(F460:H460),C460*E460*F460*G460*H460,IF(AND(F460,G460),C460*E460*F460*G460,IF(AND(F460,H460),C460*E460*F460*H460,IF(AND(G460,H460),C460*E460*G460*H460,IF(F460,C460*E460*F460,IF(G460,C460*E460*G460,IF(H460,C460*E460*H460,C460*E460))))))),2)</f>
        <v>0.1</v>
      </c>
      <c r="J460" s="553" t="s">
        <v>5</v>
      </c>
      <c r="K460" s="39"/>
      <c r="L460" s="16"/>
      <c r="M460" s="39"/>
      <c r="N460" s="536" t="s">
        <v>2318</v>
      </c>
    </row>
    <row r="461" spans="1:15" s="544" customFormat="1" ht="16.5" hidden="1" customHeight="1">
      <c r="A461" s="16"/>
      <c r="B461" s="547"/>
      <c r="C461" s="548"/>
      <c r="D461" s="549"/>
      <c r="E461" s="550"/>
      <c r="F461" s="551"/>
      <c r="G461" s="551"/>
      <c r="H461" s="551"/>
      <c r="I461" s="552"/>
      <c r="J461" s="553"/>
      <c r="K461" s="39"/>
      <c r="L461" s="208"/>
      <c r="M461" s="39"/>
      <c r="N461" s="536" t="s">
        <v>2318</v>
      </c>
    </row>
    <row r="462" spans="1:15" ht="15.75" hidden="1">
      <c r="A462" s="16"/>
      <c r="B462" s="39"/>
      <c r="C462" s="554"/>
      <c r="D462" s="555"/>
      <c r="E462" s="540"/>
      <c r="F462" s="541"/>
      <c r="G462" s="40"/>
      <c r="H462" s="16"/>
      <c r="I462" s="552"/>
      <c r="J462" s="553" t="s">
        <v>5</v>
      </c>
      <c r="K462" s="10">
        <f>'data 2022-23'!F152</f>
        <v>11192.01</v>
      </c>
      <c r="L462" s="208" t="s">
        <v>274</v>
      </c>
      <c r="M462" s="9">
        <f>ROUND(I462*K462,0)</f>
        <v>0</v>
      </c>
      <c r="N462" s="536" t="s">
        <v>2318</v>
      </c>
    </row>
    <row r="463" spans="1:15" ht="17.25" hidden="1" customHeight="1">
      <c r="A463" s="16">
        <v>2</v>
      </c>
      <c r="B463" s="1858" t="s">
        <v>303</v>
      </c>
      <c r="C463" s="1858"/>
      <c r="D463" s="1858"/>
      <c r="E463" s="1858"/>
      <c r="F463" s="1858"/>
      <c r="G463" s="1858"/>
      <c r="H463" s="1858"/>
      <c r="I463" s="537"/>
      <c r="J463" s="538"/>
      <c r="K463" s="16"/>
      <c r="L463" s="208"/>
      <c r="M463" s="38"/>
      <c r="N463" s="536" t="s">
        <v>2318</v>
      </c>
    </row>
    <row r="464" spans="1:15" s="544" customFormat="1" ht="16.5" hidden="1" customHeight="1">
      <c r="A464" s="16"/>
      <c r="B464" s="39" t="s">
        <v>2881</v>
      </c>
      <c r="C464" s="537"/>
      <c r="D464" s="539"/>
      <c r="E464" s="540"/>
      <c r="F464" s="541"/>
      <c r="G464" s="541"/>
      <c r="H464" s="541"/>
      <c r="I464" s="542"/>
      <c r="J464" s="553"/>
      <c r="K464" s="39"/>
      <c r="L464" s="208"/>
      <c r="M464" s="39"/>
      <c r="N464" s="536" t="s">
        <v>2318</v>
      </c>
    </row>
    <row r="465" spans="1:14" s="544" customFormat="1" ht="16.5" hidden="1" customHeight="1">
      <c r="A465" s="16"/>
      <c r="B465" s="39" t="s">
        <v>1528</v>
      </c>
      <c r="C465" s="537">
        <v>1</v>
      </c>
      <c r="D465" s="539" t="s">
        <v>273</v>
      </c>
      <c r="E465" s="540">
        <v>1</v>
      </c>
      <c r="F465" s="541">
        <v>2.65</v>
      </c>
      <c r="G465" s="541">
        <v>0.23</v>
      </c>
      <c r="H465" s="541">
        <v>0.3</v>
      </c>
      <c r="I465" s="545">
        <f>ROUND(IF(AND(F465:H465),C465*E465*F465*G465*H465,IF(AND(F465,G465),C465*E465*F465*G465,IF(AND(F465,H465),C465*E465*F465*H465,IF(AND(G465,H465),C465*E465*G465*H465,IF(F465,C465*E465*F465,IF(G465,C465*E465*G465,IF(H465,C465*E465*H465,C465*E465))))))),2)</f>
        <v>0.18</v>
      </c>
      <c r="J465" s="553" t="s">
        <v>5</v>
      </c>
      <c r="K465" s="39"/>
      <c r="L465" s="208"/>
      <c r="M465" s="39"/>
      <c r="N465" s="536" t="s">
        <v>2318</v>
      </c>
    </row>
    <row r="466" spans="1:14" s="544" customFormat="1" ht="16.5" hidden="1" customHeight="1">
      <c r="A466" s="16"/>
      <c r="B466" s="39" t="s">
        <v>1529</v>
      </c>
      <c r="C466" s="537">
        <v>1</v>
      </c>
      <c r="D466" s="539" t="s">
        <v>273</v>
      </c>
      <c r="E466" s="540">
        <v>2</v>
      </c>
      <c r="F466" s="541">
        <v>1</v>
      </c>
      <c r="G466" s="541">
        <v>0.23</v>
      </c>
      <c r="H466" s="541">
        <v>0.3</v>
      </c>
      <c r="I466" s="545">
        <f>ROUND(IF(AND(F466:H466),C466*E466*F466*G466*H466,IF(AND(F466,G466),C466*E466*F466*G466,IF(AND(F466,H466),C466*E466*F466*H466,IF(AND(G466,H466),C466*E466*G466*H466,IF(F466,C466*E466*F466,IF(G466,C466*E466*G466,IF(H466,C466*E466*H466,C466*E466))))))),2)</f>
        <v>0.14000000000000001</v>
      </c>
      <c r="J466" s="553" t="s">
        <v>5</v>
      </c>
      <c r="K466" s="39"/>
      <c r="L466" s="208"/>
      <c r="M466" s="39"/>
      <c r="N466" s="536" t="s">
        <v>2318</v>
      </c>
    </row>
    <row r="467" spans="1:14" s="544" customFormat="1" ht="16.5" hidden="1" customHeight="1">
      <c r="A467" s="16"/>
      <c r="B467" s="547"/>
      <c r="C467" s="548"/>
      <c r="D467" s="549"/>
      <c r="E467" s="550"/>
      <c r="F467" s="551"/>
      <c r="G467" s="551"/>
      <c r="H467" s="551"/>
      <c r="I467" s="552"/>
      <c r="J467" s="553"/>
      <c r="K467" s="39"/>
      <c r="L467" s="208"/>
      <c r="M467" s="39"/>
      <c r="N467" s="536" t="s">
        <v>2318</v>
      </c>
    </row>
    <row r="468" spans="1:14" ht="15.75" hidden="1">
      <c r="A468" s="16"/>
      <c r="B468" s="39"/>
      <c r="C468" s="554"/>
      <c r="D468" s="555"/>
      <c r="E468" s="540"/>
      <c r="F468" s="541"/>
      <c r="G468" s="40"/>
      <c r="H468" s="16"/>
      <c r="I468" s="552"/>
      <c r="J468" s="553" t="s">
        <v>5</v>
      </c>
      <c r="K468" s="10">
        <f>'data 2022-23'!F179</f>
        <v>10490.18</v>
      </c>
      <c r="L468" s="208" t="s">
        <v>274</v>
      </c>
      <c r="M468" s="9">
        <f>ROUND(I468*K468,0)</f>
        <v>0</v>
      </c>
      <c r="N468" s="536" t="s">
        <v>2318</v>
      </c>
    </row>
    <row r="469" spans="1:14" ht="17.25" hidden="1" customHeight="1">
      <c r="A469" s="16">
        <v>3</v>
      </c>
      <c r="B469" s="1858" t="s">
        <v>304</v>
      </c>
      <c r="C469" s="1858"/>
      <c r="D469" s="1858"/>
      <c r="E469" s="1858"/>
      <c r="F469" s="1858"/>
      <c r="G469" s="1858"/>
      <c r="H469" s="1858"/>
      <c r="I469" s="537"/>
      <c r="J469" s="538"/>
      <c r="K469" s="16"/>
      <c r="L469" s="208"/>
      <c r="M469" s="38"/>
      <c r="N469" s="536" t="s">
        <v>2318</v>
      </c>
    </row>
    <row r="470" spans="1:14" s="544" customFormat="1" ht="16.5" hidden="1" customHeight="1">
      <c r="A470" s="16"/>
      <c r="B470" s="39" t="s">
        <v>2881</v>
      </c>
      <c r="C470" s="537"/>
      <c r="D470" s="539"/>
      <c r="E470" s="540"/>
      <c r="F470" s="541"/>
      <c r="G470" s="541"/>
      <c r="H470" s="541"/>
      <c r="I470" s="542"/>
      <c r="J470" s="553"/>
      <c r="K470" s="39"/>
      <c r="L470" s="16"/>
      <c r="M470" s="39"/>
      <c r="N470" s="536" t="s">
        <v>2318</v>
      </c>
    </row>
    <row r="471" spans="1:14" s="544" customFormat="1" ht="16.5" hidden="1" customHeight="1">
      <c r="A471" s="16"/>
      <c r="B471" s="39" t="s">
        <v>1627</v>
      </c>
      <c r="C471" s="537">
        <v>1</v>
      </c>
      <c r="D471" s="539" t="s">
        <v>273</v>
      </c>
      <c r="E471" s="540">
        <v>1</v>
      </c>
      <c r="F471" s="541">
        <v>3.2</v>
      </c>
      <c r="G471" s="541">
        <v>1.22</v>
      </c>
      <c r="H471" s="541">
        <v>0</v>
      </c>
      <c r="I471" s="545">
        <f>ROUND(IF(AND(F471:H471),C471*E471*F471*G471*H471,IF(AND(F471,G471),C471*E471*F471*G471,IF(AND(F471,H471),C471*E471*F471*H471,IF(AND(G471,H471),C471*E471*G471*H471,IF(F471,C471*E471*F471,IF(G471,C471*E471*G471,IF(H471,C471*E471*H471,C471*E471))))))),2)</f>
        <v>3.9</v>
      </c>
      <c r="J471" s="553" t="s">
        <v>102</v>
      </c>
      <c r="K471" s="39"/>
      <c r="L471" s="16"/>
      <c r="M471" s="39"/>
      <c r="N471" s="536" t="s">
        <v>2318</v>
      </c>
    </row>
    <row r="472" spans="1:14" s="544" customFormat="1" ht="16.5" hidden="1" customHeight="1">
      <c r="A472" s="16"/>
      <c r="B472" s="547"/>
      <c r="C472" s="548"/>
      <c r="D472" s="549"/>
      <c r="E472" s="550"/>
      <c r="F472" s="551"/>
      <c r="G472" s="551"/>
      <c r="H472" s="551"/>
      <c r="I472" s="552"/>
      <c r="J472" s="553"/>
      <c r="K472" s="39"/>
      <c r="L472" s="208"/>
      <c r="M472" s="39"/>
      <c r="N472" s="536" t="s">
        <v>2318</v>
      </c>
    </row>
    <row r="473" spans="1:14" ht="15.75" hidden="1">
      <c r="A473" s="16"/>
      <c r="B473" s="39"/>
      <c r="C473" s="554"/>
      <c r="D473" s="555"/>
      <c r="E473" s="540"/>
      <c r="F473" s="541"/>
      <c r="G473" s="40"/>
      <c r="H473" s="16"/>
      <c r="I473" s="552"/>
      <c r="J473" s="553" t="s">
        <v>102</v>
      </c>
      <c r="K473" s="10">
        <f>'data 2022-23'!F200</f>
        <v>1538.77</v>
      </c>
      <c r="L473" s="208" t="s">
        <v>2437</v>
      </c>
      <c r="M473" s="9">
        <f>ROUND(I473*K473,0)</f>
        <v>0</v>
      </c>
      <c r="N473" s="536" t="s">
        <v>2318</v>
      </c>
    </row>
    <row r="474" spans="1:14" ht="17.25" hidden="1" customHeight="1">
      <c r="A474" s="16">
        <v>4</v>
      </c>
      <c r="B474" s="1858" t="s">
        <v>305</v>
      </c>
      <c r="C474" s="1858"/>
      <c r="D474" s="1858"/>
      <c r="E474" s="1858"/>
      <c r="F474" s="1858"/>
      <c r="G474" s="1858"/>
      <c r="H474" s="1858"/>
      <c r="I474" s="537"/>
      <c r="J474" s="538"/>
      <c r="K474" s="16"/>
      <c r="L474" s="208"/>
      <c r="M474" s="38"/>
      <c r="N474" s="536" t="s">
        <v>2318</v>
      </c>
    </row>
    <row r="475" spans="1:14" s="544" customFormat="1" ht="16.5" hidden="1" customHeight="1">
      <c r="A475" s="16"/>
      <c r="B475" s="39" t="s">
        <v>2882</v>
      </c>
      <c r="C475" s="537"/>
      <c r="D475" s="539"/>
      <c r="E475" s="540"/>
      <c r="F475" s="541"/>
      <c r="G475" s="541"/>
      <c r="H475" s="541"/>
      <c r="I475" s="542"/>
      <c r="J475" s="553"/>
      <c r="K475" s="39"/>
      <c r="L475" s="16"/>
      <c r="M475" s="39"/>
      <c r="N475" s="536" t="s">
        <v>2318</v>
      </c>
    </row>
    <row r="476" spans="1:14" s="544" customFormat="1" ht="16.5" hidden="1" customHeight="1">
      <c r="A476" s="16"/>
      <c r="B476" s="39"/>
      <c r="C476" s="537">
        <v>1</v>
      </c>
      <c r="D476" s="539" t="s">
        <v>273</v>
      </c>
      <c r="E476" s="540">
        <v>1</v>
      </c>
      <c r="F476" s="541">
        <v>16.100000000000001</v>
      </c>
      <c r="G476" s="541">
        <v>10.15</v>
      </c>
      <c r="H476" s="541">
        <v>0</v>
      </c>
      <c r="I476" s="545">
        <f>ROUND(IF(AND(F476:H476),C476*E476*F476*G476*H476,IF(AND(F476,G476),C476*E476*F476*G476,IF(AND(F476,H476),C476*E476*F476*H476,IF(AND(G476,H476),C476*E476*G476*H476,IF(F476,C476*E476*F476,IF(G476,C476*E476*G476,IF(H476,C476*E476*H476,C476*E476))))))),2)</f>
        <v>163.41999999999999</v>
      </c>
      <c r="J476" s="553" t="s">
        <v>102</v>
      </c>
      <c r="K476" s="39"/>
      <c r="L476" s="16"/>
      <c r="M476" s="39"/>
      <c r="N476" s="536" t="s">
        <v>2318</v>
      </c>
    </row>
    <row r="477" spans="1:14" s="544" customFormat="1" ht="16.5" hidden="1" customHeight="1">
      <c r="A477" s="16"/>
      <c r="B477" s="39" t="s">
        <v>1527</v>
      </c>
      <c r="C477" s="537">
        <v>1</v>
      </c>
      <c r="D477" s="539" t="s">
        <v>273</v>
      </c>
      <c r="E477" s="540">
        <v>1</v>
      </c>
      <c r="F477" s="541">
        <v>3.87</v>
      </c>
      <c r="G477" s="541">
        <v>2.65</v>
      </c>
      <c r="H477" s="541">
        <v>0</v>
      </c>
      <c r="I477" s="545">
        <f>-ROUND(IF(AND(F477:H477),C477*E477*F477*G477*H477,IF(AND(F477,G477),C477*E477*F477*G477,IF(AND(F477,H477),C477*E477*F477*H477,IF(AND(G477,H477),C477*E477*G477*H477,IF(F477,C477*E477*F477,IF(G477,C477*E477*G477,IF(H477,C477*E477*H477,C477*E477))))))),2)</f>
        <v>-10.26</v>
      </c>
      <c r="J477" s="553" t="s">
        <v>102</v>
      </c>
      <c r="K477" s="39"/>
      <c r="L477" s="16"/>
      <c r="M477" s="39"/>
      <c r="N477" s="536" t="s">
        <v>2318</v>
      </c>
    </row>
    <row r="478" spans="1:14" s="544" customFormat="1" ht="16.5" hidden="1" customHeight="1">
      <c r="A478" s="16"/>
      <c r="B478" s="574"/>
      <c r="C478" s="575"/>
      <c r="D478" s="558"/>
      <c r="E478" s="576"/>
      <c r="F478" s="577"/>
      <c r="G478" s="577"/>
      <c r="H478" s="578"/>
      <c r="I478" s="560"/>
      <c r="J478" s="553"/>
      <c r="K478" s="39"/>
      <c r="L478" s="208"/>
      <c r="M478" s="39"/>
      <c r="N478" s="536" t="s">
        <v>2318</v>
      </c>
    </row>
    <row r="479" spans="1:14" ht="15.75" hidden="1">
      <c r="A479" s="16"/>
      <c r="B479" s="39"/>
      <c r="C479" s="554"/>
      <c r="D479" s="555"/>
      <c r="E479" s="540"/>
      <c r="F479" s="541"/>
      <c r="G479" s="40"/>
      <c r="H479" s="16"/>
      <c r="I479" s="552"/>
      <c r="J479" s="553" t="s">
        <v>102</v>
      </c>
      <c r="K479" s="10">
        <f>'data 2022-23'!F193</f>
        <v>1395.89</v>
      </c>
      <c r="L479" s="208" t="s">
        <v>2437</v>
      </c>
      <c r="M479" s="9">
        <f>ROUND(I479*K479,0)</f>
        <v>0</v>
      </c>
      <c r="N479" s="536" t="s">
        <v>2318</v>
      </c>
    </row>
    <row r="480" spans="1:14" ht="17.25" hidden="1" customHeight="1">
      <c r="A480" s="16">
        <v>13</v>
      </c>
      <c r="B480" s="1858" t="s">
        <v>582</v>
      </c>
      <c r="C480" s="1858"/>
      <c r="D480" s="1858"/>
      <c r="E480" s="1858"/>
      <c r="F480" s="1858"/>
      <c r="G480" s="1858"/>
      <c r="H480" s="1858"/>
      <c r="I480" s="537"/>
      <c r="J480" s="538"/>
      <c r="K480" s="16"/>
      <c r="L480" s="208"/>
      <c r="M480" s="38"/>
      <c r="N480" s="536" t="s">
        <v>2318</v>
      </c>
    </row>
    <row r="481" spans="1:14" s="544" customFormat="1" ht="16.5" hidden="1" customHeight="1">
      <c r="A481" s="16"/>
      <c r="B481" s="39" t="s">
        <v>2883</v>
      </c>
      <c r="C481" s="537"/>
      <c r="D481" s="539"/>
      <c r="E481" s="540"/>
      <c r="F481" s="541"/>
      <c r="G481" s="541"/>
      <c r="H481" s="541"/>
      <c r="I481" s="542"/>
      <c r="J481" s="553"/>
      <c r="K481" s="39"/>
      <c r="L481" s="208"/>
      <c r="M481" s="39"/>
      <c r="N481" s="536" t="s">
        <v>2318</v>
      </c>
    </row>
    <row r="482" spans="1:14" s="544" customFormat="1" ht="16.5" hidden="1" customHeight="1">
      <c r="A482" s="16"/>
      <c r="B482" s="39" t="s">
        <v>1241</v>
      </c>
      <c r="C482" s="537">
        <v>1</v>
      </c>
      <c r="D482" s="539" t="s">
        <v>273</v>
      </c>
      <c r="E482" s="540">
        <v>1</v>
      </c>
      <c r="F482" s="541">
        <v>3.95</v>
      </c>
      <c r="G482" s="541">
        <v>2.1</v>
      </c>
      <c r="H482" s="541">
        <v>0</v>
      </c>
      <c r="I482" s="545">
        <f>ROUND(IF(AND(F482:H482),C482*E482*F482*G482*H482,IF(AND(F482,G482),C482*E482*F482*G482,IF(AND(F482,H482),C482*E482*F482*H482,IF(AND(G482,H482),C482*E482*G482*H482,IF(F482,C482*E482*F482,IF(G482,C482*E482*G482,IF(H482,C482*E482*H482,C482*E482))))))),2)</f>
        <v>8.3000000000000007</v>
      </c>
      <c r="J482" s="553" t="s">
        <v>102</v>
      </c>
      <c r="K482" s="39"/>
      <c r="L482" s="208"/>
      <c r="M482" s="39"/>
      <c r="N482" s="536" t="s">
        <v>2318</v>
      </c>
    </row>
    <row r="483" spans="1:14" s="544" customFormat="1" ht="16.5" hidden="1" customHeight="1">
      <c r="A483" s="16"/>
      <c r="B483" s="574"/>
      <c r="C483" s="575"/>
      <c r="D483" s="558"/>
      <c r="E483" s="576"/>
      <c r="F483" s="577"/>
      <c r="G483" s="577"/>
      <c r="H483" s="578"/>
      <c r="I483" s="560"/>
      <c r="J483" s="553"/>
      <c r="K483" s="39"/>
      <c r="L483" s="208"/>
      <c r="M483" s="39"/>
      <c r="N483" s="536" t="s">
        <v>2318</v>
      </c>
    </row>
    <row r="484" spans="1:14" ht="15.75" hidden="1">
      <c r="A484" s="16"/>
      <c r="B484" s="39"/>
      <c r="C484" s="554"/>
      <c r="D484" s="555"/>
      <c r="E484" s="540"/>
      <c r="F484" s="541"/>
      <c r="G484" s="40"/>
      <c r="H484" s="16"/>
      <c r="I484" s="552"/>
      <c r="J484" s="553" t="s">
        <v>102</v>
      </c>
      <c r="K484" s="10">
        <f>'data 2022-23'!F186</f>
        <v>1253.01</v>
      </c>
      <c r="L484" s="208" t="s">
        <v>2437</v>
      </c>
      <c r="M484" s="9">
        <f>ROUND(I484*K484,0)</f>
        <v>0</v>
      </c>
      <c r="N484" s="536" t="s">
        <v>2318</v>
      </c>
    </row>
    <row r="485" spans="1:14" ht="18.75" hidden="1" customHeight="1">
      <c r="A485" s="16">
        <v>16</v>
      </c>
      <c r="B485" s="1858" t="s">
        <v>1315</v>
      </c>
      <c r="C485" s="1858"/>
      <c r="D485" s="1858"/>
      <c r="E485" s="1858"/>
      <c r="F485" s="1858"/>
      <c r="G485" s="1858"/>
      <c r="H485" s="1858"/>
      <c r="I485" s="537"/>
      <c r="J485" s="538"/>
      <c r="K485" s="16"/>
      <c r="L485" s="208"/>
      <c r="M485" s="38"/>
      <c r="N485" s="536" t="s">
        <v>2318</v>
      </c>
    </row>
    <row r="486" spans="1:14" s="544" customFormat="1" ht="16.5" hidden="1" customHeight="1">
      <c r="A486" s="16"/>
      <c r="B486" s="39" t="s">
        <v>2819</v>
      </c>
      <c r="C486" s="537"/>
      <c r="D486" s="539"/>
      <c r="E486" s="540"/>
      <c r="F486" s="541"/>
      <c r="G486" s="541"/>
      <c r="H486" s="541"/>
      <c r="I486" s="542"/>
      <c r="J486" s="553"/>
      <c r="K486" s="39"/>
      <c r="L486" s="208"/>
      <c r="M486" s="39"/>
      <c r="N486" s="536" t="s">
        <v>2318</v>
      </c>
    </row>
    <row r="487" spans="1:14" s="544" customFormat="1" ht="16.5" hidden="1" customHeight="1">
      <c r="A487" s="16"/>
      <c r="B487" s="39" t="s">
        <v>1230</v>
      </c>
      <c r="C487" s="537">
        <v>1</v>
      </c>
      <c r="D487" s="539" t="s">
        <v>273</v>
      </c>
      <c r="E487" s="540">
        <v>5</v>
      </c>
      <c r="F487" s="541">
        <v>1.52</v>
      </c>
      <c r="G487" s="541">
        <v>0.23</v>
      </c>
      <c r="H487" s="541">
        <v>0</v>
      </c>
      <c r="I487" s="545">
        <f>ROUND(IF(AND(F487:H487),C487*E487*F487*G487*H487,IF(AND(F487,G487),C487*E487*F487*G487,IF(AND(F487,H487),C487*E487*F487*H487,IF(AND(G487,H487),C487*E487*G487*H487,IF(F487,C487*E487*F487,IF(G487,C487*E487*G487,IF(H487,C487*E487*H487,C487*E487))))))),2)</f>
        <v>1.75</v>
      </c>
      <c r="J487" s="553" t="s">
        <v>102</v>
      </c>
      <c r="K487" s="39"/>
      <c r="L487" s="208"/>
      <c r="M487" s="39"/>
      <c r="N487" s="536" t="s">
        <v>2318</v>
      </c>
    </row>
    <row r="488" spans="1:14" s="544" customFormat="1" ht="16.5" hidden="1" customHeight="1">
      <c r="A488" s="16"/>
      <c r="B488" s="39" t="s">
        <v>1243</v>
      </c>
      <c r="C488" s="537">
        <v>1</v>
      </c>
      <c r="D488" s="539" t="s">
        <v>273</v>
      </c>
      <c r="E488" s="540">
        <v>1</v>
      </c>
      <c r="F488" s="541">
        <v>1.4</v>
      </c>
      <c r="G488" s="541">
        <v>1.4</v>
      </c>
      <c r="H488" s="541">
        <v>0</v>
      </c>
      <c r="I488" s="545">
        <f>ROUND(IF(AND(F488:H488),C488*E488*F488*G488*H488,IF(AND(F488,G488),C488*E488*F488*G488,IF(AND(F488,H488),C488*E488*F488*H488,IF(AND(G488,H488),C488*E488*G488*H488,IF(F488,C488*E488*F488,IF(G488,C488*E488*G488,IF(H488,C488*E488*H488,C488*E488))))))),2)</f>
        <v>1.96</v>
      </c>
      <c r="J488" s="553" t="s">
        <v>102</v>
      </c>
      <c r="K488" s="39"/>
      <c r="L488" s="208"/>
      <c r="M488" s="39"/>
      <c r="N488" s="536" t="s">
        <v>2318</v>
      </c>
    </row>
    <row r="489" spans="1:14" s="544" customFormat="1" ht="16.5" hidden="1" customHeight="1">
      <c r="A489" s="16"/>
      <c r="B489" s="547"/>
      <c r="C489" s="548"/>
      <c r="D489" s="549"/>
      <c r="E489" s="550"/>
      <c r="F489" s="551"/>
      <c r="G489" s="551"/>
      <c r="H489" s="551"/>
      <c r="I489" s="552"/>
      <c r="J489" s="553"/>
      <c r="K489" s="39"/>
      <c r="L489" s="208"/>
      <c r="M489" s="39"/>
      <c r="N489" s="536" t="s">
        <v>2318</v>
      </c>
    </row>
    <row r="490" spans="1:14" ht="15.75" hidden="1">
      <c r="A490" s="16"/>
      <c r="B490" s="39"/>
      <c r="C490" s="554"/>
      <c r="D490" s="555"/>
      <c r="E490" s="540"/>
      <c r="F490" s="541"/>
      <c r="G490" s="40"/>
      <c r="H490" s="16"/>
      <c r="I490" s="552"/>
      <c r="J490" s="553" t="s">
        <v>102</v>
      </c>
      <c r="K490" s="10">
        <f>'data 2022-23'!F242</f>
        <v>694.54</v>
      </c>
      <c r="L490" s="208" t="s">
        <v>2437</v>
      </c>
      <c r="M490" s="9">
        <f>ROUND(I490*K490,0)</f>
        <v>0</v>
      </c>
      <c r="N490" s="536" t="s">
        <v>2318</v>
      </c>
    </row>
    <row r="491" spans="1:14" ht="18.75" hidden="1" customHeight="1">
      <c r="A491" s="16">
        <v>16</v>
      </c>
      <c r="B491" s="1858" t="s">
        <v>1317</v>
      </c>
      <c r="C491" s="1858"/>
      <c r="D491" s="1858"/>
      <c r="E491" s="1858"/>
      <c r="F491" s="1858"/>
      <c r="G491" s="1858"/>
      <c r="H491" s="1858"/>
      <c r="I491" s="537"/>
      <c r="J491" s="538"/>
      <c r="K491" s="16"/>
      <c r="L491" s="208"/>
      <c r="M491" s="38"/>
      <c r="N491" s="536" t="s">
        <v>2318</v>
      </c>
    </row>
    <row r="492" spans="1:14" s="544" customFormat="1" ht="16.5" hidden="1" customHeight="1">
      <c r="A492" s="16"/>
      <c r="B492" s="39" t="s">
        <v>2819</v>
      </c>
      <c r="C492" s="537"/>
      <c r="D492" s="539"/>
      <c r="E492" s="540"/>
      <c r="F492" s="541"/>
      <c r="G492" s="541"/>
      <c r="H492" s="541"/>
      <c r="I492" s="542"/>
      <c r="J492" s="553"/>
      <c r="K492" s="39"/>
      <c r="L492" s="208"/>
      <c r="M492" s="39"/>
      <c r="N492" s="536" t="s">
        <v>2318</v>
      </c>
    </row>
    <row r="493" spans="1:14" s="544" customFormat="1" ht="16.5" hidden="1" customHeight="1">
      <c r="A493" s="16"/>
      <c r="B493" s="39" t="s">
        <v>1230</v>
      </c>
      <c r="C493" s="537">
        <v>1</v>
      </c>
      <c r="D493" s="539" t="s">
        <v>273</v>
      </c>
      <c r="E493" s="540">
        <v>5</v>
      </c>
      <c r="F493" s="541">
        <v>1.52</v>
      </c>
      <c r="G493" s="541">
        <v>0.23</v>
      </c>
      <c r="H493" s="541">
        <v>0</v>
      </c>
      <c r="I493" s="545">
        <f>ROUND(IF(AND(F493:H493),C493*E493*F493*G493*H493,IF(AND(F493,G493),C493*E493*F493*G493,IF(AND(F493,H493),C493*E493*F493*H493,IF(AND(G493,H493),C493*E493*G493*H493,IF(F493,C493*E493*F493,IF(G493,C493*E493*G493,IF(H493,C493*E493*H493,C493*E493))))))),2)</f>
        <v>1.75</v>
      </c>
      <c r="J493" s="553" t="s">
        <v>102</v>
      </c>
      <c r="K493" s="39"/>
      <c r="L493" s="208"/>
      <c r="M493" s="39"/>
      <c r="N493" s="536" t="s">
        <v>2318</v>
      </c>
    </row>
    <row r="494" spans="1:14" s="544" customFormat="1" ht="16.5" hidden="1" customHeight="1">
      <c r="A494" s="16"/>
      <c r="B494" s="39"/>
      <c r="C494" s="537">
        <v>1</v>
      </c>
      <c r="D494" s="539" t="s">
        <v>273</v>
      </c>
      <c r="E494" s="540">
        <v>4</v>
      </c>
      <c r="F494" s="541">
        <v>1.83</v>
      </c>
      <c r="G494" s="541">
        <v>0.23</v>
      </c>
      <c r="H494" s="541">
        <v>0</v>
      </c>
      <c r="I494" s="545">
        <f>ROUND(IF(AND(F494:H494),C494*E494*F494*G494*H494,IF(AND(F494,G494),C494*E494*F494*G494,IF(AND(F494,H494),C494*E494*F494*H494,IF(AND(G494,H494),C494*E494*G494*H494,IF(F494,C494*E494*F494,IF(G494,C494*E494*G494,IF(H494,C494*E494*H494,C494*E494))))))),2)</f>
        <v>1.68</v>
      </c>
      <c r="J494" s="553" t="s">
        <v>102</v>
      </c>
      <c r="K494" s="39"/>
      <c r="L494" s="208"/>
      <c r="M494" s="39"/>
      <c r="N494" s="536" t="s">
        <v>2318</v>
      </c>
    </row>
    <row r="495" spans="1:14" s="544" customFormat="1" ht="16.5" hidden="1" customHeight="1">
      <c r="A495" s="16"/>
      <c r="B495" s="547"/>
      <c r="C495" s="548"/>
      <c r="D495" s="549"/>
      <c r="E495" s="550"/>
      <c r="F495" s="551"/>
      <c r="G495" s="551"/>
      <c r="H495" s="551"/>
      <c r="I495" s="552"/>
      <c r="J495" s="553"/>
      <c r="K495" s="39"/>
      <c r="L495" s="208"/>
      <c r="M495" s="39"/>
      <c r="N495" s="536" t="s">
        <v>2318</v>
      </c>
    </row>
    <row r="496" spans="1:14" ht="15.75" hidden="1">
      <c r="A496" s="16"/>
      <c r="B496" s="39"/>
      <c r="C496" s="554"/>
      <c r="D496" s="555"/>
      <c r="E496" s="540"/>
      <c r="F496" s="541"/>
      <c r="G496" s="40"/>
      <c r="H496" s="16"/>
      <c r="I496" s="552"/>
      <c r="J496" s="553" t="s">
        <v>102</v>
      </c>
      <c r="K496" s="10">
        <f>'data 2022-23'!F249</f>
        <v>553.39</v>
      </c>
      <c r="L496" s="208" t="s">
        <v>2437</v>
      </c>
      <c r="M496" s="9">
        <f>ROUND(I496*K496,0)</f>
        <v>0</v>
      </c>
      <c r="N496" s="536" t="s">
        <v>2318</v>
      </c>
    </row>
    <row r="497" spans="1:14" ht="89.25" hidden="1" customHeight="1">
      <c r="A497" s="16">
        <v>7</v>
      </c>
      <c r="B497" s="1858" t="s">
        <v>2064</v>
      </c>
      <c r="C497" s="1858"/>
      <c r="D497" s="1858"/>
      <c r="E497" s="1858"/>
      <c r="F497" s="1858"/>
      <c r="G497" s="1858"/>
      <c r="H497" s="1858"/>
      <c r="I497" s="537"/>
      <c r="J497" s="538"/>
      <c r="K497" s="16"/>
      <c r="L497" s="208"/>
      <c r="M497" s="38"/>
      <c r="N497" s="536" t="s">
        <v>2318</v>
      </c>
    </row>
    <row r="498" spans="1:14" s="544" customFormat="1" ht="16.5" hidden="1" customHeight="1">
      <c r="A498" s="16"/>
      <c r="B498" s="39" t="s">
        <v>2836</v>
      </c>
      <c r="C498" s="537"/>
      <c r="D498" s="539"/>
      <c r="E498" s="540"/>
      <c r="F498" s="541"/>
      <c r="G498" s="541"/>
      <c r="H498" s="541"/>
      <c r="I498" s="542"/>
      <c r="J498" s="553"/>
      <c r="K498" s="39"/>
      <c r="L498" s="208"/>
      <c r="M498" s="39"/>
      <c r="N498" s="536" t="s">
        <v>2318</v>
      </c>
    </row>
    <row r="499" spans="1:14" s="544" customFormat="1" ht="16.5" hidden="1" customHeight="1">
      <c r="A499" s="16"/>
      <c r="B499" s="39"/>
      <c r="C499" s="537">
        <v>1</v>
      </c>
      <c r="D499" s="539" t="s">
        <v>273</v>
      </c>
      <c r="E499" s="540">
        <v>2</v>
      </c>
      <c r="F499" s="541">
        <v>2.8</v>
      </c>
      <c r="G499" s="541">
        <v>0.23</v>
      </c>
      <c r="H499" s="541">
        <v>0.15</v>
      </c>
      <c r="I499" s="579">
        <f>ROUND(IF(AND(F499:H499),C499*E499*F499*G499*H499,IF(AND(F499,G499),C499*E499*F499*G499,IF(AND(F499,H499),C499*E499*F499*H499,IF(AND(G499,H499),C499*E499*G499*H499,IF(F499,C499*E499*F499,IF(G499,C499*E499*G499,IF(H499,C499*E499*H499,C499*E499))))))),2)</f>
        <v>0.19</v>
      </c>
      <c r="J499" s="553" t="s">
        <v>5</v>
      </c>
      <c r="K499" s="39"/>
      <c r="L499" s="208"/>
      <c r="M499" s="39"/>
      <c r="N499" s="536" t="s">
        <v>2318</v>
      </c>
    </row>
    <row r="500" spans="1:14" s="544" customFormat="1" ht="16.5" hidden="1" customHeight="1">
      <c r="A500" s="16"/>
      <c r="B500" s="39"/>
      <c r="C500" s="537">
        <v>1</v>
      </c>
      <c r="D500" s="539" t="s">
        <v>273</v>
      </c>
      <c r="E500" s="540">
        <v>2</v>
      </c>
      <c r="F500" s="541">
        <v>2.8</v>
      </c>
      <c r="G500" s="541">
        <v>0.23</v>
      </c>
      <c r="H500" s="541">
        <v>0.15</v>
      </c>
      <c r="I500" s="579">
        <f>ROUND(IF(AND(F500:H500),C500*E500*F500*G500*H500,IF(AND(F500,G500),C500*E500*F500*G500,IF(AND(F500,H500),C500*E500*F500*H500,IF(AND(G500,H500),C500*E500*G500*H500,IF(F500,C500*E500*F500,IF(G500,C500*E500*G500,IF(H500,C500*E500*H500,C500*E500))))))),2)</f>
        <v>0.19</v>
      </c>
      <c r="J500" s="553" t="s">
        <v>5</v>
      </c>
      <c r="K500" s="39"/>
      <c r="L500" s="208"/>
      <c r="M500" s="39"/>
      <c r="N500" s="536" t="s">
        <v>2318</v>
      </c>
    </row>
    <row r="501" spans="1:14" s="544" customFormat="1" ht="16.5" hidden="1" customHeight="1">
      <c r="A501" s="16"/>
      <c r="B501" s="547"/>
      <c r="C501" s="548"/>
      <c r="D501" s="549"/>
      <c r="E501" s="550"/>
      <c r="F501" s="541"/>
      <c r="G501" s="541"/>
      <c r="H501" s="541"/>
      <c r="I501" s="552"/>
      <c r="J501" s="553"/>
      <c r="K501" s="39"/>
      <c r="L501" s="208"/>
      <c r="M501" s="39"/>
      <c r="N501" s="536" t="s">
        <v>2318</v>
      </c>
    </row>
    <row r="502" spans="1:14" ht="15.75" hidden="1">
      <c r="A502" s="16"/>
      <c r="B502" s="39"/>
      <c r="C502" s="554"/>
      <c r="D502" s="555"/>
      <c r="E502" s="540"/>
      <c r="F502" s="541"/>
      <c r="G502" s="40"/>
      <c r="H502" s="16"/>
      <c r="I502" s="552"/>
      <c r="J502" s="553" t="s">
        <v>5</v>
      </c>
      <c r="K502" s="10">
        <f>'data 2022-23'!F158</f>
        <v>11212.51</v>
      </c>
      <c r="L502" s="208" t="s">
        <v>274</v>
      </c>
      <c r="M502" s="9">
        <f>ROUND(I502*K502,0)</f>
        <v>0</v>
      </c>
      <c r="N502" s="536" t="s">
        <v>2318</v>
      </c>
    </row>
    <row r="503" spans="1:14" ht="17.25" hidden="1" customHeight="1">
      <c r="A503" s="16">
        <v>8</v>
      </c>
      <c r="B503" s="1858" t="s">
        <v>648</v>
      </c>
      <c r="C503" s="1858"/>
      <c r="D503" s="1858"/>
      <c r="E503" s="1858"/>
      <c r="F503" s="1858"/>
      <c r="G503" s="1858"/>
      <c r="H503" s="1858"/>
      <c r="I503" s="537"/>
      <c r="J503" s="538"/>
      <c r="K503" s="16"/>
      <c r="L503" s="208"/>
      <c r="M503" s="38"/>
      <c r="N503" s="536" t="s">
        <v>2318</v>
      </c>
    </row>
    <row r="504" spans="1:14" s="544" customFormat="1" ht="16.5" hidden="1" customHeight="1">
      <c r="A504" s="16"/>
      <c r="B504" s="39" t="s">
        <v>2885</v>
      </c>
      <c r="C504" s="537"/>
      <c r="D504" s="539"/>
      <c r="E504" s="540"/>
      <c r="F504" s="541"/>
      <c r="G504" s="541"/>
      <c r="H504" s="541"/>
      <c r="I504" s="542"/>
      <c r="J504" s="553"/>
      <c r="K504" s="39"/>
      <c r="L504" s="208"/>
      <c r="M504" s="39"/>
      <c r="N504" s="536" t="s">
        <v>2318</v>
      </c>
    </row>
    <row r="505" spans="1:14" s="544" customFormat="1" ht="16.5" hidden="1" customHeight="1">
      <c r="A505" s="16"/>
      <c r="B505" s="39"/>
      <c r="C505" s="537">
        <v>1</v>
      </c>
      <c r="D505" s="539" t="s">
        <v>273</v>
      </c>
      <c r="E505" s="540">
        <v>7</v>
      </c>
      <c r="F505" s="541">
        <v>1.8</v>
      </c>
      <c r="G505" s="541">
        <v>0</v>
      </c>
      <c r="H505" s="541">
        <v>0</v>
      </c>
      <c r="I505" s="545">
        <f>ROUND(IF(AND(F505:H505),C505*E505*F505*G505*H505,IF(AND(F505,G505),C505*E505*F505*G505,IF(AND(F505,H505),C505*E505*F505*H505,IF(AND(G505,H505),C505*E505*G505*H505,IF(F505,C505*E505*F505,IF(G505,C505*E505*G505,IF(H505,C505*E505*H505,C505*E505))))))),2)</f>
        <v>12.6</v>
      </c>
      <c r="J505" s="553" t="s">
        <v>277</v>
      </c>
      <c r="K505" s="39"/>
      <c r="L505" s="208"/>
      <c r="M505" s="39"/>
      <c r="N505" s="536" t="s">
        <v>2318</v>
      </c>
    </row>
    <row r="506" spans="1:14" s="544" customFormat="1" ht="16.5" hidden="1" customHeight="1">
      <c r="A506" s="16"/>
      <c r="B506" s="39"/>
      <c r="C506" s="537">
        <v>1</v>
      </c>
      <c r="D506" s="539" t="s">
        <v>273</v>
      </c>
      <c r="E506" s="540">
        <v>1</v>
      </c>
      <c r="F506" s="541">
        <v>3</v>
      </c>
      <c r="G506" s="541">
        <v>0</v>
      </c>
      <c r="H506" s="541">
        <v>0</v>
      </c>
      <c r="I506" s="545">
        <f>ROUND(IF(AND(F506:H506),C506*E506*F506*G506*H506,IF(AND(F506,G506),C506*E506*F506*G506,IF(AND(F506,H506),C506*E506*F506*H506,IF(AND(G506,H506),C506*E506*G506*H506,IF(F506,C506*E506*F506,IF(G506,C506*E506*G506,IF(H506,C506*E506*H506,C506*E506))))))),2)</f>
        <v>3</v>
      </c>
      <c r="J506" s="553" t="s">
        <v>277</v>
      </c>
      <c r="K506" s="39"/>
      <c r="L506" s="208"/>
      <c r="M506" s="39"/>
      <c r="N506" s="536" t="s">
        <v>2318</v>
      </c>
    </row>
    <row r="507" spans="1:14" s="544" customFormat="1" ht="15.75" hidden="1">
      <c r="A507" s="16"/>
      <c r="B507" s="547"/>
      <c r="C507" s="548"/>
      <c r="D507" s="549"/>
      <c r="E507" s="550"/>
      <c r="F507" s="551"/>
      <c r="G507" s="551"/>
      <c r="H507" s="551"/>
      <c r="I507" s="552"/>
      <c r="J507" s="553"/>
      <c r="K507" s="39"/>
      <c r="L507" s="208"/>
      <c r="M507" s="39"/>
      <c r="N507" s="536" t="s">
        <v>2318</v>
      </c>
    </row>
    <row r="508" spans="1:14" ht="15.75" hidden="1">
      <c r="A508" s="16"/>
      <c r="B508" s="39"/>
      <c r="C508" s="554"/>
      <c r="D508" s="555"/>
      <c r="E508" s="540"/>
      <c r="F508" s="541"/>
      <c r="G508" s="40"/>
      <c r="H508" s="16"/>
      <c r="I508" s="552"/>
      <c r="J508" s="553" t="s">
        <v>277</v>
      </c>
      <c r="K508" s="10">
        <f>'data 2022-23'!F221</f>
        <v>630.35</v>
      </c>
      <c r="L508" s="208" t="s">
        <v>279</v>
      </c>
      <c r="M508" s="9">
        <f>ROUND(I508*K508,0)</f>
        <v>0</v>
      </c>
      <c r="N508" s="536" t="s">
        <v>2318</v>
      </c>
    </row>
    <row r="509" spans="1:14" ht="64.5" hidden="1" customHeight="1">
      <c r="A509" s="16">
        <v>7</v>
      </c>
      <c r="B509" s="1858" t="s">
        <v>151</v>
      </c>
      <c r="C509" s="1858"/>
      <c r="D509" s="1858"/>
      <c r="E509" s="1858"/>
      <c r="F509" s="1858"/>
      <c r="G509" s="1858"/>
      <c r="H509" s="1858"/>
      <c r="I509" s="537"/>
      <c r="J509" s="538"/>
      <c r="K509" s="16"/>
      <c r="L509" s="208"/>
      <c r="M509" s="38"/>
      <c r="N509" s="536" t="s">
        <v>2318</v>
      </c>
    </row>
    <row r="510" spans="1:14" s="544" customFormat="1" ht="16.5" hidden="1" customHeight="1">
      <c r="A510" s="16"/>
      <c r="B510" s="39" t="s">
        <v>2887</v>
      </c>
      <c r="C510" s="537"/>
      <c r="D510" s="539"/>
      <c r="E510" s="540"/>
      <c r="F510" s="541"/>
      <c r="G510" s="541"/>
      <c r="H510" s="541"/>
      <c r="I510" s="542"/>
      <c r="J510" s="553"/>
      <c r="K510" s="39"/>
      <c r="L510" s="16"/>
      <c r="M510" s="39"/>
      <c r="N510" s="536" t="s">
        <v>2318</v>
      </c>
    </row>
    <row r="511" spans="1:14" s="544" customFormat="1" ht="16.5" hidden="1" customHeight="1">
      <c r="A511" s="16"/>
      <c r="B511" s="39" t="s">
        <v>1628</v>
      </c>
      <c r="C511" s="537">
        <v>1</v>
      </c>
      <c r="D511" s="539" t="s">
        <v>273</v>
      </c>
      <c r="E511" s="540">
        <v>1</v>
      </c>
      <c r="F511" s="541">
        <v>10.45</v>
      </c>
      <c r="G511" s="541">
        <v>8.85</v>
      </c>
      <c r="H511" s="541">
        <v>0</v>
      </c>
      <c r="I511" s="545">
        <f>ROUND(IF(AND(F511:H511),C511*E511*F511*G511*H511,IF(AND(F511,G511),C511*E511*F511*G511,IF(AND(F511,H511),C511*E511*F511*H511,IF(AND(G511,H511),C511*E511*G511*H511,IF(F511,C511*E511*F511,IF(G511,C511*E511*G511,IF(H511,C511*E511*H511,C511*E511))))))),2)</f>
        <v>92.48</v>
      </c>
      <c r="J511" s="553" t="s">
        <v>102</v>
      </c>
      <c r="K511" s="39"/>
      <c r="L511" s="16"/>
      <c r="M511" s="39"/>
      <c r="N511" s="536" t="s">
        <v>2318</v>
      </c>
    </row>
    <row r="512" spans="1:14" s="544" customFormat="1" ht="16.5" hidden="1" customHeight="1">
      <c r="A512" s="16"/>
      <c r="B512" s="39"/>
      <c r="C512" s="537">
        <v>1</v>
      </c>
      <c r="D512" s="539" t="s">
        <v>273</v>
      </c>
      <c r="E512" s="540">
        <v>1</v>
      </c>
      <c r="F512" s="541">
        <v>5.5</v>
      </c>
      <c r="G512" s="541">
        <v>5.5</v>
      </c>
      <c r="H512" s="541">
        <v>0</v>
      </c>
      <c r="I512" s="545">
        <f>ROUND(IF(AND(F512:H512),C512*E512*F512*G512*H512,IF(AND(F512,G512),C512*E512*F512*G512,IF(AND(F512,H512),C512*E512*F512*H512,IF(AND(G512,H512),C512*E512*G512*H512,IF(F512,C512*E512*F512,IF(G512,C512*E512*G512,IF(H512,C512*E512*H512,C512*E512))))))),2)</f>
        <v>30.25</v>
      </c>
      <c r="J512" s="553" t="s">
        <v>102</v>
      </c>
      <c r="K512" s="39"/>
      <c r="L512" s="16"/>
      <c r="M512" s="39"/>
      <c r="N512" s="536" t="s">
        <v>2318</v>
      </c>
    </row>
    <row r="513" spans="1:14" s="544" customFormat="1" ht="16.5" hidden="1" customHeight="1">
      <c r="A513" s="16"/>
      <c r="B513" s="547"/>
      <c r="C513" s="548"/>
      <c r="D513" s="549"/>
      <c r="E513" s="550"/>
      <c r="F513" s="551"/>
      <c r="G513" s="551"/>
      <c r="H513" s="551"/>
      <c r="I513" s="552"/>
      <c r="J513" s="553"/>
      <c r="K513" s="39"/>
      <c r="L513" s="208"/>
      <c r="M513" s="39"/>
      <c r="N513" s="536" t="s">
        <v>2318</v>
      </c>
    </row>
    <row r="514" spans="1:14" ht="15.75" hidden="1">
      <c r="A514" s="16"/>
      <c r="B514" s="39"/>
      <c r="C514" s="554"/>
      <c r="D514" s="555"/>
      <c r="E514" s="540"/>
      <c r="F514" s="541"/>
      <c r="G514" s="40"/>
      <c r="H514" s="16"/>
      <c r="I514" s="552"/>
      <c r="J514" s="553" t="s">
        <v>102</v>
      </c>
      <c r="K514" s="10">
        <f>'data 2022-23'!F566</f>
        <v>339.16</v>
      </c>
      <c r="L514" s="208" t="s">
        <v>2437</v>
      </c>
      <c r="M514" s="9">
        <f>ROUND(I514*K514,0)</f>
        <v>0</v>
      </c>
      <c r="N514" s="536" t="s">
        <v>2318</v>
      </c>
    </row>
    <row r="515" spans="1:14" ht="64.5" hidden="1" customHeight="1">
      <c r="A515" s="16">
        <v>13</v>
      </c>
      <c r="B515" s="1858" t="s">
        <v>1314</v>
      </c>
      <c r="C515" s="1858"/>
      <c r="D515" s="1858"/>
      <c r="E515" s="1858"/>
      <c r="F515" s="1858"/>
      <c r="G515" s="1858"/>
      <c r="H515" s="1858"/>
      <c r="I515" s="537"/>
      <c r="J515" s="538"/>
      <c r="K515" s="16"/>
      <c r="L515" s="208"/>
      <c r="M515" s="38"/>
      <c r="N515" s="536" t="s">
        <v>2318</v>
      </c>
    </row>
    <row r="516" spans="1:14" s="544" customFormat="1" ht="16.5" hidden="1" customHeight="1">
      <c r="A516" s="16"/>
      <c r="B516" s="39" t="s">
        <v>2888</v>
      </c>
      <c r="C516" s="537"/>
      <c r="D516" s="539"/>
      <c r="E516" s="540"/>
      <c r="F516" s="541"/>
      <c r="G516" s="541"/>
      <c r="H516" s="541"/>
      <c r="I516" s="542"/>
      <c r="J516" s="553"/>
      <c r="K516" s="39"/>
      <c r="L516" s="208"/>
      <c r="M516" s="39"/>
      <c r="N516" s="536" t="s">
        <v>2318</v>
      </c>
    </row>
    <row r="517" spans="1:14" s="544" customFormat="1" ht="16.5" hidden="1" customHeight="1">
      <c r="A517" s="16"/>
      <c r="B517" s="39"/>
      <c r="C517" s="537">
        <v>1</v>
      </c>
      <c r="D517" s="539" t="s">
        <v>273</v>
      </c>
      <c r="E517" s="540">
        <v>1</v>
      </c>
      <c r="F517" s="541">
        <v>10.45</v>
      </c>
      <c r="G517" s="541">
        <v>12</v>
      </c>
      <c r="H517" s="541">
        <v>0</v>
      </c>
      <c r="I517" s="545">
        <f>ROUND(IF(AND(F517:H517),C517*E517*F517*G517*H517,IF(AND(F517,G517),C517*E517*F517*G517,IF(AND(F517,H517),C517*E517*F517*H517,IF(AND(G517,H517),C517*E517*G517*H517,IF(F517,C517*E517*F517,IF(G517,C517*E517*G517,IF(H517,C517*E517*H517,C517*E517))))))),2)</f>
        <v>125.4</v>
      </c>
      <c r="J517" s="553" t="s">
        <v>102</v>
      </c>
      <c r="K517" s="39"/>
      <c r="L517" s="208"/>
      <c r="M517" s="39"/>
      <c r="N517" s="536" t="s">
        <v>2318</v>
      </c>
    </row>
    <row r="518" spans="1:14" s="544" customFormat="1" ht="16.5" hidden="1" customHeight="1">
      <c r="A518" s="16"/>
      <c r="B518" s="39"/>
      <c r="C518" s="537">
        <v>1</v>
      </c>
      <c r="D518" s="539" t="s">
        <v>273</v>
      </c>
      <c r="E518" s="540">
        <v>1</v>
      </c>
      <c r="F518" s="541">
        <v>3.52</v>
      </c>
      <c r="G518" s="541">
        <v>0.92</v>
      </c>
      <c r="H518" s="541">
        <v>0</v>
      </c>
      <c r="I518" s="545">
        <f>ROUND(IF(AND(F518:H518),C518*E518*F518*G518*H518,IF(AND(F518,G518),C518*E518*F518*G518,IF(AND(F518,H518),C518*E518*F518*H518,IF(AND(G518,H518),C518*E518*G518*H518,IF(F518,C518*E518*F518,IF(G518,C518*E518*G518,IF(H518,C518*E518*H518,C518*E518))))))),2)</f>
        <v>3.24</v>
      </c>
      <c r="J518" s="553" t="s">
        <v>102</v>
      </c>
      <c r="K518" s="39"/>
      <c r="L518" s="208"/>
      <c r="M518" s="39"/>
      <c r="N518" s="536" t="s">
        <v>2318</v>
      </c>
    </row>
    <row r="519" spans="1:14" s="544" customFormat="1" ht="16.5" hidden="1" customHeight="1">
      <c r="A519" s="16"/>
      <c r="B519" s="547"/>
      <c r="C519" s="548"/>
      <c r="D519" s="549"/>
      <c r="E519" s="550"/>
      <c r="F519" s="551"/>
      <c r="G519" s="551"/>
      <c r="H519" s="551"/>
      <c r="I519" s="552"/>
      <c r="J519" s="553"/>
      <c r="K519" s="39"/>
      <c r="L519" s="208"/>
      <c r="M519" s="39"/>
      <c r="N519" s="536" t="s">
        <v>2318</v>
      </c>
    </row>
    <row r="520" spans="1:14" ht="15.75" hidden="1">
      <c r="A520" s="16"/>
      <c r="B520" s="39"/>
      <c r="C520" s="554"/>
      <c r="D520" s="555"/>
      <c r="E520" s="540"/>
      <c r="F520" s="541"/>
      <c r="G520" s="40"/>
      <c r="H520" s="16"/>
      <c r="I520" s="552"/>
      <c r="J520" s="553" t="s">
        <v>102</v>
      </c>
      <c r="K520" s="10">
        <f>'data 2022-23'!F581</f>
        <v>438.06</v>
      </c>
      <c r="L520" s="208" t="s">
        <v>2437</v>
      </c>
      <c r="M520" s="9">
        <f>ROUND(I520*K520,0)</f>
        <v>0</v>
      </c>
      <c r="N520" s="536" t="s">
        <v>2318</v>
      </c>
    </row>
    <row r="521" spans="1:14" ht="69.75" hidden="1" customHeight="1">
      <c r="A521" s="16">
        <v>15</v>
      </c>
      <c r="B521" s="1858" t="s">
        <v>306</v>
      </c>
      <c r="C521" s="1858"/>
      <c r="D521" s="1858"/>
      <c r="E521" s="1858"/>
      <c r="F521" s="1858"/>
      <c r="G521" s="1858"/>
      <c r="H521" s="1858"/>
      <c r="I521" s="537"/>
      <c r="J521" s="538"/>
      <c r="K521" s="16"/>
      <c r="L521" s="208"/>
      <c r="M521" s="38"/>
      <c r="N521" s="536" t="s">
        <v>2318</v>
      </c>
    </row>
    <row r="522" spans="1:14" s="544" customFormat="1" ht="16.5" hidden="1" customHeight="1">
      <c r="A522" s="16"/>
      <c r="B522" s="39" t="s">
        <v>2889</v>
      </c>
      <c r="C522" s="537"/>
      <c r="D522" s="539"/>
      <c r="E522" s="540"/>
      <c r="F522" s="541"/>
      <c r="G522" s="541"/>
      <c r="H522" s="541"/>
      <c r="I522" s="542"/>
      <c r="J522" s="553"/>
      <c r="K522" s="39"/>
      <c r="L522" s="16"/>
      <c r="M522" s="39"/>
      <c r="N522" s="536" t="s">
        <v>2318</v>
      </c>
    </row>
    <row r="523" spans="1:14" s="544" customFormat="1" ht="16.5" hidden="1" customHeight="1">
      <c r="A523" s="16"/>
      <c r="B523" s="39" t="s">
        <v>1246</v>
      </c>
      <c r="C523" s="537">
        <v>1</v>
      </c>
      <c r="D523" s="539" t="s">
        <v>273</v>
      </c>
      <c r="E523" s="540">
        <v>1</v>
      </c>
      <c r="F523" s="541">
        <v>2.89</v>
      </c>
      <c r="G523" s="541">
        <v>0.23</v>
      </c>
      <c r="H523" s="541">
        <v>1.38</v>
      </c>
      <c r="I523" s="545">
        <f>ROUND(IF(AND(F523:H523),C523*E523*F523*G523*H523,IF(AND(F523,G523),C523*E523*F523*G523,IF(AND(F523,H523),C523*E523*F523*H523,IF(AND(G523,H523),C523*E523*G523*H523,IF(F523,C523*E523*F523,IF(G523,C523*E523*G523,IF(H523,C523*E523*H523,C523*E523))))))),2)</f>
        <v>0.92</v>
      </c>
      <c r="J523" s="553" t="s">
        <v>5</v>
      </c>
      <c r="K523" s="39"/>
      <c r="L523" s="16"/>
      <c r="M523" s="39"/>
      <c r="N523" s="536" t="s">
        <v>2318</v>
      </c>
    </row>
    <row r="524" spans="1:14" s="544" customFormat="1" ht="16.5" hidden="1" customHeight="1">
      <c r="A524" s="16"/>
      <c r="B524" s="39" t="s">
        <v>814</v>
      </c>
      <c r="C524" s="537">
        <v>1</v>
      </c>
      <c r="D524" s="539" t="s">
        <v>273</v>
      </c>
      <c r="E524" s="540">
        <v>1</v>
      </c>
      <c r="F524" s="541">
        <v>12.47</v>
      </c>
      <c r="G524" s="541">
        <v>0.23</v>
      </c>
      <c r="H524" s="541">
        <v>1.38</v>
      </c>
      <c r="I524" s="545">
        <f>ROUND(IF(AND(F524:H524),C524*E524*F524*G524*H524,IF(AND(F524,G524),C524*E524*F524*G524,IF(AND(F524,H524),C524*E524*F524*H524,IF(AND(G524,H524),C524*E524*G524*H524,IF(F524,C524*E524*F524,IF(G524,C524*E524*G524,IF(H524,C524*E524*H524,C524*E524))))))),2)</f>
        <v>3.96</v>
      </c>
      <c r="J524" s="553" t="s">
        <v>5</v>
      </c>
      <c r="K524" s="39"/>
      <c r="L524" s="16"/>
      <c r="M524" s="39"/>
      <c r="N524" s="536" t="s">
        <v>2318</v>
      </c>
    </row>
    <row r="525" spans="1:14" s="544" customFormat="1" ht="16.5" hidden="1" customHeight="1">
      <c r="A525" s="16"/>
      <c r="B525" s="547"/>
      <c r="C525" s="548"/>
      <c r="D525" s="549"/>
      <c r="E525" s="550"/>
      <c r="F525" s="551"/>
      <c r="G525" s="551"/>
      <c r="H525" s="551"/>
      <c r="I525" s="552"/>
      <c r="J525" s="553"/>
      <c r="K525" s="39"/>
      <c r="L525" s="208"/>
      <c r="M525" s="39"/>
      <c r="N525" s="536" t="s">
        <v>2318</v>
      </c>
    </row>
    <row r="526" spans="1:14" ht="15.75" hidden="1">
      <c r="A526" s="16"/>
      <c r="B526" s="39"/>
      <c r="C526" s="554"/>
      <c r="D526" s="555"/>
      <c r="E526" s="540"/>
      <c r="F526" s="541"/>
      <c r="G526" s="40"/>
      <c r="H526" s="16"/>
      <c r="I526" s="552"/>
      <c r="J526" s="553" t="s">
        <v>5</v>
      </c>
      <c r="K526" s="10">
        <f>'data 2022-23'!F391</f>
        <v>7227.5599999999995</v>
      </c>
      <c r="L526" s="208" t="s">
        <v>274</v>
      </c>
      <c r="M526" s="9">
        <f>ROUND(I526*K526,0)</f>
        <v>0</v>
      </c>
      <c r="N526" s="536" t="s">
        <v>2318</v>
      </c>
    </row>
    <row r="527" spans="1:14" ht="69.75" hidden="1" customHeight="1">
      <c r="A527" s="16">
        <v>9</v>
      </c>
      <c r="B527" s="1858" t="s">
        <v>649</v>
      </c>
      <c r="C527" s="1858"/>
      <c r="D527" s="1858"/>
      <c r="E527" s="1858"/>
      <c r="F527" s="1858"/>
      <c r="G527" s="1858"/>
      <c r="H527" s="1858"/>
      <c r="I527" s="537"/>
      <c r="J527" s="538"/>
      <c r="K527" s="16"/>
      <c r="L527" s="208"/>
      <c r="M527" s="38"/>
      <c r="N527" s="536" t="s">
        <v>2318</v>
      </c>
    </row>
    <row r="528" spans="1:14" s="544" customFormat="1" ht="16.5" hidden="1" customHeight="1">
      <c r="A528" s="16"/>
      <c r="B528" s="39" t="s">
        <v>2851</v>
      </c>
      <c r="C528" s="537"/>
      <c r="D528" s="539"/>
      <c r="E528" s="540"/>
      <c r="F528" s="541"/>
      <c r="G528" s="541"/>
      <c r="H528" s="541"/>
      <c r="I528" s="542"/>
      <c r="J528" s="553"/>
      <c r="K528" s="39"/>
      <c r="L528" s="208"/>
      <c r="M528" s="39"/>
      <c r="N528" s="536" t="s">
        <v>2318</v>
      </c>
    </row>
    <row r="529" spans="1:14" s="544" customFormat="1" ht="16.5" hidden="1" customHeight="1">
      <c r="A529" s="16"/>
      <c r="B529" s="39" t="s">
        <v>1530</v>
      </c>
      <c r="C529" s="537">
        <v>1</v>
      </c>
      <c r="D529" s="539" t="s">
        <v>273</v>
      </c>
      <c r="E529" s="540">
        <v>1</v>
      </c>
      <c r="F529" s="541">
        <v>9.5250000000000004</v>
      </c>
      <c r="G529" s="541">
        <v>0.23</v>
      </c>
      <c r="H529" s="541">
        <v>0.6</v>
      </c>
      <c r="I529" s="579">
        <f>ROUND(IF(AND(F529:H529),C529*E529*F529*G529*H529,IF(AND(F529,G529),C529*E529*F529*G529,IF(AND(F529,H529),C529*E529*F529*H529,IF(AND(G529,H529),C529*E529*G529*H529,IF(F529,C529*E529*F529,IF(G529,C529*E529*G529,IF(H529,C529*E529*H529,C529*E529))))))),2)</f>
        <v>1.31</v>
      </c>
      <c r="J529" s="553" t="s">
        <v>5</v>
      </c>
      <c r="K529" s="39"/>
      <c r="L529" s="208"/>
      <c r="M529" s="39"/>
      <c r="N529" s="536" t="s">
        <v>2318</v>
      </c>
    </row>
    <row r="530" spans="1:14" s="544" customFormat="1" ht="16.5" hidden="1" customHeight="1">
      <c r="A530" s="16"/>
      <c r="B530" s="39"/>
      <c r="C530" s="537">
        <v>1</v>
      </c>
      <c r="D530" s="539" t="s">
        <v>273</v>
      </c>
      <c r="E530" s="540">
        <v>1</v>
      </c>
      <c r="F530" s="541">
        <v>12.47</v>
      </c>
      <c r="G530" s="541">
        <v>0.23</v>
      </c>
      <c r="H530" s="541">
        <v>0.6</v>
      </c>
      <c r="I530" s="579">
        <f>ROUND(IF(AND(F530:H530),C530*E530*F530*G530*H530,IF(AND(F530,G530),C530*E530*F530*G530,IF(AND(F530,H530),C530*E530*F530*H530,IF(AND(G530,H530),C530*E530*G530*H530,IF(F530,C530*E530*F530,IF(G530,C530*E530*G530,IF(H530,C530*E530*H530,C530*E530))))))),2)</f>
        <v>1.72</v>
      </c>
      <c r="J530" s="553" t="s">
        <v>5</v>
      </c>
      <c r="K530" s="39"/>
      <c r="L530" s="208"/>
      <c r="M530" s="39"/>
      <c r="N530" s="536" t="s">
        <v>2318</v>
      </c>
    </row>
    <row r="531" spans="1:14" s="544" customFormat="1" ht="16.5" hidden="1" customHeight="1">
      <c r="A531" s="16"/>
      <c r="B531" s="547"/>
      <c r="C531" s="548"/>
      <c r="D531" s="549"/>
      <c r="E531" s="550"/>
      <c r="F531" s="551"/>
      <c r="G531" s="551"/>
      <c r="H531" s="551"/>
      <c r="I531" s="552"/>
      <c r="J531" s="553"/>
      <c r="K531" s="39"/>
      <c r="L531" s="208"/>
      <c r="M531" s="39"/>
      <c r="N531" s="536" t="s">
        <v>2318</v>
      </c>
    </row>
    <row r="532" spans="1:14" ht="15.75" hidden="1">
      <c r="A532" s="16"/>
      <c r="B532" s="39"/>
      <c r="C532" s="554"/>
      <c r="D532" s="555"/>
      <c r="E532" s="540"/>
      <c r="F532" s="541"/>
      <c r="G532" s="40"/>
      <c r="H532" s="16"/>
      <c r="I532" s="552"/>
      <c r="J532" s="553" t="s">
        <v>5</v>
      </c>
      <c r="K532" s="10">
        <f>'data 2022-23'!F374</f>
        <v>7283.96</v>
      </c>
      <c r="L532" s="208" t="s">
        <v>274</v>
      </c>
      <c r="M532" s="9">
        <f>ROUND(I532*K532,0)</f>
        <v>0</v>
      </c>
      <c r="N532" s="536" t="s">
        <v>2318</v>
      </c>
    </row>
    <row r="533" spans="1:14" ht="132.75" hidden="1" customHeight="1">
      <c r="A533" s="16">
        <v>10</v>
      </c>
      <c r="B533" s="1858" t="s">
        <v>901</v>
      </c>
      <c r="C533" s="1858"/>
      <c r="D533" s="1858"/>
      <c r="E533" s="1858"/>
      <c r="F533" s="1858"/>
      <c r="G533" s="1858"/>
      <c r="H533" s="1858"/>
      <c r="I533" s="537"/>
      <c r="J533" s="538"/>
      <c r="K533" s="16"/>
      <c r="L533" s="208"/>
      <c r="M533" s="38"/>
      <c r="N533" s="536" t="s">
        <v>2318</v>
      </c>
    </row>
    <row r="534" spans="1:14" s="544" customFormat="1" ht="16.5" hidden="1" customHeight="1">
      <c r="A534" s="16"/>
      <c r="B534" s="39" t="s">
        <v>2855</v>
      </c>
      <c r="C534" s="537"/>
      <c r="D534" s="539"/>
      <c r="E534" s="540"/>
      <c r="F534" s="541"/>
      <c r="G534" s="541"/>
      <c r="H534" s="541"/>
      <c r="I534" s="542"/>
      <c r="J534" s="553"/>
      <c r="K534" s="39"/>
      <c r="L534" s="208"/>
      <c r="M534" s="39"/>
      <c r="N534" s="536" t="s">
        <v>2318</v>
      </c>
    </row>
    <row r="535" spans="1:14" s="544" customFormat="1" ht="16.5" hidden="1" customHeight="1">
      <c r="A535" s="16"/>
      <c r="B535" s="39" t="s">
        <v>2136</v>
      </c>
      <c r="C535" s="537">
        <v>1</v>
      </c>
      <c r="D535" s="539" t="s">
        <v>273</v>
      </c>
      <c r="E535" s="540">
        <v>1</v>
      </c>
      <c r="F535" s="541">
        <v>12</v>
      </c>
      <c r="G535" s="541">
        <v>0</v>
      </c>
      <c r="H535" s="541">
        <v>0.6</v>
      </c>
      <c r="I535" s="579">
        <f>ROUND(IF(AND(F535:H535),C535*E535*F535*G535*H535,IF(AND(F535,G535),C535*E535*F535*G535,IF(AND(F535,H535),C535*E535*F535*H535,IF(AND(G535,H535),C535*E535*G535*H535,IF(F535,C535*E535*F535,IF(G535,C535*E535*G535,IF(H535,C535*E535*H535,C535*E535))))))),2)</f>
        <v>7.2</v>
      </c>
      <c r="J535" s="553" t="s">
        <v>102</v>
      </c>
      <c r="K535" s="39"/>
      <c r="L535" s="208"/>
      <c r="M535" s="39"/>
      <c r="N535" s="536" t="s">
        <v>2318</v>
      </c>
    </row>
    <row r="536" spans="1:14" s="544" customFormat="1" ht="16.5" hidden="1" customHeight="1">
      <c r="A536" s="16"/>
      <c r="B536" s="39"/>
      <c r="C536" s="537">
        <v>1</v>
      </c>
      <c r="D536" s="539" t="s">
        <v>273</v>
      </c>
      <c r="E536" s="540">
        <v>1</v>
      </c>
      <c r="F536" s="541">
        <v>9.0500000000000007</v>
      </c>
      <c r="G536" s="541">
        <v>0</v>
      </c>
      <c r="H536" s="541">
        <v>0.6</v>
      </c>
      <c r="I536" s="579">
        <f>ROUND(IF(AND(F536:H536),C536*E536*F536*G536*H536,IF(AND(F536,G536),C536*E536*F536*G536,IF(AND(F536,H536),C536*E536*F536*H536,IF(AND(G536,H536),C536*E536*G536*H536,IF(F536,C536*E536*F536,IF(G536,C536*E536*G536,IF(H536,C536*E536*H536,C536*E536))))))),2)</f>
        <v>5.43</v>
      </c>
      <c r="J536" s="553" t="s">
        <v>102</v>
      </c>
      <c r="K536" s="39"/>
      <c r="L536" s="208"/>
      <c r="M536" s="39"/>
      <c r="N536" s="536" t="s">
        <v>2318</v>
      </c>
    </row>
    <row r="537" spans="1:14" s="544" customFormat="1" ht="16.5" hidden="1" customHeight="1">
      <c r="A537" s="16"/>
      <c r="B537" s="39" t="s">
        <v>2137</v>
      </c>
      <c r="C537" s="537">
        <v>1</v>
      </c>
      <c r="D537" s="539" t="s">
        <v>273</v>
      </c>
      <c r="E537" s="540">
        <v>3</v>
      </c>
      <c r="F537" s="541">
        <v>3.31</v>
      </c>
      <c r="G537" s="541">
        <v>0</v>
      </c>
      <c r="H537" s="541">
        <v>0.6</v>
      </c>
      <c r="I537" s="579">
        <f>ROUND(IF(AND(F537:H537),C537*E537*F537*G537*H537,IF(AND(F537,G537),C537*E537*F537*G537,IF(AND(F537,H537),C537*E537*F537*H537,IF(AND(G537,H537),C537*E537*G537*H537,IF(F537,C537*E537*F537,IF(G537,C537*E537*G537,IF(H537,C537*E537*H537,C537*E537))))))),2)</f>
        <v>5.96</v>
      </c>
      <c r="J537" s="553" t="s">
        <v>102</v>
      </c>
      <c r="K537" s="39"/>
      <c r="L537" s="208"/>
      <c r="M537" s="39"/>
      <c r="N537" s="536" t="s">
        <v>2318</v>
      </c>
    </row>
    <row r="538" spans="1:14" s="544" customFormat="1" ht="16.5" hidden="1" customHeight="1">
      <c r="A538" s="16"/>
      <c r="B538" s="39"/>
      <c r="C538" s="537"/>
      <c r="D538" s="539"/>
      <c r="E538" s="540"/>
      <c r="F538" s="541"/>
      <c r="G538" s="541"/>
      <c r="H538" s="541"/>
      <c r="I538" s="545"/>
      <c r="J538" s="553"/>
      <c r="K538" s="39"/>
      <c r="L538" s="208"/>
      <c r="M538" s="39"/>
      <c r="N538" s="536" t="s">
        <v>2318</v>
      </c>
    </row>
    <row r="539" spans="1:14" ht="15.75" hidden="1">
      <c r="A539" s="16"/>
      <c r="B539" s="39"/>
      <c r="C539" s="554"/>
      <c r="D539" s="555"/>
      <c r="E539" s="540"/>
      <c r="F539" s="541"/>
      <c r="G539" s="40"/>
      <c r="H539" s="16"/>
      <c r="I539" s="552"/>
      <c r="J539" s="553" t="s">
        <v>102</v>
      </c>
      <c r="K539" s="10">
        <f>'data 2022-23'!F409</f>
        <v>945.26</v>
      </c>
      <c r="L539" s="208" t="s">
        <v>2437</v>
      </c>
      <c r="M539" s="9">
        <f>ROUND(I539*K539/1,0)</f>
        <v>0</v>
      </c>
      <c r="N539" s="536" t="s">
        <v>2318</v>
      </c>
    </row>
    <row r="540" spans="1:14" ht="79.5" hidden="1" customHeight="1">
      <c r="A540" s="16">
        <v>20</v>
      </c>
      <c r="B540" s="1858" t="s">
        <v>1201</v>
      </c>
      <c r="C540" s="1858"/>
      <c r="D540" s="1858"/>
      <c r="E540" s="1858"/>
      <c r="F540" s="1858"/>
      <c r="G540" s="1858"/>
      <c r="H540" s="1858"/>
      <c r="I540" s="537"/>
      <c r="J540" s="538"/>
      <c r="K540" s="16"/>
      <c r="L540" s="208"/>
      <c r="M540" s="38"/>
      <c r="N540" s="536" t="s">
        <v>2318</v>
      </c>
    </row>
    <row r="541" spans="1:14" s="544" customFormat="1" ht="16.5" hidden="1" customHeight="1">
      <c r="A541" s="16"/>
      <c r="B541" s="39" t="s">
        <v>2818</v>
      </c>
      <c r="C541" s="537"/>
      <c r="D541" s="539"/>
      <c r="E541" s="540"/>
      <c r="F541" s="541"/>
      <c r="G541" s="541"/>
      <c r="H541" s="541"/>
      <c r="I541" s="542"/>
      <c r="J541" s="553"/>
      <c r="K541" s="39"/>
      <c r="L541" s="208"/>
      <c r="M541" s="39"/>
      <c r="N541" s="536" t="s">
        <v>2318</v>
      </c>
    </row>
    <row r="542" spans="1:14" s="544" customFormat="1" ht="16.5" hidden="1" customHeight="1">
      <c r="A542" s="16"/>
      <c r="B542" s="39" t="s">
        <v>1242</v>
      </c>
      <c r="C542" s="537">
        <v>1</v>
      </c>
      <c r="D542" s="539" t="s">
        <v>273</v>
      </c>
      <c r="E542" s="540">
        <v>2</v>
      </c>
      <c r="F542" s="541">
        <v>0.75</v>
      </c>
      <c r="G542" s="541">
        <v>0.15</v>
      </c>
      <c r="H542" s="541">
        <v>1.05</v>
      </c>
      <c r="I542" s="545">
        <f>ROUND(IF(AND(F542:H542),C542*E542*F542*G542*H542,IF(AND(F542,G542),C542*E542*F542*G542,IF(AND(F542,H542),C542*E542*F542*H542,IF(AND(G542,H542),C542*E542*G542*H542,IF(F542,C542*E542*F542,IF(G542,C542*E542*G542,IF(H542,C542*E542*H542,C542*E542))))))),2)</f>
        <v>0.24</v>
      </c>
      <c r="J542" s="553" t="s">
        <v>5</v>
      </c>
      <c r="K542" s="39"/>
      <c r="L542" s="208"/>
      <c r="M542" s="39"/>
      <c r="N542" s="536" t="s">
        <v>2318</v>
      </c>
    </row>
    <row r="543" spans="1:14" s="544" customFormat="1" ht="16.5" hidden="1" customHeight="1">
      <c r="A543" s="16"/>
      <c r="B543" s="39"/>
      <c r="C543" s="537">
        <v>1</v>
      </c>
      <c r="D543" s="539" t="s">
        <v>273</v>
      </c>
      <c r="E543" s="540">
        <v>1</v>
      </c>
      <c r="F543" s="541">
        <v>2.65</v>
      </c>
      <c r="G543" s="541">
        <v>0.15</v>
      </c>
      <c r="H543" s="541">
        <v>1.2</v>
      </c>
      <c r="I543" s="545">
        <f>ROUND(IF(AND(F543:H543),C543*E543*F543*G543*H543,IF(AND(F543,G543),C543*E543*F543*G543,IF(AND(F543,H543),C543*E543*F543*H543,IF(AND(G543,H543),C543*E543*G543*H543,IF(F543,C543*E543*F543,IF(G543,C543*E543*G543,IF(H543,C543*E543*H543,C543*E543))))))),2)</f>
        <v>0.48</v>
      </c>
      <c r="J543" s="553" t="s">
        <v>5</v>
      </c>
      <c r="K543" s="39"/>
      <c r="L543" s="208"/>
      <c r="M543" s="39"/>
      <c r="N543" s="536" t="s">
        <v>2318</v>
      </c>
    </row>
    <row r="544" spans="1:14" s="544" customFormat="1" ht="16.5" hidden="1" customHeight="1">
      <c r="A544" s="16"/>
      <c r="B544" s="39"/>
      <c r="C544" s="537">
        <v>1</v>
      </c>
      <c r="D544" s="539" t="s">
        <v>273</v>
      </c>
      <c r="E544" s="540">
        <v>1</v>
      </c>
      <c r="F544" s="541">
        <v>2.85</v>
      </c>
      <c r="G544" s="541">
        <v>0.15</v>
      </c>
      <c r="H544" s="541">
        <v>1.2</v>
      </c>
      <c r="I544" s="545">
        <f>ROUND(IF(AND(F544:H544),C544*E544*F544*G544*H544,IF(AND(F544,G544),C544*E544*F544*G544,IF(AND(F544,H544),C544*E544*F544*H544,IF(AND(G544,H544),C544*E544*G544*H544,IF(F544,C544*E544*F544,IF(G544,C544*E544*G544,IF(H544,C544*E544*H544,C544*E544))))))),2)</f>
        <v>0.51</v>
      </c>
      <c r="J544" s="553" t="s">
        <v>5</v>
      </c>
      <c r="K544" s="39"/>
      <c r="L544" s="208"/>
      <c r="M544" s="39"/>
      <c r="N544" s="536" t="s">
        <v>2318</v>
      </c>
    </row>
    <row r="545" spans="1:14" s="544" customFormat="1" ht="16.5" hidden="1" customHeight="1">
      <c r="A545" s="16"/>
      <c r="B545" s="547"/>
      <c r="C545" s="548"/>
      <c r="D545" s="549"/>
      <c r="E545" s="550"/>
      <c r="F545" s="551"/>
      <c r="G545" s="551"/>
      <c r="H545" s="551"/>
      <c r="I545" s="552"/>
      <c r="J545" s="553"/>
      <c r="K545" s="39"/>
      <c r="L545" s="208"/>
      <c r="M545" s="39"/>
      <c r="N545" s="536" t="s">
        <v>2318</v>
      </c>
    </row>
    <row r="546" spans="1:14" ht="15.75" hidden="1">
      <c r="A546" s="16"/>
      <c r="B546" s="39"/>
      <c r="C546" s="554"/>
      <c r="D546" s="555"/>
      <c r="E546" s="540"/>
      <c r="F546" s="541"/>
      <c r="G546" s="40"/>
      <c r="H546" s="16"/>
      <c r="I546" s="552"/>
      <c r="J546" s="553" t="s">
        <v>5</v>
      </c>
      <c r="K546" s="10">
        <f>'data 2022-23'!F426</f>
        <v>6718.55</v>
      </c>
      <c r="L546" s="208" t="s">
        <v>274</v>
      </c>
      <c r="M546" s="9">
        <f>ROUND(I546*K546,0)</f>
        <v>0</v>
      </c>
      <c r="N546" s="536" t="s">
        <v>2318</v>
      </c>
    </row>
    <row r="547" spans="1:14" ht="103.5" hidden="1" customHeight="1">
      <c r="A547" s="16">
        <v>19</v>
      </c>
      <c r="B547" s="1858" t="s">
        <v>1171</v>
      </c>
      <c r="C547" s="1858"/>
      <c r="D547" s="1858"/>
      <c r="E547" s="1858"/>
      <c r="F547" s="1858"/>
      <c r="G547" s="1858"/>
      <c r="H547" s="1858"/>
      <c r="I547" s="537"/>
      <c r="J547" s="538"/>
      <c r="K547" s="16"/>
      <c r="L547" s="208"/>
      <c r="M547" s="38"/>
      <c r="N547" s="536" t="s">
        <v>2318</v>
      </c>
    </row>
    <row r="548" spans="1:14" s="544" customFormat="1" ht="16.5" hidden="1" customHeight="1">
      <c r="A548" s="16"/>
      <c r="B548" s="39" t="s">
        <v>2824</v>
      </c>
      <c r="C548" s="537"/>
      <c r="D548" s="539"/>
      <c r="E548" s="540"/>
      <c r="F548" s="541"/>
      <c r="G548" s="541"/>
      <c r="H548" s="541"/>
      <c r="I548" s="542"/>
      <c r="J548" s="553"/>
      <c r="K548" s="39"/>
      <c r="L548" s="208"/>
      <c r="M548" s="39"/>
      <c r="N548" s="536" t="s">
        <v>2318</v>
      </c>
    </row>
    <row r="549" spans="1:14" s="544" customFormat="1" ht="16.5" hidden="1" customHeight="1">
      <c r="A549" s="16"/>
      <c r="B549" s="39"/>
      <c r="C549" s="537">
        <v>1</v>
      </c>
      <c r="D549" s="539" t="s">
        <v>273</v>
      </c>
      <c r="E549" s="540">
        <v>2</v>
      </c>
      <c r="F549" s="541">
        <v>2.0499999999999998</v>
      </c>
      <c r="G549" s="541">
        <v>1.7</v>
      </c>
      <c r="H549" s="541">
        <v>0</v>
      </c>
      <c r="I549" s="545">
        <f>ROUND(IF(AND(F549:H549),C549*E549*F549*G549*H549,IF(AND(F549,G549),C549*E549*F549*G549,IF(AND(F549,H549),C549*E549*F549*H549,IF(AND(G549,H549),C549*E549*G549*H549,IF(F549,C549*E549*F549,IF(G549,C549*E549*G549,IF(H549,C549*E549*H549,C549*E549))))))),2)</f>
        <v>6.97</v>
      </c>
      <c r="J549" s="553" t="s">
        <v>102</v>
      </c>
      <c r="K549" s="39"/>
      <c r="L549" s="208"/>
      <c r="M549" s="39"/>
      <c r="N549" s="536" t="s">
        <v>2318</v>
      </c>
    </row>
    <row r="550" spans="1:14" s="544" customFormat="1" ht="16.5" hidden="1" customHeight="1">
      <c r="A550" s="16"/>
      <c r="B550" s="39"/>
      <c r="C550" s="537">
        <v>1</v>
      </c>
      <c r="D550" s="539" t="s">
        <v>273</v>
      </c>
      <c r="E550" s="540">
        <v>2</v>
      </c>
      <c r="F550" s="541">
        <v>3.6</v>
      </c>
      <c r="G550" s="541">
        <v>0.95</v>
      </c>
      <c r="H550" s="541">
        <v>0</v>
      </c>
      <c r="I550" s="545">
        <f>ROUND(IF(AND(F550:H550),C550*E550*F550*G550*H550,IF(AND(F550,G550),C550*E550*F550*G550,IF(AND(F550,H550),C550*E550*F550*H550,IF(AND(G550,H550),C550*E550*G550*H550,IF(F550,C550*E550*F550,IF(G550,C550*E550*G550,IF(H550,C550*E550*H550,C550*E550))))))),2)</f>
        <v>6.84</v>
      </c>
      <c r="J550" s="553" t="s">
        <v>102</v>
      </c>
      <c r="K550" s="39"/>
      <c r="L550" s="208"/>
      <c r="M550" s="39"/>
      <c r="N550" s="536" t="s">
        <v>2318</v>
      </c>
    </row>
    <row r="551" spans="1:14" s="544" customFormat="1" ht="16.5" hidden="1" customHeight="1">
      <c r="A551" s="16"/>
      <c r="B551" s="39"/>
      <c r="C551" s="537"/>
      <c r="D551" s="539"/>
      <c r="E551" s="540"/>
      <c r="F551" s="541"/>
      <c r="G551" s="541"/>
      <c r="H551" s="541"/>
      <c r="I551" s="545"/>
      <c r="J551" s="553"/>
      <c r="K551" s="39"/>
      <c r="L551" s="208"/>
      <c r="M551" s="39"/>
      <c r="N551" s="536" t="s">
        <v>2318</v>
      </c>
    </row>
    <row r="552" spans="1:14" ht="15.75" hidden="1">
      <c r="A552" s="16"/>
      <c r="B552" s="39"/>
      <c r="C552" s="554"/>
      <c r="D552" s="555"/>
      <c r="E552" s="540"/>
      <c r="F552" s="541"/>
      <c r="G552" s="40"/>
      <c r="H552" s="16"/>
      <c r="I552" s="552"/>
      <c r="J552" s="553" t="s">
        <v>102</v>
      </c>
      <c r="K552" s="10">
        <f>'data 2022-23'!F551</f>
        <v>2346.34</v>
      </c>
      <c r="L552" s="208" t="s">
        <v>2437</v>
      </c>
      <c r="M552" s="9">
        <f>ROUND(I552*K552/1,0)</f>
        <v>0</v>
      </c>
      <c r="N552" s="536" t="s">
        <v>2318</v>
      </c>
    </row>
    <row r="553" spans="1:14" ht="54.75" hidden="1" customHeight="1">
      <c r="A553" s="16">
        <v>11</v>
      </c>
      <c r="B553" s="1858" t="s">
        <v>125</v>
      </c>
      <c r="C553" s="1858"/>
      <c r="D553" s="1858"/>
      <c r="E553" s="1858"/>
      <c r="F553" s="1858"/>
      <c r="G553" s="1858"/>
      <c r="H553" s="1858"/>
      <c r="I553" s="537"/>
      <c r="J553" s="538"/>
      <c r="K553" s="16"/>
      <c r="L553" s="208"/>
      <c r="M553" s="38"/>
      <c r="N553" s="536" t="s">
        <v>2318</v>
      </c>
    </row>
    <row r="554" spans="1:14" s="544" customFormat="1" ht="16.5" hidden="1" customHeight="1">
      <c r="A554" s="16"/>
      <c r="B554" s="39" t="s">
        <v>2827</v>
      </c>
      <c r="C554" s="537"/>
      <c r="D554" s="539"/>
      <c r="E554" s="540"/>
      <c r="F554" s="541"/>
      <c r="G554" s="541"/>
      <c r="H554" s="541"/>
      <c r="I554" s="542"/>
      <c r="J554" s="553"/>
      <c r="K554" s="39"/>
      <c r="L554" s="208"/>
      <c r="M554" s="39"/>
      <c r="N554" s="536" t="s">
        <v>2318</v>
      </c>
    </row>
    <row r="555" spans="1:14" s="544" customFormat="1" ht="16.5" hidden="1" customHeight="1">
      <c r="A555" s="16"/>
      <c r="B555" s="39" t="s">
        <v>587</v>
      </c>
      <c r="C555" s="537">
        <v>1</v>
      </c>
      <c r="D555" s="539" t="s">
        <v>273</v>
      </c>
      <c r="E555" s="540">
        <v>1</v>
      </c>
      <c r="F555" s="541">
        <v>3.35</v>
      </c>
      <c r="G555" s="541">
        <v>0</v>
      </c>
      <c r="H555" s="541">
        <v>3.04</v>
      </c>
      <c r="I555" s="579">
        <f>ROUND(IF(AND(F555:H555),C555*E555*F555*G555*H555,IF(AND(F555,G555),C555*E555*F555*G555,IF(AND(F555,H555),C555*E555*F555*H555,IF(AND(G555,H555),C555*E555*G555*H555,IF(F555,C555*E555*F555,IF(G555,C555*E555*G555,IF(H555,C555*E555*H555,C555*E555))))))),2)</f>
        <v>10.18</v>
      </c>
      <c r="J555" s="553" t="s">
        <v>102</v>
      </c>
      <c r="K555" s="39"/>
      <c r="L555" s="208"/>
      <c r="M555" s="39"/>
      <c r="N555" s="536" t="s">
        <v>2318</v>
      </c>
    </row>
    <row r="556" spans="1:14" s="544" customFormat="1" ht="16.5" hidden="1" customHeight="1">
      <c r="A556" s="16"/>
      <c r="B556" s="39" t="s">
        <v>1169</v>
      </c>
      <c r="C556" s="537">
        <v>1</v>
      </c>
      <c r="D556" s="539" t="s">
        <v>273</v>
      </c>
      <c r="E556" s="540">
        <v>1</v>
      </c>
      <c r="F556" s="541">
        <v>2.75</v>
      </c>
      <c r="G556" s="541">
        <v>2.34</v>
      </c>
      <c r="H556" s="541">
        <v>0</v>
      </c>
      <c r="I556" s="579">
        <f>ROUND(IF(AND(F556:H556),C556*E556*F556*G556*H556,IF(AND(F556,G556),C556*E556*F556*G556,IF(AND(F556,H556),C556*E556*F556*H556,IF(AND(G556,H556),C556*E556*G556*H556,IF(F556,C556*E556*F556,IF(G556,C556*E556*G556,IF(H556,C556*E556*H556,C556*E556))))))),2)</f>
        <v>6.44</v>
      </c>
      <c r="J556" s="553" t="s">
        <v>102</v>
      </c>
      <c r="K556" s="39"/>
      <c r="L556" s="208"/>
      <c r="M556" s="39"/>
      <c r="N556" s="536" t="s">
        <v>2318</v>
      </c>
    </row>
    <row r="557" spans="1:14" s="544" customFormat="1" ht="16.5" hidden="1" customHeight="1">
      <c r="A557" s="16"/>
      <c r="B557" s="39"/>
      <c r="C557" s="537">
        <v>1</v>
      </c>
      <c r="D557" s="539" t="s">
        <v>273</v>
      </c>
      <c r="E557" s="540">
        <v>2</v>
      </c>
      <c r="F557" s="541">
        <v>2.7</v>
      </c>
      <c r="G557" s="541">
        <v>0.3</v>
      </c>
      <c r="H557" s="541">
        <v>0</v>
      </c>
      <c r="I557" s="579">
        <f>ROUND(IF(AND(F557:H557),C557*E557*F557*G557*H557,IF(AND(F557,G557),C557*E557*F557*G557,IF(AND(F557,H557),C557*E557*F557*H557,IF(AND(G557,H557),C557*E557*G557*H557,IF(F557,C557*E557*F557,IF(G557,C557*E557*G557,IF(H557,C557*E557*H557,C557*E557))))))),2)</f>
        <v>1.62</v>
      </c>
      <c r="J557" s="553" t="s">
        <v>102</v>
      </c>
      <c r="K557" s="39"/>
      <c r="L557" s="208"/>
      <c r="M557" s="39"/>
      <c r="N557" s="536" t="s">
        <v>2318</v>
      </c>
    </row>
    <row r="558" spans="1:14" s="544" customFormat="1" ht="16.5" hidden="1" customHeight="1">
      <c r="A558" s="16"/>
      <c r="B558" s="547"/>
      <c r="C558" s="548"/>
      <c r="D558" s="549"/>
      <c r="E558" s="550"/>
      <c r="F558" s="551"/>
      <c r="G558" s="551"/>
      <c r="H558" s="551"/>
      <c r="I558" s="552"/>
      <c r="J558" s="553"/>
      <c r="K558" s="39"/>
      <c r="L558" s="208"/>
      <c r="M558" s="39"/>
      <c r="N558" s="536" t="s">
        <v>2318</v>
      </c>
    </row>
    <row r="559" spans="1:14" ht="15.75" hidden="1">
      <c r="A559" s="16"/>
      <c r="B559" s="39"/>
      <c r="C559" s="554"/>
      <c r="D559" s="555"/>
      <c r="E559" s="540"/>
      <c r="F559" s="541"/>
      <c r="G559" s="40"/>
      <c r="H559" s="16"/>
      <c r="I559" s="552"/>
      <c r="J559" s="553" t="s">
        <v>102</v>
      </c>
      <c r="K559" s="10">
        <f>'data 2022-23'!F442</f>
        <v>351.17</v>
      </c>
      <c r="L559" s="208" t="s">
        <v>2437</v>
      </c>
      <c r="M559" s="9">
        <f>ROUND(I559*K559,0)</f>
        <v>0</v>
      </c>
      <c r="N559" s="536" t="s">
        <v>2318</v>
      </c>
    </row>
    <row r="560" spans="1:14" ht="42" hidden="1" customHeight="1">
      <c r="A560" s="16">
        <v>12</v>
      </c>
      <c r="B560" s="1858" t="s">
        <v>126</v>
      </c>
      <c r="C560" s="1858"/>
      <c r="D560" s="1858"/>
      <c r="E560" s="1858"/>
      <c r="F560" s="1858"/>
      <c r="G560" s="1858"/>
      <c r="H560" s="1858"/>
      <c r="I560" s="537"/>
      <c r="J560" s="538"/>
      <c r="K560" s="16"/>
      <c r="L560" s="208"/>
      <c r="M560" s="38"/>
      <c r="N560" s="536" t="s">
        <v>2318</v>
      </c>
    </row>
    <row r="561" spans="1:14" s="544" customFormat="1" ht="16.5" hidden="1" customHeight="1">
      <c r="A561" s="16"/>
      <c r="B561" s="39" t="s">
        <v>2853</v>
      </c>
      <c r="C561" s="566"/>
      <c r="D561" s="567"/>
      <c r="E561" s="568"/>
      <c r="F561" s="569"/>
      <c r="G561" s="569"/>
      <c r="H561" s="570"/>
      <c r="I561" s="571"/>
      <c r="J561" s="553"/>
      <c r="K561" s="39"/>
      <c r="L561" s="208"/>
      <c r="M561" s="39"/>
      <c r="N561" s="536" t="s">
        <v>2318</v>
      </c>
    </row>
    <row r="562" spans="1:14" s="544" customFormat="1" ht="16.5" hidden="1" customHeight="1">
      <c r="A562" s="16"/>
      <c r="B562" s="39" t="s">
        <v>2164</v>
      </c>
      <c r="C562" s="537">
        <v>1</v>
      </c>
      <c r="D562" s="539" t="s">
        <v>273</v>
      </c>
      <c r="E562" s="540">
        <v>1</v>
      </c>
      <c r="F562" s="541">
        <v>13.16</v>
      </c>
      <c r="G562" s="541">
        <v>0</v>
      </c>
      <c r="H562" s="541">
        <v>3.1</v>
      </c>
      <c r="I562" s="579">
        <f>ROUND(IF(AND(F562:H562),C562*E562*F562*G562*H562,IF(AND(F562,G562),C562*E562*F562*G562,IF(AND(F562,H562),C562*E562*F562*H562,IF(AND(G562,H562),C562*E562*G562*H562,IF(F562,C562*E562*F562,IF(G562,C562*E562*G562,IF(H562,C562*E562*H562,C562*E562))))))),2)</f>
        <v>40.799999999999997</v>
      </c>
      <c r="J562" s="553" t="s">
        <v>102</v>
      </c>
      <c r="K562" s="39"/>
      <c r="L562" s="208"/>
      <c r="M562" s="39"/>
      <c r="N562" s="536" t="s">
        <v>2318</v>
      </c>
    </row>
    <row r="563" spans="1:14" s="544" customFormat="1" ht="16.5" hidden="1" customHeight="1">
      <c r="A563" s="16"/>
      <c r="B563" s="39" t="s">
        <v>1624</v>
      </c>
      <c r="C563" s="537">
        <v>1</v>
      </c>
      <c r="D563" s="539" t="s">
        <v>273</v>
      </c>
      <c r="E563" s="540">
        <v>1</v>
      </c>
      <c r="F563" s="541">
        <v>12.64</v>
      </c>
      <c r="G563" s="541">
        <v>0</v>
      </c>
      <c r="H563" s="541">
        <v>3.1</v>
      </c>
      <c r="I563" s="579">
        <f>ROUND(IF(AND(F563:H563),C563*E563*F563*G563*H563,IF(AND(F563,G563),C563*E563*F563*G563,IF(AND(F563,H563),C563*E563*F563*H563,IF(AND(G563,H563),C563*E563*G563*H563,IF(F563,C563*E563*F563,IF(G563,C563*E563*G563,IF(H563,C563*E563*H563,C563*E563))))))),2)</f>
        <v>39.18</v>
      </c>
      <c r="J563" s="553" t="s">
        <v>102</v>
      </c>
      <c r="K563" s="39"/>
      <c r="L563" s="208"/>
      <c r="M563" s="39"/>
      <c r="N563" s="536" t="s">
        <v>2318</v>
      </c>
    </row>
    <row r="564" spans="1:14" s="544" customFormat="1" ht="16.5" hidden="1" customHeight="1">
      <c r="A564" s="16"/>
      <c r="B564" s="39" t="s">
        <v>1169</v>
      </c>
      <c r="C564" s="537">
        <v>1</v>
      </c>
      <c r="D564" s="539" t="s">
        <v>273</v>
      </c>
      <c r="E564" s="540">
        <v>1</v>
      </c>
      <c r="F564" s="541">
        <v>11.86</v>
      </c>
      <c r="G564" s="541">
        <v>0</v>
      </c>
      <c r="H564" s="541">
        <v>3.1</v>
      </c>
      <c r="I564" s="579">
        <f>ROUND(IF(AND(F564:H564),C564*E564*F564*G564*H564,IF(AND(F564,G564),C564*E564*F564*G564,IF(AND(F564,H564),C564*E564*F564*H564,IF(AND(G564,H564),C564*E564*G564*H564,IF(F564,C564*E564*F564,IF(G564,C564*E564*G564,IF(H564,C564*E564*H564,C564*E564))))))),2)</f>
        <v>36.770000000000003</v>
      </c>
      <c r="J564" s="553" t="s">
        <v>102</v>
      </c>
      <c r="K564" s="39"/>
      <c r="L564" s="208"/>
      <c r="M564" s="39"/>
      <c r="N564" s="536" t="s">
        <v>2318</v>
      </c>
    </row>
    <row r="565" spans="1:14" s="544" customFormat="1" ht="16.5" hidden="1" customHeight="1">
      <c r="A565" s="16"/>
      <c r="B565" s="39" t="s">
        <v>2188</v>
      </c>
      <c r="C565" s="537">
        <v>1</v>
      </c>
      <c r="D565" s="539" t="s">
        <v>273</v>
      </c>
      <c r="E565" s="540">
        <v>1</v>
      </c>
      <c r="F565" s="541">
        <v>2.95</v>
      </c>
      <c r="G565" s="541">
        <v>0</v>
      </c>
      <c r="H565" s="541">
        <v>0.15</v>
      </c>
      <c r="I565" s="579">
        <f>-ROUND(IF(AND(F565:H565),C565*E565*F565*G565*H565,IF(AND(F565,G565),C565*E565*F565*G565,IF(AND(F565,H565),C565*E565*F565*H565,IF(AND(G565,H565),C565*E565*G565*H565,IF(F565,C565*E565*F565,IF(G565,C565*E565*G565,IF(H565,C565*E565*H565,C565*E565))))))),2)</f>
        <v>-0.44</v>
      </c>
      <c r="J565" s="553" t="s">
        <v>102</v>
      </c>
      <c r="K565" s="39"/>
      <c r="L565" s="208"/>
      <c r="M565" s="39"/>
      <c r="N565" s="536" t="s">
        <v>2318</v>
      </c>
    </row>
    <row r="566" spans="1:14" s="544" customFormat="1" ht="16.5" hidden="1" customHeight="1">
      <c r="A566" s="16"/>
      <c r="B566" s="547"/>
      <c r="C566" s="548"/>
      <c r="D566" s="549"/>
      <c r="E566" s="550"/>
      <c r="F566" s="551"/>
      <c r="G566" s="551"/>
      <c r="H566" s="551"/>
      <c r="I566" s="552"/>
      <c r="J566" s="553"/>
      <c r="K566" s="39"/>
      <c r="L566" s="208"/>
      <c r="M566" s="39"/>
      <c r="N566" s="536" t="s">
        <v>2318</v>
      </c>
    </row>
    <row r="567" spans="1:14" ht="15.75" hidden="1">
      <c r="A567" s="16"/>
      <c r="B567" s="39"/>
      <c r="C567" s="554"/>
      <c r="D567" s="555"/>
      <c r="E567" s="540"/>
      <c r="F567" s="541"/>
      <c r="G567" s="40"/>
      <c r="H567" s="16"/>
      <c r="I567" s="552"/>
      <c r="J567" s="553" t="s">
        <v>102</v>
      </c>
      <c r="K567" s="10">
        <f>'data 2022-23'!F458</f>
        <v>323.04000000000002</v>
      </c>
      <c r="L567" s="208" t="s">
        <v>2437</v>
      </c>
      <c r="M567" s="9">
        <f>ROUND(I567*K567,0)</f>
        <v>0</v>
      </c>
      <c r="N567" s="536" t="s">
        <v>2318</v>
      </c>
    </row>
    <row r="568" spans="1:14" ht="52.5" hidden="1" customHeight="1">
      <c r="A568" s="16">
        <v>13</v>
      </c>
      <c r="B568" s="1858" t="s">
        <v>593</v>
      </c>
      <c r="C568" s="1858"/>
      <c r="D568" s="1858"/>
      <c r="E568" s="1858"/>
      <c r="F568" s="1858"/>
      <c r="G568" s="1858"/>
      <c r="H568" s="1858"/>
      <c r="I568" s="537"/>
      <c r="J568" s="538"/>
      <c r="K568" s="16"/>
      <c r="L568" s="208"/>
      <c r="M568" s="38"/>
      <c r="N568" s="536" t="s">
        <v>2318</v>
      </c>
    </row>
    <row r="569" spans="1:14" s="544" customFormat="1" ht="16.5" hidden="1" customHeight="1">
      <c r="A569" s="16"/>
      <c r="B569" s="39" t="s">
        <v>2858</v>
      </c>
      <c r="C569" s="566"/>
      <c r="D569" s="567"/>
      <c r="E569" s="568"/>
      <c r="F569" s="569"/>
      <c r="G569" s="569"/>
      <c r="H569" s="570"/>
      <c r="I569" s="571"/>
      <c r="J569" s="553"/>
      <c r="K569" s="39"/>
      <c r="L569" s="208"/>
      <c r="M569" s="39"/>
      <c r="N569" s="536" t="s">
        <v>2318</v>
      </c>
    </row>
    <row r="570" spans="1:14" s="544" customFormat="1" ht="15.75" hidden="1">
      <c r="A570" s="16"/>
      <c r="B570" s="39" t="s">
        <v>2167</v>
      </c>
      <c r="C570" s="537">
        <v>1</v>
      </c>
      <c r="D570" s="539" t="s">
        <v>273</v>
      </c>
      <c r="E570" s="540">
        <v>1</v>
      </c>
      <c r="F570" s="541">
        <v>12.475</v>
      </c>
      <c r="G570" s="541">
        <v>0</v>
      </c>
      <c r="H570" s="541">
        <v>3.1</v>
      </c>
      <c r="I570" s="545">
        <f>ROUND(IF(AND(F570:H570),C570*E570*F570*G570*H570,IF(AND(F570,G570),C570*E570*F570*G570,IF(AND(F570,H570),C570*E570*F570*H570,IF(AND(G570,H570),C570*E570*G570*H570,IF(F570,C570*E570*F570,IF(G570,C570*E570*G570,IF(H570,C570*E570*H570,C570*E570))))))),2)</f>
        <v>38.67</v>
      </c>
      <c r="J570" s="553" t="s">
        <v>102</v>
      </c>
      <c r="K570" s="39"/>
      <c r="L570" s="208"/>
      <c r="M570" s="39"/>
      <c r="N570" s="536" t="s">
        <v>2318</v>
      </c>
    </row>
    <row r="571" spans="1:14" s="544" customFormat="1" ht="15.75" hidden="1">
      <c r="A571" s="16"/>
      <c r="B571" s="39" t="s">
        <v>1547</v>
      </c>
      <c r="C571" s="537">
        <v>1</v>
      </c>
      <c r="D571" s="539" t="s">
        <v>273</v>
      </c>
      <c r="E571" s="540">
        <v>1</v>
      </c>
      <c r="F571" s="541">
        <v>8.84</v>
      </c>
      <c r="G571" s="541">
        <v>0</v>
      </c>
      <c r="H571" s="541">
        <v>3.1</v>
      </c>
      <c r="I571" s="545">
        <f>ROUND(IF(AND(F571:H571),C571*E571*F571*G571*H571,IF(AND(F571,G571),C571*E571*F571*G571,IF(AND(F571,H571),C571*E571*F571*H571,IF(AND(G571,H571),C571*E571*G571*H571,IF(F571,C571*E571*F571,IF(G571,C571*E571*G571,IF(H571,C571*E571*H571,C571*E571))))))),2)</f>
        <v>27.4</v>
      </c>
      <c r="J571" s="553" t="s">
        <v>102</v>
      </c>
      <c r="K571" s="39"/>
      <c r="L571" s="208"/>
      <c r="M571" s="39"/>
      <c r="N571" s="536" t="s">
        <v>2318</v>
      </c>
    </row>
    <row r="572" spans="1:14" s="544" customFormat="1" ht="15.75" hidden="1">
      <c r="A572" s="16"/>
      <c r="B572" s="39" t="s">
        <v>2168</v>
      </c>
      <c r="C572" s="537">
        <v>1</v>
      </c>
      <c r="D572" s="539" t="s">
        <v>273</v>
      </c>
      <c r="E572" s="540">
        <v>6</v>
      </c>
      <c r="F572" s="541">
        <v>1.5</v>
      </c>
      <c r="G572" s="541">
        <v>0</v>
      </c>
      <c r="H572" s="541">
        <v>1.5</v>
      </c>
      <c r="I572" s="545">
        <f>-ROUND(IF(AND(F572:H572),C572*E572*F572*G572*H572,IF(AND(F572,G572),C572*E572*F572*G572,IF(AND(F572,H572),C572*E572*F572*H572,IF(AND(G572,H572),C572*E572*G572*H572,IF(F572,C572*E572*F572,IF(G572,C572*E572*G572,IF(H572,C572*E572*H572,C572*E572))))))),2)</f>
        <v>-13.5</v>
      </c>
      <c r="J572" s="553" t="s">
        <v>102</v>
      </c>
      <c r="K572" s="39"/>
      <c r="L572" s="208"/>
      <c r="M572" s="39"/>
      <c r="N572" s="536" t="s">
        <v>2318</v>
      </c>
    </row>
    <row r="573" spans="1:14" s="544" customFormat="1" ht="15.75" hidden="1">
      <c r="A573" s="16"/>
      <c r="B573" s="39" t="s">
        <v>2141</v>
      </c>
      <c r="C573" s="537">
        <v>1</v>
      </c>
      <c r="D573" s="539" t="s">
        <v>273</v>
      </c>
      <c r="E573" s="540">
        <v>10</v>
      </c>
      <c r="F573" s="541">
        <v>0.6</v>
      </c>
      <c r="G573" s="541">
        <v>0</v>
      </c>
      <c r="H573" s="541">
        <v>0.45</v>
      </c>
      <c r="I573" s="545">
        <f>-ROUND(IF(AND(F573:H573),C573*E573*F573*G573*H573,IF(AND(F573,G573),C573*E573*F573*G573,IF(AND(F573,H573),C573*E573*F573*H573,IF(AND(G573,H573),C573*E573*G573*H573,IF(F573,C573*E573*F573,IF(G573,C573*E573*G573,IF(H573,C573*E573*H573,C573*E573))))))),2)</f>
        <v>-2.7</v>
      </c>
      <c r="J573" s="553" t="s">
        <v>102</v>
      </c>
      <c r="K573" s="39"/>
      <c r="L573" s="208"/>
      <c r="M573" s="39"/>
      <c r="N573" s="536" t="s">
        <v>2318</v>
      </c>
    </row>
    <row r="574" spans="1:14" s="544" customFormat="1" ht="16.5" hidden="1" customHeight="1">
      <c r="A574" s="16"/>
      <c r="B574" s="547"/>
      <c r="C574" s="548"/>
      <c r="D574" s="549"/>
      <c r="E574" s="550"/>
      <c r="F574" s="551"/>
      <c r="G574" s="551"/>
      <c r="H574" s="551"/>
      <c r="I574" s="552"/>
      <c r="J574" s="553"/>
      <c r="K574" s="39"/>
      <c r="L574" s="208"/>
      <c r="M574" s="39"/>
      <c r="N574" s="536" t="s">
        <v>2318</v>
      </c>
    </row>
    <row r="575" spans="1:14" ht="15.75" hidden="1">
      <c r="A575" s="16"/>
      <c r="B575" s="39"/>
      <c r="C575" s="554"/>
      <c r="D575" s="555"/>
      <c r="E575" s="540"/>
      <c r="F575" s="541"/>
      <c r="G575" s="40"/>
      <c r="H575" s="16"/>
      <c r="I575" s="552"/>
      <c r="J575" s="553" t="s">
        <v>102</v>
      </c>
      <c r="K575" s="10">
        <f>'data 2022-23'!F474</f>
        <v>343.23</v>
      </c>
      <c r="L575" s="208" t="s">
        <v>2437</v>
      </c>
      <c r="M575" s="9">
        <f>ROUND(I575*K575,0)</f>
        <v>0</v>
      </c>
      <c r="N575" s="536" t="s">
        <v>2318</v>
      </c>
    </row>
    <row r="576" spans="1:14" ht="71.25" hidden="1" customHeight="1">
      <c r="A576" s="16">
        <v>12</v>
      </c>
      <c r="B576" s="1858" t="s">
        <v>808</v>
      </c>
      <c r="C576" s="1858"/>
      <c r="D576" s="1858"/>
      <c r="E576" s="1858"/>
      <c r="F576" s="1858"/>
      <c r="G576" s="1858"/>
      <c r="H576" s="1858"/>
      <c r="I576" s="537"/>
      <c r="J576" s="538"/>
      <c r="K576" s="16"/>
      <c r="L576" s="208"/>
      <c r="M576" s="38"/>
      <c r="N576" s="536" t="s">
        <v>2318</v>
      </c>
    </row>
    <row r="577" spans="1:14" s="544" customFormat="1" ht="16.5" hidden="1" customHeight="1">
      <c r="A577" s="16"/>
      <c r="B577" s="39" t="s">
        <v>2894</v>
      </c>
      <c r="C577" s="537"/>
      <c r="D577" s="539"/>
      <c r="E577" s="540"/>
      <c r="F577" s="541"/>
      <c r="G577" s="541"/>
      <c r="H577" s="541"/>
      <c r="I577" s="542"/>
      <c r="J577" s="553"/>
      <c r="K577" s="39"/>
      <c r="L577" s="208"/>
      <c r="M577" s="39"/>
      <c r="N577" s="536" t="s">
        <v>2318</v>
      </c>
    </row>
    <row r="578" spans="1:14" s="544" customFormat="1" ht="16.5" hidden="1" customHeight="1">
      <c r="A578" s="16"/>
      <c r="B578" s="39" t="s">
        <v>2203</v>
      </c>
      <c r="C578" s="537">
        <v>1</v>
      </c>
      <c r="D578" s="539" t="s">
        <v>273</v>
      </c>
      <c r="E578" s="540">
        <v>1</v>
      </c>
      <c r="F578" s="541">
        <v>13.38</v>
      </c>
      <c r="G578" s="541">
        <v>0</v>
      </c>
      <c r="H578" s="541">
        <v>3.12</v>
      </c>
      <c r="I578" s="579">
        <f>ROUND(IF(AND(F578:H578),C578*E578*F578*G578*H578,IF(AND(F578,G578),C578*E578*F578*G578,IF(AND(F578,H578),C578*E578*F578*H578,IF(AND(G578,H578),C578*E578*G578*H578,IF(F578,C578*E578*F578,IF(G578,C578*E578*G578,IF(H578,C578*E578*H578,C578*E578))))))),2)</f>
        <v>41.75</v>
      </c>
      <c r="J578" s="553" t="s">
        <v>102</v>
      </c>
      <c r="K578" s="39"/>
      <c r="L578" s="208"/>
      <c r="M578" s="39"/>
      <c r="N578" s="536" t="s">
        <v>2318</v>
      </c>
    </row>
    <row r="579" spans="1:14" s="544" customFormat="1" ht="16.5" hidden="1" customHeight="1">
      <c r="A579" s="16"/>
      <c r="B579" s="39" t="s">
        <v>1543</v>
      </c>
      <c r="C579" s="537">
        <v>1</v>
      </c>
      <c r="D579" s="539" t="s">
        <v>273</v>
      </c>
      <c r="E579" s="540">
        <v>1</v>
      </c>
      <c r="F579" s="541">
        <v>1.5</v>
      </c>
      <c r="G579" s="541">
        <v>0</v>
      </c>
      <c r="H579" s="541">
        <v>1.35</v>
      </c>
      <c r="I579" s="579">
        <f>-ROUND(IF(AND(F579:H579),C579*E579*F579*G579*H579,IF(AND(F579,G579),C579*E579*F579*G579,IF(AND(F579,H579),C579*E579*F579*H579,IF(AND(G579,H579),C579*E579*G579*H579,IF(F579,C579*E579*F579,IF(G579,C579*E579*G579,IF(H579,C579*E579*H579,C579*E579))))))),2)</f>
        <v>-2.0299999999999998</v>
      </c>
      <c r="J579" s="553" t="s">
        <v>102</v>
      </c>
      <c r="K579" s="39"/>
      <c r="L579" s="208"/>
      <c r="M579" s="39"/>
      <c r="N579" s="536" t="s">
        <v>2318</v>
      </c>
    </row>
    <row r="580" spans="1:14" s="544" customFormat="1" ht="16.5" hidden="1" customHeight="1">
      <c r="A580" s="16"/>
      <c r="B580" s="39" t="s">
        <v>802</v>
      </c>
      <c r="C580" s="537">
        <v>1</v>
      </c>
      <c r="D580" s="539" t="s">
        <v>273</v>
      </c>
      <c r="E580" s="540">
        <v>1</v>
      </c>
      <c r="F580" s="541">
        <v>2.7</v>
      </c>
      <c r="G580" s="541">
        <v>0</v>
      </c>
      <c r="H580" s="541">
        <v>0.15</v>
      </c>
      <c r="I580" s="579">
        <f>-ROUND(IF(AND(F580:H580),C580*E580*F580*G580*H580,IF(AND(F580,G580),C580*E580*F580*G580,IF(AND(F580,H580),C580*E580*F580*H580,IF(AND(G580,H580),C580*E580*G580*H580,IF(F580,C580*E580*F580,IF(G580,C580*E580*G580,IF(H580,C580*E580*H580,C580*E580))))))),2)</f>
        <v>-0.41</v>
      </c>
      <c r="J580" s="553" t="s">
        <v>102</v>
      </c>
      <c r="K580" s="39"/>
      <c r="L580" s="208"/>
      <c r="M580" s="39"/>
      <c r="N580" s="536" t="s">
        <v>2318</v>
      </c>
    </row>
    <row r="581" spans="1:14" s="544" customFormat="1" ht="16.5" hidden="1" customHeight="1">
      <c r="A581" s="16"/>
      <c r="B581" s="547"/>
      <c r="C581" s="548"/>
      <c r="D581" s="549"/>
      <c r="E581" s="550"/>
      <c r="F581" s="551"/>
      <c r="G581" s="551"/>
      <c r="H581" s="551"/>
      <c r="I581" s="552"/>
      <c r="J581" s="553"/>
      <c r="K581" s="39"/>
      <c r="L581" s="208"/>
      <c r="M581" s="39"/>
      <c r="N581" s="536" t="s">
        <v>2318</v>
      </c>
    </row>
    <row r="582" spans="1:14" ht="15.75" hidden="1">
      <c r="A582" s="16"/>
      <c r="B582" s="39"/>
      <c r="C582" s="554"/>
      <c r="D582" s="555"/>
      <c r="E582" s="540"/>
      <c r="F582" s="541"/>
      <c r="G582" s="40"/>
      <c r="H582" s="16"/>
      <c r="I582" s="552"/>
      <c r="J582" s="553" t="s">
        <v>102</v>
      </c>
      <c r="K582" s="10">
        <f>'data 2022-23'!F510</f>
        <v>425.82</v>
      </c>
      <c r="L582" s="208" t="s">
        <v>2437</v>
      </c>
      <c r="M582" s="9">
        <f>ROUND(I582*K582,0)</f>
        <v>0</v>
      </c>
      <c r="N582" s="536" t="s">
        <v>2318</v>
      </c>
    </row>
    <row r="583" spans="1:14" ht="71.25" hidden="1" customHeight="1">
      <c r="A583" s="16">
        <v>13</v>
      </c>
      <c r="B583" s="1858" t="s">
        <v>316</v>
      </c>
      <c r="C583" s="1858"/>
      <c r="D583" s="1858"/>
      <c r="E583" s="1858"/>
      <c r="F583" s="1858"/>
      <c r="G583" s="1858"/>
      <c r="H583" s="1858"/>
      <c r="I583" s="537"/>
      <c r="J583" s="538"/>
      <c r="K583" s="16"/>
      <c r="L583" s="208"/>
      <c r="M583" s="38"/>
      <c r="N583" s="536" t="s">
        <v>2318</v>
      </c>
    </row>
    <row r="584" spans="1:14" s="544" customFormat="1" ht="15.75" hidden="1">
      <c r="A584" s="16"/>
      <c r="B584" s="39" t="s">
        <v>2871</v>
      </c>
      <c r="C584" s="537"/>
      <c r="D584" s="539"/>
      <c r="E584" s="540"/>
      <c r="F584" s="541"/>
      <c r="G584" s="541"/>
      <c r="H584" s="541"/>
      <c r="I584" s="542"/>
      <c r="J584" s="553"/>
      <c r="K584" s="39"/>
      <c r="L584" s="208"/>
      <c r="M584" s="39"/>
      <c r="N584" s="536" t="s">
        <v>2318</v>
      </c>
    </row>
    <row r="585" spans="1:14" s="544" customFormat="1" ht="15.75" hidden="1">
      <c r="A585" s="16"/>
      <c r="B585" s="39" t="s">
        <v>2167</v>
      </c>
      <c r="C585" s="537">
        <v>1</v>
      </c>
      <c r="D585" s="539" t="s">
        <v>273</v>
      </c>
      <c r="E585" s="540">
        <v>1</v>
      </c>
      <c r="F585" s="541">
        <v>12.48</v>
      </c>
      <c r="G585" s="541">
        <v>0</v>
      </c>
      <c r="H585" s="541">
        <v>3.12</v>
      </c>
      <c r="I585" s="545">
        <f>ROUND(IF(AND(F585:H585),C585*E585*F585*G585*H585,IF(AND(F585,G585),C585*E585*F585*G585,IF(AND(F585,H585),C585*E585*F585*H585,IF(AND(G585,H585),C585*E585*G585*H585,IF(F585,C585*E585*F585,IF(G585,C585*E585*G585,IF(H585,C585*E585*H585,C585*E585))))))),2)</f>
        <v>38.94</v>
      </c>
      <c r="J585" s="553" t="s">
        <v>102</v>
      </c>
      <c r="K585" s="39"/>
      <c r="L585" s="208"/>
      <c r="M585" s="39"/>
      <c r="N585" s="536" t="s">
        <v>2318</v>
      </c>
    </row>
    <row r="586" spans="1:14" s="544" customFormat="1" ht="15.75" hidden="1">
      <c r="A586" s="16"/>
      <c r="B586" s="39" t="s">
        <v>579</v>
      </c>
      <c r="C586" s="537">
        <v>1</v>
      </c>
      <c r="D586" s="539" t="s">
        <v>273</v>
      </c>
      <c r="E586" s="540">
        <v>1</v>
      </c>
      <c r="F586" s="541">
        <v>1.2</v>
      </c>
      <c r="G586" s="541">
        <v>0</v>
      </c>
      <c r="H586" s="541">
        <v>2.13</v>
      </c>
      <c r="I586" s="545">
        <f>-ROUND(IF(AND(F586:H586),C586*E586*F586*G586*H586,IF(AND(F586,G586),C586*E586*F586*G586,IF(AND(F586,H586),C586*E586*F586*H586,IF(AND(G586,H586),C586*E586*G586*H586,IF(F586,C586*E586*F586,IF(G586,C586*E586*G586,IF(H586,C586*E586*H586,C586*E586))))))),2)</f>
        <v>-2.56</v>
      </c>
      <c r="J586" s="553" t="s">
        <v>102</v>
      </c>
      <c r="K586" s="39"/>
      <c r="L586" s="208"/>
      <c r="M586" s="39"/>
      <c r="N586" s="536" t="s">
        <v>2318</v>
      </c>
    </row>
    <row r="587" spans="1:14" s="544" customFormat="1" ht="15.75" hidden="1">
      <c r="A587" s="16"/>
      <c r="B587" s="39" t="s">
        <v>2206</v>
      </c>
      <c r="C587" s="537">
        <v>1</v>
      </c>
      <c r="D587" s="539" t="s">
        <v>273</v>
      </c>
      <c r="E587" s="540">
        <v>2</v>
      </c>
      <c r="F587" s="541">
        <v>0.68</v>
      </c>
      <c r="G587" s="541">
        <v>0</v>
      </c>
      <c r="H587" s="541">
        <v>1.88</v>
      </c>
      <c r="I587" s="545">
        <f>-ROUND(IF(AND(F587:H587),C587*E587*F587*G587*H587,IF(AND(F587,G587),C587*E587*F587*G587,IF(AND(F587,H587),C587*E587*F587*H587,IF(AND(G587,H587),C587*E587*G587*H587,IF(F587,C587*E587*F587,IF(G587,C587*E587*G587,IF(H587,C587*E587*H587,C587*E587))))))),2)</f>
        <v>-2.56</v>
      </c>
      <c r="J587" s="553" t="s">
        <v>102</v>
      </c>
      <c r="K587" s="39"/>
      <c r="L587" s="208"/>
      <c r="M587" s="39"/>
      <c r="N587" s="536" t="s">
        <v>2318</v>
      </c>
    </row>
    <row r="588" spans="1:14" s="544" customFormat="1" ht="15.75" hidden="1">
      <c r="A588" s="16"/>
      <c r="B588" s="547"/>
      <c r="C588" s="548"/>
      <c r="D588" s="549"/>
      <c r="E588" s="550"/>
      <c r="F588" s="551"/>
      <c r="G588" s="551"/>
      <c r="H588" s="551"/>
      <c r="I588" s="552"/>
      <c r="J588" s="553"/>
      <c r="K588" s="39"/>
      <c r="L588" s="208"/>
      <c r="M588" s="39"/>
      <c r="N588" s="536" t="s">
        <v>2318</v>
      </c>
    </row>
    <row r="589" spans="1:14" ht="15.75" hidden="1">
      <c r="A589" s="16"/>
      <c r="B589" s="39"/>
      <c r="C589" s="554"/>
      <c r="D589" s="555"/>
      <c r="E589" s="540"/>
      <c r="F589" s="541"/>
      <c r="G589" s="40"/>
      <c r="H589" s="16"/>
      <c r="I589" s="552"/>
      <c r="J589" s="553" t="s">
        <v>102</v>
      </c>
      <c r="K589" s="10">
        <f>'data 2022-23'!F530</f>
        <v>441.63</v>
      </c>
      <c r="L589" s="208" t="s">
        <v>2437</v>
      </c>
      <c r="M589" s="9">
        <f>ROUND(I589*K589,0)</f>
        <v>0</v>
      </c>
      <c r="N589" s="536" t="s">
        <v>2318</v>
      </c>
    </row>
    <row r="590" spans="1:14" ht="92.25" hidden="1" customHeight="1">
      <c r="A590" s="16">
        <v>12</v>
      </c>
      <c r="B590" s="1858" t="s">
        <v>2065</v>
      </c>
      <c r="C590" s="1858"/>
      <c r="D590" s="1858"/>
      <c r="E590" s="1858"/>
      <c r="F590" s="1858"/>
      <c r="G590" s="1858"/>
      <c r="H590" s="1858"/>
      <c r="I590" s="537"/>
      <c r="J590" s="538"/>
      <c r="K590" s="16"/>
      <c r="L590" s="208"/>
      <c r="M590" s="38"/>
      <c r="N590" s="536" t="s">
        <v>2318</v>
      </c>
    </row>
    <row r="591" spans="1:14" s="544" customFormat="1" ht="16.5" hidden="1" customHeight="1">
      <c r="A591" s="16"/>
      <c r="B591" s="39" t="s">
        <v>2860</v>
      </c>
      <c r="C591" s="566"/>
      <c r="D591" s="567"/>
      <c r="E591" s="568"/>
      <c r="F591" s="569"/>
      <c r="G591" s="569"/>
      <c r="H591" s="570"/>
      <c r="I591" s="571"/>
      <c r="J591" s="553"/>
      <c r="K591" s="39"/>
      <c r="L591" s="208"/>
      <c r="M591" s="39"/>
      <c r="N591" s="536" t="s">
        <v>2318</v>
      </c>
    </row>
    <row r="592" spans="1:14" s="544" customFormat="1" ht="16.5" hidden="1" customHeight="1">
      <c r="A592" s="16"/>
      <c r="B592" s="547" t="s">
        <v>1629</v>
      </c>
      <c r="C592" s="548">
        <v>10</v>
      </c>
      <c r="D592" s="549" t="s">
        <v>273</v>
      </c>
      <c r="E592" s="581">
        <v>0.5</v>
      </c>
      <c r="F592" s="551">
        <v>1.2</v>
      </c>
      <c r="G592" s="551">
        <v>0.17</v>
      </c>
      <c r="H592" s="551">
        <v>0.12</v>
      </c>
      <c r="I592" s="552">
        <f>ROUND(IF(AND(F592:H592),C592*E592*F592*G592*H592,IF(AND(F592,G592),C592*E592*F592*G592,IF(AND(F592,H592),C592*E592*F592*H592,IF(AND(G592,H592),C592*E592*G592*H592,IF(F592,C592*E592*F592,IF(G592,C592*E592*G592,IF(H592,C592*E592*H592,C592*E592))))))),2)</f>
        <v>0.12</v>
      </c>
      <c r="J592" s="553" t="s">
        <v>5</v>
      </c>
      <c r="K592" s="39"/>
      <c r="L592" s="208"/>
      <c r="M592" s="39"/>
      <c r="N592" s="536" t="s">
        <v>2318</v>
      </c>
    </row>
    <row r="593" spans="1:14" s="544" customFormat="1" ht="16.5" hidden="1" customHeight="1">
      <c r="A593" s="16"/>
      <c r="B593" s="547"/>
      <c r="C593" s="548">
        <v>1</v>
      </c>
      <c r="D593" s="549" t="s">
        <v>273</v>
      </c>
      <c r="E593" s="550">
        <v>1</v>
      </c>
      <c r="F593" s="551">
        <v>1.2</v>
      </c>
      <c r="G593" s="551">
        <v>0.45</v>
      </c>
      <c r="H593" s="551">
        <v>0.12</v>
      </c>
      <c r="I593" s="552">
        <f>ROUND(IF(AND(F593:H593),C593*E593*F593*G593*H593,IF(AND(F593,G593),C593*E593*F593*G593,IF(AND(F593,H593),C593*E593*F593*H593,IF(AND(G593,H593),C593*E593*G593*H593,IF(F593,C593*E593*F593,IF(G593,C593*E593*G593,IF(H593,C593*E593*H593,C593*E593))))))),2)</f>
        <v>0.06</v>
      </c>
      <c r="J593" s="553" t="s">
        <v>5</v>
      </c>
      <c r="K593" s="39"/>
      <c r="L593" s="208"/>
      <c r="M593" s="39"/>
      <c r="N593" s="536" t="s">
        <v>2318</v>
      </c>
    </row>
    <row r="594" spans="1:14" s="544" customFormat="1" ht="16.5" hidden="1" customHeight="1">
      <c r="A594" s="16"/>
      <c r="B594" s="547" t="s">
        <v>1630</v>
      </c>
      <c r="C594" s="548">
        <v>11</v>
      </c>
      <c r="D594" s="549" t="s">
        <v>273</v>
      </c>
      <c r="E594" s="581">
        <v>0.5</v>
      </c>
      <c r="F594" s="551">
        <v>1.2</v>
      </c>
      <c r="G594" s="551">
        <v>0.17</v>
      </c>
      <c r="H594" s="551">
        <v>0.12</v>
      </c>
      <c r="I594" s="552">
        <f>ROUND(IF(AND(F594:H594),C594*E594*F594*G594*H594,IF(AND(F594,G594),C594*E594*F594*G594,IF(AND(F594,H594),C594*E594*F594*H594,IF(AND(G594,H594),C594*E594*G594*H594,IF(F594,C594*E594*F594,IF(G594,C594*E594*G594,IF(H594,C594*E594*H594,C594*E594))))))),2)</f>
        <v>0.13</v>
      </c>
      <c r="J594" s="553" t="s">
        <v>5</v>
      </c>
      <c r="K594" s="39"/>
      <c r="L594" s="208"/>
      <c r="M594" s="39"/>
      <c r="N594" s="536" t="s">
        <v>2318</v>
      </c>
    </row>
    <row r="595" spans="1:14" s="544" customFormat="1" ht="16.5" hidden="1" customHeight="1">
      <c r="A595" s="16"/>
      <c r="B595" s="547"/>
      <c r="C595" s="548"/>
      <c r="D595" s="549"/>
      <c r="E595" s="581"/>
      <c r="F595" s="551"/>
      <c r="G595" s="551"/>
      <c r="H595" s="551"/>
      <c r="I595" s="552"/>
      <c r="J595" s="553"/>
      <c r="K595" s="39"/>
      <c r="L595" s="208"/>
      <c r="M595" s="39"/>
      <c r="N595" s="536" t="s">
        <v>2318</v>
      </c>
    </row>
    <row r="596" spans="1:14" ht="15.75" hidden="1">
      <c r="A596" s="16"/>
      <c r="B596" s="39"/>
      <c r="C596" s="554"/>
      <c r="D596" s="555"/>
      <c r="E596" s="540"/>
      <c r="F596" s="541"/>
      <c r="G596" s="40"/>
      <c r="H596" s="16"/>
      <c r="I596" s="552"/>
      <c r="J596" s="553" t="s">
        <v>5</v>
      </c>
      <c r="K596" s="10">
        <f>'data 2022-23'!F269</f>
        <v>5722.81</v>
      </c>
      <c r="L596" s="208" t="s">
        <v>274</v>
      </c>
      <c r="M596" s="9">
        <f>ROUND(I596*K596,0)</f>
        <v>0</v>
      </c>
      <c r="N596" s="536" t="s">
        <v>2318</v>
      </c>
    </row>
    <row r="597" spans="1:14" ht="106.5" hidden="1" customHeight="1">
      <c r="A597" s="16">
        <v>14</v>
      </c>
      <c r="B597" s="1858" t="s">
        <v>212</v>
      </c>
      <c r="C597" s="1858"/>
      <c r="D597" s="1858"/>
      <c r="E597" s="1858"/>
      <c r="F597" s="1858"/>
      <c r="G597" s="1858"/>
      <c r="H597" s="1858"/>
      <c r="I597" s="537"/>
      <c r="J597" s="538"/>
      <c r="K597" s="16"/>
      <c r="L597" s="208"/>
      <c r="M597" s="38"/>
      <c r="N597" s="536" t="s">
        <v>2318</v>
      </c>
    </row>
    <row r="598" spans="1:14" s="544" customFormat="1" ht="16.5" hidden="1" customHeight="1">
      <c r="A598" s="16"/>
      <c r="B598" s="39" t="s">
        <v>2850</v>
      </c>
      <c r="C598" s="566"/>
      <c r="D598" s="567"/>
      <c r="E598" s="568"/>
      <c r="F598" s="569"/>
      <c r="G598" s="569"/>
      <c r="H598" s="570"/>
      <c r="I598" s="571"/>
      <c r="J598" s="553"/>
      <c r="K598" s="39"/>
      <c r="L598" s="208"/>
      <c r="M598" s="39"/>
      <c r="N598" s="536" t="s">
        <v>2318</v>
      </c>
    </row>
    <row r="599" spans="1:14" s="544" customFormat="1" ht="16.5" hidden="1" customHeight="1">
      <c r="A599" s="16"/>
      <c r="B599" s="582" t="s">
        <v>587</v>
      </c>
      <c r="C599" s="583">
        <v>1</v>
      </c>
      <c r="D599" s="584" t="s">
        <v>273</v>
      </c>
      <c r="E599" s="585">
        <v>1</v>
      </c>
      <c r="F599" s="586">
        <v>3.35</v>
      </c>
      <c r="G599" s="586">
        <v>3.34</v>
      </c>
      <c r="H599" s="586">
        <v>0</v>
      </c>
      <c r="I599" s="552">
        <f>ROUND(IF(AND(F599:H599),C599*E599*F599*G599*H599,IF(AND(F599,G599),C599*E599*F599*G599,IF(AND(F599,H599),C599*E599*F599*H599,IF(AND(G599,H599),C599*E599*G599*H599,IF(F599,C599*E599*F599,IF(G599,C599*E599*G599,IF(H599,C599*E599*H599,C599*E599))))))),2)</f>
        <v>11.19</v>
      </c>
      <c r="J599" s="553" t="s">
        <v>102</v>
      </c>
      <c r="K599" s="39"/>
      <c r="L599" s="208"/>
      <c r="M599" s="39"/>
      <c r="N599" s="536" t="s">
        <v>2318</v>
      </c>
    </row>
    <row r="600" spans="1:14" s="544" customFormat="1" ht="16.5" hidden="1" customHeight="1">
      <c r="A600" s="16"/>
      <c r="B600" s="582" t="s">
        <v>1169</v>
      </c>
      <c r="C600" s="583">
        <v>1</v>
      </c>
      <c r="D600" s="584" t="s">
        <v>273</v>
      </c>
      <c r="E600" s="585">
        <v>1</v>
      </c>
      <c r="F600" s="586">
        <v>2.75</v>
      </c>
      <c r="G600" s="586">
        <v>3.34</v>
      </c>
      <c r="H600" s="586">
        <v>0</v>
      </c>
      <c r="I600" s="552">
        <f>ROUND(IF(AND(F600:H600),C600*E600*F600*G600*H600,IF(AND(F600,G600),C600*E600*F600*G600,IF(AND(F600,H600),C600*E600*F600*H600,IF(AND(G600,H600),C600*E600*G600*H600,IF(F600,C600*E600*F600,IF(G600,C600*E600*G600,IF(H600,C600*E600*H600,C600*E600))))))),2)</f>
        <v>9.19</v>
      </c>
      <c r="J600" s="553" t="s">
        <v>102</v>
      </c>
      <c r="K600" s="39"/>
      <c r="L600" s="208"/>
      <c r="M600" s="39"/>
      <c r="N600" s="536" t="s">
        <v>2318</v>
      </c>
    </row>
    <row r="601" spans="1:14" s="544" customFormat="1" ht="16.5" hidden="1" customHeight="1">
      <c r="A601" s="16"/>
      <c r="B601" s="582" t="s">
        <v>2208</v>
      </c>
      <c r="C601" s="583">
        <v>1</v>
      </c>
      <c r="D601" s="584" t="s">
        <v>273</v>
      </c>
      <c r="E601" s="585">
        <v>1</v>
      </c>
      <c r="F601" s="586">
        <v>2.78</v>
      </c>
      <c r="G601" s="586">
        <v>3.33</v>
      </c>
      <c r="H601" s="586">
        <v>0</v>
      </c>
      <c r="I601" s="552">
        <f>ROUND(IF(AND(F601:H601),C601*E601*F601*G601*H601,IF(AND(F601,G601),C601*E601*F601*G601,IF(AND(F601,H601),C601*E601*F601*H601,IF(AND(G601,H601),C601*E601*G601*H601,IF(F601,C601*E601*F601,IF(G601,C601*E601*G601,IF(H601,C601*E601*H601,C601*E601))))))),2)</f>
        <v>9.26</v>
      </c>
      <c r="J601" s="553" t="s">
        <v>102</v>
      </c>
      <c r="K601" s="39"/>
      <c r="L601" s="208"/>
      <c r="M601" s="39"/>
      <c r="N601" s="536" t="s">
        <v>2318</v>
      </c>
    </row>
    <row r="602" spans="1:14" s="544" customFormat="1" ht="16.5" hidden="1" customHeight="1">
      <c r="A602" s="16"/>
      <c r="B602" s="547"/>
      <c r="C602" s="548"/>
      <c r="D602" s="549"/>
      <c r="E602" s="550"/>
      <c r="F602" s="551"/>
      <c r="G602" s="551"/>
      <c r="H602" s="551"/>
      <c r="I602" s="552"/>
      <c r="J602" s="553"/>
      <c r="K602" s="39"/>
      <c r="L602" s="208"/>
      <c r="M602" s="39"/>
      <c r="N602" s="536" t="s">
        <v>2318</v>
      </c>
    </row>
    <row r="603" spans="1:14" ht="15.75" hidden="1">
      <c r="A603" s="16"/>
      <c r="B603" s="39"/>
      <c r="C603" s="554"/>
      <c r="D603" s="555"/>
      <c r="E603" s="540"/>
      <c r="F603" s="541"/>
      <c r="G603" s="40"/>
      <c r="H603" s="16"/>
      <c r="I603" s="552"/>
      <c r="J603" s="553" t="s">
        <v>102</v>
      </c>
      <c r="K603" s="10">
        <f>'data 2022-23'!F678</f>
        <v>1103.3900000000001</v>
      </c>
      <c r="L603" s="208" t="s">
        <v>2437</v>
      </c>
      <c r="M603" s="9">
        <f>ROUND(I603*K603,0)</f>
        <v>0</v>
      </c>
      <c r="N603" s="536" t="s">
        <v>2318</v>
      </c>
    </row>
    <row r="604" spans="1:14" ht="79.5" hidden="1" customHeight="1">
      <c r="A604" s="16">
        <v>15</v>
      </c>
      <c r="B604" s="1858" t="s">
        <v>213</v>
      </c>
      <c r="C604" s="1858"/>
      <c r="D604" s="1858"/>
      <c r="E604" s="1858"/>
      <c r="F604" s="1858"/>
      <c r="G604" s="1858"/>
      <c r="H604" s="1858"/>
      <c r="I604" s="537"/>
      <c r="J604" s="538"/>
      <c r="K604" s="16"/>
      <c r="L604" s="208"/>
      <c r="M604" s="38"/>
      <c r="N604" s="536" t="s">
        <v>2318</v>
      </c>
    </row>
    <row r="605" spans="1:14" s="544" customFormat="1" ht="16.5" hidden="1" customHeight="1">
      <c r="A605" s="16"/>
      <c r="B605" s="39" t="s">
        <v>2861</v>
      </c>
      <c r="C605" s="566"/>
      <c r="D605" s="567"/>
      <c r="E605" s="568"/>
      <c r="F605" s="569"/>
      <c r="G605" s="569"/>
      <c r="H605" s="570"/>
      <c r="I605" s="571"/>
      <c r="J605" s="553"/>
      <c r="K605" s="39"/>
      <c r="L605" s="208"/>
      <c r="M605" s="39"/>
      <c r="N605" s="536" t="s">
        <v>2318</v>
      </c>
    </row>
    <row r="606" spans="1:14" s="544" customFormat="1" ht="16.5" hidden="1" customHeight="1">
      <c r="A606" s="16"/>
      <c r="B606" s="582" t="s">
        <v>587</v>
      </c>
      <c r="C606" s="583">
        <v>1</v>
      </c>
      <c r="D606" s="584" t="s">
        <v>273</v>
      </c>
      <c r="E606" s="585">
        <v>1</v>
      </c>
      <c r="F606" s="586">
        <v>12.33</v>
      </c>
      <c r="G606" s="586">
        <v>0</v>
      </c>
      <c r="H606" s="586">
        <v>0.1</v>
      </c>
      <c r="I606" s="552">
        <f>ROUND(IF(AND(F606:H606),C606*E606*F606*G606*H606,IF(AND(F606,G606),C606*E606*F606*G606,IF(AND(F606,H606),C606*E606*F606*H606,IF(AND(G606,H606),C606*E606*G606*H606,IF(F606,C606*E606*F606,IF(G606,C606*E606*G606,IF(H606,C606*E606*H606,C606*E606))))))),2)</f>
        <v>1.23</v>
      </c>
      <c r="J606" s="553" t="s">
        <v>102</v>
      </c>
      <c r="K606" s="39"/>
      <c r="L606" s="208"/>
      <c r="M606" s="39"/>
      <c r="N606" s="536" t="s">
        <v>2318</v>
      </c>
    </row>
    <row r="607" spans="1:14" s="544" customFormat="1" ht="16.5" hidden="1" customHeight="1">
      <c r="A607" s="16"/>
      <c r="B607" s="582" t="s">
        <v>1169</v>
      </c>
      <c r="C607" s="583">
        <v>1</v>
      </c>
      <c r="D607" s="584" t="s">
        <v>273</v>
      </c>
      <c r="E607" s="585">
        <v>1</v>
      </c>
      <c r="F607" s="586">
        <v>11.33</v>
      </c>
      <c r="G607" s="586">
        <v>0</v>
      </c>
      <c r="H607" s="586">
        <v>0.1</v>
      </c>
      <c r="I607" s="552">
        <f>ROUND(IF(AND(F607:H607),C607*E607*F607*G607*H607,IF(AND(F607,G607),C607*E607*F607*G607,IF(AND(F607,H607),C607*E607*F607*H607,IF(AND(G607,H607),C607*E607*G607*H607,IF(F607,C607*E607*F607,IF(G607,C607*E607*G607,IF(H607,C607*E607*H607,C607*E607))))))),2)</f>
        <v>1.1299999999999999</v>
      </c>
      <c r="J607" s="553" t="s">
        <v>102</v>
      </c>
      <c r="K607" s="39"/>
      <c r="L607" s="208"/>
      <c r="M607" s="39"/>
      <c r="N607" s="536" t="s">
        <v>2318</v>
      </c>
    </row>
    <row r="608" spans="1:14" s="544" customFormat="1" ht="16.5" hidden="1" customHeight="1">
      <c r="A608" s="16"/>
      <c r="B608" s="582" t="s">
        <v>658</v>
      </c>
      <c r="C608" s="583">
        <v>1</v>
      </c>
      <c r="D608" s="584" t="s">
        <v>273</v>
      </c>
      <c r="E608" s="585">
        <v>1</v>
      </c>
      <c r="F608" s="586">
        <v>14.8</v>
      </c>
      <c r="G608" s="586">
        <v>0</v>
      </c>
      <c r="H608" s="586">
        <v>0.1</v>
      </c>
      <c r="I608" s="552">
        <f>ROUND(IF(AND(F608:H608),C608*E608*F608*G608*H608,IF(AND(F608,G608),C608*E608*F608*G608,IF(AND(F608,H608),C608*E608*F608*H608,IF(AND(G608,H608),C608*E608*G608*H608,IF(F608,C608*E608*F608,IF(G608,C608*E608*G608,IF(H608,C608*E608*H608,C608*E608))))))),2)</f>
        <v>1.48</v>
      </c>
      <c r="J608" s="553" t="s">
        <v>102</v>
      </c>
      <c r="K608" s="39"/>
      <c r="L608" s="208"/>
      <c r="M608" s="39"/>
      <c r="N608" s="536" t="s">
        <v>2318</v>
      </c>
    </row>
    <row r="609" spans="1:14" s="544" customFormat="1" ht="16.5" hidden="1" customHeight="1">
      <c r="A609" s="16"/>
      <c r="B609" s="547"/>
      <c r="C609" s="548"/>
      <c r="D609" s="549"/>
      <c r="E609" s="550"/>
      <c r="F609" s="551"/>
      <c r="G609" s="551"/>
      <c r="H609" s="551"/>
      <c r="I609" s="552"/>
      <c r="J609" s="553"/>
      <c r="K609" s="39"/>
      <c r="L609" s="208"/>
      <c r="M609" s="39"/>
      <c r="N609" s="536" t="s">
        <v>2318</v>
      </c>
    </row>
    <row r="610" spans="1:14" ht="15.75" hidden="1">
      <c r="A610" s="16"/>
      <c r="B610" s="39"/>
      <c r="C610" s="554"/>
      <c r="D610" s="555"/>
      <c r="E610" s="540"/>
      <c r="F610" s="541"/>
      <c r="G610" s="40"/>
      <c r="H610" s="16"/>
      <c r="I610" s="552"/>
      <c r="J610" s="553" t="s">
        <v>102</v>
      </c>
      <c r="K610" s="10">
        <f>'data 2022-23'!F696</f>
        <v>1098.05</v>
      </c>
      <c r="L610" s="208" t="s">
        <v>2437</v>
      </c>
      <c r="M610" s="9">
        <f>ROUND(I610*K610,0)</f>
        <v>0</v>
      </c>
      <c r="N610" s="536" t="s">
        <v>2318</v>
      </c>
    </row>
    <row r="611" spans="1:14" ht="108" hidden="1" customHeight="1">
      <c r="A611" s="16">
        <v>16</v>
      </c>
      <c r="B611" s="1858" t="s">
        <v>665</v>
      </c>
      <c r="C611" s="1858"/>
      <c r="D611" s="1858"/>
      <c r="E611" s="1858"/>
      <c r="F611" s="1858"/>
      <c r="G611" s="1858"/>
      <c r="H611" s="1858"/>
      <c r="I611" s="537"/>
      <c r="J611" s="538"/>
      <c r="K611" s="16"/>
      <c r="L611" s="208"/>
      <c r="M611" s="38"/>
      <c r="N611" s="536" t="s">
        <v>2318</v>
      </c>
    </row>
    <row r="612" spans="1:14" s="544" customFormat="1" ht="16.5" hidden="1" customHeight="1">
      <c r="A612" s="16"/>
      <c r="B612" s="39" t="s">
        <v>2862</v>
      </c>
      <c r="C612" s="566"/>
      <c r="D612" s="567"/>
      <c r="E612" s="568"/>
      <c r="F612" s="569"/>
      <c r="G612" s="569"/>
      <c r="H612" s="570"/>
      <c r="I612" s="571"/>
      <c r="J612" s="553"/>
      <c r="K612" s="39"/>
      <c r="L612" s="208"/>
      <c r="M612" s="39"/>
      <c r="N612" s="536" t="s">
        <v>2318</v>
      </c>
    </row>
    <row r="613" spans="1:14" s="544" customFormat="1" ht="16.5" hidden="1" customHeight="1">
      <c r="A613" s="16"/>
      <c r="B613" s="582" t="s">
        <v>2169</v>
      </c>
      <c r="C613" s="583">
        <v>1</v>
      </c>
      <c r="D613" s="584" t="s">
        <v>273</v>
      </c>
      <c r="E613" s="585">
        <v>11</v>
      </c>
      <c r="F613" s="586">
        <v>1.35</v>
      </c>
      <c r="G613" s="586">
        <v>0.3</v>
      </c>
      <c r="H613" s="586">
        <v>0</v>
      </c>
      <c r="I613" s="552">
        <f>ROUND(IF(AND(F613:H613),C613*E613*F613*G613*H613,IF(AND(F613,G613),C613*E613*F613*G613,IF(AND(F613,H613),C613*E613*F613*H613,IF(AND(G613,H613),C613*E613*G613*H613,IF(F613,C613*E613*F613,IF(G613,C613*E613*G613,IF(H613,C613*E613*H613,C613*E613))))))),2)</f>
        <v>4.46</v>
      </c>
      <c r="J613" s="553" t="s">
        <v>102</v>
      </c>
      <c r="K613" s="39"/>
      <c r="L613" s="208"/>
      <c r="M613" s="39"/>
      <c r="N613" s="536" t="s">
        <v>2318</v>
      </c>
    </row>
    <row r="614" spans="1:14" s="544" customFormat="1" ht="16.5" hidden="1" customHeight="1">
      <c r="A614" s="16"/>
      <c r="B614" s="582"/>
      <c r="C614" s="583">
        <v>1</v>
      </c>
      <c r="D614" s="584" t="s">
        <v>273</v>
      </c>
      <c r="E614" s="585">
        <v>1</v>
      </c>
      <c r="F614" s="586">
        <v>1.3</v>
      </c>
      <c r="G614" s="586">
        <v>0.3</v>
      </c>
      <c r="H614" s="586">
        <v>0</v>
      </c>
      <c r="I614" s="552">
        <f>ROUND(IF(AND(F614:H614),C614*E614*F614*G614*H614,IF(AND(F614,G614),C614*E614*F614*G614,IF(AND(F614,H614),C614*E614*F614*H614,IF(AND(G614,H614),C614*E614*G614*H614,IF(F614,C614*E614*F614,IF(G614,C614*E614*G614,IF(H614,C614*E614*H614,C614*E614))))))),2)</f>
        <v>0.39</v>
      </c>
      <c r="J614" s="553" t="s">
        <v>102</v>
      </c>
      <c r="K614" s="39"/>
      <c r="L614" s="208"/>
      <c r="M614" s="39"/>
      <c r="N614" s="536" t="s">
        <v>2318</v>
      </c>
    </row>
    <row r="615" spans="1:14" s="544" customFormat="1" ht="16.5" hidden="1" customHeight="1">
      <c r="A615" s="16"/>
      <c r="B615" s="582" t="s">
        <v>2170</v>
      </c>
      <c r="C615" s="583">
        <v>1</v>
      </c>
      <c r="D615" s="584" t="s">
        <v>273</v>
      </c>
      <c r="E615" s="585">
        <v>11</v>
      </c>
      <c r="F615" s="586">
        <v>1.32</v>
      </c>
      <c r="G615" s="586">
        <v>0.3</v>
      </c>
      <c r="H615" s="586">
        <v>0</v>
      </c>
      <c r="I615" s="552">
        <f>ROUND(IF(AND(F615:H615),C615*E615*F615*G615*H615,IF(AND(F615,G615),C615*E615*F615*G615,IF(AND(F615,H615),C615*E615*F615*H615,IF(AND(G615,H615),C615*E615*G615*H615,IF(F615,C615*E615*F615,IF(G615,C615*E615*G615,IF(H615,C615*E615*H615,C615*E615))))))),2)</f>
        <v>4.3600000000000003</v>
      </c>
      <c r="J615" s="553" t="s">
        <v>102</v>
      </c>
      <c r="K615" s="39"/>
      <c r="L615" s="208"/>
      <c r="M615" s="39"/>
      <c r="N615" s="536" t="s">
        <v>2318</v>
      </c>
    </row>
    <row r="616" spans="1:14" s="544" customFormat="1" ht="16.5" hidden="1" customHeight="1">
      <c r="A616" s="16"/>
      <c r="B616" s="582"/>
      <c r="C616" s="583"/>
      <c r="D616" s="584"/>
      <c r="E616" s="585"/>
      <c r="F616" s="586"/>
      <c r="G616" s="586"/>
      <c r="H616" s="586"/>
      <c r="I616" s="552"/>
      <c r="J616" s="553"/>
      <c r="K616" s="39"/>
      <c r="L616" s="208"/>
      <c r="M616" s="39"/>
      <c r="N616" s="536" t="s">
        <v>2318</v>
      </c>
    </row>
    <row r="617" spans="1:14" ht="15.75" hidden="1">
      <c r="A617" s="16"/>
      <c r="B617" s="39"/>
      <c r="C617" s="554"/>
      <c r="D617" s="555"/>
      <c r="E617" s="540"/>
      <c r="F617" s="541"/>
      <c r="G617" s="40"/>
      <c r="H617" s="16"/>
      <c r="I617" s="552"/>
      <c r="J617" s="553" t="s">
        <v>102</v>
      </c>
      <c r="K617" s="10">
        <f>'data 2022-23'!F600</f>
        <v>3181.62</v>
      </c>
      <c r="L617" s="208" t="s">
        <v>2437</v>
      </c>
      <c r="M617" s="9">
        <f>ROUND(I617*K617,0)</f>
        <v>0</v>
      </c>
      <c r="N617" s="536" t="s">
        <v>2318</v>
      </c>
    </row>
    <row r="618" spans="1:14" ht="93.75" hidden="1" customHeight="1">
      <c r="A618" s="16">
        <v>17</v>
      </c>
      <c r="B618" s="1858" t="s">
        <v>671</v>
      </c>
      <c r="C618" s="1858"/>
      <c r="D618" s="1858"/>
      <c r="E618" s="1858"/>
      <c r="F618" s="1858"/>
      <c r="G618" s="1858"/>
      <c r="H618" s="1858"/>
      <c r="I618" s="537"/>
      <c r="J618" s="538"/>
      <c r="K618" s="16"/>
      <c r="L618" s="208"/>
      <c r="M618" s="38"/>
      <c r="N618" s="536" t="s">
        <v>2318</v>
      </c>
    </row>
    <row r="619" spans="1:14" s="544" customFormat="1" ht="16.5" hidden="1" customHeight="1">
      <c r="A619" s="16"/>
      <c r="B619" s="39" t="s">
        <v>2863</v>
      </c>
      <c r="C619" s="566"/>
      <c r="D619" s="567"/>
      <c r="E619" s="568"/>
      <c r="F619" s="569"/>
      <c r="G619" s="569"/>
      <c r="H619" s="570"/>
      <c r="I619" s="571"/>
      <c r="J619" s="553"/>
      <c r="K619" s="39"/>
      <c r="L619" s="16"/>
      <c r="M619" s="39"/>
      <c r="N619" s="536" t="s">
        <v>2318</v>
      </c>
    </row>
    <row r="620" spans="1:14" s="544" customFormat="1" ht="16.5" hidden="1" customHeight="1">
      <c r="A620" s="16"/>
      <c r="B620" s="547" t="s">
        <v>2171</v>
      </c>
      <c r="C620" s="548">
        <v>1</v>
      </c>
      <c r="D620" s="549" t="s">
        <v>273</v>
      </c>
      <c r="E620" s="550">
        <v>11</v>
      </c>
      <c r="F620" s="551">
        <v>1.35</v>
      </c>
      <c r="G620" s="551">
        <v>0.15</v>
      </c>
      <c r="H620" s="551">
        <v>0</v>
      </c>
      <c r="I620" s="552">
        <f>ROUND(IF(AND(F620:H620),C620*E620*F620*G620*H620,IF(AND(F620,G620),C620*E620*F620*G620,IF(AND(F620,H620),C620*E620*F620*H620,IF(AND(G620,H620),C620*E620*G620*H620,IF(F620,C620*E620*F620,IF(G620,C620*E620*G620,IF(H620,C620*E620*H620,C620*E620))))))),2)</f>
        <v>2.23</v>
      </c>
      <c r="J620" s="553" t="s">
        <v>102</v>
      </c>
      <c r="K620" s="39"/>
      <c r="L620" s="16"/>
      <c r="M620" s="39"/>
      <c r="N620" s="536" t="s">
        <v>2318</v>
      </c>
    </row>
    <row r="621" spans="1:14" s="544" customFormat="1" ht="16.5" hidden="1" customHeight="1">
      <c r="A621" s="16"/>
      <c r="B621" s="547"/>
      <c r="C621" s="548">
        <v>1</v>
      </c>
      <c r="D621" s="549" t="s">
        <v>273</v>
      </c>
      <c r="E621" s="550">
        <v>11</v>
      </c>
      <c r="F621" s="551">
        <v>1.32</v>
      </c>
      <c r="G621" s="551">
        <v>0.15</v>
      </c>
      <c r="H621" s="551">
        <v>0</v>
      </c>
      <c r="I621" s="552">
        <f>ROUND(IF(AND(F621:H621),C621*E621*F621*G621*H621,IF(AND(F621,G621),C621*E621*F621*G621,IF(AND(F621,H621),C621*E621*F621*H621,IF(AND(G621,H621),C621*E621*G621*H621,IF(F621,C621*E621*F621,IF(G621,C621*E621*G621,IF(H621,C621*E621*H621,C621*E621))))))),2)</f>
        <v>2.1800000000000002</v>
      </c>
      <c r="J621" s="553" t="s">
        <v>102</v>
      </c>
      <c r="K621" s="39"/>
      <c r="L621" s="16"/>
      <c r="M621" s="39"/>
      <c r="N621" s="536" t="s">
        <v>2318</v>
      </c>
    </row>
    <row r="622" spans="1:14" s="544" customFormat="1" ht="16.5" hidden="1" customHeight="1">
      <c r="A622" s="16"/>
      <c r="B622" s="547" t="s">
        <v>800</v>
      </c>
      <c r="C622" s="548">
        <v>1</v>
      </c>
      <c r="D622" s="549" t="s">
        <v>273</v>
      </c>
      <c r="E622" s="550">
        <v>11</v>
      </c>
      <c r="F622" s="551">
        <v>0.4</v>
      </c>
      <c r="G622" s="551">
        <v>0</v>
      </c>
      <c r="H622" s="551">
        <v>0.14000000000000001</v>
      </c>
      <c r="I622" s="552">
        <f>ROUND(IF(AND(F622:H622),C622*E622*F622*G622*H622,IF(AND(F622,G622),C622*E622*F622*G622,IF(AND(F622,H622),C622*E622*F622*H622,IF(AND(G622,H622),C622*E622*G622*H622,IF(F622,C622*E622*F622,IF(G622,C622*E622*G622,IF(H622,C622*E622*H622,C622*E622))))))),2)</f>
        <v>0.62</v>
      </c>
      <c r="J622" s="553" t="s">
        <v>102</v>
      </c>
      <c r="K622" s="39"/>
      <c r="L622" s="16"/>
      <c r="M622" s="39"/>
      <c r="N622" s="536" t="s">
        <v>2318</v>
      </c>
    </row>
    <row r="623" spans="1:14" s="544" customFormat="1" ht="16.5" hidden="1" customHeight="1">
      <c r="A623" s="16"/>
      <c r="B623" s="547"/>
      <c r="C623" s="548"/>
      <c r="D623" s="549"/>
      <c r="E623" s="550"/>
      <c r="F623" s="551"/>
      <c r="G623" s="551"/>
      <c r="H623" s="551"/>
      <c r="I623" s="552"/>
      <c r="J623" s="553"/>
      <c r="K623" s="39"/>
      <c r="L623" s="208"/>
      <c r="M623" s="39"/>
      <c r="N623" s="536" t="s">
        <v>2318</v>
      </c>
    </row>
    <row r="624" spans="1:14" ht="15.75" hidden="1">
      <c r="A624" s="16"/>
      <c r="B624" s="39"/>
      <c r="C624" s="554"/>
      <c r="D624" s="555"/>
      <c r="E624" s="540"/>
      <c r="F624" s="541"/>
      <c r="G624" s="40"/>
      <c r="H624" s="16"/>
      <c r="I624" s="552"/>
      <c r="J624" s="553" t="s">
        <v>102</v>
      </c>
      <c r="K624" s="10">
        <f>'data 2022-23'!F619</f>
        <v>2950.54</v>
      </c>
      <c r="L624" s="208" t="s">
        <v>2437</v>
      </c>
      <c r="M624" s="9">
        <f>ROUND(I624*K624,0)</f>
        <v>0</v>
      </c>
      <c r="N624" s="536" t="s">
        <v>2318</v>
      </c>
    </row>
    <row r="625" spans="1:14" ht="90" hidden="1" customHeight="1">
      <c r="A625" s="16">
        <v>26</v>
      </c>
      <c r="B625" s="1858" t="s">
        <v>672</v>
      </c>
      <c r="C625" s="1858"/>
      <c r="D625" s="1858"/>
      <c r="E625" s="1858"/>
      <c r="F625" s="1858"/>
      <c r="G625" s="1858"/>
      <c r="H625" s="1858"/>
      <c r="I625" s="537"/>
      <c r="J625" s="538"/>
      <c r="K625" s="16"/>
      <c r="L625" s="208"/>
      <c r="M625" s="38"/>
      <c r="N625" s="536" t="s">
        <v>2318</v>
      </c>
    </row>
    <row r="626" spans="1:14" s="544" customFormat="1" ht="16.5" hidden="1" customHeight="1">
      <c r="A626" s="16"/>
      <c r="B626" s="39" t="s">
        <v>2827</v>
      </c>
      <c r="C626" s="566"/>
      <c r="D626" s="567"/>
      <c r="E626" s="568"/>
      <c r="F626" s="569"/>
      <c r="G626" s="569"/>
      <c r="H626" s="570"/>
      <c r="I626" s="571"/>
      <c r="J626" s="553"/>
      <c r="K626" s="39"/>
      <c r="L626" s="208"/>
      <c r="M626" s="39"/>
      <c r="N626" s="536" t="s">
        <v>2318</v>
      </c>
    </row>
    <row r="627" spans="1:14" s="544" customFormat="1" ht="16.5" hidden="1" customHeight="1">
      <c r="A627" s="16"/>
      <c r="B627" s="547" t="s">
        <v>578</v>
      </c>
      <c r="C627" s="548">
        <v>1</v>
      </c>
      <c r="D627" s="549" t="s">
        <v>273</v>
      </c>
      <c r="E627" s="550">
        <v>1</v>
      </c>
      <c r="F627" s="551">
        <v>9.8699999999999992</v>
      </c>
      <c r="G627" s="551">
        <v>1.83</v>
      </c>
      <c r="H627" s="551">
        <v>0</v>
      </c>
      <c r="I627" s="552">
        <f>ROUND(IF(AND(F627:H627),C627*E627*F627*G627*H627,IF(AND(F627,G627),C627*E627*F627*G627,IF(AND(F627,H627),C627*E627*F627*H627,IF(AND(G627,H627),C627*E627*G627*H627,IF(F627,C627*E627*F627,IF(G627,C627*E627*G627,IF(H627,C627*E627*H627,C627*E627))))))),2)</f>
        <v>18.059999999999999</v>
      </c>
      <c r="J627" s="553" t="s">
        <v>102</v>
      </c>
      <c r="K627" s="39"/>
      <c r="L627" s="208"/>
      <c r="M627" s="39"/>
      <c r="N627" s="536" t="s">
        <v>2318</v>
      </c>
    </row>
    <row r="628" spans="1:14" s="544" customFormat="1" ht="16.5" hidden="1" customHeight="1">
      <c r="A628" s="16"/>
      <c r="B628" s="547" t="s">
        <v>654</v>
      </c>
      <c r="C628" s="548">
        <v>1</v>
      </c>
      <c r="D628" s="549" t="s">
        <v>273</v>
      </c>
      <c r="E628" s="550">
        <v>1</v>
      </c>
      <c r="F628" s="551">
        <v>2.83</v>
      </c>
      <c r="G628" s="551">
        <v>1.55</v>
      </c>
      <c r="H628" s="551">
        <v>0</v>
      </c>
      <c r="I628" s="552">
        <f>ROUND(IF(AND(F628:H628),C628*E628*F628*G628*H628,IF(AND(F628,G628),C628*E628*F628*G628,IF(AND(F628,H628),C628*E628*F628*H628,IF(AND(G628,H628),C628*E628*G628*H628,IF(F628,C628*E628*F628,IF(G628,C628*E628*G628,IF(H628,C628*E628*H628,C628*E628))))))),2)</f>
        <v>4.3899999999999997</v>
      </c>
      <c r="J628" s="553" t="s">
        <v>102</v>
      </c>
      <c r="K628" s="39"/>
      <c r="L628" s="208"/>
      <c r="M628" s="39"/>
      <c r="N628" s="536" t="s">
        <v>2318</v>
      </c>
    </row>
    <row r="629" spans="1:14" s="544" customFormat="1" ht="16.5" hidden="1" customHeight="1">
      <c r="A629" s="16"/>
      <c r="B629" s="547"/>
      <c r="C629" s="548">
        <v>1</v>
      </c>
      <c r="D629" s="549" t="s">
        <v>273</v>
      </c>
      <c r="E629" s="550">
        <v>1</v>
      </c>
      <c r="F629" s="551">
        <v>2.65</v>
      </c>
      <c r="G629" s="551">
        <v>0.53</v>
      </c>
      <c r="H629" s="551">
        <v>0</v>
      </c>
      <c r="I629" s="552">
        <f>ROUND(IF(AND(F629:H629),C629*E629*F629*G629*H629,IF(AND(F629,G629),C629*E629*F629*G629,IF(AND(F629,H629),C629*E629*F629*H629,IF(AND(G629,H629),C629*E629*G629*H629,IF(F629,C629*E629*F629,IF(G629,C629*E629*G629,IF(H629,C629*E629*H629,C629*E629))))))),2)</f>
        <v>1.4</v>
      </c>
      <c r="J629" s="553" t="s">
        <v>102</v>
      </c>
      <c r="K629" s="39"/>
      <c r="L629" s="208"/>
      <c r="M629" s="39"/>
      <c r="N629" s="536" t="s">
        <v>2318</v>
      </c>
    </row>
    <row r="630" spans="1:14" s="544" customFormat="1" ht="16.5" hidden="1" customHeight="1">
      <c r="A630" s="16"/>
      <c r="B630" s="547" t="s">
        <v>1251</v>
      </c>
      <c r="C630" s="548">
        <v>1</v>
      </c>
      <c r="D630" s="549" t="s">
        <v>273</v>
      </c>
      <c r="E630" s="550">
        <v>21</v>
      </c>
      <c r="F630" s="551">
        <v>1.28</v>
      </c>
      <c r="G630" s="551">
        <v>0.3</v>
      </c>
      <c r="H630" s="551">
        <v>0</v>
      </c>
      <c r="I630" s="552">
        <f>ROUND(IF(AND(F630:H630),C630*E630*F630*G630*H630,IF(AND(F630,G630),C630*E630*F630*G630,IF(AND(F630,H630),C630*E630*F630*H630,IF(AND(G630,H630),C630*E630*G630*H630,IF(F630,C630*E630*F630,IF(G630,C630*E630*G630,IF(H630,C630*E630*H630,C630*E630))))))),2)</f>
        <v>8.06</v>
      </c>
      <c r="J630" s="553" t="s">
        <v>102</v>
      </c>
      <c r="K630" s="39"/>
      <c r="L630" s="208"/>
      <c r="M630" s="39"/>
      <c r="N630" s="536" t="s">
        <v>2318</v>
      </c>
    </row>
    <row r="631" spans="1:14" s="544" customFormat="1" ht="16.5" hidden="1" customHeight="1">
      <c r="A631" s="16"/>
      <c r="B631" s="547"/>
      <c r="C631" s="548"/>
      <c r="D631" s="549"/>
      <c r="E631" s="550"/>
      <c r="F631" s="551"/>
      <c r="G631" s="551"/>
      <c r="H631" s="551"/>
      <c r="I631" s="552"/>
      <c r="J631" s="553"/>
      <c r="K631" s="39"/>
      <c r="L631" s="208"/>
      <c r="M631" s="39"/>
      <c r="N631" s="536" t="s">
        <v>2318</v>
      </c>
    </row>
    <row r="632" spans="1:14" ht="15.75" hidden="1">
      <c r="A632" s="16"/>
      <c r="B632" s="39"/>
      <c r="C632" s="554"/>
      <c r="D632" s="555"/>
      <c r="E632" s="540"/>
      <c r="F632" s="541"/>
      <c r="G632" s="40"/>
      <c r="H632" s="16"/>
      <c r="I632" s="552"/>
      <c r="J632" s="553" t="s">
        <v>102</v>
      </c>
      <c r="K632" s="10">
        <f>'data 2022-23'!F640</f>
        <v>780.73</v>
      </c>
      <c r="L632" s="208" t="s">
        <v>2437</v>
      </c>
      <c r="M632" s="9">
        <f>ROUND(I632*K632,0)</f>
        <v>0</v>
      </c>
      <c r="N632" s="536" t="s">
        <v>2318</v>
      </c>
    </row>
    <row r="633" spans="1:14" ht="96" hidden="1" customHeight="1">
      <c r="A633" s="16">
        <v>27</v>
      </c>
      <c r="B633" s="1858" t="s">
        <v>678</v>
      </c>
      <c r="C633" s="1858"/>
      <c r="D633" s="1858"/>
      <c r="E633" s="1858"/>
      <c r="F633" s="1858"/>
      <c r="G633" s="1858"/>
      <c r="H633" s="1858"/>
      <c r="I633" s="537"/>
      <c r="J633" s="538"/>
      <c r="K633" s="16"/>
      <c r="L633" s="208"/>
      <c r="M633" s="38"/>
      <c r="N633" s="536" t="s">
        <v>2318</v>
      </c>
    </row>
    <row r="634" spans="1:14" s="544" customFormat="1" ht="16.5" hidden="1" customHeight="1">
      <c r="A634" s="16"/>
      <c r="B634" s="39" t="s">
        <v>2864</v>
      </c>
      <c r="C634" s="566"/>
      <c r="D634" s="567"/>
      <c r="E634" s="568"/>
      <c r="F634" s="569"/>
      <c r="G634" s="569"/>
      <c r="H634" s="570"/>
      <c r="I634" s="571"/>
      <c r="J634" s="553"/>
      <c r="K634" s="39"/>
      <c r="L634" s="208"/>
      <c r="M634" s="39"/>
      <c r="N634" s="536" t="s">
        <v>2318</v>
      </c>
    </row>
    <row r="635" spans="1:14" s="544" customFormat="1" ht="16.5" hidden="1" customHeight="1">
      <c r="A635" s="16"/>
      <c r="B635" s="547" t="s">
        <v>1249</v>
      </c>
      <c r="C635" s="548">
        <v>1</v>
      </c>
      <c r="D635" s="549" t="s">
        <v>273</v>
      </c>
      <c r="E635" s="550">
        <v>2</v>
      </c>
      <c r="F635" s="551">
        <v>5.25</v>
      </c>
      <c r="G635" s="551">
        <v>0</v>
      </c>
      <c r="H635" s="551">
        <v>0.1</v>
      </c>
      <c r="I635" s="552">
        <f>ROUND(IF(AND(F635:H635),C635*E635*F635*G635*H635,IF(AND(F635,G635),C635*E635*F635*G635,IF(AND(F635,H635),C635*E635*F635*H635,IF(AND(G635,H635),C635*E635*G635*H635,IF(F635,C635*E635*F635,IF(G635,C635*E635*G635,IF(H635,C635*E635*H635,C635*E635))))))),2)</f>
        <v>1.05</v>
      </c>
      <c r="J635" s="553" t="s">
        <v>102</v>
      </c>
      <c r="K635" s="39"/>
      <c r="L635" s="208"/>
      <c r="M635" s="39"/>
      <c r="N635" s="536" t="s">
        <v>2318</v>
      </c>
    </row>
    <row r="636" spans="1:14" s="544" customFormat="1" ht="16.5" hidden="1" customHeight="1">
      <c r="A636" s="16"/>
      <c r="B636" s="547" t="s">
        <v>578</v>
      </c>
      <c r="C636" s="548">
        <v>1</v>
      </c>
      <c r="D636" s="549" t="s">
        <v>273</v>
      </c>
      <c r="E636" s="550">
        <v>1</v>
      </c>
      <c r="F636" s="551">
        <v>9.8699999999999992</v>
      </c>
      <c r="G636" s="551">
        <v>0</v>
      </c>
      <c r="H636" s="551">
        <v>0.1</v>
      </c>
      <c r="I636" s="552">
        <f>ROUND(IF(AND(F636:H636),C636*E636*F636*G636*H636,IF(AND(F636,G636),C636*E636*F636*G636,IF(AND(F636,H636),C636*E636*F636*H636,IF(AND(G636,H636),C636*E636*G636*H636,IF(F636,C636*E636*F636,IF(G636,C636*E636*G636,IF(H636,C636*E636*H636,C636*E636))))))),2)</f>
        <v>0.99</v>
      </c>
      <c r="J636" s="553" t="s">
        <v>102</v>
      </c>
      <c r="K636" s="39"/>
      <c r="L636" s="208"/>
      <c r="M636" s="39"/>
      <c r="N636" s="536" t="s">
        <v>2318</v>
      </c>
    </row>
    <row r="637" spans="1:14" s="544" customFormat="1" ht="16.5" hidden="1" customHeight="1">
      <c r="A637" s="16"/>
      <c r="B637" s="547" t="s">
        <v>1252</v>
      </c>
      <c r="C637" s="548">
        <v>1</v>
      </c>
      <c r="D637" s="549" t="s">
        <v>273</v>
      </c>
      <c r="E637" s="550">
        <v>5</v>
      </c>
      <c r="F637" s="551">
        <v>2.72</v>
      </c>
      <c r="G637" s="551">
        <v>0</v>
      </c>
      <c r="H637" s="551">
        <v>0.17</v>
      </c>
      <c r="I637" s="552">
        <f>ROUND(IF(AND(F637:H637),C637*E637*F637*G637*H637,IF(AND(F637,G637),C637*E637*F637*G637,IF(AND(F637,H637),C637*E637*F637*H637,IF(AND(G637,H637),C637*E637*G637*H637,IF(F637,C637*E637*F637,IF(G637,C637*E637*G637,IF(H637,C637*E637*H637,C637*E637))))))),2)</f>
        <v>2.31</v>
      </c>
      <c r="J637" s="553" t="s">
        <v>102</v>
      </c>
      <c r="K637" s="39"/>
      <c r="L637" s="208"/>
      <c r="M637" s="39"/>
      <c r="N637" s="536" t="s">
        <v>2318</v>
      </c>
    </row>
    <row r="638" spans="1:14" s="544" customFormat="1" ht="16.5" hidden="1" customHeight="1">
      <c r="A638" s="16"/>
      <c r="B638" s="547"/>
      <c r="C638" s="548"/>
      <c r="D638" s="549"/>
      <c r="E638" s="550"/>
      <c r="F638" s="551"/>
      <c r="G638" s="551"/>
      <c r="H638" s="551"/>
      <c r="I638" s="552"/>
      <c r="J638" s="553"/>
      <c r="K638" s="39"/>
      <c r="L638" s="208"/>
      <c r="M638" s="39"/>
      <c r="N638" s="536" t="s">
        <v>2318</v>
      </c>
    </row>
    <row r="639" spans="1:14" ht="15.75" hidden="1">
      <c r="A639" s="16"/>
      <c r="B639" s="39"/>
      <c r="C639" s="554"/>
      <c r="D639" s="555"/>
      <c r="E639" s="540"/>
      <c r="F639" s="541"/>
      <c r="G639" s="40"/>
      <c r="H639" s="16"/>
      <c r="I639" s="552"/>
      <c r="J639" s="553" t="s">
        <v>102</v>
      </c>
      <c r="K639" s="10">
        <f>'data 2022-23'!F658</f>
        <v>786.2</v>
      </c>
      <c r="L639" s="208" t="s">
        <v>2437</v>
      </c>
      <c r="M639" s="9">
        <f>ROUND(I639*K639,0)</f>
        <v>0</v>
      </c>
      <c r="N639" s="536" t="s">
        <v>2318</v>
      </c>
    </row>
    <row r="640" spans="1:14" ht="94.5" hidden="1" customHeight="1">
      <c r="A640" s="16">
        <v>17</v>
      </c>
      <c r="B640" s="1858" t="s">
        <v>211</v>
      </c>
      <c r="C640" s="1858"/>
      <c r="D640" s="1858"/>
      <c r="E640" s="1858"/>
      <c r="F640" s="1858"/>
      <c r="G640" s="1858"/>
      <c r="H640" s="1858"/>
      <c r="I640" s="537"/>
      <c r="J640" s="538"/>
      <c r="K640" s="16"/>
      <c r="L640" s="208"/>
      <c r="M640" s="38"/>
      <c r="N640" s="536" t="s">
        <v>2318</v>
      </c>
    </row>
    <row r="641" spans="1:14" s="544" customFormat="1" ht="16.5" hidden="1" customHeight="1">
      <c r="A641" s="16"/>
      <c r="B641" s="39" t="s">
        <v>2834</v>
      </c>
      <c r="C641" s="566"/>
      <c r="D641" s="567"/>
      <c r="E641" s="568"/>
      <c r="F641" s="569"/>
      <c r="G641" s="569"/>
      <c r="H641" s="570"/>
      <c r="I641" s="571"/>
      <c r="J641" s="553"/>
      <c r="K641" s="39"/>
      <c r="L641" s="208"/>
      <c r="M641" s="39"/>
      <c r="N641" s="536" t="s">
        <v>2318</v>
      </c>
    </row>
    <row r="642" spans="1:14" s="544" customFormat="1" ht="16.5" hidden="1" customHeight="1">
      <c r="A642" s="16"/>
      <c r="B642" s="582" t="s">
        <v>654</v>
      </c>
      <c r="C642" s="583">
        <v>1</v>
      </c>
      <c r="D642" s="584" t="s">
        <v>273</v>
      </c>
      <c r="E642" s="585">
        <v>1</v>
      </c>
      <c r="F642" s="586">
        <v>4.1500000000000004</v>
      </c>
      <c r="G642" s="586">
        <v>2.4</v>
      </c>
      <c r="H642" s="586">
        <v>0</v>
      </c>
      <c r="I642" s="552">
        <f>ROUND(IF(AND(F642:H642),C642*E642*F642*G642*H642,IF(AND(F642,G642),C642*E642*F642*G642,IF(AND(F642,H642),C642*E642*F642*H642,IF(AND(G642,H642),C642*E642*G642*H642,IF(F642,C642*E642*F642,IF(G642,C642*E642*G642,IF(H642,C642*E642*H642,C642*E642))))))),2)</f>
        <v>9.9600000000000009</v>
      </c>
      <c r="J642" s="553" t="s">
        <v>102</v>
      </c>
      <c r="K642" s="39"/>
      <c r="L642" s="208"/>
      <c r="M642" s="39"/>
      <c r="N642" s="536" t="s">
        <v>2318</v>
      </c>
    </row>
    <row r="643" spans="1:14" s="544" customFormat="1" ht="16.5" hidden="1" customHeight="1">
      <c r="A643" s="16"/>
      <c r="B643" s="582" t="s">
        <v>578</v>
      </c>
      <c r="C643" s="583">
        <v>1</v>
      </c>
      <c r="D643" s="584" t="s">
        <v>273</v>
      </c>
      <c r="E643" s="585">
        <v>1</v>
      </c>
      <c r="F643" s="586">
        <v>5.7</v>
      </c>
      <c r="G643" s="586">
        <v>2.4</v>
      </c>
      <c r="H643" s="586">
        <v>0</v>
      </c>
      <c r="I643" s="552">
        <f>ROUND(IF(AND(F643:H643),C643*E643*F643*G643*H643,IF(AND(F643,G643),C643*E643*F643*G643,IF(AND(F643,H643),C643*E643*F643*H643,IF(AND(G643,H643),C643*E643*G643*H643,IF(F643,C643*E643*F643,IF(G643,C643*E643*G643,IF(H643,C643*E643*H643,C643*E643))))))),2)</f>
        <v>13.68</v>
      </c>
      <c r="J643" s="553" t="s">
        <v>102</v>
      </c>
      <c r="K643" s="39"/>
      <c r="L643" s="208"/>
      <c r="M643" s="39"/>
      <c r="N643" s="536" t="s">
        <v>2318</v>
      </c>
    </row>
    <row r="644" spans="1:14" s="544" customFormat="1" ht="16.5" hidden="1" customHeight="1">
      <c r="A644" s="16"/>
      <c r="B644" s="582" t="s">
        <v>1547</v>
      </c>
      <c r="C644" s="583">
        <v>1</v>
      </c>
      <c r="D644" s="584" t="s">
        <v>273</v>
      </c>
      <c r="E644" s="585">
        <v>1</v>
      </c>
      <c r="F644" s="586">
        <v>0.7</v>
      </c>
      <c r="G644" s="586">
        <v>9.4</v>
      </c>
      <c r="H644" s="586">
        <v>0</v>
      </c>
      <c r="I644" s="552">
        <f>ROUND(IF(AND(F644:H644),C644*E644*F644*G644*H644,IF(AND(F644,G644),C644*E644*F644*G644,IF(AND(F644,H644),C644*E644*F644*H644,IF(AND(G644,H644),C644*E644*G644*H644,IF(F644,C644*E644*F644,IF(G644,C644*E644*G644,IF(H644,C644*E644*H644,C644*E644))))))),2)</f>
        <v>6.58</v>
      </c>
      <c r="J644" s="553" t="s">
        <v>102</v>
      </c>
      <c r="K644" s="39"/>
      <c r="L644" s="208"/>
      <c r="M644" s="39"/>
      <c r="N644" s="536" t="s">
        <v>2318</v>
      </c>
    </row>
    <row r="645" spans="1:14" s="544" customFormat="1" ht="16.5" hidden="1" customHeight="1">
      <c r="A645" s="16"/>
      <c r="B645" s="547"/>
      <c r="C645" s="548"/>
      <c r="D645" s="549"/>
      <c r="E645" s="550"/>
      <c r="F645" s="551"/>
      <c r="G645" s="551"/>
      <c r="H645" s="551"/>
      <c r="I645" s="552"/>
      <c r="J645" s="553"/>
      <c r="K645" s="39"/>
      <c r="L645" s="208"/>
      <c r="M645" s="39"/>
      <c r="N645" s="536" t="s">
        <v>2318</v>
      </c>
    </row>
    <row r="646" spans="1:14" ht="15.75" hidden="1">
      <c r="A646" s="16"/>
      <c r="B646" s="39"/>
      <c r="C646" s="554"/>
      <c r="D646" s="555"/>
      <c r="E646" s="540"/>
      <c r="F646" s="541"/>
      <c r="G646" s="40"/>
      <c r="H646" s="16"/>
      <c r="I646" s="552"/>
      <c r="J646" s="553" t="s">
        <v>102</v>
      </c>
      <c r="K646" s="10">
        <f>'data 2022-23'!F714</f>
        <v>837.86</v>
      </c>
      <c r="L646" s="208" t="s">
        <v>2437</v>
      </c>
      <c r="M646" s="9">
        <f>ROUND(I646*K646,0)</f>
        <v>0</v>
      </c>
      <c r="N646" s="536" t="s">
        <v>2318</v>
      </c>
    </row>
    <row r="647" spans="1:14" ht="94.5" hidden="1" customHeight="1">
      <c r="A647" s="16">
        <v>18</v>
      </c>
      <c r="B647" s="1858" t="s">
        <v>214</v>
      </c>
      <c r="C647" s="1858"/>
      <c r="D647" s="1858"/>
      <c r="E647" s="1858"/>
      <c r="F647" s="1858"/>
      <c r="G647" s="1858"/>
      <c r="H647" s="1858"/>
      <c r="I647" s="537"/>
      <c r="J647" s="538"/>
      <c r="K647" s="16"/>
      <c r="L647" s="208"/>
      <c r="M647" s="38"/>
      <c r="N647" s="536" t="s">
        <v>2318</v>
      </c>
    </row>
    <row r="648" spans="1:14" s="544" customFormat="1" ht="15.75" hidden="1">
      <c r="A648" s="16"/>
      <c r="B648" s="39" t="s">
        <v>2895</v>
      </c>
      <c r="C648" s="566"/>
      <c r="D648" s="567"/>
      <c r="E648" s="568"/>
      <c r="F648" s="569"/>
      <c r="G648" s="569"/>
      <c r="H648" s="570"/>
      <c r="I648" s="571"/>
      <c r="J648" s="553"/>
      <c r="K648" s="39"/>
      <c r="L648" s="208"/>
      <c r="M648" s="39"/>
      <c r="N648" s="536" t="s">
        <v>2318</v>
      </c>
    </row>
    <row r="649" spans="1:14" s="544" customFormat="1" ht="15.75" hidden="1">
      <c r="A649" s="16"/>
      <c r="B649" s="582" t="s">
        <v>689</v>
      </c>
      <c r="C649" s="583">
        <v>1</v>
      </c>
      <c r="D649" s="584" t="s">
        <v>273</v>
      </c>
      <c r="E649" s="585">
        <v>1</v>
      </c>
      <c r="F649" s="586">
        <v>6.12</v>
      </c>
      <c r="G649" s="586">
        <v>1.95</v>
      </c>
      <c r="H649" s="586">
        <v>0</v>
      </c>
      <c r="I649" s="552">
        <f>ROUND(IF(AND(F649:H649),C649*E649*F649*G649*H649,IF(AND(F649,G649),C649*E649*F649*G649,IF(AND(F649,H649),C649*E649*F649*H649,IF(AND(G649,H649),C649*E649*G649*H649,IF(F649,C649*E649*F649,IF(G649,C649*E649*G649,IF(H649,C649*E649*H649,C649*E649))))))),2)</f>
        <v>11.93</v>
      </c>
      <c r="J649" s="553" t="s">
        <v>102</v>
      </c>
      <c r="K649" s="39"/>
      <c r="L649" s="208"/>
      <c r="M649" s="39"/>
      <c r="N649" s="536" t="s">
        <v>2318</v>
      </c>
    </row>
    <row r="650" spans="1:14" s="544" customFormat="1" ht="15.75" hidden="1">
      <c r="A650" s="16"/>
      <c r="B650" s="582" t="s">
        <v>659</v>
      </c>
      <c r="C650" s="583">
        <v>1</v>
      </c>
      <c r="D650" s="584" t="s">
        <v>273</v>
      </c>
      <c r="E650" s="585">
        <v>1</v>
      </c>
      <c r="F650" s="586">
        <v>6.06</v>
      </c>
      <c r="G650" s="586">
        <v>1.95</v>
      </c>
      <c r="H650" s="586">
        <v>0</v>
      </c>
      <c r="I650" s="552">
        <f>ROUND(IF(AND(F650:H650),C650*E650*F650*G650*H650,IF(AND(F650,G650),C650*E650*F650*G650,IF(AND(F650,H650),C650*E650*F650*H650,IF(AND(G650,H650),C650*E650*G650*H650,IF(F650,C650*E650*F650,IF(G650,C650*E650*G650,IF(H650,C650*E650*H650,C650*E650))))))),2)</f>
        <v>11.82</v>
      </c>
      <c r="J650" s="553" t="s">
        <v>102</v>
      </c>
      <c r="K650" s="39"/>
      <c r="L650" s="208"/>
      <c r="M650" s="39"/>
      <c r="N650" s="536" t="s">
        <v>2318</v>
      </c>
    </row>
    <row r="651" spans="1:14" s="544" customFormat="1" ht="15.75" hidden="1">
      <c r="A651" s="16"/>
      <c r="B651" s="582"/>
      <c r="C651" s="583">
        <v>3</v>
      </c>
      <c r="D651" s="584" t="s">
        <v>273</v>
      </c>
      <c r="E651" s="585">
        <v>1</v>
      </c>
      <c r="F651" s="586">
        <v>0.7</v>
      </c>
      <c r="G651" s="586">
        <v>1.92</v>
      </c>
      <c r="H651" s="586">
        <v>0</v>
      </c>
      <c r="I651" s="552">
        <f>-ROUND(IF(AND(F651:H651),C651*E651*F651*G651*H651,IF(AND(F651,G651),C651*E651*F651*G651,IF(AND(F651,H651),C651*E651*F651*H651,IF(AND(G651,H651),C651*E651*G651*H651,IF(F651,C651*E651*F651,IF(G651,C651*E651*G651,IF(H651,C651*E651*H651,C651*E651))))))),2)</f>
        <v>-4.03</v>
      </c>
      <c r="J651" s="553" t="s">
        <v>102</v>
      </c>
      <c r="K651" s="39"/>
      <c r="L651" s="208"/>
      <c r="M651" s="39"/>
      <c r="N651" s="536" t="s">
        <v>2318</v>
      </c>
    </row>
    <row r="652" spans="1:14" s="544" customFormat="1" ht="15.75" hidden="1">
      <c r="A652" s="16"/>
      <c r="B652" s="547"/>
      <c r="C652" s="548"/>
      <c r="D652" s="549"/>
      <c r="E652" s="550"/>
      <c r="F652" s="551"/>
      <c r="G652" s="551"/>
      <c r="H652" s="551"/>
      <c r="I652" s="552"/>
      <c r="J652" s="553"/>
      <c r="K652" s="39"/>
      <c r="L652" s="208"/>
      <c r="M652" s="39"/>
      <c r="N652" s="536" t="s">
        <v>2318</v>
      </c>
    </row>
    <row r="653" spans="1:14" ht="15.75" hidden="1">
      <c r="A653" s="16"/>
      <c r="B653" s="39"/>
      <c r="C653" s="554"/>
      <c r="D653" s="555"/>
      <c r="E653" s="540"/>
      <c r="F653" s="541"/>
      <c r="G653" s="40"/>
      <c r="H653" s="16"/>
      <c r="I653" s="552"/>
      <c r="J653" s="553" t="s">
        <v>102</v>
      </c>
      <c r="K653" s="10">
        <f>'data 2022-23'!F731</f>
        <v>527.21</v>
      </c>
      <c r="L653" s="208" t="s">
        <v>2437</v>
      </c>
      <c r="M653" s="9">
        <f>ROUND(I653*K653,0)</f>
        <v>0</v>
      </c>
      <c r="N653" s="536" t="s">
        <v>2318</v>
      </c>
    </row>
    <row r="654" spans="1:14" ht="81.75" hidden="1" customHeight="1">
      <c r="A654" s="16">
        <v>27</v>
      </c>
      <c r="B654" s="1858" t="s">
        <v>1203</v>
      </c>
      <c r="C654" s="1858"/>
      <c r="D654" s="1858"/>
      <c r="E654" s="1858"/>
      <c r="F654" s="1858"/>
      <c r="G654" s="1858"/>
      <c r="H654" s="1858"/>
      <c r="I654" s="537"/>
      <c r="J654" s="538"/>
      <c r="K654" s="16"/>
      <c r="L654" s="208"/>
      <c r="M654" s="38"/>
      <c r="N654" s="536" t="s">
        <v>2318</v>
      </c>
    </row>
    <row r="655" spans="1:14" s="544" customFormat="1" ht="16.5" hidden="1" customHeight="1">
      <c r="A655" s="16"/>
      <c r="B655" s="607" t="s">
        <v>2896</v>
      </c>
      <c r="C655" s="566"/>
      <c r="D655" s="567"/>
      <c r="E655" s="568"/>
      <c r="F655" s="569"/>
      <c r="G655" s="569"/>
      <c r="H655" s="570"/>
      <c r="I655" s="571"/>
      <c r="J655" s="580"/>
      <c r="K655" s="39"/>
      <c r="L655" s="208"/>
      <c r="M655" s="39"/>
      <c r="N655" s="536" t="s">
        <v>2318</v>
      </c>
    </row>
    <row r="656" spans="1:14" s="544" customFormat="1" ht="16.5" hidden="1" customHeight="1">
      <c r="A656" s="16"/>
      <c r="B656" s="556" t="s">
        <v>1189</v>
      </c>
      <c r="C656" s="557">
        <v>2</v>
      </c>
      <c r="D656" s="558" t="s">
        <v>273</v>
      </c>
      <c r="E656" s="221">
        <v>0.5</v>
      </c>
      <c r="F656" s="559">
        <v>0.96</v>
      </c>
      <c r="G656" s="559">
        <v>1</v>
      </c>
      <c r="H656" s="559">
        <v>0</v>
      </c>
      <c r="I656" s="560">
        <f>ROUND(IF(AND(F656:H656),C656*E656*F656*G656*H656,IF(AND(F656,G656),C656*E656*F656*G656,IF(AND(F656,H656),C656*E656*F656*H656,IF(AND(G656,H656),C656*E656*G656*H656,IF(F656,C656*E656*F656,IF(G656,C656*E656*G656,IF(H656,C656*E656*H656,C656*E656))))))),2)</f>
        <v>0.96</v>
      </c>
      <c r="J656" s="580" t="s">
        <v>102</v>
      </c>
      <c r="K656" s="39"/>
      <c r="L656" s="208"/>
      <c r="M656" s="39"/>
      <c r="N656" s="536" t="s">
        <v>2318</v>
      </c>
    </row>
    <row r="657" spans="1:14" s="544" customFormat="1" ht="16.5" hidden="1" customHeight="1">
      <c r="A657" s="16"/>
      <c r="B657" s="556"/>
      <c r="C657" s="557">
        <v>1</v>
      </c>
      <c r="D657" s="558" t="s">
        <v>273</v>
      </c>
      <c r="E657" s="221">
        <v>2</v>
      </c>
      <c r="F657" s="559">
        <v>3.6</v>
      </c>
      <c r="G657" s="559">
        <v>1.1299999999999999</v>
      </c>
      <c r="H657" s="559">
        <v>0</v>
      </c>
      <c r="I657" s="560">
        <f>ROUND(IF(AND(F657:H657),C657*E657*F657*G657*H657,IF(AND(F657,G657),C657*E657*F657*G657,IF(AND(F657,H657),C657*E657*F657*H657,IF(AND(G657,H657),C657*E657*G657*H657,IF(F657,C657*E657*F657,IF(G657,C657*E657*G657,IF(H657,C657*E657*H657,C657*E657))))))),2)</f>
        <v>8.14</v>
      </c>
      <c r="J657" s="580" t="s">
        <v>102</v>
      </c>
      <c r="K657" s="39"/>
      <c r="L657" s="208"/>
      <c r="M657" s="39"/>
      <c r="N657" s="536" t="s">
        <v>2318</v>
      </c>
    </row>
    <row r="658" spans="1:14" s="544" customFormat="1" ht="16.5" hidden="1" customHeight="1">
      <c r="A658" s="16"/>
      <c r="B658" s="556"/>
      <c r="C658" s="557">
        <v>1</v>
      </c>
      <c r="D658" s="558" t="s">
        <v>273</v>
      </c>
      <c r="E658" s="221">
        <v>2</v>
      </c>
      <c r="F658" s="559">
        <v>1.96</v>
      </c>
      <c r="G658" s="559">
        <v>1</v>
      </c>
      <c r="H658" s="559">
        <v>0</v>
      </c>
      <c r="I658" s="560">
        <f>ROUND(IF(AND(F658:H658),C658*E658*F658*G658*H658,IF(AND(F658,G658),C658*E658*F658*G658,IF(AND(F658,H658),C658*E658*F658*H658,IF(AND(G658,H658),C658*E658*G658*H658,IF(F658,C658*E658*F658,IF(G658,C658*E658*G658,IF(H658,C658*E658*H658,C658*E658))))))),2)</f>
        <v>3.92</v>
      </c>
      <c r="J658" s="580" t="s">
        <v>102</v>
      </c>
      <c r="K658" s="39"/>
      <c r="L658" s="208"/>
      <c r="M658" s="39"/>
      <c r="N658" s="536" t="s">
        <v>2318</v>
      </c>
    </row>
    <row r="659" spans="1:14" s="544" customFormat="1" ht="16.5" hidden="1" customHeight="1">
      <c r="A659" s="16"/>
      <c r="B659" s="556"/>
      <c r="C659" s="557">
        <v>1</v>
      </c>
      <c r="D659" s="558" t="s">
        <v>273</v>
      </c>
      <c r="E659" s="221">
        <v>2</v>
      </c>
      <c r="F659" s="559">
        <v>1.33</v>
      </c>
      <c r="G659" s="559">
        <v>1.1000000000000001</v>
      </c>
      <c r="H659" s="559">
        <v>0</v>
      </c>
      <c r="I659" s="560">
        <f>ROUND(IF(AND(F659:H659),C659*E659*F659*G659*H659,IF(AND(F659,G659),C659*E659*F659*G659,IF(AND(F659,H659),C659*E659*F659*H659,IF(AND(G659,H659),C659*E659*G659*H659,IF(F659,C659*E659*F659,IF(G659,C659*E659*G659,IF(H659,C659*E659*H659,C659*E659))))))),2)</f>
        <v>2.93</v>
      </c>
      <c r="J659" s="580" t="s">
        <v>102</v>
      </c>
      <c r="K659" s="39"/>
      <c r="L659" s="208"/>
      <c r="M659" s="39"/>
      <c r="N659" s="536" t="s">
        <v>2318</v>
      </c>
    </row>
    <row r="660" spans="1:14" s="544" customFormat="1" ht="16.5" hidden="1" customHeight="1">
      <c r="A660" s="16"/>
      <c r="B660" s="547"/>
      <c r="C660" s="548"/>
      <c r="D660" s="549"/>
      <c r="E660" s="550"/>
      <c r="F660" s="551"/>
      <c r="G660" s="551"/>
      <c r="H660" s="551"/>
      <c r="I660" s="552"/>
      <c r="J660" s="580"/>
      <c r="K660" s="39"/>
      <c r="L660" s="208"/>
      <c r="M660" s="39"/>
      <c r="N660" s="536" t="s">
        <v>2318</v>
      </c>
    </row>
    <row r="661" spans="1:14" ht="15.75" hidden="1">
      <c r="A661" s="16"/>
      <c r="B661" s="39"/>
      <c r="C661" s="554"/>
      <c r="D661" s="555"/>
      <c r="E661" s="540"/>
      <c r="F661" s="541"/>
      <c r="G661" s="40"/>
      <c r="H661" s="16"/>
      <c r="I661" s="552"/>
      <c r="J661" s="580" t="s">
        <v>102</v>
      </c>
      <c r="K661" s="10">
        <f>'data 2022-23'!F759</f>
        <v>1059.21</v>
      </c>
      <c r="L661" s="208" t="s">
        <v>2437</v>
      </c>
      <c r="M661" s="9">
        <f>ROUND(I661*K661,0)</f>
        <v>0</v>
      </c>
      <c r="N661" s="536" t="s">
        <v>2318</v>
      </c>
    </row>
    <row r="662" spans="1:14" ht="66" hidden="1" customHeight="1">
      <c r="A662" s="16">
        <v>26</v>
      </c>
      <c r="B662" s="1858" t="s">
        <v>1193</v>
      </c>
      <c r="C662" s="1858"/>
      <c r="D662" s="1858"/>
      <c r="E662" s="1858"/>
      <c r="F662" s="1858"/>
      <c r="G662" s="1858"/>
      <c r="H662" s="1858"/>
      <c r="I662" s="537"/>
      <c r="J662" s="538"/>
      <c r="K662" s="16"/>
      <c r="L662" s="208"/>
      <c r="M662" s="38"/>
      <c r="N662" s="536" t="s">
        <v>2318</v>
      </c>
    </row>
    <row r="663" spans="1:14" s="544" customFormat="1" ht="16.5" hidden="1" customHeight="1">
      <c r="A663" s="16"/>
      <c r="B663" s="39" t="s">
        <v>2866</v>
      </c>
      <c r="C663" s="566"/>
      <c r="D663" s="567"/>
      <c r="E663" s="568"/>
      <c r="F663" s="569"/>
      <c r="G663" s="569"/>
      <c r="H663" s="570"/>
      <c r="I663" s="571"/>
      <c r="J663" s="553"/>
      <c r="K663" s="39"/>
      <c r="L663" s="208"/>
      <c r="M663" s="39"/>
      <c r="N663" s="536" t="s">
        <v>2318</v>
      </c>
    </row>
    <row r="664" spans="1:14" s="544" customFormat="1" ht="16.5" hidden="1" customHeight="1">
      <c r="A664" s="16"/>
      <c r="B664" s="39" t="s">
        <v>799</v>
      </c>
      <c r="C664" s="537">
        <v>1</v>
      </c>
      <c r="D664" s="539" t="s">
        <v>273</v>
      </c>
      <c r="E664" s="540">
        <v>1</v>
      </c>
      <c r="F664" s="541">
        <v>8.5</v>
      </c>
      <c r="G664" s="541">
        <v>4.95</v>
      </c>
      <c r="H664" s="541">
        <v>0</v>
      </c>
      <c r="I664" s="545">
        <f>ROUND(IF(AND(F664:H664),C664*E664*F664*G664*H664,IF(AND(F664,G664),C664*E664*F664*G664,IF(AND(F664,H664),C664*E664*F664*H664,IF(AND(G664,H664),C664*E664*G664*H664,IF(F664,C664*E664*F664,IF(G664,C664*E664*G664,IF(H664,C664*E664*H664,C664*E664))))))),2)</f>
        <v>42.08</v>
      </c>
      <c r="J664" s="553" t="s">
        <v>102</v>
      </c>
      <c r="K664" s="39"/>
      <c r="L664" s="208"/>
      <c r="M664" s="39"/>
      <c r="N664" s="536" t="s">
        <v>2318</v>
      </c>
    </row>
    <row r="665" spans="1:14" s="544" customFormat="1" ht="16.5" hidden="1" customHeight="1">
      <c r="A665" s="16"/>
      <c r="B665" s="39" t="s">
        <v>813</v>
      </c>
      <c r="C665" s="537">
        <v>1</v>
      </c>
      <c r="D665" s="539" t="s">
        <v>273</v>
      </c>
      <c r="E665" s="540">
        <v>1</v>
      </c>
      <c r="F665" s="541">
        <v>5.5</v>
      </c>
      <c r="G665" s="541">
        <v>2.4</v>
      </c>
      <c r="H665" s="541">
        <v>0</v>
      </c>
      <c r="I665" s="545">
        <f>ROUND(IF(AND(F665:H665),C665*E665*F665*G665*H665,IF(AND(F665,G665),C665*E665*F665*G665,IF(AND(F665,H665),C665*E665*F665*H665,IF(AND(G665,H665),C665*E665*G665*H665,IF(F665,C665*E665*F665,IF(G665,C665*E665*G665,IF(H665,C665*E665*H665,C665*E665))))))),2)</f>
        <v>13.2</v>
      </c>
      <c r="J665" s="553" t="s">
        <v>102</v>
      </c>
      <c r="K665" s="39"/>
      <c r="L665" s="208"/>
      <c r="M665" s="39"/>
      <c r="N665" s="536" t="s">
        <v>2318</v>
      </c>
    </row>
    <row r="666" spans="1:14" s="544" customFormat="1" ht="16.5" hidden="1" customHeight="1">
      <c r="A666" s="16"/>
      <c r="B666" s="39" t="s">
        <v>814</v>
      </c>
      <c r="C666" s="537">
        <v>1</v>
      </c>
      <c r="D666" s="539" t="s">
        <v>273</v>
      </c>
      <c r="E666" s="540">
        <v>1</v>
      </c>
      <c r="F666" s="541">
        <v>8.85</v>
      </c>
      <c r="G666" s="541">
        <v>0</v>
      </c>
      <c r="H666" s="541">
        <v>3.6</v>
      </c>
      <c r="I666" s="545">
        <f>ROUND(IF(AND(F666:H666),C666*E666*F666*G666*H666,IF(AND(F666,G666),C666*E666*F666*G666,IF(AND(F666,H666),C666*E666*F666*H666,IF(AND(G666,H666),C666*E666*G666*H666,IF(F666,C666*E666*F666,IF(G666,C666*E666*G666,IF(H666,C666*E666*H666,C666*E666))))))),2)</f>
        <v>31.86</v>
      </c>
      <c r="J666" s="553" t="s">
        <v>102</v>
      </c>
      <c r="K666" s="39"/>
      <c r="L666" s="208"/>
      <c r="M666" s="39"/>
      <c r="N666" s="536" t="s">
        <v>2318</v>
      </c>
    </row>
    <row r="667" spans="1:14" s="544" customFormat="1" ht="16.5" hidden="1" customHeight="1">
      <c r="A667" s="16"/>
      <c r="B667" s="39" t="s">
        <v>817</v>
      </c>
      <c r="C667" s="537">
        <v>1</v>
      </c>
      <c r="D667" s="539" t="s">
        <v>273</v>
      </c>
      <c r="E667" s="540">
        <v>1</v>
      </c>
      <c r="F667" s="541">
        <v>6.25</v>
      </c>
      <c r="G667" s="541">
        <v>0</v>
      </c>
      <c r="H667" s="541">
        <v>3.6</v>
      </c>
      <c r="I667" s="545">
        <f>ROUND(IF(AND(F667:H667),C667*E667*F667*G667*H667,IF(AND(F667,G667),C667*E667*F667*G667,IF(AND(F667,H667),C667*E667*F667*H667,IF(AND(G667,H667),C667*E667*G667*H667,IF(F667,C667*E667*F667,IF(G667,C667*E667*G667,IF(H667,C667*E667*H667,C667*E667))))))),2)</f>
        <v>22.5</v>
      </c>
      <c r="J667" s="553" t="s">
        <v>102</v>
      </c>
      <c r="K667" s="39"/>
      <c r="L667" s="208"/>
      <c r="M667" s="39"/>
      <c r="N667" s="536" t="s">
        <v>2318</v>
      </c>
    </row>
    <row r="668" spans="1:14" s="544" customFormat="1" ht="16.5" hidden="1" customHeight="1">
      <c r="A668" s="16"/>
      <c r="B668" s="39" t="s">
        <v>816</v>
      </c>
      <c r="C668" s="537">
        <v>1</v>
      </c>
      <c r="D668" s="539" t="s">
        <v>273</v>
      </c>
      <c r="E668" s="540">
        <v>1</v>
      </c>
      <c r="F668" s="541">
        <v>5.45</v>
      </c>
      <c r="G668" s="541">
        <v>0</v>
      </c>
      <c r="H668" s="541">
        <v>3.2</v>
      </c>
      <c r="I668" s="545">
        <f>ROUND(IF(AND(F668:H668),C668*E668*F668*G668*H668,IF(AND(F668,G668),C668*E668*F668*G668,IF(AND(F668,H668),C668*E668*F668*H668,IF(AND(G668,H668),C668*E668*G668*H668,IF(F668,C668*E668*F668,IF(G668,C668*E668*G668,IF(H668,C668*E668*H668,C668*E668))))))),2)</f>
        <v>17.440000000000001</v>
      </c>
      <c r="J668" s="553" t="s">
        <v>102</v>
      </c>
      <c r="K668" s="39"/>
      <c r="L668" s="208"/>
      <c r="M668" s="39"/>
      <c r="N668" s="536" t="s">
        <v>2318</v>
      </c>
    </row>
    <row r="669" spans="1:14" s="544" customFormat="1" ht="16.5" hidden="1" customHeight="1">
      <c r="A669" s="16"/>
      <c r="B669" s="547"/>
      <c r="C669" s="548"/>
      <c r="D669" s="549"/>
      <c r="E669" s="587"/>
      <c r="F669" s="551"/>
      <c r="G669" s="551"/>
      <c r="H669" s="551"/>
      <c r="I669" s="552"/>
      <c r="J669" s="553"/>
      <c r="K669" s="39"/>
      <c r="L669" s="208"/>
      <c r="M669" s="39"/>
      <c r="N669" s="536" t="s">
        <v>2318</v>
      </c>
    </row>
    <row r="670" spans="1:14" ht="15.75" hidden="1">
      <c r="A670" s="16"/>
      <c r="B670" s="39"/>
      <c r="C670" s="554"/>
      <c r="D670" s="555"/>
      <c r="E670" s="540"/>
      <c r="F670" s="541"/>
      <c r="G670" s="40"/>
      <c r="H670" s="16"/>
      <c r="I670" s="552"/>
      <c r="J670" s="553" t="s">
        <v>102</v>
      </c>
      <c r="K670" s="10">
        <f>'data 2022-23'!F794</f>
        <v>25.98</v>
      </c>
      <c r="L670" s="208" t="s">
        <v>2437</v>
      </c>
      <c r="M670" s="9">
        <f>ROUND(I670*K670,0)</f>
        <v>0</v>
      </c>
      <c r="N670" s="536" t="s">
        <v>2318</v>
      </c>
    </row>
    <row r="671" spans="1:14" ht="117.75" hidden="1" customHeight="1">
      <c r="A671" s="16">
        <v>19</v>
      </c>
      <c r="B671" s="1858" t="s">
        <v>891</v>
      </c>
      <c r="C671" s="1858"/>
      <c r="D671" s="1858"/>
      <c r="E671" s="1858"/>
      <c r="F671" s="1858"/>
      <c r="G671" s="1858"/>
      <c r="H671" s="1858"/>
      <c r="I671" s="537"/>
      <c r="J671" s="538"/>
      <c r="K671" s="16"/>
      <c r="L671" s="208"/>
      <c r="M671" s="38"/>
      <c r="N671" s="536" t="s">
        <v>2318</v>
      </c>
    </row>
    <row r="672" spans="1:14" s="544" customFormat="1" ht="16.5" hidden="1" customHeight="1">
      <c r="A672" s="16"/>
      <c r="B672" s="39" t="s">
        <v>2894</v>
      </c>
      <c r="C672" s="537"/>
      <c r="D672" s="539"/>
      <c r="E672" s="540"/>
      <c r="F672" s="541"/>
      <c r="G672" s="541"/>
      <c r="H672" s="541"/>
      <c r="I672" s="542"/>
      <c r="J672" s="553"/>
      <c r="K672" s="39"/>
      <c r="L672" s="208"/>
      <c r="M672" s="39"/>
      <c r="N672" s="536" t="s">
        <v>2318</v>
      </c>
    </row>
    <row r="673" spans="1:14" s="544" customFormat="1" ht="16.5" hidden="1" customHeight="1">
      <c r="A673" s="16"/>
      <c r="B673" s="39" t="s">
        <v>2203</v>
      </c>
      <c r="C673" s="537">
        <v>1</v>
      </c>
      <c r="D673" s="539" t="s">
        <v>273</v>
      </c>
      <c r="E673" s="540">
        <v>1</v>
      </c>
      <c r="F673" s="541">
        <v>13.38</v>
      </c>
      <c r="G673" s="541">
        <v>0</v>
      </c>
      <c r="H673" s="541">
        <v>3.12</v>
      </c>
      <c r="I673" s="579">
        <f>ROUND(IF(AND(F673:H673),C673*E673*F673*G673*H673,IF(AND(F673,G673),C673*E673*F673*G673,IF(AND(F673,H673),C673*E673*F673*H673,IF(AND(G673,H673),C673*E673*G673*H673,IF(F673,C673*E673*F673,IF(G673,C673*E673*G673,IF(H673,C673*E673*H673,C673*E673))))))),2)</f>
        <v>41.75</v>
      </c>
      <c r="J673" s="553" t="s">
        <v>102</v>
      </c>
      <c r="K673" s="39"/>
      <c r="L673" s="208"/>
      <c r="M673" s="39"/>
      <c r="N673" s="536" t="s">
        <v>2318</v>
      </c>
    </row>
    <row r="674" spans="1:14" s="544" customFormat="1" ht="16.5" hidden="1" customHeight="1">
      <c r="A674" s="16"/>
      <c r="B674" s="39" t="s">
        <v>1169</v>
      </c>
      <c r="C674" s="537">
        <v>1</v>
      </c>
      <c r="D674" s="539" t="s">
        <v>273</v>
      </c>
      <c r="E674" s="540">
        <v>1</v>
      </c>
      <c r="F674" s="541">
        <v>12.18</v>
      </c>
      <c r="G674" s="541">
        <v>0</v>
      </c>
      <c r="H674" s="541">
        <v>3.12</v>
      </c>
      <c r="I674" s="579">
        <f>ROUND(IF(AND(F674:H674),C674*E674*F674*G674*H674,IF(AND(F674,G674),C674*E674*F674*G674,IF(AND(F674,H674),C674*E674*F674*H674,IF(AND(G674,H674),C674*E674*G674*H674,IF(F674,C674*E674*F674,IF(G674,C674*E674*G674,IF(H674,C674*E674*H674,C674*E674))))))),2)</f>
        <v>38</v>
      </c>
      <c r="J674" s="553" t="s">
        <v>102</v>
      </c>
      <c r="K674" s="39"/>
      <c r="L674" s="208"/>
      <c r="M674" s="39"/>
      <c r="N674" s="536" t="s">
        <v>2318</v>
      </c>
    </row>
    <row r="675" spans="1:14" s="544" customFormat="1" ht="16.5" hidden="1" customHeight="1">
      <c r="A675" s="16"/>
      <c r="B675" s="39" t="s">
        <v>2204</v>
      </c>
      <c r="C675" s="537">
        <v>1</v>
      </c>
      <c r="D675" s="539" t="s">
        <v>273</v>
      </c>
      <c r="E675" s="540">
        <v>1</v>
      </c>
      <c r="F675" s="541">
        <v>12.22</v>
      </c>
      <c r="G675" s="541">
        <v>0</v>
      </c>
      <c r="H675" s="541">
        <v>3.12</v>
      </c>
      <c r="I675" s="579">
        <f>ROUND(IF(AND(F675:H675),C675*E675*F675*G675*H675,IF(AND(F675,G675),C675*E675*F675*G675,IF(AND(F675,H675),C675*E675*F675*H675,IF(AND(G675,H675),C675*E675*G675*H675,IF(F675,C675*E675*F675,IF(G675,C675*E675*G675,IF(H675,C675*E675*H675,C675*E675))))))),2)</f>
        <v>38.130000000000003</v>
      </c>
      <c r="J675" s="553" t="s">
        <v>102</v>
      </c>
      <c r="K675" s="39"/>
      <c r="L675" s="208"/>
      <c r="M675" s="39"/>
      <c r="N675" s="536" t="s">
        <v>2318</v>
      </c>
    </row>
    <row r="676" spans="1:14" s="544" customFormat="1" ht="16.5" hidden="1" customHeight="1">
      <c r="A676" s="16"/>
      <c r="B676" s="39" t="s">
        <v>223</v>
      </c>
      <c r="C676" s="537">
        <v>1</v>
      </c>
      <c r="D676" s="539" t="s">
        <v>273</v>
      </c>
      <c r="E676" s="540">
        <v>1</v>
      </c>
      <c r="F676" s="541">
        <v>17.34</v>
      </c>
      <c r="G676" s="541">
        <v>0</v>
      </c>
      <c r="H676" s="541">
        <v>3.12</v>
      </c>
      <c r="I676" s="579">
        <f>ROUND(IF(AND(F676:H676),C676*E676*F676*G676*H676,IF(AND(F676,G676),C676*E676*F676*G676,IF(AND(F676,H676),C676*E676*F676*H676,IF(AND(G676,H676),C676*E676*G676*H676,IF(F676,C676*E676*F676,IF(G676,C676*E676*G676,IF(H676,C676*E676*H676,C676*E676))))))),2)</f>
        <v>54.1</v>
      </c>
      <c r="J676" s="553" t="s">
        <v>102</v>
      </c>
      <c r="K676" s="39"/>
      <c r="L676" s="208"/>
      <c r="M676" s="39"/>
      <c r="N676" s="536" t="s">
        <v>2318</v>
      </c>
    </row>
    <row r="677" spans="1:14" s="544" customFormat="1" ht="16.5" hidden="1" customHeight="1">
      <c r="A677" s="16"/>
      <c r="B677" s="39" t="s">
        <v>2205</v>
      </c>
      <c r="C677" s="537">
        <v>1</v>
      </c>
      <c r="D677" s="539" t="s">
        <v>273</v>
      </c>
      <c r="E677" s="540">
        <v>6</v>
      </c>
      <c r="F677" s="541">
        <v>5.7</v>
      </c>
      <c r="G677" s="541">
        <v>0</v>
      </c>
      <c r="H677" s="541">
        <v>0.115</v>
      </c>
      <c r="I677" s="579">
        <f>ROUND(IF(AND(F677:H677),C677*E677*F677*G677*H677,IF(AND(F677,G677),C677*E677*F677*G677,IF(AND(F677,H677),C677*E677*F677*H677,IF(AND(G677,H677),C677*E677*G677*H677,IF(F677,C677*E677*F677,IF(G677,C677*E677*G677,IF(H677,C677*E677*H677,C677*E677))))))),2)</f>
        <v>3.93</v>
      </c>
      <c r="J677" s="553" t="s">
        <v>102</v>
      </c>
      <c r="K677" s="39"/>
      <c r="L677" s="208"/>
      <c r="M677" s="39"/>
      <c r="N677" s="536" t="s">
        <v>2318</v>
      </c>
    </row>
    <row r="678" spans="1:14" s="544" customFormat="1" ht="16.5" hidden="1" customHeight="1">
      <c r="A678" s="16"/>
      <c r="B678" s="39"/>
      <c r="C678" s="537">
        <v>1</v>
      </c>
      <c r="D678" s="539" t="s">
        <v>273</v>
      </c>
      <c r="E678" s="540">
        <v>2</v>
      </c>
      <c r="F678" s="541">
        <v>1.2</v>
      </c>
      <c r="G678" s="541">
        <v>0</v>
      </c>
      <c r="H678" s="541">
        <v>2.1</v>
      </c>
      <c r="I678" s="579">
        <f>-ROUND(IF(AND(F678:H678),C678*E678*F678*G678*H678,IF(AND(F678,G678),C678*E678*F678*G678,IF(AND(F678,H678),C678*E678*F678*H678,IF(AND(G678,H678),C678*E678*G678*H678,IF(F678,C678*E678*F678,IF(G678,C678*E678*G678,IF(H678,C678*E678*H678,C678*E678))))))),2)</f>
        <v>-5.04</v>
      </c>
      <c r="J678" s="553" t="s">
        <v>102</v>
      </c>
      <c r="K678" s="39"/>
      <c r="L678" s="208"/>
      <c r="M678" s="39"/>
      <c r="N678" s="536" t="s">
        <v>2318</v>
      </c>
    </row>
    <row r="679" spans="1:14" s="544" customFormat="1" ht="16.5" hidden="1" customHeight="1">
      <c r="A679" s="16"/>
      <c r="B679" s="547"/>
      <c r="C679" s="548"/>
      <c r="D679" s="549"/>
      <c r="E679" s="587"/>
      <c r="F679" s="551"/>
      <c r="G679" s="551"/>
      <c r="H679" s="551"/>
      <c r="I679" s="552"/>
      <c r="J679" s="553"/>
      <c r="K679" s="39"/>
      <c r="L679" s="208"/>
      <c r="M679" s="39"/>
      <c r="N679" s="536" t="s">
        <v>2318</v>
      </c>
    </row>
    <row r="680" spans="1:14" ht="15.75" hidden="1">
      <c r="A680" s="16"/>
      <c r="B680" s="39"/>
      <c r="C680" s="554"/>
      <c r="D680" s="555"/>
      <c r="E680" s="540"/>
      <c r="F680" s="541"/>
      <c r="G680" s="40"/>
      <c r="H680" s="16"/>
      <c r="I680" s="552"/>
      <c r="J680" s="553" t="s">
        <v>102</v>
      </c>
      <c r="K680" s="10">
        <f>'data 2022-23'!F809</f>
        <v>184.03</v>
      </c>
      <c r="L680" s="208" t="s">
        <v>2437</v>
      </c>
      <c r="M680" s="9">
        <f>ROUND(I680*K680,0)</f>
        <v>0</v>
      </c>
      <c r="N680" s="536" t="s">
        <v>2318</v>
      </c>
    </row>
    <row r="681" spans="1:14" ht="94.5" hidden="1" customHeight="1">
      <c r="A681" s="16">
        <v>20</v>
      </c>
      <c r="B681" s="1858" t="s">
        <v>1167</v>
      </c>
      <c r="C681" s="1858"/>
      <c r="D681" s="1858"/>
      <c r="E681" s="1858"/>
      <c r="F681" s="1858"/>
      <c r="G681" s="1858"/>
      <c r="H681" s="1858"/>
      <c r="I681" s="537"/>
      <c r="J681" s="538"/>
      <c r="K681" s="16"/>
      <c r="L681" s="208"/>
      <c r="M681" s="38"/>
      <c r="N681" s="536" t="s">
        <v>2318</v>
      </c>
    </row>
    <row r="682" spans="1:14" s="544" customFormat="1" ht="16.5" hidden="1" customHeight="1">
      <c r="A682" s="16"/>
      <c r="B682" s="39" t="s">
        <v>2865</v>
      </c>
      <c r="C682" s="537"/>
      <c r="D682" s="539"/>
      <c r="E682" s="540"/>
      <c r="F682" s="541"/>
      <c r="G682" s="541"/>
      <c r="H682" s="541"/>
      <c r="I682" s="542"/>
      <c r="J682" s="553"/>
      <c r="K682" s="39"/>
      <c r="L682" s="208"/>
      <c r="M682" s="39"/>
      <c r="N682" s="536" t="s">
        <v>2318</v>
      </c>
    </row>
    <row r="683" spans="1:14" s="544" customFormat="1" ht="15.75" hidden="1">
      <c r="A683" s="16"/>
      <c r="B683" s="39" t="s">
        <v>2167</v>
      </c>
      <c r="C683" s="537">
        <v>1</v>
      </c>
      <c r="D683" s="539" t="s">
        <v>273</v>
      </c>
      <c r="E683" s="540">
        <v>1</v>
      </c>
      <c r="F683" s="541">
        <v>12.48</v>
      </c>
      <c r="G683" s="541">
        <v>0</v>
      </c>
      <c r="H683" s="541">
        <v>3.12</v>
      </c>
      <c r="I683" s="545">
        <f>ROUND(IF(AND(F683:H683),C683*E683*F683*G683*H683,IF(AND(F683,G683),C683*E683*F683*G683,IF(AND(F683,H683),C683*E683*F683*H683,IF(AND(G683,H683),C683*E683*G683*H683,IF(F683,C683*E683*F683,IF(G683,C683*E683*G683,IF(H683,C683*E683*H683,C683*E683))))))),2)</f>
        <v>38.94</v>
      </c>
      <c r="J683" s="553" t="s">
        <v>102</v>
      </c>
      <c r="K683" s="39"/>
      <c r="L683" s="208"/>
      <c r="M683" s="39"/>
      <c r="N683" s="536" t="s">
        <v>2318</v>
      </c>
    </row>
    <row r="684" spans="1:14" s="544" customFormat="1" ht="15.75" hidden="1">
      <c r="A684" s="16"/>
      <c r="B684" s="39" t="s">
        <v>2167</v>
      </c>
      <c r="C684" s="537">
        <v>1</v>
      </c>
      <c r="D684" s="539" t="s">
        <v>273</v>
      </c>
      <c r="E684" s="540">
        <v>1</v>
      </c>
      <c r="F684" s="541">
        <v>8.92</v>
      </c>
      <c r="G684" s="541">
        <v>0</v>
      </c>
      <c r="H684" s="541">
        <v>3.12</v>
      </c>
      <c r="I684" s="545">
        <f>ROUND(IF(AND(F684:H684),C684*E684*F684*G684*H684,IF(AND(F684,G684),C684*E684*F684*G684,IF(AND(F684,H684),C684*E684*F684*H684,IF(AND(G684,H684),C684*E684*G684*H684,IF(F684,C684*E684*F684,IF(G684,C684*E684*G684,IF(H684,C684*E684*H684,C684*E684))))))),2)</f>
        <v>27.83</v>
      </c>
      <c r="J684" s="553" t="s">
        <v>102</v>
      </c>
      <c r="K684" s="39"/>
      <c r="L684" s="208"/>
      <c r="M684" s="39"/>
      <c r="N684" s="536" t="s">
        <v>2318</v>
      </c>
    </row>
    <row r="685" spans="1:14" s="544" customFormat="1" ht="16.5" hidden="1" customHeight="1">
      <c r="A685" s="16"/>
      <c r="B685" s="39" t="s">
        <v>2167</v>
      </c>
      <c r="C685" s="537">
        <v>1</v>
      </c>
      <c r="D685" s="539" t="s">
        <v>273</v>
      </c>
      <c r="E685" s="540">
        <v>1</v>
      </c>
      <c r="F685" s="541">
        <v>1.2</v>
      </c>
      <c r="G685" s="541">
        <v>0</v>
      </c>
      <c r="H685" s="541">
        <v>2.1</v>
      </c>
      <c r="I685" s="545">
        <f>ROUND(IF(AND(F685:H685),C685*E685*F685*G685*H685,IF(AND(F685,G685),C685*E685*F685*G685,IF(AND(F685,H685),C685*E685*F685*H685,IF(AND(G685,H685),C685*E685*G685*H685,IF(F685,C685*E685*F685,IF(G685,C685*E685*G685,IF(H685,C685*E685*H685,C685*E685))))))),2)</f>
        <v>2.52</v>
      </c>
      <c r="J685" s="553" t="s">
        <v>102</v>
      </c>
      <c r="K685" s="39"/>
      <c r="L685" s="208"/>
      <c r="M685" s="39"/>
      <c r="N685" s="536" t="s">
        <v>2318</v>
      </c>
    </row>
    <row r="686" spans="1:14" s="544" customFormat="1" ht="16.5" hidden="1" customHeight="1">
      <c r="A686" s="16"/>
      <c r="B686" s="39" t="s">
        <v>2167</v>
      </c>
      <c r="C686" s="537">
        <v>1</v>
      </c>
      <c r="D686" s="539" t="s">
        <v>273</v>
      </c>
      <c r="E686" s="540">
        <v>1</v>
      </c>
      <c r="F686" s="541">
        <v>1.5</v>
      </c>
      <c r="G686" s="541">
        <v>0</v>
      </c>
      <c r="H686" s="541">
        <v>1.35</v>
      </c>
      <c r="I686" s="545">
        <f>ROUND(IF(AND(F686:H686),C686*E686*F686*G686*H686,IF(AND(F686,G686),C686*E686*F686*G686,IF(AND(F686,H686),C686*E686*F686*H686,IF(AND(G686,H686),C686*E686*G686*H686,IF(F686,C686*E686*F686,IF(G686,C686*E686*G686,IF(H686,C686*E686*H686,C686*E686))))))),2)</f>
        <v>2.0299999999999998</v>
      </c>
      <c r="J686" s="553" t="s">
        <v>102</v>
      </c>
      <c r="K686" s="39"/>
      <c r="L686" s="208"/>
      <c r="M686" s="39"/>
      <c r="N686" s="536" t="s">
        <v>2318</v>
      </c>
    </row>
    <row r="687" spans="1:14" s="544" customFormat="1" ht="16.5" hidden="1" customHeight="1">
      <c r="A687" s="16"/>
      <c r="B687" s="39" t="s">
        <v>2167</v>
      </c>
      <c r="C687" s="537">
        <v>1</v>
      </c>
      <c r="D687" s="539" t="s">
        <v>273</v>
      </c>
      <c r="E687" s="540">
        <v>1</v>
      </c>
      <c r="F687" s="541">
        <v>2.7</v>
      </c>
      <c r="G687" s="541">
        <v>0</v>
      </c>
      <c r="H687" s="541">
        <v>0.15</v>
      </c>
      <c r="I687" s="545">
        <f>ROUND(IF(AND(F687:H687),C687*E687*F687*G687*H687,IF(AND(F687,G687),C687*E687*F687*G687,IF(AND(F687,H687),C687*E687*F687*H687,IF(AND(G687,H687),C687*E687*G687*H687,IF(F687,C687*E687*F687,IF(G687,C687*E687*G687,IF(H687,C687*E687*H687,C687*E687))))))),2)</f>
        <v>0.41</v>
      </c>
      <c r="J687" s="553" t="s">
        <v>102</v>
      </c>
      <c r="K687" s="39"/>
      <c r="L687" s="208"/>
      <c r="M687" s="39"/>
      <c r="N687" s="536" t="s">
        <v>2318</v>
      </c>
    </row>
    <row r="688" spans="1:14" s="544" customFormat="1" ht="16.5" hidden="1" customHeight="1">
      <c r="A688" s="16"/>
      <c r="B688" s="547"/>
      <c r="C688" s="548"/>
      <c r="D688" s="549"/>
      <c r="E688" s="550"/>
      <c r="F688" s="551"/>
      <c r="G688" s="551"/>
      <c r="H688" s="551"/>
      <c r="I688" s="552"/>
      <c r="J688" s="553"/>
      <c r="K688" s="39"/>
      <c r="L688" s="208"/>
      <c r="M688" s="39"/>
      <c r="N688" s="536" t="s">
        <v>2318</v>
      </c>
    </row>
    <row r="689" spans="1:15" ht="15.75" hidden="1">
      <c r="A689" s="16"/>
      <c r="B689" s="39"/>
      <c r="C689" s="554"/>
      <c r="D689" s="555"/>
      <c r="E689" s="540"/>
      <c r="F689" s="541"/>
      <c r="G689" s="40"/>
      <c r="H689" s="16"/>
      <c r="I689" s="552"/>
      <c r="J689" s="553" t="s">
        <v>102</v>
      </c>
      <c r="K689" s="10">
        <f>'data 2022-23'!F844</f>
        <v>158.36000000000001</v>
      </c>
      <c r="L689" s="208" t="s">
        <v>2437</v>
      </c>
      <c r="M689" s="9">
        <f>ROUND(I689*K689,0)</f>
        <v>0</v>
      </c>
      <c r="N689" s="536" t="s">
        <v>2318</v>
      </c>
    </row>
    <row r="690" spans="1:15" ht="94.5" hidden="1" customHeight="1">
      <c r="A690" s="16">
        <v>21</v>
      </c>
      <c r="B690" s="1858" t="s">
        <v>1168</v>
      </c>
      <c r="C690" s="1858"/>
      <c r="D690" s="1858"/>
      <c r="E690" s="1858"/>
      <c r="F690" s="1858"/>
      <c r="G690" s="1858"/>
      <c r="H690" s="1858"/>
      <c r="I690" s="537"/>
      <c r="J690" s="538"/>
      <c r="K690" s="16"/>
      <c r="L690" s="208"/>
      <c r="M690" s="38"/>
      <c r="N690" s="536" t="s">
        <v>2318</v>
      </c>
    </row>
    <row r="691" spans="1:15" s="544" customFormat="1" ht="15.75" hidden="1">
      <c r="A691" s="16"/>
      <c r="B691" s="39" t="s">
        <v>2872</v>
      </c>
      <c r="C691" s="537"/>
      <c r="D691" s="539"/>
      <c r="E691" s="540"/>
      <c r="F691" s="541"/>
      <c r="G691" s="541"/>
      <c r="H691" s="541"/>
      <c r="I691" s="542"/>
      <c r="J691" s="553"/>
      <c r="K691" s="39"/>
      <c r="L691" s="208"/>
      <c r="M691" s="39"/>
      <c r="N691" s="536" t="s">
        <v>2318</v>
      </c>
    </row>
    <row r="692" spans="1:15" s="544" customFormat="1" ht="15.75" hidden="1">
      <c r="A692" s="16"/>
      <c r="B692" s="39" t="s">
        <v>2167</v>
      </c>
      <c r="C692" s="537">
        <v>1</v>
      </c>
      <c r="D692" s="539" t="s">
        <v>273</v>
      </c>
      <c r="E692" s="540">
        <v>1</v>
      </c>
      <c r="F692" s="541">
        <v>12.48</v>
      </c>
      <c r="G692" s="541">
        <v>0</v>
      </c>
      <c r="H692" s="541">
        <v>3.12</v>
      </c>
      <c r="I692" s="545">
        <f>ROUND(IF(AND(F692:H692),C692*E692*F692*G692*H692,IF(AND(F692,G692),C692*E692*F692*G692,IF(AND(F692,H692),C692*E692*F692*H692,IF(AND(G692,H692),C692*E692*G692*H692,IF(F692,C692*E692*F692,IF(G692,C692*E692*G692,IF(H692,C692*E692*H692,C692*E692))))))),2)</f>
        <v>38.94</v>
      </c>
      <c r="J692" s="553" t="s">
        <v>102</v>
      </c>
      <c r="K692" s="39"/>
      <c r="L692" s="208"/>
      <c r="M692" s="39"/>
      <c r="N692" s="536" t="s">
        <v>2318</v>
      </c>
    </row>
    <row r="693" spans="1:15" s="544" customFormat="1" ht="15.75" hidden="1">
      <c r="A693" s="16"/>
      <c r="B693" s="39" t="s">
        <v>1547</v>
      </c>
      <c r="C693" s="537">
        <v>1</v>
      </c>
      <c r="D693" s="539" t="s">
        <v>273</v>
      </c>
      <c r="E693" s="540">
        <v>1</v>
      </c>
      <c r="F693" s="541">
        <v>8.92</v>
      </c>
      <c r="G693" s="541">
        <v>0</v>
      </c>
      <c r="H693" s="541">
        <v>3.12</v>
      </c>
      <c r="I693" s="545">
        <f>ROUND(IF(AND(F693:H693),C693*E693*F693*G693*H693,IF(AND(F693,G693),C693*E693*F693*G693,IF(AND(F693,H693),C693*E693*F693*H693,IF(AND(G693,H693),C693*E693*G693*H693,IF(F693,C693*E693*F693,IF(G693,C693*E693*G693,IF(H693,C693*E693*H693,C693*E693))))))),2)</f>
        <v>27.83</v>
      </c>
      <c r="J693" s="553" t="s">
        <v>102</v>
      </c>
      <c r="K693" s="39"/>
      <c r="L693" s="208"/>
      <c r="M693" s="39"/>
      <c r="N693" s="536" t="s">
        <v>2318</v>
      </c>
    </row>
    <row r="694" spans="1:15" s="544" customFormat="1" ht="16.5" hidden="1" customHeight="1">
      <c r="A694" s="16"/>
      <c r="B694" s="39"/>
      <c r="C694" s="537">
        <v>1</v>
      </c>
      <c r="D694" s="539" t="s">
        <v>273</v>
      </c>
      <c r="E694" s="540">
        <v>1</v>
      </c>
      <c r="F694" s="541">
        <v>4.4000000000000004</v>
      </c>
      <c r="G694" s="541">
        <v>0.88</v>
      </c>
      <c r="H694" s="541">
        <v>0</v>
      </c>
      <c r="I694" s="579">
        <f>ROUND(IF(AND(F694:H694),C694*E694*F694*G694*H694,IF(AND(F694,G694),C694*E694*F694*G694,IF(AND(F694,H694),C694*E694*F694*H694,IF(AND(G694,H694),C694*E694*G694*H694,IF(F694,C694*E694*F694,IF(G694,C694*E694*G694,IF(H694,C694*E694*H694,C694*E694))))))),2)</f>
        <v>3.87</v>
      </c>
      <c r="J694" s="553" t="s">
        <v>102</v>
      </c>
      <c r="K694" s="39"/>
      <c r="L694" s="208"/>
      <c r="M694" s="39"/>
      <c r="N694" s="536" t="s">
        <v>2318</v>
      </c>
    </row>
    <row r="695" spans="1:15" s="544" customFormat="1" ht="16.5" hidden="1" customHeight="1">
      <c r="A695" s="16"/>
      <c r="B695" s="547"/>
      <c r="C695" s="548"/>
      <c r="D695" s="549"/>
      <c r="E695" s="550"/>
      <c r="F695" s="551"/>
      <c r="G695" s="551"/>
      <c r="H695" s="551"/>
      <c r="I695" s="552"/>
      <c r="J695" s="553"/>
      <c r="K695" s="39"/>
      <c r="L695" s="208"/>
      <c r="M695" s="39"/>
      <c r="N695" s="536" t="s">
        <v>2318</v>
      </c>
    </row>
    <row r="696" spans="1:15" ht="15.75" hidden="1">
      <c r="A696" s="16"/>
      <c r="B696" s="39"/>
      <c r="C696" s="554"/>
      <c r="D696" s="555"/>
      <c r="E696" s="540"/>
      <c r="F696" s="541"/>
      <c r="G696" s="40"/>
      <c r="H696" s="16"/>
      <c r="I696" s="552"/>
      <c r="J696" s="553" t="s">
        <v>102</v>
      </c>
      <c r="K696" s="10">
        <f>'data 2022-23'!F858</f>
        <v>217.22</v>
      </c>
      <c r="L696" s="208" t="s">
        <v>2437</v>
      </c>
      <c r="M696" s="9">
        <f>ROUND(I696*K696,0)</f>
        <v>0</v>
      </c>
      <c r="N696" s="536" t="s">
        <v>2318</v>
      </c>
    </row>
    <row r="697" spans="1:15" ht="69.75" hidden="1" customHeight="1">
      <c r="A697" s="16">
        <v>22</v>
      </c>
      <c r="B697" s="1858" t="s">
        <v>124</v>
      </c>
      <c r="C697" s="1858"/>
      <c r="D697" s="1858"/>
      <c r="E697" s="1858"/>
      <c r="F697" s="1858"/>
      <c r="G697" s="1858"/>
      <c r="H697" s="1858"/>
      <c r="I697" s="537"/>
      <c r="J697" s="538"/>
      <c r="K697" s="16"/>
      <c r="L697" s="208"/>
      <c r="M697" s="38"/>
      <c r="N697" s="536" t="s">
        <v>2318</v>
      </c>
    </row>
    <row r="698" spans="1:15" s="544" customFormat="1" ht="16.5" hidden="1" customHeight="1">
      <c r="A698" s="16"/>
      <c r="B698" s="39" t="s">
        <v>2898</v>
      </c>
      <c r="C698" s="608" t="s">
        <v>1560</v>
      </c>
      <c r="D698" s="567"/>
      <c r="E698" s="568"/>
      <c r="F698" s="569"/>
      <c r="G698" s="569"/>
      <c r="H698" s="570"/>
      <c r="I698" s="571"/>
      <c r="J698" s="553" t="s">
        <v>141</v>
      </c>
      <c r="K698" s="39"/>
      <c r="L698" s="208"/>
      <c r="M698" s="39"/>
      <c r="N698" s="536" t="s">
        <v>2318</v>
      </c>
      <c r="O698" s="449"/>
    </row>
    <row r="699" spans="1:15" s="544" customFormat="1" ht="16.5" hidden="1" customHeight="1">
      <c r="A699" s="16"/>
      <c r="B699" s="39" t="s">
        <v>2860</v>
      </c>
      <c r="C699" s="608" t="s">
        <v>1560</v>
      </c>
      <c r="D699" s="567"/>
      <c r="E699" s="568"/>
      <c r="F699" s="569"/>
      <c r="G699" s="569"/>
      <c r="H699" s="570"/>
      <c r="I699" s="571"/>
      <c r="J699" s="553" t="s">
        <v>141</v>
      </c>
      <c r="K699" s="39"/>
      <c r="L699" s="208"/>
      <c r="M699" s="39"/>
      <c r="N699" s="536" t="s">
        <v>2318</v>
      </c>
      <c r="O699" s="449"/>
    </row>
    <row r="700" spans="1:15" s="544" customFormat="1" ht="16.5" hidden="1" customHeight="1">
      <c r="A700" s="16"/>
      <c r="B700" s="39" t="s">
        <v>2889</v>
      </c>
      <c r="C700" s="608" t="s">
        <v>1562</v>
      </c>
      <c r="D700" s="567"/>
      <c r="E700" s="568"/>
      <c r="F700" s="569"/>
      <c r="G700" s="569"/>
      <c r="H700" s="570"/>
      <c r="I700" s="571"/>
      <c r="J700" s="553" t="s">
        <v>141</v>
      </c>
      <c r="K700" s="39"/>
      <c r="L700" s="208"/>
      <c r="M700" s="39"/>
      <c r="N700" s="536" t="s">
        <v>2318</v>
      </c>
      <c r="O700" s="449"/>
    </row>
    <row r="701" spans="1:15" s="544" customFormat="1" ht="16.5" hidden="1" customHeight="1">
      <c r="A701" s="16"/>
      <c r="B701" s="39"/>
      <c r="C701" s="609"/>
      <c r="D701" s="567"/>
      <c r="E701" s="568"/>
      <c r="F701" s="569"/>
      <c r="G701" s="569"/>
      <c r="H701" s="570"/>
      <c r="I701" s="571"/>
      <c r="J701" s="553"/>
      <c r="K701" s="39"/>
      <c r="L701" s="208"/>
      <c r="M701" s="39"/>
      <c r="N701" s="536" t="s">
        <v>2318</v>
      </c>
      <c r="O701" s="610"/>
    </row>
    <row r="702" spans="1:15" s="544" customFormat="1" ht="16.5" hidden="1" customHeight="1">
      <c r="A702" s="16"/>
      <c r="B702" s="39"/>
      <c r="C702" s="566"/>
      <c r="D702" s="567"/>
      <c r="E702" s="568"/>
      <c r="F702" s="569"/>
      <c r="G702" s="569"/>
      <c r="H702" s="570"/>
      <c r="I702" s="571">
        <f>SUM(I698:I701)</f>
        <v>0</v>
      </c>
      <c r="J702" s="553" t="s">
        <v>141</v>
      </c>
      <c r="K702" s="39"/>
      <c r="L702" s="208"/>
      <c r="M702" s="39"/>
      <c r="N702" s="536" t="s">
        <v>2318</v>
      </c>
    </row>
    <row r="703" spans="1:15" ht="15.75" hidden="1">
      <c r="A703" s="16"/>
      <c r="B703" s="39"/>
      <c r="C703" s="554"/>
      <c r="D703" s="555"/>
      <c r="E703" s="540"/>
      <c r="F703" s="541"/>
      <c r="G703" s="40"/>
      <c r="H703" s="16" t="s">
        <v>902</v>
      </c>
      <c r="I703" s="552">
        <f>ROUND((I702/1000)*1.05,2)</f>
        <v>0</v>
      </c>
      <c r="J703" s="553" t="s">
        <v>29</v>
      </c>
      <c r="K703" s="10">
        <f>'data 2022-23'!F283</f>
        <v>90555</v>
      </c>
      <c r="L703" s="208" t="s">
        <v>280</v>
      </c>
      <c r="M703" s="9">
        <f>ROUND(I703*K703,0)</f>
        <v>0</v>
      </c>
      <c r="N703" s="536" t="s">
        <v>2318</v>
      </c>
    </row>
    <row r="704" spans="1:15" ht="15.75" hidden="1">
      <c r="A704" s="16"/>
      <c r="B704" s="39" t="s">
        <v>2430</v>
      </c>
      <c r="C704" s="554"/>
      <c r="D704" s="555"/>
      <c r="E704" s="540"/>
      <c r="F704" s="541"/>
      <c r="G704" s="40"/>
      <c r="H704" s="16"/>
      <c r="I704" s="552"/>
      <c r="J704" s="553"/>
      <c r="K704" s="10"/>
      <c r="L704" s="208"/>
      <c r="M704" s="9"/>
      <c r="N704" s="536" t="s">
        <v>2318</v>
      </c>
    </row>
    <row r="705" spans="1:14" ht="93.75" hidden="1" customHeight="1">
      <c r="A705" s="16">
        <v>2</v>
      </c>
      <c r="B705" s="1858" t="s">
        <v>1573</v>
      </c>
      <c r="C705" s="1858"/>
      <c r="D705" s="1858"/>
      <c r="E705" s="1858"/>
      <c r="F705" s="1858"/>
      <c r="G705" s="1858"/>
      <c r="H705" s="1858"/>
      <c r="I705" s="537"/>
      <c r="J705" s="538"/>
      <c r="K705" s="16"/>
      <c r="L705" s="208"/>
      <c r="M705" s="38"/>
      <c r="N705" s="536" t="s">
        <v>2318</v>
      </c>
    </row>
    <row r="706" spans="1:14" s="544" customFormat="1" ht="16.5" hidden="1" customHeight="1">
      <c r="A706" s="16"/>
      <c r="B706" s="39" t="s">
        <v>2890</v>
      </c>
      <c r="C706" s="537"/>
      <c r="D706" s="539"/>
      <c r="E706" s="540"/>
      <c r="F706" s="541"/>
      <c r="G706" s="541"/>
      <c r="H706" s="541"/>
      <c r="I706" s="542"/>
      <c r="J706" s="553"/>
      <c r="K706" s="39"/>
      <c r="L706" s="16"/>
      <c r="M706" s="39"/>
      <c r="N706" s="536" t="s">
        <v>2318</v>
      </c>
    </row>
    <row r="707" spans="1:14" s="544" customFormat="1" ht="16.5" hidden="1" customHeight="1">
      <c r="A707" s="16"/>
      <c r="B707" s="39"/>
      <c r="C707" s="537">
        <v>1</v>
      </c>
      <c r="D707" s="539" t="s">
        <v>273</v>
      </c>
      <c r="E707" s="540">
        <v>4</v>
      </c>
      <c r="F707" s="541">
        <v>0.23</v>
      </c>
      <c r="G707" s="541">
        <v>0.38</v>
      </c>
      <c r="H707" s="541">
        <v>2.4</v>
      </c>
      <c r="I707" s="545">
        <f>ROUND(IF(AND(F707:H707),C707*E707*F707*G707*H707,IF(AND(F707,G707),C707*E707*F707*G707,IF(AND(F707,H707),C707*E707*F707*H707,IF(AND(G707,H707),C707*E707*G707*H707,IF(F707,C707*E707*F707,IF(G707,C707*E707*G707,IF(H707,C707*E707*H707,C707*E707))))))),2)</f>
        <v>0.84</v>
      </c>
      <c r="J707" s="553" t="s">
        <v>5</v>
      </c>
      <c r="K707" s="39"/>
      <c r="L707" s="16"/>
      <c r="M707" s="39"/>
      <c r="N707" s="536" t="s">
        <v>2318</v>
      </c>
    </row>
    <row r="708" spans="1:14" s="544" customFormat="1" ht="16.5" hidden="1" customHeight="1">
      <c r="A708" s="16"/>
      <c r="B708" s="547"/>
      <c r="C708" s="548"/>
      <c r="D708" s="549"/>
      <c r="E708" s="550"/>
      <c r="F708" s="551"/>
      <c r="G708" s="551"/>
      <c r="H708" s="551"/>
      <c r="I708" s="552"/>
      <c r="J708" s="553"/>
      <c r="K708" s="39"/>
      <c r="L708" s="208"/>
      <c r="M708" s="39"/>
      <c r="N708" s="536" t="s">
        <v>2318</v>
      </c>
    </row>
    <row r="709" spans="1:14" ht="15.75" hidden="1">
      <c r="A709" s="16"/>
      <c r="B709" s="39"/>
      <c r="C709" s="554"/>
      <c r="D709" s="555"/>
      <c r="E709" s="540"/>
      <c r="F709" s="541"/>
      <c r="G709" s="40"/>
      <c r="H709" s="16"/>
      <c r="I709" s="552"/>
      <c r="J709" s="553" t="s">
        <v>5</v>
      </c>
      <c r="K709" s="10">
        <f>'data 2022-23'!G152</f>
        <v>12013.61</v>
      </c>
      <c r="L709" s="208" t="s">
        <v>274</v>
      </c>
      <c r="M709" s="9">
        <f>ROUND(I709*K709,0)</f>
        <v>0</v>
      </c>
      <c r="N709" s="536" t="s">
        <v>2318</v>
      </c>
    </row>
    <row r="710" spans="1:14" ht="17.25" hidden="1" customHeight="1">
      <c r="A710" s="16">
        <v>3</v>
      </c>
      <c r="B710" s="1858" t="s">
        <v>303</v>
      </c>
      <c r="C710" s="1858"/>
      <c r="D710" s="1858"/>
      <c r="E710" s="1858"/>
      <c r="F710" s="1858"/>
      <c r="G710" s="1858"/>
      <c r="H710" s="1858"/>
      <c r="I710" s="537"/>
      <c r="J710" s="538"/>
      <c r="K710" s="16"/>
      <c r="L710" s="208"/>
      <c r="M710" s="38"/>
      <c r="N710" s="536" t="s">
        <v>2318</v>
      </c>
    </row>
    <row r="711" spans="1:14" s="544" customFormat="1" ht="16.5" hidden="1" customHeight="1">
      <c r="A711" s="16"/>
      <c r="B711" s="39" t="s">
        <v>2843</v>
      </c>
      <c r="C711" s="537"/>
      <c r="D711" s="539"/>
      <c r="E711" s="540"/>
      <c r="F711" s="541"/>
      <c r="G711" s="541"/>
      <c r="H711" s="541"/>
      <c r="I711" s="542"/>
      <c r="J711" s="553"/>
      <c r="K711" s="39"/>
      <c r="L711" s="208"/>
      <c r="M711" s="39"/>
      <c r="N711" s="536" t="s">
        <v>2318</v>
      </c>
    </row>
    <row r="712" spans="1:14" s="544" customFormat="1" ht="16.5" hidden="1" customHeight="1">
      <c r="A712" s="16"/>
      <c r="B712" s="39" t="s">
        <v>1239</v>
      </c>
      <c r="C712" s="537">
        <v>1</v>
      </c>
      <c r="D712" s="539" t="s">
        <v>273</v>
      </c>
      <c r="E712" s="540">
        <v>2</v>
      </c>
      <c r="F712" s="541">
        <v>2.72</v>
      </c>
      <c r="G712" s="541">
        <v>0.23</v>
      </c>
      <c r="H712" s="541">
        <v>0.3</v>
      </c>
      <c r="I712" s="545">
        <f>ROUND(IF(AND(F712:H712),C712*E712*F712*G712*H712,IF(AND(F712,G712),C712*E712*F712*G712,IF(AND(F712,H712),C712*E712*F712*H712,IF(AND(G712,H712),C712*E712*G712*H712,IF(F712,C712*E712*F712,IF(G712,C712*E712*G712,IF(H712,C712*E712*H712,C712*E712))))))),2)</f>
        <v>0.38</v>
      </c>
      <c r="J712" s="553" t="s">
        <v>5</v>
      </c>
      <c r="K712" s="39"/>
      <c r="L712" s="208"/>
      <c r="M712" s="39"/>
      <c r="N712" s="536" t="s">
        <v>2318</v>
      </c>
    </row>
    <row r="713" spans="1:14" s="544" customFormat="1" ht="16.5" hidden="1" customHeight="1">
      <c r="A713" s="16"/>
      <c r="B713" s="39" t="s">
        <v>1239</v>
      </c>
      <c r="C713" s="537">
        <v>1</v>
      </c>
      <c r="D713" s="539" t="s">
        <v>273</v>
      </c>
      <c r="E713" s="540">
        <v>2</v>
      </c>
      <c r="F713" s="541">
        <v>5.5</v>
      </c>
      <c r="G713" s="541">
        <v>0.23</v>
      </c>
      <c r="H713" s="541">
        <v>0.3</v>
      </c>
      <c r="I713" s="545">
        <f>ROUND(IF(AND(F713:H713),C713*E713*F713*G713*H713,IF(AND(F713,G713),C713*E713*F713*G713,IF(AND(F713,H713),C713*E713*F713*H713,IF(AND(G713,H713),C713*E713*G713*H713,IF(F713,C713*E713*F713,IF(G713,C713*E713*G713,IF(H713,C713*E713*H713,C713*E713))))))),2)</f>
        <v>0.76</v>
      </c>
      <c r="J713" s="553" t="s">
        <v>5</v>
      </c>
      <c r="K713" s="39"/>
      <c r="L713" s="208"/>
      <c r="M713" s="39"/>
      <c r="N713" s="536" t="s">
        <v>2318</v>
      </c>
    </row>
    <row r="714" spans="1:14" s="544" customFormat="1" ht="16.5" hidden="1" customHeight="1">
      <c r="A714" s="16"/>
      <c r="B714" s="547"/>
      <c r="C714" s="548"/>
      <c r="D714" s="549"/>
      <c r="E714" s="550"/>
      <c r="F714" s="551"/>
      <c r="G714" s="551"/>
      <c r="H714" s="551"/>
      <c r="I714" s="552"/>
      <c r="J714" s="553"/>
      <c r="K714" s="39"/>
      <c r="L714" s="208"/>
      <c r="M714" s="39"/>
      <c r="N714" s="536" t="s">
        <v>2318</v>
      </c>
    </row>
    <row r="715" spans="1:14" ht="15.75" hidden="1">
      <c r="A715" s="16"/>
      <c r="B715" s="39"/>
      <c r="C715" s="554"/>
      <c r="D715" s="555"/>
      <c r="E715" s="540"/>
      <c r="F715" s="541"/>
      <c r="G715" s="40"/>
      <c r="H715" s="16"/>
      <c r="I715" s="552"/>
      <c r="J715" s="553" t="s">
        <v>5</v>
      </c>
      <c r="K715" s="10">
        <f>'data 2022-23'!G179</f>
        <v>11098.560000000001</v>
      </c>
      <c r="L715" s="208" t="s">
        <v>274</v>
      </c>
      <c r="M715" s="9">
        <f>ROUND(I715*K715,0)</f>
        <v>0</v>
      </c>
      <c r="N715" s="536" t="s">
        <v>2318</v>
      </c>
    </row>
    <row r="716" spans="1:14" ht="17.25" hidden="1" customHeight="1">
      <c r="A716" s="16">
        <v>11</v>
      </c>
      <c r="B716" s="1858" t="s">
        <v>304</v>
      </c>
      <c r="C716" s="1858"/>
      <c r="D716" s="1858"/>
      <c r="E716" s="1858"/>
      <c r="F716" s="1858"/>
      <c r="G716" s="1858"/>
      <c r="H716" s="1858"/>
      <c r="I716" s="537"/>
      <c r="J716" s="538"/>
      <c r="K716" s="16"/>
      <c r="L716" s="208"/>
      <c r="M716" s="38"/>
      <c r="N716" s="536" t="s">
        <v>2318</v>
      </c>
    </row>
    <row r="717" spans="1:14" s="544" customFormat="1" ht="16.5" hidden="1" customHeight="1">
      <c r="A717" s="16"/>
      <c r="B717" s="39" t="s">
        <v>2899</v>
      </c>
      <c r="C717" s="537"/>
      <c r="D717" s="539"/>
      <c r="E717" s="540"/>
      <c r="F717" s="541"/>
      <c r="G717" s="541"/>
      <c r="H717" s="541"/>
      <c r="I717" s="542"/>
      <c r="J717" s="553"/>
      <c r="K717" s="39"/>
      <c r="L717" s="208"/>
      <c r="M717" s="39"/>
      <c r="N717" s="536" t="s">
        <v>2318</v>
      </c>
    </row>
    <row r="718" spans="1:14" s="544" customFormat="1" ht="16.5" hidden="1" customHeight="1">
      <c r="A718" s="16"/>
      <c r="B718" s="39" t="s">
        <v>267</v>
      </c>
      <c r="C718" s="537">
        <v>1</v>
      </c>
      <c r="D718" s="539" t="s">
        <v>273</v>
      </c>
      <c r="E718" s="540">
        <v>1</v>
      </c>
      <c r="F718" s="541">
        <v>3.23</v>
      </c>
      <c r="G718" s="541">
        <v>1.28</v>
      </c>
      <c r="H718" s="541">
        <v>0</v>
      </c>
      <c r="I718" s="545">
        <f>ROUND(IF(AND(F718:H718),C718*E718*F718*G718*H718,IF(AND(F718,G718),C718*E718*F718*G718,IF(AND(F718,H718),C718*E718*F718*H718,IF(AND(G718,H718),C718*E718*G718*H718,IF(F718,C718*E718*F718,IF(G718,C718*E718*G718,IF(H718,C718*E718*H718,C718*E718))))))),2)</f>
        <v>4.13</v>
      </c>
      <c r="J718" s="553" t="s">
        <v>102</v>
      </c>
      <c r="K718" s="39"/>
      <c r="L718" s="208"/>
      <c r="M718" s="39"/>
      <c r="N718" s="536" t="s">
        <v>2318</v>
      </c>
    </row>
    <row r="719" spans="1:14" s="544" customFormat="1" ht="16.5" hidden="1" customHeight="1">
      <c r="A719" s="16"/>
      <c r="B719" s="39" t="s">
        <v>801</v>
      </c>
      <c r="C719" s="537">
        <v>1</v>
      </c>
      <c r="D719" s="539" t="s">
        <v>273</v>
      </c>
      <c r="E719" s="540">
        <v>1</v>
      </c>
      <c r="F719" s="541">
        <v>2.72</v>
      </c>
      <c r="G719" s="541">
        <v>1</v>
      </c>
      <c r="H719" s="541">
        <v>0</v>
      </c>
      <c r="I719" s="545">
        <f>ROUND(IF(AND(F719:H719),C719*E719*F719*G719*H719,IF(AND(F719,G719),C719*E719*F719*G719,IF(AND(F719,H719),C719*E719*F719*H719,IF(AND(G719,H719),C719*E719*G719*H719,IF(F719,C719*E719*F719,IF(G719,C719*E719*G719,IF(H719,C719*E719*H719,C719*E719))))))),2)</f>
        <v>2.72</v>
      </c>
      <c r="J719" s="553" t="s">
        <v>102</v>
      </c>
      <c r="K719" s="39"/>
      <c r="L719" s="208"/>
      <c r="M719" s="39"/>
      <c r="N719" s="536" t="s">
        <v>2318</v>
      </c>
    </row>
    <row r="720" spans="1:14" s="544" customFormat="1" ht="16.5" hidden="1" customHeight="1">
      <c r="A720" s="16"/>
      <c r="B720" s="547"/>
      <c r="C720" s="548"/>
      <c r="D720" s="549"/>
      <c r="E720" s="550"/>
      <c r="F720" s="551"/>
      <c r="G720" s="551"/>
      <c r="H720" s="551"/>
      <c r="I720" s="552"/>
      <c r="J720" s="553"/>
      <c r="K720" s="39"/>
      <c r="L720" s="208"/>
      <c r="M720" s="39"/>
      <c r="N720" s="536" t="s">
        <v>2318</v>
      </c>
    </row>
    <row r="721" spans="1:14" ht="15.75" hidden="1">
      <c r="A721" s="16"/>
      <c r="B721" s="39"/>
      <c r="C721" s="554"/>
      <c r="D721" s="555"/>
      <c r="E721" s="540"/>
      <c r="F721" s="541"/>
      <c r="G721" s="40"/>
      <c r="H721" s="16"/>
      <c r="I721" s="552"/>
      <c r="J721" s="553" t="s">
        <v>102</v>
      </c>
      <c r="K721" s="10">
        <f>'data 2022-23'!G200</f>
        <v>1737.05</v>
      </c>
      <c r="L721" s="208" t="s">
        <v>2437</v>
      </c>
      <c r="M721" s="9">
        <f>ROUND(I721*K721,0)</f>
        <v>0</v>
      </c>
      <c r="N721" s="536" t="s">
        <v>2318</v>
      </c>
    </row>
    <row r="722" spans="1:14" ht="17.25" hidden="1" customHeight="1">
      <c r="A722" s="16">
        <v>4</v>
      </c>
      <c r="B722" s="1858" t="s">
        <v>305</v>
      </c>
      <c r="C722" s="1858"/>
      <c r="D722" s="1858"/>
      <c r="E722" s="1858"/>
      <c r="F722" s="1858"/>
      <c r="G722" s="1858"/>
      <c r="H722" s="1858"/>
      <c r="I722" s="537"/>
      <c r="J722" s="538"/>
      <c r="K722" s="16"/>
      <c r="L722" s="208"/>
      <c r="M722" s="38"/>
      <c r="N722" s="536" t="s">
        <v>2318</v>
      </c>
    </row>
    <row r="723" spans="1:14" s="544" customFormat="1" ht="16.5" hidden="1" customHeight="1">
      <c r="A723" s="16"/>
      <c r="B723" s="39" t="s">
        <v>2900</v>
      </c>
      <c r="C723" s="537"/>
      <c r="D723" s="539"/>
      <c r="E723" s="540"/>
      <c r="F723" s="541"/>
      <c r="G723" s="541"/>
      <c r="H723" s="541"/>
      <c r="I723" s="542"/>
      <c r="J723" s="553"/>
      <c r="K723" s="39"/>
      <c r="L723" s="16"/>
      <c r="M723" s="39"/>
      <c r="N723" s="536" t="s">
        <v>2318</v>
      </c>
    </row>
    <row r="724" spans="1:14" s="544" customFormat="1" ht="16.5" hidden="1" customHeight="1">
      <c r="A724" s="16"/>
      <c r="B724" s="39" t="s">
        <v>1631</v>
      </c>
      <c r="C724" s="537">
        <v>1</v>
      </c>
      <c r="D724" s="539" t="s">
        <v>273</v>
      </c>
      <c r="E724" s="540">
        <v>1</v>
      </c>
      <c r="F724" s="541">
        <v>5.5</v>
      </c>
      <c r="G724" s="541">
        <v>3.9</v>
      </c>
      <c r="H724" s="541">
        <v>0</v>
      </c>
      <c r="I724" s="545">
        <f>ROUND(IF(AND(F724:H724),C724*E724*F724*G724*H724,IF(AND(F724,G724),C724*E724*F724*G724,IF(AND(F724,H724),C724*E724*F724*H724,IF(AND(G724,H724),C724*E724*G724*H724,IF(F724,C724*E724*F724,IF(G724,C724*E724*G724,IF(H724,C724*E724*H724,C724*E724))))))),2)</f>
        <v>21.45</v>
      </c>
      <c r="J724" s="553" t="s">
        <v>102</v>
      </c>
      <c r="K724" s="39"/>
      <c r="L724" s="16"/>
      <c r="M724" s="39"/>
      <c r="N724" s="536" t="s">
        <v>2318</v>
      </c>
    </row>
    <row r="725" spans="1:14" s="544" customFormat="1" ht="16.5" hidden="1" customHeight="1">
      <c r="A725" s="16"/>
      <c r="B725" s="574"/>
      <c r="C725" s="575"/>
      <c r="D725" s="558"/>
      <c r="E725" s="576"/>
      <c r="F725" s="577"/>
      <c r="G725" s="577"/>
      <c r="H725" s="578"/>
      <c r="I725" s="560"/>
      <c r="J725" s="553"/>
      <c r="K725" s="39"/>
      <c r="L725" s="208"/>
      <c r="M725" s="39"/>
      <c r="N725" s="536" t="s">
        <v>2318</v>
      </c>
    </row>
    <row r="726" spans="1:14" ht="15.75" hidden="1">
      <c r="A726" s="16"/>
      <c r="B726" s="39"/>
      <c r="C726" s="554"/>
      <c r="D726" s="555"/>
      <c r="E726" s="540"/>
      <c r="F726" s="541"/>
      <c r="G726" s="40"/>
      <c r="H726" s="16"/>
      <c r="I726" s="552"/>
      <c r="J726" s="553" t="s">
        <v>102</v>
      </c>
      <c r="K726" s="10">
        <f>'data 2022-23'!G193</f>
        <v>1594.17</v>
      </c>
      <c r="L726" s="208" t="s">
        <v>2437</v>
      </c>
      <c r="M726" s="9">
        <f>ROUND(I726*K726,0)</f>
        <v>0</v>
      </c>
      <c r="N726" s="536" t="s">
        <v>2318</v>
      </c>
    </row>
    <row r="727" spans="1:14" ht="17.25" hidden="1" customHeight="1">
      <c r="A727" s="16">
        <v>13</v>
      </c>
      <c r="B727" s="1858" t="s">
        <v>582</v>
      </c>
      <c r="C727" s="1858"/>
      <c r="D727" s="1858"/>
      <c r="E727" s="1858"/>
      <c r="F727" s="1858"/>
      <c r="G727" s="1858"/>
      <c r="H727" s="1858"/>
      <c r="I727" s="537"/>
      <c r="J727" s="538"/>
      <c r="K727" s="16"/>
      <c r="L727" s="208"/>
      <c r="M727" s="38"/>
      <c r="N727" s="536" t="s">
        <v>2318</v>
      </c>
    </row>
    <row r="728" spans="1:14" s="544" customFormat="1" ht="16.5" hidden="1" customHeight="1">
      <c r="A728" s="16"/>
      <c r="B728" s="39" t="s">
        <v>2883</v>
      </c>
      <c r="C728" s="537"/>
      <c r="D728" s="539"/>
      <c r="E728" s="540"/>
      <c r="F728" s="541"/>
      <c r="G728" s="541"/>
      <c r="H728" s="541"/>
      <c r="I728" s="542"/>
      <c r="J728" s="553"/>
      <c r="K728" s="39"/>
      <c r="L728" s="208"/>
      <c r="M728" s="39"/>
      <c r="N728" s="536" t="s">
        <v>2318</v>
      </c>
    </row>
    <row r="729" spans="1:14" s="544" customFormat="1" ht="16.5" hidden="1" customHeight="1">
      <c r="A729" s="16"/>
      <c r="B729" s="39" t="s">
        <v>1241</v>
      </c>
      <c r="C729" s="537">
        <v>1</v>
      </c>
      <c r="D729" s="539" t="s">
        <v>273</v>
      </c>
      <c r="E729" s="540">
        <v>1</v>
      </c>
      <c r="F729" s="541">
        <v>3.95</v>
      </c>
      <c r="G729" s="541">
        <v>2.1</v>
      </c>
      <c r="H729" s="541">
        <v>0</v>
      </c>
      <c r="I729" s="545">
        <f>ROUND(IF(AND(F729:H729),C729*E729*F729*G729*H729,IF(AND(F729,G729),C729*E729*F729*G729,IF(AND(F729,H729),C729*E729*F729*H729,IF(AND(G729,H729),C729*E729*G729*H729,IF(F729,C729*E729*F729,IF(G729,C729*E729*G729,IF(H729,C729*E729*H729,C729*E729))))))),2)</f>
        <v>8.3000000000000007</v>
      </c>
      <c r="J729" s="553" t="s">
        <v>102</v>
      </c>
      <c r="K729" s="39"/>
      <c r="L729" s="208"/>
      <c r="M729" s="39"/>
      <c r="N729" s="536" t="s">
        <v>2318</v>
      </c>
    </row>
    <row r="730" spans="1:14" s="544" customFormat="1" ht="16.5" hidden="1" customHeight="1">
      <c r="A730" s="16"/>
      <c r="B730" s="574"/>
      <c r="C730" s="575"/>
      <c r="D730" s="558"/>
      <c r="E730" s="576"/>
      <c r="F730" s="577"/>
      <c r="G730" s="577"/>
      <c r="H730" s="578"/>
      <c r="I730" s="560"/>
      <c r="J730" s="553"/>
      <c r="K730" s="39"/>
      <c r="L730" s="208"/>
      <c r="M730" s="39"/>
      <c r="N730" s="536" t="s">
        <v>2318</v>
      </c>
    </row>
    <row r="731" spans="1:14" ht="15.75" hidden="1">
      <c r="A731" s="16"/>
      <c r="B731" s="39"/>
      <c r="C731" s="554"/>
      <c r="D731" s="555"/>
      <c r="E731" s="540"/>
      <c r="F731" s="541"/>
      <c r="G731" s="40"/>
      <c r="H731" s="16"/>
      <c r="I731" s="552"/>
      <c r="J731" s="553" t="s">
        <v>102</v>
      </c>
      <c r="K731" s="10">
        <f>'data 2022-23'!G186</f>
        <v>1451.29</v>
      </c>
      <c r="L731" s="208" t="s">
        <v>2437</v>
      </c>
      <c r="M731" s="9">
        <f>ROUND(I731*K731,0)</f>
        <v>0</v>
      </c>
      <c r="N731" s="536" t="s">
        <v>2318</v>
      </c>
    </row>
    <row r="732" spans="1:14" ht="18.75" hidden="1" customHeight="1">
      <c r="A732" s="16">
        <v>16</v>
      </c>
      <c r="B732" s="1858" t="s">
        <v>1315</v>
      </c>
      <c r="C732" s="1858"/>
      <c r="D732" s="1858"/>
      <c r="E732" s="1858"/>
      <c r="F732" s="1858"/>
      <c r="G732" s="1858"/>
      <c r="H732" s="1858"/>
      <c r="I732" s="537"/>
      <c r="J732" s="538"/>
      <c r="K732" s="16"/>
      <c r="L732" s="208"/>
      <c r="M732" s="38"/>
      <c r="N732" s="536" t="s">
        <v>2318</v>
      </c>
    </row>
    <row r="733" spans="1:14" s="544" customFormat="1" ht="16.5" hidden="1" customHeight="1">
      <c r="A733" s="16"/>
      <c r="B733" s="39" t="s">
        <v>2819</v>
      </c>
      <c r="C733" s="537"/>
      <c r="D733" s="539"/>
      <c r="E733" s="540"/>
      <c r="F733" s="541"/>
      <c r="G733" s="541"/>
      <c r="H733" s="541"/>
      <c r="I733" s="542"/>
      <c r="J733" s="553"/>
      <c r="K733" s="39"/>
      <c r="L733" s="208"/>
      <c r="M733" s="39"/>
      <c r="N733" s="536" t="s">
        <v>2318</v>
      </c>
    </row>
    <row r="734" spans="1:14" s="544" customFormat="1" ht="16.5" hidden="1" customHeight="1">
      <c r="A734" s="16"/>
      <c r="B734" s="39" t="s">
        <v>1230</v>
      </c>
      <c r="C734" s="537">
        <v>1</v>
      </c>
      <c r="D734" s="539" t="s">
        <v>273</v>
      </c>
      <c r="E734" s="540">
        <v>5</v>
      </c>
      <c r="F734" s="541">
        <v>1.52</v>
      </c>
      <c r="G734" s="541">
        <v>0.23</v>
      </c>
      <c r="H734" s="541">
        <v>0</v>
      </c>
      <c r="I734" s="545">
        <f>ROUND(IF(AND(F734:H734),C734*E734*F734*G734*H734,IF(AND(F734,G734),C734*E734*F734*G734,IF(AND(F734,H734),C734*E734*F734*H734,IF(AND(G734,H734),C734*E734*G734*H734,IF(F734,C734*E734*F734,IF(G734,C734*E734*G734,IF(H734,C734*E734*H734,C734*E734))))))),2)</f>
        <v>1.75</v>
      </c>
      <c r="J734" s="553" t="s">
        <v>102</v>
      </c>
      <c r="K734" s="39"/>
      <c r="L734" s="208"/>
      <c r="M734" s="39"/>
      <c r="N734" s="536" t="s">
        <v>2318</v>
      </c>
    </row>
    <row r="735" spans="1:14" s="544" customFormat="1" ht="16.5" hidden="1" customHeight="1">
      <c r="A735" s="16"/>
      <c r="B735" s="39"/>
      <c r="C735" s="537">
        <v>1</v>
      </c>
      <c r="D735" s="539" t="s">
        <v>273</v>
      </c>
      <c r="E735" s="540">
        <v>4</v>
      </c>
      <c r="F735" s="541">
        <v>1.83</v>
      </c>
      <c r="G735" s="541">
        <v>0.23</v>
      </c>
      <c r="H735" s="541">
        <v>0</v>
      </c>
      <c r="I735" s="545">
        <f>ROUND(IF(AND(F735:H735),C735*E735*F735*G735*H735,IF(AND(F735,G735),C735*E735*F735*G735,IF(AND(F735,H735),C735*E735*F735*H735,IF(AND(G735,H735),C735*E735*G735*H735,IF(F735,C735*E735*F735,IF(G735,C735*E735*G735,IF(H735,C735*E735*H735,C735*E735))))))),2)</f>
        <v>1.68</v>
      </c>
      <c r="J735" s="553" t="s">
        <v>102</v>
      </c>
      <c r="K735" s="39"/>
      <c r="L735" s="208"/>
      <c r="M735" s="39"/>
      <c r="N735" s="536" t="s">
        <v>2318</v>
      </c>
    </row>
    <row r="736" spans="1:14" s="544" customFormat="1" ht="16.5" hidden="1" customHeight="1">
      <c r="A736" s="16"/>
      <c r="B736" s="547"/>
      <c r="C736" s="548"/>
      <c r="D736" s="549"/>
      <c r="E736" s="550"/>
      <c r="F736" s="551"/>
      <c r="G736" s="551"/>
      <c r="H736" s="551"/>
      <c r="I736" s="552"/>
      <c r="J736" s="553"/>
      <c r="K736" s="39"/>
      <c r="L736" s="208"/>
      <c r="M736" s="39"/>
      <c r="N736" s="536" t="s">
        <v>2318</v>
      </c>
    </row>
    <row r="737" spans="1:14" ht="15.75" hidden="1">
      <c r="A737" s="16"/>
      <c r="B737" s="39"/>
      <c r="C737" s="554"/>
      <c r="D737" s="555"/>
      <c r="E737" s="540"/>
      <c r="F737" s="541"/>
      <c r="G737" s="40"/>
      <c r="H737" s="16"/>
      <c r="I737" s="552"/>
      <c r="J737" s="553" t="s">
        <v>102</v>
      </c>
      <c r="K737" s="10">
        <f>'data 2022-23'!G242</f>
        <v>865.17</v>
      </c>
      <c r="L737" s="208" t="s">
        <v>2437</v>
      </c>
      <c r="M737" s="9">
        <f>ROUND(I737*K737,0)</f>
        <v>0</v>
      </c>
      <c r="N737" s="536" t="s">
        <v>2318</v>
      </c>
    </row>
    <row r="738" spans="1:14" ht="18.75" hidden="1" customHeight="1">
      <c r="A738" s="16">
        <v>16</v>
      </c>
      <c r="B738" s="1858" t="s">
        <v>1317</v>
      </c>
      <c r="C738" s="1858"/>
      <c r="D738" s="1858"/>
      <c r="E738" s="1858"/>
      <c r="F738" s="1858"/>
      <c r="G738" s="1858"/>
      <c r="H738" s="1858"/>
      <c r="I738" s="537"/>
      <c r="J738" s="538"/>
      <c r="K738" s="16"/>
      <c r="L738" s="208"/>
      <c r="M738" s="38"/>
      <c r="N738" s="536" t="s">
        <v>2318</v>
      </c>
    </row>
    <row r="739" spans="1:14" s="544" customFormat="1" ht="16.5" hidden="1" customHeight="1">
      <c r="A739" s="16"/>
      <c r="B739" s="39" t="s">
        <v>2819</v>
      </c>
      <c r="C739" s="537"/>
      <c r="D739" s="539"/>
      <c r="E739" s="540"/>
      <c r="F739" s="541"/>
      <c r="G739" s="541"/>
      <c r="H739" s="541"/>
      <c r="I739" s="542"/>
      <c r="J739" s="553"/>
      <c r="K739" s="39"/>
      <c r="L739" s="208"/>
      <c r="M739" s="39"/>
      <c r="N739" s="536" t="s">
        <v>2318</v>
      </c>
    </row>
    <row r="740" spans="1:14" s="544" customFormat="1" ht="16.5" hidden="1" customHeight="1">
      <c r="A740" s="16"/>
      <c r="B740" s="39" t="s">
        <v>1230</v>
      </c>
      <c r="C740" s="537">
        <v>1</v>
      </c>
      <c r="D740" s="539" t="s">
        <v>273</v>
      </c>
      <c r="E740" s="540">
        <v>5</v>
      </c>
      <c r="F740" s="541">
        <v>1.52</v>
      </c>
      <c r="G740" s="541">
        <v>0.23</v>
      </c>
      <c r="H740" s="541">
        <v>0</v>
      </c>
      <c r="I740" s="545">
        <f>ROUND(IF(AND(F740:H740),C740*E740*F740*G740*H740,IF(AND(F740,G740),C740*E740*F740*G740,IF(AND(F740,H740),C740*E740*F740*H740,IF(AND(G740,H740),C740*E740*G740*H740,IF(F740,C740*E740*F740,IF(G740,C740*E740*G740,IF(H740,C740*E740*H740,C740*E740))))))),2)</f>
        <v>1.75</v>
      </c>
      <c r="J740" s="553" t="s">
        <v>102</v>
      </c>
      <c r="K740" s="39"/>
      <c r="L740" s="208"/>
      <c r="M740" s="39"/>
      <c r="N740" s="536" t="s">
        <v>2318</v>
      </c>
    </row>
    <row r="741" spans="1:14" s="544" customFormat="1" ht="16.5" hidden="1" customHeight="1">
      <c r="A741" s="16"/>
      <c r="B741" s="39"/>
      <c r="C741" s="537">
        <v>1</v>
      </c>
      <c r="D741" s="539" t="s">
        <v>273</v>
      </c>
      <c r="E741" s="540">
        <v>4</v>
      </c>
      <c r="F741" s="541">
        <v>1.83</v>
      </c>
      <c r="G741" s="541">
        <v>0.23</v>
      </c>
      <c r="H741" s="541">
        <v>0</v>
      </c>
      <c r="I741" s="545">
        <f>ROUND(IF(AND(F741:H741),C741*E741*F741*G741*H741,IF(AND(F741,G741),C741*E741*F741*G741,IF(AND(F741,H741),C741*E741*F741*H741,IF(AND(G741,H741),C741*E741*G741*H741,IF(F741,C741*E741*F741,IF(G741,C741*E741*G741,IF(H741,C741*E741*H741,C741*E741))))))),2)</f>
        <v>1.68</v>
      </c>
      <c r="J741" s="553" t="s">
        <v>102</v>
      </c>
      <c r="K741" s="39"/>
      <c r="L741" s="208"/>
      <c r="M741" s="39"/>
      <c r="N741" s="536" t="s">
        <v>2318</v>
      </c>
    </row>
    <row r="742" spans="1:14" s="544" customFormat="1" ht="16.5" hidden="1" customHeight="1">
      <c r="A742" s="16"/>
      <c r="B742" s="547"/>
      <c r="C742" s="548"/>
      <c r="D742" s="549"/>
      <c r="E742" s="550"/>
      <c r="F742" s="551"/>
      <c r="G742" s="551"/>
      <c r="H742" s="551"/>
      <c r="I742" s="552"/>
      <c r="J742" s="553"/>
      <c r="K742" s="39"/>
      <c r="L742" s="208"/>
      <c r="M742" s="39"/>
      <c r="N742" s="536" t="s">
        <v>2318</v>
      </c>
    </row>
    <row r="743" spans="1:14" ht="15.75" hidden="1">
      <c r="A743" s="16"/>
      <c r="B743" s="39"/>
      <c r="C743" s="554"/>
      <c r="D743" s="555"/>
      <c r="E743" s="540"/>
      <c r="F743" s="541"/>
      <c r="G743" s="40"/>
      <c r="H743" s="16"/>
      <c r="I743" s="552"/>
      <c r="J743" s="553" t="s">
        <v>102</v>
      </c>
      <c r="K743" s="10">
        <f>'data 2022-23'!G249</f>
        <v>724.02</v>
      </c>
      <c r="L743" s="208" t="s">
        <v>2437</v>
      </c>
      <c r="M743" s="9">
        <f>ROUND(I743*K743,0)</f>
        <v>0</v>
      </c>
      <c r="N743" s="536" t="s">
        <v>2318</v>
      </c>
    </row>
    <row r="744" spans="1:14" ht="17.25" hidden="1" customHeight="1">
      <c r="A744" s="16">
        <v>4</v>
      </c>
      <c r="B744" s="1858" t="s">
        <v>580</v>
      </c>
      <c r="C744" s="1858"/>
      <c r="D744" s="1858"/>
      <c r="E744" s="1858"/>
      <c r="F744" s="1858"/>
      <c r="G744" s="1858"/>
      <c r="H744" s="1858"/>
      <c r="I744" s="537"/>
      <c r="J744" s="538"/>
      <c r="K744" s="16"/>
      <c r="L744" s="208"/>
      <c r="M744" s="38"/>
      <c r="N744" s="536" t="s">
        <v>2318</v>
      </c>
    </row>
    <row r="745" spans="1:14" s="544" customFormat="1" ht="16.5" hidden="1" customHeight="1">
      <c r="A745" s="16"/>
      <c r="B745" s="39" t="s">
        <v>2901</v>
      </c>
      <c r="C745" s="537"/>
      <c r="D745" s="539"/>
      <c r="E745" s="540"/>
      <c r="F745" s="541"/>
      <c r="G745" s="541"/>
      <c r="H745" s="541"/>
      <c r="I745" s="542"/>
      <c r="J745" s="553"/>
      <c r="K745" s="39"/>
      <c r="L745" s="208"/>
      <c r="M745" s="39"/>
      <c r="N745" s="536" t="s">
        <v>2318</v>
      </c>
    </row>
    <row r="746" spans="1:14" s="544" customFormat="1" ht="16.5" hidden="1" customHeight="1">
      <c r="A746" s="16"/>
      <c r="B746" s="39" t="s">
        <v>1632</v>
      </c>
      <c r="C746" s="537">
        <v>1</v>
      </c>
      <c r="D746" s="539" t="s">
        <v>273</v>
      </c>
      <c r="E746" s="540">
        <v>2</v>
      </c>
      <c r="F746" s="541">
        <v>2.9</v>
      </c>
      <c r="G746" s="541">
        <v>0.23</v>
      </c>
      <c r="H746" s="541">
        <v>0.15</v>
      </c>
      <c r="I746" s="545">
        <f>ROUND(IF(AND(F746:H746),C746*E746*F746*G746*H746,IF(AND(F746,G746),C746*E746*F746*G746,IF(AND(F746,H746),C746*E746*F746*H746,IF(AND(G746,H746),C746*E746*G746*H746,IF(F746,C746*E746*F746,IF(G746,C746*E746*G746,IF(H746,C746*E746*H746,C746*E746))))))),2)</f>
        <v>0.2</v>
      </c>
      <c r="J746" s="553" t="s">
        <v>5</v>
      </c>
      <c r="K746" s="39"/>
      <c r="L746" s="208"/>
      <c r="M746" s="39"/>
      <c r="N746" s="536" t="s">
        <v>2318</v>
      </c>
    </row>
    <row r="747" spans="1:14" s="544" customFormat="1" ht="16.5" hidden="1" customHeight="1">
      <c r="A747" s="16"/>
      <c r="B747" s="39"/>
      <c r="C747" s="537">
        <v>1</v>
      </c>
      <c r="D747" s="539" t="s">
        <v>273</v>
      </c>
      <c r="E747" s="540">
        <v>2</v>
      </c>
      <c r="F747" s="541">
        <v>1</v>
      </c>
      <c r="G747" s="541">
        <v>0.23</v>
      </c>
      <c r="H747" s="541">
        <v>0.15</v>
      </c>
      <c r="I747" s="545">
        <f>ROUND(IF(AND(F747:H747),C747*E747*F747*G747*H747,IF(AND(F747,G747),C747*E747*F747*G747,IF(AND(F747,H747),C747*E747*F747*H747,IF(AND(G747,H747),C747*E747*G747*H747,IF(F747,C747*E747*F747,IF(G747,C747*E747*G747,IF(H747,C747*E747*H747,C747*E747))))))),2)</f>
        <v>7.0000000000000007E-2</v>
      </c>
      <c r="J747" s="553" t="s">
        <v>5</v>
      </c>
      <c r="K747" s="39"/>
      <c r="L747" s="208"/>
      <c r="M747" s="39"/>
      <c r="N747" s="536" t="s">
        <v>2318</v>
      </c>
    </row>
    <row r="748" spans="1:14" s="544" customFormat="1" ht="16.5" hidden="1" customHeight="1">
      <c r="A748" s="16"/>
      <c r="B748" s="39"/>
      <c r="C748" s="537">
        <v>1</v>
      </c>
      <c r="D748" s="539" t="s">
        <v>273</v>
      </c>
      <c r="E748" s="540">
        <v>1</v>
      </c>
      <c r="F748" s="541">
        <v>3.15</v>
      </c>
      <c r="G748" s="541">
        <v>0.23</v>
      </c>
      <c r="H748" s="541">
        <v>0.15</v>
      </c>
      <c r="I748" s="545">
        <f>ROUND(IF(AND(F748:H748),C748*E748*F748*G748*H748,IF(AND(F748,G748),C748*E748*F748*G748,IF(AND(F748,H748),C748*E748*F748*H748,IF(AND(G748,H748),C748*E748*G748*H748,IF(F748,C748*E748*F748,IF(G748,C748*E748*G748,IF(H748,C748*E748*H748,C748*E748))))))),2)</f>
        <v>0.11</v>
      </c>
      <c r="J748" s="553" t="s">
        <v>5</v>
      </c>
      <c r="K748" s="39"/>
      <c r="L748" s="208"/>
      <c r="M748" s="39"/>
      <c r="N748" s="536" t="s">
        <v>2318</v>
      </c>
    </row>
    <row r="749" spans="1:14" s="544" customFormat="1" ht="16.5" hidden="1" customHeight="1">
      <c r="A749" s="16"/>
      <c r="B749" s="547"/>
      <c r="C749" s="548"/>
      <c r="D749" s="549"/>
      <c r="E749" s="550"/>
      <c r="F749" s="541"/>
      <c r="G749" s="541"/>
      <c r="H749" s="541"/>
      <c r="I749" s="552"/>
      <c r="J749" s="553"/>
      <c r="K749" s="39"/>
      <c r="L749" s="208"/>
      <c r="M749" s="39"/>
      <c r="N749" s="536" t="s">
        <v>2318</v>
      </c>
    </row>
    <row r="750" spans="1:14" ht="15.75" hidden="1">
      <c r="A750" s="16"/>
      <c r="B750" s="39"/>
      <c r="C750" s="554"/>
      <c r="D750" s="555"/>
      <c r="E750" s="540"/>
      <c r="F750" s="541"/>
      <c r="G750" s="40"/>
      <c r="H750" s="16"/>
      <c r="I750" s="552"/>
      <c r="J750" s="553" t="s">
        <v>5</v>
      </c>
      <c r="K750" s="10">
        <f>'data 2022-23'!G158</f>
        <v>11874.810000000001</v>
      </c>
      <c r="L750" s="208" t="s">
        <v>274</v>
      </c>
      <c r="M750" s="9">
        <f>ROUND(I750*K750,0)</f>
        <v>0</v>
      </c>
      <c r="N750" s="536" t="s">
        <v>2318</v>
      </c>
    </row>
    <row r="751" spans="1:14" ht="17.25" hidden="1" customHeight="1">
      <c r="A751" s="16">
        <v>15</v>
      </c>
      <c r="B751" s="1858" t="s">
        <v>648</v>
      </c>
      <c r="C751" s="1858"/>
      <c r="D751" s="1858"/>
      <c r="E751" s="1858"/>
      <c r="F751" s="1858"/>
      <c r="G751" s="1858"/>
      <c r="H751" s="1858"/>
      <c r="I751" s="537"/>
      <c r="J751" s="538"/>
      <c r="K751" s="16"/>
      <c r="L751" s="208"/>
      <c r="M751" s="38"/>
      <c r="N751" s="536" t="s">
        <v>2318</v>
      </c>
    </row>
    <row r="752" spans="1:14" s="544" customFormat="1" ht="16.5" hidden="1" customHeight="1">
      <c r="A752" s="16"/>
      <c r="B752" s="39" t="s">
        <v>2826</v>
      </c>
      <c r="C752" s="537"/>
      <c r="D752" s="539"/>
      <c r="E752" s="540"/>
      <c r="F752" s="541"/>
      <c r="G752" s="541"/>
      <c r="H752" s="541"/>
      <c r="I752" s="542"/>
      <c r="J752" s="553"/>
      <c r="K752" s="39"/>
      <c r="L752" s="208"/>
      <c r="M752" s="39"/>
      <c r="N752" s="536" t="s">
        <v>2318</v>
      </c>
    </row>
    <row r="753" spans="1:14" s="544" customFormat="1" ht="16.5" hidden="1" customHeight="1">
      <c r="A753" s="16"/>
      <c r="B753" s="39"/>
      <c r="C753" s="537">
        <v>1</v>
      </c>
      <c r="D753" s="539" t="s">
        <v>273</v>
      </c>
      <c r="E753" s="540">
        <v>6</v>
      </c>
      <c r="F753" s="541">
        <v>1.82</v>
      </c>
      <c r="G753" s="541">
        <v>0</v>
      </c>
      <c r="H753" s="541">
        <v>0</v>
      </c>
      <c r="I753" s="545">
        <f>ROUND(IF(AND(F753:H753),C753*E753*F753*G753*H753,IF(AND(F753,G753),C753*E753*F753*G753,IF(AND(F753,H753),C753*E753*F753*H753,IF(AND(G753,H753),C753*E753*G753*H753,IF(F753,C753*E753*F753,IF(G753,C753*E753*G753,IF(H753,C753*E753*H753,C753*E753))))))),2)</f>
        <v>10.92</v>
      </c>
      <c r="J753" s="553" t="s">
        <v>277</v>
      </c>
      <c r="K753" s="39"/>
      <c r="L753" s="208"/>
      <c r="M753" s="39"/>
      <c r="N753" s="536" t="s">
        <v>2318</v>
      </c>
    </row>
    <row r="754" spans="1:14" s="544" customFormat="1" ht="16.5" hidden="1" customHeight="1">
      <c r="A754" s="16"/>
      <c r="B754" s="547"/>
      <c r="C754" s="548"/>
      <c r="D754" s="549"/>
      <c r="E754" s="550"/>
      <c r="F754" s="551"/>
      <c r="G754" s="551"/>
      <c r="H754" s="551"/>
      <c r="I754" s="552"/>
      <c r="J754" s="553"/>
      <c r="K754" s="39"/>
      <c r="L754" s="208"/>
      <c r="M754" s="39"/>
      <c r="N754" s="536" t="s">
        <v>2318</v>
      </c>
    </row>
    <row r="755" spans="1:14" ht="15.75" hidden="1">
      <c r="A755" s="16"/>
      <c r="B755" s="39"/>
      <c r="C755" s="554"/>
      <c r="D755" s="555"/>
      <c r="E755" s="540"/>
      <c r="F755" s="541"/>
      <c r="G755" s="40"/>
      <c r="H755" s="16"/>
      <c r="I755" s="552"/>
      <c r="J755" s="553" t="s">
        <v>277</v>
      </c>
      <c r="K755" s="10">
        <f>'data 2022-23'!G221</f>
        <v>744.7299999999999</v>
      </c>
      <c r="L755" s="208" t="s">
        <v>279</v>
      </c>
      <c r="M755" s="9">
        <f>ROUND(I755*K755,0)</f>
        <v>0</v>
      </c>
      <c r="N755" s="536" t="s">
        <v>2318</v>
      </c>
    </row>
    <row r="756" spans="1:14" ht="64.5" hidden="1" customHeight="1">
      <c r="A756" s="16">
        <v>3</v>
      </c>
      <c r="B756" s="1858" t="s">
        <v>151</v>
      </c>
      <c r="C756" s="1858"/>
      <c r="D756" s="1858"/>
      <c r="E756" s="1858"/>
      <c r="F756" s="1858"/>
      <c r="G756" s="1858"/>
      <c r="H756" s="1858"/>
      <c r="I756" s="537"/>
      <c r="J756" s="538"/>
      <c r="K756" s="16"/>
      <c r="L756" s="208"/>
      <c r="M756" s="38"/>
      <c r="N756" s="536" t="s">
        <v>2318</v>
      </c>
    </row>
    <row r="757" spans="1:14" s="544" customFormat="1" ht="16.5" hidden="1" customHeight="1">
      <c r="A757" s="16"/>
      <c r="B757" s="39" t="s">
        <v>2887</v>
      </c>
      <c r="C757" s="537"/>
      <c r="D757" s="539"/>
      <c r="E757" s="540"/>
      <c r="F757" s="541"/>
      <c r="G757" s="541"/>
      <c r="H757" s="541"/>
      <c r="I757" s="542"/>
      <c r="J757" s="553"/>
      <c r="K757" s="39"/>
      <c r="L757" s="16"/>
      <c r="M757" s="39"/>
      <c r="N757" s="536" t="s">
        <v>2318</v>
      </c>
    </row>
    <row r="758" spans="1:14" s="544" customFormat="1" ht="16.5" hidden="1" customHeight="1">
      <c r="A758" s="16"/>
      <c r="B758" s="39" t="s">
        <v>1631</v>
      </c>
      <c r="C758" s="537">
        <v>1</v>
      </c>
      <c r="D758" s="539" t="s">
        <v>273</v>
      </c>
      <c r="E758" s="540">
        <v>1</v>
      </c>
      <c r="F758" s="541">
        <v>4.3499999999999996</v>
      </c>
      <c r="G758" s="541">
        <v>4.2</v>
      </c>
      <c r="H758" s="541">
        <v>0</v>
      </c>
      <c r="I758" s="545">
        <f>ROUND(IF(AND(F758:H758),C758*E758*F758*G758*H758,IF(AND(F758,G758),C758*E758*F758*G758,IF(AND(F758,H758),C758*E758*F758*H758,IF(AND(G758,H758),C758*E758*G758*H758,IF(F758,C758*E758*F758,IF(G758,C758*E758*G758,IF(H758,C758*E758*H758,C758*E758))))))),2)</f>
        <v>18.27</v>
      </c>
      <c r="J758" s="553" t="s">
        <v>102</v>
      </c>
      <c r="K758" s="39"/>
      <c r="L758" s="16"/>
      <c r="M758" s="39"/>
      <c r="N758" s="536" t="s">
        <v>2318</v>
      </c>
    </row>
    <row r="759" spans="1:14" s="544" customFormat="1" ht="16.5" hidden="1" customHeight="1">
      <c r="A759" s="16"/>
      <c r="B759" s="547"/>
      <c r="C759" s="548"/>
      <c r="D759" s="549"/>
      <c r="E759" s="550"/>
      <c r="F759" s="551"/>
      <c r="G759" s="551"/>
      <c r="H759" s="551"/>
      <c r="I759" s="552"/>
      <c r="J759" s="553"/>
      <c r="K759" s="39"/>
      <c r="L759" s="208"/>
      <c r="M759" s="39"/>
      <c r="N759" s="536" t="s">
        <v>2318</v>
      </c>
    </row>
    <row r="760" spans="1:14" ht="15.75" hidden="1">
      <c r="A760" s="16"/>
      <c r="B760" s="39"/>
      <c r="C760" s="554"/>
      <c r="D760" s="555"/>
      <c r="E760" s="540"/>
      <c r="F760" s="541"/>
      <c r="G760" s="40"/>
      <c r="H760" s="16"/>
      <c r="I760" s="552"/>
      <c r="J760" s="553" t="s">
        <v>102</v>
      </c>
      <c r="K760" s="10">
        <f>'data 2022-23'!G566</f>
        <v>362.63</v>
      </c>
      <c r="L760" s="208" t="s">
        <v>2437</v>
      </c>
      <c r="M760" s="9">
        <f>ROUND(I760*K760,0)</f>
        <v>0</v>
      </c>
      <c r="N760" s="536" t="s">
        <v>2318</v>
      </c>
    </row>
    <row r="761" spans="1:14" ht="64.5" hidden="1" customHeight="1">
      <c r="A761" s="16">
        <v>13</v>
      </c>
      <c r="B761" s="1858" t="s">
        <v>1314</v>
      </c>
      <c r="C761" s="1858"/>
      <c r="D761" s="1858"/>
      <c r="E761" s="1858"/>
      <c r="F761" s="1858"/>
      <c r="G761" s="1858"/>
      <c r="H761" s="1858"/>
      <c r="I761" s="537"/>
      <c r="J761" s="538"/>
      <c r="K761" s="16"/>
      <c r="L761" s="208"/>
      <c r="M761" s="38"/>
      <c r="N761" s="536" t="s">
        <v>2318</v>
      </c>
    </row>
    <row r="762" spans="1:14" s="544" customFormat="1" ht="16.5" hidden="1" customHeight="1">
      <c r="A762" s="16"/>
      <c r="B762" s="39" t="s">
        <v>2888</v>
      </c>
      <c r="C762" s="537"/>
      <c r="D762" s="539"/>
      <c r="E762" s="540"/>
      <c r="F762" s="541"/>
      <c r="G762" s="541"/>
      <c r="H762" s="541"/>
      <c r="I762" s="542"/>
      <c r="J762" s="553"/>
      <c r="K762" s="39"/>
      <c r="L762" s="208"/>
      <c r="M762" s="39"/>
      <c r="N762" s="536" t="s">
        <v>2318</v>
      </c>
    </row>
    <row r="763" spans="1:14" s="544" customFormat="1" ht="16.5" hidden="1" customHeight="1">
      <c r="A763" s="16"/>
      <c r="B763" s="39"/>
      <c r="C763" s="537">
        <v>1</v>
      </c>
      <c r="D763" s="539" t="s">
        <v>273</v>
      </c>
      <c r="E763" s="540">
        <v>1</v>
      </c>
      <c r="F763" s="541">
        <v>10.45</v>
      </c>
      <c r="G763" s="541">
        <v>12</v>
      </c>
      <c r="H763" s="541">
        <v>0</v>
      </c>
      <c r="I763" s="545">
        <f>ROUND(IF(AND(F763:H763),C763*E763*F763*G763*H763,IF(AND(F763,G763),C763*E763*F763*G763,IF(AND(F763,H763),C763*E763*F763*H763,IF(AND(G763,H763),C763*E763*G763*H763,IF(F763,C763*E763*F763,IF(G763,C763*E763*G763,IF(H763,C763*E763*H763,C763*E763))))))),2)</f>
        <v>125.4</v>
      </c>
      <c r="J763" s="553" t="s">
        <v>102</v>
      </c>
      <c r="K763" s="39"/>
      <c r="L763" s="208"/>
      <c r="M763" s="39"/>
      <c r="N763" s="536" t="s">
        <v>2318</v>
      </c>
    </row>
    <row r="764" spans="1:14" s="544" customFormat="1" ht="16.5" hidden="1" customHeight="1">
      <c r="A764" s="16"/>
      <c r="B764" s="39"/>
      <c r="C764" s="537">
        <v>1</v>
      </c>
      <c r="D764" s="539" t="s">
        <v>273</v>
      </c>
      <c r="E764" s="540">
        <v>1</v>
      </c>
      <c r="F764" s="541">
        <v>3.52</v>
      </c>
      <c r="G764" s="541">
        <v>0.92</v>
      </c>
      <c r="H764" s="541">
        <v>0</v>
      </c>
      <c r="I764" s="545">
        <f>ROUND(IF(AND(F764:H764),C764*E764*F764*G764*H764,IF(AND(F764,G764),C764*E764*F764*G764,IF(AND(F764,H764),C764*E764*F764*H764,IF(AND(G764,H764),C764*E764*G764*H764,IF(F764,C764*E764*F764,IF(G764,C764*E764*G764,IF(H764,C764*E764*H764,C764*E764))))))),2)</f>
        <v>3.24</v>
      </c>
      <c r="J764" s="553" t="s">
        <v>102</v>
      </c>
      <c r="K764" s="39"/>
      <c r="L764" s="208"/>
      <c r="M764" s="39"/>
      <c r="N764" s="536" t="s">
        <v>2318</v>
      </c>
    </row>
    <row r="765" spans="1:14" s="544" customFormat="1" ht="16.5" hidden="1" customHeight="1">
      <c r="A765" s="16"/>
      <c r="B765" s="547"/>
      <c r="C765" s="548"/>
      <c r="D765" s="549"/>
      <c r="E765" s="550"/>
      <c r="F765" s="551"/>
      <c r="G765" s="551"/>
      <c r="H765" s="551"/>
      <c r="I765" s="552"/>
      <c r="J765" s="553"/>
      <c r="K765" s="39"/>
      <c r="L765" s="208"/>
      <c r="M765" s="39"/>
      <c r="N765" s="536" t="s">
        <v>2318</v>
      </c>
    </row>
    <row r="766" spans="1:14" ht="15.75" hidden="1">
      <c r="A766" s="16"/>
      <c r="B766" s="39"/>
      <c r="C766" s="554"/>
      <c r="D766" s="555"/>
      <c r="E766" s="540"/>
      <c r="F766" s="541"/>
      <c r="G766" s="40"/>
      <c r="H766" s="16"/>
      <c r="I766" s="552"/>
      <c r="J766" s="553" t="s">
        <v>102</v>
      </c>
      <c r="K766" s="10">
        <f>'data 2022-23'!G581</f>
        <v>470.34</v>
      </c>
      <c r="L766" s="208" t="s">
        <v>2437</v>
      </c>
      <c r="M766" s="9">
        <f>ROUND(I766*K766,0)</f>
        <v>0</v>
      </c>
      <c r="N766" s="536" t="s">
        <v>2318</v>
      </c>
    </row>
    <row r="767" spans="1:14" ht="69.75" hidden="1" customHeight="1">
      <c r="A767" s="16">
        <v>15</v>
      </c>
      <c r="B767" s="1858" t="s">
        <v>306</v>
      </c>
      <c r="C767" s="1858"/>
      <c r="D767" s="1858"/>
      <c r="E767" s="1858"/>
      <c r="F767" s="1858"/>
      <c r="G767" s="1858"/>
      <c r="H767" s="1858"/>
      <c r="I767" s="537"/>
      <c r="J767" s="538"/>
      <c r="K767" s="16"/>
      <c r="L767" s="208"/>
      <c r="M767" s="38"/>
      <c r="N767" s="536" t="s">
        <v>2318</v>
      </c>
    </row>
    <row r="768" spans="1:14" s="544" customFormat="1" ht="16.5" hidden="1" customHeight="1">
      <c r="A768" s="16"/>
      <c r="B768" s="39" t="s">
        <v>2848</v>
      </c>
      <c r="C768" s="537"/>
      <c r="D768" s="539"/>
      <c r="E768" s="540"/>
      <c r="F768" s="541"/>
      <c r="G768" s="541"/>
      <c r="H768" s="541"/>
      <c r="I768" s="542"/>
      <c r="J768" s="553"/>
      <c r="K768" s="39"/>
      <c r="L768" s="208"/>
      <c r="M768" s="39"/>
      <c r="N768" s="536" t="s">
        <v>2318</v>
      </c>
    </row>
    <row r="769" spans="1:14" s="544" customFormat="1" ht="16.5" hidden="1" customHeight="1">
      <c r="A769" s="16"/>
      <c r="B769" s="39" t="s">
        <v>809</v>
      </c>
      <c r="C769" s="537">
        <v>1</v>
      </c>
      <c r="D769" s="539" t="s">
        <v>273</v>
      </c>
      <c r="E769" s="540">
        <v>1</v>
      </c>
      <c r="F769" s="541">
        <v>12.73</v>
      </c>
      <c r="G769" s="541">
        <v>0.45</v>
      </c>
      <c r="H769" s="541">
        <v>1.3</v>
      </c>
      <c r="I769" s="545">
        <f>ROUND(IF(AND(F769:H769),C769*E769*F769*G769*H769,IF(AND(F769,G769),C769*E769*F769*G769,IF(AND(F769,H769),C769*E769*F769*H769,IF(AND(G769,H769),C769*E769*G769*H769,IF(F769,C769*E769*F769,IF(G769,C769*E769*G769,IF(H769,C769*E769*H769,C769*E769))))))),2)</f>
        <v>7.45</v>
      </c>
      <c r="J769" s="553" t="s">
        <v>5</v>
      </c>
      <c r="K769" s="39"/>
      <c r="L769" s="208"/>
      <c r="M769" s="39"/>
      <c r="N769" s="536" t="s">
        <v>2318</v>
      </c>
    </row>
    <row r="770" spans="1:14" s="544" customFormat="1" ht="16.5" hidden="1" customHeight="1">
      <c r="A770" s="16"/>
      <c r="B770" s="39" t="s">
        <v>810</v>
      </c>
      <c r="C770" s="537">
        <v>1</v>
      </c>
      <c r="D770" s="539" t="s">
        <v>273</v>
      </c>
      <c r="E770" s="540">
        <v>1</v>
      </c>
      <c r="F770" s="541">
        <v>5.45</v>
      </c>
      <c r="G770" s="541">
        <v>0.9</v>
      </c>
      <c r="H770" s="541">
        <v>0.35</v>
      </c>
      <c r="I770" s="545">
        <f>ROUND(IF(AND(F770:H770),C770*E770*F770*G770*H770,IF(AND(F770,G770),C770*E770*F770*G770,IF(AND(F770,H770),C770*E770*F770*H770,IF(AND(G770,H770),C770*E770*G770*H770,IF(F770,C770*E770*F770,IF(G770,C770*E770*G770,IF(H770,C770*E770*H770,C770*E770))))))),2)</f>
        <v>1.72</v>
      </c>
      <c r="J770" s="553" t="s">
        <v>5</v>
      </c>
      <c r="K770" s="39"/>
      <c r="L770" s="208"/>
      <c r="M770" s="39"/>
      <c r="N770" s="536" t="s">
        <v>2318</v>
      </c>
    </row>
    <row r="771" spans="1:14" s="544" customFormat="1" ht="16.5" hidden="1" customHeight="1">
      <c r="A771" s="16"/>
      <c r="B771" s="39" t="s">
        <v>811</v>
      </c>
      <c r="C771" s="537">
        <v>1</v>
      </c>
      <c r="D771" s="539" t="s">
        <v>273</v>
      </c>
      <c r="E771" s="540">
        <v>1</v>
      </c>
      <c r="F771" s="541">
        <v>5.45</v>
      </c>
      <c r="G771" s="541">
        <v>0.6</v>
      </c>
      <c r="H771" s="541">
        <v>0.15</v>
      </c>
      <c r="I771" s="545">
        <f>ROUND(IF(AND(F771:H771),C771*E771*F771*G771*H771,IF(AND(F771,G771),C771*E771*F771*G771,IF(AND(F771,H771),C771*E771*F771*H771,IF(AND(G771,H771),C771*E771*G771*H771,IF(F771,C771*E771*F771,IF(G771,C771*E771*G771,IF(H771,C771*E771*H771,C771*E771))))))),2)</f>
        <v>0.49</v>
      </c>
      <c r="J771" s="553" t="s">
        <v>5</v>
      </c>
      <c r="K771" s="39"/>
      <c r="L771" s="208"/>
      <c r="M771" s="39"/>
      <c r="N771" s="536" t="s">
        <v>2318</v>
      </c>
    </row>
    <row r="772" spans="1:14" s="544" customFormat="1" ht="16.5" hidden="1" customHeight="1">
      <c r="A772" s="16"/>
      <c r="B772" s="39" t="s">
        <v>812</v>
      </c>
      <c r="C772" s="537">
        <v>1</v>
      </c>
      <c r="D772" s="539" t="s">
        <v>273</v>
      </c>
      <c r="E772" s="540">
        <v>1</v>
      </c>
      <c r="F772" s="541">
        <v>5.45</v>
      </c>
      <c r="G772" s="541">
        <v>0.3</v>
      </c>
      <c r="H772" s="541">
        <v>0.15</v>
      </c>
      <c r="I772" s="545">
        <f>ROUND(IF(AND(F772:H772),C772*E772*F772*G772*H772,IF(AND(F772,G772),C772*E772*F772*G772,IF(AND(F772,H772),C772*E772*F772*H772,IF(AND(G772,H772),C772*E772*G772*H772,IF(F772,C772*E772*F772,IF(G772,C772*E772*G772,IF(H772,C772*E772*H772,C772*E772))))))),2)</f>
        <v>0.25</v>
      </c>
      <c r="J772" s="553" t="s">
        <v>5</v>
      </c>
      <c r="K772" s="39"/>
      <c r="L772" s="208"/>
      <c r="M772" s="39"/>
      <c r="N772" s="536" t="s">
        <v>2318</v>
      </c>
    </row>
    <row r="773" spans="1:14" s="544" customFormat="1" ht="16.5" hidden="1" customHeight="1">
      <c r="A773" s="16"/>
      <c r="B773" s="547"/>
      <c r="C773" s="548"/>
      <c r="D773" s="549"/>
      <c r="E773" s="550"/>
      <c r="F773" s="551"/>
      <c r="G773" s="551"/>
      <c r="H773" s="551"/>
      <c r="I773" s="552"/>
      <c r="J773" s="553"/>
      <c r="K773" s="39"/>
      <c r="L773" s="208"/>
      <c r="M773" s="39"/>
      <c r="N773" s="536" t="s">
        <v>2318</v>
      </c>
    </row>
    <row r="774" spans="1:14" ht="15.75" hidden="1">
      <c r="A774" s="16"/>
      <c r="B774" s="39"/>
      <c r="C774" s="554"/>
      <c r="D774" s="555"/>
      <c r="E774" s="540"/>
      <c r="F774" s="541"/>
      <c r="G774" s="40"/>
      <c r="H774" s="16"/>
      <c r="I774" s="552"/>
      <c r="J774" s="553" t="s">
        <v>5</v>
      </c>
      <c r="K774" s="10">
        <f>'data 2022-23'!G391</f>
        <v>7616.9999999999991</v>
      </c>
      <c r="L774" s="208" t="s">
        <v>274</v>
      </c>
      <c r="M774" s="9">
        <f>ROUND(I774*K774,0)</f>
        <v>0</v>
      </c>
      <c r="N774" s="536" t="s">
        <v>2318</v>
      </c>
    </row>
    <row r="775" spans="1:14" ht="69.75" hidden="1" customHeight="1">
      <c r="A775" s="16">
        <v>5</v>
      </c>
      <c r="B775" s="1858" t="s">
        <v>649</v>
      </c>
      <c r="C775" s="1858"/>
      <c r="D775" s="1858"/>
      <c r="E775" s="1858"/>
      <c r="F775" s="1858"/>
      <c r="G775" s="1858"/>
      <c r="H775" s="1858"/>
      <c r="I775" s="537"/>
      <c r="J775" s="538"/>
      <c r="K775" s="16"/>
      <c r="L775" s="208"/>
      <c r="M775" s="38"/>
      <c r="N775" s="536" t="s">
        <v>2318</v>
      </c>
    </row>
    <row r="776" spans="1:14" s="544" customFormat="1" ht="16.5" hidden="1" customHeight="1">
      <c r="A776" s="16"/>
      <c r="B776" s="39" t="s">
        <v>2856</v>
      </c>
      <c r="C776" s="537"/>
      <c r="D776" s="539"/>
      <c r="E776" s="540"/>
      <c r="F776" s="541"/>
      <c r="G776" s="541"/>
      <c r="H776" s="541"/>
      <c r="I776" s="542"/>
      <c r="J776" s="553"/>
      <c r="K776" s="39"/>
      <c r="L776" s="208"/>
      <c r="M776" s="39"/>
      <c r="N776" s="536" t="s">
        <v>2318</v>
      </c>
    </row>
    <row r="777" spans="1:14" s="544" customFormat="1" ht="16.5" hidden="1" customHeight="1">
      <c r="A777" s="16"/>
      <c r="B777" s="39"/>
      <c r="C777" s="537">
        <v>1</v>
      </c>
      <c r="D777" s="539" t="s">
        <v>273</v>
      </c>
      <c r="E777" s="540">
        <v>1</v>
      </c>
      <c r="F777" s="541">
        <v>3.16</v>
      </c>
      <c r="G777" s="541">
        <v>0.23</v>
      </c>
      <c r="H777" s="541">
        <v>2.4</v>
      </c>
      <c r="I777" s="579">
        <f>ROUND(IF(AND(F777:H777),C777*E777*F777*G777*H777,IF(AND(F777,G777),C777*E777*F777*G777,IF(AND(F777,H777),C777*E777*F777*H777,IF(AND(G777,H777),C777*E777*G777*H777,IF(F777,C777*E777*F777,IF(G777,C777*E777*G777,IF(H777,C777*E777*H777,C777*E777))))))),2)</f>
        <v>1.74</v>
      </c>
      <c r="J777" s="553" t="s">
        <v>5</v>
      </c>
      <c r="K777" s="39"/>
      <c r="L777" s="208"/>
      <c r="M777" s="39"/>
      <c r="N777" s="536" t="s">
        <v>2318</v>
      </c>
    </row>
    <row r="778" spans="1:14" s="544" customFormat="1" ht="16.5" hidden="1" customHeight="1">
      <c r="A778" s="16"/>
      <c r="B778" s="547"/>
      <c r="C778" s="548"/>
      <c r="D778" s="549"/>
      <c r="E778" s="550"/>
      <c r="F778" s="551"/>
      <c r="G778" s="551"/>
      <c r="H778" s="551"/>
      <c r="I778" s="552"/>
      <c r="J778" s="553"/>
      <c r="K778" s="39"/>
      <c r="L778" s="208"/>
      <c r="M778" s="39"/>
      <c r="N778" s="536" t="s">
        <v>2318</v>
      </c>
    </row>
    <row r="779" spans="1:14" ht="15.75" hidden="1">
      <c r="A779" s="16"/>
      <c r="B779" s="39"/>
      <c r="C779" s="554"/>
      <c r="D779" s="555"/>
      <c r="E779" s="540"/>
      <c r="F779" s="541"/>
      <c r="G779" s="40"/>
      <c r="H779" s="16"/>
      <c r="I779" s="552"/>
      <c r="J779" s="553" t="s">
        <v>5</v>
      </c>
      <c r="K779" s="10">
        <f>'data 2022-23'!G374</f>
        <v>7673.4</v>
      </c>
      <c r="L779" s="208" t="s">
        <v>274</v>
      </c>
      <c r="M779" s="9">
        <f>ROUND(I779*K779,0)</f>
        <v>0</v>
      </c>
      <c r="N779" s="536" t="s">
        <v>2318</v>
      </c>
    </row>
    <row r="780" spans="1:14" ht="132.75" hidden="1" customHeight="1">
      <c r="A780" s="16">
        <v>6</v>
      </c>
      <c r="B780" s="1858" t="s">
        <v>901</v>
      </c>
      <c r="C780" s="1858"/>
      <c r="D780" s="1858"/>
      <c r="E780" s="1858"/>
      <c r="F780" s="1858"/>
      <c r="G780" s="1858"/>
      <c r="H780" s="1858"/>
      <c r="I780" s="537"/>
      <c r="J780" s="538"/>
      <c r="K780" s="16"/>
      <c r="L780" s="208"/>
      <c r="M780" s="38"/>
      <c r="N780" s="536" t="s">
        <v>2318</v>
      </c>
    </row>
    <row r="781" spans="1:14" s="544" customFormat="1" ht="16.5" hidden="1" customHeight="1">
      <c r="A781" s="16"/>
      <c r="B781" s="39" t="s">
        <v>2891</v>
      </c>
      <c r="C781" s="537"/>
      <c r="D781" s="539"/>
      <c r="E781" s="540"/>
      <c r="F781" s="541"/>
      <c r="G781" s="541"/>
      <c r="H781" s="541"/>
      <c r="I781" s="542"/>
      <c r="J781" s="553"/>
      <c r="K781" s="39"/>
      <c r="L781" s="208"/>
      <c r="M781" s="39"/>
      <c r="N781" s="536" t="s">
        <v>2318</v>
      </c>
    </row>
    <row r="782" spans="1:14" s="544" customFormat="1" ht="16.5" hidden="1" customHeight="1">
      <c r="A782" s="16"/>
      <c r="B782" s="39" t="s">
        <v>1531</v>
      </c>
      <c r="C782" s="537">
        <v>1</v>
      </c>
      <c r="D782" s="539" t="s">
        <v>273</v>
      </c>
      <c r="E782" s="540">
        <v>1</v>
      </c>
      <c r="F782" s="541">
        <v>2.72</v>
      </c>
      <c r="G782" s="541">
        <v>0</v>
      </c>
      <c r="H782" s="541">
        <v>2.4</v>
      </c>
      <c r="I782" s="579">
        <f>ROUND(IF(AND(F782:H782),C782*E782*F782*G782*H782,IF(AND(F782,G782),C782*E782*F782*G782,IF(AND(F782,H782),C782*E782*F782*H782,IF(AND(G782,H782),C782*E782*G782*H782,IF(F782,C782*E782*F782,IF(G782,C782*E782*G782,IF(H782,C782*E782*H782,C782*E782))))))),2)</f>
        <v>6.53</v>
      </c>
      <c r="J782" s="553" t="s">
        <v>102</v>
      </c>
      <c r="K782" s="39"/>
      <c r="L782" s="208"/>
      <c r="M782" s="39"/>
      <c r="N782" s="536" t="s">
        <v>2318</v>
      </c>
    </row>
    <row r="783" spans="1:14" s="544" customFormat="1" ht="16.5" hidden="1" customHeight="1">
      <c r="A783" s="16"/>
      <c r="B783" s="39"/>
      <c r="C783" s="537">
        <v>1</v>
      </c>
      <c r="D783" s="539" t="s">
        <v>273</v>
      </c>
      <c r="E783" s="540">
        <v>2</v>
      </c>
      <c r="F783" s="541">
        <v>1</v>
      </c>
      <c r="G783" s="541">
        <v>0</v>
      </c>
      <c r="H783" s="541">
        <v>2.7</v>
      </c>
      <c r="I783" s="579">
        <f>ROUND(IF(AND(F783:H783),C783*E783*F783*G783*H783,IF(AND(F783,G783),C783*E783*F783*G783,IF(AND(F783,H783),C783*E783*F783*H783,IF(AND(G783,H783),C783*E783*G783*H783,IF(F783,C783*E783*F783,IF(G783,C783*E783*G783,IF(H783,C783*E783*H783,C783*E783))))))),2)</f>
        <v>5.4</v>
      </c>
      <c r="J783" s="553" t="s">
        <v>102</v>
      </c>
      <c r="K783" s="39"/>
      <c r="L783" s="208"/>
      <c r="M783" s="39"/>
      <c r="N783" s="536" t="s">
        <v>2318</v>
      </c>
    </row>
    <row r="784" spans="1:14" s="544" customFormat="1" ht="16.5" hidden="1" customHeight="1">
      <c r="A784" s="16"/>
      <c r="B784" s="39"/>
      <c r="C784" s="537"/>
      <c r="D784" s="539"/>
      <c r="E784" s="540"/>
      <c r="F784" s="541"/>
      <c r="G784" s="541"/>
      <c r="H784" s="541"/>
      <c r="I784" s="545"/>
      <c r="J784" s="553"/>
      <c r="K784" s="39"/>
      <c r="L784" s="208"/>
      <c r="M784" s="39"/>
      <c r="N784" s="536" t="s">
        <v>2318</v>
      </c>
    </row>
    <row r="785" spans="1:14" ht="15.75" hidden="1">
      <c r="A785" s="16"/>
      <c r="B785" s="39"/>
      <c r="C785" s="554"/>
      <c r="D785" s="555"/>
      <c r="E785" s="540"/>
      <c r="F785" s="541"/>
      <c r="G785" s="40"/>
      <c r="H785" s="16"/>
      <c r="I785" s="552"/>
      <c r="J785" s="553" t="s">
        <v>102</v>
      </c>
      <c r="K785" s="10">
        <f>'data 2022-23'!G409</f>
        <v>1015.55</v>
      </c>
      <c r="L785" s="208" t="s">
        <v>2437</v>
      </c>
      <c r="M785" s="9">
        <f>ROUND(I785*K785/1,0)</f>
        <v>0</v>
      </c>
      <c r="N785" s="536" t="s">
        <v>2318</v>
      </c>
    </row>
    <row r="786" spans="1:14" ht="79.5" hidden="1" customHeight="1">
      <c r="A786" s="16">
        <v>20</v>
      </c>
      <c r="B786" s="1858" t="s">
        <v>1201</v>
      </c>
      <c r="C786" s="1858"/>
      <c r="D786" s="1858"/>
      <c r="E786" s="1858"/>
      <c r="F786" s="1858"/>
      <c r="G786" s="1858"/>
      <c r="H786" s="1858"/>
      <c r="I786" s="537"/>
      <c r="J786" s="538"/>
      <c r="K786" s="16"/>
      <c r="L786" s="208"/>
      <c r="M786" s="38"/>
      <c r="N786" s="536" t="s">
        <v>2318</v>
      </c>
    </row>
    <row r="787" spans="1:14" s="544" customFormat="1" ht="16.5" hidden="1" customHeight="1">
      <c r="A787" s="16"/>
      <c r="B787" s="39" t="s">
        <v>2818</v>
      </c>
      <c r="C787" s="537"/>
      <c r="D787" s="539"/>
      <c r="E787" s="540"/>
      <c r="F787" s="541"/>
      <c r="G787" s="541"/>
      <c r="H787" s="541"/>
      <c r="I787" s="542"/>
      <c r="J787" s="553"/>
      <c r="K787" s="39"/>
      <c r="L787" s="208"/>
      <c r="M787" s="39"/>
      <c r="N787" s="536" t="s">
        <v>2318</v>
      </c>
    </row>
    <row r="788" spans="1:14" s="544" customFormat="1" ht="16.5" hidden="1" customHeight="1">
      <c r="A788" s="16"/>
      <c r="B788" s="39" t="s">
        <v>1242</v>
      </c>
      <c r="C788" s="537">
        <v>1</v>
      </c>
      <c r="D788" s="539" t="s">
        <v>273</v>
      </c>
      <c r="E788" s="540">
        <v>2</v>
      </c>
      <c r="F788" s="541">
        <v>0.75</v>
      </c>
      <c r="G788" s="541">
        <v>0.15</v>
      </c>
      <c r="H788" s="541">
        <v>1.05</v>
      </c>
      <c r="I788" s="545">
        <f>ROUND(IF(AND(F788:H788),C788*E788*F788*G788*H788,IF(AND(F788,G788),C788*E788*F788*G788,IF(AND(F788,H788),C788*E788*F788*H788,IF(AND(G788,H788),C788*E788*G788*H788,IF(F788,C788*E788*F788,IF(G788,C788*E788*G788,IF(H788,C788*E788*H788,C788*E788))))))),2)</f>
        <v>0.24</v>
      </c>
      <c r="J788" s="553" t="s">
        <v>5</v>
      </c>
      <c r="K788" s="39"/>
      <c r="L788" s="208"/>
      <c r="M788" s="39"/>
      <c r="N788" s="536" t="s">
        <v>2318</v>
      </c>
    </row>
    <row r="789" spans="1:14" s="544" customFormat="1" ht="16.5" hidden="1" customHeight="1">
      <c r="A789" s="16"/>
      <c r="B789" s="39"/>
      <c r="C789" s="537">
        <v>1</v>
      </c>
      <c r="D789" s="539" t="s">
        <v>273</v>
      </c>
      <c r="E789" s="540">
        <v>1</v>
      </c>
      <c r="F789" s="541">
        <v>1.2</v>
      </c>
      <c r="G789" s="541">
        <v>0.15</v>
      </c>
      <c r="H789" s="541">
        <v>0.75</v>
      </c>
      <c r="I789" s="545">
        <f>ROUND(IF(AND(F789:H789),C789*E789*F789*G789*H789,IF(AND(F789,G789),C789*E789*F789*G789,IF(AND(F789,H789),C789*E789*F789*H789,IF(AND(G789,H789),C789*E789*G789*H789,IF(F789,C789*E789*F789,IF(G789,C789*E789*G789,IF(H789,C789*E789*H789,C789*E789))))))),2)</f>
        <v>0.14000000000000001</v>
      </c>
      <c r="J789" s="553" t="s">
        <v>5</v>
      </c>
      <c r="K789" s="39"/>
      <c r="L789" s="208"/>
      <c r="M789" s="39"/>
      <c r="N789" s="536" t="s">
        <v>2318</v>
      </c>
    </row>
    <row r="790" spans="1:14" s="544" customFormat="1" ht="16.5" hidden="1" customHeight="1">
      <c r="A790" s="16"/>
      <c r="B790" s="39"/>
      <c r="C790" s="537">
        <v>1</v>
      </c>
      <c r="D790" s="539" t="s">
        <v>273</v>
      </c>
      <c r="E790" s="540">
        <v>1</v>
      </c>
      <c r="F790" s="541">
        <v>2.85</v>
      </c>
      <c r="G790" s="541">
        <v>0.15</v>
      </c>
      <c r="H790" s="541">
        <v>1.2</v>
      </c>
      <c r="I790" s="545">
        <f>ROUND(IF(AND(F790:H790),C790*E790*F790*G790*H790,IF(AND(F790,G790),C790*E790*F790*G790,IF(AND(F790,H790),C790*E790*F790*H790,IF(AND(G790,H790),C790*E790*G790*H790,IF(F790,C790*E790*F790,IF(G790,C790*E790*G790,IF(H790,C790*E790*H790,C790*E790))))))),2)</f>
        <v>0.51</v>
      </c>
      <c r="J790" s="553" t="s">
        <v>5</v>
      </c>
      <c r="K790" s="39"/>
      <c r="L790" s="208"/>
      <c r="M790" s="39"/>
      <c r="N790" s="536" t="s">
        <v>2318</v>
      </c>
    </row>
    <row r="791" spans="1:14" s="544" customFormat="1" ht="16.5" hidden="1" customHeight="1">
      <c r="A791" s="16"/>
      <c r="B791" s="547"/>
      <c r="C791" s="548"/>
      <c r="D791" s="549"/>
      <c r="E791" s="550"/>
      <c r="F791" s="551"/>
      <c r="G791" s="551"/>
      <c r="H791" s="551"/>
      <c r="I791" s="552"/>
      <c r="J791" s="553"/>
      <c r="K791" s="39"/>
      <c r="L791" s="208"/>
      <c r="M791" s="39"/>
      <c r="N791" s="536" t="s">
        <v>2318</v>
      </c>
    </row>
    <row r="792" spans="1:14" ht="15.75" hidden="1">
      <c r="A792" s="16"/>
      <c r="B792" s="39"/>
      <c r="C792" s="554"/>
      <c r="D792" s="555"/>
      <c r="E792" s="540"/>
      <c r="F792" s="541"/>
      <c r="G792" s="40"/>
      <c r="H792" s="16"/>
      <c r="I792" s="552"/>
      <c r="J792" s="553" t="s">
        <v>5</v>
      </c>
      <c r="K792" s="10">
        <f>'data 2022-23'!G426</f>
        <v>7187.4500000000007</v>
      </c>
      <c r="L792" s="208" t="s">
        <v>274</v>
      </c>
      <c r="M792" s="9">
        <f>ROUND(I792*K792,0)</f>
        <v>0</v>
      </c>
      <c r="N792" s="536" t="s">
        <v>2318</v>
      </c>
    </row>
    <row r="793" spans="1:14" ht="54.75" hidden="1" customHeight="1">
      <c r="A793" s="16">
        <v>7</v>
      </c>
      <c r="B793" s="1858" t="s">
        <v>125</v>
      </c>
      <c r="C793" s="1858"/>
      <c r="D793" s="1858"/>
      <c r="E793" s="1858"/>
      <c r="F793" s="1858"/>
      <c r="G793" s="1858"/>
      <c r="H793" s="1858"/>
      <c r="I793" s="537"/>
      <c r="J793" s="538"/>
      <c r="K793" s="16"/>
      <c r="L793" s="208"/>
      <c r="M793" s="38"/>
      <c r="N793" s="536" t="s">
        <v>2318</v>
      </c>
    </row>
    <row r="794" spans="1:14" s="544" customFormat="1" ht="16.5" hidden="1" customHeight="1">
      <c r="A794" s="16"/>
      <c r="B794" s="39" t="s">
        <v>2866</v>
      </c>
      <c r="C794" s="537"/>
      <c r="D794" s="539"/>
      <c r="E794" s="540"/>
      <c r="F794" s="541"/>
      <c r="G794" s="541"/>
      <c r="H794" s="541"/>
      <c r="I794" s="542"/>
      <c r="J794" s="553"/>
      <c r="K794" s="39"/>
      <c r="L794" s="208"/>
      <c r="M794" s="39"/>
      <c r="N794" s="536" t="s">
        <v>2318</v>
      </c>
    </row>
    <row r="795" spans="1:14" s="544" customFormat="1" ht="16.5" hidden="1" customHeight="1">
      <c r="A795" s="16"/>
      <c r="B795" s="39" t="s">
        <v>1531</v>
      </c>
      <c r="C795" s="537">
        <v>1</v>
      </c>
      <c r="D795" s="539" t="s">
        <v>273</v>
      </c>
      <c r="E795" s="540">
        <v>1</v>
      </c>
      <c r="F795" s="541">
        <v>2.93</v>
      </c>
      <c r="G795" s="541">
        <v>0.87</v>
      </c>
      <c r="H795" s="541">
        <v>0</v>
      </c>
      <c r="I795" s="579">
        <f>ROUND(IF(AND(F795:H795),C795*E795*F795*G795*H795,IF(AND(F795,G795),C795*E795*F795*G795,IF(AND(F795,H795),C795*E795*F795*H795,IF(AND(G795,H795),C795*E795*G795*H795,IF(F795,C795*E795*F795,IF(G795,C795*E795*G795,IF(H795,C795*E795*H795,C795*E795))))))),2)</f>
        <v>2.5499999999999998</v>
      </c>
      <c r="J795" s="553" t="s">
        <v>102</v>
      </c>
      <c r="K795" s="39"/>
      <c r="L795" s="208"/>
      <c r="M795" s="39"/>
      <c r="N795" s="536" t="s">
        <v>2318</v>
      </c>
    </row>
    <row r="796" spans="1:14" s="544" customFormat="1" ht="16.5" hidden="1" customHeight="1">
      <c r="A796" s="16"/>
      <c r="B796" s="39" t="s">
        <v>1244</v>
      </c>
      <c r="C796" s="537">
        <v>1</v>
      </c>
      <c r="D796" s="539" t="s">
        <v>273</v>
      </c>
      <c r="E796" s="540">
        <v>2</v>
      </c>
      <c r="F796" s="541">
        <v>2.7</v>
      </c>
      <c r="G796" s="541">
        <v>0.3</v>
      </c>
      <c r="H796" s="541">
        <v>0</v>
      </c>
      <c r="I796" s="579">
        <f>ROUND(IF(AND(F796:H796),C796*E796*F796*G796*H796,IF(AND(F796,G796),C796*E796*F796*G796,IF(AND(F796,H796),C796*E796*F796*H796,IF(AND(G796,H796),C796*E796*G796*H796,IF(F796,C796*E796*F796,IF(G796,C796*E796*G796,IF(H796,C796*E796*H796,C796*E796))))))),2)</f>
        <v>1.62</v>
      </c>
      <c r="J796" s="553" t="s">
        <v>102</v>
      </c>
      <c r="K796" s="39"/>
      <c r="L796" s="208"/>
      <c r="M796" s="39"/>
      <c r="N796" s="536" t="s">
        <v>2318</v>
      </c>
    </row>
    <row r="797" spans="1:14" s="544" customFormat="1" ht="16.5" hidden="1" customHeight="1">
      <c r="A797" s="16"/>
      <c r="B797" s="39" t="s">
        <v>2166</v>
      </c>
      <c r="C797" s="537">
        <v>1</v>
      </c>
      <c r="D797" s="539" t="s">
        <v>273</v>
      </c>
      <c r="E797" s="540">
        <v>2</v>
      </c>
      <c r="F797" s="541">
        <v>0.88</v>
      </c>
      <c r="G797" s="541">
        <v>4.5999999999999996</v>
      </c>
      <c r="H797" s="541">
        <v>0</v>
      </c>
      <c r="I797" s="579">
        <f>ROUND(IF(AND(F797:H797),C797*E797*F797*G797*H797,IF(AND(F797,G797),C797*E797*F797*G797,IF(AND(F797,H797),C797*E797*F797*H797,IF(AND(G797,H797),C797*E797*G797*H797,IF(F797,C797*E797*F797,IF(G797,C797*E797*G797,IF(H797,C797*E797*H797,C797*E797))))))),2)</f>
        <v>8.1</v>
      </c>
      <c r="J797" s="553" t="s">
        <v>102</v>
      </c>
      <c r="K797" s="39"/>
      <c r="L797" s="208"/>
      <c r="M797" s="39"/>
      <c r="N797" s="536" t="s">
        <v>2318</v>
      </c>
    </row>
    <row r="798" spans="1:14" s="544" customFormat="1" ht="16.5" hidden="1" customHeight="1">
      <c r="A798" s="16"/>
      <c r="B798" s="547"/>
      <c r="C798" s="548"/>
      <c r="D798" s="549"/>
      <c r="E798" s="550"/>
      <c r="F798" s="551"/>
      <c r="G798" s="551"/>
      <c r="H798" s="551"/>
      <c r="I798" s="552"/>
      <c r="J798" s="553"/>
      <c r="K798" s="39"/>
      <c r="L798" s="208"/>
      <c r="M798" s="39"/>
      <c r="N798" s="536" t="s">
        <v>2318</v>
      </c>
    </row>
    <row r="799" spans="1:14" ht="15.75" hidden="1">
      <c r="A799" s="16"/>
      <c r="B799" s="39"/>
      <c r="C799" s="554"/>
      <c r="D799" s="555"/>
      <c r="E799" s="540"/>
      <c r="F799" s="541"/>
      <c r="G799" s="40"/>
      <c r="H799" s="16"/>
      <c r="I799" s="552"/>
      <c r="J799" s="553" t="s">
        <v>102</v>
      </c>
      <c r="K799" s="10">
        <f>'data 2022-23'!G442</f>
        <v>385.55</v>
      </c>
      <c r="L799" s="208" t="s">
        <v>2437</v>
      </c>
      <c r="M799" s="9">
        <f>ROUND(I799*K799,0)</f>
        <v>0</v>
      </c>
      <c r="N799" s="536" t="s">
        <v>2318</v>
      </c>
    </row>
    <row r="800" spans="1:14" ht="42" hidden="1" customHeight="1">
      <c r="A800" s="16">
        <v>8</v>
      </c>
      <c r="B800" s="1858" t="s">
        <v>126</v>
      </c>
      <c r="C800" s="1858"/>
      <c r="D800" s="1858"/>
      <c r="E800" s="1858"/>
      <c r="F800" s="1858"/>
      <c r="G800" s="1858"/>
      <c r="H800" s="1858"/>
      <c r="I800" s="537"/>
      <c r="J800" s="538"/>
      <c r="K800" s="16"/>
      <c r="L800" s="208"/>
      <c r="M800" s="38"/>
      <c r="N800" s="536" t="s">
        <v>2318</v>
      </c>
    </row>
    <row r="801" spans="1:14" s="544" customFormat="1" ht="16.5" hidden="1" customHeight="1">
      <c r="A801" s="16"/>
      <c r="B801" s="39" t="s">
        <v>2853</v>
      </c>
      <c r="C801" s="566"/>
      <c r="D801" s="567"/>
      <c r="E801" s="568"/>
      <c r="F801" s="569"/>
      <c r="G801" s="569"/>
      <c r="H801" s="570"/>
      <c r="I801" s="571"/>
      <c r="J801" s="553"/>
      <c r="K801" s="39"/>
      <c r="L801" s="208"/>
      <c r="M801" s="39"/>
      <c r="N801" s="536" t="s">
        <v>2318</v>
      </c>
    </row>
    <row r="802" spans="1:14" s="544" customFormat="1" ht="16.5" hidden="1" customHeight="1">
      <c r="A802" s="16"/>
      <c r="B802" s="39" t="s">
        <v>1545</v>
      </c>
      <c r="C802" s="537">
        <v>1</v>
      </c>
      <c r="D802" s="539" t="s">
        <v>273</v>
      </c>
      <c r="E802" s="540">
        <v>2</v>
      </c>
      <c r="F802" s="541">
        <v>4.37</v>
      </c>
      <c r="G802" s="541">
        <v>0</v>
      </c>
      <c r="H802" s="541">
        <v>2.65</v>
      </c>
      <c r="I802" s="579">
        <f>ROUND(IF(AND(F802:H802),C802*E802*F802*G802*H802,IF(AND(F802,G802),C802*E802*F802*G802,IF(AND(F802,H802),C802*E802*F802*H802,IF(AND(G802,H802),C802*E802*G802*H802,IF(F802,C802*E802*F802,IF(G802,C802*E802*G802,IF(H802,C802*E802*H802,C802*E802))))))),2)</f>
        <v>23.16</v>
      </c>
      <c r="J802" s="553" t="s">
        <v>102</v>
      </c>
      <c r="K802" s="39"/>
      <c r="L802" s="208"/>
      <c r="M802" s="39"/>
      <c r="N802" s="536" t="s">
        <v>2318</v>
      </c>
    </row>
    <row r="803" spans="1:14" s="544" customFormat="1" ht="16.5" hidden="1" customHeight="1">
      <c r="A803" s="16"/>
      <c r="B803" s="39" t="s">
        <v>579</v>
      </c>
      <c r="C803" s="537">
        <v>1</v>
      </c>
      <c r="D803" s="539" t="s">
        <v>273</v>
      </c>
      <c r="E803" s="540">
        <v>1</v>
      </c>
      <c r="F803" s="541">
        <v>0.9</v>
      </c>
      <c r="G803" s="541">
        <v>0</v>
      </c>
      <c r="H803" s="541">
        <v>2.08</v>
      </c>
      <c r="I803" s="579">
        <f>-ROUND(IF(AND(F803:H803),C803*E803*F803*G803*H803,IF(AND(F803,G803),C803*E803*F803*G803,IF(AND(F803,H803),C803*E803*F803*H803,IF(AND(G803,H803),C803*E803*G803*H803,IF(F803,C803*E803*F803,IF(G803,C803*E803*G803,IF(H803,C803*E803*H803,C803*E803))))))),2)</f>
        <v>-1.87</v>
      </c>
      <c r="J803" s="553" t="s">
        <v>102</v>
      </c>
      <c r="K803" s="39"/>
      <c r="L803" s="208"/>
      <c r="M803" s="39"/>
      <c r="N803" s="536" t="s">
        <v>2318</v>
      </c>
    </row>
    <row r="804" spans="1:14" s="544" customFormat="1" ht="16.5" hidden="1" customHeight="1">
      <c r="A804" s="16"/>
      <c r="B804" s="39" t="s">
        <v>1492</v>
      </c>
      <c r="C804" s="537">
        <v>1</v>
      </c>
      <c r="D804" s="539" t="s">
        <v>273</v>
      </c>
      <c r="E804" s="540">
        <v>1</v>
      </c>
      <c r="F804" s="541">
        <v>38.15</v>
      </c>
      <c r="G804" s="541">
        <v>0</v>
      </c>
      <c r="H804" s="541">
        <v>0.7</v>
      </c>
      <c r="I804" s="579">
        <f>ROUND(IF(AND(F804:H804),C804*E804*F804*G804*H804,IF(AND(F804,G804),C804*E804*F804*G804,IF(AND(F804,H804),C804*E804*F804*H804,IF(AND(G804,H804),C804*E804*G804*H804,IF(F804,C804*E804*F804,IF(G804,C804*E804*G804,IF(H804,C804*E804*H804,C804*E804))))))),2)</f>
        <v>26.71</v>
      </c>
      <c r="J804" s="553" t="s">
        <v>102</v>
      </c>
      <c r="K804" s="39"/>
      <c r="L804" s="208"/>
      <c r="M804" s="39"/>
      <c r="N804" s="536" t="s">
        <v>2318</v>
      </c>
    </row>
    <row r="805" spans="1:14" s="544" customFormat="1" ht="16.5" hidden="1" customHeight="1">
      <c r="A805" s="16"/>
      <c r="B805" s="39" t="s">
        <v>2165</v>
      </c>
      <c r="C805" s="537">
        <v>8</v>
      </c>
      <c r="D805" s="539" t="s">
        <v>273</v>
      </c>
      <c r="E805" s="540">
        <v>2</v>
      </c>
      <c r="F805" s="541">
        <v>0.115</v>
      </c>
      <c r="G805" s="541">
        <v>0</v>
      </c>
      <c r="H805" s="541">
        <v>0.7</v>
      </c>
      <c r="I805" s="579">
        <f>ROUND(IF(AND(F805:H805),C805*E805*F805*G805*H805,IF(AND(F805,G805),C805*E805*F805*G805,IF(AND(F805,H805),C805*E805*F805*H805,IF(AND(G805,H805),C805*E805*G805*H805,IF(F805,C805*E805*F805,IF(G805,C805*E805*G805,IF(H805,C805*E805*H805,C805*E805))))))),2)</f>
        <v>1.29</v>
      </c>
      <c r="J805" s="553" t="s">
        <v>102</v>
      </c>
      <c r="K805" s="39"/>
      <c r="L805" s="208"/>
      <c r="M805" s="39"/>
      <c r="N805" s="536" t="s">
        <v>2318</v>
      </c>
    </row>
    <row r="806" spans="1:14" s="544" customFormat="1" ht="16.5" hidden="1" customHeight="1">
      <c r="A806" s="16"/>
      <c r="B806" s="547"/>
      <c r="C806" s="548"/>
      <c r="D806" s="549"/>
      <c r="E806" s="550"/>
      <c r="F806" s="551"/>
      <c r="G806" s="551"/>
      <c r="H806" s="551"/>
      <c r="I806" s="552"/>
      <c r="J806" s="553"/>
      <c r="K806" s="39"/>
      <c r="L806" s="208"/>
      <c r="M806" s="39"/>
      <c r="N806" s="536" t="s">
        <v>2318</v>
      </c>
    </row>
    <row r="807" spans="1:14" ht="15.75" hidden="1">
      <c r="A807" s="16"/>
      <c r="B807" s="39"/>
      <c r="C807" s="554"/>
      <c r="D807" s="555"/>
      <c r="E807" s="540"/>
      <c r="F807" s="541"/>
      <c r="G807" s="40"/>
      <c r="H807" s="16"/>
      <c r="I807" s="552"/>
      <c r="J807" s="553" t="s">
        <v>102</v>
      </c>
      <c r="K807" s="10">
        <f>'data 2022-23'!G458</f>
        <v>352.1</v>
      </c>
      <c r="L807" s="208" t="s">
        <v>2437</v>
      </c>
      <c r="M807" s="9">
        <f>ROUND(I807*K807,0)</f>
        <v>0</v>
      </c>
      <c r="N807" s="536" t="s">
        <v>2318</v>
      </c>
    </row>
    <row r="808" spans="1:14" ht="52.5" hidden="1" customHeight="1">
      <c r="A808" s="16">
        <v>9</v>
      </c>
      <c r="B808" s="1858" t="s">
        <v>593</v>
      </c>
      <c r="C808" s="1858"/>
      <c r="D808" s="1858"/>
      <c r="E808" s="1858"/>
      <c r="F808" s="1858"/>
      <c r="G808" s="1858"/>
      <c r="H808" s="1858"/>
      <c r="I808" s="537"/>
      <c r="J808" s="538"/>
      <c r="K808" s="16"/>
      <c r="L808" s="208"/>
      <c r="M808" s="38"/>
      <c r="N808" s="536" t="s">
        <v>2318</v>
      </c>
    </row>
    <row r="809" spans="1:14" s="544" customFormat="1" ht="16.5" hidden="1" customHeight="1">
      <c r="A809" s="16"/>
      <c r="B809" s="39" t="s">
        <v>2839</v>
      </c>
      <c r="C809" s="566"/>
      <c r="D809" s="567"/>
      <c r="E809" s="568"/>
      <c r="F809" s="569"/>
      <c r="G809" s="569"/>
      <c r="H809" s="570"/>
      <c r="I809" s="571"/>
      <c r="J809" s="553"/>
      <c r="K809" s="39"/>
      <c r="L809" s="208"/>
      <c r="M809" s="39"/>
      <c r="N809" s="536" t="s">
        <v>2318</v>
      </c>
    </row>
    <row r="810" spans="1:14" s="544" customFormat="1" ht="15.75" hidden="1">
      <c r="A810" s="16"/>
      <c r="B810" s="39"/>
      <c r="C810" s="537">
        <v>1</v>
      </c>
      <c r="D810" s="539" t="s">
        <v>273</v>
      </c>
      <c r="E810" s="540">
        <v>2</v>
      </c>
      <c r="F810" s="541">
        <v>3.25</v>
      </c>
      <c r="G810" s="541">
        <v>0</v>
      </c>
      <c r="H810" s="541">
        <v>2.6</v>
      </c>
      <c r="I810" s="545">
        <f>ROUND(IF(AND(F810:H810),C810*E810*F810*G810*H810,IF(AND(F810,G810),C810*E810*F810*G810,IF(AND(F810,H810),C810*E810*F810*H810,IF(AND(G810,H810),C810*E810*G810*H810,IF(F810,C810*E810*F810,IF(G810,C810*E810*G810,IF(H810,C810*E810*H810,C810*E810))))))),2)</f>
        <v>16.899999999999999</v>
      </c>
      <c r="J810" s="553" t="s">
        <v>102</v>
      </c>
      <c r="K810" s="39"/>
      <c r="L810" s="208"/>
      <c r="M810" s="39"/>
      <c r="N810" s="536" t="s">
        <v>2318</v>
      </c>
    </row>
    <row r="811" spans="1:14" s="544" customFormat="1" ht="15.75" hidden="1">
      <c r="A811" s="16"/>
      <c r="B811" s="39"/>
      <c r="C811" s="537">
        <v>1</v>
      </c>
      <c r="D811" s="539" t="s">
        <v>273</v>
      </c>
      <c r="E811" s="540">
        <v>2</v>
      </c>
      <c r="F811" s="541">
        <v>4.62</v>
      </c>
      <c r="G811" s="541">
        <v>0</v>
      </c>
      <c r="H811" s="541">
        <v>2.6</v>
      </c>
      <c r="I811" s="545">
        <f>ROUND(IF(AND(F811:H811),C811*E811*F811*G811*H811,IF(AND(F811,G811),C811*E811*F811*G811,IF(AND(F811,H811),C811*E811*F811*H811,IF(AND(G811,H811),C811*E811*G811*H811,IF(F811,C811*E811*F811,IF(G811,C811*E811*G811,IF(H811,C811*E811*H811,C811*E811))))))),2)</f>
        <v>24.02</v>
      </c>
      <c r="J811" s="553" t="s">
        <v>102</v>
      </c>
      <c r="K811" s="39"/>
      <c r="L811" s="208"/>
      <c r="M811" s="39"/>
      <c r="N811" s="536" t="s">
        <v>2318</v>
      </c>
    </row>
    <row r="812" spans="1:14" s="544" customFormat="1" ht="15.75" hidden="1">
      <c r="A812" s="16"/>
      <c r="B812" s="39" t="s">
        <v>579</v>
      </c>
      <c r="C812" s="537">
        <v>1</v>
      </c>
      <c r="D812" s="539" t="s">
        <v>273</v>
      </c>
      <c r="E812" s="540">
        <v>1</v>
      </c>
      <c r="F812" s="541">
        <v>0.9</v>
      </c>
      <c r="G812" s="541">
        <v>0</v>
      </c>
      <c r="H812" s="541">
        <v>2.08</v>
      </c>
      <c r="I812" s="545">
        <f>-ROUND(IF(AND(F812:H812),C812*E812*F812*G812*H812,IF(AND(F812,G812),C812*E812*F812*G812,IF(AND(F812,H812),C812*E812*F812*H812,IF(AND(G812,H812),C812*E812*G812*H812,IF(F812,C812*E812*F812,IF(G812,C812*E812*G812,IF(H812,C812*E812*H812,C812*E812))))))),2)</f>
        <v>-1.87</v>
      </c>
      <c r="J812" s="553" t="s">
        <v>102</v>
      </c>
      <c r="K812" s="39"/>
      <c r="L812" s="208"/>
      <c r="M812" s="39"/>
      <c r="N812" s="536" t="s">
        <v>2318</v>
      </c>
    </row>
    <row r="813" spans="1:14" s="544" customFormat="1" ht="15.75" hidden="1">
      <c r="A813" s="16"/>
      <c r="B813" s="39" t="s">
        <v>1492</v>
      </c>
      <c r="C813" s="537">
        <v>1</v>
      </c>
      <c r="D813" s="539" t="s">
        <v>273</v>
      </c>
      <c r="E813" s="540">
        <v>1</v>
      </c>
      <c r="F813" s="541">
        <v>1.2</v>
      </c>
      <c r="G813" s="541">
        <v>0</v>
      </c>
      <c r="H813" s="541">
        <v>1.2</v>
      </c>
      <c r="I813" s="545">
        <f>-ROUND(IF(AND(F813:H813),C813*E813*F813*G813*H813,IF(AND(F813,G813),C813*E813*F813*G813,IF(AND(F813,H813),C813*E813*F813*H813,IF(AND(G813,H813),C813*E813*G813*H813,IF(F813,C813*E813*F813,IF(G813,C813*E813*G813,IF(H813,C813*E813*H813,C813*E813))))))),2)</f>
        <v>-1.44</v>
      </c>
      <c r="J813" s="553" t="s">
        <v>102</v>
      </c>
      <c r="K813" s="39"/>
      <c r="L813" s="208"/>
      <c r="M813" s="39"/>
      <c r="N813" s="536" t="s">
        <v>2318</v>
      </c>
    </row>
    <row r="814" spans="1:14" s="544" customFormat="1" ht="16.5" hidden="1" customHeight="1">
      <c r="A814" s="16"/>
      <c r="B814" s="547"/>
      <c r="C814" s="548"/>
      <c r="D814" s="549"/>
      <c r="E814" s="550"/>
      <c r="F814" s="551"/>
      <c r="G814" s="551"/>
      <c r="H814" s="551"/>
      <c r="I814" s="552"/>
      <c r="J814" s="553"/>
      <c r="K814" s="39"/>
      <c r="L814" s="208"/>
      <c r="M814" s="39"/>
      <c r="N814" s="536" t="s">
        <v>2318</v>
      </c>
    </row>
    <row r="815" spans="1:14" ht="15.75" hidden="1">
      <c r="A815" s="16"/>
      <c r="B815" s="39"/>
      <c r="C815" s="554"/>
      <c r="D815" s="555"/>
      <c r="E815" s="540"/>
      <c r="F815" s="541"/>
      <c r="G815" s="40"/>
      <c r="H815" s="16"/>
      <c r="I815" s="552"/>
      <c r="J815" s="553" t="s">
        <v>102</v>
      </c>
      <c r="K815" s="10">
        <f>'data 2022-23'!G474</f>
        <v>372.29</v>
      </c>
      <c r="L815" s="208" t="s">
        <v>2437</v>
      </c>
      <c r="M815" s="9">
        <f>ROUND(I815*K815,0)</f>
        <v>0</v>
      </c>
      <c r="N815" s="536" t="s">
        <v>2318</v>
      </c>
    </row>
    <row r="816" spans="1:14" ht="71.25" hidden="1" customHeight="1">
      <c r="A816" s="16">
        <v>8</v>
      </c>
      <c r="B816" s="1858" t="s">
        <v>808</v>
      </c>
      <c r="C816" s="1858"/>
      <c r="D816" s="1858"/>
      <c r="E816" s="1858"/>
      <c r="F816" s="1858"/>
      <c r="G816" s="1858"/>
      <c r="H816" s="1858"/>
      <c r="I816" s="537"/>
      <c r="J816" s="538"/>
      <c r="K816" s="16"/>
      <c r="L816" s="208"/>
      <c r="M816" s="38"/>
      <c r="N816" s="536" t="s">
        <v>2318</v>
      </c>
    </row>
    <row r="817" spans="1:14" s="544" customFormat="1" ht="16.5" hidden="1" customHeight="1">
      <c r="A817" s="16"/>
      <c r="B817" s="39" t="s">
        <v>2866</v>
      </c>
      <c r="C817" s="537"/>
      <c r="D817" s="539"/>
      <c r="E817" s="540"/>
      <c r="F817" s="541"/>
      <c r="G817" s="541"/>
      <c r="H817" s="541"/>
      <c r="I817" s="542"/>
      <c r="J817" s="553"/>
      <c r="K817" s="39"/>
      <c r="L817" s="208"/>
      <c r="M817" s="39"/>
      <c r="N817" s="536" t="s">
        <v>2318</v>
      </c>
    </row>
    <row r="818" spans="1:14" s="544" customFormat="1" ht="16.5" hidden="1" customHeight="1">
      <c r="A818" s="16"/>
      <c r="B818" s="39" t="s">
        <v>1545</v>
      </c>
      <c r="C818" s="537">
        <v>1</v>
      </c>
      <c r="D818" s="539" t="s">
        <v>273</v>
      </c>
      <c r="E818" s="540">
        <v>2</v>
      </c>
      <c r="F818" s="541">
        <v>4.6399999999999997</v>
      </c>
      <c r="G818" s="541">
        <v>0</v>
      </c>
      <c r="H818" s="541">
        <v>2.7</v>
      </c>
      <c r="I818" s="579">
        <f>ROUND(IF(AND(F818:H818),C818*E818*F818*G818*H818,IF(AND(F818,G818),C818*E818*F818*G818,IF(AND(F818,H818),C818*E818*F818*H818,IF(AND(G818,H818),C818*E818*G818*H818,IF(F818,C818*E818*F818,IF(G818,C818*E818*G818,IF(H818,C818*E818*H818,C818*E818))))))),2)</f>
        <v>25.06</v>
      </c>
      <c r="J818" s="553" t="s">
        <v>102</v>
      </c>
      <c r="K818" s="39"/>
      <c r="L818" s="208"/>
      <c r="M818" s="39"/>
      <c r="N818" s="536" t="s">
        <v>2318</v>
      </c>
    </row>
    <row r="819" spans="1:14" s="544" customFormat="1" ht="16.5" hidden="1" customHeight="1">
      <c r="A819" s="16"/>
      <c r="B819" s="39" t="s">
        <v>579</v>
      </c>
      <c r="C819" s="537">
        <v>1</v>
      </c>
      <c r="D819" s="539" t="s">
        <v>273</v>
      </c>
      <c r="E819" s="540">
        <v>1</v>
      </c>
      <c r="F819" s="541">
        <v>1.07</v>
      </c>
      <c r="G819" s="541">
        <v>0</v>
      </c>
      <c r="H819" s="541">
        <v>2.12</v>
      </c>
      <c r="I819" s="579">
        <f>-ROUND(IF(AND(F819:H819),C819*E819*F819*G819*H819,IF(AND(F819,G819),C819*E819*F819*G819,IF(AND(F819,H819),C819*E819*F819*H819,IF(AND(G819,H819),C819*E819*G819*H819,IF(F819,C819*E819*F819,IF(G819,C819*E819*G819,IF(H819,C819*E819*H819,C819*E819))))))),2)</f>
        <v>-2.27</v>
      </c>
      <c r="J819" s="553" t="s">
        <v>102</v>
      </c>
      <c r="K819" s="39"/>
      <c r="L819" s="208"/>
      <c r="M819" s="39"/>
      <c r="N819" s="536" t="s">
        <v>2318</v>
      </c>
    </row>
    <row r="820" spans="1:14" s="544" customFormat="1" ht="16.5" hidden="1" customHeight="1">
      <c r="A820" s="16"/>
      <c r="B820" s="39" t="s">
        <v>1492</v>
      </c>
      <c r="C820" s="537">
        <v>1</v>
      </c>
      <c r="D820" s="539" t="s">
        <v>273</v>
      </c>
      <c r="E820" s="540">
        <v>1</v>
      </c>
      <c r="F820" s="541">
        <v>37.799999999999997</v>
      </c>
      <c r="G820" s="541">
        <v>0</v>
      </c>
      <c r="H820" s="541">
        <v>0.88</v>
      </c>
      <c r="I820" s="579">
        <f>ROUND(IF(AND(F820:H820),C820*E820*F820*G820*H820,IF(AND(F820,G820),C820*E820*F820*G820,IF(AND(F820,H820),C820*E820*F820*H820,IF(AND(G820,H820),C820*E820*G820*H820,IF(F820,C820*E820*F820,IF(G820,C820*E820*G820,IF(H820,C820*E820*H820,C820*E820))))))),2)</f>
        <v>33.26</v>
      </c>
      <c r="J820" s="553" t="s">
        <v>102</v>
      </c>
      <c r="K820" s="39"/>
      <c r="L820" s="208"/>
      <c r="M820" s="39"/>
      <c r="N820" s="536" t="s">
        <v>2318</v>
      </c>
    </row>
    <row r="821" spans="1:14" s="544" customFormat="1" ht="16.5" hidden="1" customHeight="1">
      <c r="A821" s="16"/>
      <c r="B821" s="547"/>
      <c r="C821" s="548"/>
      <c r="D821" s="549"/>
      <c r="E821" s="550"/>
      <c r="F821" s="551"/>
      <c r="G821" s="551"/>
      <c r="H821" s="551"/>
      <c r="I821" s="552"/>
      <c r="J821" s="553"/>
      <c r="K821" s="39"/>
      <c r="L821" s="208"/>
      <c r="M821" s="39"/>
      <c r="N821" s="536" t="s">
        <v>2318</v>
      </c>
    </row>
    <row r="822" spans="1:14" ht="15.75" hidden="1">
      <c r="A822" s="16"/>
      <c r="B822" s="39"/>
      <c r="C822" s="554"/>
      <c r="D822" s="555"/>
      <c r="E822" s="540"/>
      <c r="F822" s="541"/>
      <c r="G822" s="40"/>
      <c r="H822" s="16"/>
      <c r="I822" s="552"/>
      <c r="J822" s="553" t="s">
        <v>102</v>
      </c>
      <c r="K822" s="10">
        <f>'data 2022-23'!G510</f>
        <v>464.16</v>
      </c>
      <c r="L822" s="208" t="s">
        <v>2437</v>
      </c>
      <c r="M822" s="9">
        <f>ROUND(I822*K822,0)</f>
        <v>0</v>
      </c>
      <c r="N822" s="536" t="s">
        <v>2318</v>
      </c>
    </row>
    <row r="823" spans="1:14" ht="71.25" hidden="1" customHeight="1">
      <c r="A823" s="16">
        <v>9</v>
      </c>
      <c r="B823" s="1858" t="s">
        <v>316</v>
      </c>
      <c r="C823" s="1858"/>
      <c r="D823" s="1858"/>
      <c r="E823" s="1858"/>
      <c r="F823" s="1858"/>
      <c r="G823" s="1858"/>
      <c r="H823" s="1858"/>
      <c r="I823" s="537"/>
      <c r="J823" s="538"/>
      <c r="K823" s="16"/>
      <c r="L823" s="208"/>
      <c r="M823" s="38"/>
      <c r="N823" s="536" t="s">
        <v>2318</v>
      </c>
    </row>
    <row r="824" spans="1:14" s="544" customFormat="1" ht="15.75" hidden="1">
      <c r="A824" s="16"/>
      <c r="B824" s="39" t="s">
        <v>2832</v>
      </c>
      <c r="C824" s="537"/>
      <c r="D824" s="539"/>
      <c r="E824" s="540"/>
      <c r="F824" s="541"/>
      <c r="G824" s="541"/>
      <c r="H824" s="541"/>
      <c r="I824" s="542"/>
      <c r="J824" s="553"/>
      <c r="K824" s="39"/>
      <c r="L824" s="208"/>
      <c r="M824" s="39"/>
      <c r="N824" s="536" t="s">
        <v>2318</v>
      </c>
    </row>
    <row r="825" spans="1:14" s="544" customFormat="1" ht="15.75" hidden="1">
      <c r="A825" s="16"/>
      <c r="B825" s="39"/>
      <c r="C825" s="537">
        <v>1</v>
      </c>
      <c r="D825" s="539" t="s">
        <v>273</v>
      </c>
      <c r="E825" s="540">
        <v>2</v>
      </c>
      <c r="F825" s="541">
        <v>3.25</v>
      </c>
      <c r="G825" s="541">
        <v>0</v>
      </c>
      <c r="H825" s="541">
        <v>2.7</v>
      </c>
      <c r="I825" s="545">
        <f>ROUND(IF(AND(F825:H825),C825*E825*F825*G825*H825,IF(AND(F825,G825),C825*E825*F825*G825,IF(AND(F825,H825),C825*E825*F825*H825,IF(AND(G825,H825),C825*E825*G825*H825,IF(F825,C825*E825*F825,IF(G825,C825*E825*G825,IF(H825,C825*E825*H825,C825*E825))))))),2)</f>
        <v>17.55</v>
      </c>
      <c r="J825" s="553" t="s">
        <v>102</v>
      </c>
      <c r="K825" s="39"/>
      <c r="L825" s="208"/>
      <c r="M825" s="39"/>
      <c r="N825" s="536" t="s">
        <v>2318</v>
      </c>
    </row>
    <row r="826" spans="1:14" s="544" customFormat="1" ht="15.75" hidden="1">
      <c r="A826" s="16"/>
      <c r="B826" s="39"/>
      <c r="C826" s="537">
        <v>1</v>
      </c>
      <c r="D826" s="539" t="s">
        <v>273</v>
      </c>
      <c r="E826" s="540">
        <v>2</v>
      </c>
      <c r="F826" s="541">
        <v>4.74</v>
      </c>
      <c r="G826" s="541">
        <v>0</v>
      </c>
      <c r="H826" s="541">
        <v>2.7</v>
      </c>
      <c r="I826" s="545">
        <f>ROUND(IF(AND(F826:H826),C826*E826*F826*G826*H826,IF(AND(F826,G826),C826*E826*F826*G826,IF(AND(F826,H826),C826*E826*F826*H826,IF(AND(G826,H826),C826*E826*G826*H826,IF(F826,C826*E826*F826,IF(G826,C826*E826*G826,IF(H826,C826*E826*H826,C826*E826))))))),2)</f>
        <v>25.6</v>
      </c>
      <c r="J826" s="553" t="s">
        <v>102</v>
      </c>
      <c r="K826" s="39"/>
      <c r="L826" s="208"/>
      <c r="M826" s="39"/>
      <c r="N826" s="536" t="s">
        <v>2318</v>
      </c>
    </row>
    <row r="827" spans="1:14" s="544" customFormat="1" ht="15.75" hidden="1">
      <c r="A827" s="16"/>
      <c r="B827" s="39" t="s">
        <v>1492</v>
      </c>
      <c r="C827" s="537">
        <v>1</v>
      </c>
      <c r="D827" s="539" t="s">
        <v>273</v>
      </c>
      <c r="E827" s="540">
        <v>1</v>
      </c>
      <c r="F827" s="541">
        <v>1.5</v>
      </c>
      <c r="G827" s="541">
        <v>0</v>
      </c>
      <c r="H827" s="541">
        <v>1.35</v>
      </c>
      <c r="I827" s="545">
        <f>-ROUND(IF(AND(F827:H827),C827*E827*F827*G827*H827,IF(AND(F827,G827),C827*E827*F827*G827,IF(AND(F827,H827),C827*E827*F827*H827,IF(AND(G827,H827),C827*E827*G827*H827,IF(F827,C827*E827*F827,IF(G827,C827*E827*G827,IF(H827,C827*E827*H827,C827*E827))))))),2)</f>
        <v>-2.0299999999999998</v>
      </c>
      <c r="J827" s="553" t="s">
        <v>102</v>
      </c>
      <c r="K827" s="39"/>
      <c r="L827" s="208"/>
      <c r="M827" s="39"/>
      <c r="N827" s="536" t="s">
        <v>2318</v>
      </c>
    </row>
    <row r="828" spans="1:14" s="544" customFormat="1" ht="15.75" hidden="1">
      <c r="A828" s="16"/>
      <c r="B828" s="547"/>
      <c r="C828" s="548"/>
      <c r="D828" s="549"/>
      <c r="E828" s="550"/>
      <c r="F828" s="551"/>
      <c r="G828" s="551"/>
      <c r="H828" s="551"/>
      <c r="I828" s="552"/>
      <c r="J828" s="553"/>
      <c r="K828" s="39"/>
      <c r="L828" s="208"/>
      <c r="M828" s="39"/>
      <c r="N828" s="536" t="s">
        <v>2318</v>
      </c>
    </row>
    <row r="829" spans="1:14" ht="15.75" hidden="1">
      <c r="A829" s="16"/>
      <c r="B829" s="39"/>
      <c r="C829" s="554"/>
      <c r="D829" s="555"/>
      <c r="E829" s="540"/>
      <c r="F829" s="541"/>
      <c r="G829" s="40"/>
      <c r="H829" s="16"/>
      <c r="I829" s="552"/>
      <c r="J829" s="553" t="s">
        <v>102</v>
      </c>
      <c r="K829" s="10">
        <f>'data 2022-23'!G530</f>
        <v>479.98</v>
      </c>
      <c r="L829" s="208" t="s">
        <v>2437</v>
      </c>
      <c r="M829" s="9">
        <f>ROUND(I829*K829,0)</f>
        <v>0</v>
      </c>
      <c r="N829" s="536" t="s">
        <v>2318</v>
      </c>
    </row>
    <row r="830" spans="1:14" ht="92.25" hidden="1" customHeight="1">
      <c r="A830" s="16">
        <v>13</v>
      </c>
      <c r="B830" s="1858" t="s">
        <v>1437</v>
      </c>
      <c r="C830" s="1858"/>
      <c r="D830" s="1858"/>
      <c r="E830" s="1858"/>
      <c r="F830" s="1858"/>
      <c r="G830" s="1858"/>
      <c r="H830" s="1858"/>
      <c r="I830" s="537"/>
      <c r="J830" s="538"/>
      <c r="K830" s="16"/>
      <c r="L830" s="208"/>
      <c r="M830" s="38"/>
      <c r="N830" s="536" t="s">
        <v>2318</v>
      </c>
    </row>
    <row r="831" spans="1:14" s="544" customFormat="1" ht="16.5" hidden="1" customHeight="1">
      <c r="A831" s="16"/>
      <c r="B831" s="607" t="s">
        <v>2902</v>
      </c>
      <c r="C831" s="566"/>
      <c r="D831" s="567"/>
      <c r="E831" s="568"/>
      <c r="F831" s="569"/>
      <c r="G831" s="569"/>
      <c r="H831" s="570"/>
      <c r="I831" s="571"/>
      <c r="J831" s="553"/>
      <c r="K831" s="39"/>
      <c r="L831" s="208"/>
      <c r="M831" s="39"/>
      <c r="N831" s="536" t="s">
        <v>2318</v>
      </c>
    </row>
    <row r="832" spans="1:14" s="544" customFormat="1" ht="16.5" hidden="1" customHeight="1">
      <c r="A832" s="16"/>
      <c r="B832" s="547"/>
      <c r="C832" s="548">
        <v>11</v>
      </c>
      <c r="D832" s="549" t="s">
        <v>273</v>
      </c>
      <c r="E832" s="581">
        <v>0.5</v>
      </c>
      <c r="F832" s="551">
        <v>1.8</v>
      </c>
      <c r="G832" s="551">
        <v>0.3</v>
      </c>
      <c r="H832" s="551">
        <v>0.15</v>
      </c>
      <c r="I832" s="552">
        <f>ROUND(IF(AND(F832:H832),C832*E832*F832*G832*H832,IF(AND(F832,G832),C832*E832*F832*G832,IF(AND(F832,H832),C832*E832*F832*H832,IF(AND(G832,H832),C832*E832*G832*H832,IF(F832,C832*E832*F832,IF(G832,C832*E832*G832,IF(H832,C832*E832*H832,C832*E832))))))),2)</f>
        <v>0.45</v>
      </c>
      <c r="J832" s="553" t="s">
        <v>5</v>
      </c>
      <c r="K832" s="39"/>
      <c r="L832" s="208"/>
      <c r="M832" s="39"/>
      <c r="N832" s="536" t="s">
        <v>2318</v>
      </c>
    </row>
    <row r="833" spans="1:14" s="544" customFormat="1" ht="16.5" hidden="1" customHeight="1">
      <c r="A833" s="16"/>
      <c r="B833" s="547"/>
      <c r="C833" s="548"/>
      <c r="D833" s="549"/>
      <c r="E833" s="581"/>
      <c r="F833" s="551"/>
      <c r="G833" s="551"/>
      <c r="H833" s="551"/>
      <c r="I833" s="552"/>
      <c r="J833" s="553"/>
      <c r="K833" s="39"/>
      <c r="L833" s="208"/>
      <c r="M833" s="39"/>
      <c r="N833" s="536" t="s">
        <v>2318</v>
      </c>
    </row>
    <row r="834" spans="1:14" ht="15.75" hidden="1">
      <c r="A834" s="16"/>
      <c r="B834" s="39"/>
      <c r="C834" s="554"/>
      <c r="D834" s="555"/>
      <c r="E834" s="540"/>
      <c r="F834" s="541"/>
      <c r="G834" s="40"/>
      <c r="H834" s="16"/>
      <c r="I834" s="552"/>
      <c r="J834" s="553" t="s">
        <v>5</v>
      </c>
      <c r="K834" s="10">
        <f>'data 2022-23'!G269</f>
        <v>5843.9400000000005</v>
      </c>
      <c r="L834" s="208" t="s">
        <v>274</v>
      </c>
      <c r="M834" s="9">
        <f>ROUND(I834*K834,0)</f>
        <v>0</v>
      </c>
      <c r="N834" s="536" t="s">
        <v>2318</v>
      </c>
    </row>
    <row r="835" spans="1:14" ht="106.5" hidden="1" customHeight="1">
      <c r="A835" s="16">
        <v>10</v>
      </c>
      <c r="B835" s="1858" t="s">
        <v>212</v>
      </c>
      <c r="C835" s="1858"/>
      <c r="D835" s="1858"/>
      <c r="E835" s="1858"/>
      <c r="F835" s="1858"/>
      <c r="G835" s="1858"/>
      <c r="H835" s="1858"/>
      <c r="I835" s="537"/>
      <c r="J835" s="538"/>
      <c r="K835" s="16"/>
      <c r="L835" s="208"/>
      <c r="M835" s="38"/>
      <c r="N835" s="536" t="s">
        <v>2318</v>
      </c>
    </row>
    <row r="836" spans="1:14" s="544" customFormat="1" ht="16.5" hidden="1" customHeight="1">
      <c r="A836" s="16"/>
      <c r="B836" s="39" t="s">
        <v>2903</v>
      </c>
      <c r="C836" s="566"/>
      <c r="D836" s="567"/>
      <c r="E836" s="568"/>
      <c r="F836" s="569"/>
      <c r="G836" s="569"/>
      <c r="H836" s="570"/>
      <c r="I836" s="571"/>
      <c r="J836" s="553"/>
      <c r="K836" s="39"/>
      <c r="L836" s="16"/>
      <c r="M836" s="39"/>
      <c r="N836" s="536" t="s">
        <v>2318</v>
      </c>
    </row>
    <row r="837" spans="1:14" s="544" customFormat="1" ht="16.5" hidden="1" customHeight="1">
      <c r="A837" s="16"/>
      <c r="B837" s="547" t="s">
        <v>1633</v>
      </c>
      <c r="C837" s="548">
        <v>1</v>
      </c>
      <c r="D837" s="549" t="s">
        <v>273</v>
      </c>
      <c r="E837" s="550">
        <v>1</v>
      </c>
      <c r="F837" s="551">
        <v>4</v>
      </c>
      <c r="G837" s="551">
        <v>2.57</v>
      </c>
      <c r="H837" s="551">
        <v>0</v>
      </c>
      <c r="I837" s="552">
        <f>ROUND(IF(AND(F837:H837),C837*E837*F837*G837*H837,IF(AND(F837,G837),C837*E837*F837*G837,IF(AND(F837,H837),C837*E837*F837*H837,IF(AND(G837,H837),C837*E837*G837*H837,IF(F837,C837*E837*F837,IF(G837,C837*E837*G837,IF(H837,C837*E837*H837,C837*E837))))))),2)</f>
        <v>10.28</v>
      </c>
      <c r="J837" s="553" t="s">
        <v>102</v>
      </c>
      <c r="K837" s="39"/>
      <c r="L837" s="16"/>
      <c r="M837" s="39"/>
      <c r="N837" s="536" t="s">
        <v>2318</v>
      </c>
    </row>
    <row r="838" spans="1:14" s="544" customFormat="1" ht="16.5" hidden="1" customHeight="1">
      <c r="A838" s="16"/>
      <c r="B838" s="547" t="s">
        <v>281</v>
      </c>
      <c r="C838" s="548">
        <v>1</v>
      </c>
      <c r="D838" s="549" t="s">
        <v>273</v>
      </c>
      <c r="E838" s="550">
        <v>2</v>
      </c>
      <c r="F838" s="551">
        <v>0.44</v>
      </c>
      <c r="G838" s="551">
        <v>0.26</v>
      </c>
      <c r="H838" s="551">
        <v>0</v>
      </c>
      <c r="I838" s="552">
        <f>-ROUND(IF(AND(F838:H838),C838*E838*F838*G838*H838,IF(AND(F838,G838),C838*E838*F838*G838,IF(AND(F838,H838),C838*E838*F838*H838,IF(AND(G838,H838),C838*E838*G838*H838,IF(F838,C838*E838*F838,IF(G838,C838*E838*G838,IF(H838,C838*E838*H838,C838*E838))))))),2)</f>
        <v>-0.23</v>
      </c>
      <c r="J838" s="553" t="s">
        <v>102</v>
      </c>
      <c r="K838" s="39"/>
      <c r="L838" s="16"/>
      <c r="M838" s="39"/>
      <c r="N838" s="536" t="s">
        <v>2318</v>
      </c>
    </row>
    <row r="839" spans="1:14" s="544" customFormat="1" ht="16.5" hidden="1" customHeight="1">
      <c r="A839" s="16"/>
      <c r="B839" s="547"/>
      <c r="C839" s="548"/>
      <c r="D839" s="549"/>
      <c r="E839" s="550"/>
      <c r="F839" s="551"/>
      <c r="G839" s="551"/>
      <c r="H839" s="551"/>
      <c r="I839" s="552"/>
      <c r="J839" s="553"/>
      <c r="K839" s="39"/>
      <c r="L839" s="208"/>
      <c r="M839" s="39"/>
      <c r="N839" s="536" t="s">
        <v>2318</v>
      </c>
    </row>
    <row r="840" spans="1:14" ht="15.75" hidden="1">
      <c r="A840" s="16"/>
      <c r="B840" s="39"/>
      <c r="C840" s="554"/>
      <c r="D840" s="555"/>
      <c r="E840" s="540"/>
      <c r="F840" s="541"/>
      <c r="G840" s="40"/>
      <c r="H840" s="16"/>
      <c r="I840" s="552"/>
      <c r="J840" s="553" t="s">
        <v>102</v>
      </c>
      <c r="K840" s="10">
        <f>'data 2022-23'!G678</f>
        <v>1139.42</v>
      </c>
      <c r="L840" s="208" t="s">
        <v>2437</v>
      </c>
      <c r="M840" s="9">
        <f>ROUND(I840*K840,0)</f>
        <v>0</v>
      </c>
      <c r="N840" s="536" t="s">
        <v>2318</v>
      </c>
    </row>
    <row r="841" spans="1:14" ht="79.5" hidden="1" customHeight="1">
      <c r="A841" s="16">
        <v>25</v>
      </c>
      <c r="B841" s="1858" t="s">
        <v>213</v>
      </c>
      <c r="C841" s="1858"/>
      <c r="D841" s="1858"/>
      <c r="E841" s="1858"/>
      <c r="F841" s="1858"/>
      <c r="G841" s="1858"/>
      <c r="H841" s="1858"/>
      <c r="I841" s="537"/>
      <c r="J841" s="538"/>
      <c r="K841" s="16"/>
      <c r="L841" s="208"/>
      <c r="M841" s="38"/>
      <c r="N841" s="536" t="s">
        <v>2318</v>
      </c>
    </row>
    <row r="842" spans="1:14" s="544" customFormat="1" ht="16.5" hidden="1" customHeight="1">
      <c r="A842" s="16"/>
      <c r="B842" s="39" t="s">
        <v>2821</v>
      </c>
      <c r="C842" s="566"/>
      <c r="D842" s="567"/>
      <c r="E842" s="568"/>
      <c r="F842" s="569"/>
      <c r="G842" s="569"/>
      <c r="H842" s="570"/>
      <c r="I842" s="571"/>
      <c r="J842" s="553"/>
      <c r="K842" s="39"/>
      <c r="L842" s="208"/>
      <c r="M842" s="39"/>
      <c r="N842" s="536" t="s">
        <v>2318</v>
      </c>
    </row>
    <row r="843" spans="1:14" s="544" customFormat="1" ht="16.5" hidden="1" customHeight="1">
      <c r="A843" s="16"/>
      <c r="B843" s="547" t="s">
        <v>1248</v>
      </c>
      <c r="C843" s="548">
        <v>1</v>
      </c>
      <c r="D843" s="549" t="s">
        <v>273</v>
      </c>
      <c r="E843" s="550">
        <v>1</v>
      </c>
      <c r="F843" s="551">
        <v>26.94</v>
      </c>
      <c r="G843" s="551">
        <v>0</v>
      </c>
      <c r="H843" s="551">
        <v>0.1</v>
      </c>
      <c r="I843" s="552">
        <f>ROUND(IF(AND(F843:H843),C843*E843*F843*G843*H843,IF(AND(F843,G843),C843*E843*F843*G843,IF(AND(F843,H843),C843*E843*F843*H843,IF(AND(G843,H843),C843*E843*G843*H843,IF(F843,C843*E843*F843,IF(G843,C843*E843*G843,IF(H843,C843*E843*H843,C843*E843))))))),2)</f>
        <v>2.69</v>
      </c>
      <c r="J843" s="553" t="s">
        <v>102</v>
      </c>
      <c r="K843" s="39"/>
      <c r="L843" s="208"/>
      <c r="M843" s="39"/>
      <c r="N843" s="536" t="s">
        <v>2318</v>
      </c>
    </row>
    <row r="844" spans="1:14" s="544" customFormat="1" ht="16.5" hidden="1" customHeight="1">
      <c r="A844" s="16"/>
      <c r="B844" s="547" t="s">
        <v>660</v>
      </c>
      <c r="C844" s="548">
        <v>1</v>
      </c>
      <c r="D844" s="549" t="s">
        <v>273</v>
      </c>
      <c r="E844" s="550">
        <v>1</v>
      </c>
      <c r="F844" s="551">
        <v>23.1</v>
      </c>
      <c r="G844" s="551">
        <v>0</v>
      </c>
      <c r="H844" s="551">
        <v>0.1</v>
      </c>
      <c r="I844" s="552">
        <f>ROUND(IF(AND(F844:H844),C844*E844*F844*G844*H844,IF(AND(F844,G844),C844*E844*F844*G844,IF(AND(F844,H844),C844*E844*F844*H844,IF(AND(G844,H844),C844*E844*G844*H844,IF(F844,C844*E844*F844,IF(G844,C844*E844*G844,IF(H844,C844*E844*H844,C844*E844))))))),2)</f>
        <v>2.31</v>
      </c>
      <c r="J844" s="553" t="s">
        <v>102</v>
      </c>
      <c r="K844" s="39"/>
      <c r="L844" s="208"/>
      <c r="M844" s="39"/>
      <c r="N844" s="536" t="s">
        <v>2318</v>
      </c>
    </row>
    <row r="845" spans="1:14" s="544" customFormat="1" ht="16.5" hidden="1" customHeight="1">
      <c r="A845" s="16"/>
      <c r="B845" s="547" t="s">
        <v>1247</v>
      </c>
      <c r="C845" s="548">
        <v>1</v>
      </c>
      <c r="D845" s="549" t="s">
        <v>273</v>
      </c>
      <c r="E845" s="550">
        <v>1</v>
      </c>
      <c r="F845" s="551">
        <v>6.32</v>
      </c>
      <c r="G845" s="551">
        <v>0</v>
      </c>
      <c r="H845" s="551">
        <v>0.1</v>
      </c>
      <c r="I845" s="552">
        <f>ROUND(IF(AND(F845:H845),C845*E845*F845*G845*H845,IF(AND(F845,G845),C845*E845*F845*G845,IF(AND(F845,H845),C845*E845*F845*H845,IF(AND(G845,H845),C845*E845*G845*H845,IF(F845,C845*E845*F845,IF(G845,C845*E845*G845,IF(H845,C845*E845*H845,C845*E845))))))),2)</f>
        <v>0.63</v>
      </c>
      <c r="J845" s="553" t="s">
        <v>102</v>
      </c>
      <c r="K845" s="39"/>
      <c r="L845" s="208"/>
      <c r="M845" s="39"/>
      <c r="N845" s="536" t="s">
        <v>2318</v>
      </c>
    </row>
    <row r="846" spans="1:14" s="544" customFormat="1" ht="16.5" hidden="1" customHeight="1">
      <c r="A846" s="16"/>
      <c r="B846" s="547"/>
      <c r="C846" s="548"/>
      <c r="D846" s="549"/>
      <c r="E846" s="550"/>
      <c r="F846" s="551"/>
      <c r="G846" s="551"/>
      <c r="H846" s="551"/>
      <c r="I846" s="552"/>
      <c r="J846" s="553"/>
      <c r="K846" s="39"/>
      <c r="L846" s="208"/>
      <c r="M846" s="39"/>
      <c r="N846" s="536" t="s">
        <v>2318</v>
      </c>
    </row>
    <row r="847" spans="1:14" ht="15.75" hidden="1">
      <c r="A847" s="16"/>
      <c r="B847" s="39"/>
      <c r="C847" s="554"/>
      <c r="D847" s="555"/>
      <c r="E847" s="540"/>
      <c r="F847" s="541"/>
      <c r="G847" s="40"/>
      <c r="H847" s="16"/>
      <c r="I847" s="552"/>
      <c r="J847" s="553" t="s">
        <v>102</v>
      </c>
      <c r="K847" s="10">
        <f>'data 2022-23'!G696</f>
        <v>1134.08</v>
      </c>
      <c r="L847" s="208" t="s">
        <v>2437</v>
      </c>
      <c r="M847" s="9">
        <f>ROUND(I847*K847,0)</f>
        <v>0</v>
      </c>
      <c r="N847" s="536" t="s">
        <v>2318</v>
      </c>
    </row>
    <row r="848" spans="1:14" ht="108" hidden="1" customHeight="1">
      <c r="A848" s="16">
        <v>23</v>
      </c>
      <c r="B848" s="1858" t="s">
        <v>665</v>
      </c>
      <c r="C848" s="1858"/>
      <c r="D848" s="1858"/>
      <c r="E848" s="1858"/>
      <c r="F848" s="1858"/>
      <c r="G848" s="1858"/>
      <c r="H848" s="1858"/>
      <c r="I848" s="537"/>
      <c r="J848" s="538"/>
      <c r="K848" s="16"/>
      <c r="L848" s="208"/>
      <c r="M848" s="38"/>
      <c r="N848" s="536" t="s">
        <v>2318</v>
      </c>
    </row>
    <row r="849" spans="1:14" s="544" customFormat="1" ht="16.5" hidden="1" customHeight="1">
      <c r="A849" s="16"/>
      <c r="B849" s="39" t="s">
        <v>2854</v>
      </c>
      <c r="C849" s="566"/>
      <c r="D849" s="567"/>
      <c r="E849" s="568"/>
      <c r="F849" s="569"/>
      <c r="G849" s="569"/>
      <c r="H849" s="570"/>
      <c r="I849" s="571"/>
      <c r="J849" s="553"/>
      <c r="K849" s="39"/>
      <c r="L849" s="208"/>
      <c r="M849" s="39"/>
      <c r="N849" s="536" t="s">
        <v>2318</v>
      </c>
    </row>
    <row r="850" spans="1:14" s="544" customFormat="1" ht="16.5" hidden="1" customHeight="1">
      <c r="A850" s="16"/>
      <c r="B850" s="547"/>
      <c r="C850" s="548">
        <v>1</v>
      </c>
      <c r="D850" s="549" t="s">
        <v>273</v>
      </c>
      <c r="E850" s="550">
        <v>2</v>
      </c>
      <c r="F850" s="551">
        <v>3.1</v>
      </c>
      <c r="G850" s="551">
        <v>1.08</v>
      </c>
      <c r="H850" s="551">
        <v>0</v>
      </c>
      <c r="I850" s="552">
        <f>ROUND(IF(AND(F850:H850),C850*E850*F850*G850*H850,IF(AND(F850,G850),C850*E850*F850*G850,IF(AND(F850,H850),C850*E850*F850*H850,IF(AND(G850,H850),C850*E850*G850*H850,IF(F850,C850*E850*F850,IF(G850,C850*E850*G850,IF(H850,C850*E850*H850,C850*E850))))))),2)</f>
        <v>6.7</v>
      </c>
      <c r="J850" s="553" t="s">
        <v>102</v>
      </c>
      <c r="K850" s="39"/>
      <c r="L850" s="208"/>
      <c r="M850" s="39"/>
      <c r="N850" s="536" t="s">
        <v>2318</v>
      </c>
    </row>
    <row r="851" spans="1:14" s="544" customFormat="1" ht="16.5" hidden="1" customHeight="1">
      <c r="A851" s="16"/>
      <c r="B851" s="547"/>
      <c r="C851" s="548">
        <v>1</v>
      </c>
      <c r="D851" s="549" t="s">
        <v>273</v>
      </c>
      <c r="E851" s="550">
        <v>1</v>
      </c>
      <c r="F851" s="551">
        <v>3.69</v>
      </c>
      <c r="G851" s="551">
        <v>2</v>
      </c>
      <c r="H851" s="551">
        <v>0</v>
      </c>
      <c r="I851" s="552">
        <f>ROUND(IF(AND(F851:H851),C851*E851*F851*G851*H851,IF(AND(F851,G851),C851*E851*F851*G851,IF(AND(F851,H851),C851*E851*F851*H851,IF(AND(G851,H851),C851*E851*G851*H851,IF(F851,C851*E851*F851,IF(G851,C851*E851*G851,IF(H851,C851*E851*H851,C851*E851))))))),2)</f>
        <v>7.38</v>
      </c>
      <c r="J851" s="553" t="s">
        <v>102</v>
      </c>
      <c r="K851" s="39"/>
      <c r="L851" s="208"/>
      <c r="M851" s="39"/>
      <c r="N851" s="536" t="s">
        <v>2318</v>
      </c>
    </row>
    <row r="852" spans="1:14" s="544" customFormat="1" ht="16.5" hidden="1" customHeight="1">
      <c r="A852" s="16"/>
      <c r="B852" s="547"/>
      <c r="C852" s="548">
        <v>4</v>
      </c>
      <c r="D852" s="549" t="s">
        <v>273</v>
      </c>
      <c r="E852" s="611">
        <v>0.78500000000000003</v>
      </c>
      <c r="F852" s="551">
        <v>0.23</v>
      </c>
      <c r="G852" s="551">
        <v>0.23</v>
      </c>
      <c r="H852" s="551">
        <v>0</v>
      </c>
      <c r="I852" s="552">
        <f>-ROUND(IF(AND(F852:H852),C852*E852*F852*G852*H852,IF(AND(F852,G852),C852*E852*F852*G852,IF(AND(F852,H852),C852*E852*F852*H852,IF(AND(G852,H852),C852*E852*G852*H852,IF(F852,C852*E852*F852,IF(G852,C852*E852*G852,IF(H852,C852*E852*H852,C852*E852))))))),2)</f>
        <v>-0.17</v>
      </c>
      <c r="J852" s="553" t="s">
        <v>102</v>
      </c>
      <c r="K852" s="39"/>
      <c r="L852" s="208"/>
      <c r="M852" s="39"/>
      <c r="N852" s="536" t="s">
        <v>2318</v>
      </c>
    </row>
    <row r="853" spans="1:14" s="544" customFormat="1" ht="16.5" hidden="1" customHeight="1">
      <c r="A853" s="16"/>
      <c r="B853" s="547"/>
      <c r="C853" s="548"/>
      <c r="D853" s="549"/>
      <c r="E853" s="550"/>
      <c r="F853" s="551"/>
      <c r="G853" s="551"/>
      <c r="H853" s="551"/>
      <c r="I853" s="552"/>
      <c r="J853" s="553"/>
      <c r="K853" s="39"/>
      <c r="L853" s="208"/>
      <c r="M853" s="39"/>
      <c r="N853" s="536" t="s">
        <v>2318</v>
      </c>
    </row>
    <row r="854" spans="1:14" ht="15.75" hidden="1">
      <c r="A854" s="16"/>
      <c r="B854" s="39"/>
      <c r="C854" s="554"/>
      <c r="D854" s="555"/>
      <c r="E854" s="540"/>
      <c r="F854" s="541"/>
      <c r="G854" s="40"/>
      <c r="H854" s="16"/>
      <c r="I854" s="552"/>
      <c r="J854" s="553" t="s">
        <v>102</v>
      </c>
      <c r="K854" s="10">
        <f>'data 2022-23'!G600</f>
        <v>3248.17</v>
      </c>
      <c r="L854" s="208" t="s">
        <v>2437</v>
      </c>
      <c r="M854" s="9">
        <f>ROUND(I854*K854,0)</f>
        <v>0</v>
      </c>
      <c r="N854" s="536" t="s">
        <v>2318</v>
      </c>
    </row>
    <row r="855" spans="1:14" ht="93.75" hidden="1" customHeight="1">
      <c r="A855" s="16">
        <v>24</v>
      </c>
      <c r="B855" s="1858" t="s">
        <v>671</v>
      </c>
      <c r="C855" s="1858"/>
      <c r="D855" s="1858"/>
      <c r="E855" s="1858"/>
      <c r="F855" s="1858"/>
      <c r="G855" s="1858"/>
      <c r="H855" s="1858"/>
      <c r="I855" s="537"/>
      <c r="J855" s="538"/>
      <c r="K855" s="16"/>
      <c r="L855" s="208"/>
      <c r="M855" s="38"/>
      <c r="N855" s="536" t="s">
        <v>2318</v>
      </c>
    </row>
    <row r="856" spans="1:14" s="544" customFormat="1" ht="16.5" hidden="1" customHeight="1">
      <c r="A856" s="16"/>
      <c r="B856" s="39" t="s">
        <v>2904</v>
      </c>
      <c r="C856" s="566"/>
      <c r="D856" s="567"/>
      <c r="E856" s="568"/>
      <c r="F856" s="569"/>
      <c r="G856" s="569"/>
      <c r="H856" s="570"/>
      <c r="I856" s="571"/>
      <c r="J856" s="553"/>
      <c r="K856" s="39"/>
      <c r="L856" s="208"/>
      <c r="M856" s="39"/>
      <c r="N856" s="536" t="s">
        <v>2318</v>
      </c>
    </row>
    <row r="857" spans="1:14" s="544" customFormat="1" ht="16.5" hidden="1" customHeight="1">
      <c r="A857" s="16"/>
      <c r="B857" s="547" t="s">
        <v>819</v>
      </c>
      <c r="C857" s="548">
        <v>1</v>
      </c>
      <c r="D857" s="549" t="s">
        <v>273</v>
      </c>
      <c r="E857" s="550">
        <v>1</v>
      </c>
      <c r="F857" s="551">
        <v>6</v>
      </c>
      <c r="G857" s="551">
        <v>0</v>
      </c>
      <c r="H857" s="551">
        <v>0.15</v>
      </c>
      <c r="I857" s="552">
        <f>ROUND(IF(AND(F857:H857),C857*E857*F857*G857*H857,IF(AND(F857,G857),C857*E857*F857*G857,IF(AND(F857,H857),C857*E857*F857*H857,IF(AND(G857,H857),C857*E857*G857*H857,IF(F857,C857*E857*F857,IF(G857,C857*E857*G857,IF(H857,C857*E857*H857,C857*E857))))))),2)</f>
        <v>0.9</v>
      </c>
      <c r="J857" s="553" t="s">
        <v>102</v>
      </c>
      <c r="K857" s="39"/>
      <c r="L857" s="208"/>
      <c r="M857" s="39"/>
      <c r="N857" s="536" t="s">
        <v>2318</v>
      </c>
    </row>
    <row r="858" spans="1:14" s="544" customFormat="1" ht="16.5" hidden="1" customHeight="1">
      <c r="A858" s="16"/>
      <c r="B858" s="547"/>
      <c r="C858" s="548">
        <v>1</v>
      </c>
      <c r="D858" s="549" t="s">
        <v>273</v>
      </c>
      <c r="E858" s="550">
        <v>1</v>
      </c>
      <c r="F858" s="551">
        <v>6</v>
      </c>
      <c r="G858" s="551">
        <v>0</v>
      </c>
      <c r="H858" s="551">
        <v>0.15</v>
      </c>
      <c r="I858" s="552">
        <f>ROUND(IF(AND(F858:H858),C858*E858*F858*G858*H858,IF(AND(F858,G858),C858*E858*F858*G858,IF(AND(F858,H858),C858*E858*F858*H858,IF(AND(G858,H858),C858*E858*G858*H858,IF(F858,C858*E858*F858,IF(G858,C858*E858*G858,IF(H858,C858*E858*H858,C858*E858))))))),2)</f>
        <v>0.9</v>
      </c>
      <c r="J858" s="553" t="s">
        <v>102</v>
      </c>
      <c r="K858" s="39"/>
      <c r="L858" s="208"/>
      <c r="M858" s="39"/>
      <c r="N858" s="536" t="s">
        <v>2318</v>
      </c>
    </row>
    <row r="859" spans="1:14" s="544" customFormat="1" ht="16.5" hidden="1" customHeight="1">
      <c r="A859" s="16"/>
      <c r="B859" s="547" t="s">
        <v>821</v>
      </c>
      <c r="C859" s="548">
        <v>1</v>
      </c>
      <c r="D859" s="549" t="s">
        <v>273</v>
      </c>
      <c r="E859" s="550">
        <v>11</v>
      </c>
      <c r="F859" s="551">
        <v>1.35</v>
      </c>
      <c r="G859" s="551">
        <v>0</v>
      </c>
      <c r="H859" s="551">
        <v>0.15</v>
      </c>
      <c r="I859" s="552">
        <f>ROUND(IF(AND(F859:H859),C859*E859*F859*G859*H859,IF(AND(F859,G859),C859*E859*F859*G859,IF(AND(F859,H859),C859*E859*F859*H859,IF(AND(G859,H859),C859*E859*G859*H859,IF(F859,C859*E859*F859,IF(G859,C859*E859*G859,IF(H859,C859*E859*H859,C859*E859))))))),2)</f>
        <v>2.23</v>
      </c>
      <c r="J859" s="553" t="s">
        <v>102</v>
      </c>
      <c r="K859" s="39"/>
      <c r="L859" s="208"/>
      <c r="M859" s="39"/>
      <c r="N859" s="536" t="s">
        <v>2318</v>
      </c>
    </row>
    <row r="860" spans="1:14" s="544" customFormat="1" ht="16.5" hidden="1" customHeight="1">
      <c r="A860" s="16"/>
      <c r="B860" s="547"/>
      <c r="C860" s="548"/>
      <c r="D860" s="549"/>
      <c r="E860" s="550"/>
      <c r="F860" s="551"/>
      <c r="G860" s="551"/>
      <c r="H860" s="551"/>
      <c r="I860" s="552"/>
      <c r="J860" s="553"/>
      <c r="K860" s="39"/>
      <c r="L860" s="208"/>
      <c r="M860" s="39"/>
      <c r="N860" s="536" t="s">
        <v>2318</v>
      </c>
    </row>
    <row r="861" spans="1:14" ht="15.75" hidden="1">
      <c r="A861" s="16"/>
      <c r="B861" s="39"/>
      <c r="C861" s="554"/>
      <c r="D861" s="555"/>
      <c r="E861" s="540"/>
      <c r="F861" s="541"/>
      <c r="G861" s="40"/>
      <c r="H861" s="16"/>
      <c r="I861" s="552"/>
      <c r="J861" s="553" t="s">
        <v>102</v>
      </c>
      <c r="K861" s="10">
        <f>'data 2022-23'!G619</f>
        <v>2995.66</v>
      </c>
      <c r="L861" s="208" t="s">
        <v>2437</v>
      </c>
      <c r="M861" s="9">
        <f>ROUND(I861*K861,0)</f>
        <v>0</v>
      </c>
      <c r="N861" s="536" t="s">
        <v>2318</v>
      </c>
    </row>
    <row r="862" spans="1:14" ht="90" hidden="1" customHeight="1">
      <c r="A862" s="16">
        <v>26</v>
      </c>
      <c r="B862" s="1858" t="s">
        <v>672</v>
      </c>
      <c r="C862" s="1858"/>
      <c r="D862" s="1858"/>
      <c r="E862" s="1858"/>
      <c r="F862" s="1858"/>
      <c r="G862" s="1858"/>
      <c r="H862" s="1858"/>
      <c r="I862" s="537"/>
      <c r="J862" s="538"/>
      <c r="K862" s="16"/>
      <c r="L862" s="208"/>
      <c r="M862" s="38"/>
      <c r="N862" s="536" t="s">
        <v>2318</v>
      </c>
    </row>
    <row r="863" spans="1:14" s="544" customFormat="1" ht="16.5" hidden="1" customHeight="1">
      <c r="A863" s="16"/>
      <c r="B863" s="39" t="s">
        <v>2827</v>
      </c>
      <c r="C863" s="566"/>
      <c r="D863" s="567"/>
      <c r="E863" s="568"/>
      <c r="F863" s="569"/>
      <c r="G863" s="569"/>
      <c r="H863" s="570"/>
      <c r="I863" s="571"/>
      <c r="J863" s="553"/>
      <c r="K863" s="39"/>
      <c r="L863" s="208"/>
      <c r="M863" s="39"/>
      <c r="N863" s="536" t="s">
        <v>2318</v>
      </c>
    </row>
    <row r="864" spans="1:14" s="544" customFormat="1" ht="16.5" hidden="1" customHeight="1">
      <c r="A864" s="16"/>
      <c r="B864" s="547" t="s">
        <v>578</v>
      </c>
      <c r="C864" s="548">
        <v>1</v>
      </c>
      <c r="D864" s="549" t="s">
        <v>273</v>
      </c>
      <c r="E864" s="550">
        <v>1</v>
      </c>
      <c r="F864" s="551">
        <v>9.8699999999999992</v>
      </c>
      <c r="G864" s="551">
        <v>1.83</v>
      </c>
      <c r="H864" s="551">
        <v>0</v>
      </c>
      <c r="I864" s="552">
        <f>ROUND(IF(AND(F864:H864),C864*E864*F864*G864*H864,IF(AND(F864,G864),C864*E864*F864*G864,IF(AND(F864,H864),C864*E864*F864*H864,IF(AND(G864,H864),C864*E864*G864*H864,IF(F864,C864*E864*F864,IF(G864,C864*E864*G864,IF(H864,C864*E864*H864,C864*E864))))))),2)</f>
        <v>18.059999999999999</v>
      </c>
      <c r="J864" s="553" t="s">
        <v>102</v>
      </c>
      <c r="K864" s="39"/>
      <c r="L864" s="208"/>
      <c r="M864" s="39"/>
      <c r="N864" s="536" t="s">
        <v>2318</v>
      </c>
    </row>
    <row r="865" spans="1:14" s="544" customFormat="1" ht="16.5" hidden="1" customHeight="1">
      <c r="A865" s="16"/>
      <c r="B865" s="547" t="s">
        <v>654</v>
      </c>
      <c r="C865" s="548">
        <v>1</v>
      </c>
      <c r="D865" s="549" t="s">
        <v>273</v>
      </c>
      <c r="E865" s="550">
        <v>1</v>
      </c>
      <c r="F865" s="551">
        <v>2.83</v>
      </c>
      <c r="G865" s="551">
        <v>1.55</v>
      </c>
      <c r="H865" s="551">
        <v>0</v>
      </c>
      <c r="I865" s="552">
        <f>ROUND(IF(AND(F865:H865),C865*E865*F865*G865*H865,IF(AND(F865,G865),C865*E865*F865*G865,IF(AND(F865,H865),C865*E865*F865*H865,IF(AND(G865,H865),C865*E865*G865*H865,IF(F865,C865*E865*F865,IF(G865,C865*E865*G865,IF(H865,C865*E865*H865,C865*E865))))))),2)</f>
        <v>4.3899999999999997</v>
      </c>
      <c r="J865" s="553" t="s">
        <v>102</v>
      </c>
      <c r="K865" s="39"/>
      <c r="L865" s="208"/>
      <c r="M865" s="39"/>
      <c r="N865" s="536" t="s">
        <v>2318</v>
      </c>
    </row>
    <row r="866" spans="1:14" s="544" customFormat="1" ht="16.5" hidden="1" customHeight="1">
      <c r="A866" s="16"/>
      <c r="B866" s="547" t="s">
        <v>1251</v>
      </c>
      <c r="C866" s="548">
        <v>1</v>
      </c>
      <c r="D866" s="549" t="s">
        <v>273</v>
      </c>
      <c r="E866" s="550">
        <v>21</v>
      </c>
      <c r="F866" s="551">
        <v>1.28</v>
      </c>
      <c r="G866" s="551">
        <v>0.3</v>
      </c>
      <c r="H866" s="551">
        <v>0</v>
      </c>
      <c r="I866" s="552">
        <f>ROUND(IF(AND(F866:H866),C866*E866*F866*G866*H866,IF(AND(F866,G866),C866*E866*F866*G866,IF(AND(F866,H866),C866*E866*F866*H866,IF(AND(G866,H866),C866*E866*G866*H866,IF(F866,C866*E866*F866,IF(G866,C866*E866*G866,IF(H866,C866*E866*H866,C866*E866))))))),2)</f>
        <v>8.06</v>
      </c>
      <c r="J866" s="553" t="s">
        <v>102</v>
      </c>
      <c r="K866" s="39"/>
      <c r="L866" s="208"/>
      <c r="M866" s="39"/>
      <c r="N866" s="536" t="s">
        <v>2318</v>
      </c>
    </row>
    <row r="867" spans="1:14" s="544" customFormat="1" ht="16.5" hidden="1" customHeight="1">
      <c r="A867" s="16"/>
      <c r="B867" s="547"/>
      <c r="C867" s="548"/>
      <c r="D867" s="549"/>
      <c r="E867" s="550"/>
      <c r="F867" s="551"/>
      <c r="G867" s="551"/>
      <c r="H867" s="551"/>
      <c r="I867" s="552"/>
      <c r="J867" s="553"/>
      <c r="K867" s="39"/>
      <c r="L867" s="208"/>
      <c r="M867" s="39"/>
      <c r="N867" s="536" t="s">
        <v>2318</v>
      </c>
    </row>
    <row r="868" spans="1:14" ht="15.75" hidden="1">
      <c r="A868" s="16"/>
      <c r="B868" s="39"/>
      <c r="C868" s="554"/>
      <c r="D868" s="555"/>
      <c r="E868" s="540"/>
      <c r="F868" s="541"/>
      <c r="G868" s="40"/>
      <c r="H868" s="16"/>
      <c r="I868" s="552"/>
      <c r="J868" s="553" t="s">
        <v>102</v>
      </c>
      <c r="K868" s="10">
        <f>'data 2022-23'!G640</f>
        <v>816.76</v>
      </c>
      <c r="L868" s="208" t="s">
        <v>2437</v>
      </c>
      <c r="M868" s="9">
        <f>ROUND(I868*K868,0)</f>
        <v>0</v>
      </c>
      <c r="N868" s="536" t="s">
        <v>2318</v>
      </c>
    </row>
    <row r="869" spans="1:14" ht="96" hidden="1" customHeight="1">
      <c r="A869" s="16">
        <v>27</v>
      </c>
      <c r="B869" s="1858" t="s">
        <v>678</v>
      </c>
      <c r="C869" s="1858"/>
      <c r="D869" s="1858"/>
      <c r="E869" s="1858"/>
      <c r="F869" s="1858"/>
      <c r="G869" s="1858"/>
      <c r="H869" s="1858"/>
      <c r="I869" s="537"/>
      <c r="J869" s="538"/>
      <c r="K869" s="16"/>
      <c r="L869" s="208"/>
      <c r="M869" s="38"/>
      <c r="N869" s="536" t="s">
        <v>2318</v>
      </c>
    </row>
    <row r="870" spans="1:14" s="544" customFormat="1" ht="16.5" hidden="1" customHeight="1">
      <c r="A870" s="16"/>
      <c r="B870" s="39" t="s">
        <v>2864</v>
      </c>
      <c r="C870" s="566"/>
      <c r="D870" s="567"/>
      <c r="E870" s="568"/>
      <c r="F870" s="569"/>
      <c r="G870" s="569"/>
      <c r="H870" s="570"/>
      <c r="I870" s="571"/>
      <c r="J870" s="553"/>
      <c r="K870" s="39"/>
      <c r="L870" s="208"/>
      <c r="M870" s="39"/>
      <c r="N870" s="536" t="s">
        <v>2318</v>
      </c>
    </row>
    <row r="871" spans="1:14" s="544" customFormat="1" ht="16.5" hidden="1" customHeight="1">
      <c r="A871" s="16"/>
      <c r="B871" s="547" t="s">
        <v>1249</v>
      </c>
      <c r="C871" s="548">
        <v>1</v>
      </c>
      <c r="D871" s="549" t="s">
        <v>273</v>
      </c>
      <c r="E871" s="550">
        <v>2</v>
      </c>
      <c r="F871" s="551">
        <v>5.25</v>
      </c>
      <c r="G871" s="551">
        <v>0</v>
      </c>
      <c r="H871" s="551">
        <v>0.1</v>
      </c>
      <c r="I871" s="552">
        <f>ROUND(IF(AND(F871:H871),C871*E871*F871*G871*H871,IF(AND(F871,G871),C871*E871*F871*G871,IF(AND(F871,H871),C871*E871*F871*H871,IF(AND(G871,H871),C871*E871*G871*H871,IF(F871,C871*E871*F871,IF(G871,C871*E871*G871,IF(H871,C871*E871*H871,C871*E871))))))),2)</f>
        <v>1.05</v>
      </c>
      <c r="J871" s="553" t="s">
        <v>102</v>
      </c>
      <c r="K871" s="39"/>
      <c r="L871" s="208"/>
      <c r="M871" s="39"/>
      <c r="N871" s="536" t="s">
        <v>2318</v>
      </c>
    </row>
    <row r="872" spans="1:14" s="544" customFormat="1" ht="16.5" hidden="1" customHeight="1">
      <c r="A872" s="16"/>
      <c r="B872" s="547" t="s">
        <v>578</v>
      </c>
      <c r="C872" s="548">
        <v>1</v>
      </c>
      <c r="D872" s="549" t="s">
        <v>273</v>
      </c>
      <c r="E872" s="550">
        <v>1</v>
      </c>
      <c r="F872" s="551">
        <v>9.8699999999999992</v>
      </c>
      <c r="G872" s="551">
        <v>0</v>
      </c>
      <c r="H872" s="551">
        <v>0.1</v>
      </c>
      <c r="I872" s="552">
        <f>ROUND(IF(AND(F872:H872),C872*E872*F872*G872*H872,IF(AND(F872,G872),C872*E872*F872*G872,IF(AND(F872,H872),C872*E872*F872*H872,IF(AND(G872,H872),C872*E872*G872*H872,IF(F872,C872*E872*F872,IF(G872,C872*E872*G872,IF(H872,C872*E872*H872,C872*E872))))))),2)</f>
        <v>0.99</v>
      </c>
      <c r="J872" s="553" t="s">
        <v>102</v>
      </c>
      <c r="K872" s="39"/>
      <c r="L872" s="208"/>
      <c r="M872" s="39"/>
      <c r="N872" s="536" t="s">
        <v>2318</v>
      </c>
    </row>
    <row r="873" spans="1:14" s="544" customFormat="1" ht="16.5" hidden="1" customHeight="1">
      <c r="A873" s="16"/>
      <c r="B873" s="547" t="s">
        <v>1245</v>
      </c>
      <c r="C873" s="548">
        <v>1</v>
      </c>
      <c r="D873" s="549" t="s">
        <v>273</v>
      </c>
      <c r="E873" s="550">
        <v>1</v>
      </c>
      <c r="F873" s="551">
        <v>10.53</v>
      </c>
      <c r="G873" s="551">
        <v>0</v>
      </c>
      <c r="H873" s="551">
        <v>0.1</v>
      </c>
      <c r="I873" s="552">
        <f>ROUND(IF(AND(F873:H873),C873*E873*F873*G873*H873,IF(AND(F873,G873),C873*E873*F873*G873,IF(AND(F873,H873),C873*E873*F873*H873,IF(AND(G873,H873),C873*E873*G873*H873,IF(F873,C873*E873*F873,IF(G873,C873*E873*G873,IF(H873,C873*E873*H873,C873*E873))))))),2)</f>
        <v>1.05</v>
      </c>
      <c r="J873" s="553" t="s">
        <v>102</v>
      </c>
      <c r="K873" s="39"/>
      <c r="L873" s="208"/>
      <c r="M873" s="39"/>
      <c r="N873" s="536" t="s">
        <v>2318</v>
      </c>
    </row>
    <row r="874" spans="1:14" s="544" customFormat="1" ht="16.5" hidden="1" customHeight="1">
      <c r="A874" s="16"/>
      <c r="B874" s="547"/>
      <c r="C874" s="548"/>
      <c r="D874" s="549"/>
      <c r="E874" s="550"/>
      <c r="F874" s="551"/>
      <c r="G874" s="551"/>
      <c r="H874" s="551"/>
      <c r="I874" s="552"/>
      <c r="J874" s="553"/>
      <c r="K874" s="39"/>
      <c r="L874" s="208"/>
      <c r="M874" s="39"/>
      <c r="N874" s="536" t="s">
        <v>2318</v>
      </c>
    </row>
    <row r="875" spans="1:14" ht="15.75" hidden="1">
      <c r="A875" s="16"/>
      <c r="B875" s="39"/>
      <c r="C875" s="554"/>
      <c r="D875" s="555"/>
      <c r="E875" s="540"/>
      <c r="F875" s="541"/>
      <c r="G875" s="40"/>
      <c r="H875" s="16"/>
      <c r="I875" s="552"/>
      <c r="J875" s="553" t="s">
        <v>102</v>
      </c>
      <c r="K875" s="10">
        <f>'data 2022-23'!G658</f>
        <v>822.23</v>
      </c>
      <c r="L875" s="208" t="s">
        <v>2437</v>
      </c>
      <c r="M875" s="9">
        <f>ROUND(I875*K875,0)</f>
        <v>0</v>
      </c>
      <c r="N875" s="536" t="s">
        <v>2318</v>
      </c>
    </row>
    <row r="876" spans="1:14" ht="94.5" hidden="1" customHeight="1">
      <c r="A876" s="16">
        <v>19</v>
      </c>
      <c r="B876" s="1858" t="s">
        <v>211</v>
      </c>
      <c r="C876" s="1858"/>
      <c r="D876" s="1858"/>
      <c r="E876" s="1858"/>
      <c r="F876" s="1858"/>
      <c r="G876" s="1858"/>
      <c r="H876" s="1858"/>
      <c r="I876" s="537"/>
      <c r="J876" s="538"/>
      <c r="K876" s="16"/>
      <c r="L876" s="208"/>
      <c r="M876" s="38"/>
      <c r="N876" s="536" t="s">
        <v>2318</v>
      </c>
    </row>
    <row r="877" spans="1:14" s="544" customFormat="1" ht="16.5" hidden="1" customHeight="1">
      <c r="A877" s="16"/>
      <c r="B877" s="556" t="s">
        <v>2905</v>
      </c>
      <c r="C877" s="566"/>
      <c r="D877" s="567"/>
      <c r="E877" s="568"/>
      <c r="F877" s="569"/>
      <c r="G877" s="569"/>
      <c r="H877" s="570"/>
      <c r="I877" s="571"/>
      <c r="J877" s="553"/>
      <c r="K877" s="39"/>
      <c r="L877" s="208"/>
      <c r="M877" s="39"/>
      <c r="N877" s="536" t="s">
        <v>2318</v>
      </c>
    </row>
    <row r="878" spans="1:14" s="544" customFormat="1" ht="16.5" hidden="1" customHeight="1">
      <c r="A878" s="16"/>
      <c r="B878" s="547"/>
      <c r="C878" s="548">
        <v>1</v>
      </c>
      <c r="D878" s="549" t="s">
        <v>273</v>
      </c>
      <c r="E878" s="550">
        <v>1</v>
      </c>
      <c r="F878" s="551">
        <v>9.86</v>
      </c>
      <c r="G878" s="551">
        <v>1.1499999999999999</v>
      </c>
      <c r="H878" s="551">
        <v>0</v>
      </c>
      <c r="I878" s="552">
        <f>ROUND(IF(AND(F878:H878),C878*E878*F878*G878*H878,IF(AND(F878,G878),C878*E878*F878*G878,IF(AND(F878,H878),C878*E878*F878*H878,IF(AND(G878,H878),C878*E878*G878*H878,IF(F878,C878*E878*F878,IF(G878,C878*E878*G878,IF(H878,C878*E878*H878,C878*E878))))))),2)</f>
        <v>11.34</v>
      </c>
      <c r="J878" s="553" t="s">
        <v>102</v>
      </c>
      <c r="K878" s="39"/>
      <c r="L878" s="208"/>
      <c r="M878" s="39"/>
      <c r="N878" s="536" t="s">
        <v>2318</v>
      </c>
    </row>
    <row r="879" spans="1:14" s="544" customFormat="1" ht="16.5" hidden="1" customHeight="1">
      <c r="A879" s="16"/>
      <c r="B879" s="547"/>
      <c r="C879" s="548">
        <v>1</v>
      </c>
      <c r="D879" s="549" t="s">
        <v>273</v>
      </c>
      <c r="E879" s="550">
        <v>1</v>
      </c>
      <c r="F879" s="551">
        <v>3.1</v>
      </c>
      <c r="G879" s="551">
        <v>0.4</v>
      </c>
      <c r="H879" s="551">
        <v>0</v>
      </c>
      <c r="I879" s="552">
        <f>ROUND(IF(AND(F879:H879),C879*E879*F879*G879*H879,IF(AND(F879,G879),C879*E879*F879*G879,IF(AND(F879,H879),C879*E879*F879*H879,IF(AND(G879,H879),C879*E879*G879*H879,IF(F879,C879*E879*F879,IF(G879,C879*E879*G879,IF(H879,C879*E879*H879,C879*E879))))))),2)</f>
        <v>1.24</v>
      </c>
      <c r="J879" s="553" t="s">
        <v>102</v>
      </c>
      <c r="K879" s="39"/>
      <c r="L879" s="208"/>
      <c r="M879" s="39"/>
      <c r="N879" s="536" t="s">
        <v>2318</v>
      </c>
    </row>
    <row r="880" spans="1:14" s="544" customFormat="1" ht="16.5" hidden="1" customHeight="1">
      <c r="A880" s="16"/>
      <c r="B880" s="547"/>
      <c r="C880" s="548">
        <v>1</v>
      </c>
      <c r="D880" s="549" t="s">
        <v>273</v>
      </c>
      <c r="E880" s="550">
        <v>1</v>
      </c>
      <c r="F880" s="551">
        <v>3.1</v>
      </c>
      <c r="G880" s="551">
        <v>1.18</v>
      </c>
      <c r="H880" s="551">
        <v>0</v>
      </c>
      <c r="I880" s="552">
        <f>ROUND(IF(AND(F880:H880),C880*E880*F880*G880*H880,IF(AND(F880,G880),C880*E880*F880*G880,IF(AND(F880,H880),C880*E880*F880*H880,IF(AND(G880,H880),C880*E880*G880*H880,IF(F880,C880*E880*F880,IF(G880,C880*E880*G880,IF(H880,C880*E880*H880,C880*E880))))))),2)</f>
        <v>3.66</v>
      </c>
      <c r="J880" s="553" t="s">
        <v>102</v>
      </c>
      <c r="K880" s="39"/>
      <c r="L880" s="208"/>
      <c r="M880" s="39"/>
      <c r="N880" s="536" t="s">
        <v>2318</v>
      </c>
    </row>
    <row r="881" spans="1:14" s="544" customFormat="1" ht="16.5" hidden="1" customHeight="1">
      <c r="A881" s="16"/>
      <c r="B881" s="547"/>
      <c r="C881" s="548"/>
      <c r="D881" s="549"/>
      <c r="E881" s="550"/>
      <c r="F881" s="551"/>
      <c r="G881" s="551"/>
      <c r="H881" s="551"/>
      <c r="I881" s="552"/>
      <c r="J881" s="553"/>
      <c r="K881" s="39"/>
      <c r="L881" s="208"/>
      <c r="M881" s="39"/>
      <c r="N881" s="536" t="s">
        <v>2318</v>
      </c>
    </row>
    <row r="882" spans="1:14" ht="15.75" hidden="1">
      <c r="A882" s="16"/>
      <c r="B882" s="39"/>
      <c r="C882" s="554"/>
      <c r="D882" s="555"/>
      <c r="E882" s="540"/>
      <c r="F882" s="541"/>
      <c r="G882" s="40"/>
      <c r="H882" s="16"/>
      <c r="I882" s="552"/>
      <c r="J882" s="553" t="s">
        <v>102</v>
      </c>
      <c r="K882" s="10">
        <f>'data 2022-23'!G714</f>
        <v>873.89</v>
      </c>
      <c r="L882" s="208" t="s">
        <v>2437</v>
      </c>
      <c r="M882" s="9">
        <f>ROUND(I882*K882,0)</f>
        <v>0</v>
      </c>
      <c r="N882" s="536" t="s">
        <v>2318</v>
      </c>
    </row>
    <row r="883" spans="1:14" ht="94.5" hidden="1" customHeight="1">
      <c r="A883" s="16">
        <v>20</v>
      </c>
      <c r="B883" s="1858" t="s">
        <v>214</v>
      </c>
      <c r="C883" s="1858"/>
      <c r="D883" s="1858"/>
      <c r="E883" s="1858"/>
      <c r="F883" s="1858"/>
      <c r="G883" s="1858"/>
      <c r="H883" s="1858"/>
      <c r="I883" s="537"/>
      <c r="J883" s="538"/>
      <c r="K883" s="16"/>
      <c r="L883" s="208"/>
      <c r="M883" s="38"/>
      <c r="N883" s="536" t="s">
        <v>2318</v>
      </c>
    </row>
    <row r="884" spans="1:14" s="544" customFormat="1" ht="16.5" hidden="1" customHeight="1">
      <c r="A884" s="16"/>
      <c r="B884" s="607" t="s">
        <v>2906</v>
      </c>
      <c r="C884" s="566"/>
      <c r="D884" s="567"/>
      <c r="E884" s="568"/>
      <c r="F884" s="569"/>
      <c r="G884" s="569"/>
      <c r="H884" s="570"/>
      <c r="I884" s="571"/>
      <c r="J884" s="553"/>
      <c r="K884" s="39"/>
      <c r="L884" s="208"/>
      <c r="M884" s="39"/>
      <c r="N884" s="536" t="s">
        <v>2318</v>
      </c>
    </row>
    <row r="885" spans="1:14" s="544" customFormat="1" ht="16.5" hidden="1" customHeight="1">
      <c r="A885" s="16"/>
      <c r="B885" s="547"/>
      <c r="C885" s="548">
        <v>1</v>
      </c>
      <c r="D885" s="549" t="s">
        <v>273</v>
      </c>
      <c r="E885" s="550">
        <v>1</v>
      </c>
      <c r="F885" s="551">
        <v>8.6300000000000008</v>
      </c>
      <c r="G885" s="551">
        <v>0</v>
      </c>
      <c r="H885" s="551">
        <v>0.1</v>
      </c>
      <c r="I885" s="552">
        <f>ROUND(IF(AND(F885:H885),C885*E885*F885*G885*H885,IF(AND(F885,G885),C885*E885*F885*G885,IF(AND(F885,H885),C885*E885*F885*H885,IF(AND(G885,H885),C885*E885*G885*H885,IF(F885,C885*E885*F885,IF(G885,C885*E885*G885,IF(H885,C885*E885*H885,C885*E885))))))),2)</f>
        <v>0.86</v>
      </c>
      <c r="J885" s="553" t="s">
        <v>102</v>
      </c>
      <c r="K885" s="39"/>
      <c r="L885" s="208"/>
      <c r="M885" s="39"/>
      <c r="N885" s="536" t="s">
        <v>2318</v>
      </c>
    </row>
    <row r="886" spans="1:14" s="544" customFormat="1" ht="16.5" hidden="1" customHeight="1">
      <c r="A886" s="16"/>
      <c r="B886" s="547"/>
      <c r="C886" s="548">
        <v>1</v>
      </c>
      <c r="D886" s="549" t="s">
        <v>273</v>
      </c>
      <c r="E886" s="550">
        <v>4</v>
      </c>
      <c r="F886" s="551">
        <v>3.6</v>
      </c>
      <c r="G886" s="551">
        <v>0</v>
      </c>
      <c r="H886" s="551">
        <v>0.18</v>
      </c>
      <c r="I886" s="552">
        <f>ROUND(IF(AND(F886:H886),C886*E886*F886*G886*H886,IF(AND(F886,G886),C886*E886*F886*G886,IF(AND(F886,H886),C886*E886*F886*H886,IF(AND(G886,H886),C886*E886*G886*H886,IF(F886,C886*E886*F886,IF(G886,C886*E886*G886,IF(H886,C886*E886*H886,C886*E886))))))),2)</f>
        <v>2.59</v>
      </c>
      <c r="J886" s="553" t="s">
        <v>102</v>
      </c>
      <c r="K886" s="39"/>
      <c r="L886" s="208"/>
      <c r="M886" s="39"/>
      <c r="N886" s="536" t="s">
        <v>2318</v>
      </c>
    </row>
    <row r="887" spans="1:14" s="544" customFormat="1" ht="16.5" hidden="1" customHeight="1">
      <c r="A887" s="16"/>
      <c r="B887" s="547"/>
      <c r="C887" s="548"/>
      <c r="D887" s="549"/>
      <c r="E887" s="550"/>
      <c r="F887" s="551"/>
      <c r="G887" s="551"/>
      <c r="H887" s="551"/>
      <c r="I887" s="552"/>
      <c r="J887" s="553"/>
      <c r="K887" s="39"/>
      <c r="L887" s="208"/>
      <c r="M887" s="39"/>
      <c r="N887" s="536" t="s">
        <v>2318</v>
      </c>
    </row>
    <row r="888" spans="1:14" ht="15.75" hidden="1">
      <c r="A888" s="16"/>
      <c r="B888" s="39"/>
      <c r="C888" s="554"/>
      <c r="D888" s="555"/>
      <c r="E888" s="540"/>
      <c r="F888" s="541"/>
      <c r="G888" s="40"/>
      <c r="H888" s="16"/>
      <c r="I888" s="552"/>
      <c r="J888" s="553" t="s">
        <v>102</v>
      </c>
      <c r="K888" s="10">
        <f>'data 2022-23'!G731</f>
        <v>536.26</v>
      </c>
      <c r="L888" s="208" t="s">
        <v>2437</v>
      </c>
      <c r="M888" s="9">
        <f>ROUND(I888*K888,0)</f>
        <v>0</v>
      </c>
      <c r="N888" s="536" t="s">
        <v>2318</v>
      </c>
    </row>
    <row r="889" spans="1:14" ht="81.75" hidden="1" customHeight="1">
      <c r="A889" s="16">
        <v>27</v>
      </c>
      <c r="B889" s="1858" t="s">
        <v>1203</v>
      </c>
      <c r="C889" s="1858"/>
      <c r="D889" s="1858"/>
      <c r="E889" s="1858"/>
      <c r="F889" s="1858"/>
      <c r="G889" s="1858"/>
      <c r="H889" s="1858"/>
      <c r="I889" s="537"/>
      <c r="J889" s="538"/>
      <c r="K889" s="16"/>
      <c r="L889" s="208"/>
      <c r="M889" s="38"/>
      <c r="N889" s="536" t="s">
        <v>2318</v>
      </c>
    </row>
    <row r="890" spans="1:14" s="544" customFormat="1" ht="16.5" hidden="1" customHeight="1">
      <c r="A890" s="16"/>
      <c r="B890" s="607" t="s">
        <v>2896</v>
      </c>
      <c r="C890" s="566"/>
      <c r="D890" s="567"/>
      <c r="E890" s="568"/>
      <c r="F890" s="569"/>
      <c r="G890" s="569"/>
      <c r="H890" s="570"/>
      <c r="I890" s="571"/>
      <c r="J890" s="580"/>
      <c r="K890" s="39"/>
      <c r="L890" s="208"/>
      <c r="M890" s="39"/>
      <c r="N890" s="536" t="s">
        <v>2318</v>
      </c>
    </row>
    <row r="891" spans="1:14" s="544" customFormat="1" ht="16.5" hidden="1" customHeight="1">
      <c r="A891" s="16"/>
      <c r="B891" s="556" t="s">
        <v>1189</v>
      </c>
      <c r="C891" s="557">
        <v>2</v>
      </c>
      <c r="D891" s="558" t="s">
        <v>273</v>
      </c>
      <c r="E891" s="221">
        <v>0.5</v>
      </c>
      <c r="F891" s="559">
        <v>0.96</v>
      </c>
      <c r="G891" s="559">
        <v>1</v>
      </c>
      <c r="H891" s="559">
        <v>0</v>
      </c>
      <c r="I891" s="560">
        <f>ROUND(IF(AND(F891:H891),C891*E891*F891*G891*H891,IF(AND(F891,G891),C891*E891*F891*G891,IF(AND(F891,H891),C891*E891*F891*H891,IF(AND(G891,H891),C891*E891*G891*H891,IF(F891,C891*E891*F891,IF(G891,C891*E891*G891,IF(H891,C891*E891*H891,C891*E891))))))),2)</f>
        <v>0.96</v>
      </c>
      <c r="J891" s="580" t="s">
        <v>102</v>
      </c>
      <c r="K891" s="39"/>
      <c r="L891" s="208"/>
      <c r="M891" s="39"/>
      <c r="N891" s="536" t="s">
        <v>2318</v>
      </c>
    </row>
    <row r="892" spans="1:14" s="544" customFormat="1" ht="16.5" hidden="1" customHeight="1">
      <c r="A892" s="16"/>
      <c r="B892" s="556"/>
      <c r="C892" s="557">
        <v>1</v>
      </c>
      <c r="D892" s="558" t="s">
        <v>273</v>
      </c>
      <c r="E892" s="221">
        <v>2</v>
      </c>
      <c r="F892" s="559">
        <v>3.6</v>
      </c>
      <c r="G892" s="559">
        <v>1.1299999999999999</v>
      </c>
      <c r="H892" s="559">
        <v>0</v>
      </c>
      <c r="I892" s="560">
        <f>ROUND(IF(AND(F892:H892),C892*E892*F892*G892*H892,IF(AND(F892,G892),C892*E892*F892*G892,IF(AND(F892,H892),C892*E892*F892*H892,IF(AND(G892,H892),C892*E892*G892*H892,IF(F892,C892*E892*F892,IF(G892,C892*E892*G892,IF(H892,C892*E892*H892,C892*E892))))))),2)</f>
        <v>8.14</v>
      </c>
      <c r="J892" s="580" t="s">
        <v>102</v>
      </c>
      <c r="K892" s="39"/>
      <c r="L892" s="208"/>
      <c r="M892" s="39"/>
      <c r="N892" s="536" t="s">
        <v>2318</v>
      </c>
    </row>
    <row r="893" spans="1:14" s="544" customFormat="1" ht="16.5" hidden="1" customHeight="1">
      <c r="A893" s="16"/>
      <c r="B893" s="547"/>
      <c r="C893" s="548"/>
      <c r="D893" s="549"/>
      <c r="E893" s="550"/>
      <c r="F893" s="551"/>
      <c r="G893" s="551"/>
      <c r="H893" s="551"/>
      <c r="I893" s="552"/>
      <c r="J893" s="580"/>
      <c r="K893" s="39"/>
      <c r="L893" s="208"/>
      <c r="M893" s="39"/>
      <c r="N893" s="536" t="s">
        <v>2318</v>
      </c>
    </row>
    <row r="894" spans="1:14" ht="15.75" hidden="1">
      <c r="A894" s="16"/>
      <c r="B894" s="39"/>
      <c r="C894" s="554"/>
      <c r="D894" s="555"/>
      <c r="E894" s="540"/>
      <c r="F894" s="541"/>
      <c r="G894" s="40"/>
      <c r="H894" s="16"/>
      <c r="I894" s="552"/>
      <c r="J894" s="580" t="s">
        <v>102</v>
      </c>
      <c r="K894" s="10">
        <f>'data 2022-23'!G759</f>
        <v>1100.49</v>
      </c>
      <c r="L894" s="208" t="s">
        <v>2437</v>
      </c>
      <c r="M894" s="9">
        <f>ROUND(I894*K894,0)</f>
        <v>0</v>
      </c>
      <c r="N894" s="536" t="s">
        <v>2318</v>
      </c>
    </row>
    <row r="895" spans="1:14" ht="66" hidden="1" customHeight="1">
      <c r="A895" s="16">
        <v>26</v>
      </c>
      <c r="B895" s="1858" t="s">
        <v>1193</v>
      </c>
      <c r="C895" s="1858"/>
      <c r="D895" s="1858"/>
      <c r="E895" s="1858"/>
      <c r="F895" s="1858"/>
      <c r="G895" s="1858"/>
      <c r="H895" s="1858"/>
      <c r="I895" s="537"/>
      <c r="J895" s="538"/>
      <c r="K895" s="16"/>
      <c r="L895" s="208"/>
      <c r="M895" s="38"/>
      <c r="N895" s="536" t="s">
        <v>2318</v>
      </c>
    </row>
    <row r="896" spans="1:14" s="544" customFormat="1" ht="16.5" hidden="1" customHeight="1">
      <c r="A896" s="16"/>
      <c r="B896" s="39" t="s">
        <v>2866</v>
      </c>
      <c r="C896" s="566"/>
      <c r="D896" s="567"/>
      <c r="E896" s="568"/>
      <c r="F896" s="569"/>
      <c r="G896" s="569"/>
      <c r="H896" s="570"/>
      <c r="I896" s="571"/>
      <c r="J896" s="553"/>
      <c r="K896" s="39"/>
      <c r="L896" s="208"/>
      <c r="M896" s="39"/>
      <c r="N896" s="536" t="s">
        <v>2318</v>
      </c>
    </row>
    <row r="897" spans="1:14" s="544" customFormat="1" ht="16.5" hidden="1" customHeight="1">
      <c r="A897" s="16"/>
      <c r="B897" s="39" t="s">
        <v>799</v>
      </c>
      <c r="C897" s="537">
        <v>1</v>
      </c>
      <c r="D897" s="539" t="s">
        <v>273</v>
      </c>
      <c r="E897" s="540">
        <v>1</v>
      </c>
      <c r="F897" s="541">
        <v>8.5</v>
      </c>
      <c r="G897" s="541">
        <v>4.95</v>
      </c>
      <c r="H897" s="541">
        <v>0</v>
      </c>
      <c r="I897" s="545">
        <f>ROUND(IF(AND(F897:H897),C897*E897*F897*G897*H897,IF(AND(F897,G897),C897*E897*F897*G897,IF(AND(F897,H897),C897*E897*F897*H897,IF(AND(G897,H897),C897*E897*G897*H897,IF(F897,C897*E897*F897,IF(G897,C897*E897*G897,IF(H897,C897*E897*H897,C897*E897))))))),2)</f>
        <v>42.08</v>
      </c>
      <c r="J897" s="553" t="s">
        <v>102</v>
      </c>
      <c r="K897" s="39"/>
      <c r="L897" s="208"/>
      <c r="M897" s="39"/>
      <c r="N897" s="536" t="s">
        <v>2318</v>
      </c>
    </row>
    <row r="898" spans="1:14" s="544" customFormat="1" ht="16.5" hidden="1" customHeight="1">
      <c r="A898" s="16"/>
      <c r="B898" s="39" t="s">
        <v>813</v>
      </c>
      <c r="C898" s="537">
        <v>1</v>
      </c>
      <c r="D898" s="539" t="s">
        <v>273</v>
      </c>
      <c r="E898" s="540">
        <v>1</v>
      </c>
      <c r="F898" s="541">
        <v>5.5</v>
      </c>
      <c r="G898" s="541">
        <v>2.4</v>
      </c>
      <c r="H898" s="541">
        <v>0</v>
      </c>
      <c r="I898" s="545">
        <f>ROUND(IF(AND(F898:H898),C898*E898*F898*G898*H898,IF(AND(F898,G898),C898*E898*F898*G898,IF(AND(F898,H898),C898*E898*F898*H898,IF(AND(G898,H898),C898*E898*G898*H898,IF(F898,C898*E898*F898,IF(G898,C898*E898*G898,IF(H898,C898*E898*H898,C898*E898))))))),2)</f>
        <v>13.2</v>
      </c>
      <c r="J898" s="553" t="s">
        <v>102</v>
      </c>
      <c r="K898" s="39"/>
      <c r="L898" s="208"/>
      <c r="M898" s="39"/>
      <c r="N898" s="536" t="s">
        <v>2318</v>
      </c>
    </row>
    <row r="899" spans="1:14" s="544" customFormat="1" ht="16.5" hidden="1" customHeight="1">
      <c r="A899" s="16"/>
      <c r="B899" s="39" t="s">
        <v>815</v>
      </c>
      <c r="C899" s="537">
        <v>1</v>
      </c>
      <c r="D899" s="539" t="s">
        <v>273</v>
      </c>
      <c r="E899" s="540">
        <v>1</v>
      </c>
      <c r="F899" s="541">
        <v>3.15</v>
      </c>
      <c r="G899" s="541">
        <v>2.85</v>
      </c>
      <c r="H899" s="541">
        <v>0</v>
      </c>
      <c r="I899" s="545">
        <f>ROUND(IF(AND(F899:H899),C899*E899*F899*G899*H899,IF(AND(F899,G899),C899*E899*F899*G899,IF(AND(F899,H899),C899*E899*F899*H899,IF(AND(G899,H899),C899*E899*G899*H899,IF(F899,C899*E899*F899,IF(G899,C899*E899*G899,IF(H899,C899*E899*H899,C899*E899))))))),2)</f>
        <v>8.98</v>
      </c>
      <c r="J899" s="553" t="s">
        <v>102</v>
      </c>
      <c r="K899" s="39"/>
      <c r="L899" s="208"/>
      <c r="M899" s="39"/>
      <c r="N899" s="536" t="s">
        <v>2318</v>
      </c>
    </row>
    <row r="900" spans="1:14" s="544" customFormat="1" ht="16.5" hidden="1" customHeight="1">
      <c r="A900" s="16"/>
      <c r="B900" s="39" t="s">
        <v>816</v>
      </c>
      <c r="C900" s="537">
        <v>1</v>
      </c>
      <c r="D900" s="539" t="s">
        <v>273</v>
      </c>
      <c r="E900" s="540">
        <v>1</v>
      </c>
      <c r="F900" s="541">
        <v>5.45</v>
      </c>
      <c r="G900" s="541">
        <v>0</v>
      </c>
      <c r="H900" s="541">
        <v>3.2</v>
      </c>
      <c r="I900" s="545">
        <f>ROUND(IF(AND(F900:H900),C900*E900*F900*G900*H900,IF(AND(F900,G900),C900*E900*F900*G900,IF(AND(F900,H900),C900*E900*F900*H900,IF(AND(G900,H900),C900*E900*G900*H900,IF(F900,C900*E900*F900,IF(G900,C900*E900*G900,IF(H900,C900*E900*H900,C900*E900))))))),2)</f>
        <v>17.440000000000001</v>
      </c>
      <c r="J900" s="553" t="s">
        <v>102</v>
      </c>
      <c r="K900" s="39"/>
      <c r="L900" s="208"/>
      <c r="M900" s="39"/>
      <c r="N900" s="536" t="s">
        <v>2318</v>
      </c>
    </row>
    <row r="901" spans="1:14" s="544" customFormat="1" ht="16.5" hidden="1" customHeight="1">
      <c r="A901" s="16"/>
      <c r="B901" s="547"/>
      <c r="C901" s="548"/>
      <c r="D901" s="549"/>
      <c r="E901" s="587"/>
      <c r="F901" s="551"/>
      <c r="G901" s="551"/>
      <c r="H901" s="551"/>
      <c r="I901" s="552"/>
      <c r="J901" s="553"/>
      <c r="K901" s="39"/>
      <c r="L901" s="208"/>
      <c r="M901" s="39"/>
      <c r="N901" s="536" t="s">
        <v>2318</v>
      </c>
    </row>
    <row r="902" spans="1:14" ht="15.75" hidden="1">
      <c r="A902" s="16"/>
      <c r="B902" s="39"/>
      <c r="C902" s="554"/>
      <c r="D902" s="555"/>
      <c r="E902" s="540"/>
      <c r="F902" s="541"/>
      <c r="G902" s="40"/>
      <c r="H902" s="16"/>
      <c r="I902" s="552"/>
      <c r="J902" s="553" t="s">
        <v>102</v>
      </c>
      <c r="K902" s="10">
        <f>'data 2022-23'!G794</f>
        <v>27.91</v>
      </c>
      <c r="L902" s="208" t="s">
        <v>2437</v>
      </c>
      <c r="M902" s="9">
        <f>ROUND(I902*K902,0)</f>
        <v>0</v>
      </c>
      <c r="N902" s="536" t="s">
        <v>2318</v>
      </c>
    </row>
    <row r="903" spans="1:14" ht="117.75" hidden="1" customHeight="1">
      <c r="A903" s="16">
        <v>10</v>
      </c>
      <c r="B903" s="1858" t="s">
        <v>891</v>
      </c>
      <c r="C903" s="1858"/>
      <c r="D903" s="1858"/>
      <c r="E903" s="1858"/>
      <c r="F903" s="1858"/>
      <c r="G903" s="1858"/>
      <c r="H903" s="1858"/>
      <c r="I903" s="537"/>
      <c r="J903" s="538"/>
      <c r="K903" s="16"/>
      <c r="L903" s="208"/>
      <c r="M903" s="38"/>
      <c r="N903" s="536" t="s">
        <v>2318</v>
      </c>
    </row>
    <row r="904" spans="1:14" s="544" customFormat="1" ht="16.5" hidden="1" customHeight="1">
      <c r="A904" s="16"/>
      <c r="B904" s="39" t="s">
        <v>2822</v>
      </c>
      <c r="C904" s="537"/>
      <c r="D904" s="539"/>
      <c r="E904" s="540"/>
      <c r="F904" s="541"/>
      <c r="G904" s="541"/>
      <c r="H904" s="541"/>
      <c r="I904" s="542"/>
      <c r="J904" s="553"/>
      <c r="K904" s="39"/>
      <c r="L904" s="208"/>
      <c r="M904" s="39"/>
      <c r="N904" s="536" t="s">
        <v>2318</v>
      </c>
    </row>
    <row r="905" spans="1:14" s="544" customFormat="1" ht="16.5" hidden="1" customHeight="1">
      <c r="A905" s="16"/>
      <c r="B905" s="39" t="s">
        <v>1545</v>
      </c>
      <c r="C905" s="537">
        <v>1</v>
      </c>
      <c r="D905" s="539" t="s">
        <v>273</v>
      </c>
      <c r="E905" s="540">
        <v>2</v>
      </c>
      <c r="F905" s="541">
        <v>4.37</v>
      </c>
      <c r="G905" s="541">
        <v>0</v>
      </c>
      <c r="H905" s="541">
        <v>2.65</v>
      </c>
      <c r="I905" s="579">
        <f>ROUND(IF(AND(F905:H905),C905*E905*F905*G905*H905,IF(AND(F905,G905),C905*E905*F905*G905,IF(AND(F905,H905),C905*E905*F905*H905,IF(AND(G905,H905),C905*E905*G905*H905,IF(F905,C905*E905*F905,IF(G905,C905*E905*G905,IF(H905,C905*E905*H905,C905*E905))))))),2)</f>
        <v>23.16</v>
      </c>
      <c r="J905" s="553" t="s">
        <v>102</v>
      </c>
      <c r="K905" s="39"/>
      <c r="L905" s="208"/>
      <c r="M905" s="39"/>
      <c r="N905" s="536" t="s">
        <v>2318</v>
      </c>
    </row>
    <row r="906" spans="1:14" s="544" customFormat="1" ht="16.5" hidden="1" customHeight="1">
      <c r="A906" s="16"/>
      <c r="B906" s="39" t="s">
        <v>1546</v>
      </c>
      <c r="C906" s="537">
        <v>1</v>
      </c>
      <c r="D906" s="539" t="s">
        <v>273</v>
      </c>
      <c r="E906" s="540">
        <v>2</v>
      </c>
      <c r="F906" s="541">
        <v>2.94</v>
      </c>
      <c r="G906" s="541">
        <v>0</v>
      </c>
      <c r="H906" s="541">
        <v>2.65</v>
      </c>
      <c r="I906" s="579">
        <f>ROUND(IF(AND(F906:H906),C906*E906*F906*G906*H906,IF(AND(F906,G906),C906*E906*F906*G906,IF(AND(F906,H906),C906*E906*F906*H906,IF(AND(G906,H906),C906*E906*G906*H906,IF(F906,C906*E906*F906,IF(G906,C906*E906*G906,IF(H906,C906*E906*H906,C906*E906))))))),2)</f>
        <v>15.58</v>
      </c>
      <c r="J906" s="553" t="s">
        <v>102</v>
      </c>
      <c r="K906" s="39"/>
      <c r="L906" s="208"/>
      <c r="M906" s="39"/>
      <c r="N906" s="536" t="s">
        <v>2318</v>
      </c>
    </row>
    <row r="907" spans="1:14" s="544" customFormat="1" ht="16.5" hidden="1" customHeight="1">
      <c r="A907" s="16"/>
      <c r="B907" s="39" t="s">
        <v>1535</v>
      </c>
      <c r="C907" s="537">
        <v>1</v>
      </c>
      <c r="D907" s="539" t="s">
        <v>273</v>
      </c>
      <c r="E907" s="540">
        <v>1</v>
      </c>
      <c r="F907" s="541">
        <v>1.2</v>
      </c>
      <c r="G907" s="541">
        <v>0</v>
      </c>
      <c r="H907" s="541">
        <v>1.2</v>
      </c>
      <c r="I907" s="579">
        <f>-ROUND(IF(AND(F907:H907),C907*E907*F907*G907*H907,IF(AND(F907,G907),C907*E907*F907*G907,IF(AND(F907,H907),C907*E907*F907*H907,IF(AND(G907,H907),C907*E907*G907*H907,IF(F907,C907*E907*F907,IF(G907,C907*E907*G907,IF(H907,C907*E907*H907,C907*E907))))))),2)</f>
        <v>-1.44</v>
      </c>
      <c r="J907" s="553" t="s">
        <v>102</v>
      </c>
      <c r="K907" s="39"/>
      <c r="L907" s="208"/>
      <c r="M907" s="39"/>
      <c r="N907" s="536" t="s">
        <v>2318</v>
      </c>
    </row>
    <row r="908" spans="1:14" s="544" customFormat="1" ht="16.5" hidden="1" customHeight="1">
      <c r="A908" s="16"/>
      <c r="B908" s="39" t="s">
        <v>579</v>
      </c>
      <c r="C908" s="537">
        <v>1</v>
      </c>
      <c r="D908" s="539" t="s">
        <v>273</v>
      </c>
      <c r="E908" s="540">
        <v>1</v>
      </c>
      <c r="F908" s="541">
        <v>0.9</v>
      </c>
      <c r="G908" s="541">
        <v>0</v>
      </c>
      <c r="H908" s="541">
        <v>2.08</v>
      </c>
      <c r="I908" s="579">
        <f>-ROUND(IF(AND(F908:H908),C908*E908*F908*G908*H908,IF(AND(F908,G908),C908*E908*F908*G908,IF(AND(F908,H908),C908*E908*F908*H908,IF(AND(G908,H908),C908*E908*G908*H908,IF(F908,C908*E908*F908,IF(G908,C908*E908*G908,IF(H908,C908*E908*H908,C908*E908))))))),2)</f>
        <v>-1.87</v>
      </c>
      <c r="J908" s="553" t="s">
        <v>102</v>
      </c>
      <c r="K908" s="39"/>
      <c r="L908" s="208"/>
      <c r="M908" s="39"/>
      <c r="N908" s="536" t="s">
        <v>2318</v>
      </c>
    </row>
    <row r="909" spans="1:14" s="544" customFormat="1" ht="16.5" hidden="1" customHeight="1">
      <c r="A909" s="16"/>
      <c r="B909" s="547"/>
      <c r="C909" s="548"/>
      <c r="D909" s="549"/>
      <c r="E909" s="587"/>
      <c r="F909" s="551"/>
      <c r="G909" s="551"/>
      <c r="H909" s="551"/>
      <c r="I909" s="552"/>
      <c r="J909" s="553"/>
      <c r="K909" s="39"/>
      <c r="L909" s="208"/>
      <c r="M909" s="39"/>
      <c r="N909" s="536" t="s">
        <v>2318</v>
      </c>
    </row>
    <row r="910" spans="1:14" ht="15.75" hidden="1">
      <c r="A910" s="16"/>
      <c r="B910" s="39"/>
      <c r="C910" s="554"/>
      <c r="D910" s="555"/>
      <c r="E910" s="540"/>
      <c r="F910" s="541"/>
      <c r="G910" s="40"/>
      <c r="H910" s="16"/>
      <c r="I910" s="552"/>
      <c r="J910" s="553" t="s">
        <v>102</v>
      </c>
      <c r="K910" s="10">
        <f>'data 2022-23'!G809</f>
        <v>194.34</v>
      </c>
      <c r="L910" s="208" t="s">
        <v>2437</v>
      </c>
      <c r="M910" s="9">
        <f>ROUND(I910*K910,0)</f>
        <v>0</v>
      </c>
      <c r="N910" s="536" t="s">
        <v>2318</v>
      </c>
    </row>
    <row r="911" spans="1:14" ht="94.5" hidden="1" customHeight="1">
      <c r="A911" s="16">
        <v>10</v>
      </c>
      <c r="B911" s="1858" t="s">
        <v>1167</v>
      </c>
      <c r="C911" s="1858"/>
      <c r="D911" s="1858"/>
      <c r="E911" s="1858"/>
      <c r="F911" s="1858"/>
      <c r="G911" s="1858"/>
      <c r="H911" s="1858"/>
      <c r="I911" s="537"/>
      <c r="J911" s="538"/>
      <c r="K911" s="16"/>
      <c r="L911" s="208"/>
      <c r="M911" s="38"/>
      <c r="N911" s="536" t="s">
        <v>2318</v>
      </c>
    </row>
    <row r="912" spans="1:14" s="544" customFormat="1" ht="16.5" hidden="1" customHeight="1">
      <c r="A912" s="16"/>
      <c r="B912" s="39" t="s">
        <v>2835</v>
      </c>
      <c r="C912" s="537"/>
      <c r="D912" s="539"/>
      <c r="E912" s="540"/>
      <c r="F912" s="541"/>
      <c r="G912" s="541"/>
      <c r="H912" s="541"/>
      <c r="I912" s="542"/>
      <c r="J912" s="553"/>
      <c r="K912" s="39"/>
      <c r="L912" s="208"/>
      <c r="M912" s="39"/>
      <c r="N912" s="536" t="s">
        <v>2318</v>
      </c>
    </row>
    <row r="913" spans="1:15" s="544" customFormat="1" ht="16.5" hidden="1" customHeight="1">
      <c r="A913" s="16"/>
      <c r="B913" s="39" t="s">
        <v>1531</v>
      </c>
      <c r="C913" s="537">
        <v>1</v>
      </c>
      <c r="D913" s="539" t="s">
        <v>273</v>
      </c>
      <c r="E913" s="540">
        <v>1</v>
      </c>
      <c r="F913" s="541">
        <v>2.93</v>
      </c>
      <c r="G913" s="541">
        <v>0.87</v>
      </c>
      <c r="H913" s="541">
        <v>0</v>
      </c>
      <c r="I913" s="579">
        <f>ROUND(IF(AND(F913:H913),C913*E913*F913*G913*H913,IF(AND(F913,G913),C913*E913*F913*G913,IF(AND(F913,H913),C913*E913*F913*H913,IF(AND(G913,H913),C913*E913*G913*H913,IF(F913,C913*E913*F913,IF(G913,C913*E913*G913,IF(H913,C913*E913*H913,C913*E913))))))),2)</f>
        <v>2.5499999999999998</v>
      </c>
      <c r="J913" s="553" t="s">
        <v>102</v>
      </c>
      <c r="K913" s="39"/>
      <c r="L913" s="208"/>
      <c r="M913" s="39"/>
      <c r="N913" s="536" t="s">
        <v>2318</v>
      </c>
    </row>
    <row r="914" spans="1:15" s="544" customFormat="1" ht="16.5" hidden="1" customHeight="1">
      <c r="A914" s="16"/>
      <c r="B914" s="39" t="s">
        <v>1244</v>
      </c>
      <c r="C914" s="537">
        <v>1</v>
      </c>
      <c r="D914" s="539" t="s">
        <v>273</v>
      </c>
      <c r="E914" s="540">
        <v>2</v>
      </c>
      <c r="F914" s="541">
        <v>2.7</v>
      </c>
      <c r="G914" s="541">
        <v>0.3</v>
      </c>
      <c r="H914" s="541">
        <v>0</v>
      </c>
      <c r="I914" s="579">
        <f>ROUND(IF(AND(F914:H914),C914*E914*F914*G914*H914,IF(AND(F914,G914),C914*E914*F914*G914,IF(AND(F914,H914),C914*E914*F914*H914,IF(AND(G914,H914),C914*E914*G914*H914,IF(F914,C914*E914*F914,IF(G914,C914*E914*G914,IF(H914,C914*E914*H914,C914*E914))))))),2)</f>
        <v>1.62</v>
      </c>
      <c r="J914" s="553" t="s">
        <v>102</v>
      </c>
      <c r="K914" s="39"/>
      <c r="L914" s="208"/>
      <c r="M914" s="39"/>
      <c r="N914" s="536" t="s">
        <v>2318</v>
      </c>
    </row>
    <row r="915" spans="1:15" s="544" customFormat="1" ht="16.5" hidden="1" customHeight="1">
      <c r="A915" s="16"/>
      <c r="B915" s="39" t="s">
        <v>1544</v>
      </c>
      <c r="C915" s="537">
        <v>1</v>
      </c>
      <c r="D915" s="539" t="s">
        <v>273</v>
      </c>
      <c r="E915" s="540">
        <v>1</v>
      </c>
      <c r="F915" s="541">
        <v>2.7</v>
      </c>
      <c r="G915" s="541">
        <v>3.3</v>
      </c>
      <c r="H915" s="541">
        <v>0</v>
      </c>
      <c r="I915" s="579">
        <f>ROUND(IF(AND(F915:H915),C915*E915*F915*G915*H915,IF(AND(F915,G915),C915*E915*F915*G915,IF(AND(F915,H915),C915*E915*F915*H915,IF(AND(G915,H915),C915*E915*G915*H915,IF(F915,C915*E915*F915,IF(G915,C915*E915*G915,IF(H915,C915*E915*H915,C915*E915))))))),2)</f>
        <v>8.91</v>
      </c>
      <c r="J915" s="553" t="s">
        <v>102</v>
      </c>
      <c r="K915" s="39"/>
      <c r="L915" s="208"/>
      <c r="M915" s="39"/>
      <c r="N915" s="536" t="s">
        <v>2318</v>
      </c>
    </row>
    <row r="916" spans="1:15" s="544" customFormat="1" ht="16.5" hidden="1" customHeight="1">
      <c r="A916" s="16"/>
      <c r="B916" s="39" t="s">
        <v>1492</v>
      </c>
      <c r="C916" s="537">
        <v>1</v>
      </c>
      <c r="D916" s="539" t="s">
        <v>273</v>
      </c>
      <c r="E916" s="540">
        <v>1</v>
      </c>
      <c r="F916" s="541">
        <v>37.799999999999997</v>
      </c>
      <c r="G916" s="541">
        <v>0</v>
      </c>
      <c r="H916" s="541">
        <v>0.88</v>
      </c>
      <c r="I916" s="579">
        <f>ROUND(IF(AND(F916:H916),C916*E916*F916*G916*H916,IF(AND(F916,G916),C916*E916*F916*G916,IF(AND(F916,H916),C916*E916*F916*H916,IF(AND(G916,H916),C916*E916*G916*H916,IF(F916,C916*E916*F916,IF(G916,C916*E916*G916,IF(H916,C916*E916*H916,C916*E916))))))),2)</f>
        <v>33.26</v>
      </c>
      <c r="J916" s="553" t="s">
        <v>102</v>
      </c>
      <c r="K916" s="39"/>
      <c r="L916" s="208"/>
      <c r="M916" s="39"/>
      <c r="N916" s="536" t="s">
        <v>2318</v>
      </c>
    </row>
    <row r="917" spans="1:15" s="544" customFormat="1" ht="16.5" hidden="1" customHeight="1">
      <c r="A917" s="16"/>
      <c r="B917" s="547"/>
      <c r="C917" s="548"/>
      <c r="D917" s="549"/>
      <c r="E917" s="550"/>
      <c r="F917" s="551"/>
      <c r="G917" s="551"/>
      <c r="H917" s="551"/>
      <c r="I917" s="552"/>
      <c r="J917" s="553"/>
      <c r="K917" s="39"/>
      <c r="L917" s="208"/>
      <c r="M917" s="39"/>
      <c r="N917" s="536" t="s">
        <v>2318</v>
      </c>
    </row>
    <row r="918" spans="1:15" ht="15.75" hidden="1">
      <c r="A918" s="16"/>
      <c r="B918" s="39"/>
      <c r="C918" s="554"/>
      <c r="D918" s="555"/>
      <c r="E918" s="540"/>
      <c r="F918" s="541"/>
      <c r="G918" s="40"/>
      <c r="H918" s="16"/>
      <c r="I918" s="552"/>
      <c r="J918" s="553" t="s">
        <v>102</v>
      </c>
      <c r="K918" s="10">
        <f>'data 2022-23'!G844</f>
        <v>169.89</v>
      </c>
      <c r="L918" s="208" t="s">
        <v>2437</v>
      </c>
      <c r="M918" s="9">
        <f>ROUND(I918*K918,0)</f>
        <v>0</v>
      </c>
      <c r="N918" s="536" t="s">
        <v>2318</v>
      </c>
    </row>
    <row r="919" spans="1:15" ht="94.5" hidden="1" customHeight="1">
      <c r="A919" s="16">
        <v>11</v>
      </c>
      <c r="B919" s="1858" t="s">
        <v>1168</v>
      </c>
      <c r="C919" s="1858"/>
      <c r="D919" s="1858"/>
      <c r="E919" s="1858"/>
      <c r="F919" s="1858"/>
      <c r="G919" s="1858"/>
      <c r="H919" s="1858"/>
      <c r="I919" s="537"/>
      <c r="J919" s="538"/>
      <c r="K919" s="16"/>
      <c r="L919" s="208"/>
      <c r="M919" s="38"/>
      <c r="N919" s="536" t="s">
        <v>2318</v>
      </c>
    </row>
    <row r="920" spans="1:15" s="544" customFormat="1" ht="15.75" hidden="1">
      <c r="A920" s="16"/>
      <c r="B920" s="39" t="s">
        <v>2832</v>
      </c>
      <c r="C920" s="537"/>
      <c r="D920" s="539"/>
      <c r="E920" s="540"/>
      <c r="F920" s="541"/>
      <c r="G920" s="541"/>
      <c r="H920" s="541"/>
      <c r="I920" s="542"/>
      <c r="J920" s="553"/>
      <c r="K920" s="39"/>
      <c r="L920" s="208"/>
      <c r="M920" s="39"/>
      <c r="N920" s="536" t="s">
        <v>2318</v>
      </c>
    </row>
    <row r="921" spans="1:15" s="544" customFormat="1" ht="15.75" hidden="1">
      <c r="A921" s="16"/>
      <c r="B921" s="39"/>
      <c r="C921" s="537">
        <v>1</v>
      </c>
      <c r="D921" s="539" t="s">
        <v>273</v>
      </c>
      <c r="E921" s="540">
        <v>2</v>
      </c>
      <c r="F921" s="541">
        <v>3.25</v>
      </c>
      <c r="G921" s="541">
        <v>0</v>
      </c>
      <c r="H921" s="541">
        <v>2.7</v>
      </c>
      <c r="I921" s="545">
        <f>ROUND(IF(AND(F921:H921),C921*E921*F921*G921*H921,IF(AND(F921,G921),C921*E921*F921*G921,IF(AND(F921,H921),C921*E921*F921*H921,IF(AND(G921,H921),C921*E921*G921*H921,IF(F921,C921*E921*F921,IF(G921,C921*E921*G921,IF(H921,C921*E921*H921,C921*E921))))))),2)</f>
        <v>17.55</v>
      </c>
      <c r="J921" s="553" t="s">
        <v>102</v>
      </c>
      <c r="K921" s="39"/>
      <c r="L921" s="208"/>
      <c r="M921" s="39"/>
      <c r="N921" s="536" t="s">
        <v>2318</v>
      </c>
    </row>
    <row r="922" spans="1:15" s="544" customFormat="1" ht="15.75" hidden="1">
      <c r="A922" s="16"/>
      <c r="B922" s="39"/>
      <c r="C922" s="537">
        <v>1</v>
      </c>
      <c r="D922" s="539" t="s">
        <v>273</v>
      </c>
      <c r="E922" s="540">
        <v>2</v>
      </c>
      <c r="F922" s="541">
        <v>4.74</v>
      </c>
      <c r="G922" s="541">
        <v>0</v>
      </c>
      <c r="H922" s="541">
        <v>2.7</v>
      </c>
      <c r="I922" s="545">
        <f>ROUND(IF(AND(F922:H922),C922*E922*F922*G922*H922,IF(AND(F922,G922),C922*E922*F922*G922,IF(AND(F922,H922),C922*E922*F922*H922,IF(AND(G922,H922),C922*E922*G922*H922,IF(F922,C922*E922*F922,IF(G922,C922*E922*G922,IF(H922,C922*E922*H922,C922*E922))))))),2)</f>
        <v>25.6</v>
      </c>
      <c r="J922" s="553" t="s">
        <v>102</v>
      </c>
      <c r="K922" s="39"/>
      <c r="L922" s="208"/>
      <c r="M922" s="39"/>
      <c r="N922" s="536" t="s">
        <v>2318</v>
      </c>
    </row>
    <row r="923" spans="1:15" s="544" customFormat="1" ht="15.75" hidden="1">
      <c r="A923" s="16"/>
      <c r="B923" s="39" t="s">
        <v>2207</v>
      </c>
      <c r="C923" s="537">
        <v>1</v>
      </c>
      <c r="D923" s="539" t="s">
        <v>273</v>
      </c>
      <c r="E923" s="540">
        <v>1</v>
      </c>
      <c r="F923" s="541">
        <v>37.799999999999997</v>
      </c>
      <c r="G923" s="541">
        <v>0</v>
      </c>
      <c r="H923" s="541">
        <v>1.76</v>
      </c>
      <c r="I923" s="545">
        <f>ROUND(IF(AND(F923:H923),C923*E923*F923*G923*H923,IF(AND(F923,G923),C923*E923*F923*G923,IF(AND(F923,H923),C923*E923*F923*H923,IF(AND(G923,H923),C923*E923*G923*H923,IF(F923,C923*E923*F923,IF(G923,C923*E923*G923,IF(H923,C923*E923*H923,C923*E923))))))),2)</f>
        <v>66.53</v>
      </c>
      <c r="J923" s="553" t="s">
        <v>102</v>
      </c>
      <c r="K923" s="39"/>
      <c r="L923" s="208"/>
      <c r="M923" s="39"/>
      <c r="N923" s="536" t="s">
        <v>2318</v>
      </c>
    </row>
    <row r="924" spans="1:15" s="544" customFormat="1" ht="16.5" hidden="1" customHeight="1">
      <c r="A924" s="16"/>
      <c r="B924" s="547"/>
      <c r="C924" s="548"/>
      <c r="D924" s="549"/>
      <c r="E924" s="550"/>
      <c r="F924" s="551"/>
      <c r="G924" s="551"/>
      <c r="H924" s="551"/>
      <c r="I924" s="552"/>
      <c r="J924" s="553"/>
      <c r="K924" s="39"/>
      <c r="L924" s="208"/>
      <c r="M924" s="39"/>
      <c r="N924" s="536" t="s">
        <v>2318</v>
      </c>
    </row>
    <row r="925" spans="1:15" ht="15.75" hidden="1">
      <c r="A925" s="16"/>
      <c r="B925" s="39"/>
      <c r="C925" s="554"/>
      <c r="D925" s="555"/>
      <c r="E925" s="540"/>
      <c r="F925" s="541"/>
      <c r="G925" s="40"/>
      <c r="H925" s="16"/>
      <c r="I925" s="552"/>
      <c r="J925" s="553" t="s">
        <v>102</v>
      </c>
      <c r="K925" s="10">
        <f>'data 2022-23'!G858</f>
        <v>233.59</v>
      </c>
      <c r="L925" s="208" t="s">
        <v>2437</v>
      </c>
      <c r="M925" s="9">
        <f>ROUND(I925*K925,0)</f>
        <v>0</v>
      </c>
      <c r="N925" s="536" t="s">
        <v>2318</v>
      </c>
    </row>
    <row r="926" spans="1:15" ht="69.75" hidden="1" customHeight="1">
      <c r="A926" s="16">
        <v>12</v>
      </c>
      <c r="B926" s="1858" t="s">
        <v>124</v>
      </c>
      <c r="C926" s="1858"/>
      <c r="D926" s="1858"/>
      <c r="E926" s="1858"/>
      <c r="F926" s="1858"/>
      <c r="G926" s="1858"/>
      <c r="H926" s="1858"/>
      <c r="I926" s="537"/>
      <c r="J926" s="538"/>
      <c r="K926" s="16"/>
      <c r="L926" s="208"/>
      <c r="M926" s="38"/>
      <c r="N926" s="536" t="s">
        <v>2318</v>
      </c>
    </row>
    <row r="927" spans="1:15" s="544" customFormat="1" ht="16.5" hidden="1" customHeight="1">
      <c r="A927" s="16"/>
      <c r="B927" s="39" t="s">
        <v>2907</v>
      </c>
      <c r="C927" s="448" t="s">
        <v>1558</v>
      </c>
      <c r="D927" s="567"/>
      <c r="E927" s="568"/>
      <c r="F927" s="569"/>
      <c r="G927" s="569"/>
      <c r="H927" s="570"/>
      <c r="I927" s="612"/>
      <c r="J927" s="553" t="s">
        <v>141</v>
      </c>
      <c r="K927" s="39"/>
      <c r="L927" s="208"/>
      <c r="M927" s="39"/>
      <c r="N927" s="536" t="s">
        <v>2318</v>
      </c>
      <c r="O927" s="449"/>
    </row>
    <row r="928" spans="1:15" s="544" customFormat="1" ht="16.5" hidden="1" customHeight="1">
      <c r="A928" s="16"/>
      <c r="B928" s="39" t="s">
        <v>2880</v>
      </c>
      <c r="C928" s="566" t="s">
        <v>1626</v>
      </c>
      <c r="D928" s="567"/>
      <c r="E928" s="568"/>
      <c r="F928" s="569"/>
      <c r="G928" s="569"/>
      <c r="H928" s="570"/>
      <c r="I928" s="571"/>
      <c r="J928" s="553" t="s">
        <v>141</v>
      </c>
      <c r="K928" s="39"/>
      <c r="L928" s="16"/>
      <c r="M928" s="39"/>
      <c r="N928" s="536" t="s">
        <v>2318</v>
      </c>
    </row>
    <row r="929" spans="1:14" s="544" customFormat="1" ht="16.5" hidden="1" customHeight="1">
      <c r="A929" s="16"/>
      <c r="B929" s="39"/>
      <c r="C929" s="566"/>
      <c r="D929" s="567"/>
      <c r="E929" s="568"/>
      <c r="F929" s="569"/>
      <c r="G929" s="569"/>
      <c r="H929" s="570"/>
      <c r="I929" s="571"/>
      <c r="J929" s="553"/>
      <c r="K929" s="39"/>
      <c r="L929" s="16"/>
      <c r="M929" s="39"/>
      <c r="N929" s="536" t="s">
        <v>2318</v>
      </c>
    </row>
    <row r="930" spans="1:14" s="544" customFormat="1" ht="16.5" hidden="1" customHeight="1">
      <c r="A930" s="16"/>
      <c r="B930" s="39"/>
      <c r="C930" s="566"/>
      <c r="D930" s="567"/>
      <c r="E930" s="568"/>
      <c r="F930" s="569"/>
      <c r="G930" s="569"/>
      <c r="H930" s="570"/>
      <c r="I930" s="571">
        <f>SUM(I927:I929)</f>
        <v>0</v>
      </c>
      <c r="J930" s="553" t="s">
        <v>141</v>
      </c>
      <c r="K930" s="39"/>
      <c r="L930" s="208"/>
      <c r="M930" s="39"/>
      <c r="N930" s="536" t="s">
        <v>2318</v>
      </c>
    </row>
    <row r="931" spans="1:14" ht="15.75" hidden="1">
      <c r="A931" s="16"/>
      <c r="B931" s="39"/>
      <c r="C931" s="554"/>
      <c r="D931" s="555"/>
      <c r="E931" s="540"/>
      <c r="F931" s="541"/>
      <c r="G931" s="40"/>
      <c r="H931" s="16" t="s">
        <v>902</v>
      </c>
      <c r="I931" s="552">
        <f>ROUND((I930/1000)*1.05,2)</f>
        <v>0</v>
      </c>
      <c r="J931" s="553" t="s">
        <v>29</v>
      </c>
      <c r="K931" s="10">
        <f>'data 2022-23'!G283</f>
        <v>91830</v>
      </c>
      <c r="L931" s="208" t="s">
        <v>2438</v>
      </c>
      <c r="M931" s="9">
        <f>ROUND(I931*K931,0)</f>
        <v>0</v>
      </c>
      <c r="N931" s="536" t="s">
        <v>2318</v>
      </c>
    </row>
    <row r="932" spans="1:14" s="525" customFormat="1" ht="15.75" hidden="1">
      <c r="A932" s="673"/>
      <c r="B932" s="673" t="s">
        <v>2431</v>
      </c>
      <c r="C932" s="673"/>
      <c r="D932" s="673"/>
      <c r="E932" s="673"/>
      <c r="F932" s="535"/>
      <c r="G932" s="535"/>
      <c r="H932" s="673"/>
      <c r="I932" s="533"/>
      <c r="J932" s="534"/>
      <c r="K932" s="673"/>
      <c r="L932" s="673"/>
      <c r="M932" s="673"/>
      <c r="N932" s="536" t="s">
        <v>2318</v>
      </c>
    </row>
    <row r="933" spans="1:14" ht="72" hidden="1" customHeight="1">
      <c r="A933" s="16">
        <v>1</v>
      </c>
      <c r="B933" s="1858" t="s">
        <v>803</v>
      </c>
      <c r="C933" s="1858"/>
      <c r="D933" s="1858"/>
      <c r="E933" s="1858"/>
      <c r="F933" s="1858"/>
      <c r="G933" s="1858"/>
      <c r="H933" s="1858"/>
      <c r="I933" s="537"/>
      <c r="J933" s="538"/>
      <c r="K933" s="16"/>
      <c r="L933" s="16"/>
      <c r="M933" s="38"/>
      <c r="N933" s="536" t="s">
        <v>2318</v>
      </c>
    </row>
    <row r="934" spans="1:14" s="544" customFormat="1" ht="15.75" hidden="1">
      <c r="A934" s="16"/>
      <c r="B934" s="39" t="s">
        <v>2909</v>
      </c>
      <c r="C934" s="566" t="s">
        <v>1553</v>
      </c>
      <c r="D934" s="567"/>
      <c r="E934" s="568"/>
      <c r="F934" s="569"/>
      <c r="G934" s="569"/>
      <c r="H934" s="570"/>
      <c r="I934" s="571"/>
      <c r="J934" s="553"/>
      <c r="K934" s="39"/>
      <c r="L934" s="16"/>
      <c r="M934" s="39"/>
      <c r="N934" s="536" t="s">
        <v>2318</v>
      </c>
    </row>
    <row r="935" spans="1:14" s="544" customFormat="1" ht="15.75" hidden="1">
      <c r="A935" s="16"/>
      <c r="B935" s="582" t="s">
        <v>583</v>
      </c>
      <c r="C935" s="583">
        <v>1</v>
      </c>
      <c r="D935" s="584" t="s">
        <v>273</v>
      </c>
      <c r="E935" s="585">
        <v>1</v>
      </c>
      <c r="F935" s="586">
        <v>0</v>
      </c>
      <c r="G935" s="586">
        <v>0</v>
      </c>
      <c r="H935" s="586">
        <v>0</v>
      </c>
      <c r="I935" s="552">
        <f>ROUND(IF(AND(F935:H935),C935*E935*F935*G935*H935,IF(AND(F935,G935),C935*E935*F935*G935,IF(AND(F935,H935),C935*E935*F935*H935,IF(AND(G935,H935),C935*E935*G935*H935,IF(F935,C935*E935*F935,IF(G935,C935*E935*G935,IF(H935,C935*E935*H935,C935*E935))))))),2)</f>
        <v>1</v>
      </c>
      <c r="J935" s="553" t="s">
        <v>115</v>
      </c>
      <c r="K935" s="39"/>
      <c r="L935" s="16"/>
      <c r="M935" s="39"/>
      <c r="N935" s="536" t="s">
        <v>2318</v>
      </c>
    </row>
    <row r="936" spans="1:14" s="544" customFormat="1" ht="15.75" hidden="1">
      <c r="A936" s="16"/>
      <c r="B936" s="547"/>
      <c r="C936" s="548"/>
      <c r="D936" s="549"/>
      <c r="E936" s="550"/>
      <c r="F936" s="551"/>
      <c r="G936" s="551"/>
      <c r="H936" s="551"/>
      <c r="I936" s="552"/>
      <c r="J936" s="553"/>
      <c r="K936" s="39"/>
      <c r="L936" s="16"/>
      <c r="M936" s="39"/>
      <c r="N936" s="536" t="s">
        <v>2318</v>
      </c>
    </row>
    <row r="937" spans="1:14" ht="15.75" hidden="1">
      <c r="A937" s="16"/>
      <c r="B937" s="39"/>
      <c r="C937" s="554"/>
      <c r="D937" s="555"/>
      <c r="E937" s="540"/>
      <c r="F937" s="541"/>
      <c r="G937" s="40"/>
      <c r="H937" s="16"/>
      <c r="I937" s="552"/>
      <c r="J937" s="553" t="s">
        <v>115</v>
      </c>
      <c r="K937" s="10">
        <f>'door 2022-23'!H24</f>
        <v>22903.660000000003</v>
      </c>
      <c r="L937" s="208" t="s">
        <v>275</v>
      </c>
      <c r="M937" s="9">
        <f>ROUND(I937*K937,0)</f>
        <v>0</v>
      </c>
      <c r="N937" s="536" t="s">
        <v>2318</v>
      </c>
    </row>
    <row r="938" spans="1:14" ht="72" hidden="1" customHeight="1">
      <c r="A938" s="16">
        <v>1</v>
      </c>
      <c r="B938" s="1858" t="s">
        <v>2795</v>
      </c>
      <c r="C938" s="1858"/>
      <c r="D938" s="1858"/>
      <c r="E938" s="1858"/>
      <c r="F938" s="1858"/>
      <c r="G938" s="1858"/>
      <c r="H938" s="1858"/>
      <c r="I938" s="537"/>
      <c r="J938" s="538"/>
      <c r="K938" s="16"/>
      <c r="L938" s="16"/>
      <c r="M938" s="38"/>
      <c r="N938" s="536" t="s">
        <v>2318</v>
      </c>
    </row>
    <row r="939" spans="1:14" s="544" customFormat="1" ht="15.75" hidden="1">
      <c r="A939" s="16"/>
      <c r="B939" s="39" t="s">
        <v>2776</v>
      </c>
      <c r="C939" s="566"/>
      <c r="D939" s="567"/>
      <c r="E939" s="568"/>
      <c r="F939" s="569"/>
      <c r="G939" s="569"/>
      <c r="H939" s="570"/>
      <c r="I939" s="571"/>
      <c r="J939" s="553"/>
      <c r="K939" s="39"/>
      <c r="L939" s="16"/>
      <c r="M939" s="39"/>
      <c r="N939" s="536" t="s">
        <v>2318</v>
      </c>
    </row>
    <row r="940" spans="1:14" s="544" customFormat="1" ht="15.75" hidden="1">
      <c r="A940" s="16"/>
      <c r="B940" s="547"/>
      <c r="C940" s="548">
        <v>1</v>
      </c>
      <c r="D940" s="549" t="s">
        <v>273</v>
      </c>
      <c r="E940" s="550">
        <v>3</v>
      </c>
      <c r="F940" s="551">
        <v>0</v>
      </c>
      <c r="G940" s="551">
        <v>0</v>
      </c>
      <c r="H940" s="551">
        <v>0</v>
      </c>
      <c r="I940" s="613">
        <f>ROUND(IF(AND(F940:H940),C940*E940*F940*G940*H940,IF(AND(F940,G940),C940*E940*F940*G940,IF(AND(F940,H940),C940*E940*F940*H940,IF(AND(G940,H940),C940*E940*G940*H940,IF(F940,C940*E940*F940,IF(G940,C940*E940*G940,IF(H940,C940*E940*H940,C940*E940))))))),2)</f>
        <v>3</v>
      </c>
      <c r="J940" s="553" t="s">
        <v>115</v>
      </c>
      <c r="K940" s="39"/>
      <c r="L940" s="16"/>
      <c r="M940" s="39"/>
      <c r="N940" s="536" t="s">
        <v>2318</v>
      </c>
    </row>
    <row r="941" spans="1:14" s="544" customFormat="1" ht="15.75" hidden="1">
      <c r="A941" s="16"/>
      <c r="B941" s="547"/>
      <c r="C941" s="548"/>
      <c r="D941" s="549"/>
      <c r="E941" s="550"/>
      <c r="F941" s="551"/>
      <c r="G941" s="551"/>
      <c r="H941" s="551"/>
      <c r="I941" s="613"/>
      <c r="J941" s="553"/>
      <c r="K941" s="39"/>
      <c r="L941" s="16"/>
      <c r="M941" s="39"/>
      <c r="N941" s="536" t="s">
        <v>2318</v>
      </c>
    </row>
    <row r="942" spans="1:14" ht="15.75" hidden="1">
      <c r="A942" s="16"/>
      <c r="B942" s="39"/>
      <c r="C942" s="554"/>
      <c r="D942" s="555"/>
      <c r="E942" s="540"/>
      <c r="F942" s="541"/>
      <c r="G942" s="40"/>
      <c r="H942" s="16"/>
      <c r="I942" s="613"/>
      <c r="J942" s="553" t="s">
        <v>115</v>
      </c>
      <c r="K942" s="10">
        <f>'door 2022-23'!H42</f>
        <v>7927.96</v>
      </c>
      <c r="L942" s="208" t="s">
        <v>275</v>
      </c>
      <c r="M942" s="9">
        <f>ROUND(I942*K942,0)</f>
        <v>0</v>
      </c>
      <c r="N942" s="536" t="s">
        <v>2318</v>
      </c>
    </row>
    <row r="943" spans="1:14" ht="72" hidden="1" customHeight="1">
      <c r="A943" s="16">
        <v>3</v>
      </c>
      <c r="B943" s="1858" t="s">
        <v>2210</v>
      </c>
      <c r="C943" s="1858"/>
      <c r="D943" s="1858"/>
      <c r="E943" s="1858"/>
      <c r="F943" s="1858"/>
      <c r="G943" s="1858"/>
      <c r="H943" s="1858"/>
      <c r="I943" s="537"/>
      <c r="J943" s="538"/>
      <c r="K943" s="16"/>
      <c r="L943" s="16"/>
      <c r="M943" s="38"/>
      <c r="N943" s="536" t="s">
        <v>2318</v>
      </c>
    </row>
    <row r="944" spans="1:14" s="544" customFormat="1" ht="15.75" hidden="1">
      <c r="A944" s="16"/>
      <c r="B944" s="39" t="s">
        <v>2840</v>
      </c>
      <c r="C944" s="566"/>
      <c r="D944" s="567"/>
      <c r="E944" s="568"/>
      <c r="F944" s="569"/>
      <c r="G944" s="569"/>
      <c r="H944" s="570"/>
      <c r="I944" s="571"/>
      <c r="J944" s="553"/>
      <c r="K944" s="39"/>
      <c r="L944" s="16"/>
      <c r="M944" s="39"/>
      <c r="N944" s="536" t="s">
        <v>2318</v>
      </c>
    </row>
    <row r="945" spans="1:14" s="544" customFormat="1" ht="15.75" hidden="1">
      <c r="A945" s="16"/>
      <c r="B945" s="547"/>
      <c r="C945" s="548">
        <v>1</v>
      </c>
      <c r="D945" s="549" t="s">
        <v>273</v>
      </c>
      <c r="E945" s="550">
        <v>1</v>
      </c>
      <c r="F945" s="551">
        <v>0</v>
      </c>
      <c r="G945" s="551">
        <v>0</v>
      </c>
      <c r="H945" s="551">
        <v>0</v>
      </c>
      <c r="I945" s="613">
        <f>ROUND(IF(AND(F945:H945),C945*E945*F945*G945*H945,IF(AND(F945,G945),C945*E945*F945*G945,IF(AND(F945,H945),C945*E945*F945*H945,IF(AND(G945,H945),C945*E945*G945*H945,IF(F945,C945*E945*F945,IF(G945,C945*E945*G945,IF(H945,C945*E945*H945,C945*E945))))))),2)</f>
        <v>1</v>
      </c>
      <c r="J945" s="553" t="s">
        <v>115</v>
      </c>
      <c r="K945" s="39"/>
      <c r="L945" s="16"/>
      <c r="M945" s="39"/>
      <c r="N945" s="536" t="s">
        <v>2318</v>
      </c>
    </row>
    <row r="946" spans="1:14" s="544" customFormat="1" ht="15.75" hidden="1">
      <c r="A946" s="16"/>
      <c r="B946" s="547"/>
      <c r="C946" s="548"/>
      <c r="D946" s="549"/>
      <c r="E946" s="550"/>
      <c r="F946" s="551"/>
      <c r="G946" s="551"/>
      <c r="H946" s="551"/>
      <c r="I946" s="613"/>
      <c r="J946" s="553"/>
      <c r="K946" s="39"/>
      <c r="L946" s="16"/>
      <c r="M946" s="39"/>
      <c r="N946" s="536" t="s">
        <v>2318</v>
      </c>
    </row>
    <row r="947" spans="1:14" ht="15.75" hidden="1">
      <c r="A947" s="16"/>
      <c r="B947" s="39"/>
      <c r="C947" s="554"/>
      <c r="D947" s="555"/>
      <c r="E947" s="540"/>
      <c r="F947" s="541"/>
      <c r="G947" s="40"/>
      <c r="H947" s="16"/>
      <c r="I947" s="613"/>
      <c r="J947" s="553" t="s">
        <v>115</v>
      </c>
      <c r="K947" s="10">
        <f>'door 2022-23'!H60</f>
        <v>11442.58</v>
      </c>
      <c r="L947" s="208" t="s">
        <v>275</v>
      </c>
      <c r="M947" s="9">
        <f>ROUND(I947*K947,0)</f>
        <v>0</v>
      </c>
      <c r="N947" s="536" t="s">
        <v>2318</v>
      </c>
    </row>
    <row r="948" spans="1:14" ht="71.25" hidden="1" customHeight="1">
      <c r="A948" s="16">
        <v>2</v>
      </c>
      <c r="B948" s="1858" t="s">
        <v>1634</v>
      </c>
      <c r="C948" s="1858"/>
      <c r="D948" s="1858"/>
      <c r="E948" s="1858"/>
      <c r="F948" s="1858"/>
      <c r="G948" s="1858"/>
      <c r="H948" s="1858"/>
      <c r="I948" s="537"/>
      <c r="J948" s="538"/>
      <c r="K948" s="16"/>
      <c r="L948" s="16"/>
      <c r="M948" s="38"/>
      <c r="N948" s="536" t="s">
        <v>2318</v>
      </c>
    </row>
    <row r="949" spans="1:14" s="544" customFormat="1" ht="15.75" hidden="1">
      <c r="A949" s="16"/>
      <c r="B949" s="207" t="s">
        <v>2855</v>
      </c>
      <c r="C949" s="566"/>
      <c r="D949" s="567"/>
      <c r="E949" s="568"/>
      <c r="F949" s="569"/>
      <c r="G949" s="569"/>
      <c r="H949" s="570"/>
      <c r="I949" s="571"/>
      <c r="J949" s="553"/>
      <c r="K949" s="39"/>
      <c r="L949" s="16"/>
      <c r="M949" s="39"/>
      <c r="N949" s="536" t="s">
        <v>2318</v>
      </c>
    </row>
    <row r="950" spans="1:14" s="544" customFormat="1" ht="15.75" hidden="1">
      <c r="A950" s="16"/>
      <c r="B950" s="547" t="s">
        <v>583</v>
      </c>
      <c r="C950" s="548">
        <v>1</v>
      </c>
      <c r="D950" s="549" t="s">
        <v>273</v>
      </c>
      <c r="E950" s="550">
        <v>1</v>
      </c>
      <c r="F950" s="551">
        <v>0</v>
      </c>
      <c r="G950" s="551">
        <v>0</v>
      </c>
      <c r="H950" s="551">
        <v>0</v>
      </c>
      <c r="I950" s="552">
        <f>ROUND(IF(AND(F950:H950),C950*E950*F950*G950*H950,IF(AND(F950,G950),C950*E950*F950*G950,IF(AND(F950,H950),C950*E950*F950*H950,IF(AND(G950,H950),C950*E950*G950*H950,IF(F950,C950*E950*F950,IF(G950,C950*E950*G950,IF(H950,C950*E950*H950,C950*E950))))))),2)</f>
        <v>1</v>
      </c>
      <c r="J950" s="553" t="s">
        <v>115</v>
      </c>
      <c r="K950" s="39"/>
      <c r="L950" s="16"/>
      <c r="M950" s="39"/>
      <c r="N950" s="536" t="s">
        <v>2318</v>
      </c>
    </row>
    <row r="951" spans="1:14" s="544" customFormat="1" ht="15.75" hidden="1">
      <c r="A951" s="16"/>
      <c r="B951" s="547"/>
      <c r="C951" s="548"/>
      <c r="D951" s="549"/>
      <c r="E951" s="550"/>
      <c r="F951" s="551"/>
      <c r="G951" s="551"/>
      <c r="H951" s="551"/>
      <c r="I951" s="552"/>
      <c r="J951" s="553"/>
      <c r="K951" s="39"/>
      <c r="L951" s="16"/>
      <c r="M951" s="39"/>
      <c r="N951" s="536" t="s">
        <v>2318</v>
      </c>
    </row>
    <row r="952" spans="1:14" ht="15.75" hidden="1">
      <c r="A952" s="16"/>
      <c r="B952" s="39"/>
      <c r="C952" s="554"/>
      <c r="D952" s="555"/>
      <c r="E952" s="540"/>
      <c r="F952" s="541"/>
      <c r="G952" s="40"/>
      <c r="H952" s="16"/>
      <c r="I952" s="552"/>
      <c r="J952" s="553" t="s">
        <v>115</v>
      </c>
      <c r="K952" s="10">
        <f>'door 2022-23'!H79</f>
        <v>15875.19</v>
      </c>
      <c r="L952" s="208" t="s">
        <v>275</v>
      </c>
      <c r="M952" s="9">
        <f>ROUND(I952*K952,0)</f>
        <v>0</v>
      </c>
      <c r="N952" s="536" t="s">
        <v>2318</v>
      </c>
    </row>
    <row r="953" spans="1:14" ht="71.25" hidden="1" customHeight="1">
      <c r="A953" s="16">
        <v>3</v>
      </c>
      <c r="B953" s="1858" t="s">
        <v>1635</v>
      </c>
      <c r="C953" s="1858"/>
      <c r="D953" s="1858"/>
      <c r="E953" s="1858"/>
      <c r="F953" s="1858"/>
      <c r="G953" s="1858"/>
      <c r="H953" s="1858"/>
      <c r="I953" s="537"/>
      <c r="J953" s="538"/>
      <c r="K953" s="16"/>
      <c r="L953" s="16"/>
      <c r="M953" s="38"/>
      <c r="N953" s="536" t="s">
        <v>2318</v>
      </c>
    </row>
    <row r="954" spans="1:14" s="544" customFormat="1" ht="15.75" hidden="1">
      <c r="A954" s="16"/>
      <c r="B954" s="207" t="s">
        <v>2819</v>
      </c>
      <c r="C954" s="566"/>
      <c r="D954" s="567"/>
      <c r="E954" s="568"/>
      <c r="F954" s="569"/>
      <c r="G954" s="569"/>
      <c r="H954" s="570"/>
      <c r="I954" s="571"/>
      <c r="J954" s="553"/>
      <c r="K954" s="39"/>
      <c r="L954" s="16"/>
      <c r="M954" s="39"/>
      <c r="N954" s="536" t="s">
        <v>2318</v>
      </c>
    </row>
    <row r="955" spans="1:14" s="544" customFormat="1" ht="15.75" hidden="1">
      <c r="A955" s="16"/>
      <c r="B955" s="547" t="s">
        <v>583</v>
      </c>
      <c r="C955" s="548">
        <v>1</v>
      </c>
      <c r="D955" s="549" t="s">
        <v>273</v>
      </c>
      <c r="E955" s="550">
        <v>1</v>
      </c>
      <c r="F955" s="551">
        <v>0</v>
      </c>
      <c r="G955" s="551">
        <v>0</v>
      </c>
      <c r="H955" s="551">
        <v>0</v>
      </c>
      <c r="I955" s="552">
        <f>ROUND(IF(AND(F955:H955),C955*E955*F955*G955*H955,IF(AND(F955,G955),C955*E955*F955*G955,IF(AND(F955,H955),C955*E955*F955*H955,IF(AND(G955,H955),C955*E955*G955*H955,IF(F955,C955*E955*F955,IF(G955,C955*E955*G955,IF(H955,C955*E955*H955,C955*E955))))))),2)</f>
        <v>1</v>
      </c>
      <c r="J955" s="553" t="s">
        <v>115</v>
      </c>
      <c r="K955" s="39"/>
      <c r="L955" s="16"/>
      <c r="M955" s="39"/>
      <c r="N955" s="536" t="s">
        <v>2318</v>
      </c>
    </row>
    <row r="956" spans="1:14" s="544" customFormat="1" ht="15.75" hidden="1">
      <c r="A956" s="16"/>
      <c r="B956" s="547"/>
      <c r="C956" s="548"/>
      <c r="D956" s="549"/>
      <c r="E956" s="550"/>
      <c r="F956" s="551"/>
      <c r="G956" s="551"/>
      <c r="H956" s="551"/>
      <c r="I956" s="552"/>
      <c r="J956" s="553"/>
      <c r="K956" s="39"/>
      <c r="L956" s="16"/>
      <c r="M956" s="39"/>
      <c r="N956" s="536" t="s">
        <v>2318</v>
      </c>
    </row>
    <row r="957" spans="1:14" ht="15.75" hidden="1">
      <c r="A957" s="16"/>
      <c r="B957" s="39"/>
      <c r="C957" s="554"/>
      <c r="D957" s="555"/>
      <c r="E957" s="540"/>
      <c r="F957" s="541"/>
      <c r="G957" s="40"/>
      <c r="H957" s="16"/>
      <c r="I957" s="552"/>
      <c r="J957" s="553" t="s">
        <v>115</v>
      </c>
      <c r="K957" s="10">
        <f>'door 2022-23'!H98</f>
        <v>15037.220000000001</v>
      </c>
      <c r="L957" s="208" t="s">
        <v>275</v>
      </c>
      <c r="M957" s="9">
        <f>ROUND(I957*K957,0)</f>
        <v>0</v>
      </c>
      <c r="N957" s="536" t="s">
        <v>2318</v>
      </c>
    </row>
    <row r="958" spans="1:14" ht="71.25" hidden="1" customHeight="1">
      <c r="A958" s="16">
        <v>3</v>
      </c>
      <c r="B958" s="1858" t="s">
        <v>2144</v>
      </c>
      <c r="C958" s="1858"/>
      <c r="D958" s="1858"/>
      <c r="E958" s="1858"/>
      <c r="F958" s="1858"/>
      <c r="G958" s="1858"/>
      <c r="H958" s="1858"/>
      <c r="I958" s="537"/>
      <c r="J958" s="538"/>
      <c r="K958" s="16"/>
      <c r="L958" s="16"/>
      <c r="M958" s="38"/>
      <c r="N958" s="536" t="s">
        <v>2318</v>
      </c>
    </row>
    <row r="959" spans="1:14" s="544" customFormat="1" ht="15.75" hidden="1">
      <c r="A959" s="16"/>
      <c r="B959" s="39" t="s">
        <v>2192</v>
      </c>
      <c r="C959" s="566"/>
      <c r="D959" s="567"/>
      <c r="E959" s="568"/>
      <c r="F959" s="569"/>
      <c r="G959" s="569"/>
      <c r="H959" s="570"/>
      <c r="I959" s="571"/>
      <c r="J959" s="553"/>
      <c r="K959" s="39"/>
      <c r="L959" s="16"/>
      <c r="M959" s="39"/>
      <c r="N959" s="536" t="s">
        <v>2318</v>
      </c>
    </row>
    <row r="960" spans="1:14" s="544" customFormat="1" ht="15.75" hidden="1">
      <c r="A960" s="16"/>
      <c r="B960" s="547" t="s">
        <v>2193</v>
      </c>
      <c r="C960" s="548">
        <v>1</v>
      </c>
      <c r="D960" s="549" t="s">
        <v>273</v>
      </c>
      <c r="E960" s="550">
        <v>5</v>
      </c>
      <c r="F960" s="551">
        <v>0</v>
      </c>
      <c r="G960" s="551">
        <v>0</v>
      </c>
      <c r="H960" s="551">
        <v>0</v>
      </c>
      <c r="I960" s="552">
        <f>ROUND(IF(AND(F960:H960),C960*E960*F960*G960*H960,IF(AND(F960,G960),C960*E960*F960*G960,IF(AND(F960,H960),C960*E960*F960*H960,IF(AND(G960,H960),C960*E960*G960*H960,IF(F960,C960*E960*F960,IF(G960,C960*E960*G960,IF(H960,C960*E960*H960,C960*E960))))))),2)</f>
        <v>5</v>
      </c>
      <c r="J960" s="553" t="s">
        <v>115</v>
      </c>
      <c r="K960" s="39"/>
      <c r="L960" s="16"/>
      <c r="M960" s="39"/>
      <c r="N960" s="536" t="s">
        <v>2318</v>
      </c>
    </row>
    <row r="961" spans="1:14" s="544" customFormat="1" ht="15.75" hidden="1">
      <c r="A961" s="16"/>
      <c r="B961" s="547"/>
      <c r="C961" s="548"/>
      <c r="D961" s="549"/>
      <c r="E961" s="550"/>
      <c r="F961" s="551"/>
      <c r="G961" s="551"/>
      <c r="H961" s="551"/>
      <c r="I961" s="552"/>
      <c r="J961" s="553"/>
      <c r="K961" s="39"/>
      <c r="L961" s="16"/>
      <c r="M961" s="39"/>
      <c r="N961" s="536" t="s">
        <v>2318</v>
      </c>
    </row>
    <row r="962" spans="1:14" ht="15.75" hidden="1">
      <c r="A962" s="16"/>
      <c r="B962" s="39"/>
      <c r="C962" s="554"/>
      <c r="D962" s="555"/>
      <c r="E962" s="540"/>
      <c r="F962" s="541"/>
      <c r="G962" s="40"/>
      <c r="H962" s="16"/>
      <c r="I962" s="552"/>
      <c r="J962" s="553" t="s">
        <v>115</v>
      </c>
      <c r="K962" s="10">
        <f>'door 2022-23'!H193</f>
        <v>10330.61</v>
      </c>
      <c r="L962" s="208" t="s">
        <v>275</v>
      </c>
      <c r="M962" s="9">
        <f>ROUND(I962*K962,0)</f>
        <v>0</v>
      </c>
      <c r="N962" s="536" t="s">
        <v>2318</v>
      </c>
    </row>
    <row r="963" spans="1:14" ht="71.25" hidden="1" customHeight="1">
      <c r="A963" s="16">
        <v>3</v>
      </c>
      <c r="B963" s="1858" t="s">
        <v>1636</v>
      </c>
      <c r="C963" s="1858"/>
      <c r="D963" s="1858"/>
      <c r="E963" s="1858"/>
      <c r="F963" s="1858"/>
      <c r="G963" s="1858"/>
      <c r="H963" s="1858"/>
      <c r="I963" s="537"/>
      <c r="J963" s="538"/>
      <c r="K963" s="16"/>
      <c r="L963" s="16"/>
      <c r="M963" s="38"/>
      <c r="N963" s="536" t="s">
        <v>2318</v>
      </c>
    </row>
    <row r="964" spans="1:14" s="544" customFormat="1" ht="15.75" hidden="1">
      <c r="A964" s="16"/>
      <c r="B964" s="39" t="s">
        <v>2910</v>
      </c>
      <c r="C964" s="566"/>
      <c r="D964" s="567"/>
      <c r="E964" s="568"/>
      <c r="F964" s="569"/>
      <c r="G964" s="569"/>
      <c r="H964" s="570"/>
      <c r="I964" s="571"/>
      <c r="J964" s="553"/>
      <c r="K964" s="39"/>
      <c r="L964" s="16"/>
      <c r="M964" s="39"/>
      <c r="N964" s="536" t="s">
        <v>2318</v>
      </c>
    </row>
    <row r="965" spans="1:14" s="544" customFormat="1" ht="15.75" hidden="1">
      <c r="A965" s="16"/>
      <c r="B965" s="547" t="s">
        <v>583</v>
      </c>
      <c r="C965" s="548">
        <v>1</v>
      </c>
      <c r="D965" s="549" t="s">
        <v>273</v>
      </c>
      <c r="E965" s="550">
        <v>1</v>
      </c>
      <c r="F965" s="551">
        <v>0</v>
      </c>
      <c r="G965" s="551">
        <v>0</v>
      </c>
      <c r="H965" s="551">
        <v>0</v>
      </c>
      <c r="I965" s="552">
        <f>ROUND(IF(AND(F965:H965),C965*E965*F965*G965*H965,IF(AND(F965,G965),C965*E965*F965*G965,IF(AND(F965,H965),C965*E965*F965*H965,IF(AND(G965,H965),C965*E965*G965*H965,IF(F965,C965*E965*F965,IF(G965,C965*E965*G965,IF(H965,C965*E965*H965,C965*E965))))))),2)</f>
        <v>1</v>
      </c>
      <c r="J965" s="553" t="s">
        <v>115</v>
      </c>
      <c r="K965" s="39"/>
      <c r="L965" s="16"/>
      <c r="M965" s="39"/>
      <c r="N965" s="536" t="s">
        <v>2318</v>
      </c>
    </row>
    <row r="966" spans="1:14" s="544" customFormat="1" ht="15.75" hidden="1">
      <c r="A966" s="16"/>
      <c r="B966" s="547"/>
      <c r="C966" s="548"/>
      <c r="D966" s="549"/>
      <c r="E966" s="550"/>
      <c r="F966" s="551"/>
      <c r="G966" s="551"/>
      <c r="H966" s="551"/>
      <c r="I966" s="552"/>
      <c r="J966" s="553"/>
      <c r="K966" s="39"/>
      <c r="L966" s="16"/>
      <c r="M966" s="39"/>
      <c r="N966" s="536" t="s">
        <v>2318</v>
      </c>
    </row>
    <row r="967" spans="1:14" ht="15.75" hidden="1">
      <c r="A967" s="16"/>
      <c r="B967" s="39"/>
      <c r="C967" s="554"/>
      <c r="D967" s="555"/>
      <c r="E967" s="540"/>
      <c r="F967" s="541"/>
      <c r="G967" s="40"/>
      <c r="H967" s="16"/>
      <c r="I967" s="552"/>
      <c r="J967" s="553" t="s">
        <v>115</v>
      </c>
      <c r="K967" s="10">
        <f>'door 2022-23'!H136</f>
        <v>7015.49</v>
      </c>
      <c r="L967" s="208" t="s">
        <v>275</v>
      </c>
      <c r="M967" s="9">
        <f>ROUND(I967*K967,0)</f>
        <v>0</v>
      </c>
      <c r="N967" s="536" t="s">
        <v>2318</v>
      </c>
    </row>
    <row r="968" spans="1:14" ht="71.25" hidden="1" customHeight="1">
      <c r="A968" s="16">
        <v>40</v>
      </c>
      <c r="B968" s="1858" t="s">
        <v>804</v>
      </c>
      <c r="C968" s="1858"/>
      <c r="D968" s="1858"/>
      <c r="E968" s="1858"/>
      <c r="F968" s="1858"/>
      <c r="G968" s="1858"/>
      <c r="H968" s="1858"/>
      <c r="I968" s="537"/>
      <c r="J968" s="538"/>
      <c r="K968" s="16"/>
      <c r="L968" s="16"/>
      <c r="M968" s="38"/>
      <c r="N968" s="536" t="s">
        <v>2318</v>
      </c>
    </row>
    <row r="969" spans="1:14" s="544" customFormat="1" ht="15.75" hidden="1">
      <c r="A969" s="16"/>
      <c r="B969" s="556" t="s">
        <v>2857</v>
      </c>
      <c r="C969" s="566"/>
      <c r="D969" s="567"/>
      <c r="E969" s="568"/>
      <c r="F969" s="569"/>
      <c r="G969" s="569"/>
      <c r="H969" s="570"/>
      <c r="I969" s="571"/>
      <c r="J969" s="553"/>
      <c r="K969" s="39"/>
      <c r="L969" s="16"/>
      <c r="M969" s="39"/>
      <c r="N969" s="536" t="s">
        <v>2318</v>
      </c>
    </row>
    <row r="970" spans="1:14" s="544" customFormat="1" ht="15.75" hidden="1">
      <c r="A970" s="16"/>
      <c r="B970" s="547" t="s">
        <v>583</v>
      </c>
      <c r="C970" s="548">
        <v>2</v>
      </c>
      <c r="D970" s="549" t="s">
        <v>273</v>
      </c>
      <c r="E970" s="550">
        <v>1</v>
      </c>
      <c r="F970" s="551">
        <v>0</v>
      </c>
      <c r="G970" s="551">
        <v>0</v>
      </c>
      <c r="H970" s="551">
        <v>0</v>
      </c>
      <c r="I970" s="613">
        <f>ROUND(IF(AND(F970:H970),C970*E970*F970*G970*H970,IF(AND(F970,G970),C970*E970*F970*G970,IF(AND(F970,H970),C970*E970*F970*H970,IF(AND(G970,H970),C970*E970*G970*H970,IF(F970,C970*E970*F970,IF(G970,C970*E970*G970,IF(H970,C970*E970*H970,C970*E970))))))),2)</f>
        <v>2</v>
      </c>
      <c r="J970" s="553" t="s">
        <v>115</v>
      </c>
      <c r="K970" s="39"/>
      <c r="L970" s="16"/>
      <c r="M970" s="39"/>
      <c r="N970" s="536" t="s">
        <v>2318</v>
      </c>
    </row>
    <row r="971" spans="1:14" s="544" customFormat="1" ht="15.75" hidden="1">
      <c r="A971" s="16"/>
      <c r="B971" s="556" t="s">
        <v>2897</v>
      </c>
      <c r="C971" s="566"/>
      <c r="D971" s="567"/>
      <c r="E971" s="568"/>
      <c r="F971" s="569"/>
      <c r="G971" s="569"/>
      <c r="H971" s="570"/>
      <c r="I971" s="614"/>
      <c r="J971" s="553"/>
      <c r="K971" s="39"/>
      <c r="L971" s="16"/>
      <c r="M971" s="39"/>
      <c r="N971" s="536" t="s">
        <v>2318</v>
      </c>
    </row>
    <row r="972" spans="1:14" s="544" customFormat="1" ht="15.75" hidden="1">
      <c r="A972" s="16"/>
      <c r="B972" s="547" t="s">
        <v>584</v>
      </c>
      <c r="C972" s="548">
        <v>3</v>
      </c>
      <c r="D972" s="549" t="s">
        <v>273</v>
      </c>
      <c r="E972" s="550">
        <v>1</v>
      </c>
      <c r="F972" s="551">
        <v>0</v>
      </c>
      <c r="G972" s="551">
        <v>0</v>
      </c>
      <c r="H972" s="551">
        <v>0</v>
      </c>
      <c r="I972" s="613">
        <f>ROUND(IF(AND(F972:H972),C972*E972*F972*G972*H972,IF(AND(F972,G972),C972*E972*F972*G972,IF(AND(F972,H972),C972*E972*F972*H972,IF(AND(G972,H972),C972*E972*G972*H972,IF(F972,C972*E972*F972,IF(G972,C972*E972*G972,IF(H972,C972*E972*H972,C972*E972))))))),2)</f>
        <v>3</v>
      </c>
      <c r="J972" s="553" t="s">
        <v>115</v>
      </c>
      <c r="K972" s="39"/>
      <c r="L972" s="16"/>
      <c r="M972" s="39"/>
      <c r="N972" s="536" t="s">
        <v>2318</v>
      </c>
    </row>
    <row r="973" spans="1:14" s="544" customFormat="1" ht="15.75" hidden="1">
      <c r="A973" s="16"/>
      <c r="B973" s="547"/>
      <c r="C973" s="548"/>
      <c r="D973" s="549"/>
      <c r="E973" s="550"/>
      <c r="F973" s="551"/>
      <c r="G973" s="551"/>
      <c r="H973" s="551"/>
      <c r="I973" s="613"/>
      <c r="J973" s="553"/>
      <c r="K973" s="39"/>
      <c r="L973" s="16"/>
      <c r="M973" s="39"/>
      <c r="N973" s="536" t="s">
        <v>2318</v>
      </c>
    </row>
    <row r="974" spans="1:14" ht="15.75" hidden="1">
      <c r="A974" s="16"/>
      <c r="B974" s="39"/>
      <c r="C974" s="554"/>
      <c r="D974" s="555"/>
      <c r="E974" s="540"/>
      <c r="F974" s="541"/>
      <c r="G974" s="40"/>
      <c r="H974" s="16"/>
      <c r="I974" s="613"/>
      <c r="J974" s="553" t="s">
        <v>115</v>
      </c>
      <c r="K974" s="10">
        <f>'door 2022-23'!H155</f>
        <v>17517.36</v>
      </c>
      <c r="L974" s="208" t="s">
        <v>275</v>
      </c>
      <c r="M974" s="9">
        <f>ROUND(I974*K974,0)</f>
        <v>0</v>
      </c>
      <c r="N974" s="536" t="s">
        <v>2318</v>
      </c>
    </row>
    <row r="975" spans="1:14" ht="71.25" hidden="1" customHeight="1">
      <c r="A975" s="16">
        <v>2</v>
      </c>
      <c r="B975" s="1858" t="s">
        <v>2796</v>
      </c>
      <c r="C975" s="1858"/>
      <c r="D975" s="1858"/>
      <c r="E975" s="1858"/>
      <c r="F975" s="1858"/>
      <c r="G975" s="1858"/>
      <c r="H975" s="1858"/>
      <c r="I975" s="537"/>
      <c r="J975" s="538"/>
      <c r="K975" s="16"/>
      <c r="L975" s="16"/>
      <c r="M975" s="38"/>
      <c r="N975" s="536" t="s">
        <v>2318</v>
      </c>
    </row>
    <row r="976" spans="1:14" s="544" customFormat="1" ht="15.75" hidden="1">
      <c r="A976" s="16"/>
      <c r="B976" s="39" t="s">
        <v>2776</v>
      </c>
      <c r="C976" s="566"/>
      <c r="D976" s="567"/>
      <c r="E976" s="568"/>
      <c r="F976" s="569"/>
      <c r="G976" s="569"/>
      <c r="H976" s="570"/>
      <c r="I976" s="571"/>
      <c r="J976" s="553"/>
      <c r="K976" s="39"/>
      <c r="L976" s="16"/>
      <c r="M976" s="39"/>
      <c r="N976" s="536" t="s">
        <v>2318</v>
      </c>
    </row>
    <row r="977" spans="1:15" s="544" customFormat="1" ht="15.75" hidden="1">
      <c r="A977" s="16"/>
      <c r="B977" s="547"/>
      <c r="C977" s="548">
        <v>1</v>
      </c>
      <c r="D977" s="549" t="s">
        <v>273</v>
      </c>
      <c r="E977" s="550">
        <v>5</v>
      </c>
      <c r="F977" s="551">
        <v>0</v>
      </c>
      <c r="G977" s="551">
        <v>0</v>
      </c>
      <c r="H977" s="551">
        <v>0</v>
      </c>
      <c r="I977" s="613">
        <f>ROUND(IF(AND(F977:H977),C977*E977*F977*G977*H977,IF(AND(F977,G977),C977*E977*F977*G977,IF(AND(F977,H977),C977*E977*F977*H977,IF(AND(G977,H977),C977*E977*G977*H977,IF(F977,C977*E977*F977,IF(G977,C977*E977*G977,IF(H977,C977*E977*H977,C977*E977))))))),2)</f>
        <v>5</v>
      </c>
      <c r="J977" s="553" t="s">
        <v>115</v>
      </c>
      <c r="K977" s="39"/>
      <c r="L977" s="16"/>
      <c r="M977" s="39"/>
      <c r="N977" s="536" t="s">
        <v>2318</v>
      </c>
    </row>
    <row r="978" spans="1:15" s="544" customFormat="1" ht="15.75" hidden="1">
      <c r="A978" s="16"/>
      <c r="B978" s="547"/>
      <c r="C978" s="548"/>
      <c r="D978" s="549"/>
      <c r="E978" s="550"/>
      <c r="F978" s="551"/>
      <c r="G978" s="551"/>
      <c r="H978" s="551"/>
      <c r="I978" s="613"/>
      <c r="J978" s="553"/>
      <c r="K978" s="39"/>
      <c r="L978" s="16"/>
      <c r="M978" s="39"/>
      <c r="N978" s="536" t="s">
        <v>2318</v>
      </c>
    </row>
    <row r="979" spans="1:15" ht="15.75" hidden="1">
      <c r="A979" s="16"/>
      <c r="B979" s="39"/>
      <c r="C979" s="554"/>
      <c r="D979" s="555"/>
      <c r="E979" s="540"/>
      <c r="F979" s="541"/>
      <c r="G979" s="40"/>
      <c r="H979" s="16"/>
      <c r="I979" s="613"/>
      <c r="J979" s="553" t="s">
        <v>115</v>
      </c>
      <c r="K979" s="10">
        <f>'door 2022-23'!H174</f>
        <v>7005.16</v>
      </c>
      <c r="L979" s="208" t="s">
        <v>275</v>
      </c>
      <c r="M979" s="9">
        <f>ROUND(I979*K979,0)</f>
        <v>0</v>
      </c>
      <c r="N979" s="536" t="s">
        <v>2318</v>
      </c>
    </row>
    <row r="980" spans="1:15" ht="148.5" hidden="1" customHeight="1">
      <c r="A980" s="16">
        <v>3</v>
      </c>
      <c r="B980" s="1858" t="s">
        <v>910</v>
      </c>
      <c r="C980" s="1858"/>
      <c r="D980" s="1858"/>
      <c r="E980" s="1858"/>
      <c r="F980" s="1858"/>
      <c r="G980" s="1858"/>
      <c r="H980" s="1858"/>
      <c r="I980" s="537"/>
      <c r="J980" s="538"/>
      <c r="K980" s="16"/>
      <c r="L980" s="16"/>
      <c r="M980" s="38"/>
      <c r="N980" s="536" t="s">
        <v>2318</v>
      </c>
    </row>
    <row r="981" spans="1:15" s="544" customFormat="1" ht="16.5" hidden="1" customHeight="1">
      <c r="A981" s="16"/>
      <c r="B981" s="39" t="s">
        <v>2776</v>
      </c>
      <c r="C981" s="566"/>
      <c r="D981" s="567"/>
      <c r="E981" s="568"/>
      <c r="F981" s="569"/>
      <c r="G981" s="569"/>
      <c r="H981" s="570"/>
      <c r="I981" s="571"/>
      <c r="J981" s="553"/>
      <c r="K981" s="39"/>
      <c r="L981" s="16"/>
      <c r="M981" s="39"/>
      <c r="N981" s="536" t="s">
        <v>2318</v>
      </c>
    </row>
    <row r="982" spans="1:15" s="544" customFormat="1" ht="16.5" hidden="1" customHeight="1">
      <c r="A982" s="16"/>
      <c r="B982" s="582" t="s">
        <v>2797</v>
      </c>
      <c r="C982" s="583">
        <v>1</v>
      </c>
      <c r="D982" s="584" t="s">
        <v>273</v>
      </c>
      <c r="E982" s="585">
        <v>4</v>
      </c>
      <c r="F982" s="586">
        <v>0.75</v>
      </c>
      <c r="G982" s="586">
        <v>0</v>
      </c>
      <c r="H982" s="586">
        <v>1.8</v>
      </c>
      <c r="I982" s="552">
        <f>ROUND(IF(AND(F982:H982),C982*E982*F982*G982*H982,IF(AND(F982,G982),C982*E982*F982*G982,IF(AND(F982,H982),C982*E982*F982*H982,IF(AND(G982,H982),C982*E982*G982*H982,IF(F982,C982*E982*F982,IF(G982,C982*E982*G982,IF(H982,C982*E982*H982,C982*E982))))))),2)</f>
        <v>5.4</v>
      </c>
      <c r="J982" s="553" t="s">
        <v>102</v>
      </c>
      <c r="K982" s="39"/>
      <c r="L982" s="16"/>
      <c r="M982" s="39"/>
      <c r="N982" s="536" t="s">
        <v>2318</v>
      </c>
      <c r="O982" s="550">
        <v>2</v>
      </c>
    </row>
    <row r="983" spans="1:15" s="544" customFormat="1" ht="16.5" hidden="1" customHeight="1">
      <c r="A983" s="16"/>
      <c r="B983" s="547"/>
      <c r="C983" s="548"/>
      <c r="D983" s="549"/>
      <c r="E983" s="550"/>
      <c r="F983" s="551"/>
      <c r="G983" s="551"/>
      <c r="H983" s="551"/>
      <c r="I983" s="552"/>
      <c r="J983" s="553"/>
      <c r="K983" s="39"/>
      <c r="L983" s="16"/>
      <c r="M983" s="39"/>
      <c r="N983" s="536" t="s">
        <v>2318</v>
      </c>
      <c r="O983" s="550"/>
    </row>
    <row r="984" spans="1:15" ht="15.75" hidden="1">
      <c r="A984" s="16"/>
      <c r="B984" s="39"/>
      <c r="C984" s="554"/>
      <c r="D984" s="555"/>
      <c r="E984" s="540"/>
      <c r="F984" s="541"/>
      <c r="G984" s="40"/>
      <c r="H984" s="16"/>
      <c r="I984" s="552"/>
      <c r="J984" s="553" t="s">
        <v>102</v>
      </c>
      <c r="K984" s="10">
        <f>'door 2022-23'!H217</f>
        <v>4083.08</v>
      </c>
      <c r="L984" s="208" t="s">
        <v>2437</v>
      </c>
      <c r="M984" s="9">
        <f>ROUND(I984*K984,0)</f>
        <v>0</v>
      </c>
      <c r="N984" s="536" t="s">
        <v>2318</v>
      </c>
    </row>
    <row r="985" spans="1:15" ht="148.5" hidden="1" customHeight="1">
      <c r="A985" s="16">
        <v>11</v>
      </c>
      <c r="B985" s="1858" t="s">
        <v>910</v>
      </c>
      <c r="C985" s="1858"/>
      <c r="D985" s="1858"/>
      <c r="E985" s="1858"/>
      <c r="F985" s="1858"/>
      <c r="G985" s="1858"/>
      <c r="H985" s="1858"/>
      <c r="I985" s="537"/>
      <c r="J985" s="538"/>
      <c r="K985" s="16"/>
      <c r="L985" s="16"/>
      <c r="M985" s="38"/>
      <c r="N985" s="536" t="s">
        <v>2318</v>
      </c>
    </row>
    <row r="986" spans="1:15" s="544" customFormat="1" ht="16.5" hidden="1" customHeight="1">
      <c r="A986" s="16"/>
      <c r="B986" s="39" t="s">
        <v>2537</v>
      </c>
      <c r="C986" s="566"/>
      <c r="D986" s="567"/>
      <c r="E986" s="568"/>
      <c r="F986" s="569"/>
      <c r="G986" s="569"/>
      <c r="H986" s="570"/>
      <c r="I986" s="571"/>
      <c r="J986" s="553"/>
      <c r="K986" s="39"/>
      <c r="L986" s="16"/>
      <c r="M986" s="39"/>
      <c r="N986" s="536" t="s">
        <v>2318</v>
      </c>
    </row>
    <row r="987" spans="1:15" s="544" customFormat="1" ht="16.5" hidden="1" customHeight="1">
      <c r="A987" s="16"/>
      <c r="B987" s="582" t="s">
        <v>2470</v>
      </c>
      <c r="C987" s="583">
        <v>1</v>
      </c>
      <c r="D987" s="584" t="s">
        <v>273</v>
      </c>
      <c r="E987" s="585">
        <v>1</v>
      </c>
      <c r="F987" s="586">
        <v>0.81</v>
      </c>
      <c r="G987" s="586">
        <v>0</v>
      </c>
      <c r="H987" s="586">
        <v>2.0499999999999998</v>
      </c>
      <c r="I987" s="552">
        <f>ROUND(IF(AND(F987:H987),C987*E987*F987*G987*H987,IF(AND(F987,G987),C987*E987*F987*G987,IF(AND(F987,H987),C987*E987*F987*H987,IF(AND(G987,H987),C987*E987*G987*H987,IF(F987,C987*E987*F987,IF(G987,C987*E987*G987,IF(H987,C987*E987*H987,C987*E987))))))),2)</f>
        <v>1.66</v>
      </c>
      <c r="J987" s="553" t="s">
        <v>102</v>
      </c>
      <c r="K987" s="39"/>
      <c r="L987" s="16"/>
      <c r="M987" s="39"/>
      <c r="N987" s="536" t="s">
        <v>2318</v>
      </c>
      <c r="O987" s="550">
        <v>2</v>
      </c>
    </row>
    <row r="988" spans="1:15" s="544" customFormat="1" ht="16.5" hidden="1" customHeight="1">
      <c r="A988" s="16"/>
      <c r="B988" s="582" t="s">
        <v>2470</v>
      </c>
      <c r="C988" s="583">
        <v>1</v>
      </c>
      <c r="D988" s="584" t="s">
        <v>273</v>
      </c>
      <c r="E988" s="585">
        <v>1</v>
      </c>
      <c r="F988" s="586">
        <v>0.83</v>
      </c>
      <c r="G988" s="586">
        <v>0</v>
      </c>
      <c r="H988" s="586">
        <v>1.98</v>
      </c>
      <c r="I988" s="552">
        <f>ROUND(IF(AND(F988:H988),C988*E988*F988*G988*H988,IF(AND(F988,G988),C988*E988*F988*G988,IF(AND(F988,H988),C988*E988*F988*H988,IF(AND(G988,H988),C988*E988*G988*H988,IF(F988,C988*E988*F988,IF(G988,C988*E988*G988,IF(H988,C988*E988*H988,C988*E988))))))),2)</f>
        <v>1.64</v>
      </c>
      <c r="J988" s="553" t="s">
        <v>102</v>
      </c>
      <c r="K988" s="39"/>
      <c r="L988" s="16"/>
      <c r="M988" s="39"/>
      <c r="N988" s="536" t="s">
        <v>2318</v>
      </c>
      <c r="O988" s="550">
        <v>2</v>
      </c>
    </row>
    <row r="989" spans="1:15" s="544" customFormat="1" ht="16.5" hidden="1" customHeight="1">
      <c r="A989" s="16"/>
      <c r="B989" s="582"/>
      <c r="C989" s="583"/>
      <c r="D989" s="584"/>
      <c r="E989" s="585"/>
      <c r="F989" s="586"/>
      <c r="G989" s="586"/>
      <c r="H989" s="586"/>
      <c r="I989" s="552"/>
      <c r="J989" s="553"/>
      <c r="K989" s="39"/>
      <c r="L989" s="16"/>
      <c r="M989" s="39"/>
      <c r="N989" s="536" t="s">
        <v>2318</v>
      </c>
      <c r="O989" s="615"/>
    </row>
    <row r="990" spans="1:15" ht="15.75" hidden="1">
      <c r="A990" s="16"/>
      <c r="B990" s="39"/>
      <c r="C990" s="554"/>
      <c r="D990" s="555"/>
      <c r="E990" s="540"/>
      <c r="F990" s="541"/>
      <c r="G990" s="40"/>
      <c r="H990" s="16"/>
      <c r="I990" s="552"/>
      <c r="J990" s="553" t="s">
        <v>102</v>
      </c>
      <c r="K990" s="10">
        <f>'door 2022-23'!H229</f>
        <v>6132.48</v>
      </c>
      <c r="L990" s="208" t="s">
        <v>2437</v>
      </c>
      <c r="M990" s="9">
        <f>ROUND(I990*K990,0)</f>
        <v>0</v>
      </c>
      <c r="N990" s="536" t="s">
        <v>2318</v>
      </c>
    </row>
    <row r="991" spans="1:15" ht="70.5" hidden="1" customHeight="1">
      <c r="A991" s="16">
        <v>11</v>
      </c>
      <c r="B991" s="1858" t="s">
        <v>2473</v>
      </c>
      <c r="C991" s="1858"/>
      <c r="D991" s="1858"/>
      <c r="E991" s="1858"/>
      <c r="F991" s="1858"/>
      <c r="G991" s="1858"/>
      <c r="H991" s="1858"/>
      <c r="I991" s="537"/>
      <c r="J991" s="538"/>
      <c r="K991" s="16"/>
      <c r="L991" s="16"/>
      <c r="M991" s="38"/>
      <c r="N991" s="536" t="s">
        <v>2318</v>
      </c>
    </row>
    <row r="992" spans="1:15" s="544" customFormat="1" ht="16.5" hidden="1" customHeight="1">
      <c r="A992" s="16"/>
      <c r="B992" s="39" t="s">
        <v>2537</v>
      </c>
      <c r="C992" s="566"/>
      <c r="D992" s="567"/>
      <c r="E992" s="568"/>
      <c r="F992" s="569"/>
      <c r="G992" s="569"/>
      <c r="H992" s="570"/>
      <c r="I992" s="571"/>
      <c r="J992" s="553"/>
      <c r="K992" s="39"/>
      <c r="L992" s="16"/>
      <c r="M992" s="39"/>
      <c r="N992" s="536" t="s">
        <v>2318</v>
      </c>
    </row>
    <row r="993" spans="1:16" s="544" customFormat="1" ht="16.5" hidden="1" customHeight="1">
      <c r="A993" s="16"/>
      <c r="B993" s="582" t="s">
        <v>2470</v>
      </c>
      <c r="C993" s="583">
        <v>1</v>
      </c>
      <c r="D993" s="584" t="s">
        <v>273</v>
      </c>
      <c r="E993" s="585">
        <v>1</v>
      </c>
      <c r="F993" s="586">
        <v>0.81</v>
      </c>
      <c r="G993" s="586">
        <v>0</v>
      </c>
      <c r="H993" s="586">
        <v>2.0499999999999998</v>
      </c>
      <c r="I993" s="552">
        <f>ROUND(IF(AND(F993:H993),C993*E993*F993*G993*H993,IF(AND(F993,G993),C993*E993*F993*G993,IF(AND(F993,H993),C993*E993*F993*H993,IF(AND(G993,H993),C993*E993*G993*H993,IF(F993,C993*E993*F993,IF(G993,C993*E993*G993,IF(H993,C993*E993*H993,C993*E993))))))),2)</f>
        <v>1.66</v>
      </c>
      <c r="J993" s="553" t="s">
        <v>102</v>
      </c>
      <c r="K993" s="39"/>
      <c r="L993" s="16"/>
      <c r="M993" s="39"/>
      <c r="N993" s="536" t="s">
        <v>2318</v>
      </c>
      <c r="O993" s="550">
        <v>2</v>
      </c>
    </row>
    <row r="994" spans="1:16" s="544" customFormat="1" ht="16.5" hidden="1" customHeight="1">
      <c r="A994" s="16"/>
      <c r="B994" s="582" t="s">
        <v>2470</v>
      </c>
      <c r="C994" s="583">
        <v>1</v>
      </c>
      <c r="D994" s="584" t="s">
        <v>273</v>
      </c>
      <c r="E994" s="585">
        <v>1</v>
      </c>
      <c r="F994" s="586">
        <v>0.83</v>
      </c>
      <c r="G994" s="586">
        <v>0</v>
      </c>
      <c r="H994" s="586">
        <v>1.98</v>
      </c>
      <c r="I994" s="552">
        <f>ROUND(IF(AND(F994:H994),C994*E994*F994*G994*H994,IF(AND(F994,G994),C994*E994*F994*G994,IF(AND(F994,H994),C994*E994*F994*H994,IF(AND(G994,H994),C994*E994*G994*H994,IF(F994,C994*E994*F994,IF(G994,C994*E994*G994,IF(H994,C994*E994*H994,C994*E994))))))),2)</f>
        <v>1.64</v>
      </c>
      <c r="J994" s="553" t="s">
        <v>102</v>
      </c>
      <c r="K994" s="39"/>
      <c r="L994" s="16"/>
      <c r="M994" s="39"/>
      <c r="N994" s="536" t="s">
        <v>2318</v>
      </c>
      <c r="O994" s="550">
        <v>2</v>
      </c>
    </row>
    <row r="995" spans="1:16" s="544" customFormat="1" ht="16.5" hidden="1" customHeight="1">
      <c r="A995" s="16"/>
      <c r="B995" s="582"/>
      <c r="C995" s="583"/>
      <c r="D995" s="584"/>
      <c r="E995" s="585"/>
      <c r="F995" s="586"/>
      <c r="G995" s="586"/>
      <c r="H995" s="586"/>
      <c r="I995" s="552"/>
      <c r="J995" s="553"/>
      <c r="K995" s="39"/>
      <c r="L995" s="16"/>
      <c r="M995" s="39"/>
      <c r="N995" s="536" t="s">
        <v>2318</v>
      </c>
      <c r="O995" s="615"/>
    </row>
    <row r="996" spans="1:16" ht="15.75" hidden="1">
      <c r="A996" s="16"/>
      <c r="B996" s="39"/>
      <c r="C996" s="554"/>
      <c r="D996" s="555"/>
      <c r="E996" s="540"/>
      <c r="F996" s="541"/>
      <c r="G996" s="40"/>
      <c r="H996" s="16"/>
      <c r="I996" s="552"/>
      <c r="J996" s="553" t="s">
        <v>102</v>
      </c>
      <c r="K996" s="10">
        <f>'door 2022-23'!H239</f>
        <v>4105.7700000000004</v>
      </c>
      <c r="L996" s="208" t="s">
        <v>2437</v>
      </c>
      <c r="M996" s="9">
        <f>ROUND(I996*K996,0)</f>
        <v>0</v>
      </c>
      <c r="N996" s="536" t="s">
        <v>2318</v>
      </c>
    </row>
    <row r="997" spans="1:16" s="956" customFormat="1" ht="192.75" customHeight="1">
      <c r="A997" s="951">
        <v>1</v>
      </c>
      <c r="B997" s="1871" t="s">
        <v>807</v>
      </c>
      <c r="C997" s="1871"/>
      <c r="D997" s="1871"/>
      <c r="E997" s="1871"/>
      <c r="F997" s="1871"/>
      <c r="G997" s="1871"/>
      <c r="H997" s="1871"/>
      <c r="I997" s="952"/>
      <c r="J997" s="953"/>
      <c r="K997" s="951"/>
      <c r="L997" s="951"/>
      <c r="M997" s="954"/>
      <c r="N997" s="955" t="s">
        <v>2318</v>
      </c>
    </row>
    <row r="998" spans="1:16" s="965" customFormat="1" ht="16.5" customHeight="1">
      <c r="A998" s="951"/>
      <c r="B998" s="957" t="s">
        <v>3127</v>
      </c>
      <c r="C998" s="958" t="s">
        <v>1550</v>
      </c>
      <c r="D998" s="959"/>
      <c r="E998" s="960"/>
      <c r="F998" s="961"/>
      <c r="G998" s="961"/>
      <c r="H998" s="962"/>
      <c r="I998" s="963"/>
      <c r="J998" s="964"/>
      <c r="K998" s="957"/>
      <c r="L998" s="951"/>
      <c r="M998" s="957"/>
      <c r="N998" s="955" t="s">
        <v>2318</v>
      </c>
    </row>
    <row r="999" spans="1:16" s="965" customFormat="1" ht="16.5" customHeight="1">
      <c r="A999" s="951"/>
      <c r="B999" s="966" t="s">
        <v>584</v>
      </c>
      <c r="C999" s="967">
        <v>1</v>
      </c>
      <c r="D999" s="968" t="s">
        <v>273</v>
      </c>
      <c r="E999" s="969">
        <v>7</v>
      </c>
      <c r="F999" s="970">
        <v>1.5</v>
      </c>
      <c r="G999" s="970">
        <v>0</v>
      </c>
      <c r="H999" s="970">
        <v>1.35</v>
      </c>
      <c r="I999" s="971">
        <f>ROUND(IF(AND(F999:H999),C999*E999*F999*G999*H999,IF(AND(F999,G999),C999*E999*F999*G999,IF(AND(F999,H999),C999*E999*F999*H999,IF(AND(G999,H999),C999*E999*G999*H999,IF(F999,C999*E999*F999,IF(G999,C999*E999*G999,IF(H999,C999*E999*H999,C999*E999))))))),2)</f>
        <v>14.18</v>
      </c>
      <c r="J999" s="964" t="s">
        <v>102</v>
      </c>
      <c r="K999" s="957"/>
      <c r="L999" s="951"/>
      <c r="M999" s="957"/>
      <c r="N999" s="955" t="s">
        <v>2318</v>
      </c>
    </row>
    <row r="1000" spans="1:16" s="965" customFormat="1" ht="16.5" customHeight="1">
      <c r="A1000" s="951"/>
      <c r="B1000" s="972"/>
      <c r="C1000" s="973"/>
      <c r="D1000" s="974"/>
      <c r="E1000" s="975"/>
      <c r="F1000" s="976"/>
      <c r="G1000" s="976"/>
      <c r="H1000" s="976"/>
      <c r="I1000" s="971"/>
      <c r="J1000" s="964"/>
      <c r="K1000" s="957"/>
      <c r="L1000" s="951"/>
      <c r="M1000" s="957"/>
      <c r="N1000" s="955" t="s">
        <v>2318</v>
      </c>
      <c r="P1000" s="1005">
        <f>M1465</f>
        <v>0</v>
      </c>
    </row>
    <row r="1001" spans="1:16" s="956" customFormat="1" ht="15.75">
      <c r="A1001" s="951"/>
      <c r="B1001" s="957"/>
      <c r="C1001" s="977"/>
      <c r="D1001" s="978"/>
      <c r="E1001" s="979"/>
      <c r="F1001" s="980"/>
      <c r="G1001" s="981"/>
      <c r="H1001" s="951"/>
      <c r="I1001" s="971"/>
      <c r="J1001" s="964" t="s">
        <v>102</v>
      </c>
      <c r="K1001" s="982">
        <f>'door 2022-23'!H244</f>
        <v>8622</v>
      </c>
      <c r="L1001" s="983" t="s">
        <v>2437</v>
      </c>
      <c r="M1001" s="984">
        <f>ROUND(I1001*K1001,0)</f>
        <v>0</v>
      </c>
      <c r="N1001" s="955" t="s">
        <v>2318</v>
      </c>
    </row>
    <row r="1002" spans="1:16" s="544" customFormat="1" ht="16.5" hidden="1" customHeight="1">
      <c r="A1002" s="16">
        <v>6</v>
      </c>
      <c r="B1002" s="39" t="s">
        <v>2911</v>
      </c>
      <c r="C1002" s="566" t="s">
        <v>1552</v>
      </c>
      <c r="D1002" s="567"/>
      <c r="E1002" s="568"/>
      <c r="F1002" s="569"/>
      <c r="G1002" s="569"/>
      <c r="H1002" s="570"/>
      <c r="I1002" s="571"/>
      <c r="J1002" s="553"/>
      <c r="K1002" s="39"/>
      <c r="L1002" s="16"/>
      <c r="M1002" s="39"/>
      <c r="N1002" s="536" t="s">
        <v>2318</v>
      </c>
    </row>
    <row r="1003" spans="1:16" s="544" customFormat="1" ht="16.5" hidden="1" customHeight="1">
      <c r="A1003" s="16"/>
      <c r="B1003" s="582"/>
      <c r="C1003" s="583">
        <v>1</v>
      </c>
      <c r="D1003" s="584" t="s">
        <v>273</v>
      </c>
      <c r="E1003" s="585">
        <v>2</v>
      </c>
      <c r="F1003" s="586">
        <v>1.5</v>
      </c>
      <c r="G1003" s="586">
        <v>0</v>
      </c>
      <c r="H1003" s="586">
        <v>1.35</v>
      </c>
      <c r="I1003" s="552">
        <f>ROUND(IF(AND(F1003:H1003),C1003*E1003*F1003*G1003*H1003,IF(AND(F1003,G1003),C1003*E1003*F1003*G1003,IF(AND(F1003,H1003),C1003*E1003*F1003*H1003,IF(AND(G1003,H1003),C1003*E1003*G1003*H1003,IF(F1003,C1003*E1003*F1003,IF(G1003,C1003*E1003*G1003,IF(H1003,C1003*E1003*H1003,C1003*E1003))))))),2)</f>
        <v>4.05</v>
      </c>
      <c r="J1003" s="553" t="s">
        <v>102</v>
      </c>
      <c r="K1003" s="39"/>
      <c r="L1003" s="16"/>
      <c r="M1003" s="39"/>
      <c r="N1003" s="536" t="s">
        <v>2318</v>
      </c>
    </row>
    <row r="1004" spans="1:16" s="544" customFormat="1" ht="16.5" hidden="1" customHeight="1">
      <c r="A1004" s="16"/>
      <c r="B1004" s="547"/>
      <c r="C1004" s="548"/>
      <c r="D1004" s="549"/>
      <c r="E1004" s="550"/>
      <c r="F1004" s="551"/>
      <c r="G1004" s="551"/>
      <c r="H1004" s="551"/>
      <c r="I1004" s="552"/>
      <c r="J1004" s="553"/>
      <c r="K1004" s="39"/>
      <c r="L1004" s="16"/>
      <c r="M1004" s="39"/>
      <c r="N1004" s="536" t="s">
        <v>2318</v>
      </c>
    </row>
    <row r="1005" spans="1:16" ht="15.75" hidden="1">
      <c r="A1005" s="16"/>
      <c r="B1005" s="39"/>
      <c r="C1005" s="554"/>
      <c r="D1005" s="555"/>
      <c r="E1005" s="540"/>
      <c r="F1005" s="541"/>
      <c r="G1005" s="40"/>
      <c r="H1005" s="16"/>
      <c r="I1005" s="552"/>
      <c r="J1005" s="553" t="s">
        <v>102</v>
      </c>
      <c r="K1005" s="10">
        <f>'door 2022-23'!H242</f>
        <v>6460</v>
      </c>
      <c r="L1005" s="208" t="s">
        <v>2437</v>
      </c>
      <c r="M1005" s="9">
        <f>ROUND(I1005*K1005,0)</f>
        <v>0</v>
      </c>
      <c r="N1005" s="536" t="s">
        <v>2318</v>
      </c>
    </row>
    <row r="1006" spans="1:16" s="544" customFormat="1" ht="16.5" hidden="1" customHeight="1">
      <c r="A1006" s="16">
        <v>3</v>
      </c>
      <c r="B1006" s="54" t="s">
        <v>2912</v>
      </c>
      <c r="C1006" s="566" t="s">
        <v>1637</v>
      </c>
      <c r="D1006" s="567"/>
      <c r="E1006" s="568"/>
      <c r="F1006" s="569"/>
      <c r="G1006" s="569"/>
      <c r="H1006" s="570"/>
      <c r="I1006" s="571"/>
      <c r="J1006" s="553"/>
      <c r="K1006" s="39"/>
      <c r="L1006" s="16"/>
      <c r="M1006" s="39"/>
      <c r="N1006" s="536" t="s">
        <v>2318</v>
      </c>
    </row>
    <row r="1007" spans="1:16" s="544" customFormat="1" ht="16.5" hidden="1" customHeight="1">
      <c r="A1007" s="16"/>
      <c r="B1007" s="547"/>
      <c r="C1007" s="548">
        <v>1</v>
      </c>
      <c r="D1007" s="549" t="s">
        <v>273</v>
      </c>
      <c r="E1007" s="550">
        <v>1</v>
      </c>
      <c r="F1007" s="551">
        <v>1.51</v>
      </c>
      <c r="G1007" s="551">
        <v>0</v>
      </c>
      <c r="H1007" s="551">
        <v>1.2</v>
      </c>
      <c r="I1007" s="552">
        <f>ROUND(IF(AND(F1007:H1007),C1007*E1007*F1007*G1007*H1007,IF(AND(F1007,G1007),C1007*E1007*F1007*G1007,IF(AND(F1007,H1007),C1007*E1007*F1007*H1007,IF(AND(G1007,H1007),C1007*E1007*G1007*H1007,IF(F1007,C1007*E1007*F1007,IF(G1007,C1007*E1007*G1007,IF(H1007,C1007*E1007*H1007,C1007*E1007))))))),2)</f>
        <v>1.81</v>
      </c>
      <c r="J1007" s="553" t="s">
        <v>102</v>
      </c>
      <c r="K1007" s="39"/>
      <c r="L1007" s="16"/>
      <c r="M1007" s="39"/>
      <c r="N1007" s="536" t="s">
        <v>2318</v>
      </c>
      <c r="O1007" s="550">
        <v>1</v>
      </c>
    </row>
    <row r="1008" spans="1:16" s="544" customFormat="1" ht="16.5" hidden="1" customHeight="1">
      <c r="A1008" s="16"/>
      <c r="B1008" s="547"/>
      <c r="C1008" s="548"/>
      <c r="D1008" s="549"/>
      <c r="E1008" s="550"/>
      <c r="F1008" s="551"/>
      <c r="G1008" s="551"/>
      <c r="H1008" s="551"/>
      <c r="I1008" s="552"/>
      <c r="J1008" s="553"/>
      <c r="K1008" s="39"/>
      <c r="L1008" s="16"/>
      <c r="M1008" s="39"/>
      <c r="N1008" s="536" t="s">
        <v>2318</v>
      </c>
      <c r="O1008" s="550"/>
    </row>
    <row r="1009" spans="1:14" ht="15.75" hidden="1">
      <c r="A1009" s="16"/>
      <c r="B1009" s="39"/>
      <c r="C1009" s="554"/>
      <c r="D1009" s="555"/>
      <c r="E1009" s="540"/>
      <c r="F1009" s="541"/>
      <c r="G1009" s="40"/>
      <c r="H1009" s="16"/>
      <c r="I1009" s="552"/>
      <c r="J1009" s="553" t="s">
        <v>102</v>
      </c>
      <c r="K1009" s="10">
        <f>'door 2022-23'!H246</f>
        <v>6238</v>
      </c>
      <c r="L1009" s="208" t="s">
        <v>2437</v>
      </c>
      <c r="M1009" s="9">
        <f>ROUND(I1009*K1009,0)</f>
        <v>0</v>
      </c>
      <c r="N1009" s="536" t="s">
        <v>2318</v>
      </c>
    </row>
    <row r="1010" spans="1:14" ht="27" hidden="1" customHeight="1">
      <c r="A1010" s="16">
        <v>6</v>
      </c>
      <c r="B1010" s="1858" t="s">
        <v>2293</v>
      </c>
      <c r="C1010" s="1858"/>
      <c r="D1010" s="1858"/>
      <c r="E1010" s="1858"/>
      <c r="F1010" s="1858"/>
      <c r="G1010" s="1858"/>
      <c r="H1010" s="1858"/>
      <c r="I1010" s="537"/>
      <c r="J1010" s="538"/>
      <c r="K1010" s="16"/>
      <c r="L1010" s="16"/>
      <c r="M1010" s="38"/>
      <c r="N1010" s="536" t="s">
        <v>2318</v>
      </c>
    </row>
    <row r="1011" spans="1:14" s="544" customFormat="1" ht="16.5" hidden="1" customHeight="1">
      <c r="A1011" s="16"/>
      <c r="B1011" s="607" t="s">
        <v>2913</v>
      </c>
      <c r="C1011" s="566"/>
      <c r="D1011" s="567"/>
      <c r="E1011" s="568"/>
      <c r="F1011" s="569"/>
      <c r="G1011" s="569"/>
      <c r="H1011" s="570"/>
      <c r="I1011" s="571"/>
      <c r="J1011" s="553"/>
      <c r="K1011" s="39"/>
      <c r="L1011" s="16"/>
      <c r="M1011" s="39"/>
      <c r="N1011" s="536" t="s">
        <v>2318</v>
      </c>
    </row>
    <row r="1012" spans="1:14" s="544" customFormat="1" ht="16.5" hidden="1" customHeight="1">
      <c r="A1012" s="16"/>
      <c r="B1012" s="547"/>
      <c r="C1012" s="548">
        <v>1</v>
      </c>
      <c r="D1012" s="549" t="s">
        <v>273</v>
      </c>
      <c r="E1012" s="550">
        <v>1</v>
      </c>
      <c r="F1012" s="551">
        <v>1.2</v>
      </c>
      <c r="G1012" s="551">
        <v>0</v>
      </c>
      <c r="H1012" s="551">
        <v>0.3</v>
      </c>
      <c r="I1012" s="552">
        <f>ROUND(IF(AND(F1012:H1012),C1012*E1012*F1012*G1012*H1012,IF(AND(F1012,G1012),C1012*E1012*F1012*G1012,IF(AND(F1012,H1012),C1012*E1012*F1012*H1012,IF(AND(G1012,H1012),C1012*E1012*G1012*H1012,IF(F1012,C1012*E1012*F1012,IF(G1012,C1012*E1012*G1012,IF(H1012,C1012*E1012*H1012,C1012*E1012))))))),2)</f>
        <v>0.36</v>
      </c>
      <c r="J1012" s="553" t="s">
        <v>102</v>
      </c>
      <c r="K1012" s="39"/>
      <c r="L1012" s="16"/>
      <c r="M1012" s="39"/>
      <c r="N1012" s="536" t="s">
        <v>2318</v>
      </c>
    </row>
    <row r="1013" spans="1:14" s="544" customFormat="1" ht="16.5" hidden="1" customHeight="1">
      <c r="A1013" s="16"/>
      <c r="B1013" s="547"/>
      <c r="C1013" s="548"/>
      <c r="D1013" s="549"/>
      <c r="E1013" s="550"/>
      <c r="F1013" s="551"/>
      <c r="G1013" s="551"/>
      <c r="H1013" s="551"/>
      <c r="I1013" s="552"/>
      <c r="J1013" s="553"/>
      <c r="K1013" s="39"/>
      <c r="L1013" s="16"/>
      <c r="M1013" s="39"/>
      <c r="N1013" s="536" t="s">
        <v>2318</v>
      </c>
    </row>
    <row r="1014" spans="1:14" ht="15.75" hidden="1">
      <c r="A1014" s="16"/>
      <c r="B1014" s="39"/>
      <c r="C1014" s="554"/>
      <c r="D1014" s="555"/>
      <c r="E1014" s="540"/>
      <c r="F1014" s="541"/>
      <c r="G1014" s="40"/>
      <c r="H1014" s="16"/>
      <c r="I1014" s="552"/>
      <c r="J1014" s="553" t="s">
        <v>102</v>
      </c>
      <c r="K1014" s="10">
        <f>'door 2022-23'!H249</f>
        <v>4062</v>
      </c>
      <c r="L1014" s="208" t="s">
        <v>2437</v>
      </c>
      <c r="M1014" s="9">
        <f>ROUND(I1014*K1014,0)</f>
        <v>0</v>
      </c>
      <c r="N1014" s="536" t="s">
        <v>2318</v>
      </c>
    </row>
    <row r="1015" spans="1:14" ht="27" hidden="1" customHeight="1">
      <c r="A1015" s="16">
        <v>6</v>
      </c>
      <c r="B1015" s="1858" t="s">
        <v>1200</v>
      </c>
      <c r="C1015" s="1858"/>
      <c r="D1015" s="1858"/>
      <c r="E1015" s="1858"/>
      <c r="F1015" s="1858"/>
      <c r="G1015" s="1858"/>
      <c r="H1015" s="1858"/>
      <c r="I1015" s="537"/>
      <c r="J1015" s="538"/>
      <c r="K1015" s="16"/>
      <c r="L1015" s="16"/>
      <c r="M1015" s="38"/>
      <c r="N1015" s="536" t="s">
        <v>2318</v>
      </c>
    </row>
    <row r="1016" spans="1:14" s="544" customFormat="1" ht="16.5" hidden="1" customHeight="1">
      <c r="A1016" s="16"/>
      <c r="B1016" s="607" t="s">
        <v>2913</v>
      </c>
      <c r="C1016" s="566"/>
      <c r="D1016" s="567"/>
      <c r="E1016" s="568"/>
      <c r="F1016" s="569"/>
      <c r="G1016" s="569"/>
      <c r="H1016" s="570"/>
      <c r="I1016" s="571"/>
      <c r="J1016" s="553"/>
      <c r="K1016" s="39"/>
      <c r="L1016" s="16"/>
      <c r="M1016" s="39"/>
      <c r="N1016" s="536" t="s">
        <v>2318</v>
      </c>
    </row>
    <row r="1017" spans="1:14" s="544" customFormat="1" ht="16.5" hidden="1" customHeight="1">
      <c r="A1017" s="16"/>
      <c r="B1017" s="547"/>
      <c r="C1017" s="548">
        <v>1</v>
      </c>
      <c r="D1017" s="549" t="s">
        <v>273</v>
      </c>
      <c r="E1017" s="550">
        <v>16</v>
      </c>
      <c r="F1017" s="551">
        <v>0</v>
      </c>
      <c r="G1017" s="551">
        <v>0</v>
      </c>
      <c r="H1017" s="551">
        <v>0</v>
      </c>
      <c r="I1017" s="613">
        <f>ROUND(IF(AND(F1017:H1017),C1017*E1017*F1017*G1017*H1017,IF(AND(F1017,G1017),C1017*E1017*F1017*G1017,IF(AND(F1017,H1017),C1017*E1017*F1017*H1017,IF(AND(G1017,H1017),C1017*E1017*G1017*H1017,IF(F1017,C1017*E1017*F1017,IF(G1017,C1017*E1017*G1017,IF(H1017,C1017*E1017*H1017,C1017*E1017))))))),2)</f>
        <v>16</v>
      </c>
      <c r="J1017" s="553" t="s">
        <v>115</v>
      </c>
      <c r="K1017" s="39"/>
      <c r="L1017" s="16"/>
      <c r="M1017" s="39"/>
      <c r="N1017" s="536" t="s">
        <v>2318</v>
      </c>
    </row>
    <row r="1018" spans="1:14" s="544" customFormat="1" ht="16.5" hidden="1" customHeight="1">
      <c r="A1018" s="16"/>
      <c r="B1018" s="547"/>
      <c r="C1018" s="548"/>
      <c r="D1018" s="549"/>
      <c r="E1018" s="550"/>
      <c r="F1018" s="551"/>
      <c r="G1018" s="551"/>
      <c r="H1018" s="551"/>
      <c r="I1018" s="613"/>
      <c r="J1018" s="553"/>
      <c r="K1018" s="39"/>
      <c r="L1018" s="16"/>
      <c r="M1018" s="39"/>
      <c r="N1018" s="536" t="s">
        <v>2318</v>
      </c>
    </row>
    <row r="1019" spans="1:14" ht="15.75" hidden="1">
      <c r="A1019" s="16"/>
      <c r="B1019" s="39"/>
      <c r="C1019" s="554"/>
      <c r="D1019" s="555"/>
      <c r="E1019" s="540"/>
      <c r="F1019" s="541"/>
      <c r="G1019" s="40"/>
      <c r="H1019" s="16"/>
      <c r="I1019" s="613"/>
      <c r="J1019" s="553" t="s">
        <v>115</v>
      </c>
      <c r="K1019" s="10">
        <f>'door 2022-23'!H199</f>
        <v>577.28</v>
      </c>
      <c r="L1019" s="208" t="s">
        <v>275</v>
      </c>
      <c r="M1019" s="9">
        <f>ROUND(I1019*K1019,0)</f>
        <v>0</v>
      </c>
      <c r="N1019" s="536" t="s">
        <v>2318</v>
      </c>
    </row>
    <row r="1020" spans="1:14" ht="27" hidden="1" customHeight="1">
      <c r="A1020" s="16">
        <v>4</v>
      </c>
      <c r="B1020" s="1858" t="s">
        <v>932</v>
      </c>
      <c r="C1020" s="1858"/>
      <c r="D1020" s="1858"/>
      <c r="E1020" s="1858"/>
      <c r="F1020" s="1858"/>
      <c r="G1020" s="1858"/>
      <c r="H1020" s="1858"/>
      <c r="I1020" s="537"/>
      <c r="J1020" s="538"/>
      <c r="K1020" s="16"/>
      <c r="L1020" s="16"/>
      <c r="M1020" s="38"/>
      <c r="N1020" s="536" t="s">
        <v>2318</v>
      </c>
    </row>
    <row r="1021" spans="1:14" s="544" customFormat="1" ht="16.5" hidden="1" customHeight="1">
      <c r="A1021" s="16"/>
      <c r="B1021" s="54" t="s">
        <v>2914</v>
      </c>
      <c r="C1021" s="566"/>
      <c r="D1021" s="567"/>
      <c r="E1021" s="568"/>
      <c r="F1021" s="569"/>
      <c r="G1021" s="569"/>
      <c r="H1021" s="570"/>
      <c r="I1021" s="571"/>
      <c r="J1021" s="553"/>
      <c r="K1021" s="39"/>
      <c r="L1021" s="16"/>
      <c r="M1021" s="39"/>
      <c r="N1021" s="536" t="s">
        <v>2318</v>
      </c>
    </row>
    <row r="1022" spans="1:14" s="544" customFormat="1" ht="16.5" hidden="1" customHeight="1">
      <c r="A1022" s="16"/>
      <c r="B1022" s="547"/>
      <c r="C1022" s="548">
        <v>1</v>
      </c>
      <c r="D1022" s="549" t="s">
        <v>273</v>
      </c>
      <c r="E1022" s="550">
        <v>19</v>
      </c>
      <c r="F1022" s="551">
        <v>0.6</v>
      </c>
      <c r="G1022" s="551">
        <v>0</v>
      </c>
      <c r="H1022" s="551">
        <v>0.3</v>
      </c>
      <c r="I1022" s="552">
        <f>ROUND(IF(AND(F1022:H1022),C1022*E1022*F1022*G1022*H1022,IF(AND(F1022,G1022),C1022*E1022*F1022*G1022,IF(AND(F1022,H1022),C1022*E1022*F1022*H1022,IF(AND(G1022,H1022),C1022*E1022*G1022*H1022,IF(F1022,C1022*E1022*F1022,IF(G1022,C1022*E1022*G1022,IF(H1022,C1022*E1022*H1022,C1022*E1022))))))),2)</f>
        <v>3.42</v>
      </c>
      <c r="J1022" s="553" t="s">
        <v>102</v>
      </c>
      <c r="K1022" s="39"/>
      <c r="L1022" s="16"/>
      <c r="M1022" s="39"/>
      <c r="N1022" s="536" t="s">
        <v>2318</v>
      </c>
    </row>
    <row r="1023" spans="1:14" s="544" customFormat="1" ht="16.5" hidden="1" customHeight="1">
      <c r="A1023" s="16"/>
      <c r="B1023" s="547"/>
      <c r="C1023" s="548"/>
      <c r="D1023" s="549"/>
      <c r="E1023" s="550"/>
      <c r="F1023" s="551"/>
      <c r="G1023" s="551"/>
      <c r="H1023" s="551"/>
      <c r="I1023" s="552"/>
      <c r="J1023" s="553"/>
      <c r="K1023" s="39"/>
      <c r="L1023" s="16"/>
      <c r="M1023" s="39"/>
      <c r="N1023" s="536" t="s">
        <v>2318</v>
      </c>
    </row>
    <row r="1024" spans="1:14" ht="15.75" hidden="1">
      <c r="A1024" s="16"/>
      <c r="B1024" s="39"/>
      <c r="C1024" s="554"/>
      <c r="D1024" s="555"/>
      <c r="E1024" s="540"/>
      <c r="F1024" s="541"/>
      <c r="G1024" s="40"/>
      <c r="H1024" s="16"/>
      <c r="I1024" s="552"/>
      <c r="J1024" s="553" t="s">
        <v>102</v>
      </c>
      <c r="K1024" s="10">
        <f>'door 2022-23'!H205</f>
        <v>604.07999999999993</v>
      </c>
      <c r="L1024" s="208" t="s">
        <v>2437</v>
      </c>
      <c r="M1024" s="9">
        <f>ROUND(I1024*K1024,0)</f>
        <v>0</v>
      </c>
      <c r="N1024" s="536" t="s">
        <v>2318</v>
      </c>
    </row>
    <row r="1025" spans="1:14" ht="46.5" hidden="1" customHeight="1">
      <c r="A1025" s="16">
        <v>2</v>
      </c>
      <c r="B1025" s="1858" t="s">
        <v>185</v>
      </c>
      <c r="C1025" s="1858"/>
      <c r="D1025" s="1858"/>
      <c r="E1025" s="1858"/>
      <c r="F1025" s="1858"/>
      <c r="G1025" s="1858"/>
      <c r="H1025" s="1858"/>
      <c r="I1025" s="537"/>
      <c r="J1025" s="538"/>
      <c r="K1025" s="16"/>
      <c r="L1025" s="16"/>
      <c r="M1025" s="38"/>
      <c r="N1025" s="536" t="s">
        <v>2318</v>
      </c>
    </row>
    <row r="1026" spans="1:14" s="544" customFormat="1" ht="16.5" hidden="1" customHeight="1">
      <c r="A1026" s="16"/>
      <c r="B1026" s="39" t="s">
        <v>2915</v>
      </c>
      <c r="C1026" s="566"/>
      <c r="D1026" s="567"/>
      <c r="E1026" s="568"/>
      <c r="F1026" s="569"/>
      <c r="G1026" s="569"/>
      <c r="H1026" s="570"/>
      <c r="I1026" s="571"/>
      <c r="J1026" s="553"/>
      <c r="K1026" s="39"/>
      <c r="L1026" s="16"/>
      <c r="M1026" s="39"/>
      <c r="N1026" s="536" t="s">
        <v>2318</v>
      </c>
    </row>
    <row r="1027" spans="1:14" s="544" customFormat="1" ht="16.5" hidden="1" customHeight="1">
      <c r="A1027" s="16"/>
      <c r="B1027" s="547" t="s">
        <v>1188</v>
      </c>
      <c r="C1027" s="548">
        <v>14</v>
      </c>
      <c r="D1027" s="549" t="s">
        <v>273</v>
      </c>
      <c r="E1027" s="550">
        <v>1</v>
      </c>
      <c r="F1027" s="589">
        <v>57</v>
      </c>
      <c r="G1027" s="551">
        <v>0</v>
      </c>
      <c r="H1027" s="551">
        <v>0</v>
      </c>
      <c r="I1027" s="552">
        <f>ROUND(IF(AND(F1027:H1027),C1027*E1027*F1027*G1027*H1027,IF(AND(F1027,G1027),C1027*E1027*F1027*G1027,IF(AND(F1027,H1027),C1027*E1027*F1027*H1027,IF(AND(G1027,H1027),C1027*E1027*G1027*H1027,IF(F1027,C1027*E1027*F1027,IF(G1027,C1027*E1027*G1027,IF(H1027,C1027*E1027*H1027,C1027*E1027))))))),2)</f>
        <v>798</v>
      </c>
      <c r="J1027" s="553" t="s">
        <v>141</v>
      </c>
      <c r="K1027" s="39"/>
      <c r="L1027" s="16"/>
      <c r="M1027" s="39"/>
      <c r="N1027" s="536" t="s">
        <v>2318</v>
      </c>
    </row>
    <row r="1028" spans="1:14" s="544" customFormat="1" ht="16.5" hidden="1" customHeight="1">
      <c r="A1028" s="16"/>
      <c r="B1028" s="547"/>
      <c r="C1028" s="548"/>
      <c r="D1028" s="549"/>
      <c r="E1028" s="550"/>
      <c r="F1028" s="551"/>
      <c r="G1028" s="551"/>
      <c r="H1028" s="551"/>
      <c r="I1028" s="552"/>
      <c r="J1028" s="553"/>
      <c r="K1028" s="39"/>
      <c r="L1028" s="16"/>
      <c r="M1028" s="39"/>
      <c r="N1028" s="536" t="s">
        <v>2318</v>
      </c>
    </row>
    <row r="1029" spans="1:14" ht="15.75" hidden="1">
      <c r="A1029" s="16"/>
      <c r="B1029" s="39"/>
      <c r="C1029" s="554"/>
      <c r="D1029" s="555"/>
      <c r="E1029" s="540"/>
      <c r="F1029" s="541"/>
      <c r="G1029" s="40"/>
      <c r="H1029" s="16"/>
      <c r="I1029" s="552"/>
      <c r="J1029" s="553" t="s">
        <v>4</v>
      </c>
      <c r="K1029" s="10">
        <f>'data 2022-23'!G303</f>
        <v>110.38</v>
      </c>
      <c r="L1029" s="208" t="s">
        <v>2439</v>
      </c>
      <c r="M1029" s="9">
        <f>ROUND(I1029*K1029,0)</f>
        <v>0</v>
      </c>
      <c r="N1029" s="536" t="s">
        <v>2318</v>
      </c>
    </row>
    <row r="1030" spans="1:14" ht="65.25" hidden="1" customHeight="1">
      <c r="A1030" s="16">
        <v>7</v>
      </c>
      <c r="B1030" s="1858" t="s">
        <v>933</v>
      </c>
      <c r="C1030" s="1858"/>
      <c r="D1030" s="1858"/>
      <c r="E1030" s="1858"/>
      <c r="F1030" s="1858"/>
      <c r="G1030" s="1858"/>
      <c r="H1030" s="1858"/>
      <c r="I1030" s="537"/>
      <c r="J1030" s="538"/>
      <c r="K1030" s="16"/>
      <c r="L1030" s="16"/>
      <c r="M1030" s="38"/>
      <c r="N1030" s="536" t="s">
        <v>2318</v>
      </c>
    </row>
    <row r="1031" spans="1:14" s="544" customFormat="1" ht="16.5" hidden="1" customHeight="1">
      <c r="A1031" s="16"/>
      <c r="B1031" s="39" t="s">
        <v>2870</v>
      </c>
      <c r="C1031" s="566"/>
      <c r="D1031" s="567"/>
      <c r="E1031" s="568"/>
      <c r="F1031" s="569"/>
      <c r="G1031" s="569"/>
      <c r="H1031" s="570"/>
      <c r="I1031" s="571"/>
      <c r="J1031" s="553"/>
      <c r="K1031" s="39"/>
      <c r="L1031" s="16"/>
      <c r="M1031" s="39"/>
      <c r="N1031" s="536" t="s">
        <v>2318</v>
      </c>
    </row>
    <row r="1032" spans="1:14" s="544" customFormat="1" ht="16.5" hidden="1" customHeight="1">
      <c r="A1032" s="16"/>
      <c r="B1032" s="582" t="s">
        <v>1537</v>
      </c>
      <c r="C1032" s="583">
        <v>1</v>
      </c>
      <c r="D1032" s="584" t="s">
        <v>273</v>
      </c>
      <c r="E1032" s="585">
        <v>11</v>
      </c>
      <c r="F1032" s="586">
        <v>1.5</v>
      </c>
      <c r="G1032" s="586">
        <v>0</v>
      </c>
      <c r="H1032" s="586">
        <v>1.35</v>
      </c>
      <c r="I1032" s="552">
        <f>ROUND(IF(AND(F1032:H1032),C1032*E1032*F1032*G1032*H1032,IF(AND(F1032,G1032),C1032*E1032*F1032*G1032,IF(AND(F1032,H1032),C1032*E1032*F1032*H1032,IF(AND(G1032,H1032),C1032*E1032*G1032*H1032,IF(F1032,C1032*E1032*F1032,IF(G1032,C1032*E1032*G1032,IF(H1032,C1032*E1032*H1032,C1032*E1032))))))),2)</f>
        <v>22.28</v>
      </c>
      <c r="J1032" s="553" t="s">
        <v>102</v>
      </c>
      <c r="K1032" s="39"/>
      <c r="L1032" s="16"/>
      <c r="M1032" s="39"/>
      <c r="N1032" s="536" t="s">
        <v>2318</v>
      </c>
    </row>
    <row r="1033" spans="1:14" s="544" customFormat="1" ht="16.5" hidden="1" customHeight="1">
      <c r="A1033" s="16"/>
      <c r="B1033" s="582"/>
      <c r="C1033" s="583">
        <v>1</v>
      </c>
      <c r="D1033" s="584" t="s">
        <v>273</v>
      </c>
      <c r="E1033" s="585">
        <v>1</v>
      </c>
      <c r="F1033" s="586">
        <v>1.59</v>
      </c>
      <c r="G1033" s="586">
        <v>0</v>
      </c>
      <c r="H1033" s="586">
        <v>1.35</v>
      </c>
      <c r="I1033" s="552">
        <f>ROUND(IF(AND(F1033:H1033),C1033*E1033*F1033*G1033*H1033,IF(AND(F1033,G1033),C1033*E1033*F1033*G1033,IF(AND(F1033,H1033),C1033*E1033*F1033*H1033,IF(AND(G1033,H1033),C1033*E1033*G1033*H1033,IF(F1033,C1033*E1033*F1033,IF(G1033,C1033*E1033*G1033,IF(H1033,C1033*E1033*H1033,C1033*E1033))))))),2)</f>
        <v>2.15</v>
      </c>
      <c r="J1033" s="553" t="s">
        <v>102</v>
      </c>
      <c r="K1033" s="39"/>
      <c r="L1033" s="16"/>
      <c r="M1033" s="39"/>
      <c r="N1033" s="536" t="s">
        <v>2318</v>
      </c>
    </row>
    <row r="1034" spans="1:14" s="544" customFormat="1" ht="16.5" hidden="1" customHeight="1">
      <c r="A1034" s="16"/>
      <c r="B1034" s="582"/>
      <c r="C1034" s="583">
        <v>1</v>
      </c>
      <c r="D1034" s="584" t="s">
        <v>273</v>
      </c>
      <c r="E1034" s="585">
        <v>2</v>
      </c>
      <c r="F1034" s="586">
        <v>1.5</v>
      </c>
      <c r="G1034" s="586">
        <v>0</v>
      </c>
      <c r="H1034" s="586">
        <v>1.35</v>
      </c>
      <c r="I1034" s="552">
        <f>ROUND(IF(AND(F1034:H1034),C1034*E1034*F1034*G1034*H1034,IF(AND(F1034,G1034),C1034*E1034*F1034*G1034,IF(AND(F1034,H1034),C1034*E1034*F1034*H1034,IF(AND(G1034,H1034),C1034*E1034*G1034*H1034,IF(F1034,C1034*E1034*F1034,IF(G1034,C1034*E1034*G1034,IF(H1034,C1034*E1034*H1034,C1034*E1034))))))),2)</f>
        <v>4.05</v>
      </c>
      <c r="J1034" s="553" t="s">
        <v>102</v>
      </c>
      <c r="K1034" s="39"/>
      <c r="L1034" s="16"/>
      <c r="M1034" s="39"/>
      <c r="N1034" s="536" t="s">
        <v>2318</v>
      </c>
    </row>
    <row r="1035" spans="1:14" s="544" customFormat="1" ht="16.5" hidden="1" customHeight="1">
      <c r="A1035" s="16"/>
      <c r="B1035" s="547"/>
      <c r="C1035" s="548"/>
      <c r="D1035" s="549"/>
      <c r="E1035" s="550"/>
      <c r="F1035" s="551"/>
      <c r="G1035" s="551"/>
      <c r="H1035" s="551"/>
      <c r="I1035" s="552"/>
      <c r="J1035" s="553"/>
      <c r="K1035" s="39"/>
      <c r="L1035" s="16"/>
      <c r="M1035" s="39"/>
      <c r="N1035" s="536" t="s">
        <v>2318</v>
      </c>
    </row>
    <row r="1036" spans="1:14" ht="15.75" hidden="1">
      <c r="A1036" s="16"/>
      <c r="B1036" s="39"/>
      <c r="C1036" s="554"/>
      <c r="D1036" s="555"/>
      <c r="E1036" s="540"/>
      <c r="F1036" s="541"/>
      <c r="G1036" s="40"/>
      <c r="H1036" s="16"/>
      <c r="I1036" s="552"/>
      <c r="J1036" s="553" t="s">
        <v>102</v>
      </c>
      <c r="K1036" s="10">
        <f>'data 2022-23'!G311</f>
        <v>3130</v>
      </c>
      <c r="L1036" s="208" t="s">
        <v>2437</v>
      </c>
      <c r="M1036" s="9">
        <f>ROUND(I1036*K1036,0)</f>
        <v>0</v>
      </c>
      <c r="N1036" s="536" t="s">
        <v>2318</v>
      </c>
    </row>
    <row r="1037" spans="1:14" ht="42.75" hidden="1" customHeight="1">
      <c r="A1037" s="16">
        <v>51</v>
      </c>
      <c r="B1037" s="1858" t="s">
        <v>626</v>
      </c>
      <c r="C1037" s="1858"/>
      <c r="D1037" s="1858"/>
      <c r="E1037" s="1858"/>
      <c r="F1037" s="1858"/>
      <c r="G1037" s="1858"/>
      <c r="H1037" s="1858"/>
      <c r="I1037" s="537"/>
      <c r="J1037" s="538"/>
      <c r="K1037" s="16"/>
      <c r="L1037" s="16"/>
      <c r="M1037" s="38"/>
      <c r="N1037" s="536" t="s">
        <v>2318</v>
      </c>
    </row>
    <row r="1038" spans="1:14" s="544" customFormat="1" ht="16.5" hidden="1" customHeight="1">
      <c r="A1038" s="16"/>
      <c r="B1038" s="39" t="s">
        <v>3091</v>
      </c>
      <c r="C1038" s="566"/>
      <c r="D1038" s="567"/>
      <c r="E1038" s="568"/>
      <c r="F1038" s="569"/>
      <c r="G1038" s="569"/>
      <c r="H1038" s="570"/>
      <c r="I1038" s="571"/>
      <c r="J1038" s="553"/>
      <c r="K1038" s="39"/>
      <c r="L1038" s="16"/>
      <c r="M1038" s="39"/>
      <c r="N1038" s="536" t="s">
        <v>2318</v>
      </c>
    </row>
    <row r="1039" spans="1:14" s="544" customFormat="1" ht="16.5" hidden="1" customHeight="1">
      <c r="A1039" s="16"/>
      <c r="B1039" s="547" t="s">
        <v>3090</v>
      </c>
      <c r="C1039" s="548">
        <v>1</v>
      </c>
      <c r="D1039" s="549" t="s">
        <v>273</v>
      </c>
      <c r="E1039" s="550">
        <v>1</v>
      </c>
      <c r="F1039" s="589">
        <v>295</v>
      </c>
      <c r="G1039" s="551">
        <v>0</v>
      </c>
      <c r="H1039" s="551">
        <v>0</v>
      </c>
      <c r="I1039" s="552">
        <f>ROUND(IF(AND(F1039:H1039),C1039*E1039*F1039*G1039*H1039,IF(AND(F1039,G1039),C1039*E1039*F1039*G1039,IF(AND(F1039,H1039),C1039*E1039*F1039*H1039,IF(AND(G1039,H1039),C1039*E1039*G1039*H1039,IF(F1039,C1039*E1039*F1039,IF(G1039,C1039*E1039*G1039,IF(H1039,C1039*E1039*H1039,C1039*E1039))))))),2)</f>
        <v>295</v>
      </c>
      <c r="J1039" s="553" t="s">
        <v>141</v>
      </c>
      <c r="K1039" s="39"/>
      <c r="L1039" s="16"/>
      <c r="M1039" s="39"/>
      <c r="N1039" s="536" t="s">
        <v>2318</v>
      </c>
    </row>
    <row r="1040" spans="1:14" s="544" customFormat="1" ht="16.5" hidden="1" customHeight="1">
      <c r="A1040" s="16"/>
      <c r="B1040" s="547"/>
      <c r="C1040" s="548"/>
      <c r="D1040" s="549"/>
      <c r="E1040" s="550"/>
      <c r="F1040" s="589"/>
      <c r="G1040" s="551"/>
      <c r="H1040" s="551"/>
      <c r="I1040" s="552"/>
      <c r="J1040" s="553"/>
      <c r="K1040" s="39"/>
      <c r="L1040" s="16"/>
      <c r="M1040" s="39"/>
      <c r="N1040" s="536" t="s">
        <v>2318</v>
      </c>
    </row>
    <row r="1041" spans="1:14" ht="15.75" hidden="1">
      <c r="A1041" s="16"/>
      <c r="B1041" s="39"/>
      <c r="C1041" s="554"/>
      <c r="D1041" s="555"/>
      <c r="E1041" s="540"/>
      <c r="F1041" s="541"/>
      <c r="G1041" s="40"/>
      <c r="H1041" s="16"/>
      <c r="I1041" s="552"/>
      <c r="J1041" s="553" t="s">
        <v>141</v>
      </c>
      <c r="K1041" s="10">
        <f>'data 2022-23'!G318</f>
        <v>126.9</v>
      </c>
      <c r="L1041" s="208" t="s">
        <v>2439</v>
      </c>
      <c r="M1041" s="9">
        <f>ROUND(I1041*K1041,0)</f>
        <v>0</v>
      </c>
      <c r="N1041" s="536" t="s">
        <v>2318</v>
      </c>
    </row>
    <row r="1042" spans="1:14" s="956" customFormat="1" ht="132" customHeight="1">
      <c r="A1042" s="951">
        <v>2</v>
      </c>
      <c r="B1042" s="1868" t="s">
        <v>928</v>
      </c>
      <c r="C1042" s="1868"/>
      <c r="D1042" s="1868"/>
      <c r="E1042" s="1868"/>
      <c r="F1042" s="1868"/>
      <c r="G1042" s="1868"/>
      <c r="H1042" s="1868"/>
      <c r="I1042" s="952"/>
      <c r="J1042" s="953"/>
      <c r="K1042" s="951"/>
      <c r="L1042" s="951"/>
      <c r="M1042" s="954"/>
      <c r="N1042" s="955" t="s">
        <v>2318</v>
      </c>
    </row>
    <row r="1043" spans="1:14" s="965" customFormat="1" ht="16.5" customHeight="1">
      <c r="A1043" s="951"/>
      <c r="B1043" s="957" t="s">
        <v>3128</v>
      </c>
      <c r="C1043" s="958"/>
      <c r="D1043" s="959"/>
      <c r="E1043" s="960"/>
      <c r="F1043" s="961"/>
      <c r="G1043" s="961"/>
      <c r="H1043" s="962"/>
      <c r="I1043" s="963"/>
      <c r="J1043" s="964"/>
      <c r="K1043" s="957"/>
      <c r="L1043" s="951"/>
      <c r="M1043" s="957"/>
      <c r="N1043" s="955" t="s">
        <v>2318</v>
      </c>
    </row>
    <row r="1044" spans="1:14" s="965" customFormat="1" ht="16.5" customHeight="1">
      <c r="A1044" s="951"/>
      <c r="B1044" s="972"/>
      <c r="C1044" s="973">
        <v>1</v>
      </c>
      <c r="D1044" s="974" t="s">
        <v>273</v>
      </c>
      <c r="E1044" s="975">
        <v>1</v>
      </c>
      <c r="F1044" s="986">
        <v>3.8</v>
      </c>
      <c r="G1044" s="976">
        <v>0</v>
      </c>
      <c r="H1044" s="976">
        <v>0.9</v>
      </c>
      <c r="I1044" s="971">
        <f>ROUND(IF(AND(F1044:H1044),C1044*E1044*F1044*G1044*H1044,IF(AND(F1044,G1044),C1044*E1044*F1044*G1044,IF(AND(F1044,H1044),C1044*E1044*F1044*H1044,IF(AND(G1044,H1044),C1044*E1044*G1044*H1044,IF(F1044,C1044*E1044*F1044,IF(G1044,C1044*E1044*G1044,IF(H1044,C1044*E1044*H1044,C1044*E1044))))))),2)</f>
        <v>3.42</v>
      </c>
      <c r="J1044" s="964" t="s">
        <v>102</v>
      </c>
      <c r="K1044" s="957"/>
      <c r="L1044" s="951"/>
      <c r="M1044" s="957"/>
      <c r="N1044" s="955" t="s">
        <v>2318</v>
      </c>
    </row>
    <row r="1045" spans="1:14" s="965" customFormat="1" ht="16.5" customHeight="1">
      <c r="A1045" s="951"/>
      <c r="B1045" s="972"/>
      <c r="C1045" s="973">
        <v>1</v>
      </c>
      <c r="D1045" s="974" t="s">
        <v>273</v>
      </c>
      <c r="E1045" s="975">
        <v>1</v>
      </c>
      <c r="F1045" s="986">
        <v>3.9</v>
      </c>
      <c r="G1045" s="976">
        <v>0</v>
      </c>
      <c r="H1045" s="976">
        <v>0.9</v>
      </c>
      <c r="I1045" s="971">
        <f t="shared" ref="I1045:I1049" si="8">ROUND(IF(AND(F1045:H1045),C1045*E1045*F1045*G1045*H1045,IF(AND(F1045,G1045),C1045*E1045*F1045*G1045,IF(AND(F1045,H1045),C1045*E1045*F1045*H1045,IF(AND(G1045,H1045),C1045*E1045*G1045*H1045,IF(F1045,C1045*E1045*F1045,IF(G1045,C1045*E1045*G1045,IF(H1045,C1045*E1045*H1045,C1045*E1045))))))),2)</f>
        <v>3.51</v>
      </c>
      <c r="J1045" s="964" t="s">
        <v>102</v>
      </c>
      <c r="K1045" s="957"/>
      <c r="L1045" s="951"/>
      <c r="M1045" s="957"/>
      <c r="N1045" s="955" t="s">
        <v>2318</v>
      </c>
    </row>
    <row r="1046" spans="1:14" s="965" customFormat="1" ht="16.5" customHeight="1">
      <c r="A1046" s="951"/>
      <c r="B1046" s="972"/>
      <c r="C1046" s="973">
        <v>1</v>
      </c>
      <c r="D1046" s="974" t="s">
        <v>273</v>
      </c>
      <c r="E1046" s="975">
        <v>1</v>
      </c>
      <c r="F1046" s="986">
        <v>4.25</v>
      </c>
      <c r="G1046" s="976">
        <v>0</v>
      </c>
      <c r="H1046" s="976">
        <v>0.9</v>
      </c>
      <c r="I1046" s="971">
        <f t="shared" si="8"/>
        <v>3.83</v>
      </c>
      <c r="J1046" s="964" t="s">
        <v>102</v>
      </c>
      <c r="K1046" s="957"/>
      <c r="L1046" s="951"/>
      <c r="M1046" s="957"/>
      <c r="N1046" s="955" t="s">
        <v>2318</v>
      </c>
    </row>
    <row r="1047" spans="1:14" s="965" customFormat="1" ht="16.5" customHeight="1">
      <c r="A1047" s="951"/>
      <c r="B1047" s="972"/>
      <c r="C1047" s="973">
        <v>1</v>
      </c>
      <c r="D1047" s="974" t="s">
        <v>273</v>
      </c>
      <c r="E1047" s="975">
        <v>1</v>
      </c>
      <c r="F1047" s="986">
        <v>5</v>
      </c>
      <c r="G1047" s="976">
        <v>0</v>
      </c>
      <c r="H1047" s="976">
        <v>0.9</v>
      </c>
      <c r="I1047" s="971">
        <f t="shared" si="8"/>
        <v>4.5</v>
      </c>
      <c r="J1047" s="964" t="s">
        <v>102</v>
      </c>
      <c r="K1047" s="957"/>
      <c r="L1047" s="951"/>
      <c r="M1047" s="957"/>
      <c r="N1047" s="955" t="s">
        <v>2318</v>
      </c>
    </row>
    <row r="1048" spans="1:14" s="965" customFormat="1" ht="16.5" customHeight="1">
      <c r="A1048" s="951"/>
      <c r="B1048" s="972"/>
      <c r="C1048" s="973">
        <v>1</v>
      </c>
      <c r="D1048" s="974" t="s">
        <v>273</v>
      </c>
      <c r="E1048" s="975">
        <v>1</v>
      </c>
      <c r="F1048" s="986">
        <v>3.85</v>
      </c>
      <c r="G1048" s="976">
        <v>0</v>
      </c>
      <c r="H1048" s="976">
        <v>0.9</v>
      </c>
      <c r="I1048" s="971">
        <f t="shared" si="8"/>
        <v>3.47</v>
      </c>
      <c r="J1048" s="964" t="s">
        <v>102</v>
      </c>
      <c r="K1048" s="957"/>
      <c r="L1048" s="951"/>
      <c r="M1048" s="957"/>
      <c r="N1048" s="955" t="s">
        <v>2318</v>
      </c>
    </row>
    <row r="1049" spans="1:14" s="965" customFormat="1" ht="16.5" customHeight="1">
      <c r="A1049" s="951"/>
      <c r="B1049" s="972"/>
      <c r="C1049" s="973">
        <v>1</v>
      </c>
      <c r="D1049" s="974" t="s">
        <v>273</v>
      </c>
      <c r="E1049" s="975">
        <v>1</v>
      </c>
      <c r="F1049" s="986">
        <v>3.5</v>
      </c>
      <c r="G1049" s="976">
        <v>0</v>
      </c>
      <c r="H1049" s="976">
        <v>0.9</v>
      </c>
      <c r="I1049" s="971">
        <f t="shared" si="8"/>
        <v>3.15</v>
      </c>
      <c r="J1049" s="964" t="s">
        <v>102</v>
      </c>
      <c r="K1049" s="957"/>
      <c r="L1049" s="951"/>
      <c r="M1049" s="957"/>
      <c r="N1049" s="955" t="s">
        <v>2318</v>
      </c>
    </row>
    <row r="1050" spans="1:14" s="965" customFormat="1" ht="16.5" customHeight="1">
      <c r="A1050" s="951"/>
      <c r="B1050" s="972"/>
      <c r="C1050" s="973"/>
      <c r="D1050" s="974"/>
      <c r="E1050" s="975"/>
      <c r="F1050" s="986"/>
      <c r="G1050" s="976"/>
      <c r="H1050" s="976"/>
      <c r="I1050" s="971"/>
      <c r="J1050" s="964"/>
      <c r="K1050" s="957"/>
      <c r="L1050" s="951"/>
      <c r="M1050" s="957"/>
      <c r="N1050" s="955" t="s">
        <v>2318</v>
      </c>
    </row>
    <row r="1051" spans="1:14" s="956" customFormat="1" ht="15.75">
      <c r="A1051" s="951"/>
      <c r="B1051" s="957"/>
      <c r="C1051" s="977"/>
      <c r="D1051" s="978"/>
      <c r="E1051" s="979"/>
      <c r="F1051" s="980"/>
      <c r="G1051" s="981"/>
      <c r="H1051" s="951"/>
      <c r="I1051" s="971"/>
      <c r="J1051" s="964" t="s">
        <v>102</v>
      </c>
      <c r="K1051" s="982">
        <f>'data 2022-23'!G332</f>
        <v>3345.94</v>
      </c>
      <c r="L1051" s="983" t="s">
        <v>2437</v>
      </c>
      <c r="M1051" s="984">
        <f>ROUND(I1051*K1051,0)</f>
        <v>0</v>
      </c>
      <c r="N1051" s="955" t="s">
        <v>2318</v>
      </c>
    </row>
    <row r="1052" spans="1:14" ht="96.75" hidden="1" customHeight="1">
      <c r="A1052" s="16">
        <v>4</v>
      </c>
      <c r="B1052" s="1858" t="s">
        <v>1638</v>
      </c>
      <c r="C1052" s="1858"/>
      <c r="D1052" s="1858"/>
      <c r="E1052" s="1858"/>
      <c r="F1052" s="1858"/>
      <c r="G1052" s="1858"/>
      <c r="H1052" s="1858"/>
      <c r="I1052" s="537"/>
      <c r="J1052" s="538"/>
      <c r="K1052" s="16"/>
      <c r="L1052" s="16"/>
      <c r="M1052" s="38"/>
      <c r="N1052" s="536" t="s">
        <v>2318</v>
      </c>
    </row>
    <row r="1053" spans="1:14" s="544" customFormat="1" ht="16.5" hidden="1" customHeight="1">
      <c r="A1053" s="16"/>
      <c r="B1053" s="39" t="s">
        <v>2916</v>
      </c>
      <c r="C1053" s="566"/>
      <c r="D1053" s="567"/>
      <c r="E1053" s="568"/>
      <c r="F1053" s="569"/>
      <c r="G1053" s="569"/>
      <c r="H1053" s="570"/>
      <c r="I1053" s="571"/>
      <c r="J1053" s="553"/>
      <c r="K1053" s="39"/>
      <c r="L1053" s="16"/>
      <c r="M1053" s="39"/>
      <c r="N1053" s="536" t="s">
        <v>2318</v>
      </c>
    </row>
    <row r="1054" spans="1:14" s="544" customFormat="1" ht="16.5" hidden="1" customHeight="1">
      <c r="A1054" s="16"/>
      <c r="B1054" s="547" t="s">
        <v>578</v>
      </c>
      <c r="C1054" s="548">
        <v>1</v>
      </c>
      <c r="D1054" s="549" t="s">
        <v>273</v>
      </c>
      <c r="E1054" s="550">
        <v>1</v>
      </c>
      <c r="F1054" s="589">
        <v>3.3</v>
      </c>
      <c r="G1054" s="551">
        <v>0</v>
      </c>
      <c r="H1054" s="551">
        <v>0.87</v>
      </c>
      <c r="I1054" s="552">
        <f>ROUND(IF(AND(F1054:H1054),C1054*E1054*F1054*G1054*H1054,IF(AND(F1054,G1054),C1054*E1054*F1054*G1054,IF(AND(F1054,H1054),C1054*E1054*F1054*H1054,IF(AND(G1054,H1054),C1054*E1054*G1054*H1054,IF(F1054,C1054*E1054*F1054,IF(G1054,C1054*E1054*G1054,IF(H1054,C1054*E1054*H1054,C1054*E1054))))))),2)</f>
        <v>2.87</v>
      </c>
      <c r="J1054" s="553" t="s">
        <v>102</v>
      </c>
      <c r="K1054" s="39"/>
      <c r="L1054" s="16"/>
      <c r="M1054" s="39"/>
      <c r="N1054" s="536" t="s">
        <v>2318</v>
      </c>
    </row>
    <row r="1055" spans="1:14" s="544" customFormat="1" ht="16.5" hidden="1" customHeight="1">
      <c r="A1055" s="16"/>
      <c r="B1055" s="547"/>
      <c r="C1055" s="548">
        <v>1</v>
      </c>
      <c r="D1055" s="549" t="s">
        <v>273</v>
      </c>
      <c r="E1055" s="550">
        <v>1</v>
      </c>
      <c r="F1055" s="589">
        <v>1</v>
      </c>
      <c r="G1055" s="551">
        <v>0</v>
      </c>
      <c r="H1055" s="551">
        <v>0.87</v>
      </c>
      <c r="I1055" s="552">
        <f>ROUND(IF(AND(F1055:H1055),C1055*E1055*F1055*G1055*H1055,IF(AND(F1055,G1055),C1055*E1055*F1055*G1055,IF(AND(F1055,H1055),C1055*E1055*F1055*H1055,IF(AND(G1055,H1055),C1055*E1055*G1055*H1055,IF(F1055,C1055*E1055*F1055,IF(G1055,C1055*E1055*G1055,IF(H1055,C1055*E1055*H1055,C1055*E1055))))))),2)</f>
        <v>0.87</v>
      </c>
      <c r="J1055" s="553" t="s">
        <v>102</v>
      </c>
      <c r="K1055" s="39"/>
      <c r="L1055" s="16"/>
      <c r="M1055" s="39"/>
      <c r="N1055" s="536" t="s">
        <v>2318</v>
      </c>
    </row>
    <row r="1056" spans="1:14" s="544" customFormat="1" ht="16.5" hidden="1" customHeight="1">
      <c r="A1056" s="16"/>
      <c r="B1056" s="547" t="s">
        <v>654</v>
      </c>
      <c r="C1056" s="548">
        <v>1</v>
      </c>
      <c r="D1056" s="549" t="s">
        <v>273</v>
      </c>
      <c r="E1056" s="550">
        <v>1</v>
      </c>
      <c r="F1056" s="589">
        <v>1.45</v>
      </c>
      <c r="G1056" s="551">
        <v>0</v>
      </c>
      <c r="H1056" s="551">
        <v>0.87</v>
      </c>
      <c r="I1056" s="552">
        <f>ROUND(IF(AND(F1056:H1056),C1056*E1056*F1056*G1056*H1056,IF(AND(F1056,G1056),C1056*E1056*F1056*G1056,IF(AND(F1056,H1056),C1056*E1056*F1056*H1056,IF(AND(G1056,H1056),C1056*E1056*G1056*H1056,IF(F1056,C1056*E1056*F1056,IF(G1056,C1056*E1056*G1056,IF(H1056,C1056*E1056*H1056,C1056*E1056))))))),2)</f>
        <v>1.26</v>
      </c>
      <c r="J1056" s="553" t="s">
        <v>102</v>
      </c>
      <c r="K1056" s="39"/>
      <c r="L1056" s="16"/>
      <c r="M1056" s="39"/>
      <c r="N1056" s="536" t="s">
        <v>2318</v>
      </c>
    </row>
    <row r="1057" spans="1:14" s="544" customFormat="1" ht="16.5" hidden="1" customHeight="1">
      <c r="A1057" s="16"/>
      <c r="B1057" s="547"/>
      <c r="C1057" s="548">
        <v>1</v>
      </c>
      <c r="D1057" s="549" t="s">
        <v>273</v>
      </c>
      <c r="E1057" s="550">
        <v>1</v>
      </c>
      <c r="F1057" s="589">
        <v>2.57</v>
      </c>
      <c r="G1057" s="551">
        <v>0</v>
      </c>
      <c r="H1057" s="551">
        <v>0.87</v>
      </c>
      <c r="I1057" s="552">
        <f>ROUND(IF(AND(F1057:H1057),C1057*E1057*F1057*G1057*H1057,IF(AND(F1057,G1057),C1057*E1057*F1057*G1057,IF(AND(F1057,H1057),C1057*E1057*F1057*H1057,IF(AND(G1057,H1057),C1057*E1057*G1057*H1057,IF(F1057,C1057*E1057*F1057,IF(G1057,C1057*E1057*G1057,IF(H1057,C1057*E1057*H1057,C1057*E1057))))))),2)</f>
        <v>2.2400000000000002</v>
      </c>
      <c r="J1057" s="553" t="s">
        <v>102</v>
      </c>
      <c r="K1057" s="39"/>
      <c r="L1057" s="16"/>
      <c r="M1057" s="39"/>
      <c r="N1057" s="536" t="s">
        <v>2318</v>
      </c>
    </row>
    <row r="1058" spans="1:14" s="544" customFormat="1" ht="16.5" hidden="1" customHeight="1">
      <c r="A1058" s="16"/>
      <c r="B1058" s="547"/>
      <c r="C1058" s="548"/>
      <c r="D1058" s="549"/>
      <c r="E1058" s="550"/>
      <c r="F1058" s="589"/>
      <c r="G1058" s="551"/>
      <c r="H1058" s="551"/>
      <c r="I1058" s="552"/>
      <c r="J1058" s="553"/>
      <c r="K1058" s="39"/>
      <c r="L1058" s="16"/>
      <c r="M1058" s="39"/>
      <c r="N1058" s="536" t="s">
        <v>2318</v>
      </c>
    </row>
    <row r="1059" spans="1:14" ht="15.75" hidden="1">
      <c r="A1059" s="16"/>
      <c r="B1059" s="39"/>
      <c r="C1059" s="554"/>
      <c r="D1059" s="555"/>
      <c r="E1059" s="540"/>
      <c r="F1059" s="541"/>
      <c r="G1059" s="40"/>
      <c r="H1059" s="16"/>
      <c r="I1059" s="552"/>
      <c r="J1059" s="553" t="s">
        <v>102</v>
      </c>
      <c r="K1059" s="10">
        <f>'data 2022-23'!G343</f>
        <v>1514.34</v>
      </c>
      <c r="L1059" s="208" t="s">
        <v>2437</v>
      </c>
      <c r="M1059" s="9">
        <f>ROUND(I1059*K1059,0)</f>
        <v>0</v>
      </c>
      <c r="N1059" s="536" t="s">
        <v>2318</v>
      </c>
    </row>
    <row r="1060" spans="1:14" ht="31.5" hidden="1" customHeight="1">
      <c r="A1060" s="16">
        <v>4</v>
      </c>
      <c r="B1060" s="1858" t="s">
        <v>2295</v>
      </c>
      <c r="C1060" s="1858"/>
      <c r="D1060" s="1858"/>
      <c r="E1060" s="1858"/>
      <c r="F1060" s="1858"/>
      <c r="G1060" s="1858"/>
      <c r="H1060" s="1858"/>
      <c r="I1060" s="537"/>
      <c r="J1060" s="538"/>
      <c r="K1060" s="16"/>
      <c r="L1060" s="16"/>
      <c r="M1060" s="38"/>
      <c r="N1060" s="536" t="s">
        <v>2318</v>
      </c>
    </row>
    <row r="1061" spans="1:14" s="544" customFormat="1" ht="16.5" hidden="1" customHeight="1">
      <c r="A1061" s="16"/>
      <c r="B1061" s="39" t="s">
        <v>2916</v>
      </c>
      <c r="C1061" s="566"/>
      <c r="D1061" s="567"/>
      <c r="E1061" s="568"/>
      <c r="F1061" s="569"/>
      <c r="G1061" s="569"/>
      <c r="H1061" s="570"/>
      <c r="I1061" s="571"/>
      <c r="J1061" s="553"/>
      <c r="K1061" s="39"/>
      <c r="L1061" s="16"/>
      <c r="M1061" s="39"/>
      <c r="N1061" s="536" t="s">
        <v>2318</v>
      </c>
    </row>
    <row r="1062" spans="1:14" s="544" customFormat="1" ht="16.5" hidden="1" customHeight="1">
      <c r="A1062" s="16"/>
      <c r="B1062" s="547"/>
      <c r="C1062" s="548">
        <v>1</v>
      </c>
      <c r="D1062" s="549" t="s">
        <v>273</v>
      </c>
      <c r="E1062" s="550">
        <v>1</v>
      </c>
      <c r="F1062" s="589">
        <v>0.5</v>
      </c>
      <c r="G1062" s="551">
        <v>0</v>
      </c>
      <c r="H1062" s="551">
        <v>0</v>
      </c>
      <c r="I1062" s="552">
        <f>ROUND(IF(AND(F1062:H1062),C1062*E1062*F1062*G1062*H1062,IF(AND(F1062,G1062),C1062*E1062*F1062*G1062,IF(AND(F1062,H1062),C1062*E1062*F1062*H1062,IF(AND(G1062,H1062),C1062*E1062*G1062*H1062,IF(F1062,C1062*E1062*F1062,IF(G1062,C1062*E1062*G1062,IF(H1062,C1062*E1062*H1062,C1062*E1062))))))),2)</f>
        <v>0.5</v>
      </c>
      <c r="J1062" s="553" t="s">
        <v>4</v>
      </c>
      <c r="K1062" s="39"/>
      <c r="L1062" s="16"/>
      <c r="M1062" s="39"/>
      <c r="N1062" s="536" t="s">
        <v>2318</v>
      </c>
    </row>
    <row r="1063" spans="1:14" s="544" customFormat="1" ht="16.5" hidden="1" customHeight="1">
      <c r="A1063" s="16"/>
      <c r="B1063" s="547"/>
      <c r="C1063" s="548"/>
      <c r="D1063" s="549"/>
      <c r="E1063" s="550"/>
      <c r="F1063" s="589"/>
      <c r="G1063" s="551"/>
      <c r="H1063" s="551"/>
      <c r="I1063" s="552"/>
      <c r="J1063" s="553"/>
      <c r="K1063" s="39"/>
      <c r="L1063" s="16"/>
      <c r="M1063" s="39"/>
      <c r="N1063" s="536" t="s">
        <v>2318</v>
      </c>
    </row>
    <row r="1064" spans="1:14" ht="15.75" hidden="1">
      <c r="A1064" s="16"/>
      <c r="B1064" s="39"/>
      <c r="C1064" s="554"/>
      <c r="D1064" s="555"/>
      <c r="E1064" s="540"/>
      <c r="F1064" s="541"/>
      <c r="G1064" s="40"/>
      <c r="H1064" s="16"/>
      <c r="I1064" s="552"/>
      <c r="J1064" s="553" t="s">
        <v>4</v>
      </c>
      <c r="K1064" s="10">
        <f>'data 2022-23'!G347</f>
        <v>568.35</v>
      </c>
      <c r="L1064" s="208" t="s">
        <v>2439</v>
      </c>
      <c r="M1064" s="9">
        <f>ROUND(I1064*K1064,0)</f>
        <v>0</v>
      </c>
      <c r="N1064" s="536" t="s">
        <v>2318</v>
      </c>
    </row>
    <row r="1065" spans="1:14" ht="30.75" hidden="1" customHeight="1">
      <c r="A1065" s="16">
        <v>7</v>
      </c>
      <c r="B1065" s="1858" t="s">
        <v>958</v>
      </c>
      <c r="C1065" s="1858"/>
      <c r="D1065" s="1858"/>
      <c r="E1065" s="1858"/>
      <c r="F1065" s="1858"/>
      <c r="G1065" s="1858"/>
      <c r="H1065" s="1858"/>
      <c r="I1065" s="537"/>
      <c r="J1065" s="538"/>
      <c r="K1065" s="16"/>
      <c r="L1065" s="16"/>
      <c r="M1065" s="38"/>
      <c r="N1065" s="536" t="s">
        <v>2318</v>
      </c>
    </row>
    <row r="1066" spans="1:14" s="544" customFormat="1" ht="16.5" hidden="1" customHeight="1">
      <c r="A1066" s="16"/>
      <c r="B1066" s="39" t="s">
        <v>2107</v>
      </c>
      <c r="C1066" s="566"/>
      <c r="D1066" s="567"/>
      <c r="E1066" s="568"/>
      <c r="F1066" s="569"/>
      <c r="G1066" s="569"/>
      <c r="H1066" s="570"/>
      <c r="I1066" s="571"/>
      <c r="J1066" s="553"/>
      <c r="K1066" s="39"/>
      <c r="L1066" s="16"/>
      <c r="M1066" s="39"/>
      <c r="N1066" s="536" t="s">
        <v>2318</v>
      </c>
    </row>
    <row r="1067" spans="1:14" s="544" customFormat="1" ht="16.5" hidden="1" customHeight="1">
      <c r="A1067" s="16"/>
      <c r="B1067" s="547" t="s">
        <v>939</v>
      </c>
      <c r="C1067" s="548">
        <v>1</v>
      </c>
      <c r="D1067" s="549" t="s">
        <v>273</v>
      </c>
      <c r="E1067" s="550">
        <v>11</v>
      </c>
      <c r="F1067" s="589">
        <v>1.25</v>
      </c>
      <c r="G1067" s="551">
        <v>0</v>
      </c>
      <c r="H1067" s="551">
        <v>0</v>
      </c>
      <c r="I1067" s="552">
        <f>ROUND(IF(AND(F1067:H1067),C1067*E1067*F1067*G1067*H1067,IF(AND(F1067,G1067),C1067*E1067*F1067*G1067,IF(AND(F1067,H1067),C1067*E1067*F1067*H1067,IF(AND(G1067,H1067),C1067*E1067*G1067*H1067,IF(F1067,C1067*E1067*F1067,IF(G1067,C1067*E1067*G1067,IF(H1067,C1067*E1067*H1067,C1067*E1067))))))),2)</f>
        <v>13.75</v>
      </c>
      <c r="J1067" s="553" t="s">
        <v>277</v>
      </c>
      <c r="K1067" s="39"/>
      <c r="L1067" s="16"/>
      <c r="M1067" s="39"/>
      <c r="N1067" s="536" t="s">
        <v>2318</v>
      </c>
    </row>
    <row r="1068" spans="1:14" s="544" customFormat="1" ht="16.5" hidden="1" customHeight="1">
      <c r="A1068" s="16"/>
      <c r="B1068" s="547" t="s">
        <v>940</v>
      </c>
      <c r="C1068" s="548">
        <v>1</v>
      </c>
      <c r="D1068" s="549" t="s">
        <v>273</v>
      </c>
      <c r="E1068" s="550">
        <v>11</v>
      </c>
      <c r="F1068" s="589">
        <v>1.25</v>
      </c>
      <c r="G1068" s="551">
        <v>0</v>
      </c>
      <c r="H1068" s="551">
        <v>0</v>
      </c>
      <c r="I1068" s="552">
        <f>ROUND(IF(AND(F1068:H1068),C1068*E1068*F1068*G1068*H1068,IF(AND(F1068,G1068),C1068*E1068*F1068*G1068,IF(AND(F1068,H1068),C1068*E1068*F1068*H1068,IF(AND(G1068,H1068),C1068*E1068*G1068*H1068,IF(F1068,C1068*E1068*F1068,IF(G1068,C1068*E1068*G1068,IF(H1068,C1068*E1068*H1068,C1068*E1068))))))),2)</f>
        <v>13.75</v>
      </c>
      <c r="J1068" s="553" t="s">
        <v>277</v>
      </c>
      <c r="K1068" s="39"/>
      <c r="L1068" s="16"/>
      <c r="M1068" s="39"/>
      <c r="N1068" s="536" t="s">
        <v>2318</v>
      </c>
    </row>
    <row r="1069" spans="1:14" s="544" customFormat="1" ht="16.5" hidden="1" customHeight="1">
      <c r="A1069" s="16"/>
      <c r="B1069" s="607" t="s">
        <v>584</v>
      </c>
      <c r="C1069" s="566"/>
      <c r="D1069" s="567"/>
      <c r="E1069" s="568"/>
      <c r="F1069" s="569"/>
      <c r="G1069" s="569"/>
      <c r="H1069" s="570"/>
      <c r="I1069" s="571"/>
      <c r="J1069" s="553"/>
      <c r="K1069" s="39"/>
      <c r="L1069" s="16"/>
      <c r="M1069" s="39"/>
      <c r="N1069" s="536" t="s">
        <v>2318</v>
      </c>
    </row>
    <row r="1070" spans="1:14" s="544" customFormat="1" ht="16.5" hidden="1" customHeight="1">
      <c r="A1070" s="16"/>
      <c r="B1070" s="547" t="s">
        <v>939</v>
      </c>
      <c r="C1070" s="548">
        <v>1</v>
      </c>
      <c r="D1070" s="549" t="s">
        <v>273</v>
      </c>
      <c r="E1070" s="550">
        <v>7</v>
      </c>
      <c r="F1070" s="589">
        <v>1.25</v>
      </c>
      <c r="G1070" s="551">
        <v>0</v>
      </c>
      <c r="H1070" s="551">
        <v>0</v>
      </c>
      <c r="I1070" s="552">
        <f>ROUND(IF(AND(F1070:H1070),C1070*E1070*F1070*G1070*H1070,IF(AND(F1070,G1070),C1070*E1070*F1070*G1070,IF(AND(F1070,H1070),C1070*E1070*F1070*H1070,IF(AND(G1070,H1070),C1070*E1070*G1070*H1070,IF(F1070,C1070*E1070*F1070,IF(G1070,C1070*E1070*G1070,IF(H1070,C1070*E1070*H1070,C1070*E1070))))))),2)</f>
        <v>8.75</v>
      </c>
      <c r="J1070" s="553" t="s">
        <v>277</v>
      </c>
      <c r="K1070" s="39"/>
      <c r="L1070" s="16"/>
      <c r="M1070" s="39"/>
      <c r="N1070" s="536" t="s">
        <v>2318</v>
      </c>
    </row>
    <row r="1071" spans="1:14" s="544" customFormat="1" ht="16.5" hidden="1" customHeight="1">
      <c r="A1071" s="16"/>
      <c r="B1071" s="547"/>
      <c r="C1071" s="548"/>
      <c r="D1071" s="549"/>
      <c r="E1071" s="550"/>
      <c r="F1071" s="589"/>
      <c r="G1071" s="551"/>
      <c r="H1071" s="551"/>
      <c r="I1071" s="552"/>
      <c r="J1071" s="553"/>
      <c r="K1071" s="39"/>
      <c r="L1071" s="16"/>
      <c r="M1071" s="39"/>
      <c r="N1071" s="536" t="s">
        <v>2318</v>
      </c>
    </row>
    <row r="1072" spans="1:14" ht="15.75" hidden="1">
      <c r="A1072" s="16"/>
      <c r="B1072" s="39"/>
      <c r="C1072" s="554"/>
      <c r="D1072" s="555"/>
      <c r="E1072" s="540"/>
      <c r="F1072" s="541"/>
      <c r="G1072" s="40"/>
      <c r="H1072" s="16"/>
      <c r="I1072" s="552"/>
      <c r="J1072" s="553" t="s">
        <v>277</v>
      </c>
      <c r="K1072" s="10">
        <f>'data 2022-23'!G622</f>
        <v>453</v>
      </c>
      <c r="L1072" s="208" t="s">
        <v>279</v>
      </c>
      <c r="M1072" s="9">
        <f>ROUND(I1072*K1072,0)</f>
        <v>0</v>
      </c>
      <c r="N1072" s="536" t="s">
        <v>2318</v>
      </c>
    </row>
    <row r="1073" spans="1:14" ht="15.75" hidden="1">
      <c r="A1073" s="16"/>
      <c r="B1073" s="39" t="s">
        <v>2432</v>
      </c>
      <c r="C1073" s="554"/>
      <c r="D1073" s="555"/>
      <c r="E1073" s="540"/>
      <c r="F1073" s="541"/>
      <c r="G1073" s="40"/>
      <c r="H1073" s="16"/>
      <c r="I1073" s="552"/>
      <c r="J1073" s="553"/>
      <c r="K1073" s="10"/>
      <c r="L1073" s="208"/>
      <c r="M1073" s="9"/>
      <c r="N1073" s="536" t="s">
        <v>2318</v>
      </c>
    </row>
    <row r="1074" spans="1:14" s="956" customFormat="1" ht="63.75" customHeight="1">
      <c r="A1074" s="951">
        <v>3</v>
      </c>
      <c r="B1074" s="1868" t="s">
        <v>308</v>
      </c>
      <c r="C1074" s="1868"/>
      <c r="D1074" s="1868"/>
      <c r="E1074" s="1868"/>
      <c r="F1074" s="1868"/>
      <c r="G1074" s="1868"/>
      <c r="H1074" s="1868"/>
      <c r="I1074" s="952"/>
      <c r="J1074" s="953"/>
      <c r="K1074" s="951"/>
      <c r="L1074" s="951"/>
      <c r="M1074" s="954"/>
      <c r="N1074" s="955" t="s">
        <v>2318</v>
      </c>
    </row>
    <row r="1075" spans="1:14" s="965" customFormat="1" ht="16.5" customHeight="1">
      <c r="A1075" s="951"/>
      <c r="B1075" s="957" t="s">
        <v>3128</v>
      </c>
      <c r="C1075" s="958"/>
      <c r="D1075" s="959"/>
      <c r="E1075" s="960"/>
      <c r="F1075" s="961"/>
      <c r="G1075" s="961"/>
      <c r="H1075" s="962"/>
      <c r="I1075" s="963"/>
      <c r="J1075" s="987"/>
      <c r="K1075" s="957"/>
      <c r="L1075" s="951"/>
      <c r="M1075" s="957"/>
      <c r="N1075" s="955" t="s">
        <v>2318</v>
      </c>
    </row>
    <row r="1076" spans="1:14" s="965" customFormat="1" ht="16.5" customHeight="1">
      <c r="A1076" s="951"/>
      <c r="B1076" s="972"/>
      <c r="C1076" s="973">
        <v>1</v>
      </c>
      <c r="D1076" s="974" t="s">
        <v>273</v>
      </c>
      <c r="E1076" s="975">
        <v>1</v>
      </c>
      <c r="F1076" s="976">
        <v>10</v>
      </c>
      <c r="G1076" s="976">
        <v>0</v>
      </c>
      <c r="H1076" s="976">
        <v>0</v>
      </c>
      <c r="I1076" s="971">
        <f>ROUND(IF(AND(F1076:H1076),C1076*E1076*F1076*G1076*H1076,IF(AND(F1076,G1076),C1076*E1076*F1076*G1076,IF(AND(F1076,H1076),C1076*E1076*F1076*H1076,IF(AND(G1076,H1076),C1076*E1076*G1076*H1076,IF(F1076,C1076*E1076*F1076,IF(G1076,C1076*E1076*G1076,IF(H1076,C1076*E1076*H1076,C1076*E1076))))))),2)</f>
        <v>10</v>
      </c>
      <c r="J1076" s="987" t="s">
        <v>277</v>
      </c>
      <c r="K1076" s="957"/>
      <c r="L1076" s="951"/>
      <c r="M1076" s="957"/>
      <c r="N1076" s="955" t="s">
        <v>2318</v>
      </c>
    </row>
    <row r="1077" spans="1:14" s="965" customFormat="1" ht="16.5" customHeight="1">
      <c r="A1077" s="951"/>
      <c r="B1077" s="972"/>
      <c r="C1077" s="973"/>
      <c r="D1077" s="974"/>
      <c r="E1077" s="975"/>
      <c r="F1077" s="976"/>
      <c r="G1077" s="976"/>
      <c r="H1077" s="976"/>
      <c r="I1077" s="971"/>
      <c r="J1077" s="987"/>
      <c r="K1077" s="957"/>
      <c r="L1077" s="951"/>
      <c r="M1077" s="957"/>
      <c r="N1077" s="955" t="s">
        <v>2318</v>
      </c>
    </row>
    <row r="1078" spans="1:14" s="956" customFormat="1" ht="15.75">
      <c r="A1078" s="951"/>
      <c r="B1078" s="957"/>
      <c r="C1078" s="977"/>
      <c r="D1078" s="978"/>
      <c r="E1078" s="979"/>
      <c r="F1078" s="980"/>
      <c r="G1078" s="981"/>
      <c r="H1078" s="951"/>
      <c r="I1078" s="971"/>
      <c r="J1078" s="987" t="s">
        <v>277</v>
      </c>
      <c r="K1078" s="982">
        <f>'SANI 2022-23'!G81</f>
        <v>214</v>
      </c>
      <c r="L1078" s="983" t="s">
        <v>279</v>
      </c>
      <c r="M1078" s="984">
        <f>ROUND(I1078*K1078,0)</f>
        <v>0</v>
      </c>
      <c r="N1078" s="955" t="s">
        <v>2318</v>
      </c>
    </row>
    <row r="1079" spans="1:14" s="956" customFormat="1" ht="63.75" customHeight="1">
      <c r="A1079" s="951">
        <v>4</v>
      </c>
      <c r="B1079" s="1868" t="s">
        <v>309</v>
      </c>
      <c r="C1079" s="1868"/>
      <c r="D1079" s="1868"/>
      <c r="E1079" s="1868"/>
      <c r="F1079" s="1868"/>
      <c r="G1079" s="1868"/>
      <c r="H1079" s="1868"/>
      <c r="I1079" s="952"/>
      <c r="J1079" s="953"/>
      <c r="K1079" s="951"/>
      <c r="L1079" s="951"/>
      <c r="M1079" s="954"/>
      <c r="N1079" s="955" t="s">
        <v>2318</v>
      </c>
    </row>
    <row r="1080" spans="1:14" s="965" customFormat="1" ht="16.5" customHeight="1">
      <c r="A1080" s="951"/>
      <c r="B1080" s="957" t="s">
        <v>3129</v>
      </c>
      <c r="C1080" s="958"/>
      <c r="D1080" s="959"/>
      <c r="E1080" s="960"/>
      <c r="F1080" s="961"/>
      <c r="G1080" s="961"/>
      <c r="H1080" s="962"/>
      <c r="I1080" s="963"/>
      <c r="J1080" s="987"/>
      <c r="K1080" s="957"/>
      <c r="L1080" s="951"/>
      <c r="M1080" s="957"/>
      <c r="N1080" s="955" t="s">
        <v>2318</v>
      </c>
    </row>
    <row r="1081" spans="1:14" s="965" customFormat="1" ht="15.75">
      <c r="A1081" s="951"/>
      <c r="B1081" s="966"/>
      <c r="C1081" s="967">
        <v>1</v>
      </c>
      <c r="D1081" s="968" t="s">
        <v>273</v>
      </c>
      <c r="E1081" s="969">
        <v>1</v>
      </c>
      <c r="F1081" s="988">
        <v>10</v>
      </c>
      <c r="G1081" s="970">
        <v>0</v>
      </c>
      <c r="H1081" s="970">
        <v>0</v>
      </c>
      <c r="I1081" s="971">
        <f>ROUND(IF(AND(F1081:H1081),C1081*E1081*F1081*G1081*H1081,IF(AND(F1081,G1081),C1081*E1081*F1081*G1081,IF(AND(F1081,H1081),C1081*E1081*F1081*H1081,IF(AND(G1081,H1081),C1081*E1081*G1081*H1081,IF(F1081,C1081*E1081*F1081,IF(G1081,C1081*E1081*G1081,IF(H1081,C1081*E1081*H1081,C1081*E1081))))))),2)</f>
        <v>10</v>
      </c>
      <c r="J1081" s="987" t="s">
        <v>277</v>
      </c>
      <c r="K1081" s="957"/>
      <c r="L1081" s="951"/>
      <c r="M1081" s="957"/>
      <c r="N1081" s="955" t="s">
        <v>2318</v>
      </c>
    </row>
    <row r="1082" spans="1:14" s="965" customFormat="1" ht="15.75">
      <c r="A1082" s="951"/>
      <c r="B1082" s="972"/>
      <c r="C1082" s="973"/>
      <c r="D1082" s="974"/>
      <c r="E1082" s="975"/>
      <c r="F1082" s="976"/>
      <c r="G1082" s="976"/>
      <c r="H1082" s="976"/>
      <c r="I1082" s="971"/>
      <c r="J1082" s="987"/>
      <c r="K1082" s="957"/>
      <c r="L1082" s="951"/>
      <c r="M1082" s="957"/>
      <c r="N1082" s="955" t="s">
        <v>2318</v>
      </c>
    </row>
    <row r="1083" spans="1:14" s="956" customFormat="1" ht="15.75">
      <c r="A1083" s="951"/>
      <c r="B1083" s="957"/>
      <c r="C1083" s="977"/>
      <c r="D1083" s="978"/>
      <c r="E1083" s="979"/>
      <c r="F1083" s="980"/>
      <c r="G1083" s="981"/>
      <c r="H1083" s="951"/>
      <c r="I1083" s="971"/>
      <c r="J1083" s="987" t="s">
        <v>277</v>
      </c>
      <c r="K1083" s="982">
        <f>'SANI 2022-23'!G78</f>
        <v>136</v>
      </c>
      <c r="L1083" s="983" t="s">
        <v>279</v>
      </c>
      <c r="M1083" s="984">
        <f>ROUND(I1083*K1083,0)</f>
        <v>0</v>
      </c>
      <c r="N1083" s="955" t="s">
        <v>2318</v>
      </c>
    </row>
    <row r="1084" spans="1:14" ht="63.75" hidden="1" customHeight="1">
      <c r="A1084" s="16">
        <v>10</v>
      </c>
      <c r="B1084" s="1858" t="s">
        <v>1639</v>
      </c>
      <c r="C1084" s="1858"/>
      <c r="D1084" s="1858"/>
      <c r="E1084" s="1858"/>
      <c r="F1084" s="1858"/>
      <c r="G1084" s="1858"/>
      <c r="H1084" s="1858"/>
      <c r="I1084" s="537"/>
      <c r="J1084" s="538"/>
      <c r="K1084" s="16"/>
      <c r="L1084" s="16"/>
      <c r="M1084" s="38"/>
      <c r="N1084" s="536" t="s">
        <v>2318</v>
      </c>
    </row>
    <row r="1085" spans="1:14" s="544" customFormat="1" ht="16.5" hidden="1" customHeight="1">
      <c r="A1085" s="16"/>
      <c r="B1085" s="39" t="s">
        <v>3086</v>
      </c>
      <c r="C1085" s="566"/>
      <c r="D1085" s="567"/>
      <c r="E1085" s="568"/>
      <c r="F1085" s="569"/>
      <c r="G1085" s="569"/>
      <c r="H1085" s="570"/>
      <c r="I1085" s="571"/>
      <c r="J1085" s="580"/>
      <c r="K1085" s="39"/>
      <c r="L1085" s="16"/>
      <c r="M1085" s="39"/>
      <c r="N1085" s="536" t="s">
        <v>2318</v>
      </c>
    </row>
    <row r="1086" spans="1:14" s="544" customFormat="1" ht="16.5" hidden="1" customHeight="1">
      <c r="A1086" s="16"/>
      <c r="B1086" s="547"/>
      <c r="C1086" s="548">
        <v>1</v>
      </c>
      <c r="D1086" s="549" t="s">
        <v>273</v>
      </c>
      <c r="E1086" s="550">
        <v>1</v>
      </c>
      <c r="F1086" s="589">
        <v>40</v>
      </c>
      <c r="G1086" s="551">
        <v>0</v>
      </c>
      <c r="H1086" s="551">
        <v>0</v>
      </c>
      <c r="I1086" s="552">
        <f>ROUND(IF(AND(F1086:H1086),C1086*E1086*F1086*G1086*H1086,IF(AND(F1086,G1086),C1086*E1086*F1086*G1086,IF(AND(F1086,H1086),C1086*E1086*F1086*H1086,IF(AND(G1086,H1086),C1086*E1086*G1086*H1086,IF(F1086,C1086*E1086*F1086,IF(G1086,C1086*E1086*G1086,IF(H1086,C1086*E1086*H1086,C1086*E1086))))))),2)</f>
        <v>40</v>
      </c>
      <c r="J1086" s="580" t="s">
        <v>277</v>
      </c>
      <c r="K1086" s="39"/>
      <c r="L1086" s="16"/>
      <c r="M1086" s="39"/>
      <c r="N1086" s="536" t="s">
        <v>2318</v>
      </c>
    </row>
    <row r="1087" spans="1:14" s="544" customFormat="1" ht="16.5" hidden="1" customHeight="1">
      <c r="A1087" s="16"/>
      <c r="B1087" s="547"/>
      <c r="C1087" s="548"/>
      <c r="D1087" s="549"/>
      <c r="E1087" s="550"/>
      <c r="F1087" s="551"/>
      <c r="G1087" s="551"/>
      <c r="H1087" s="551"/>
      <c r="I1087" s="552"/>
      <c r="J1087" s="580"/>
      <c r="K1087" s="39"/>
      <c r="L1087" s="16"/>
      <c r="M1087" s="39"/>
      <c r="N1087" s="536" t="s">
        <v>2318</v>
      </c>
    </row>
    <row r="1088" spans="1:14" ht="15.75" hidden="1">
      <c r="A1088" s="16"/>
      <c r="B1088" s="39"/>
      <c r="C1088" s="554"/>
      <c r="D1088" s="555"/>
      <c r="E1088" s="540"/>
      <c r="F1088" s="541"/>
      <c r="G1088" s="40"/>
      <c r="H1088" s="16"/>
      <c r="I1088" s="552"/>
      <c r="J1088" s="580" t="s">
        <v>277</v>
      </c>
      <c r="K1088" s="10">
        <f>'SANI 2022-23'!G75</f>
        <v>94</v>
      </c>
      <c r="L1088" s="208" t="s">
        <v>279</v>
      </c>
      <c r="M1088" s="9">
        <f>ROUND(I1088*K1088,0)</f>
        <v>0</v>
      </c>
      <c r="N1088" s="536" t="s">
        <v>2318</v>
      </c>
    </row>
    <row r="1089" spans="1:14" ht="63.75" hidden="1" customHeight="1">
      <c r="A1089" s="16">
        <v>10</v>
      </c>
      <c r="B1089" s="1858" t="s">
        <v>3087</v>
      </c>
      <c r="C1089" s="1858"/>
      <c r="D1089" s="1858"/>
      <c r="E1089" s="1858"/>
      <c r="F1089" s="1858"/>
      <c r="G1089" s="1858"/>
      <c r="H1089" s="1858"/>
      <c r="I1089" s="537"/>
      <c r="J1089" s="538"/>
      <c r="K1089" s="16"/>
      <c r="L1089" s="16"/>
      <c r="M1089" s="38"/>
      <c r="N1089" s="536" t="s">
        <v>2318</v>
      </c>
    </row>
    <row r="1090" spans="1:14" s="544" customFormat="1" ht="16.5" hidden="1" customHeight="1">
      <c r="A1090" s="16"/>
      <c r="B1090" s="54" t="s">
        <v>2828</v>
      </c>
      <c r="C1090" s="566"/>
      <c r="D1090" s="567"/>
      <c r="E1090" s="568"/>
      <c r="F1090" s="569"/>
      <c r="G1090" s="569"/>
      <c r="H1090" s="570"/>
      <c r="I1090" s="571"/>
      <c r="J1090" s="580"/>
      <c r="K1090" s="39"/>
      <c r="L1090" s="16"/>
      <c r="M1090" s="39"/>
      <c r="N1090" s="536" t="s">
        <v>2318</v>
      </c>
    </row>
    <row r="1091" spans="1:14" s="544" customFormat="1" ht="16.5" hidden="1" customHeight="1">
      <c r="A1091" s="16"/>
      <c r="B1091" s="547"/>
      <c r="C1091" s="548">
        <v>1</v>
      </c>
      <c r="D1091" s="549" t="s">
        <v>273</v>
      </c>
      <c r="E1091" s="550">
        <v>1</v>
      </c>
      <c r="F1091" s="589">
        <v>40</v>
      </c>
      <c r="G1091" s="551">
        <v>0</v>
      </c>
      <c r="H1091" s="551">
        <v>0</v>
      </c>
      <c r="I1091" s="552">
        <f>ROUND(IF(AND(F1091:H1091),C1091*E1091*F1091*G1091*H1091,IF(AND(F1091,G1091),C1091*E1091*F1091*G1091,IF(AND(F1091,H1091),C1091*E1091*F1091*H1091,IF(AND(G1091,H1091),C1091*E1091*G1091*H1091,IF(F1091,C1091*E1091*F1091,IF(G1091,C1091*E1091*G1091,IF(H1091,C1091*E1091*H1091,C1091*E1091))))))),2)</f>
        <v>40</v>
      </c>
      <c r="J1091" s="580" t="s">
        <v>277</v>
      </c>
      <c r="K1091" s="39"/>
      <c r="L1091" s="16"/>
      <c r="M1091" s="39"/>
      <c r="N1091" s="536" t="s">
        <v>2318</v>
      </c>
    </row>
    <row r="1092" spans="1:14" s="544" customFormat="1" ht="16.5" hidden="1" customHeight="1">
      <c r="A1092" s="16"/>
      <c r="B1092" s="547"/>
      <c r="C1092" s="548"/>
      <c r="D1092" s="549"/>
      <c r="E1092" s="550"/>
      <c r="F1092" s="551"/>
      <c r="G1092" s="551"/>
      <c r="H1092" s="551"/>
      <c r="I1092" s="552"/>
      <c r="J1092" s="580"/>
      <c r="K1092" s="39"/>
      <c r="L1092" s="16"/>
      <c r="M1092" s="39"/>
      <c r="N1092" s="536" t="s">
        <v>2318</v>
      </c>
    </row>
    <row r="1093" spans="1:14" ht="15.75" hidden="1">
      <c r="A1093" s="16"/>
      <c r="B1093" s="39"/>
      <c r="C1093" s="554"/>
      <c r="D1093" s="555"/>
      <c r="E1093" s="540"/>
      <c r="F1093" s="541"/>
      <c r="G1093" s="40"/>
      <c r="H1093" s="16"/>
      <c r="I1093" s="552">
        <f>SUM(I1091:I1092)</f>
        <v>40</v>
      </c>
      <c r="J1093" s="580" t="s">
        <v>277</v>
      </c>
      <c r="K1093" s="10"/>
      <c r="L1093" s="208" t="s">
        <v>279</v>
      </c>
      <c r="M1093" s="9">
        <f>ROUND(I1093*K1093,0)</f>
        <v>0</v>
      </c>
      <c r="N1093" s="536" t="s">
        <v>2318</v>
      </c>
    </row>
    <row r="1094" spans="1:14" ht="41.25" hidden="1" customHeight="1">
      <c r="A1094" s="16">
        <v>2</v>
      </c>
      <c r="B1094" s="1858" t="s">
        <v>1253</v>
      </c>
      <c r="C1094" s="1858"/>
      <c r="D1094" s="1858"/>
      <c r="E1094" s="1858"/>
      <c r="F1094" s="1858"/>
      <c r="G1094" s="1858"/>
      <c r="H1094" s="1858"/>
      <c r="I1094" s="537"/>
      <c r="J1094" s="538"/>
      <c r="K1094" s="16"/>
      <c r="L1094" s="16"/>
      <c r="M1094" s="38"/>
      <c r="N1094" s="536" t="s">
        <v>2318</v>
      </c>
    </row>
    <row r="1095" spans="1:14" s="544" customFormat="1" ht="16.5" hidden="1" customHeight="1">
      <c r="A1095" s="16"/>
      <c r="B1095" s="39" t="s">
        <v>2828</v>
      </c>
      <c r="C1095" s="566"/>
      <c r="D1095" s="567"/>
      <c r="E1095" s="568"/>
      <c r="F1095" s="569"/>
      <c r="G1095" s="569"/>
      <c r="H1095" s="570"/>
      <c r="I1095" s="571"/>
      <c r="J1095" s="580"/>
      <c r="K1095" s="39"/>
      <c r="L1095" s="16"/>
      <c r="M1095" s="39"/>
      <c r="N1095" s="536" t="s">
        <v>2318</v>
      </c>
    </row>
    <row r="1096" spans="1:14" s="544" customFormat="1" ht="16.5" hidden="1" customHeight="1">
      <c r="A1096" s="16"/>
      <c r="B1096" s="547"/>
      <c r="C1096" s="548">
        <v>1</v>
      </c>
      <c r="D1096" s="549" t="s">
        <v>273</v>
      </c>
      <c r="E1096" s="550">
        <v>1</v>
      </c>
      <c r="F1096" s="551">
        <v>85</v>
      </c>
      <c r="G1096" s="551">
        <v>0</v>
      </c>
      <c r="H1096" s="551">
        <v>0</v>
      </c>
      <c r="I1096" s="552">
        <f>ROUND(IF(AND(F1096:H1096),C1096*E1096*F1096*G1096*H1096,IF(AND(F1096,G1096),C1096*E1096*F1096*G1096,IF(AND(F1096,H1096),C1096*E1096*F1096*H1096,IF(AND(G1096,H1096),C1096*E1096*G1096*H1096,IF(F1096,C1096*E1096*F1096,IF(G1096,C1096*E1096*G1096,IF(H1096,C1096*E1096*H1096,C1096*E1096))))))),2)</f>
        <v>85</v>
      </c>
      <c r="J1096" s="580" t="s">
        <v>277</v>
      </c>
      <c r="K1096" s="39"/>
      <c r="L1096" s="16"/>
      <c r="M1096" s="39"/>
      <c r="N1096" s="536" t="s">
        <v>2318</v>
      </c>
    </row>
    <row r="1097" spans="1:14" s="544" customFormat="1" ht="16.5" hidden="1" customHeight="1">
      <c r="A1097" s="16"/>
      <c r="B1097" s="547"/>
      <c r="C1097" s="548"/>
      <c r="D1097" s="549"/>
      <c r="E1097" s="550"/>
      <c r="F1097" s="551"/>
      <c r="G1097" s="551"/>
      <c r="H1097" s="551"/>
      <c r="I1097" s="552"/>
      <c r="J1097" s="580"/>
      <c r="K1097" s="39"/>
      <c r="L1097" s="16"/>
      <c r="M1097" s="39"/>
      <c r="N1097" s="536" t="s">
        <v>2318</v>
      </c>
    </row>
    <row r="1098" spans="1:14" ht="15.75" hidden="1">
      <c r="A1098" s="16"/>
      <c r="B1098" s="39"/>
      <c r="C1098" s="554"/>
      <c r="D1098" s="555"/>
      <c r="E1098" s="540"/>
      <c r="F1098" s="541"/>
      <c r="G1098" s="40"/>
      <c r="H1098" s="16"/>
      <c r="I1098" s="552"/>
      <c r="J1098" s="580" t="s">
        <v>277</v>
      </c>
      <c r="K1098" s="10">
        <f>'SANI 2022-23'!G85</f>
        <v>35</v>
      </c>
      <c r="L1098" s="208" t="s">
        <v>279</v>
      </c>
      <c r="M1098" s="9">
        <f>ROUND(I1098*K1098,0)</f>
        <v>0</v>
      </c>
      <c r="N1098" s="536" t="s">
        <v>2318</v>
      </c>
    </row>
    <row r="1099" spans="1:14" s="956" customFormat="1" ht="63.75" customHeight="1">
      <c r="A1099" s="951">
        <v>5</v>
      </c>
      <c r="B1099" s="1868" t="s">
        <v>278</v>
      </c>
      <c r="C1099" s="1868"/>
      <c r="D1099" s="1868"/>
      <c r="E1099" s="1868"/>
      <c r="F1099" s="1868"/>
      <c r="G1099" s="1868"/>
      <c r="H1099" s="1868"/>
      <c r="I1099" s="952"/>
      <c r="J1099" s="953"/>
      <c r="K1099" s="951"/>
      <c r="L1099" s="951"/>
      <c r="M1099" s="954"/>
      <c r="N1099" s="955" t="s">
        <v>2318</v>
      </c>
    </row>
    <row r="1100" spans="1:14" s="965" customFormat="1" ht="16.5" customHeight="1">
      <c r="A1100" s="951"/>
      <c r="B1100" s="957" t="s">
        <v>3130</v>
      </c>
      <c r="C1100" s="958"/>
      <c r="D1100" s="959"/>
      <c r="E1100" s="960"/>
      <c r="F1100" s="961"/>
      <c r="G1100" s="961"/>
      <c r="H1100" s="962"/>
      <c r="I1100" s="963"/>
      <c r="J1100" s="987"/>
      <c r="K1100" s="957"/>
      <c r="L1100" s="951"/>
      <c r="M1100" s="957"/>
      <c r="N1100" s="955" t="s">
        <v>2318</v>
      </c>
    </row>
    <row r="1101" spans="1:14" s="965" customFormat="1" ht="16.5" customHeight="1">
      <c r="A1101" s="951"/>
      <c r="B1101" s="966" t="s">
        <v>3088</v>
      </c>
      <c r="C1101" s="967">
        <v>1</v>
      </c>
      <c r="D1101" s="968" t="s">
        <v>273</v>
      </c>
      <c r="E1101" s="969">
        <v>1</v>
      </c>
      <c r="F1101" s="988">
        <v>10</v>
      </c>
      <c r="G1101" s="970">
        <v>0</v>
      </c>
      <c r="H1101" s="970">
        <v>0</v>
      </c>
      <c r="I1101" s="971">
        <f t="shared" ref="I1101:I1102" si="9">ROUND(IF(AND(F1101:H1101),C1101*E1101*F1101*G1101*H1101,IF(AND(F1101,G1101),C1101*E1101*F1101*G1101,IF(AND(F1101,H1101),C1101*E1101*F1101*H1101,IF(AND(G1101,H1101),C1101*E1101*G1101*H1101,IF(F1101,C1101*E1101*F1101,IF(G1101,C1101*E1101*G1101,IF(H1101,C1101*E1101*H1101,C1101*E1101))))))),2)</f>
        <v>10</v>
      </c>
      <c r="J1101" s="987" t="s">
        <v>277</v>
      </c>
      <c r="K1101" s="957"/>
      <c r="L1101" s="951"/>
      <c r="M1101" s="957"/>
      <c r="N1101" s="955" t="s">
        <v>2318</v>
      </c>
    </row>
    <row r="1102" spans="1:14" s="965" customFormat="1" ht="16.5" customHeight="1">
      <c r="A1102" s="951"/>
      <c r="B1102" s="966" t="s">
        <v>3089</v>
      </c>
      <c r="C1102" s="967">
        <v>1</v>
      </c>
      <c r="D1102" s="968" t="s">
        <v>273</v>
      </c>
      <c r="E1102" s="969">
        <v>1</v>
      </c>
      <c r="F1102" s="988">
        <v>10</v>
      </c>
      <c r="G1102" s="970">
        <v>0</v>
      </c>
      <c r="H1102" s="970">
        <v>0</v>
      </c>
      <c r="I1102" s="971">
        <f t="shared" si="9"/>
        <v>10</v>
      </c>
      <c r="J1102" s="987" t="s">
        <v>277</v>
      </c>
      <c r="K1102" s="957"/>
      <c r="L1102" s="951"/>
      <c r="M1102" s="957"/>
      <c r="N1102" s="955" t="s">
        <v>2318</v>
      </c>
    </row>
    <row r="1103" spans="1:14" s="965" customFormat="1" ht="16.5" customHeight="1">
      <c r="A1103" s="951"/>
      <c r="B1103" s="966"/>
      <c r="C1103" s="967"/>
      <c r="D1103" s="968"/>
      <c r="E1103" s="969"/>
      <c r="F1103" s="988"/>
      <c r="G1103" s="970"/>
      <c r="H1103" s="970"/>
      <c r="I1103" s="971"/>
      <c r="J1103" s="987"/>
      <c r="K1103" s="957"/>
      <c r="L1103" s="951"/>
      <c r="M1103" s="957"/>
      <c r="N1103" s="955" t="s">
        <v>2318</v>
      </c>
    </row>
    <row r="1104" spans="1:14" s="956" customFormat="1" ht="15.75">
      <c r="A1104" s="951"/>
      <c r="B1104" s="957"/>
      <c r="C1104" s="977"/>
      <c r="D1104" s="978"/>
      <c r="E1104" s="979"/>
      <c r="F1104" s="980"/>
      <c r="G1104" s="981"/>
      <c r="H1104" s="951"/>
      <c r="I1104" s="971"/>
      <c r="J1104" s="987" t="s">
        <v>277</v>
      </c>
      <c r="K1104" s="982">
        <f>'SANI 2022-23'!G89</f>
        <v>33</v>
      </c>
      <c r="L1104" s="983" t="s">
        <v>279</v>
      </c>
      <c r="M1104" s="984">
        <f>ROUND(I1104*K1104,0)</f>
        <v>0</v>
      </c>
      <c r="N1104" s="955" t="s">
        <v>2318</v>
      </c>
    </row>
    <row r="1105" spans="1:14" ht="39.75" hidden="1" customHeight="1">
      <c r="A1105" s="16">
        <v>15</v>
      </c>
      <c r="B1105" s="1858" t="s">
        <v>352</v>
      </c>
      <c r="C1105" s="1858"/>
      <c r="D1105" s="1858"/>
      <c r="E1105" s="1858"/>
      <c r="F1105" s="1858"/>
      <c r="G1105" s="1858"/>
      <c r="H1105" s="1858"/>
      <c r="I1105" s="537"/>
      <c r="J1105" s="538"/>
      <c r="K1105" s="16"/>
      <c r="L1105" s="16"/>
      <c r="M1105" s="38"/>
      <c r="N1105" s="536" t="s">
        <v>2318</v>
      </c>
    </row>
    <row r="1106" spans="1:14" s="544" customFormat="1" ht="16.5" hidden="1" customHeight="1">
      <c r="A1106" s="16"/>
      <c r="B1106" s="39" t="s">
        <v>3085</v>
      </c>
      <c r="C1106" s="566"/>
      <c r="D1106" s="567"/>
      <c r="E1106" s="568"/>
      <c r="F1106" s="569"/>
      <c r="G1106" s="569"/>
      <c r="H1106" s="570"/>
      <c r="I1106" s="571"/>
      <c r="J1106" s="580"/>
      <c r="K1106" s="39"/>
      <c r="L1106" s="16"/>
      <c r="M1106" s="39"/>
      <c r="N1106" s="536" t="s">
        <v>2318</v>
      </c>
    </row>
    <row r="1107" spans="1:14" s="544" customFormat="1" ht="16.5" hidden="1" customHeight="1">
      <c r="A1107" s="16"/>
      <c r="B1107" s="547"/>
      <c r="C1107" s="548">
        <v>1</v>
      </c>
      <c r="D1107" s="549" t="s">
        <v>273</v>
      </c>
      <c r="E1107" s="550">
        <v>8</v>
      </c>
      <c r="F1107" s="551">
        <f>I1100</f>
        <v>0</v>
      </c>
      <c r="G1107" s="551">
        <v>0</v>
      </c>
      <c r="H1107" s="551">
        <v>0</v>
      </c>
      <c r="I1107" s="613">
        <f>ROUND(IF(AND(F1107:H1107),C1107*E1107*F1107*G1107*H1107,IF(AND(F1107,G1107),C1107*E1107*F1107*G1107,IF(AND(F1107,H1107),C1107*E1107*F1107*H1107,IF(AND(G1107,H1107),C1107*E1107*G1107*H1107,IF(F1107,C1107*E1107*F1107,IF(G1107,C1107*E1107*G1107,IF(H1107,C1107*E1107*H1107,C1107*E1107))))))),2)</f>
        <v>8</v>
      </c>
      <c r="J1107" s="580" t="s">
        <v>115</v>
      </c>
      <c r="K1107" s="39"/>
      <c r="L1107" s="16"/>
      <c r="M1107" s="39"/>
      <c r="N1107" s="536" t="s">
        <v>2318</v>
      </c>
    </row>
    <row r="1108" spans="1:14" s="544" customFormat="1" ht="16.5" hidden="1" customHeight="1">
      <c r="A1108" s="16"/>
      <c r="B1108" s="547"/>
      <c r="C1108" s="548"/>
      <c r="D1108" s="549"/>
      <c r="E1108" s="550"/>
      <c r="F1108" s="551"/>
      <c r="G1108" s="551"/>
      <c r="H1108" s="551"/>
      <c r="I1108" s="613"/>
      <c r="J1108" s="580"/>
      <c r="K1108" s="39"/>
      <c r="L1108" s="16"/>
      <c r="M1108" s="39"/>
      <c r="N1108" s="536" t="s">
        <v>2318</v>
      </c>
    </row>
    <row r="1109" spans="1:14" ht="15.75" hidden="1">
      <c r="A1109" s="16"/>
      <c r="B1109" s="39"/>
      <c r="C1109" s="554"/>
      <c r="D1109" s="555"/>
      <c r="E1109" s="540"/>
      <c r="F1109" s="541"/>
      <c r="G1109" s="40"/>
      <c r="H1109" s="16"/>
      <c r="I1109" s="613"/>
      <c r="J1109" s="580" t="s">
        <v>115</v>
      </c>
      <c r="K1109" s="10">
        <f>'SANI 2022-23'!G58</f>
        <v>387</v>
      </c>
      <c r="L1109" s="208" t="s">
        <v>275</v>
      </c>
      <c r="M1109" s="9">
        <f>ROUND(I1109*K1109,0)</f>
        <v>0</v>
      </c>
      <c r="N1109" s="536" t="s">
        <v>2318</v>
      </c>
    </row>
    <row r="1110" spans="1:14" ht="28.5" hidden="1" customHeight="1">
      <c r="A1110" s="16">
        <v>4</v>
      </c>
      <c r="B1110" s="1858" t="s">
        <v>685</v>
      </c>
      <c r="C1110" s="1858"/>
      <c r="D1110" s="1858"/>
      <c r="E1110" s="1858"/>
      <c r="F1110" s="1858"/>
      <c r="G1110" s="1858"/>
      <c r="H1110" s="1858"/>
      <c r="I1110" s="537"/>
      <c r="J1110" s="538"/>
      <c r="K1110" s="16"/>
      <c r="L1110" s="16"/>
      <c r="M1110" s="38"/>
      <c r="N1110" s="536" t="s">
        <v>2318</v>
      </c>
    </row>
    <row r="1111" spans="1:14" s="544" customFormat="1" ht="16.5" hidden="1" customHeight="1">
      <c r="A1111" s="16"/>
      <c r="B1111" s="607" t="s">
        <v>607</v>
      </c>
      <c r="C1111" s="566"/>
      <c r="D1111" s="567"/>
      <c r="E1111" s="568"/>
      <c r="F1111" s="569"/>
      <c r="G1111" s="569"/>
      <c r="H1111" s="570"/>
      <c r="I1111" s="571"/>
      <c r="J1111" s="580"/>
      <c r="K1111" s="39"/>
      <c r="L1111" s="16"/>
      <c r="M1111" s="39"/>
      <c r="N1111" s="536" t="s">
        <v>2318</v>
      </c>
    </row>
    <row r="1112" spans="1:14" s="544" customFormat="1" ht="16.5" hidden="1" customHeight="1">
      <c r="A1112" s="16"/>
      <c r="B1112" s="547"/>
      <c r="C1112" s="548">
        <v>1</v>
      </c>
      <c r="D1112" s="549" t="s">
        <v>273</v>
      </c>
      <c r="E1112" s="550">
        <v>2</v>
      </c>
      <c r="F1112" s="551">
        <f>I1105</f>
        <v>0</v>
      </c>
      <c r="G1112" s="551">
        <v>0</v>
      </c>
      <c r="H1112" s="551">
        <v>0</v>
      </c>
      <c r="I1112" s="613">
        <f>ROUND(IF(AND(F1112:H1112),C1112*E1112*F1112*G1112*H1112,IF(AND(F1112,G1112),C1112*E1112*F1112*G1112,IF(AND(F1112,H1112),C1112*E1112*F1112*H1112,IF(AND(G1112,H1112),C1112*E1112*G1112*H1112,IF(F1112,C1112*E1112*F1112,IF(G1112,C1112*E1112*G1112,IF(H1112,C1112*E1112*H1112,C1112*E1112))))))),2)</f>
        <v>2</v>
      </c>
      <c r="J1112" s="580" t="s">
        <v>115</v>
      </c>
      <c r="K1112" s="39"/>
      <c r="L1112" s="16"/>
      <c r="M1112" s="39"/>
      <c r="N1112" s="536" t="s">
        <v>2318</v>
      </c>
    </row>
    <row r="1113" spans="1:14" s="544" customFormat="1" ht="16.5" hidden="1" customHeight="1">
      <c r="A1113" s="16"/>
      <c r="B1113" s="547"/>
      <c r="C1113" s="548"/>
      <c r="D1113" s="549"/>
      <c r="E1113" s="550"/>
      <c r="F1113" s="551"/>
      <c r="G1113" s="551"/>
      <c r="H1113" s="551"/>
      <c r="I1113" s="613"/>
      <c r="J1113" s="580"/>
      <c r="K1113" s="39"/>
      <c r="L1113" s="16"/>
      <c r="M1113" s="39"/>
      <c r="N1113" s="536" t="s">
        <v>2318</v>
      </c>
    </row>
    <row r="1114" spans="1:14" ht="15.75" hidden="1">
      <c r="A1114" s="16"/>
      <c r="B1114" s="39"/>
      <c r="C1114" s="554"/>
      <c r="D1114" s="555"/>
      <c r="E1114" s="540"/>
      <c r="F1114" s="541"/>
      <c r="G1114" s="40"/>
      <c r="H1114" s="16"/>
      <c r="I1114" s="613"/>
      <c r="J1114" s="580" t="s">
        <v>115</v>
      </c>
      <c r="K1114" s="10">
        <f>'SANI 2022-23'!G54</f>
        <v>1644</v>
      </c>
      <c r="L1114" s="208" t="s">
        <v>275</v>
      </c>
      <c r="M1114" s="9">
        <f>ROUND(I1114*K1114,0)</f>
        <v>0</v>
      </c>
      <c r="N1114" s="536" t="s">
        <v>2318</v>
      </c>
    </row>
    <row r="1115" spans="1:14" s="956" customFormat="1" ht="29.25" customHeight="1">
      <c r="A1115" s="951">
        <v>6</v>
      </c>
      <c r="B1115" s="1868" t="s">
        <v>341</v>
      </c>
      <c r="C1115" s="1868"/>
      <c r="D1115" s="1868"/>
      <c r="E1115" s="1868"/>
      <c r="F1115" s="1868"/>
      <c r="G1115" s="1868"/>
      <c r="H1115" s="1868"/>
      <c r="I1115" s="952"/>
      <c r="J1115" s="953"/>
      <c r="K1115" s="951"/>
      <c r="L1115" s="951"/>
      <c r="M1115" s="954"/>
      <c r="N1115" s="955" t="s">
        <v>2318</v>
      </c>
    </row>
    <row r="1116" spans="1:14" s="965" customFormat="1" ht="16.5" customHeight="1">
      <c r="A1116" s="951"/>
      <c r="B1116" s="957" t="s">
        <v>3130</v>
      </c>
      <c r="C1116" s="958"/>
      <c r="D1116" s="959"/>
      <c r="E1116" s="960"/>
      <c r="F1116" s="961"/>
      <c r="G1116" s="961"/>
      <c r="H1116" s="962"/>
      <c r="I1116" s="963"/>
      <c r="J1116" s="987"/>
      <c r="K1116" s="957"/>
      <c r="L1116" s="951"/>
      <c r="M1116" s="957"/>
      <c r="N1116" s="955" t="s">
        <v>2318</v>
      </c>
    </row>
    <row r="1117" spans="1:14" s="965" customFormat="1" ht="16.5" customHeight="1">
      <c r="A1117" s="951"/>
      <c r="B1117" s="966"/>
      <c r="C1117" s="967">
        <v>1</v>
      </c>
      <c r="D1117" s="968" t="s">
        <v>273</v>
      </c>
      <c r="E1117" s="969">
        <v>1</v>
      </c>
      <c r="F1117" s="970">
        <v>20</v>
      </c>
      <c r="G1117" s="970">
        <v>0</v>
      </c>
      <c r="H1117" s="970">
        <v>0</v>
      </c>
      <c r="I1117" s="971">
        <f>ROUND(IF(AND(F1117:H1117),C1117*E1117*F1117*G1117*H1117,IF(AND(F1117,G1117),C1117*E1117*F1117*G1117,IF(AND(F1117,H1117),C1117*E1117*F1117*H1117,IF(AND(G1117,H1117),C1117*E1117*G1117*H1117,IF(F1117,C1117*E1117*F1117,IF(G1117,C1117*E1117*G1117,IF(H1117,C1117*E1117*H1117,C1117*E1117))))))),2)</f>
        <v>20</v>
      </c>
      <c r="J1117" s="987" t="s">
        <v>277</v>
      </c>
      <c r="K1117" s="957"/>
      <c r="L1117" s="951"/>
      <c r="M1117" s="957"/>
      <c r="N1117" s="955" t="s">
        <v>2318</v>
      </c>
    </row>
    <row r="1118" spans="1:14" s="965" customFormat="1" ht="16.5" customHeight="1">
      <c r="A1118" s="951"/>
      <c r="B1118" s="972"/>
      <c r="C1118" s="973"/>
      <c r="D1118" s="974"/>
      <c r="E1118" s="975"/>
      <c r="F1118" s="976"/>
      <c r="G1118" s="976"/>
      <c r="H1118" s="976"/>
      <c r="I1118" s="971"/>
      <c r="J1118" s="987"/>
      <c r="K1118" s="957"/>
      <c r="L1118" s="951"/>
      <c r="M1118" s="957"/>
      <c r="N1118" s="955" t="s">
        <v>2318</v>
      </c>
    </row>
    <row r="1119" spans="1:14" s="956" customFormat="1" ht="15.75">
      <c r="A1119" s="951"/>
      <c r="B1119" s="957"/>
      <c r="C1119" s="977"/>
      <c r="D1119" s="978"/>
      <c r="E1119" s="979"/>
      <c r="F1119" s="980"/>
      <c r="G1119" s="981"/>
      <c r="H1119" s="951"/>
      <c r="I1119" s="971"/>
      <c r="J1119" s="987" t="s">
        <v>277</v>
      </c>
      <c r="K1119" s="982">
        <f>'SANI 2022-23'!G34</f>
        <v>149</v>
      </c>
      <c r="L1119" s="983" t="s">
        <v>279</v>
      </c>
      <c r="M1119" s="984">
        <f>ROUND(I1119*K1119,0)</f>
        <v>0</v>
      </c>
      <c r="N1119" s="955" t="s">
        <v>2318</v>
      </c>
    </row>
    <row r="1120" spans="1:14" ht="29.25" hidden="1" customHeight="1">
      <c r="A1120" s="16">
        <v>4</v>
      </c>
      <c r="B1120" s="1858" t="s">
        <v>346</v>
      </c>
      <c r="C1120" s="1858"/>
      <c r="D1120" s="1858"/>
      <c r="E1120" s="1858"/>
      <c r="F1120" s="1858"/>
      <c r="G1120" s="1858"/>
      <c r="H1120" s="1858"/>
      <c r="I1120" s="537"/>
      <c r="J1120" s="538"/>
      <c r="K1120" s="16"/>
      <c r="L1120" s="16"/>
      <c r="M1120" s="38"/>
      <c r="N1120" s="536" t="s">
        <v>2318</v>
      </c>
    </row>
    <row r="1121" spans="1:14" s="544" customFormat="1" ht="16.5" hidden="1" customHeight="1">
      <c r="A1121" s="16"/>
      <c r="B1121" s="39" t="s">
        <v>3083</v>
      </c>
      <c r="C1121" s="566"/>
      <c r="D1121" s="567"/>
      <c r="E1121" s="568"/>
      <c r="F1121" s="569"/>
      <c r="G1121" s="569"/>
      <c r="H1121" s="570"/>
      <c r="I1121" s="571"/>
      <c r="J1121" s="580"/>
      <c r="K1121" s="39"/>
      <c r="L1121" s="16"/>
      <c r="M1121" s="39"/>
      <c r="N1121" s="536" t="s">
        <v>2318</v>
      </c>
    </row>
    <row r="1122" spans="1:14" s="544" customFormat="1" ht="16.5" hidden="1" customHeight="1">
      <c r="A1122" s="16"/>
      <c r="B1122" s="582"/>
      <c r="C1122" s="583">
        <v>1</v>
      </c>
      <c r="D1122" s="584" t="s">
        <v>273</v>
      </c>
      <c r="E1122" s="585">
        <v>1</v>
      </c>
      <c r="F1122" s="586">
        <v>35</v>
      </c>
      <c r="G1122" s="586">
        <v>0</v>
      </c>
      <c r="H1122" s="586">
        <v>0</v>
      </c>
      <c r="I1122" s="552">
        <f>ROUND(IF(AND(F1122:H1122),C1122*E1122*F1122*G1122*H1122,IF(AND(F1122,G1122),C1122*E1122*F1122*G1122,IF(AND(F1122,H1122),C1122*E1122*F1122*H1122,IF(AND(G1122,H1122),C1122*E1122*G1122*H1122,IF(F1122,C1122*E1122*F1122,IF(G1122,C1122*E1122*G1122,IF(H1122,C1122*E1122*H1122,C1122*E1122))))))),2)</f>
        <v>35</v>
      </c>
      <c r="J1122" s="580" t="s">
        <v>277</v>
      </c>
      <c r="K1122" s="39"/>
      <c r="L1122" s="16"/>
      <c r="M1122" s="39"/>
      <c r="N1122" s="536" t="s">
        <v>2318</v>
      </c>
    </row>
    <row r="1123" spans="1:14" s="544" customFormat="1" ht="16.5" hidden="1" customHeight="1">
      <c r="A1123" s="16"/>
      <c r="B1123" s="582"/>
      <c r="C1123" s="583"/>
      <c r="D1123" s="584"/>
      <c r="E1123" s="585"/>
      <c r="F1123" s="586"/>
      <c r="G1123" s="586"/>
      <c r="H1123" s="586"/>
      <c r="I1123" s="552"/>
      <c r="J1123" s="580"/>
      <c r="K1123" s="39"/>
      <c r="L1123" s="16"/>
      <c r="M1123" s="39"/>
      <c r="N1123" s="536" t="s">
        <v>2318</v>
      </c>
    </row>
    <row r="1124" spans="1:14" ht="15.75" hidden="1">
      <c r="A1124" s="16"/>
      <c r="B1124" s="39"/>
      <c r="C1124" s="554"/>
      <c r="D1124" s="555"/>
      <c r="E1124" s="540"/>
      <c r="F1124" s="541"/>
      <c r="G1124" s="40"/>
      <c r="H1124" s="16"/>
      <c r="I1124" s="552"/>
      <c r="J1124" s="580" t="s">
        <v>277</v>
      </c>
      <c r="K1124" s="10">
        <f>'SANI 2022-23'!G40</f>
        <v>141.66666666666666</v>
      </c>
      <c r="L1124" s="208" t="s">
        <v>279</v>
      </c>
      <c r="M1124" s="9">
        <f>ROUND(I1124*K1124,0)</f>
        <v>0</v>
      </c>
      <c r="N1124" s="536" t="s">
        <v>2318</v>
      </c>
    </row>
    <row r="1125" spans="1:14" s="956" customFormat="1" ht="29.25" customHeight="1">
      <c r="A1125" s="951">
        <v>7</v>
      </c>
      <c r="B1125" s="1868" t="s">
        <v>348</v>
      </c>
      <c r="C1125" s="1868"/>
      <c r="D1125" s="1868"/>
      <c r="E1125" s="1868"/>
      <c r="F1125" s="1868"/>
      <c r="G1125" s="1868"/>
      <c r="H1125" s="1868"/>
      <c r="I1125" s="952"/>
      <c r="J1125" s="953"/>
      <c r="K1125" s="951"/>
      <c r="L1125" s="951"/>
      <c r="M1125" s="954"/>
      <c r="N1125" s="955" t="s">
        <v>2318</v>
      </c>
    </row>
    <row r="1126" spans="1:14" s="965" customFormat="1" ht="16.5" customHeight="1">
      <c r="A1126" s="951"/>
      <c r="B1126" s="957" t="s">
        <v>3130</v>
      </c>
      <c r="C1126" s="958"/>
      <c r="D1126" s="959"/>
      <c r="E1126" s="960"/>
      <c r="F1126" s="961"/>
      <c r="G1126" s="961"/>
      <c r="H1126" s="962"/>
      <c r="I1126" s="963"/>
      <c r="J1126" s="987"/>
      <c r="K1126" s="957"/>
      <c r="L1126" s="951"/>
      <c r="M1126" s="957"/>
      <c r="N1126" s="955" t="s">
        <v>2318</v>
      </c>
    </row>
    <row r="1127" spans="1:14" s="965" customFormat="1" ht="16.5" customHeight="1">
      <c r="A1127" s="951"/>
      <c r="B1127" s="966"/>
      <c r="C1127" s="967">
        <v>1</v>
      </c>
      <c r="D1127" s="968" t="s">
        <v>273</v>
      </c>
      <c r="E1127" s="969">
        <v>1</v>
      </c>
      <c r="F1127" s="988">
        <v>25</v>
      </c>
      <c r="G1127" s="970">
        <v>0</v>
      </c>
      <c r="H1127" s="970">
        <v>0</v>
      </c>
      <c r="I1127" s="971">
        <f>ROUND(IF(AND(F1127:H1127),C1127*E1127*F1127*G1127*H1127,IF(AND(F1127,G1127),C1127*E1127*F1127*G1127,IF(AND(F1127,H1127),C1127*E1127*F1127*H1127,IF(AND(G1127,H1127),C1127*E1127*G1127*H1127,IF(F1127,C1127*E1127*F1127,IF(G1127,C1127*E1127*G1127,IF(H1127,C1127*E1127*H1127,C1127*E1127))))))),2)</f>
        <v>25</v>
      </c>
      <c r="J1127" s="987" t="s">
        <v>277</v>
      </c>
      <c r="K1127" s="957"/>
      <c r="L1127" s="951"/>
      <c r="M1127" s="957"/>
      <c r="N1127" s="955" t="s">
        <v>2318</v>
      </c>
    </row>
    <row r="1128" spans="1:14" s="965" customFormat="1" ht="16.5" customHeight="1">
      <c r="A1128" s="951"/>
      <c r="B1128" s="972"/>
      <c r="C1128" s="973"/>
      <c r="D1128" s="974"/>
      <c r="E1128" s="975"/>
      <c r="F1128" s="976"/>
      <c r="G1128" s="976"/>
      <c r="H1128" s="976"/>
      <c r="I1128" s="971"/>
      <c r="J1128" s="987"/>
      <c r="K1128" s="957"/>
      <c r="L1128" s="951"/>
      <c r="M1128" s="957"/>
      <c r="N1128" s="955" t="s">
        <v>2318</v>
      </c>
    </row>
    <row r="1129" spans="1:14" s="956" customFormat="1" ht="15.75">
      <c r="A1129" s="951"/>
      <c r="B1129" s="957"/>
      <c r="C1129" s="977"/>
      <c r="D1129" s="978"/>
      <c r="E1129" s="979"/>
      <c r="F1129" s="980"/>
      <c r="G1129" s="981"/>
      <c r="H1129" s="951"/>
      <c r="I1129" s="971"/>
      <c r="J1129" s="987" t="s">
        <v>277</v>
      </c>
      <c r="K1129" s="982">
        <f>'SANI 2022-23'!G46</f>
        <v>89</v>
      </c>
      <c r="L1129" s="983" t="s">
        <v>279</v>
      </c>
      <c r="M1129" s="984">
        <f>ROUND(I1129*K1129,0)</f>
        <v>0</v>
      </c>
      <c r="N1129" s="955" t="s">
        <v>2318</v>
      </c>
    </row>
    <row r="1130" spans="1:14" s="956" customFormat="1" ht="53.25" customHeight="1">
      <c r="A1130" s="951">
        <v>8</v>
      </c>
      <c r="B1130" s="1868" t="s">
        <v>350</v>
      </c>
      <c r="C1130" s="1868"/>
      <c r="D1130" s="1868"/>
      <c r="E1130" s="1868"/>
      <c r="F1130" s="1868"/>
      <c r="G1130" s="1868"/>
      <c r="H1130" s="1868"/>
      <c r="I1130" s="952"/>
      <c r="J1130" s="953"/>
      <c r="K1130" s="951"/>
      <c r="L1130" s="951"/>
      <c r="M1130" s="954"/>
      <c r="N1130" s="955" t="s">
        <v>2318</v>
      </c>
    </row>
    <row r="1131" spans="1:14" s="965" customFormat="1" ht="16.5" customHeight="1">
      <c r="A1131" s="951"/>
      <c r="B1131" s="957" t="s">
        <v>3130</v>
      </c>
      <c r="C1131" s="958"/>
      <c r="D1131" s="959"/>
      <c r="E1131" s="960"/>
      <c r="F1131" s="961"/>
      <c r="G1131" s="961"/>
      <c r="H1131" s="962"/>
      <c r="I1131" s="963"/>
      <c r="J1131" s="987"/>
      <c r="K1131" s="957"/>
      <c r="L1131" s="951"/>
      <c r="M1131" s="957"/>
      <c r="N1131" s="955" t="s">
        <v>2318</v>
      </c>
    </row>
    <row r="1132" spans="1:14" s="965" customFormat="1" ht="16.5" customHeight="1">
      <c r="A1132" s="951"/>
      <c r="B1132" s="966" t="s">
        <v>425</v>
      </c>
      <c r="C1132" s="967">
        <v>1</v>
      </c>
      <c r="D1132" s="968" t="s">
        <v>273</v>
      </c>
      <c r="E1132" s="969">
        <v>1</v>
      </c>
      <c r="F1132" s="970">
        <v>20</v>
      </c>
      <c r="G1132" s="970">
        <v>0</v>
      </c>
      <c r="H1132" s="970">
        <v>0</v>
      </c>
      <c r="I1132" s="971">
        <f>ROUND(IF(AND(F1132:H1132),C1132*E1132*F1132*G1132*H1132,IF(AND(F1132,G1132),C1132*E1132*F1132*G1132,IF(AND(F1132,H1132),C1132*E1132*F1132*H1132,IF(AND(G1132,H1132),C1132*E1132*G1132*H1132,IF(F1132,C1132*E1132*F1132,IF(G1132,C1132*E1132*G1132,IF(H1132,C1132*E1132*H1132,C1132*E1132))))))),2)</f>
        <v>20</v>
      </c>
      <c r="J1132" s="987" t="s">
        <v>277</v>
      </c>
      <c r="K1132" s="957"/>
      <c r="L1132" s="951"/>
      <c r="M1132" s="957"/>
      <c r="N1132" s="955" t="s">
        <v>2318</v>
      </c>
    </row>
    <row r="1133" spans="1:14" s="965" customFormat="1" ht="16.5" customHeight="1">
      <c r="A1133" s="951"/>
      <c r="B1133" s="966" t="s">
        <v>887</v>
      </c>
      <c r="C1133" s="967">
        <v>1</v>
      </c>
      <c r="D1133" s="968" t="s">
        <v>273</v>
      </c>
      <c r="E1133" s="969">
        <v>1</v>
      </c>
      <c r="F1133" s="970">
        <v>25</v>
      </c>
      <c r="G1133" s="970">
        <v>0</v>
      </c>
      <c r="H1133" s="970">
        <v>0</v>
      </c>
      <c r="I1133" s="971">
        <f>ROUND(IF(AND(F1133:H1133),C1133*E1133*F1133*G1133*H1133,IF(AND(F1133,G1133),C1133*E1133*F1133*G1133,IF(AND(F1133,H1133),C1133*E1133*F1133*H1133,IF(AND(G1133,H1133),C1133*E1133*G1133*H1133,IF(F1133,C1133*E1133*F1133,IF(G1133,C1133*E1133*G1133,IF(H1133,C1133*E1133*H1133,C1133*E1133))))))),2)</f>
        <v>25</v>
      </c>
      <c r="J1133" s="987" t="s">
        <v>277</v>
      </c>
      <c r="K1133" s="957"/>
      <c r="L1133" s="951"/>
      <c r="M1133" s="957"/>
      <c r="N1133" s="955" t="s">
        <v>2318</v>
      </c>
    </row>
    <row r="1134" spans="1:14" s="965" customFormat="1" ht="16.5" customHeight="1">
      <c r="A1134" s="951"/>
      <c r="B1134" s="972"/>
      <c r="C1134" s="973"/>
      <c r="D1134" s="974"/>
      <c r="E1134" s="975"/>
      <c r="F1134" s="976"/>
      <c r="G1134" s="976"/>
      <c r="H1134" s="976"/>
      <c r="I1134" s="971"/>
      <c r="J1134" s="987"/>
      <c r="K1134" s="957"/>
      <c r="L1134" s="951"/>
      <c r="M1134" s="957"/>
      <c r="N1134" s="955" t="s">
        <v>2318</v>
      </c>
    </row>
    <row r="1135" spans="1:14" s="956" customFormat="1" ht="15.75">
      <c r="A1135" s="951"/>
      <c r="B1135" s="957"/>
      <c r="C1135" s="977"/>
      <c r="D1135" s="978"/>
      <c r="E1135" s="979"/>
      <c r="F1135" s="980"/>
      <c r="G1135" s="981"/>
      <c r="H1135" s="951"/>
      <c r="I1135" s="971"/>
      <c r="J1135" s="987" t="s">
        <v>277</v>
      </c>
      <c r="K1135" s="982">
        <f>'SANI 2022-23'!G50</f>
        <v>79</v>
      </c>
      <c r="L1135" s="983" t="s">
        <v>279</v>
      </c>
      <c r="M1135" s="984">
        <f>ROUND(I1135*K1135,0)</f>
        <v>0</v>
      </c>
      <c r="N1135" s="955" t="s">
        <v>2318</v>
      </c>
    </row>
    <row r="1136" spans="1:14" s="956" customFormat="1" ht="66" customHeight="1">
      <c r="A1136" s="951">
        <v>9</v>
      </c>
      <c r="B1136" s="1868" t="s">
        <v>328</v>
      </c>
      <c r="C1136" s="1868"/>
      <c r="D1136" s="1868"/>
      <c r="E1136" s="1868"/>
      <c r="F1136" s="1868"/>
      <c r="G1136" s="1868"/>
      <c r="H1136" s="1868"/>
      <c r="I1136" s="952"/>
      <c r="J1136" s="953"/>
      <c r="K1136" s="951"/>
      <c r="L1136" s="951"/>
      <c r="M1136" s="954"/>
      <c r="N1136" s="955" t="s">
        <v>2318</v>
      </c>
    </row>
    <row r="1137" spans="1:14" s="965" customFormat="1" ht="16.5" customHeight="1">
      <c r="A1137" s="951"/>
      <c r="B1137" s="957" t="s">
        <v>3131</v>
      </c>
      <c r="C1137" s="958"/>
      <c r="D1137" s="959"/>
      <c r="E1137" s="960"/>
      <c r="F1137" s="961"/>
      <c r="G1137" s="961"/>
      <c r="H1137" s="962"/>
      <c r="I1137" s="963"/>
      <c r="J1137" s="987"/>
      <c r="K1137" s="957"/>
      <c r="L1137" s="951"/>
      <c r="M1137" s="957"/>
      <c r="N1137" s="955" t="s">
        <v>2318</v>
      </c>
    </row>
    <row r="1138" spans="1:14" s="965" customFormat="1" ht="16.5" customHeight="1">
      <c r="A1138" s="951"/>
      <c r="B1138" s="966" t="s">
        <v>310</v>
      </c>
      <c r="C1138" s="967">
        <v>1</v>
      </c>
      <c r="D1138" s="968" t="s">
        <v>273</v>
      </c>
      <c r="E1138" s="969">
        <v>3</v>
      </c>
      <c r="F1138" s="970">
        <v>0</v>
      </c>
      <c r="G1138" s="970">
        <v>0</v>
      </c>
      <c r="H1138" s="970">
        <v>0</v>
      </c>
      <c r="I1138" s="989">
        <f>ROUND(IF(AND(F1138:H1138),C1138*E1138*F1138*G1138*H1138,IF(AND(F1138,G1138),C1138*E1138*F1138*G1138,IF(AND(F1138,H1138),C1138*E1138*F1138*H1138,IF(AND(G1138,H1138),C1138*E1138*G1138*H1138,IF(F1138,C1138*E1138*F1138,IF(G1138,C1138*E1138*G1138,IF(H1138,C1138*E1138*H1138,C1138*E1138))))))),2)</f>
        <v>3</v>
      </c>
      <c r="J1138" s="987" t="s">
        <v>115</v>
      </c>
      <c r="K1138" s="957"/>
      <c r="L1138" s="951"/>
      <c r="M1138" s="957"/>
      <c r="N1138" s="955" t="s">
        <v>2318</v>
      </c>
    </row>
    <row r="1139" spans="1:14" s="965" customFormat="1" ht="16.5" customHeight="1">
      <c r="A1139" s="951"/>
      <c r="B1139" s="972"/>
      <c r="C1139" s="973"/>
      <c r="D1139" s="974"/>
      <c r="E1139" s="975"/>
      <c r="F1139" s="976"/>
      <c r="G1139" s="976"/>
      <c r="H1139" s="976"/>
      <c r="I1139" s="989"/>
      <c r="J1139" s="987"/>
      <c r="K1139" s="957"/>
      <c r="L1139" s="951"/>
      <c r="M1139" s="957"/>
      <c r="N1139" s="955" t="s">
        <v>2318</v>
      </c>
    </row>
    <row r="1140" spans="1:14" s="956" customFormat="1" ht="15.75">
      <c r="A1140" s="951"/>
      <c r="B1140" s="957"/>
      <c r="C1140" s="977"/>
      <c r="D1140" s="978"/>
      <c r="E1140" s="979"/>
      <c r="F1140" s="980"/>
      <c r="G1140" s="981"/>
      <c r="H1140" s="951"/>
      <c r="I1140" s="989"/>
      <c r="J1140" s="987" t="s">
        <v>115</v>
      </c>
      <c r="K1140" s="982">
        <f>'SANI 2022-23'!G10</f>
        <v>5297</v>
      </c>
      <c r="L1140" s="983" t="s">
        <v>275</v>
      </c>
      <c r="M1140" s="984">
        <f>ROUND(I1140*K1140,0)</f>
        <v>0</v>
      </c>
      <c r="N1140" s="955" t="s">
        <v>2318</v>
      </c>
    </row>
    <row r="1141" spans="1:14" ht="36" hidden="1" customHeight="1">
      <c r="A1141" s="16">
        <v>8</v>
      </c>
      <c r="B1141" s="1858" t="s">
        <v>608</v>
      </c>
      <c r="C1141" s="1858"/>
      <c r="D1141" s="1858"/>
      <c r="E1141" s="1858"/>
      <c r="F1141" s="1858"/>
      <c r="G1141" s="1858"/>
      <c r="H1141" s="1858"/>
      <c r="I1141" s="537"/>
      <c r="J1141" s="538"/>
      <c r="K1141" s="16"/>
      <c r="L1141" s="16"/>
      <c r="M1141" s="38"/>
      <c r="N1141" s="536" t="s">
        <v>2318</v>
      </c>
    </row>
    <row r="1142" spans="1:14" s="544" customFormat="1" ht="16.5" hidden="1" customHeight="1">
      <c r="A1142" s="16"/>
      <c r="B1142" s="607" t="s">
        <v>607</v>
      </c>
      <c r="C1142" s="566"/>
      <c r="D1142" s="567"/>
      <c r="E1142" s="568"/>
      <c r="F1142" s="569"/>
      <c r="G1142" s="569"/>
      <c r="H1142" s="570"/>
      <c r="I1142" s="571"/>
      <c r="J1142" s="580"/>
      <c r="K1142" s="39"/>
      <c r="L1142" s="16"/>
      <c r="M1142" s="39"/>
      <c r="N1142" s="536" t="s">
        <v>2318</v>
      </c>
    </row>
    <row r="1143" spans="1:14" s="544" customFormat="1" ht="16.5" hidden="1" customHeight="1">
      <c r="A1143" s="16"/>
      <c r="B1143" s="547" t="s">
        <v>310</v>
      </c>
      <c r="C1143" s="548">
        <v>1</v>
      </c>
      <c r="D1143" s="549" t="s">
        <v>273</v>
      </c>
      <c r="E1143" s="550">
        <v>1</v>
      </c>
      <c r="F1143" s="551">
        <v>0</v>
      </c>
      <c r="G1143" s="551">
        <v>0</v>
      </c>
      <c r="H1143" s="551">
        <v>0</v>
      </c>
      <c r="I1143" s="613">
        <f>ROUND(IF(AND(F1143:H1143),C1143*E1143*F1143*G1143*H1143,IF(AND(F1143,G1143),C1143*E1143*F1143*G1143,IF(AND(F1143,H1143),C1143*E1143*F1143*H1143,IF(AND(G1143,H1143),C1143*E1143*G1143*H1143,IF(F1143,C1143*E1143*F1143,IF(G1143,C1143*E1143*G1143,IF(H1143,C1143*E1143*H1143,C1143*E1143))))))),2)</f>
        <v>1</v>
      </c>
      <c r="J1143" s="580" t="s">
        <v>115</v>
      </c>
      <c r="K1143" s="39"/>
      <c r="L1143" s="16"/>
      <c r="M1143" s="39"/>
      <c r="N1143" s="536" t="s">
        <v>2318</v>
      </c>
    </row>
    <row r="1144" spans="1:14" s="544" customFormat="1" ht="16.5" hidden="1" customHeight="1">
      <c r="A1144" s="16"/>
      <c r="B1144" s="547"/>
      <c r="C1144" s="548"/>
      <c r="D1144" s="549"/>
      <c r="E1144" s="550"/>
      <c r="F1144" s="551"/>
      <c r="G1144" s="551"/>
      <c r="H1144" s="551"/>
      <c r="I1144" s="613"/>
      <c r="J1144" s="580"/>
      <c r="K1144" s="39"/>
      <c r="L1144" s="16"/>
      <c r="M1144" s="39"/>
      <c r="N1144" s="536" t="s">
        <v>2318</v>
      </c>
    </row>
    <row r="1145" spans="1:14" ht="15.75" hidden="1">
      <c r="A1145" s="16"/>
      <c r="B1145" s="39"/>
      <c r="C1145" s="554"/>
      <c r="D1145" s="555"/>
      <c r="E1145" s="540"/>
      <c r="F1145" s="541"/>
      <c r="G1145" s="40"/>
      <c r="H1145" s="16"/>
      <c r="I1145" s="613"/>
      <c r="J1145" s="580" t="s">
        <v>115</v>
      </c>
      <c r="K1145" s="10">
        <f>'SANI 2022-23'!G13</f>
        <v>1036</v>
      </c>
      <c r="L1145" s="208" t="s">
        <v>275</v>
      </c>
      <c r="M1145" s="9">
        <f>ROUND(I1145*K1145,0)</f>
        <v>0</v>
      </c>
      <c r="N1145" s="536" t="s">
        <v>2318</v>
      </c>
    </row>
    <row r="1146" spans="1:14" ht="57" hidden="1" customHeight="1">
      <c r="A1146" s="16">
        <v>8</v>
      </c>
      <c r="B1146" s="1858" t="s">
        <v>1254</v>
      </c>
      <c r="C1146" s="1858"/>
      <c r="D1146" s="1858"/>
      <c r="E1146" s="1858"/>
      <c r="F1146" s="1858"/>
      <c r="G1146" s="1858"/>
      <c r="H1146" s="1858"/>
      <c r="I1146" s="537"/>
      <c r="J1146" s="538"/>
      <c r="K1146" s="16"/>
      <c r="L1146" s="16"/>
      <c r="M1146" s="38"/>
      <c r="N1146" s="536" t="s">
        <v>2318</v>
      </c>
    </row>
    <row r="1147" spans="1:14" s="544" customFormat="1" ht="16.5" hidden="1" customHeight="1">
      <c r="A1147" s="16"/>
      <c r="B1147" s="39" t="s">
        <v>2918</v>
      </c>
      <c r="C1147" s="566"/>
      <c r="D1147" s="567"/>
      <c r="E1147" s="568"/>
      <c r="F1147" s="569"/>
      <c r="G1147" s="569"/>
      <c r="H1147" s="570"/>
      <c r="I1147" s="571"/>
      <c r="J1147" s="580"/>
      <c r="K1147" s="39"/>
      <c r="L1147" s="16"/>
      <c r="M1147" s="39"/>
      <c r="N1147" s="536" t="s">
        <v>2318</v>
      </c>
    </row>
    <row r="1148" spans="1:14" s="544" customFormat="1" ht="16.5" hidden="1" customHeight="1">
      <c r="A1148" s="16"/>
      <c r="B1148" s="547" t="s">
        <v>688</v>
      </c>
      <c r="C1148" s="548">
        <v>1</v>
      </c>
      <c r="D1148" s="549" t="s">
        <v>273</v>
      </c>
      <c r="E1148" s="550">
        <v>1</v>
      </c>
      <c r="F1148" s="551">
        <v>0</v>
      </c>
      <c r="G1148" s="551">
        <v>0</v>
      </c>
      <c r="H1148" s="551">
        <v>0</v>
      </c>
      <c r="I1148" s="613">
        <f>ROUND(IF(AND(F1148:H1148),C1148*E1148*F1148*G1148*H1148,IF(AND(F1148,G1148),C1148*E1148*F1148*G1148,IF(AND(F1148,H1148),C1148*E1148*F1148*H1148,IF(AND(G1148,H1148),C1148*E1148*G1148*H1148,IF(F1148,C1148*E1148*F1148,IF(G1148,C1148*E1148*G1148,IF(H1148,C1148*E1148*H1148,C1148*E1148))))))),2)</f>
        <v>1</v>
      </c>
      <c r="J1148" s="580" t="s">
        <v>115</v>
      </c>
      <c r="K1148" s="39"/>
      <c r="L1148" s="16"/>
      <c r="M1148" s="39"/>
      <c r="N1148" s="536" t="s">
        <v>2318</v>
      </c>
    </row>
    <row r="1149" spans="1:14" s="544" customFormat="1" ht="16.5" hidden="1" customHeight="1">
      <c r="A1149" s="16"/>
      <c r="B1149" s="547"/>
      <c r="C1149" s="548"/>
      <c r="D1149" s="549"/>
      <c r="E1149" s="550"/>
      <c r="F1149" s="551"/>
      <c r="G1149" s="551"/>
      <c r="H1149" s="551"/>
      <c r="I1149" s="613"/>
      <c r="J1149" s="580"/>
      <c r="K1149" s="39"/>
      <c r="L1149" s="16"/>
      <c r="M1149" s="39"/>
      <c r="N1149" s="536" t="s">
        <v>2318</v>
      </c>
    </row>
    <row r="1150" spans="1:14" ht="15.75" hidden="1">
      <c r="A1150" s="16"/>
      <c r="B1150" s="39"/>
      <c r="C1150" s="554"/>
      <c r="D1150" s="555"/>
      <c r="E1150" s="540"/>
      <c r="F1150" s="541"/>
      <c r="G1150" s="40"/>
      <c r="H1150" s="16"/>
      <c r="I1150" s="613"/>
      <c r="J1150" s="580" t="s">
        <v>115</v>
      </c>
      <c r="K1150" s="10">
        <f>'SANI 2022-23'!G16</f>
        <v>2644</v>
      </c>
      <c r="L1150" s="208" t="s">
        <v>275</v>
      </c>
      <c r="M1150" s="9">
        <f>ROUND(I1150*K1150,0)</f>
        <v>0</v>
      </c>
      <c r="N1150" s="536" t="s">
        <v>2318</v>
      </c>
    </row>
    <row r="1151" spans="1:14" ht="132.75" hidden="1" customHeight="1">
      <c r="A1151" s="16">
        <v>20</v>
      </c>
      <c r="B1151" s="1858" t="s">
        <v>333</v>
      </c>
      <c r="C1151" s="1858"/>
      <c r="D1151" s="1858"/>
      <c r="E1151" s="1858"/>
      <c r="F1151" s="1858"/>
      <c r="G1151" s="1858"/>
      <c r="H1151" s="1858"/>
      <c r="I1151" s="537"/>
      <c r="J1151" s="538"/>
      <c r="K1151" s="16"/>
      <c r="L1151" s="16"/>
      <c r="M1151" s="38"/>
      <c r="N1151" s="536" t="s">
        <v>2318</v>
      </c>
    </row>
    <row r="1152" spans="1:14" s="544" customFormat="1" ht="16.5" hidden="1" customHeight="1">
      <c r="A1152" s="16"/>
      <c r="B1152" s="39" t="s">
        <v>3084</v>
      </c>
      <c r="C1152" s="566"/>
      <c r="D1152" s="567"/>
      <c r="E1152" s="568"/>
      <c r="F1152" s="569"/>
      <c r="G1152" s="569"/>
      <c r="H1152" s="570"/>
      <c r="I1152" s="571"/>
      <c r="J1152" s="580"/>
      <c r="K1152" s="39"/>
      <c r="L1152" s="16"/>
      <c r="M1152" s="39"/>
      <c r="N1152" s="536" t="s">
        <v>2318</v>
      </c>
    </row>
    <row r="1153" spans="1:14" s="544" customFormat="1" ht="16.5" hidden="1" customHeight="1">
      <c r="A1153" s="16"/>
      <c r="B1153" s="582"/>
      <c r="C1153" s="583">
        <v>1</v>
      </c>
      <c r="D1153" s="584" t="s">
        <v>273</v>
      </c>
      <c r="E1153" s="585">
        <v>3</v>
      </c>
      <c r="F1153" s="586">
        <v>0</v>
      </c>
      <c r="G1153" s="586">
        <v>0</v>
      </c>
      <c r="H1153" s="586">
        <v>0</v>
      </c>
      <c r="I1153" s="613">
        <f>ROUND(IF(AND(F1153:H1153),C1153*E1153*F1153*G1153*H1153,IF(AND(F1153,G1153),C1153*E1153*F1153*G1153,IF(AND(F1153,H1153),C1153*E1153*F1153*H1153,IF(AND(G1153,H1153),C1153*E1153*G1153*H1153,IF(F1153,C1153*E1153*F1153,IF(G1153,C1153*E1153*G1153,IF(H1153,C1153*E1153*H1153,C1153*E1153))))))),2)</f>
        <v>3</v>
      </c>
      <c r="J1153" s="580" t="s">
        <v>115</v>
      </c>
      <c r="K1153" s="39"/>
      <c r="L1153" s="16"/>
      <c r="M1153" s="39"/>
      <c r="N1153" s="536" t="s">
        <v>2318</v>
      </c>
    </row>
    <row r="1154" spans="1:14" s="544" customFormat="1" ht="16.5" hidden="1" customHeight="1">
      <c r="A1154" s="16"/>
      <c r="B1154" s="582"/>
      <c r="C1154" s="583"/>
      <c r="D1154" s="584"/>
      <c r="E1154" s="585"/>
      <c r="F1154" s="586"/>
      <c r="G1154" s="586"/>
      <c r="H1154" s="586"/>
      <c r="I1154" s="613"/>
      <c r="J1154" s="580"/>
      <c r="K1154" s="39"/>
      <c r="L1154" s="16"/>
      <c r="M1154" s="39"/>
      <c r="N1154" s="536" t="s">
        <v>2318</v>
      </c>
    </row>
    <row r="1155" spans="1:14" ht="15.75" hidden="1">
      <c r="A1155" s="16"/>
      <c r="B1155" s="39"/>
      <c r="C1155" s="554"/>
      <c r="D1155" s="555"/>
      <c r="E1155" s="540"/>
      <c r="F1155" s="541"/>
      <c r="G1155" s="40"/>
      <c r="H1155" s="16"/>
      <c r="I1155" s="613"/>
      <c r="J1155" s="580" t="s">
        <v>115</v>
      </c>
      <c r="K1155" s="10">
        <f>'SANI 2022-23'!G24</f>
        <v>2025</v>
      </c>
      <c r="L1155" s="208" t="s">
        <v>275</v>
      </c>
      <c r="M1155" s="9">
        <f>ROUND(I1155*K1155,0)</f>
        <v>0</v>
      </c>
      <c r="N1155" s="536" t="s">
        <v>2318</v>
      </c>
    </row>
    <row r="1156" spans="1:14" s="956" customFormat="1" ht="21.75" customHeight="1">
      <c r="A1156" s="951">
        <v>10</v>
      </c>
      <c r="B1156" s="1872" t="s">
        <v>718</v>
      </c>
      <c r="C1156" s="1873"/>
      <c r="D1156" s="1873"/>
      <c r="E1156" s="1873"/>
      <c r="F1156" s="1873"/>
      <c r="G1156" s="1873"/>
      <c r="H1156" s="1874"/>
      <c r="I1156" s="989"/>
      <c r="J1156" s="953"/>
      <c r="K1156" s="951"/>
      <c r="L1156" s="951"/>
      <c r="M1156" s="954"/>
      <c r="N1156" s="955" t="s">
        <v>2318</v>
      </c>
    </row>
    <row r="1157" spans="1:14" s="965" customFormat="1" ht="16.5" customHeight="1">
      <c r="A1157" s="951"/>
      <c r="B1157" s="957" t="s">
        <v>3132</v>
      </c>
      <c r="C1157" s="958"/>
      <c r="D1157" s="959"/>
      <c r="E1157" s="960"/>
      <c r="F1157" s="961"/>
      <c r="G1157" s="961"/>
      <c r="H1157" s="962"/>
      <c r="I1157" s="991"/>
      <c r="J1157" s="987"/>
      <c r="K1157" s="957"/>
      <c r="L1157" s="951"/>
      <c r="M1157" s="957"/>
      <c r="N1157" s="955" t="s">
        <v>2318</v>
      </c>
    </row>
    <row r="1158" spans="1:14" s="965" customFormat="1" ht="16.5" customHeight="1">
      <c r="A1158" s="951"/>
      <c r="B1158" s="972"/>
      <c r="C1158" s="973">
        <v>1</v>
      </c>
      <c r="D1158" s="974" t="s">
        <v>273</v>
      </c>
      <c r="E1158" s="975">
        <v>3</v>
      </c>
      <c r="F1158" s="976">
        <v>0</v>
      </c>
      <c r="G1158" s="976">
        <v>0</v>
      </c>
      <c r="H1158" s="976">
        <v>0</v>
      </c>
      <c r="I1158" s="989">
        <f>ROUND(IF(AND(F1158:H1158),C1158*E1158*F1158*G1158*H1158,IF(AND(F1158,G1158),C1158*E1158*F1158*G1158,IF(AND(F1158,H1158),C1158*E1158*F1158*H1158,IF(AND(G1158,H1158),C1158*E1158*G1158*H1158,IF(F1158,C1158*E1158*F1158,IF(G1158,C1158*E1158*G1158,IF(H1158,C1158*E1158*H1158,C1158*E1158))))))),2)</f>
        <v>3</v>
      </c>
      <c r="J1158" s="987" t="s">
        <v>115</v>
      </c>
      <c r="K1158" s="957"/>
      <c r="L1158" s="951"/>
      <c r="M1158" s="957"/>
      <c r="N1158" s="955" t="s">
        <v>2318</v>
      </c>
    </row>
    <row r="1159" spans="1:14" s="965" customFormat="1" ht="16.5" customHeight="1">
      <c r="A1159" s="951"/>
      <c r="B1159" s="972"/>
      <c r="C1159" s="973"/>
      <c r="D1159" s="974"/>
      <c r="E1159" s="975"/>
      <c r="F1159" s="976"/>
      <c r="G1159" s="976"/>
      <c r="H1159" s="976"/>
      <c r="I1159" s="989"/>
      <c r="J1159" s="987"/>
      <c r="K1159" s="957"/>
      <c r="L1159" s="951"/>
      <c r="M1159" s="957"/>
      <c r="N1159" s="955" t="s">
        <v>2318</v>
      </c>
    </row>
    <row r="1160" spans="1:14" s="956" customFormat="1" ht="15.75">
      <c r="A1160" s="951"/>
      <c r="B1160" s="957"/>
      <c r="C1160" s="977"/>
      <c r="D1160" s="978"/>
      <c r="E1160" s="979"/>
      <c r="F1160" s="980"/>
      <c r="G1160" s="981"/>
      <c r="H1160" s="951"/>
      <c r="I1160" s="989"/>
      <c r="J1160" s="987" t="s">
        <v>115</v>
      </c>
      <c r="K1160" s="982">
        <f>'SANI 2022-23'!G146</f>
        <v>93</v>
      </c>
      <c r="L1160" s="983" t="s">
        <v>275</v>
      </c>
      <c r="M1160" s="984">
        <f>ROUND(I1160*K1160,0)</f>
        <v>0</v>
      </c>
      <c r="N1160" s="955" t="s">
        <v>2318</v>
      </c>
    </row>
    <row r="1161" spans="1:14" s="956" customFormat="1" ht="58.5" customHeight="1">
      <c r="A1161" s="951">
        <v>11</v>
      </c>
      <c r="B1161" s="1868" t="s">
        <v>290</v>
      </c>
      <c r="C1161" s="1868"/>
      <c r="D1161" s="1868"/>
      <c r="E1161" s="1868"/>
      <c r="F1161" s="1868"/>
      <c r="G1161" s="1868"/>
      <c r="H1161" s="1868"/>
      <c r="I1161" s="952"/>
      <c r="J1161" s="953"/>
      <c r="K1161" s="951"/>
      <c r="L1161" s="951"/>
      <c r="M1161" s="954"/>
      <c r="N1161" s="955" t="s">
        <v>2318</v>
      </c>
    </row>
    <row r="1162" spans="1:14" s="965" customFormat="1" ht="16.5" customHeight="1">
      <c r="A1162" s="951"/>
      <c r="B1162" s="957" t="s">
        <v>3132</v>
      </c>
      <c r="C1162" s="958"/>
      <c r="D1162" s="959"/>
      <c r="E1162" s="960"/>
      <c r="F1162" s="961"/>
      <c r="G1162" s="961"/>
      <c r="H1162" s="962"/>
      <c r="I1162" s="963"/>
      <c r="J1162" s="987"/>
      <c r="K1162" s="957"/>
      <c r="L1162" s="951"/>
      <c r="M1162" s="957"/>
      <c r="N1162" s="955" t="s">
        <v>2318</v>
      </c>
    </row>
    <row r="1163" spans="1:14" s="965" customFormat="1" ht="16.5" customHeight="1">
      <c r="A1163" s="951"/>
      <c r="B1163" s="966"/>
      <c r="C1163" s="967">
        <v>1</v>
      </c>
      <c r="D1163" s="968" t="s">
        <v>273</v>
      </c>
      <c r="E1163" s="969">
        <v>1</v>
      </c>
      <c r="F1163" s="992">
        <v>500</v>
      </c>
      <c r="G1163" s="970">
        <v>0</v>
      </c>
      <c r="H1163" s="970">
        <v>0</v>
      </c>
      <c r="I1163" s="971">
        <f>ROUND(IF(AND(F1163:H1163),C1163*E1163*F1163*G1163*H1163,IF(AND(F1163,G1163),C1163*E1163*F1163*G1163,IF(AND(F1163,H1163),C1163*E1163*F1163*H1163,IF(AND(G1163,H1163),C1163*E1163*G1163*H1163,IF(F1163,C1163*E1163*F1163,IF(G1163,C1163*E1163*G1163,IF(H1163,C1163*E1163*H1163,C1163*E1163))))))),2)</f>
        <v>500</v>
      </c>
      <c r="J1163" s="987" t="s">
        <v>291</v>
      </c>
      <c r="K1163" s="957"/>
      <c r="L1163" s="951"/>
      <c r="M1163" s="957"/>
      <c r="N1163" s="955" t="s">
        <v>2318</v>
      </c>
    </row>
    <row r="1164" spans="1:14" s="965" customFormat="1" ht="16.5" customHeight="1">
      <c r="A1164" s="951"/>
      <c r="B1164" s="966"/>
      <c r="C1164" s="967"/>
      <c r="D1164" s="968"/>
      <c r="E1164" s="969"/>
      <c r="F1164" s="992"/>
      <c r="G1164" s="970"/>
      <c r="H1164" s="970"/>
      <c r="I1164" s="971"/>
      <c r="J1164" s="987"/>
      <c r="K1164" s="957"/>
      <c r="L1164" s="951"/>
      <c r="M1164" s="957"/>
      <c r="N1164" s="955" t="s">
        <v>2318</v>
      </c>
    </row>
    <row r="1165" spans="1:14" s="956" customFormat="1" ht="15.75">
      <c r="A1165" s="951"/>
      <c r="B1165" s="957"/>
      <c r="C1165" s="977"/>
      <c r="D1165" s="978"/>
      <c r="E1165" s="979"/>
      <c r="F1165" s="980"/>
      <c r="G1165" s="981"/>
      <c r="H1165" s="951"/>
      <c r="I1165" s="971"/>
      <c r="J1165" s="987" t="s">
        <v>291</v>
      </c>
      <c r="K1165" s="982">
        <f>'SANI 2022-23'!G68</f>
        <v>9.5</v>
      </c>
      <c r="L1165" s="983" t="s">
        <v>2440</v>
      </c>
      <c r="M1165" s="984">
        <f>ROUND(I1165*K1165,0)</f>
        <v>0</v>
      </c>
      <c r="N1165" s="955" t="s">
        <v>2318</v>
      </c>
    </row>
    <row r="1166" spans="1:14" ht="146.25" hidden="1" customHeight="1">
      <c r="A1166" s="16">
        <v>10</v>
      </c>
      <c r="B1166" s="1858" t="s">
        <v>448</v>
      </c>
      <c r="C1166" s="1858"/>
      <c r="D1166" s="1858"/>
      <c r="E1166" s="1858"/>
      <c r="F1166" s="1858"/>
      <c r="G1166" s="1858"/>
      <c r="H1166" s="1858"/>
      <c r="I1166" s="537"/>
      <c r="J1166" s="538"/>
      <c r="K1166" s="16"/>
      <c r="L1166" s="16"/>
      <c r="M1166" s="38"/>
      <c r="N1166" s="536" t="s">
        <v>2318</v>
      </c>
    </row>
    <row r="1167" spans="1:14" s="544" customFormat="1" ht="16.5" hidden="1" customHeight="1">
      <c r="A1167" s="16"/>
      <c r="B1167" s="54" t="s">
        <v>2919</v>
      </c>
      <c r="C1167" s="566"/>
      <c r="D1167" s="567"/>
      <c r="E1167" s="568"/>
      <c r="F1167" s="569"/>
      <c r="G1167" s="569"/>
      <c r="H1167" s="570"/>
      <c r="I1167" s="571"/>
      <c r="J1167" s="580"/>
      <c r="K1167" s="39"/>
      <c r="L1167" s="16"/>
      <c r="M1167" s="39"/>
      <c r="N1167" s="536" t="s">
        <v>2318</v>
      </c>
    </row>
    <row r="1168" spans="1:14" s="544" customFormat="1" ht="16.5" hidden="1" customHeight="1">
      <c r="A1168" s="16"/>
      <c r="B1168" s="582" t="s">
        <v>588</v>
      </c>
      <c r="C1168" s="583">
        <v>1</v>
      </c>
      <c r="D1168" s="584" t="s">
        <v>273</v>
      </c>
      <c r="E1168" s="585">
        <v>1</v>
      </c>
      <c r="F1168" s="588">
        <v>58.85</v>
      </c>
      <c r="G1168" s="586">
        <v>0</v>
      </c>
      <c r="H1168" s="586">
        <v>0</v>
      </c>
      <c r="I1168" s="552"/>
      <c r="J1168" s="580" t="s">
        <v>277</v>
      </c>
      <c r="K1168" s="53">
        <f>'SANI 2022-23'!G107</f>
        <v>446.4</v>
      </c>
      <c r="L1168" s="208" t="s">
        <v>279</v>
      </c>
      <c r="M1168" s="9">
        <f>ROUND(I1168*K1168,0)</f>
        <v>0</v>
      </c>
      <c r="N1168" s="536" t="s">
        <v>2318</v>
      </c>
    </row>
    <row r="1169" spans="1:17" s="544" customFormat="1" ht="16.5" hidden="1" customHeight="1">
      <c r="A1169" s="16"/>
      <c r="B1169" s="547" t="s">
        <v>589</v>
      </c>
      <c r="C1169" s="548">
        <v>1</v>
      </c>
      <c r="D1169" s="549" t="s">
        <v>273</v>
      </c>
      <c r="E1169" s="550">
        <v>1</v>
      </c>
      <c r="F1169" s="616">
        <v>60</v>
      </c>
      <c r="G1169" s="551">
        <v>0</v>
      </c>
      <c r="H1169" s="551">
        <v>0</v>
      </c>
      <c r="I1169" s="552"/>
      <c r="J1169" s="580" t="s">
        <v>277</v>
      </c>
      <c r="K1169" s="53">
        <f>'SANI 2022-23'!G109</f>
        <v>477.6</v>
      </c>
      <c r="L1169" s="208" t="s">
        <v>279</v>
      </c>
      <c r="M1169" s="9">
        <f>ROUND(I1169*K1169,0)</f>
        <v>0</v>
      </c>
      <c r="N1169" s="536" t="s">
        <v>2318</v>
      </c>
    </row>
    <row r="1170" spans="1:17" s="544" customFormat="1" ht="16.5" hidden="1" customHeight="1">
      <c r="A1170" s="16"/>
      <c r="B1170" s="547" t="s">
        <v>590</v>
      </c>
      <c r="C1170" s="548">
        <v>1</v>
      </c>
      <c r="D1170" s="549" t="s">
        <v>273</v>
      </c>
      <c r="E1170" s="550">
        <v>1</v>
      </c>
      <c r="F1170" s="616">
        <v>60</v>
      </c>
      <c r="G1170" s="551">
        <v>0</v>
      </c>
      <c r="H1170" s="551">
        <v>0</v>
      </c>
      <c r="I1170" s="552"/>
      <c r="J1170" s="580" t="s">
        <v>277</v>
      </c>
      <c r="K1170" s="53">
        <f>'SANI 2022-23'!G111</f>
        <v>535.70000000000005</v>
      </c>
      <c r="L1170" s="208" t="s">
        <v>279</v>
      </c>
      <c r="M1170" s="9">
        <f>ROUND(I1170*K1170,0)</f>
        <v>0</v>
      </c>
      <c r="N1170" s="536" t="s">
        <v>2318</v>
      </c>
    </row>
    <row r="1171" spans="1:17" ht="15.75" hidden="1">
      <c r="A1171" s="16"/>
      <c r="B1171" s="39"/>
      <c r="C1171" s="554"/>
      <c r="D1171" s="555"/>
      <c r="E1171" s="540"/>
      <c r="F1171" s="541"/>
      <c r="G1171" s="40"/>
      <c r="H1171" s="16"/>
      <c r="I1171" s="552"/>
      <c r="J1171" s="580"/>
      <c r="K1171" s="10"/>
      <c r="L1171" s="10"/>
      <c r="M1171" s="9"/>
      <c r="N1171" s="536" t="s">
        <v>2318</v>
      </c>
    </row>
    <row r="1172" spans="1:17" ht="43.5" hidden="1" customHeight="1">
      <c r="A1172" s="16">
        <v>11</v>
      </c>
      <c r="B1172" s="1858" t="s">
        <v>449</v>
      </c>
      <c r="C1172" s="1858"/>
      <c r="D1172" s="1858"/>
      <c r="E1172" s="1858"/>
      <c r="F1172" s="1858"/>
      <c r="G1172" s="1858"/>
      <c r="H1172" s="1858"/>
      <c r="I1172" s="537"/>
      <c r="J1172" s="538"/>
      <c r="K1172" s="16"/>
      <c r="L1172" s="16"/>
      <c r="M1172" s="38"/>
      <c r="N1172" s="536" t="s">
        <v>2318</v>
      </c>
    </row>
    <row r="1173" spans="1:17" s="544" customFormat="1" ht="16.5" hidden="1" customHeight="1">
      <c r="A1173" s="16"/>
      <c r="B1173" s="54" t="s">
        <v>2919</v>
      </c>
      <c r="C1173" s="566"/>
      <c r="D1173" s="567"/>
      <c r="E1173" s="568"/>
      <c r="F1173" s="569"/>
      <c r="G1173" s="569"/>
      <c r="H1173" s="570"/>
      <c r="I1173" s="571"/>
      <c r="J1173" s="580"/>
      <c r="K1173" s="39"/>
      <c r="L1173" s="16"/>
      <c r="M1173" s="39"/>
      <c r="N1173" s="536" t="s">
        <v>2318</v>
      </c>
    </row>
    <row r="1174" spans="1:17" s="544" customFormat="1" ht="16.5" hidden="1" customHeight="1">
      <c r="A1174" s="16"/>
      <c r="B1174" s="582"/>
      <c r="C1174" s="583">
        <v>1</v>
      </c>
      <c r="D1174" s="584" t="s">
        <v>273</v>
      </c>
      <c r="E1174" s="585">
        <v>1</v>
      </c>
      <c r="F1174" s="588">
        <v>6</v>
      </c>
      <c r="G1174" s="586">
        <v>0</v>
      </c>
      <c r="H1174" s="586">
        <v>0</v>
      </c>
      <c r="I1174" s="552">
        <f>ROUND(IF(AND(F1174:H1174),C1174*E1174*F1174*G1174*H1174,IF(AND(F1174,G1174),C1174*E1174*F1174*G1174,IF(AND(F1174,H1174),C1174*E1174*F1174*H1174,IF(AND(G1174,H1174),C1174*E1174*G1174*H1174,IF(F1174,C1174*E1174*F1174,IF(G1174,C1174*E1174*G1174,IF(H1174,C1174*E1174*H1174,C1174*E1174))))))),2)</f>
        <v>6</v>
      </c>
      <c r="J1174" s="580" t="s">
        <v>277</v>
      </c>
      <c r="K1174" s="39"/>
      <c r="L1174" s="16"/>
      <c r="M1174" s="39"/>
      <c r="N1174" s="536" t="s">
        <v>2318</v>
      </c>
    </row>
    <row r="1175" spans="1:17" s="544" customFormat="1" ht="16.5" hidden="1" customHeight="1">
      <c r="A1175" s="16"/>
      <c r="B1175" s="582"/>
      <c r="C1175" s="583"/>
      <c r="D1175" s="584"/>
      <c r="E1175" s="585"/>
      <c r="F1175" s="588"/>
      <c r="G1175" s="586"/>
      <c r="H1175" s="586"/>
      <c r="I1175" s="552"/>
      <c r="J1175" s="580"/>
      <c r="K1175" s="39"/>
      <c r="L1175" s="16"/>
      <c r="M1175" s="39"/>
      <c r="N1175" s="536" t="s">
        <v>2318</v>
      </c>
    </row>
    <row r="1176" spans="1:17" ht="15.75" hidden="1">
      <c r="A1176" s="16"/>
      <c r="B1176" s="39"/>
      <c r="C1176" s="554"/>
      <c r="D1176" s="555"/>
      <c r="E1176" s="540"/>
      <c r="F1176" s="541"/>
      <c r="G1176" s="40"/>
      <c r="H1176" s="16"/>
      <c r="I1176" s="552"/>
      <c r="J1176" s="580" t="s">
        <v>277</v>
      </c>
      <c r="K1176" s="10">
        <f>'SANI 2022-23'!G121</f>
        <v>325</v>
      </c>
      <c r="L1176" s="208" t="s">
        <v>279</v>
      </c>
      <c r="M1176" s="9">
        <f>ROUND(I1176*K1176,0)</f>
        <v>0</v>
      </c>
      <c r="N1176" s="536" t="s">
        <v>2318</v>
      </c>
    </row>
    <row r="1177" spans="1:17" s="620" customFormat="1" ht="44.25" hidden="1" customHeight="1">
      <c r="A1177" s="617">
        <v>12</v>
      </c>
      <c r="B1177" s="1870" t="s">
        <v>1536</v>
      </c>
      <c r="C1177" s="1870"/>
      <c r="D1177" s="1870"/>
      <c r="E1177" s="1870"/>
      <c r="F1177" s="1870"/>
      <c r="G1177" s="1870"/>
      <c r="H1177" s="1870"/>
      <c r="I1177" s="618"/>
      <c r="J1177" s="221"/>
      <c r="K1177" s="617"/>
      <c r="L1177" s="617"/>
      <c r="M1177" s="619"/>
      <c r="N1177" s="536" t="s">
        <v>2318</v>
      </c>
      <c r="O1177" s="620" t="s">
        <v>0</v>
      </c>
      <c r="Q1177" s="620" t="s">
        <v>0</v>
      </c>
    </row>
    <row r="1178" spans="1:17" s="544" customFormat="1" ht="16.5" hidden="1" customHeight="1">
      <c r="A1178" s="16"/>
      <c r="B1178" s="54" t="s">
        <v>2920</v>
      </c>
      <c r="C1178" s="566"/>
      <c r="D1178" s="567"/>
      <c r="E1178" s="568"/>
      <c r="F1178" s="569"/>
      <c r="G1178" s="569"/>
      <c r="H1178" s="570"/>
      <c r="I1178" s="571"/>
      <c r="J1178" s="580"/>
      <c r="K1178" s="39"/>
      <c r="L1178" s="16"/>
      <c r="M1178" s="39"/>
      <c r="N1178" s="536" t="s">
        <v>2318</v>
      </c>
    </row>
    <row r="1179" spans="1:17" s="620" customFormat="1" ht="15.75" hidden="1">
      <c r="A1179" s="617"/>
      <c r="B1179" s="556"/>
      <c r="C1179" s="621">
        <v>1</v>
      </c>
      <c r="D1179" s="558" t="s">
        <v>273</v>
      </c>
      <c r="E1179" s="221">
        <v>1</v>
      </c>
      <c r="F1179" s="559">
        <v>0</v>
      </c>
      <c r="G1179" s="622">
        <v>0</v>
      </c>
      <c r="H1179" s="559">
        <v>0</v>
      </c>
      <c r="I1179" s="623">
        <f>ROUND(IF(AND(F1179:H1179),C1179*E1179*F1179*G1179*H1179,IF(AND(F1179,G1179),C1179*E1179*F1179*G1179,IF(AND(F1179,H1179),C1179*E1179*F1179*H1179,IF(AND(G1179,H1179),C1179*E1179*G1179*H1179,IF(F1179,C1179*E1179*F1179,IF(G1179,C1179*E1179*G1179,IF(H1179,C1179*E1179*H1179,C1179*E1179))))))),2)</f>
        <v>1</v>
      </c>
      <c r="J1179" s="354" t="s">
        <v>115</v>
      </c>
      <c r="K1179" s="617"/>
      <c r="L1179" s="617"/>
      <c r="M1179" s="619"/>
      <c r="N1179" s="536" t="s">
        <v>2318</v>
      </c>
    </row>
    <row r="1180" spans="1:17" s="620" customFormat="1" ht="15.75" hidden="1">
      <c r="A1180" s="617"/>
      <c r="B1180" s="556"/>
      <c r="C1180" s="621"/>
      <c r="D1180" s="558"/>
      <c r="E1180" s="221"/>
      <c r="F1180" s="559"/>
      <c r="G1180" s="622"/>
      <c r="H1180" s="559"/>
      <c r="I1180" s="623"/>
      <c r="J1180" s="354"/>
      <c r="K1180" s="617"/>
      <c r="L1180" s="617"/>
      <c r="M1180" s="619"/>
      <c r="N1180" s="536" t="s">
        <v>2318</v>
      </c>
    </row>
    <row r="1181" spans="1:17" s="620" customFormat="1" ht="15.75" hidden="1">
      <c r="A1181" s="617"/>
      <c r="B1181" s="624"/>
      <c r="C1181" s="625"/>
      <c r="D1181" s="626"/>
      <c r="E1181" s="221"/>
      <c r="F1181" s="627"/>
      <c r="G1181" s="628"/>
      <c r="H1181" s="627"/>
      <c r="I1181" s="629"/>
      <c r="J1181" s="354" t="s">
        <v>115</v>
      </c>
      <c r="K1181" s="622">
        <f>'SANI 2022-23'!G118</f>
        <v>18370</v>
      </c>
      <c r="L1181" s="208" t="s">
        <v>275</v>
      </c>
      <c r="M1181" s="630">
        <f>ROUND(I1181*K1181,0)</f>
        <v>0</v>
      </c>
      <c r="N1181" s="536" t="s">
        <v>2318</v>
      </c>
      <c r="O1181" s="620" t="s">
        <v>0</v>
      </c>
    </row>
    <row r="1182" spans="1:17" s="620" customFormat="1" ht="30.75" hidden="1" customHeight="1">
      <c r="A1182" s="617">
        <v>13</v>
      </c>
      <c r="B1182" s="1870" t="s">
        <v>591</v>
      </c>
      <c r="C1182" s="1870"/>
      <c r="D1182" s="1870"/>
      <c r="E1182" s="1870"/>
      <c r="F1182" s="1870"/>
      <c r="G1182" s="1870"/>
      <c r="H1182" s="1870"/>
      <c r="I1182" s="618"/>
      <c r="J1182" s="221"/>
      <c r="K1182" s="617"/>
      <c r="L1182" s="617"/>
      <c r="M1182" s="619"/>
      <c r="N1182" s="536" t="s">
        <v>2318</v>
      </c>
      <c r="O1182" s="620" t="s">
        <v>0</v>
      </c>
      <c r="Q1182" s="620" t="s">
        <v>0</v>
      </c>
    </row>
    <row r="1183" spans="1:17" s="544" customFormat="1" ht="16.5" hidden="1" customHeight="1">
      <c r="A1183" s="16"/>
      <c r="B1183" s="54" t="s">
        <v>2920</v>
      </c>
      <c r="C1183" s="566"/>
      <c r="D1183" s="567"/>
      <c r="E1183" s="568"/>
      <c r="F1183" s="569"/>
      <c r="G1183" s="569"/>
      <c r="H1183" s="570"/>
      <c r="I1183" s="571"/>
      <c r="J1183" s="580"/>
      <c r="K1183" s="39"/>
      <c r="L1183" s="16"/>
      <c r="M1183" s="39"/>
      <c r="N1183" s="536" t="s">
        <v>2318</v>
      </c>
    </row>
    <row r="1184" spans="1:17" s="620" customFormat="1" ht="15.75" hidden="1">
      <c r="A1184" s="617"/>
      <c r="B1184" s="556"/>
      <c r="C1184" s="621">
        <v>1</v>
      </c>
      <c r="D1184" s="558" t="s">
        <v>273</v>
      </c>
      <c r="E1184" s="221">
        <v>1</v>
      </c>
      <c r="F1184" s="631">
        <v>58</v>
      </c>
      <c r="G1184" s="622">
        <v>0</v>
      </c>
      <c r="H1184" s="559">
        <v>0</v>
      </c>
      <c r="I1184" s="632">
        <f>ROUND(IF(AND(F1184:H1184),C1184*E1184*F1184*G1184*H1184,IF(AND(F1184,G1184),C1184*E1184*F1184*G1184,IF(AND(F1184,H1184),C1184*E1184*F1184*H1184,IF(AND(G1184,H1184),C1184*E1184*G1184*H1184,IF(F1184,C1184*E1184*F1184,IF(G1184,C1184*E1184*G1184,IF(H1184,C1184*E1184*H1184,C1184*E1184))))))),2)</f>
        <v>58</v>
      </c>
      <c r="J1184" s="354" t="s">
        <v>277</v>
      </c>
      <c r="K1184" s="617"/>
      <c r="L1184" s="617"/>
      <c r="M1184" s="619"/>
      <c r="N1184" s="536" t="s">
        <v>2318</v>
      </c>
    </row>
    <row r="1185" spans="1:17" s="620" customFormat="1" ht="15.75" hidden="1">
      <c r="A1185" s="617"/>
      <c r="B1185" s="556"/>
      <c r="C1185" s="621"/>
      <c r="D1185" s="558"/>
      <c r="E1185" s="221"/>
      <c r="F1185" s="631"/>
      <c r="G1185" s="622"/>
      <c r="H1185" s="559"/>
      <c r="I1185" s="632"/>
      <c r="J1185" s="354"/>
      <c r="K1185" s="617"/>
      <c r="L1185" s="617"/>
      <c r="M1185" s="619"/>
      <c r="N1185" s="536" t="s">
        <v>2318</v>
      </c>
    </row>
    <row r="1186" spans="1:17" s="620" customFormat="1" ht="15.75" hidden="1">
      <c r="A1186" s="617"/>
      <c r="B1186" s="624"/>
      <c r="C1186" s="625"/>
      <c r="D1186" s="626"/>
      <c r="E1186" s="221"/>
      <c r="F1186" s="627"/>
      <c r="G1186" s="628"/>
      <c r="H1186" s="627"/>
      <c r="I1186" s="633"/>
      <c r="J1186" s="354" t="s">
        <v>277</v>
      </c>
      <c r="K1186" s="622">
        <f>'SANI 2022-23'!G124</f>
        <v>85</v>
      </c>
      <c r="L1186" s="208" t="s">
        <v>279</v>
      </c>
      <c r="M1186" s="630">
        <f>ROUND(I1186*K1186,0)</f>
        <v>0</v>
      </c>
      <c r="N1186" s="536" t="s">
        <v>2318</v>
      </c>
      <c r="O1186" s="620" t="s">
        <v>0</v>
      </c>
    </row>
    <row r="1187" spans="1:17" s="620" customFormat="1" ht="20.25" hidden="1" customHeight="1">
      <c r="A1187" s="617">
        <v>14</v>
      </c>
      <c r="B1187" s="1870" t="s">
        <v>284</v>
      </c>
      <c r="C1187" s="1870"/>
      <c r="D1187" s="1870"/>
      <c r="E1187" s="1870"/>
      <c r="F1187" s="1870"/>
      <c r="G1187" s="1870"/>
      <c r="H1187" s="1870"/>
      <c r="I1187" s="618"/>
      <c r="J1187" s="221"/>
      <c r="K1187" s="617"/>
      <c r="L1187" s="617"/>
      <c r="M1187" s="619"/>
      <c r="N1187" s="536" t="s">
        <v>2318</v>
      </c>
      <c r="O1187" s="620" t="s">
        <v>0</v>
      </c>
      <c r="Q1187" s="620" t="s">
        <v>0</v>
      </c>
    </row>
    <row r="1188" spans="1:17" s="544" customFormat="1" ht="16.5" hidden="1" customHeight="1">
      <c r="A1188" s="16"/>
      <c r="B1188" s="54" t="s">
        <v>2920</v>
      </c>
      <c r="C1188" s="566"/>
      <c r="D1188" s="567"/>
      <c r="E1188" s="568"/>
      <c r="F1188" s="569"/>
      <c r="G1188" s="569"/>
      <c r="H1188" s="570"/>
      <c r="I1188" s="571"/>
      <c r="J1188" s="580"/>
      <c r="K1188" s="39"/>
      <c r="L1188" s="16"/>
      <c r="M1188" s="39"/>
      <c r="N1188" s="536" t="s">
        <v>2318</v>
      </c>
    </row>
    <row r="1189" spans="1:17" s="620" customFormat="1" ht="15.75" hidden="1">
      <c r="A1189" s="617"/>
      <c r="B1189" s="556"/>
      <c r="C1189" s="621">
        <v>1</v>
      </c>
      <c r="D1189" s="558" t="s">
        <v>273</v>
      </c>
      <c r="E1189" s="221">
        <v>1</v>
      </c>
      <c r="F1189" s="559">
        <v>0</v>
      </c>
      <c r="G1189" s="622">
        <v>0</v>
      </c>
      <c r="H1189" s="559">
        <v>0</v>
      </c>
      <c r="I1189" s="623">
        <f>ROUND(IF(AND(F1189:H1189),C1189*E1189*F1189*G1189*H1189,IF(AND(F1189,G1189),C1189*E1189*F1189*G1189,IF(AND(F1189,H1189),C1189*E1189*F1189*H1189,IF(AND(G1189,H1189),C1189*E1189*G1189*H1189,IF(F1189,C1189*E1189*F1189,IF(G1189,C1189*E1189*G1189,IF(H1189,C1189*E1189*H1189,C1189*E1189))))))),2)</f>
        <v>1</v>
      </c>
      <c r="J1189" s="354" t="s">
        <v>115</v>
      </c>
      <c r="K1189" s="617"/>
      <c r="L1189" s="617"/>
      <c r="M1189" s="619"/>
      <c r="N1189" s="536" t="s">
        <v>2318</v>
      </c>
    </row>
    <row r="1190" spans="1:17" s="620" customFormat="1" ht="15.75" hidden="1">
      <c r="A1190" s="617"/>
      <c r="B1190" s="556"/>
      <c r="C1190" s="621"/>
      <c r="D1190" s="558"/>
      <c r="E1190" s="221"/>
      <c r="F1190" s="559"/>
      <c r="G1190" s="622"/>
      <c r="H1190" s="559"/>
      <c r="I1190" s="623"/>
      <c r="J1190" s="354"/>
      <c r="K1190" s="617"/>
      <c r="L1190" s="617"/>
      <c r="M1190" s="619"/>
      <c r="N1190" s="536" t="s">
        <v>2318</v>
      </c>
    </row>
    <row r="1191" spans="1:17" s="620" customFormat="1" ht="15.75" hidden="1">
      <c r="A1191" s="617"/>
      <c r="B1191" s="624"/>
      <c r="C1191" s="625"/>
      <c r="D1191" s="626"/>
      <c r="E1191" s="221"/>
      <c r="F1191" s="627"/>
      <c r="G1191" s="628"/>
      <c r="H1191" s="627"/>
      <c r="I1191" s="629"/>
      <c r="J1191" s="354" t="s">
        <v>115</v>
      </c>
      <c r="K1191" s="622">
        <f>'SANI 2022-23'!G130</f>
        <v>300</v>
      </c>
      <c r="L1191" s="208" t="s">
        <v>275</v>
      </c>
      <c r="M1191" s="630">
        <f>ROUND(I1191*K1191,0)</f>
        <v>0</v>
      </c>
      <c r="N1191" s="536" t="s">
        <v>2318</v>
      </c>
      <c r="O1191" s="620" t="s">
        <v>0</v>
      </c>
    </row>
    <row r="1192" spans="1:17" s="620" customFormat="1" ht="20.25" hidden="1" customHeight="1">
      <c r="A1192" s="617">
        <v>15</v>
      </c>
      <c r="B1192" s="1870" t="s">
        <v>285</v>
      </c>
      <c r="C1192" s="1870"/>
      <c r="D1192" s="1870"/>
      <c r="E1192" s="1870"/>
      <c r="F1192" s="1870"/>
      <c r="G1192" s="1870"/>
      <c r="H1192" s="1870"/>
      <c r="I1192" s="618"/>
      <c r="J1192" s="221"/>
      <c r="K1192" s="617"/>
      <c r="L1192" s="617"/>
      <c r="M1192" s="619"/>
      <c r="N1192" s="536" t="s">
        <v>2318</v>
      </c>
      <c r="O1192" s="620" t="s">
        <v>0</v>
      </c>
      <c r="Q1192" s="620" t="s">
        <v>0</v>
      </c>
    </row>
    <row r="1193" spans="1:17" s="544" customFormat="1" ht="16.5" hidden="1" customHeight="1">
      <c r="A1193" s="16"/>
      <c r="B1193" s="39" t="s">
        <v>2142</v>
      </c>
      <c r="C1193" s="566"/>
      <c r="D1193" s="567"/>
      <c r="E1193" s="568"/>
      <c r="F1193" s="569"/>
      <c r="G1193" s="569"/>
      <c r="H1193" s="570"/>
      <c r="I1193" s="571"/>
      <c r="J1193" s="580"/>
      <c r="K1193" s="39"/>
      <c r="L1193" s="16"/>
      <c r="M1193" s="39"/>
      <c r="N1193" s="536" t="s">
        <v>2318</v>
      </c>
    </row>
    <row r="1194" spans="1:17" s="620" customFormat="1" ht="15.75" hidden="1">
      <c r="A1194" s="617"/>
      <c r="B1194" s="556"/>
      <c r="C1194" s="621">
        <v>1</v>
      </c>
      <c r="D1194" s="558" t="s">
        <v>273</v>
      </c>
      <c r="E1194" s="221">
        <v>1</v>
      </c>
      <c r="F1194" s="559">
        <v>0.5</v>
      </c>
      <c r="G1194" s="622">
        <v>0</v>
      </c>
      <c r="H1194" s="559">
        <v>0</v>
      </c>
      <c r="I1194" s="632">
        <f>ROUND(IF(AND(F1194:H1194),C1194*E1194*F1194*G1194*H1194,IF(AND(F1194,G1194),C1194*E1194*F1194*G1194,IF(AND(F1194,H1194),C1194*E1194*F1194*H1194,IF(AND(G1194,H1194),C1194*E1194*G1194*H1194,IF(F1194,C1194*E1194*F1194,IF(G1194,C1194*E1194*G1194,IF(H1194,C1194*E1194*H1194,C1194*E1194))))))),2)</f>
        <v>0.5</v>
      </c>
      <c r="J1194" s="354" t="s">
        <v>277</v>
      </c>
      <c r="K1194" s="617"/>
      <c r="L1194" s="617"/>
      <c r="M1194" s="619"/>
      <c r="N1194" s="536" t="s">
        <v>2318</v>
      </c>
    </row>
    <row r="1195" spans="1:17" s="620" customFormat="1" ht="15.75" hidden="1">
      <c r="A1195" s="617"/>
      <c r="B1195" s="556"/>
      <c r="C1195" s="621"/>
      <c r="D1195" s="558"/>
      <c r="E1195" s="221"/>
      <c r="F1195" s="559"/>
      <c r="G1195" s="622"/>
      <c r="H1195" s="559"/>
      <c r="I1195" s="632"/>
      <c r="J1195" s="354"/>
      <c r="K1195" s="617"/>
      <c r="L1195" s="617"/>
      <c r="M1195" s="619"/>
      <c r="N1195" s="536" t="s">
        <v>2318</v>
      </c>
    </row>
    <row r="1196" spans="1:17" s="620" customFormat="1" ht="15.75" hidden="1">
      <c r="A1196" s="617"/>
      <c r="B1196" s="624"/>
      <c r="C1196" s="625"/>
      <c r="D1196" s="626"/>
      <c r="E1196" s="221"/>
      <c r="F1196" s="627"/>
      <c r="G1196" s="628"/>
      <c r="H1196" s="627"/>
      <c r="I1196" s="633"/>
      <c r="J1196" s="354" t="s">
        <v>277</v>
      </c>
      <c r="K1196" s="622">
        <f>'SANI 2022-23'!G133</f>
        <v>400</v>
      </c>
      <c r="L1196" s="208" t="s">
        <v>279</v>
      </c>
      <c r="M1196" s="630">
        <f>ROUND(I1196*K1196,0)</f>
        <v>0</v>
      </c>
      <c r="N1196" s="536" t="s">
        <v>2318</v>
      </c>
      <c r="O1196" s="620" t="s">
        <v>0</v>
      </c>
    </row>
    <row r="1197" spans="1:17" s="620" customFormat="1" ht="20.25" hidden="1" customHeight="1">
      <c r="A1197" s="617">
        <v>17</v>
      </c>
      <c r="B1197" s="1870" t="s">
        <v>286</v>
      </c>
      <c r="C1197" s="1870"/>
      <c r="D1197" s="1870"/>
      <c r="E1197" s="1870"/>
      <c r="F1197" s="1870"/>
      <c r="G1197" s="1870"/>
      <c r="H1197" s="1870"/>
      <c r="I1197" s="618"/>
      <c r="J1197" s="221"/>
      <c r="K1197" s="617"/>
      <c r="L1197" s="617"/>
      <c r="M1197" s="619"/>
      <c r="N1197" s="536" t="s">
        <v>2318</v>
      </c>
      <c r="O1197" s="620" t="s">
        <v>0</v>
      </c>
      <c r="Q1197" s="620" t="s">
        <v>0</v>
      </c>
    </row>
    <row r="1198" spans="1:17" s="544" customFormat="1" ht="16.5" hidden="1" customHeight="1">
      <c r="A1198" s="16"/>
      <c r="B1198" s="39" t="s">
        <v>2908</v>
      </c>
      <c r="C1198" s="566"/>
      <c r="D1198" s="567"/>
      <c r="E1198" s="568"/>
      <c r="F1198" s="569"/>
      <c r="G1198" s="569"/>
      <c r="H1198" s="570"/>
      <c r="I1198" s="571"/>
      <c r="J1198" s="580"/>
      <c r="K1198" s="39"/>
      <c r="L1198" s="16"/>
      <c r="M1198" s="39"/>
      <c r="N1198" s="536" t="s">
        <v>2318</v>
      </c>
    </row>
    <row r="1199" spans="1:17" s="620" customFormat="1" ht="15.75" hidden="1">
      <c r="A1199" s="617"/>
      <c r="B1199" s="556"/>
      <c r="C1199" s="621">
        <v>1</v>
      </c>
      <c r="D1199" s="558" t="s">
        <v>273</v>
      </c>
      <c r="E1199" s="221">
        <v>1</v>
      </c>
      <c r="F1199" s="559">
        <v>0</v>
      </c>
      <c r="G1199" s="622">
        <v>0</v>
      </c>
      <c r="H1199" s="559">
        <v>0</v>
      </c>
      <c r="I1199" s="623">
        <f>ROUND(IF(AND(F1199:H1199),C1199*E1199*F1199*G1199*H1199,IF(AND(F1199,G1199),C1199*E1199*F1199*G1199,IF(AND(F1199,H1199),C1199*E1199*F1199*H1199,IF(AND(G1199,H1199),C1199*E1199*G1199*H1199,IF(F1199,C1199*E1199*F1199,IF(G1199,C1199*E1199*G1199,IF(H1199,C1199*E1199*H1199,C1199*E1199))))))),2)</f>
        <v>1</v>
      </c>
      <c r="J1199" s="354" t="s">
        <v>115</v>
      </c>
      <c r="K1199" s="617"/>
      <c r="L1199" s="617"/>
      <c r="M1199" s="619"/>
      <c r="N1199" s="536" t="s">
        <v>2318</v>
      </c>
    </row>
    <row r="1200" spans="1:17" s="620" customFormat="1" ht="15.75" hidden="1">
      <c r="A1200" s="617"/>
      <c r="B1200" s="556"/>
      <c r="C1200" s="621"/>
      <c r="D1200" s="558"/>
      <c r="E1200" s="221"/>
      <c r="F1200" s="559"/>
      <c r="G1200" s="622"/>
      <c r="H1200" s="559"/>
      <c r="I1200" s="623"/>
      <c r="J1200" s="354"/>
      <c r="K1200" s="617"/>
      <c r="L1200" s="617"/>
      <c r="M1200" s="619"/>
      <c r="N1200" s="536" t="s">
        <v>2318</v>
      </c>
    </row>
    <row r="1201" spans="1:17" s="620" customFormat="1" ht="15.75" hidden="1">
      <c r="A1201" s="617"/>
      <c r="B1201" s="624"/>
      <c r="C1201" s="625"/>
      <c r="D1201" s="626"/>
      <c r="E1201" s="221"/>
      <c r="F1201" s="627"/>
      <c r="G1201" s="628"/>
      <c r="H1201" s="627"/>
      <c r="I1201" s="629"/>
      <c r="J1201" s="354" t="s">
        <v>115</v>
      </c>
      <c r="K1201" s="622">
        <f>'SANI 2022-23'!G136</f>
        <v>77</v>
      </c>
      <c r="L1201" s="208" t="s">
        <v>275</v>
      </c>
      <c r="M1201" s="630">
        <f>ROUND(I1201*K1201,0)</f>
        <v>0</v>
      </c>
      <c r="N1201" s="536" t="s">
        <v>2318</v>
      </c>
      <c r="O1201" s="620" t="s">
        <v>0</v>
      </c>
    </row>
    <row r="1202" spans="1:17" s="620" customFormat="1" ht="20.25" hidden="1" customHeight="1">
      <c r="A1202" s="617">
        <v>18</v>
      </c>
      <c r="B1202" s="1870" t="s">
        <v>287</v>
      </c>
      <c r="C1202" s="1870"/>
      <c r="D1202" s="1870"/>
      <c r="E1202" s="1870"/>
      <c r="F1202" s="1870"/>
      <c r="G1202" s="1870"/>
      <c r="H1202" s="1870"/>
      <c r="I1202" s="618"/>
      <c r="J1202" s="221"/>
      <c r="K1202" s="617"/>
      <c r="L1202" s="617"/>
      <c r="M1202" s="619"/>
      <c r="N1202" s="536" t="s">
        <v>2318</v>
      </c>
      <c r="O1202" s="620" t="s">
        <v>0</v>
      </c>
      <c r="Q1202" s="620" t="s">
        <v>0</v>
      </c>
    </row>
    <row r="1203" spans="1:17" s="544" customFormat="1" ht="16.5" hidden="1" customHeight="1">
      <c r="A1203" s="16"/>
      <c r="B1203" s="54" t="s">
        <v>2921</v>
      </c>
      <c r="C1203" s="566"/>
      <c r="D1203" s="567"/>
      <c r="E1203" s="568"/>
      <c r="F1203" s="569"/>
      <c r="G1203" s="569"/>
      <c r="H1203" s="570"/>
      <c r="I1203" s="571"/>
      <c r="J1203" s="580"/>
      <c r="K1203" s="39"/>
      <c r="L1203" s="16"/>
      <c r="M1203" s="39"/>
      <c r="N1203" s="536" t="s">
        <v>2318</v>
      </c>
    </row>
    <row r="1204" spans="1:17" s="620" customFormat="1" ht="15.75" hidden="1">
      <c r="A1204" s="617"/>
      <c r="B1204" s="556"/>
      <c r="C1204" s="621">
        <v>1</v>
      </c>
      <c r="D1204" s="558" t="s">
        <v>273</v>
      </c>
      <c r="E1204" s="221">
        <v>1</v>
      </c>
      <c r="F1204" s="559">
        <v>0</v>
      </c>
      <c r="G1204" s="622">
        <v>0</v>
      </c>
      <c r="H1204" s="559">
        <v>0</v>
      </c>
      <c r="I1204" s="623">
        <f>ROUND(IF(AND(F1204:H1204),C1204*E1204*F1204*G1204*H1204,IF(AND(F1204,G1204),C1204*E1204*F1204*G1204,IF(AND(F1204,H1204),C1204*E1204*F1204*H1204,IF(AND(G1204,H1204),C1204*E1204*G1204*H1204,IF(F1204,C1204*E1204*F1204,IF(G1204,C1204*E1204*G1204,IF(H1204,C1204*E1204*H1204,C1204*E1204))))))),2)</f>
        <v>1</v>
      </c>
      <c r="J1204" s="354" t="s">
        <v>115</v>
      </c>
      <c r="K1204" s="617"/>
      <c r="L1204" s="617"/>
      <c r="M1204" s="619"/>
      <c r="N1204" s="536" t="s">
        <v>2318</v>
      </c>
    </row>
    <row r="1205" spans="1:17" s="620" customFormat="1" ht="15.75" hidden="1">
      <c r="A1205" s="617"/>
      <c r="B1205" s="556"/>
      <c r="C1205" s="621"/>
      <c r="D1205" s="558"/>
      <c r="E1205" s="221"/>
      <c r="F1205" s="559"/>
      <c r="G1205" s="622"/>
      <c r="H1205" s="559"/>
      <c r="I1205" s="623"/>
      <c r="J1205" s="354"/>
      <c r="K1205" s="617"/>
      <c r="L1205" s="617"/>
      <c r="M1205" s="619"/>
      <c r="N1205" s="536" t="s">
        <v>2318</v>
      </c>
    </row>
    <row r="1206" spans="1:17" s="620" customFormat="1" ht="15.75" hidden="1">
      <c r="A1206" s="617"/>
      <c r="B1206" s="624"/>
      <c r="C1206" s="625"/>
      <c r="D1206" s="626"/>
      <c r="E1206" s="221"/>
      <c r="F1206" s="627"/>
      <c r="G1206" s="628"/>
      <c r="H1206" s="627"/>
      <c r="I1206" s="629"/>
      <c r="J1206" s="354" t="s">
        <v>115</v>
      </c>
      <c r="K1206" s="622">
        <f>'SANI 2022-23'!G127</f>
        <v>194</v>
      </c>
      <c r="L1206" s="208" t="s">
        <v>275</v>
      </c>
      <c r="M1206" s="630">
        <f>ROUND(I1206*K1206,0)</f>
        <v>0</v>
      </c>
      <c r="N1206" s="536" t="s">
        <v>2318</v>
      </c>
      <c r="O1206" s="620" t="s">
        <v>0</v>
      </c>
    </row>
    <row r="1207" spans="1:17" s="620" customFormat="1" ht="48" hidden="1" customHeight="1">
      <c r="A1207" s="617">
        <v>16</v>
      </c>
      <c r="B1207" s="1870" t="s">
        <v>288</v>
      </c>
      <c r="C1207" s="1870"/>
      <c r="D1207" s="1870"/>
      <c r="E1207" s="1870"/>
      <c r="F1207" s="1870"/>
      <c r="G1207" s="1870"/>
      <c r="H1207" s="1870"/>
      <c r="I1207" s="618"/>
      <c r="J1207" s="221"/>
      <c r="K1207" s="617"/>
      <c r="L1207" s="617"/>
      <c r="M1207" s="619"/>
      <c r="N1207" s="536" t="s">
        <v>2318</v>
      </c>
      <c r="O1207" s="620" t="s">
        <v>0</v>
      </c>
      <c r="Q1207" s="620" t="s">
        <v>0</v>
      </c>
    </row>
    <row r="1208" spans="1:17" s="544" customFormat="1" ht="16.5" hidden="1" customHeight="1">
      <c r="A1208" s="16"/>
      <c r="B1208" s="54" t="s">
        <v>2920</v>
      </c>
      <c r="C1208" s="566"/>
      <c r="D1208" s="567"/>
      <c r="E1208" s="568"/>
      <c r="F1208" s="569"/>
      <c r="G1208" s="569"/>
      <c r="H1208" s="570"/>
      <c r="I1208" s="571"/>
      <c r="J1208" s="580"/>
      <c r="K1208" s="39"/>
      <c r="L1208" s="16"/>
      <c r="M1208" s="39"/>
      <c r="N1208" s="536" t="s">
        <v>2318</v>
      </c>
    </row>
    <row r="1209" spans="1:17" s="620" customFormat="1" ht="15.75" hidden="1">
      <c r="A1209" s="617"/>
      <c r="B1209" s="556"/>
      <c r="C1209" s="621">
        <v>1</v>
      </c>
      <c r="D1209" s="558" t="s">
        <v>273</v>
      </c>
      <c r="E1209" s="221">
        <v>1</v>
      </c>
      <c r="F1209" s="622">
        <v>96</v>
      </c>
      <c r="G1209" s="622">
        <v>0</v>
      </c>
      <c r="H1209" s="559">
        <v>0</v>
      </c>
      <c r="I1209" s="632">
        <f>ROUND(IF(AND(F1209:H1209),C1209*E1209*F1209*G1209*H1209,IF(AND(F1209,G1209),C1209*E1209*F1209*G1209,IF(AND(F1209,H1209),C1209*E1209*F1209*H1209,IF(AND(G1209,H1209),C1209*E1209*G1209*H1209,IF(F1209,C1209*E1209*F1209,IF(G1209,C1209*E1209*G1209,IF(H1209,C1209*E1209*H1209,C1209*E1209))))))),2)</f>
        <v>96</v>
      </c>
      <c r="J1209" s="354" t="s">
        <v>277</v>
      </c>
      <c r="K1209" s="617"/>
      <c r="L1209" s="617"/>
      <c r="M1209" s="619"/>
      <c r="N1209" s="536" t="s">
        <v>2318</v>
      </c>
    </row>
    <row r="1210" spans="1:17" s="620" customFormat="1" ht="15.75" hidden="1">
      <c r="A1210" s="617"/>
      <c r="B1210" s="556"/>
      <c r="C1210" s="621"/>
      <c r="D1210" s="558"/>
      <c r="E1210" s="221"/>
      <c r="F1210" s="622"/>
      <c r="G1210" s="622"/>
      <c r="H1210" s="559"/>
      <c r="I1210" s="632"/>
      <c r="J1210" s="354"/>
      <c r="K1210" s="617"/>
      <c r="L1210" s="617"/>
      <c r="M1210" s="619"/>
      <c r="N1210" s="536" t="s">
        <v>2318</v>
      </c>
    </row>
    <row r="1211" spans="1:17" s="620" customFormat="1" ht="17.25" hidden="1" customHeight="1">
      <c r="A1211" s="617"/>
      <c r="B1211" s="624"/>
      <c r="C1211" s="625"/>
      <c r="D1211" s="626"/>
      <c r="E1211" s="221"/>
      <c r="F1211" s="627"/>
      <c r="G1211" s="628"/>
      <c r="H1211" s="627"/>
      <c r="I1211" s="633"/>
      <c r="J1211" s="354" t="s">
        <v>277</v>
      </c>
      <c r="K1211" s="622">
        <f>'SANI 2022-23'!G139</f>
        <v>105</v>
      </c>
      <c r="L1211" s="208" t="s">
        <v>279</v>
      </c>
      <c r="M1211" s="630">
        <f>ROUND(I1211*K1211,0)</f>
        <v>0</v>
      </c>
      <c r="N1211" s="536" t="s">
        <v>2318</v>
      </c>
      <c r="O1211" s="620" t="s">
        <v>0</v>
      </c>
    </row>
    <row r="1212" spans="1:17" s="620" customFormat="1" ht="81" hidden="1" customHeight="1">
      <c r="A1212" s="617">
        <v>17</v>
      </c>
      <c r="B1212" s="1869" t="s">
        <v>381</v>
      </c>
      <c r="C1212" s="1870"/>
      <c r="D1212" s="1870"/>
      <c r="E1212" s="1870"/>
      <c r="F1212" s="1870"/>
      <c r="G1212" s="1870"/>
      <c r="H1212" s="1870"/>
      <c r="I1212" s="618"/>
      <c r="J1212" s="221"/>
      <c r="K1212" s="617"/>
      <c r="L1212" s="617"/>
      <c r="M1212" s="619"/>
      <c r="N1212" s="536" t="s">
        <v>2318</v>
      </c>
      <c r="O1212" s="620" t="s">
        <v>0</v>
      </c>
      <c r="Q1212" s="620" t="s">
        <v>0</v>
      </c>
    </row>
    <row r="1213" spans="1:17" s="544" customFormat="1" ht="16.5" hidden="1" customHeight="1">
      <c r="A1213" s="16"/>
      <c r="B1213" s="54" t="s">
        <v>2921</v>
      </c>
      <c r="C1213" s="566"/>
      <c r="D1213" s="567"/>
      <c r="E1213" s="568"/>
      <c r="F1213" s="569"/>
      <c r="G1213" s="569"/>
      <c r="H1213" s="570"/>
      <c r="I1213" s="571"/>
      <c r="J1213" s="580"/>
      <c r="K1213" s="39"/>
      <c r="L1213" s="16"/>
      <c r="M1213" s="39"/>
      <c r="N1213" s="536" t="s">
        <v>2318</v>
      </c>
    </row>
    <row r="1214" spans="1:17" s="620" customFormat="1" ht="15.75" hidden="1">
      <c r="A1214" s="617"/>
      <c r="B1214" s="556"/>
      <c r="C1214" s="621">
        <v>1</v>
      </c>
      <c r="D1214" s="558" t="s">
        <v>273</v>
      </c>
      <c r="E1214" s="221">
        <v>1</v>
      </c>
      <c r="F1214" s="559">
        <v>0</v>
      </c>
      <c r="G1214" s="622">
        <v>0</v>
      </c>
      <c r="H1214" s="559">
        <v>0</v>
      </c>
      <c r="I1214" s="623">
        <f>ROUND(IF(AND(F1214:H1214),C1214*E1214*F1214*G1214*H1214,IF(AND(F1214,G1214),C1214*E1214*F1214*G1214,IF(AND(F1214,H1214),C1214*E1214*F1214*H1214,IF(AND(G1214,H1214),C1214*E1214*G1214*H1214,IF(F1214,C1214*E1214*F1214,IF(G1214,C1214*E1214*G1214,IF(H1214,C1214*E1214*H1214,C1214*E1214))))))),2)</f>
        <v>1</v>
      </c>
      <c r="J1214" s="354" t="s">
        <v>115</v>
      </c>
      <c r="K1214" s="617"/>
      <c r="L1214" s="617"/>
      <c r="M1214" s="619"/>
      <c r="N1214" s="536" t="s">
        <v>2318</v>
      </c>
    </row>
    <row r="1215" spans="1:17" s="620" customFormat="1" ht="15.75" hidden="1">
      <c r="A1215" s="617"/>
      <c r="B1215" s="556"/>
      <c r="C1215" s="621"/>
      <c r="D1215" s="558"/>
      <c r="E1215" s="221"/>
      <c r="F1215" s="559"/>
      <c r="G1215" s="622"/>
      <c r="H1215" s="559"/>
      <c r="I1215" s="623"/>
      <c r="J1215" s="354"/>
      <c r="K1215" s="617"/>
      <c r="L1215" s="617"/>
      <c r="M1215" s="619"/>
      <c r="N1215" s="536" t="s">
        <v>2318</v>
      </c>
    </row>
    <row r="1216" spans="1:17" s="620" customFormat="1" ht="17.25" hidden="1" customHeight="1">
      <c r="A1216" s="617"/>
      <c r="B1216" s="624"/>
      <c r="C1216" s="625"/>
      <c r="D1216" s="626"/>
      <c r="E1216" s="221"/>
      <c r="F1216" s="627"/>
      <c r="G1216" s="628"/>
      <c r="H1216" s="627"/>
      <c r="I1216" s="629"/>
      <c r="J1216" s="354" t="s">
        <v>115</v>
      </c>
      <c r="K1216" s="622">
        <f>'SANI 2022-23'!G142</f>
        <v>5445</v>
      </c>
      <c r="L1216" s="208" t="s">
        <v>275</v>
      </c>
      <c r="M1216" s="630">
        <f>ROUND(I1216*K1216,0)</f>
        <v>0</v>
      </c>
      <c r="N1216" s="536" t="s">
        <v>2318</v>
      </c>
      <c r="O1216" s="620" t="s">
        <v>0</v>
      </c>
    </row>
    <row r="1217" spans="1:14" s="620" customFormat="1" ht="17.25" hidden="1" customHeight="1">
      <c r="A1217" s="617"/>
      <c r="B1217" s="624" t="s">
        <v>2433</v>
      </c>
      <c r="C1217" s="625"/>
      <c r="D1217" s="626"/>
      <c r="E1217" s="221"/>
      <c r="F1217" s="627"/>
      <c r="G1217" s="628"/>
      <c r="H1217" s="627"/>
      <c r="I1217" s="629"/>
      <c r="J1217" s="354"/>
      <c r="K1217" s="622"/>
      <c r="L1217" s="208"/>
      <c r="M1217" s="630"/>
      <c r="N1217" s="536" t="s">
        <v>2318</v>
      </c>
    </row>
    <row r="1218" spans="1:14" ht="56.25" hidden="1" customHeight="1">
      <c r="A1218" s="16">
        <v>2</v>
      </c>
      <c r="B1218" s="1858" t="s">
        <v>585</v>
      </c>
      <c r="C1218" s="1858"/>
      <c r="D1218" s="1858"/>
      <c r="E1218" s="1858"/>
      <c r="F1218" s="1858"/>
      <c r="G1218" s="1858"/>
      <c r="H1218" s="1858"/>
      <c r="I1218" s="537"/>
      <c r="J1218" s="538"/>
      <c r="K1218" s="16"/>
      <c r="L1218" s="16"/>
      <c r="M1218" s="38"/>
      <c r="N1218" s="536" t="s">
        <v>2318</v>
      </c>
    </row>
    <row r="1219" spans="1:14" s="544" customFormat="1" ht="16.5" hidden="1" customHeight="1">
      <c r="A1219" s="16"/>
      <c r="B1219" s="39" t="s">
        <v>2829</v>
      </c>
      <c r="C1219" s="635"/>
      <c r="D1219" s="636"/>
      <c r="E1219" s="637"/>
      <c r="F1219" s="638"/>
      <c r="G1219" s="569"/>
      <c r="H1219" s="570"/>
      <c r="I1219" s="571"/>
      <c r="J1219" s="580"/>
      <c r="K1219" s="39"/>
      <c r="L1219" s="16"/>
      <c r="M1219" s="39"/>
      <c r="N1219" s="536" t="s">
        <v>2318</v>
      </c>
    </row>
    <row r="1220" spans="1:14" s="544" customFormat="1" ht="16.5" hidden="1" customHeight="1">
      <c r="A1220" s="16"/>
      <c r="B1220" s="639" t="s">
        <v>650</v>
      </c>
      <c r="C1220" s="640">
        <v>1</v>
      </c>
      <c r="D1220" s="641" t="s">
        <v>273</v>
      </c>
      <c r="E1220" s="642">
        <v>1</v>
      </c>
      <c r="F1220" s="643">
        <v>8.5</v>
      </c>
      <c r="G1220" s="586">
        <v>0</v>
      </c>
      <c r="H1220" s="586">
        <v>0</v>
      </c>
      <c r="I1220" s="552">
        <f>ROUND(IF(AND(F1220:H1220),C1220*E1220*F1220*G1220*H1220,IF(AND(F1220,G1220),C1220*E1220*F1220*G1220,IF(AND(F1220,H1220),C1220*E1220*F1220*H1220,IF(AND(G1220,H1220),C1220*E1220*G1220*H1220,IF(F1220,C1220*E1220*F1220,IF(G1220,C1220*E1220*G1220,IF(H1220,C1220*E1220*H1220,C1220*E1220))))))),2)</f>
        <v>8.5</v>
      </c>
      <c r="J1220" s="580" t="s">
        <v>277</v>
      </c>
      <c r="K1220" s="39"/>
      <c r="L1220" s="16"/>
      <c r="M1220" s="39"/>
      <c r="N1220" s="536" t="s">
        <v>2318</v>
      </c>
    </row>
    <row r="1221" spans="1:14" s="544" customFormat="1" ht="16.5" hidden="1" customHeight="1">
      <c r="A1221" s="16"/>
      <c r="B1221" s="639"/>
      <c r="C1221" s="644"/>
      <c r="D1221" s="645"/>
      <c r="E1221" s="646"/>
      <c r="F1221" s="647"/>
      <c r="G1221" s="551"/>
      <c r="H1221" s="551"/>
      <c r="I1221" s="552"/>
      <c r="J1221" s="580"/>
      <c r="K1221" s="39"/>
      <c r="L1221" s="16"/>
      <c r="M1221" s="39"/>
      <c r="N1221" s="536" t="s">
        <v>2318</v>
      </c>
    </row>
    <row r="1222" spans="1:14" ht="15.75" hidden="1">
      <c r="A1222" s="16"/>
      <c r="B1222" s="39"/>
      <c r="C1222" s="554"/>
      <c r="D1222" s="555"/>
      <c r="E1222" s="540"/>
      <c r="F1222" s="541"/>
      <c r="G1222" s="40"/>
      <c r="H1222" s="16"/>
      <c r="I1222" s="552"/>
      <c r="J1222" s="580" t="s">
        <v>277</v>
      </c>
      <c r="K1222" s="10">
        <f>'Ele 2022-23'!I15</f>
        <v>73.94</v>
      </c>
      <c r="L1222" s="208" t="s">
        <v>279</v>
      </c>
      <c r="M1222" s="9">
        <f>ROUND(I1222*K1222,0)</f>
        <v>0</v>
      </c>
      <c r="N1222" s="536" t="s">
        <v>2318</v>
      </c>
    </row>
    <row r="1223" spans="1:14" s="956" customFormat="1" ht="56.25" customHeight="1">
      <c r="A1223" s="951">
        <v>12</v>
      </c>
      <c r="B1223" s="1868" t="s">
        <v>307</v>
      </c>
      <c r="C1223" s="1868"/>
      <c r="D1223" s="1868"/>
      <c r="E1223" s="1868"/>
      <c r="F1223" s="1868"/>
      <c r="G1223" s="1868"/>
      <c r="H1223" s="1868"/>
      <c r="I1223" s="952"/>
      <c r="J1223" s="953"/>
      <c r="K1223" s="951"/>
      <c r="L1223" s="951"/>
      <c r="M1223" s="954"/>
      <c r="N1223" s="955" t="s">
        <v>2318</v>
      </c>
    </row>
    <row r="1224" spans="1:14" s="965" customFormat="1" ht="16.5" customHeight="1">
      <c r="A1224" s="951"/>
      <c r="B1224" s="957" t="s">
        <v>3133</v>
      </c>
      <c r="C1224" s="958"/>
      <c r="D1224" s="959"/>
      <c r="E1224" s="960"/>
      <c r="F1224" s="961"/>
      <c r="G1224" s="961"/>
      <c r="H1224" s="962"/>
      <c r="I1224" s="963"/>
      <c r="J1224" s="987"/>
      <c r="K1224" s="957"/>
      <c r="L1224" s="951"/>
      <c r="M1224" s="957"/>
      <c r="N1224" s="955" t="s">
        <v>2318</v>
      </c>
    </row>
    <row r="1225" spans="1:14" s="965" customFormat="1" ht="16.5" customHeight="1">
      <c r="A1225" s="951"/>
      <c r="B1225" s="966" t="s">
        <v>650</v>
      </c>
      <c r="C1225" s="967">
        <v>1</v>
      </c>
      <c r="D1225" s="968" t="s">
        <v>273</v>
      </c>
      <c r="E1225" s="969">
        <v>1</v>
      </c>
      <c r="F1225" s="970">
        <v>20</v>
      </c>
      <c r="G1225" s="970">
        <v>0</v>
      </c>
      <c r="H1225" s="970">
        <v>0</v>
      </c>
      <c r="I1225" s="971">
        <f>ROUND(IF(AND(F1225:H1225),C1225*E1225*F1225*G1225*H1225,IF(AND(F1225,G1225),C1225*E1225*F1225*G1225,IF(AND(F1225,H1225),C1225*E1225*F1225*H1225,IF(AND(G1225,H1225),C1225*E1225*G1225*H1225,IF(F1225,C1225*E1225*F1225,IF(G1225,C1225*E1225*G1225,IF(H1225,C1225*E1225*H1225,C1225*E1225))))))),2)</f>
        <v>20</v>
      </c>
      <c r="J1225" s="987" t="s">
        <v>277</v>
      </c>
      <c r="K1225" s="957"/>
      <c r="L1225" s="951"/>
      <c r="M1225" s="957"/>
      <c r="N1225" s="955" t="s">
        <v>2318</v>
      </c>
    </row>
    <row r="1226" spans="1:14" s="965" customFormat="1" ht="16.5" customHeight="1">
      <c r="A1226" s="951"/>
      <c r="B1226" s="966"/>
      <c r="C1226" s="967">
        <v>1</v>
      </c>
      <c r="D1226" s="968" t="s">
        <v>273</v>
      </c>
      <c r="E1226" s="969">
        <v>1</v>
      </c>
      <c r="F1226" s="970">
        <v>5</v>
      </c>
      <c r="G1226" s="970">
        <v>0</v>
      </c>
      <c r="H1226" s="970">
        <v>0</v>
      </c>
      <c r="I1226" s="971">
        <f t="shared" ref="I1226:I1237" si="10">ROUND(IF(AND(F1226:H1226),C1226*E1226*F1226*G1226*H1226,IF(AND(F1226,G1226),C1226*E1226*F1226*G1226,IF(AND(F1226,H1226),C1226*E1226*F1226*H1226,IF(AND(G1226,H1226),C1226*E1226*G1226*H1226,IF(F1226,C1226*E1226*F1226,IF(G1226,C1226*E1226*G1226,IF(H1226,C1226*E1226*H1226,C1226*E1226))))))),2)</f>
        <v>5</v>
      </c>
      <c r="J1226" s="987" t="s">
        <v>277</v>
      </c>
      <c r="K1226" s="957"/>
      <c r="L1226" s="951"/>
      <c r="M1226" s="957"/>
      <c r="N1226" s="955" t="s">
        <v>2318</v>
      </c>
    </row>
    <row r="1227" spans="1:14" s="965" customFormat="1" ht="16.5" customHeight="1">
      <c r="A1227" s="951"/>
      <c r="B1227" s="966"/>
      <c r="C1227" s="967">
        <v>1</v>
      </c>
      <c r="D1227" s="968" t="s">
        <v>273</v>
      </c>
      <c r="E1227" s="969">
        <v>1</v>
      </c>
      <c r="F1227" s="970">
        <v>5</v>
      </c>
      <c r="G1227" s="970">
        <v>0</v>
      </c>
      <c r="H1227" s="970">
        <v>0</v>
      </c>
      <c r="I1227" s="971">
        <f t="shared" si="10"/>
        <v>5</v>
      </c>
      <c r="J1227" s="987" t="s">
        <v>277</v>
      </c>
      <c r="K1227" s="957"/>
      <c r="L1227" s="951"/>
      <c r="M1227" s="957"/>
      <c r="N1227" s="955" t="s">
        <v>2318</v>
      </c>
    </row>
    <row r="1228" spans="1:14" s="965" customFormat="1" ht="16.5" customHeight="1">
      <c r="A1228" s="951"/>
      <c r="B1228" s="966"/>
      <c r="C1228" s="967">
        <v>1</v>
      </c>
      <c r="D1228" s="968" t="s">
        <v>273</v>
      </c>
      <c r="E1228" s="969">
        <v>1</v>
      </c>
      <c r="F1228" s="970">
        <v>20</v>
      </c>
      <c r="G1228" s="970">
        <v>0</v>
      </c>
      <c r="H1228" s="970">
        <v>0</v>
      </c>
      <c r="I1228" s="971">
        <f t="shared" si="10"/>
        <v>20</v>
      </c>
      <c r="J1228" s="987" t="s">
        <v>277</v>
      </c>
      <c r="K1228" s="957"/>
      <c r="L1228" s="951"/>
      <c r="M1228" s="957"/>
      <c r="N1228" s="955" t="s">
        <v>2318</v>
      </c>
    </row>
    <row r="1229" spans="1:14" s="965" customFormat="1" ht="16.5" customHeight="1">
      <c r="A1229" s="951"/>
      <c r="B1229" s="966"/>
      <c r="C1229" s="967">
        <v>1</v>
      </c>
      <c r="D1229" s="968" t="s">
        <v>273</v>
      </c>
      <c r="E1229" s="969">
        <v>1</v>
      </c>
      <c r="F1229" s="970">
        <v>10</v>
      </c>
      <c r="G1229" s="970">
        <v>0</v>
      </c>
      <c r="H1229" s="970">
        <v>0</v>
      </c>
      <c r="I1229" s="971">
        <f t="shared" si="10"/>
        <v>10</v>
      </c>
      <c r="J1229" s="987" t="s">
        <v>277</v>
      </c>
      <c r="K1229" s="957"/>
      <c r="L1229" s="951"/>
      <c r="M1229" s="957"/>
      <c r="N1229" s="955" t="s">
        <v>2318</v>
      </c>
    </row>
    <row r="1230" spans="1:14" s="965" customFormat="1" ht="16.5" customHeight="1">
      <c r="A1230" s="951"/>
      <c r="B1230" s="966"/>
      <c r="C1230" s="967">
        <v>1</v>
      </c>
      <c r="D1230" s="968" t="s">
        <v>273</v>
      </c>
      <c r="E1230" s="969">
        <v>1</v>
      </c>
      <c r="F1230" s="970">
        <v>20</v>
      </c>
      <c r="G1230" s="970">
        <v>0</v>
      </c>
      <c r="H1230" s="970">
        <v>0</v>
      </c>
      <c r="I1230" s="971">
        <f t="shared" si="10"/>
        <v>20</v>
      </c>
      <c r="J1230" s="987" t="s">
        <v>277</v>
      </c>
      <c r="K1230" s="957"/>
      <c r="L1230" s="951"/>
      <c r="M1230" s="957"/>
      <c r="N1230" s="955" t="s">
        <v>2318</v>
      </c>
    </row>
    <row r="1231" spans="1:14" s="965" customFormat="1" ht="16.5" customHeight="1">
      <c r="A1231" s="951"/>
      <c r="B1231" s="966"/>
      <c r="C1231" s="967">
        <v>1</v>
      </c>
      <c r="D1231" s="968" t="s">
        <v>273</v>
      </c>
      <c r="E1231" s="969">
        <v>1</v>
      </c>
      <c r="F1231" s="970">
        <v>5</v>
      </c>
      <c r="G1231" s="970">
        <v>0</v>
      </c>
      <c r="H1231" s="970">
        <v>0</v>
      </c>
      <c r="I1231" s="971">
        <f t="shared" si="10"/>
        <v>5</v>
      </c>
      <c r="J1231" s="987" t="s">
        <v>277</v>
      </c>
      <c r="K1231" s="957"/>
      <c r="L1231" s="951"/>
      <c r="M1231" s="957"/>
      <c r="N1231" s="955" t="s">
        <v>2318</v>
      </c>
    </row>
    <row r="1232" spans="1:14" s="965" customFormat="1" ht="16.5" customHeight="1">
      <c r="A1232" s="951"/>
      <c r="B1232" s="966"/>
      <c r="C1232" s="967">
        <v>1</v>
      </c>
      <c r="D1232" s="968" t="s">
        <v>273</v>
      </c>
      <c r="E1232" s="969">
        <v>1</v>
      </c>
      <c r="F1232" s="970">
        <v>5</v>
      </c>
      <c r="G1232" s="970">
        <v>0</v>
      </c>
      <c r="H1232" s="970">
        <v>0</v>
      </c>
      <c r="I1232" s="971">
        <f t="shared" si="10"/>
        <v>5</v>
      </c>
      <c r="J1232" s="987" t="s">
        <v>277</v>
      </c>
      <c r="K1232" s="957"/>
      <c r="L1232" s="951"/>
      <c r="M1232" s="957"/>
      <c r="N1232" s="955" t="s">
        <v>2318</v>
      </c>
    </row>
    <row r="1233" spans="1:14" s="965" customFormat="1" ht="16.5" customHeight="1">
      <c r="A1233" s="951"/>
      <c r="B1233" s="966"/>
      <c r="C1233" s="967">
        <v>1</v>
      </c>
      <c r="D1233" s="968" t="s">
        <v>273</v>
      </c>
      <c r="E1233" s="969">
        <v>1</v>
      </c>
      <c r="F1233" s="970">
        <v>5</v>
      </c>
      <c r="G1233" s="970">
        <v>0</v>
      </c>
      <c r="H1233" s="970">
        <v>0</v>
      </c>
      <c r="I1233" s="971">
        <f t="shared" si="10"/>
        <v>5</v>
      </c>
      <c r="J1233" s="987" t="s">
        <v>277</v>
      </c>
      <c r="K1233" s="957"/>
      <c r="L1233" s="951"/>
      <c r="M1233" s="957"/>
      <c r="N1233" s="955" t="s">
        <v>2318</v>
      </c>
    </row>
    <row r="1234" spans="1:14" s="965" customFormat="1" ht="16.5" customHeight="1">
      <c r="A1234" s="951"/>
      <c r="B1234" s="966"/>
      <c r="C1234" s="967">
        <v>1</v>
      </c>
      <c r="D1234" s="968" t="s">
        <v>273</v>
      </c>
      <c r="E1234" s="969">
        <v>1</v>
      </c>
      <c r="F1234" s="970">
        <v>10</v>
      </c>
      <c r="G1234" s="970">
        <v>0</v>
      </c>
      <c r="H1234" s="970">
        <v>0</v>
      </c>
      <c r="I1234" s="971">
        <f t="shared" si="10"/>
        <v>10</v>
      </c>
      <c r="J1234" s="987" t="s">
        <v>277</v>
      </c>
      <c r="K1234" s="957"/>
      <c r="L1234" s="951"/>
      <c r="M1234" s="957"/>
      <c r="N1234" s="955" t="s">
        <v>2318</v>
      </c>
    </row>
    <row r="1235" spans="1:14" s="965" customFormat="1" ht="16.5" customHeight="1">
      <c r="A1235" s="951"/>
      <c r="B1235" s="966"/>
      <c r="C1235" s="967">
        <v>1</v>
      </c>
      <c r="D1235" s="968" t="s">
        <v>273</v>
      </c>
      <c r="E1235" s="969">
        <v>1</v>
      </c>
      <c r="F1235" s="970">
        <v>5</v>
      </c>
      <c r="G1235" s="970">
        <v>0</v>
      </c>
      <c r="H1235" s="970">
        <v>0</v>
      </c>
      <c r="I1235" s="971">
        <f t="shared" si="10"/>
        <v>5</v>
      </c>
      <c r="J1235" s="987" t="s">
        <v>277</v>
      </c>
      <c r="K1235" s="957"/>
      <c r="L1235" s="951"/>
      <c r="M1235" s="957"/>
      <c r="N1235" s="955" t="s">
        <v>2318</v>
      </c>
    </row>
    <row r="1236" spans="1:14" s="965" customFormat="1" ht="16.5" customHeight="1">
      <c r="A1236" s="951"/>
      <c r="B1236" s="966"/>
      <c r="C1236" s="967">
        <v>1</v>
      </c>
      <c r="D1236" s="968" t="s">
        <v>273</v>
      </c>
      <c r="E1236" s="969">
        <v>1</v>
      </c>
      <c r="F1236" s="970">
        <v>10</v>
      </c>
      <c r="G1236" s="970">
        <v>0</v>
      </c>
      <c r="H1236" s="970">
        <v>0</v>
      </c>
      <c r="I1236" s="971">
        <f t="shared" si="10"/>
        <v>10</v>
      </c>
      <c r="J1236" s="987" t="s">
        <v>277</v>
      </c>
      <c r="K1236" s="957"/>
      <c r="L1236" s="951"/>
      <c r="M1236" s="957"/>
      <c r="N1236" s="955" t="s">
        <v>2318</v>
      </c>
    </row>
    <row r="1237" spans="1:14" s="965" customFormat="1" ht="16.5" customHeight="1">
      <c r="A1237" s="951"/>
      <c r="B1237" s="966"/>
      <c r="C1237" s="967">
        <v>1</v>
      </c>
      <c r="D1237" s="968" t="s">
        <v>273</v>
      </c>
      <c r="E1237" s="969">
        <v>1</v>
      </c>
      <c r="F1237" s="970">
        <v>20</v>
      </c>
      <c r="G1237" s="970">
        <v>0</v>
      </c>
      <c r="H1237" s="970">
        <v>0</v>
      </c>
      <c r="I1237" s="971">
        <f t="shared" si="10"/>
        <v>20</v>
      </c>
      <c r="J1237" s="987" t="s">
        <v>277</v>
      </c>
      <c r="K1237" s="957"/>
      <c r="L1237" s="951"/>
      <c r="M1237" s="957"/>
      <c r="N1237" s="955" t="s">
        <v>2318</v>
      </c>
    </row>
    <row r="1238" spans="1:14" s="965" customFormat="1" ht="16.5" customHeight="1">
      <c r="A1238" s="951"/>
      <c r="B1238" s="972"/>
      <c r="C1238" s="973"/>
      <c r="D1238" s="974"/>
      <c r="E1238" s="975"/>
      <c r="F1238" s="976"/>
      <c r="G1238" s="976"/>
      <c r="H1238" s="976"/>
      <c r="I1238" s="971"/>
      <c r="J1238" s="987"/>
      <c r="K1238" s="957"/>
      <c r="L1238" s="951"/>
      <c r="M1238" s="957"/>
      <c r="N1238" s="955" t="s">
        <v>2318</v>
      </c>
    </row>
    <row r="1239" spans="1:14" s="956" customFormat="1" ht="15.75">
      <c r="A1239" s="951"/>
      <c r="B1239" s="957"/>
      <c r="C1239" s="977"/>
      <c r="D1239" s="978"/>
      <c r="E1239" s="979"/>
      <c r="F1239" s="980"/>
      <c r="G1239" s="981"/>
      <c r="H1239" s="951"/>
      <c r="I1239" s="971"/>
      <c r="J1239" s="987" t="s">
        <v>277</v>
      </c>
      <c r="K1239" s="982">
        <f>'Ele 2022-23'!I30</f>
        <v>89.61</v>
      </c>
      <c r="L1239" s="983" t="s">
        <v>279</v>
      </c>
      <c r="M1239" s="984">
        <f>ROUND(I1239*K1239,0)</f>
        <v>0</v>
      </c>
      <c r="N1239" s="955" t="s">
        <v>2318</v>
      </c>
    </row>
    <row r="1240" spans="1:14" ht="17.25" hidden="1" customHeight="1">
      <c r="A1240" s="16">
        <v>3</v>
      </c>
      <c r="B1240" s="1858" t="s">
        <v>389</v>
      </c>
      <c r="C1240" s="1858"/>
      <c r="D1240" s="1858"/>
      <c r="E1240" s="1858"/>
      <c r="F1240" s="1858"/>
      <c r="G1240" s="1858"/>
      <c r="H1240" s="1858"/>
      <c r="I1240" s="537"/>
      <c r="J1240" s="538"/>
      <c r="K1240" s="16"/>
      <c r="L1240" s="16"/>
      <c r="M1240" s="38"/>
      <c r="N1240" s="536" t="s">
        <v>2318</v>
      </c>
    </row>
    <row r="1241" spans="1:14" s="544" customFormat="1" ht="16.5" hidden="1" customHeight="1">
      <c r="A1241" s="16"/>
      <c r="B1241" s="556" t="s">
        <v>740</v>
      </c>
      <c r="C1241" s="566"/>
      <c r="D1241" s="567"/>
      <c r="E1241" s="568"/>
      <c r="F1241" s="569"/>
      <c r="G1241" s="569"/>
      <c r="H1241" s="570"/>
      <c r="I1241" s="571"/>
      <c r="J1241" s="580"/>
      <c r="K1241" s="39"/>
      <c r="L1241" s="16"/>
      <c r="M1241" s="39"/>
      <c r="N1241" s="536" t="s">
        <v>2318</v>
      </c>
    </row>
    <row r="1242" spans="1:14" s="544" customFormat="1" ht="16.5" hidden="1" customHeight="1">
      <c r="A1242" s="16"/>
      <c r="B1242" s="547" t="s">
        <v>687</v>
      </c>
      <c r="C1242" s="548"/>
      <c r="D1242" s="549"/>
      <c r="E1242" s="550"/>
      <c r="F1242" s="551"/>
      <c r="G1242" s="551"/>
      <c r="H1242" s="551"/>
      <c r="I1242" s="552"/>
      <c r="J1242" s="580"/>
      <c r="K1242" s="39"/>
      <c r="L1242" s="16"/>
      <c r="M1242" s="39"/>
      <c r="N1242" s="536" t="s">
        <v>2318</v>
      </c>
    </row>
    <row r="1243" spans="1:14" s="544" customFormat="1" ht="16.5" hidden="1" customHeight="1">
      <c r="A1243" s="16"/>
      <c r="B1243" s="547" t="s">
        <v>659</v>
      </c>
      <c r="C1243" s="548">
        <v>1</v>
      </c>
      <c r="D1243" s="549" t="s">
        <v>273</v>
      </c>
      <c r="E1243" s="550">
        <v>1</v>
      </c>
      <c r="F1243" s="551">
        <v>4</v>
      </c>
      <c r="G1243" s="551">
        <v>0</v>
      </c>
      <c r="H1243" s="551">
        <v>0</v>
      </c>
      <c r="I1243" s="552">
        <f>ROUND(IF(AND(F1243:H1243),C1243*E1243*F1243*G1243*H1243,IF(AND(F1243,G1243),C1243*E1243*F1243*G1243,IF(AND(F1243,H1243),C1243*E1243*F1243*H1243,IF(AND(G1243,H1243),C1243*E1243*G1243*H1243,IF(F1243,C1243*E1243*F1243,IF(G1243,C1243*E1243*G1243,IF(H1243,C1243*E1243*H1243,C1243*E1243))))))),2)</f>
        <v>4</v>
      </c>
      <c r="J1243" s="580" t="s">
        <v>277</v>
      </c>
      <c r="K1243" s="39"/>
      <c r="L1243" s="16"/>
      <c r="M1243" s="39"/>
      <c r="N1243" s="536" t="s">
        <v>2318</v>
      </c>
    </row>
    <row r="1244" spans="1:14" s="544" customFormat="1" ht="16.5" hidden="1" customHeight="1">
      <c r="A1244" s="16"/>
      <c r="B1244" s="607" t="s">
        <v>688</v>
      </c>
      <c r="C1244" s="548">
        <v>1</v>
      </c>
      <c r="D1244" s="549" t="s">
        <v>273</v>
      </c>
      <c r="E1244" s="550">
        <v>1</v>
      </c>
      <c r="F1244" s="551">
        <v>1.8</v>
      </c>
      <c r="G1244" s="551">
        <v>0</v>
      </c>
      <c r="H1244" s="551">
        <v>0</v>
      </c>
      <c r="I1244" s="552">
        <f>ROUND(IF(AND(F1244:H1244),C1244*E1244*F1244*G1244*H1244,IF(AND(F1244,G1244),C1244*E1244*F1244*G1244,IF(AND(F1244,H1244),C1244*E1244*F1244*H1244,IF(AND(G1244,H1244),C1244*E1244*G1244*H1244,IF(F1244,C1244*E1244*F1244,IF(G1244,C1244*E1244*G1244,IF(H1244,C1244*E1244*H1244,C1244*E1244))))))),2)</f>
        <v>1.8</v>
      </c>
      <c r="J1244" s="580" t="s">
        <v>277</v>
      </c>
      <c r="K1244" s="39"/>
      <c r="L1244" s="16"/>
      <c r="M1244" s="39"/>
      <c r="N1244" s="536" t="s">
        <v>2318</v>
      </c>
    </row>
    <row r="1245" spans="1:14" s="544" customFormat="1" ht="16.5" hidden="1" customHeight="1">
      <c r="A1245" s="16"/>
      <c r="B1245" s="547" t="s">
        <v>689</v>
      </c>
      <c r="C1245" s="548">
        <v>1</v>
      </c>
      <c r="D1245" s="549" t="s">
        <v>273</v>
      </c>
      <c r="E1245" s="550">
        <v>1</v>
      </c>
      <c r="F1245" s="551">
        <v>2</v>
      </c>
      <c r="G1245" s="551">
        <v>0</v>
      </c>
      <c r="H1245" s="551">
        <v>0</v>
      </c>
      <c r="I1245" s="552">
        <f>ROUND(IF(AND(F1245:H1245),C1245*E1245*F1245*G1245*H1245,IF(AND(F1245,G1245),C1245*E1245*F1245*G1245,IF(AND(F1245,H1245),C1245*E1245*F1245*H1245,IF(AND(G1245,H1245),C1245*E1245*G1245*H1245,IF(F1245,C1245*E1245*F1245,IF(G1245,C1245*E1245*G1245,IF(H1245,C1245*E1245*H1245,C1245*E1245))))))),2)</f>
        <v>2</v>
      </c>
      <c r="J1245" s="580" t="s">
        <v>277</v>
      </c>
      <c r="K1245" s="39"/>
      <c r="L1245" s="16"/>
      <c r="M1245" s="39"/>
      <c r="N1245" s="536" t="s">
        <v>2318</v>
      </c>
    </row>
    <row r="1246" spans="1:14" s="544" customFormat="1" ht="16.5" hidden="1" customHeight="1">
      <c r="A1246" s="16"/>
      <c r="B1246" s="547"/>
      <c r="C1246" s="548"/>
      <c r="D1246" s="549"/>
      <c r="E1246" s="550"/>
      <c r="F1246" s="551"/>
      <c r="G1246" s="551"/>
      <c r="H1246" s="551"/>
      <c r="I1246" s="552"/>
      <c r="J1246" s="580"/>
      <c r="K1246" s="39"/>
      <c r="L1246" s="16"/>
      <c r="M1246" s="39"/>
      <c r="N1246" s="536" t="s">
        <v>2318</v>
      </c>
    </row>
    <row r="1247" spans="1:14" ht="15.75" hidden="1">
      <c r="A1247" s="16"/>
      <c r="B1247" s="39"/>
      <c r="C1247" s="554"/>
      <c r="D1247" s="555"/>
      <c r="E1247" s="540"/>
      <c r="F1247" s="541"/>
      <c r="G1247" s="40"/>
      <c r="H1247" s="16"/>
      <c r="I1247" s="552"/>
      <c r="J1247" s="580" t="s">
        <v>277</v>
      </c>
      <c r="K1247" s="10">
        <f>'Ele 2022-23'!I34</f>
        <v>64</v>
      </c>
      <c r="L1247" s="208" t="s">
        <v>279</v>
      </c>
      <c r="M1247" s="9">
        <f>ROUND(I1247*K1247,0)</f>
        <v>0</v>
      </c>
      <c r="N1247" s="536" t="s">
        <v>2318</v>
      </c>
    </row>
    <row r="1248" spans="1:14" s="956" customFormat="1" ht="27" customHeight="1">
      <c r="A1248" s="951">
        <v>13</v>
      </c>
      <c r="B1248" s="1868" t="s">
        <v>427</v>
      </c>
      <c r="C1248" s="1868"/>
      <c r="D1248" s="1868"/>
      <c r="E1248" s="1868"/>
      <c r="F1248" s="1868"/>
      <c r="G1248" s="1868"/>
      <c r="H1248" s="1868"/>
      <c r="I1248" s="952"/>
      <c r="J1248" s="953"/>
      <c r="K1248" s="951"/>
      <c r="L1248" s="951"/>
      <c r="M1248" s="954"/>
      <c r="N1248" s="955" t="s">
        <v>2318</v>
      </c>
    </row>
    <row r="1249" spans="1:14" s="965" customFormat="1" ht="16.5" customHeight="1">
      <c r="A1249" s="951"/>
      <c r="B1249" s="957" t="s">
        <v>3133</v>
      </c>
      <c r="C1249" s="958"/>
      <c r="D1249" s="959"/>
      <c r="E1249" s="960"/>
      <c r="F1249" s="961"/>
      <c r="G1249" s="961"/>
      <c r="H1249" s="962"/>
      <c r="I1249" s="963"/>
      <c r="J1249" s="987"/>
      <c r="K1249" s="957"/>
      <c r="L1249" s="951"/>
      <c r="M1249" s="957"/>
      <c r="N1249" s="955" t="s">
        <v>2318</v>
      </c>
    </row>
    <row r="1250" spans="1:14" s="965" customFormat="1" ht="16.5" customHeight="1">
      <c r="A1250" s="951"/>
      <c r="B1250" s="993"/>
      <c r="C1250" s="973">
        <v>1</v>
      </c>
      <c r="D1250" s="974" t="s">
        <v>273</v>
      </c>
      <c r="E1250" s="975">
        <v>6</v>
      </c>
      <c r="F1250" s="976">
        <v>0</v>
      </c>
      <c r="G1250" s="976">
        <v>0</v>
      </c>
      <c r="H1250" s="976">
        <v>0</v>
      </c>
      <c r="I1250" s="989">
        <f>ROUND(IF(AND(F1250:H1250),C1250*E1250*F1250*G1250*H1250,IF(AND(F1250,G1250),C1250*E1250*F1250*G1250,IF(AND(F1250,H1250),C1250*E1250*F1250*H1250,IF(AND(G1250,H1250),C1250*E1250*G1250*H1250,IF(F1250,C1250*E1250*F1250,IF(G1250,C1250*E1250*G1250,IF(H1250,C1250*E1250*H1250,C1250*E1250))))))),2)</f>
        <v>6</v>
      </c>
      <c r="J1250" s="987" t="s">
        <v>115</v>
      </c>
      <c r="K1250" s="957"/>
      <c r="L1250" s="951"/>
      <c r="M1250" s="957"/>
      <c r="N1250" s="955" t="s">
        <v>2318</v>
      </c>
    </row>
    <row r="1251" spans="1:14" s="965" customFormat="1" ht="16.5" customHeight="1">
      <c r="A1251" s="951"/>
      <c r="B1251" s="993"/>
      <c r="C1251" s="973">
        <v>1</v>
      </c>
      <c r="D1251" s="974" t="s">
        <v>273</v>
      </c>
      <c r="E1251" s="975">
        <v>6</v>
      </c>
      <c r="F1251" s="976">
        <v>0</v>
      </c>
      <c r="G1251" s="976">
        <v>0</v>
      </c>
      <c r="H1251" s="976">
        <v>0</v>
      </c>
      <c r="I1251" s="989">
        <f>ROUND(IF(AND(F1251:H1251),C1251*E1251*F1251*G1251*H1251,IF(AND(F1251,G1251),C1251*E1251*F1251*G1251,IF(AND(F1251,H1251),C1251*E1251*F1251*H1251,IF(AND(G1251,H1251),C1251*E1251*G1251*H1251,IF(F1251,C1251*E1251*F1251,IF(G1251,C1251*E1251*G1251,IF(H1251,C1251*E1251*H1251,C1251*E1251))))))),2)</f>
        <v>6</v>
      </c>
      <c r="J1251" s="987" t="s">
        <v>115</v>
      </c>
      <c r="K1251" s="957"/>
      <c r="L1251" s="951"/>
      <c r="M1251" s="957"/>
      <c r="N1251" s="955" t="s">
        <v>2318</v>
      </c>
    </row>
    <row r="1252" spans="1:14" s="965" customFormat="1" ht="16.5" customHeight="1">
      <c r="A1252" s="951"/>
      <c r="B1252" s="993"/>
      <c r="C1252" s="973"/>
      <c r="D1252" s="974"/>
      <c r="E1252" s="975"/>
      <c r="F1252" s="976"/>
      <c r="G1252" s="976"/>
      <c r="H1252" s="976"/>
      <c r="I1252" s="989"/>
      <c r="J1252" s="987"/>
      <c r="K1252" s="957"/>
      <c r="L1252" s="951"/>
      <c r="M1252" s="957"/>
      <c r="N1252" s="955" t="s">
        <v>2318</v>
      </c>
    </row>
    <row r="1253" spans="1:14" s="956" customFormat="1" ht="15.75">
      <c r="A1253" s="951"/>
      <c r="B1253" s="957"/>
      <c r="C1253" s="977"/>
      <c r="D1253" s="978"/>
      <c r="E1253" s="979"/>
      <c r="F1253" s="980"/>
      <c r="G1253" s="981"/>
      <c r="H1253" s="951"/>
      <c r="I1253" s="989"/>
      <c r="J1253" s="987" t="s">
        <v>115</v>
      </c>
      <c r="K1253" s="982">
        <f>'Ele 2022-23'!I37</f>
        <v>245</v>
      </c>
      <c r="L1253" s="983" t="s">
        <v>275</v>
      </c>
      <c r="M1253" s="984">
        <f>ROUND(I1253*K1253,0)</f>
        <v>0</v>
      </c>
      <c r="N1253" s="955" t="s">
        <v>2318</v>
      </c>
    </row>
    <row r="1254" spans="1:14" s="956" customFormat="1" ht="27" customHeight="1">
      <c r="A1254" s="951">
        <v>14</v>
      </c>
      <c r="B1254" s="1868" t="s">
        <v>610</v>
      </c>
      <c r="C1254" s="1868"/>
      <c r="D1254" s="1868"/>
      <c r="E1254" s="1868"/>
      <c r="F1254" s="1868"/>
      <c r="G1254" s="1868"/>
      <c r="H1254" s="1868"/>
      <c r="I1254" s="952"/>
      <c r="J1254" s="953"/>
      <c r="K1254" s="951"/>
      <c r="L1254" s="951"/>
      <c r="M1254" s="954"/>
      <c r="N1254" s="955" t="s">
        <v>2318</v>
      </c>
    </row>
    <row r="1255" spans="1:14" s="965" customFormat="1" ht="16.5" customHeight="1">
      <c r="A1255" s="951"/>
      <c r="B1255" s="957" t="s">
        <v>3133</v>
      </c>
      <c r="C1255" s="958"/>
      <c r="D1255" s="959"/>
      <c r="E1255" s="960"/>
      <c r="F1255" s="961"/>
      <c r="G1255" s="961"/>
      <c r="H1255" s="962"/>
      <c r="I1255" s="963"/>
      <c r="J1255" s="987"/>
      <c r="K1255" s="957"/>
      <c r="L1255" s="951"/>
      <c r="M1255" s="957"/>
      <c r="N1255" s="955" t="s">
        <v>2318</v>
      </c>
    </row>
    <row r="1256" spans="1:14" s="965" customFormat="1" ht="16.5" customHeight="1">
      <c r="A1256" s="951"/>
      <c r="B1256" s="993"/>
      <c r="C1256" s="973">
        <v>1</v>
      </c>
      <c r="D1256" s="974" t="s">
        <v>273</v>
      </c>
      <c r="E1256" s="975">
        <v>5</v>
      </c>
      <c r="F1256" s="976">
        <v>0</v>
      </c>
      <c r="G1256" s="976">
        <v>0</v>
      </c>
      <c r="H1256" s="976">
        <v>0</v>
      </c>
      <c r="I1256" s="989">
        <f>ROUND(IF(AND(F1256:H1256),C1256*E1256*F1256*G1256*H1256,IF(AND(F1256,G1256),C1256*E1256*F1256*G1256,IF(AND(F1256,H1256),C1256*E1256*F1256*H1256,IF(AND(G1256,H1256),C1256*E1256*G1256*H1256,IF(F1256,C1256*E1256*F1256,IF(G1256,C1256*E1256*G1256,IF(H1256,C1256*E1256*H1256,C1256*E1256))))))),2)</f>
        <v>5</v>
      </c>
      <c r="J1256" s="987" t="s">
        <v>115</v>
      </c>
      <c r="K1256" s="957"/>
      <c r="L1256" s="951"/>
      <c r="M1256" s="957"/>
      <c r="N1256" s="955" t="s">
        <v>2318</v>
      </c>
    </row>
    <row r="1257" spans="1:14" s="965" customFormat="1" ht="16.5" customHeight="1">
      <c r="A1257" s="951"/>
      <c r="B1257" s="993"/>
      <c r="C1257" s="973">
        <v>1</v>
      </c>
      <c r="D1257" s="974" t="s">
        <v>273</v>
      </c>
      <c r="E1257" s="975">
        <v>3</v>
      </c>
      <c r="F1257" s="976">
        <v>0</v>
      </c>
      <c r="G1257" s="976">
        <v>0</v>
      </c>
      <c r="H1257" s="976">
        <v>0</v>
      </c>
      <c r="I1257" s="989">
        <f>ROUND(IF(AND(F1257:H1257),C1257*E1257*F1257*G1257*H1257,IF(AND(F1257,G1257),C1257*E1257*F1257*G1257,IF(AND(F1257,H1257),C1257*E1257*F1257*H1257,IF(AND(G1257,H1257),C1257*E1257*G1257*H1257,IF(F1257,C1257*E1257*F1257,IF(G1257,C1257*E1257*G1257,IF(H1257,C1257*E1257*H1257,C1257*E1257))))))),2)</f>
        <v>3</v>
      </c>
      <c r="J1257" s="987" t="s">
        <v>115</v>
      </c>
      <c r="K1257" s="957"/>
      <c r="L1257" s="951"/>
      <c r="M1257" s="957"/>
      <c r="N1257" s="955" t="s">
        <v>2318</v>
      </c>
    </row>
    <row r="1258" spans="1:14" s="965" customFormat="1" ht="16.5" customHeight="1">
      <c r="A1258" s="951"/>
      <c r="B1258" s="993"/>
      <c r="C1258" s="973"/>
      <c r="D1258" s="974"/>
      <c r="E1258" s="975"/>
      <c r="F1258" s="976"/>
      <c r="G1258" s="976"/>
      <c r="H1258" s="976"/>
      <c r="I1258" s="971"/>
      <c r="J1258" s="987"/>
      <c r="K1258" s="957"/>
      <c r="L1258" s="951"/>
      <c r="M1258" s="957"/>
      <c r="N1258" s="955" t="s">
        <v>2318</v>
      </c>
    </row>
    <row r="1259" spans="1:14" s="956" customFormat="1" ht="15.75">
      <c r="A1259" s="951"/>
      <c r="B1259" s="957"/>
      <c r="C1259" s="977"/>
      <c r="D1259" s="978"/>
      <c r="E1259" s="979"/>
      <c r="F1259" s="980"/>
      <c r="G1259" s="981"/>
      <c r="H1259" s="951"/>
      <c r="I1259" s="989"/>
      <c r="J1259" s="987" t="s">
        <v>115</v>
      </c>
      <c r="K1259" s="982">
        <f>'Ele 2022-23'!I40</f>
        <v>203</v>
      </c>
      <c r="L1259" s="983" t="s">
        <v>275</v>
      </c>
      <c r="M1259" s="984">
        <f>ROUND(I1259*K1259,0)</f>
        <v>0</v>
      </c>
      <c r="N1259" s="955" t="s">
        <v>2318</v>
      </c>
    </row>
    <row r="1260" spans="1:14" ht="27" hidden="1" customHeight="1">
      <c r="A1260" s="16">
        <v>24</v>
      </c>
      <c r="B1260" s="1858" t="s">
        <v>690</v>
      </c>
      <c r="C1260" s="1858"/>
      <c r="D1260" s="1858"/>
      <c r="E1260" s="1858"/>
      <c r="F1260" s="1858"/>
      <c r="G1260" s="1858"/>
      <c r="H1260" s="1858"/>
      <c r="I1260" s="537"/>
      <c r="J1260" s="538"/>
      <c r="K1260" s="16"/>
      <c r="L1260" s="16"/>
      <c r="M1260" s="38"/>
      <c r="N1260" s="536" t="s">
        <v>2318</v>
      </c>
    </row>
    <row r="1261" spans="1:14" s="544" customFormat="1" ht="16.5" hidden="1" customHeight="1">
      <c r="A1261" s="16"/>
      <c r="B1261" s="39" t="s">
        <v>2519</v>
      </c>
      <c r="C1261" s="566"/>
      <c r="D1261" s="567"/>
      <c r="E1261" s="568"/>
      <c r="F1261" s="569"/>
      <c r="G1261" s="569"/>
      <c r="H1261" s="570"/>
      <c r="I1261" s="571"/>
      <c r="J1261" s="580"/>
      <c r="K1261" s="39"/>
      <c r="L1261" s="16"/>
      <c r="M1261" s="39"/>
      <c r="N1261" s="536" t="s">
        <v>2318</v>
      </c>
    </row>
    <row r="1262" spans="1:14" s="544" customFormat="1" ht="16.5" hidden="1" customHeight="1">
      <c r="A1262" s="16"/>
      <c r="B1262" s="607"/>
      <c r="C1262" s="548">
        <v>1</v>
      </c>
      <c r="D1262" s="549" t="s">
        <v>273</v>
      </c>
      <c r="E1262" s="550">
        <v>7</v>
      </c>
      <c r="F1262" s="551">
        <v>0</v>
      </c>
      <c r="G1262" s="551">
        <v>0</v>
      </c>
      <c r="H1262" s="551">
        <v>0</v>
      </c>
      <c r="I1262" s="613">
        <f>ROUND(IF(AND(F1262:H1262),C1262*E1262*F1262*G1262*H1262,IF(AND(F1262,G1262),C1262*E1262*F1262*G1262,IF(AND(F1262,H1262),C1262*E1262*F1262*H1262,IF(AND(G1262,H1262),C1262*E1262*G1262*H1262,IF(F1262,C1262*E1262*F1262,IF(G1262,C1262*E1262*G1262,IF(H1262,C1262*E1262*H1262,C1262*E1262))))))),2)</f>
        <v>7</v>
      </c>
      <c r="J1262" s="580" t="s">
        <v>115</v>
      </c>
      <c r="K1262" s="39"/>
      <c r="L1262" s="16"/>
      <c r="M1262" s="39"/>
      <c r="N1262" s="536" t="s">
        <v>2318</v>
      </c>
    </row>
    <row r="1263" spans="1:14" s="544" customFormat="1" ht="16.5" hidden="1" customHeight="1">
      <c r="A1263" s="16"/>
      <c r="B1263" s="607"/>
      <c r="C1263" s="548"/>
      <c r="D1263" s="549"/>
      <c r="E1263" s="550"/>
      <c r="F1263" s="551"/>
      <c r="G1263" s="551"/>
      <c r="H1263" s="551"/>
      <c r="I1263" s="552"/>
      <c r="J1263" s="580"/>
      <c r="K1263" s="39"/>
      <c r="L1263" s="16"/>
      <c r="M1263" s="39"/>
      <c r="N1263" s="536" t="s">
        <v>2318</v>
      </c>
    </row>
    <row r="1264" spans="1:14" ht="15.75" hidden="1">
      <c r="A1264" s="16"/>
      <c r="B1264" s="39"/>
      <c r="C1264" s="554"/>
      <c r="D1264" s="555"/>
      <c r="E1264" s="540"/>
      <c r="F1264" s="541"/>
      <c r="G1264" s="40"/>
      <c r="H1264" s="16"/>
      <c r="I1264" s="613"/>
      <c r="J1264" s="580" t="s">
        <v>115</v>
      </c>
      <c r="K1264" s="10">
        <f>'Ele 2022-23'!I43</f>
        <v>155</v>
      </c>
      <c r="L1264" s="208" t="s">
        <v>275</v>
      </c>
      <c r="M1264" s="9">
        <f>ROUND(I1264*K1264,0)</f>
        <v>0</v>
      </c>
      <c r="N1264" s="536" t="s">
        <v>2318</v>
      </c>
    </row>
    <row r="1265" spans="1:14" ht="27" hidden="1" customHeight="1">
      <c r="A1265" s="16">
        <v>4</v>
      </c>
      <c r="B1265" s="1858" t="s">
        <v>1512</v>
      </c>
      <c r="C1265" s="1858"/>
      <c r="D1265" s="1858"/>
      <c r="E1265" s="1858"/>
      <c r="F1265" s="1858"/>
      <c r="G1265" s="1858"/>
      <c r="H1265" s="1858"/>
      <c r="I1265" s="537"/>
      <c r="J1265" s="538"/>
      <c r="K1265" s="16"/>
      <c r="L1265" s="16"/>
      <c r="M1265" s="38"/>
      <c r="N1265" s="536" t="s">
        <v>2318</v>
      </c>
    </row>
    <row r="1266" spans="1:14" s="544" customFormat="1" ht="16.5" hidden="1" customHeight="1">
      <c r="A1266" s="16"/>
      <c r="B1266" s="39" t="s">
        <v>2820</v>
      </c>
      <c r="C1266" s="566"/>
      <c r="D1266" s="567"/>
      <c r="E1266" s="568"/>
      <c r="F1266" s="569"/>
      <c r="G1266" s="569"/>
      <c r="H1266" s="570"/>
      <c r="I1266" s="571"/>
      <c r="J1266" s="580"/>
      <c r="K1266" s="39"/>
      <c r="L1266" s="16"/>
      <c r="M1266" s="39"/>
      <c r="N1266" s="536" t="s">
        <v>2318</v>
      </c>
    </row>
    <row r="1267" spans="1:14" s="544" customFormat="1" ht="16.5" hidden="1" customHeight="1">
      <c r="A1267" s="16"/>
      <c r="B1267" s="607" t="s">
        <v>586</v>
      </c>
      <c r="C1267" s="548">
        <v>1</v>
      </c>
      <c r="D1267" s="549" t="s">
        <v>273</v>
      </c>
      <c r="E1267" s="550">
        <v>1</v>
      </c>
      <c r="F1267" s="551">
        <v>0</v>
      </c>
      <c r="G1267" s="551">
        <v>0</v>
      </c>
      <c r="H1267" s="551">
        <v>0</v>
      </c>
      <c r="I1267" s="613">
        <f>ROUND(IF(AND(F1267:H1267),C1267*E1267*F1267*G1267*H1267,IF(AND(F1267,G1267),C1267*E1267*F1267*G1267,IF(AND(F1267,H1267),C1267*E1267*F1267*H1267,IF(AND(G1267,H1267),C1267*E1267*G1267*H1267,IF(F1267,C1267*E1267*F1267,IF(G1267,C1267*E1267*G1267,IF(H1267,C1267*E1267*H1267,C1267*E1267))))))),2)</f>
        <v>1</v>
      </c>
      <c r="J1267" s="580" t="s">
        <v>115</v>
      </c>
      <c r="K1267" s="39"/>
      <c r="L1267" s="16"/>
      <c r="M1267" s="39"/>
      <c r="N1267" s="536" t="s">
        <v>2318</v>
      </c>
    </row>
    <row r="1268" spans="1:14" s="544" customFormat="1" ht="16.5" hidden="1" customHeight="1">
      <c r="A1268" s="16"/>
      <c r="B1268" s="607" t="s">
        <v>1495</v>
      </c>
      <c r="C1268" s="548">
        <v>1</v>
      </c>
      <c r="D1268" s="549" t="s">
        <v>273</v>
      </c>
      <c r="E1268" s="550">
        <v>1</v>
      </c>
      <c r="F1268" s="551">
        <v>0</v>
      </c>
      <c r="G1268" s="551">
        <v>0</v>
      </c>
      <c r="H1268" s="551">
        <v>0</v>
      </c>
      <c r="I1268" s="613">
        <f>ROUND(IF(AND(F1268:H1268),C1268*E1268*F1268*G1268*H1268,IF(AND(F1268,G1268),C1268*E1268*F1268*G1268,IF(AND(F1268,H1268),C1268*E1268*F1268*H1268,IF(AND(G1268,H1268),C1268*E1268*G1268*H1268,IF(F1268,C1268*E1268*F1268,IF(G1268,C1268*E1268*G1268,IF(H1268,C1268*E1268*H1268,C1268*E1268))))))),2)</f>
        <v>1</v>
      </c>
      <c r="J1268" s="580" t="s">
        <v>115</v>
      </c>
      <c r="K1268" s="39"/>
      <c r="L1268" s="16"/>
      <c r="M1268" s="39"/>
      <c r="N1268" s="536" t="s">
        <v>2318</v>
      </c>
    </row>
    <row r="1269" spans="1:14" s="544" customFormat="1" ht="16.5" hidden="1" customHeight="1">
      <c r="A1269" s="16"/>
      <c r="B1269" s="607" t="s">
        <v>1494</v>
      </c>
      <c r="C1269" s="548">
        <v>1</v>
      </c>
      <c r="D1269" s="549" t="s">
        <v>273</v>
      </c>
      <c r="E1269" s="550">
        <v>1</v>
      </c>
      <c r="F1269" s="551">
        <v>0</v>
      </c>
      <c r="G1269" s="551">
        <v>0</v>
      </c>
      <c r="H1269" s="551">
        <v>0</v>
      </c>
      <c r="I1269" s="613">
        <f>ROUND(IF(AND(F1269:H1269),C1269*E1269*F1269*G1269*H1269,IF(AND(F1269,G1269),C1269*E1269*F1269*G1269,IF(AND(F1269,H1269),C1269*E1269*F1269*H1269,IF(AND(G1269,H1269),C1269*E1269*G1269*H1269,IF(F1269,C1269*E1269*F1269,IF(G1269,C1269*E1269*G1269,IF(H1269,C1269*E1269*H1269,C1269*E1269))))))),2)</f>
        <v>1</v>
      </c>
      <c r="J1269" s="580" t="s">
        <v>115</v>
      </c>
      <c r="K1269" s="39"/>
      <c r="L1269" s="16"/>
      <c r="M1269" s="39"/>
      <c r="N1269" s="536" t="s">
        <v>2318</v>
      </c>
    </row>
    <row r="1270" spans="1:14" s="544" customFormat="1" ht="16.5" hidden="1" customHeight="1">
      <c r="A1270" s="16"/>
      <c r="B1270" s="607" t="s">
        <v>223</v>
      </c>
      <c r="C1270" s="548">
        <v>1</v>
      </c>
      <c r="D1270" s="549" t="s">
        <v>273</v>
      </c>
      <c r="E1270" s="550">
        <v>2</v>
      </c>
      <c r="F1270" s="551">
        <v>0</v>
      </c>
      <c r="G1270" s="551">
        <v>0</v>
      </c>
      <c r="H1270" s="551">
        <v>0</v>
      </c>
      <c r="I1270" s="613">
        <f>ROUND(IF(AND(F1270:H1270),C1270*E1270*F1270*G1270*H1270,IF(AND(F1270,G1270),C1270*E1270*F1270*G1270,IF(AND(F1270,H1270),C1270*E1270*F1270*H1270,IF(AND(G1270,H1270),C1270*E1270*G1270*H1270,IF(F1270,C1270*E1270*F1270,IF(G1270,C1270*E1270*G1270,IF(H1270,C1270*E1270*H1270,C1270*E1270))))))),2)</f>
        <v>2</v>
      </c>
      <c r="J1270" s="580" t="s">
        <v>115</v>
      </c>
      <c r="K1270" s="39"/>
      <c r="L1270" s="16"/>
      <c r="M1270" s="39"/>
      <c r="N1270" s="536" t="s">
        <v>2318</v>
      </c>
    </row>
    <row r="1271" spans="1:14" s="544" customFormat="1" ht="16.5" hidden="1" customHeight="1">
      <c r="A1271" s="16"/>
      <c r="B1271" s="607"/>
      <c r="C1271" s="548"/>
      <c r="D1271" s="549"/>
      <c r="E1271" s="550"/>
      <c r="F1271" s="551"/>
      <c r="G1271" s="551"/>
      <c r="H1271" s="551"/>
      <c r="I1271" s="613"/>
      <c r="J1271" s="580"/>
      <c r="K1271" s="39"/>
      <c r="L1271" s="16"/>
      <c r="M1271" s="39"/>
      <c r="N1271" s="536" t="s">
        <v>2318</v>
      </c>
    </row>
    <row r="1272" spans="1:14" ht="15.75" hidden="1">
      <c r="A1272" s="16"/>
      <c r="B1272" s="39"/>
      <c r="C1272" s="554"/>
      <c r="D1272" s="555"/>
      <c r="E1272" s="540"/>
      <c r="F1272" s="541"/>
      <c r="G1272" s="40"/>
      <c r="H1272" s="16"/>
      <c r="I1272" s="613"/>
      <c r="J1272" s="580" t="s">
        <v>115</v>
      </c>
      <c r="K1272" s="10">
        <f>'Ele 2022-23'!I54</f>
        <v>359</v>
      </c>
      <c r="L1272" s="208" t="s">
        <v>275</v>
      </c>
      <c r="M1272" s="9">
        <f>ROUND(I1272*K1272,0)</f>
        <v>0</v>
      </c>
      <c r="N1272" s="536" t="s">
        <v>2318</v>
      </c>
    </row>
    <row r="1273" spans="1:14" ht="27" hidden="1" customHeight="1">
      <c r="A1273" s="16">
        <v>6</v>
      </c>
      <c r="B1273" s="1858" t="s">
        <v>612</v>
      </c>
      <c r="C1273" s="1858"/>
      <c r="D1273" s="1858"/>
      <c r="E1273" s="1858"/>
      <c r="F1273" s="1858"/>
      <c r="G1273" s="1858"/>
      <c r="H1273" s="1858"/>
      <c r="I1273" s="537"/>
      <c r="J1273" s="538"/>
      <c r="K1273" s="16"/>
      <c r="L1273" s="16"/>
      <c r="M1273" s="38"/>
      <c r="N1273" s="536" t="s">
        <v>2318</v>
      </c>
    </row>
    <row r="1274" spans="1:14" s="544" customFormat="1" ht="16.5" hidden="1" customHeight="1">
      <c r="A1274" s="16"/>
      <c r="B1274" s="607" t="s">
        <v>607</v>
      </c>
      <c r="C1274" s="566"/>
      <c r="D1274" s="567"/>
      <c r="E1274" s="568"/>
      <c r="F1274" s="569"/>
      <c r="G1274" s="569"/>
      <c r="H1274" s="570"/>
      <c r="I1274" s="571"/>
      <c r="J1274" s="580"/>
      <c r="K1274" s="39"/>
      <c r="L1274" s="16"/>
      <c r="M1274" s="39"/>
      <c r="N1274" s="536" t="s">
        <v>2318</v>
      </c>
    </row>
    <row r="1275" spans="1:14" s="544" customFormat="1" ht="16.5" hidden="1" customHeight="1">
      <c r="A1275" s="16"/>
      <c r="B1275" s="607" t="s">
        <v>1217</v>
      </c>
      <c r="C1275" s="548">
        <v>2</v>
      </c>
      <c r="D1275" s="549" t="s">
        <v>273</v>
      </c>
      <c r="E1275" s="550">
        <v>1</v>
      </c>
      <c r="F1275" s="551">
        <v>0</v>
      </c>
      <c r="G1275" s="551">
        <v>0</v>
      </c>
      <c r="H1275" s="551">
        <v>0</v>
      </c>
      <c r="I1275" s="613">
        <f>ROUND(IF(AND(F1275:H1275),C1275*E1275*F1275*G1275*H1275,IF(AND(F1275,G1275),C1275*E1275*F1275*G1275,IF(AND(F1275,H1275),C1275*E1275*F1275*H1275,IF(AND(G1275,H1275),C1275*E1275*G1275*H1275,IF(F1275,C1275*E1275*F1275,IF(G1275,C1275*E1275*G1275,IF(H1275,C1275*E1275*H1275,C1275*E1275))))))),2)</f>
        <v>2</v>
      </c>
      <c r="J1275" s="580" t="s">
        <v>115</v>
      </c>
      <c r="K1275" s="39"/>
      <c r="L1275" s="16"/>
      <c r="M1275" s="39"/>
      <c r="N1275" s="536" t="s">
        <v>2318</v>
      </c>
    </row>
    <row r="1276" spans="1:14" s="544" customFormat="1" ht="16.5" hidden="1" customHeight="1">
      <c r="A1276" s="16"/>
      <c r="B1276" s="607"/>
      <c r="C1276" s="548"/>
      <c r="D1276" s="549"/>
      <c r="E1276" s="550"/>
      <c r="F1276" s="551"/>
      <c r="G1276" s="551"/>
      <c r="H1276" s="551"/>
      <c r="I1276" s="613"/>
      <c r="J1276" s="580"/>
      <c r="K1276" s="39"/>
      <c r="L1276" s="16"/>
      <c r="M1276" s="39"/>
      <c r="N1276" s="536" t="s">
        <v>2318</v>
      </c>
    </row>
    <row r="1277" spans="1:14" ht="15.75" hidden="1">
      <c r="A1277" s="16"/>
      <c r="B1277" s="39"/>
      <c r="C1277" s="554"/>
      <c r="D1277" s="555"/>
      <c r="E1277" s="540"/>
      <c r="F1277" s="541"/>
      <c r="G1277" s="40"/>
      <c r="H1277" s="16"/>
      <c r="I1277" s="613"/>
      <c r="J1277" s="580" t="s">
        <v>115</v>
      </c>
      <c r="K1277" s="10">
        <f>'Ele 2022-23'!I50</f>
        <v>400</v>
      </c>
      <c r="L1277" s="208" t="s">
        <v>275</v>
      </c>
      <c r="M1277" s="9">
        <f>ROUND(I1277*K1277,0)</f>
        <v>0</v>
      </c>
      <c r="N1277" s="536" t="s">
        <v>2318</v>
      </c>
    </row>
    <row r="1278" spans="1:14" ht="27" hidden="1" customHeight="1">
      <c r="A1278" s="16">
        <v>25</v>
      </c>
      <c r="B1278" s="1858" t="s">
        <v>790</v>
      </c>
      <c r="C1278" s="1858"/>
      <c r="D1278" s="1858"/>
      <c r="E1278" s="1858"/>
      <c r="F1278" s="1858"/>
      <c r="G1278" s="1858"/>
      <c r="H1278" s="1858"/>
      <c r="I1278" s="537"/>
      <c r="J1278" s="538"/>
      <c r="K1278" s="16"/>
      <c r="L1278" s="16"/>
      <c r="M1278" s="38"/>
      <c r="N1278" s="536" t="s">
        <v>2318</v>
      </c>
    </row>
    <row r="1279" spans="1:14" s="544" customFormat="1" ht="16.5" hidden="1" customHeight="1">
      <c r="A1279" s="16"/>
      <c r="B1279" s="39" t="s">
        <v>2519</v>
      </c>
      <c r="C1279" s="566"/>
      <c r="D1279" s="567"/>
      <c r="E1279" s="568"/>
      <c r="F1279" s="569"/>
      <c r="G1279" s="569"/>
      <c r="H1279" s="570"/>
      <c r="I1279" s="571"/>
      <c r="J1279" s="580"/>
      <c r="K1279" s="39"/>
      <c r="L1279" s="16"/>
      <c r="M1279" s="39"/>
      <c r="N1279" s="536" t="s">
        <v>2318</v>
      </c>
    </row>
    <row r="1280" spans="1:14" s="544" customFormat="1" ht="16.5" hidden="1" customHeight="1">
      <c r="A1280" s="16"/>
      <c r="B1280" s="607"/>
      <c r="C1280" s="548">
        <v>1</v>
      </c>
      <c r="D1280" s="549" t="s">
        <v>273</v>
      </c>
      <c r="E1280" s="550">
        <v>1</v>
      </c>
      <c r="F1280" s="551">
        <v>0</v>
      </c>
      <c r="G1280" s="551">
        <v>0</v>
      </c>
      <c r="H1280" s="551">
        <v>0</v>
      </c>
      <c r="I1280" s="613">
        <f>ROUND(IF(AND(F1280:H1280),C1280*E1280*F1280*G1280*H1280,IF(AND(F1280,G1280),C1280*E1280*F1280*G1280,IF(AND(F1280,H1280),C1280*E1280*F1280*H1280,IF(AND(G1280,H1280),C1280*E1280*G1280*H1280,IF(F1280,C1280*E1280*F1280,IF(G1280,C1280*E1280*G1280,IF(H1280,C1280*E1280*H1280,C1280*E1280))))))),2)</f>
        <v>1</v>
      </c>
      <c r="J1280" s="580" t="s">
        <v>115</v>
      </c>
      <c r="K1280" s="39"/>
      <c r="L1280" s="16"/>
      <c r="M1280" s="39"/>
      <c r="N1280" s="536" t="s">
        <v>2318</v>
      </c>
    </row>
    <row r="1281" spans="1:14" s="544" customFormat="1" ht="16.5" hidden="1" customHeight="1">
      <c r="A1281" s="16"/>
      <c r="B1281" s="607"/>
      <c r="C1281" s="548"/>
      <c r="D1281" s="549"/>
      <c r="E1281" s="550"/>
      <c r="F1281" s="551"/>
      <c r="G1281" s="551"/>
      <c r="H1281" s="551"/>
      <c r="I1281" s="613"/>
      <c r="J1281" s="580"/>
      <c r="K1281" s="39"/>
      <c r="L1281" s="16"/>
      <c r="M1281" s="39"/>
      <c r="N1281" s="536" t="s">
        <v>2318</v>
      </c>
    </row>
    <row r="1282" spans="1:14" ht="15.75" hidden="1">
      <c r="A1282" s="16"/>
      <c r="B1282" s="39"/>
      <c r="C1282" s="554"/>
      <c r="D1282" s="555"/>
      <c r="E1282" s="540"/>
      <c r="F1282" s="541"/>
      <c r="G1282" s="40"/>
      <c r="H1282" s="16"/>
      <c r="I1282" s="613"/>
      <c r="J1282" s="580" t="s">
        <v>115</v>
      </c>
      <c r="K1282" s="10">
        <f>'Ele 2022-23'!I46</f>
        <v>114</v>
      </c>
      <c r="L1282" s="208" t="s">
        <v>275</v>
      </c>
      <c r="M1282" s="9">
        <f>ROUND(I1282*K1282,0)</f>
        <v>0</v>
      </c>
      <c r="N1282" s="536" t="s">
        <v>2318</v>
      </c>
    </row>
    <row r="1283" spans="1:14" ht="27" hidden="1" customHeight="1">
      <c r="A1283" s="16">
        <v>26</v>
      </c>
      <c r="B1283" s="1858" t="s">
        <v>428</v>
      </c>
      <c r="C1283" s="1858"/>
      <c r="D1283" s="1858"/>
      <c r="E1283" s="1858"/>
      <c r="F1283" s="1858"/>
      <c r="G1283" s="1858"/>
      <c r="H1283" s="1858"/>
      <c r="I1283" s="537"/>
      <c r="J1283" s="538"/>
      <c r="K1283" s="16"/>
      <c r="L1283" s="16"/>
      <c r="M1283" s="38"/>
      <c r="N1283" s="536" t="s">
        <v>2318</v>
      </c>
    </row>
    <row r="1284" spans="1:14" s="544" customFormat="1" ht="16.5" hidden="1" customHeight="1">
      <c r="A1284" s="16"/>
      <c r="B1284" s="39" t="s">
        <v>2520</v>
      </c>
      <c r="C1284" s="566"/>
      <c r="D1284" s="567"/>
      <c r="E1284" s="568"/>
      <c r="F1284" s="569"/>
      <c r="G1284" s="569"/>
      <c r="H1284" s="570"/>
      <c r="I1284" s="571"/>
      <c r="J1284" s="580"/>
      <c r="K1284" s="39"/>
      <c r="L1284" s="16"/>
      <c r="M1284" s="39"/>
      <c r="N1284" s="536" t="s">
        <v>2318</v>
      </c>
    </row>
    <row r="1285" spans="1:14" s="544" customFormat="1" ht="16.5" hidden="1" customHeight="1">
      <c r="A1285" s="16"/>
      <c r="B1285" s="607"/>
      <c r="C1285" s="548">
        <v>1</v>
      </c>
      <c r="D1285" s="549" t="s">
        <v>273</v>
      </c>
      <c r="E1285" s="550">
        <v>1</v>
      </c>
      <c r="F1285" s="551">
        <v>0</v>
      </c>
      <c r="G1285" s="551">
        <v>0</v>
      </c>
      <c r="H1285" s="551">
        <v>0</v>
      </c>
      <c r="I1285" s="613">
        <f>ROUND(IF(AND(F1285:H1285),C1285*E1285*F1285*G1285*H1285,IF(AND(F1285,G1285),C1285*E1285*F1285*G1285,IF(AND(F1285,H1285),C1285*E1285*F1285*H1285,IF(AND(G1285,H1285),C1285*E1285*G1285*H1285,IF(F1285,C1285*E1285*F1285,IF(G1285,C1285*E1285*G1285,IF(H1285,C1285*E1285*H1285,C1285*E1285))))))),2)</f>
        <v>1</v>
      </c>
      <c r="J1285" s="580" t="s">
        <v>115</v>
      </c>
      <c r="K1285" s="39"/>
      <c r="L1285" s="16"/>
      <c r="M1285" s="39"/>
      <c r="N1285" s="536" t="s">
        <v>2318</v>
      </c>
    </row>
    <row r="1286" spans="1:14" s="544" customFormat="1" ht="16.5" hidden="1" customHeight="1">
      <c r="A1286" s="16"/>
      <c r="B1286" s="607"/>
      <c r="C1286" s="548"/>
      <c r="D1286" s="549"/>
      <c r="E1286" s="550"/>
      <c r="F1286" s="551"/>
      <c r="G1286" s="551"/>
      <c r="H1286" s="551"/>
      <c r="I1286" s="613"/>
      <c r="J1286" s="580"/>
      <c r="K1286" s="39"/>
      <c r="L1286" s="16"/>
      <c r="M1286" s="39"/>
      <c r="N1286" s="536" t="s">
        <v>2318</v>
      </c>
    </row>
    <row r="1287" spans="1:14" ht="15.75" hidden="1">
      <c r="A1287" s="16"/>
      <c r="B1287" s="39"/>
      <c r="C1287" s="554"/>
      <c r="D1287" s="555"/>
      <c r="E1287" s="540"/>
      <c r="F1287" s="541"/>
      <c r="G1287" s="40"/>
      <c r="H1287" s="16"/>
      <c r="I1287" s="613"/>
      <c r="J1287" s="580" t="s">
        <v>115</v>
      </c>
      <c r="K1287" s="10">
        <f>'Ele 2022-23'!I57</f>
        <v>68</v>
      </c>
      <c r="L1287" s="208" t="s">
        <v>275</v>
      </c>
      <c r="M1287" s="9">
        <f>ROUND(I1287*K1287,0)</f>
        <v>0</v>
      </c>
      <c r="N1287" s="536" t="s">
        <v>2318</v>
      </c>
    </row>
    <row r="1288" spans="1:14" s="956" customFormat="1" ht="64.5" customHeight="1">
      <c r="A1288" s="951">
        <v>15</v>
      </c>
      <c r="B1288" s="1868" t="s">
        <v>692</v>
      </c>
      <c r="C1288" s="1868"/>
      <c r="D1288" s="1868"/>
      <c r="E1288" s="1868"/>
      <c r="F1288" s="1868"/>
      <c r="G1288" s="1868"/>
      <c r="H1288" s="1868"/>
      <c r="I1288" s="952"/>
      <c r="J1288" s="953"/>
      <c r="K1288" s="951"/>
      <c r="L1288" s="951"/>
      <c r="M1288" s="954"/>
      <c r="N1288" s="955" t="s">
        <v>2318</v>
      </c>
    </row>
    <row r="1289" spans="1:14" s="965" customFormat="1" ht="16.5" customHeight="1">
      <c r="A1289" s="951"/>
      <c r="B1289" s="957" t="s">
        <v>3134</v>
      </c>
      <c r="C1289" s="958"/>
      <c r="D1289" s="959"/>
      <c r="E1289" s="960"/>
      <c r="F1289" s="961"/>
      <c r="G1289" s="961"/>
      <c r="H1289" s="962"/>
      <c r="I1289" s="963"/>
      <c r="J1289" s="987"/>
      <c r="K1289" s="957"/>
      <c r="L1289" s="951"/>
      <c r="M1289" s="957"/>
      <c r="N1289" s="955" t="s">
        <v>2318</v>
      </c>
    </row>
    <row r="1290" spans="1:14" s="965" customFormat="1" ht="16.5" customHeight="1">
      <c r="A1290" s="951"/>
      <c r="B1290" s="993" t="s">
        <v>2471</v>
      </c>
      <c r="C1290" s="967">
        <v>1</v>
      </c>
      <c r="D1290" s="968" t="s">
        <v>273</v>
      </c>
      <c r="E1290" s="969">
        <v>8</v>
      </c>
      <c r="F1290" s="970">
        <v>0</v>
      </c>
      <c r="G1290" s="970">
        <v>0</v>
      </c>
      <c r="H1290" s="970">
        <v>0</v>
      </c>
      <c r="I1290" s="989">
        <f>ROUND(IF(AND(F1290:H1290),C1290*E1290*F1290*G1290*H1290,IF(AND(F1290,G1290),C1290*E1290*F1290*G1290,IF(AND(F1290,H1290),C1290*E1290*F1290*H1290,IF(AND(G1290,H1290),C1290*E1290*G1290*H1290,IF(F1290,C1290*E1290*F1290,IF(G1290,C1290*E1290*G1290,IF(H1290,C1290*E1290*H1290,C1290*E1290))))))),2)</f>
        <v>8</v>
      </c>
      <c r="J1290" s="987" t="s">
        <v>431</v>
      </c>
      <c r="K1290" s="957"/>
      <c r="L1290" s="951"/>
      <c r="M1290" s="957"/>
      <c r="N1290" s="955" t="s">
        <v>2318</v>
      </c>
    </row>
    <row r="1291" spans="1:14" s="965" customFormat="1" ht="16.5" customHeight="1">
      <c r="A1291" s="951"/>
      <c r="B1291" s="993" t="s">
        <v>2472</v>
      </c>
      <c r="C1291" s="967">
        <v>1</v>
      </c>
      <c r="D1291" s="968" t="s">
        <v>273</v>
      </c>
      <c r="E1291" s="969">
        <v>9</v>
      </c>
      <c r="F1291" s="970">
        <v>0</v>
      </c>
      <c r="G1291" s="970">
        <v>0</v>
      </c>
      <c r="H1291" s="970">
        <v>0</v>
      </c>
      <c r="I1291" s="989">
        <f>ROUND(IF(AND(F1291:H1291),C1291*E1291*F1291*G1291*H1291,IF(AND(F1291,G1291),C1291*E1291*F1291*G1291,IF(AND(F1291,H1291),C1291*E1291*F1291*H1291,IF(AND(G1291,H1291),C1291*E1291*G1291*H1291,IF(F1291,C1291*E1291*F1291,IF(G1291,C1291*E1291*G1291,IF(H1291,C1291*E1291*H1291,C1291*E1291))))))),2)</f>
        <v>9</v>
      </c>
      <c r="J1291" s="987" t="s">
        <v>431</v>
      </c>
      <c r="K1291" s="957"/>
      <c r="L1291" s="951"/>
      <c r="M1291" s="957"/>
      <c r="N1291" s="955" t="s">
        <v>2318</v>
      </c>
    </row>
    <row r="1292" spans="1:14" s="965" customFormat="1" ht="16.5" customHeight="1">
      <c r="A1292" s="951"/>
      <c r="B1292" s="993"/>
      <c r="C1292" s="967">
        <v>1</v>
      </c>
      <c r="D1292" s="968" t="s">
        <v>273</v>
      </c>
      <c r="E1292" s="969">
        <v>6</v>
      </c>
      <c r="F1292" s="970">
        <v>0</v>
      </c>
      <c r="G1292" s="970">
        <v>0</v>
      </c>
      <c r="H1292" s="970">
        <v>0</v>
      </c>
      <c r="I1292" s="989">
        <f>ROUND(IF(AND(F1292:H1292),C1292*E1292*F1292*G1292*H1292,IF(AND(F1292,G1292),C1292*E1292*F1292*G1292,IF(AND(F1292,H1292),C1292*E1292*F1292*H1292,IF(AND(G1292,H1292),C1292*E1292*G1292*H1292,IF(F1292,C1292*E1292*F1292,IF(G1292,C1292*E1292*G1292,IF(H1292,C1292*E1292*H1292,C1292*E1292))))))),2)</f>
        <v>6</v>
      </c>
      <c r="J1292" s="987" t="s">
        <v>431</v>
      </c>
      <c r="K1292" s="957"/>
      <c r="L1292" s="951"/>
      <c r="M1292" s="957"/>
      <c r="N1292" s="955" t="s">
        <v>2318</v>
      </c>
    </row>
    <row r="1293" spans="1:14" s="965" customFormat="1" ht="16.5" customHeight="1">
      <c r="A1293" s="951"/>
      <c r="B1293" s="993"/>
      <c r="C1293" s="967">
        <v>1</v>
      </c>
      <c r="D1293" s="968" t="s">
        <v>273</v>
      </c>
      <c r="E1293" s="969">
        <v>12</v>
      </c>
      <c r="F1293" s="970">
        <v>0</v>
      </c>
      <c r="G1293" s="970">
        <v>0</v>
      </c>
      <c r="H1293" s="970">
        <v>0</v>
      </c>
      <c r="I1293" s="989">
        <f>ROUND(IF(AND(F1293:H1293),C1293*E1293*F1293*G1293*H1293,IF(AND(F1293,G1293),C1293*E1293*F1293*G1293,IF(AND(F1293,H1293),C1293*E1293*F1293*H1293,IF(AND(G1293,H1293),C1293*E1293*G1293*H1293,IF(F1293,C1293*E1293*F1293,IF(G1293,C1293*E1293*G1293,IF(H1293,C1293*E1293*H1293,C1293*E1293))))))),2)</f>
        <v>12</v>
      </c>
      <c r="J1293" s="987" t="s">
        <v>431</v>
      </c>
      <c r="K1293" s="957"/>
      <c r="L1293" s="951"/>
      <c r="M1293" s="957"/>
      <c r="N1293" s="955" t="s">
        <v>2318</v>
      </c>
    </row>
    <row r="1294" spans="1:14" s="965" customFormat="1" ht="16.5" customHeight="1">
      <c r="A1294" s="951"/>
      <c r="B1294" s="993"/>
      <c r="C1294" s="973"/>
      <c r="D1294" s="974"/>
      <c r="E1294" s="975"/>
      <c r="F1294" s="976"/>
      <c r="G1294" s="976"/>
      <c r="H1294" s="976"/>
      <c r="I1294" s="989"/>
      <c r="J1294" s="987"/>
      <c r="K1294" s="957"/>
      <c r="L1294" s="951"/>
      <c r="M1294" s="957"/>
      <c r="N1294" s="955" t="s">
        <v>2318</v>
      </c>
    </row>
    <row r="1295" spans="1:14" s="956" customFormat="1" ht="15.75">
      <c r="A1295" s="951"/>
      <c r="B1295" s="957"/>
      <c r="C1295" s="977"/>
      <c r="D1295" s="978"/>
      <c r="E1295" s="979"/>
      <c r="F1295" s="980"/>
      <c r="G1295" s="981"/>
      <c r="H1295" s="951"/>
      <c r="I1295" s="989"/>
      <c r="J1295" s="987" t="s">
        <v>431</v>
      </c>
      <c r="K1295" s="982">
        <f>'Ele 2022-23'!I95</f>
        <v>481.67</v>
      </c>
      <c r="L1295" s="983" t="s">
        <v>2441</v>
      </c>
      <c r="M1295" s="984">
        <f>ROUND(I1295*K1295,0)</f>
        <v>0</v>
      </c>
      <c r="N1295" s="955" t="s">
        <v>2318</v>
      </c>
    </row>
    <row r="1296" spans="1:14" s="956" customFormat="1" ht="67.5" customHeight="1">
      <c r="A1296" s="951">
        <v>16</v>
      </c>
      <c r="B1296" s="1868" t="s">
        <v>693</v>
      </c>
      <c r="C1296" s="1868"/>
      <c r="D1296" s="1868"/>
      <c r="E1296" s="1868"/>
      <c r="F1296" s="1868"/>
      <c r="G1296" s="1868"/>
      <c r="H1296" s="1868"/>
      <c r="I1296" s="952"/>
      <c r="J1296" s="953"/>
      <c r="K1296" s="951"/>
      <c r="L1296" s="951"/>
      <c r="M1296" s="954"/>
      <c r="N1296" s="955" t="s">
        <v>2318</v>
      </c>
    </row>
    <row r="1297" spans="1:14" s="965" customFormat="1" ht="16.5" customHeight="1">
      <c r="A1297" s="951"/>
      <c r="B1297" s="957" t="s">
        <v>3134</v>
      </c>
      <c r="C1297" s="958"/>
      <c r="D1297" s="959"/>
      <c r="E1297" s="960"/>
      <c r="F1297" s="961"/>
      <c r="G1297" s="961"/>
      <c r="H1297" s="962"/>
      <c r="I1297" s="963"/>
      <c r="J1297" s="987"/>
      <c r="K1297" s="957"/>
      <c r="L1297" s="951"/>
      <c r="M1297" s="957"/>
      <c r="N1297" s="955" t="s">
        <v>2318</v>
      </c>
    </row>
    <row r="1298" spans="1:14" s="965" customFormat="1" ht="16.5" customHeight="1">
      <c r="A1298" s="951"/>
      <c r="B1298" s="993" t="s">
        <v>161</v>
      </c>
      <c r="C1298" s="973">
        <v>1</v>
      </c>
      <c r="D1298" s="974" t="s">
        <v>273</v>
      </c>
      <c r="E1298" s="975">
        <v>8</v>
      </c>
      <c r="F1298" s="976">
        <v>0</v>
      </c>
      <c r="G1298" s="976">
        <v>0</v>
      </c>
      <c r="H1298" s="976">
        <v>0</v>
      </c>
      <c r="I1298" s="989">
        <f>ROUND(IF(AND(F1298:H1298),C1298*E1298*F1298*G1298*H1298,IF(AND(F1298,G1298),C1298*E1298*F1298*G1298,IF(AND(F1298,H1298),C1298*E1298*F1298*H1298,IF(AND(G1298,H1298),C1298*E1298*G1298*H1298,IF(F1298,C1298*E1298*F1298,IF(G1298,C1298*E1298*G1298,IF(H1298,C1298*E1298*H1298,C1298*E1298))))))),2)</f>
        <v>8</v>
      </c>
      <c r="J1298" s="987" t="s">
        <v>431</v>
      </c>
      <c r="K1298" s="957"/>
      <c r="L1298" s="951"/>
      <c r="M1298" s="957"/>
      <c r="N1298" s="955" t="s">
        <v>2318</v>
      </c>
    </row>
    <row r="1299" spans="1:14" s="965" customFormat="1" ht="16.5" customHeight="1">
      <c r="A1299" s="951"/>
      <c r="B1299" s="993" t="s">
        <v>162</v>
      </c>
      <c r="C1299" s="973">
        <v>1</v>
      </c>
      <c r="D1299" s="974" t="s">
        <v>273</v>
      </c>
      <c r="E1299" s="975">
        <v>7</v>
      </c>
      <c r="F1299" s="976">
        <v>0</v>
      </c>
      <c r="G1299" s="976">
        <v>0</v>
      </c>
      <c r="H1299" s="976">
        <v>0</v>
      </c>
      <c r="I1299" s="989">
        <f>ROUND(IF(AND(F1299:H1299),C1299*E1299*F1299*G1299*H1299,IF(AND(F1299,G1299),C1299*E1299*F1299*G1299,IF(AND(F1299,H1299),C1299*E1299*F1299*H1299,IF(AND(G1299,H1299),C1299*E1299*G1299*H1299,IF(F1299,C1299*E1299*F1299,IF(G1299,C1299*E1299*G1299,IF(H1299,C1299*E1299*H1299,C1299*E1299))))))),2)</f>
        <v>7</v>
      </c>
      <c r="J1299" s="987" t="s">
        <v>431</v>
      </c>
      <c r="K1299" s="957"/>
      <c r="L1299" s="951"/>
      <c r="M1299" s="957"/>
      <c r="N1299" s="955" t="s">
        <v>2318</v>
      </c>
    </row>
    <row r="1300" spans="1:14" s="965" customFormat="1" ht="16.5" customHeight="1">
      <c r="A1300" s="951"/>
      <c r="B1300" s="993"/>
      <c r="C1300" s="973"/>
      <c r="D1300" s="974"/>
      <c r="E1300" s="975"/>
      <c r="F1300" s="976"/>
      <c r="G1300" s="976"/>
      <c r="H1300" s="976"/>
      <c r="I1300" s="971"/>
      <c r="J1300" s="987"/>
      <c r="K1300" s="957"/>
      <c r="L1300" s="951"/>
      <c r="M1300" s="957"/>
      <c r="N1300" s="955" t="s">
        <v>2318</v>
      </c>
    </row>
    <row r="1301" spans="1:14" s="956" customFormat="1" ht="15.75">
      <c r="A1301" s="951"/>
      <c r="B1301" s="957"/>
      <c r="C1301" s="977"/>
      <c r="D1301" s="978"/>
      <c r="E1301" s="979"/>
      <c r="F1301" s="980"/>
      <c r="G1301" s="981"/>
      <c r="H1301" s="951"/>
      <c r="I1301" s="989"/>
      <c r="J1301" s="987" t="s">
        <v>431</v>
      </c>
      <c r="K1301" s="982">
        <f>'Ele 2022-23'!I108</f>
        <v>503.67</v>
      </c>
      <c r="L1301" s="983" t="s">
        <v>2441</v>
      </c>
      <c r="M1301" s="984">
        <f>ROUND(I1301*K1301,0)</f>
        <v>0</v>
      </c>
      <c r="N1301" s="955" t="s">
        <v>2318</v>
      </c>
    </row>
    <row r="1302" spans="1:14" ht="44.25" hidden="1" customHeight="1">
      <c r="A1302" s="16">
        <v>8</v>
      </c>
      <c r="B1302" s="1858" t="s">
        <v>2093</v>
      </c>
      <c r="C1302" s="1858"/>
      <c r="D1302" s="1858"/>
      <c r="E1302" s="1858"/>
      <c r="F1302" s="1858"/>
      <c r="G1302" s="1858"/>
      <c r="H1302" s="1858"/>
      <c r="I1302" s="537"/>
      <c r="J1302" s="538"/>
      <c r="K1302" s="16"/>
      <c r="L1302" s="16"/>
      <c r="M1302" s="38"/>
      <c r="N1302" s="536" t="s">
        <v>2318</v>
      </c>
    </row>
    <row r="1303" spans="1:14" s="544" customFormat="1" ht="16.5" hidden="1" customHeight="1">
      <c r="A1303" s="16"/>
      <c r="B1303" s="39" t="s">
        <v>2817</v>
      </c>
      <c r="C1303" s="566"/>
      <c r="D1303" s="567"/>
      <c r="E1303" s="568"/>
      <c r="F1303" s="569"/>
      <c r="G1303" s="569"/>
      <c r="H1303" s="570"/>
      <c r="I1303" s="571"/>
      <c r="J1303" s="580"/>
      <c r="K1303" s="39"/>
      <c r="L1303" s="16"/>
      <c r="M1303" s="39"/>
      <c r="N1303" s="536" t="s">
        <v>2318</v>
      </c>
    </row>
    <row r="1304" spans="1:14" s="544" customFormat="1" ht="16.5" hidden="1" customHeight="1">
      <c r="A1304" s="16"/>
      <c r="B1304" s="39" t="s">
        <v>2094</v>
      </c>
      <c r="C1304" s="566"/>
      <c r="D1304" s="567"/>
      <c r="E1304" s="568"/>
      <c r="F1304" s="569"/>
      <c r="G1304" s="569"/>
      <c r="H1304" s="570"/>
      <c r="I1304" s="571"/>
      <c r="J1304" s="580"/>
      <c r="K1304" s="39"/>
      <c r="L1304" s="16"/>
      <c r="M1304" s="39"/>
      <c r="N1304" s="536" t="s">
        <v>2318</v>
      </c>
    </row>
    <row r="1305" spans="1:14" s="544" customFormat="1" ht="16.5" hidden="1" customHeight="1">
      <c r="A1305" s="16"/>
      <c r="B1305" s="607"/>
      <c r="C1305" s="583">
        <v>1</v>
      </c>
      <c r="D1305" s="584" t="s">
        <v>273</v>
      </c>
      <c r="E1305" s="585">
        <v>1</v>
      </c>
      <c r="F1305" s="588">
        <v>55</v>
      </c>
      <c r="G1305" s="586">
        <v>0</v>
      </c>
      <c r="H1305" s="586">
        <v>0</v>
      </c>
      <c r="I1305" s="552">
        <f>ROUND(IF(AND(F1305:H1305),C1305*E1305*F1305*G1305*H1305,IF(AND(F1305,G1305),C1305*E1305*F1305*G1305,IF(AND(F1305,H1305),C1305*E1305*F1305*H1305,IF(AND(G1305,H1305),C1305*E1305*G1305*H1305,IF(F1305,C1305*E1305*F1305,IF(G1305,C1305*E1305*G1305,IF(H1305,C1305*E1305*H1305,C1305*E1305))))))),2)</f>
        <v>55</v>
      </c>
      <c r="J1305" s="580" t="s">
        <v>277</v>
      </c>
      <c r="K1305" s="39"/>
      <c r="L1305" s="16"/>
      <c r="M1305" s="39"/>
      <c r="N1305" s="536" t="s">
        <v>2318</v>
      </c>
    </row>
    <row r="1306" spans="1:14" s="544" customFormat="1" ht="16.5" hidden="1" customHeight="1">
      <c r="A1306" s="16"/>
      <c r="B1306" s="607"/>
      <c r="C1306" s="548"/>
      <c r="D1306" s="549"/>
      <c r="E1306" s="550"/>
      <c r="F1306" s="589"/>
      <c r="G1306" s="551"/>
      <c r="H1306" s="551"/>
      <c r="I1306" s="552"/>
      <c r="J1306" s="580"/>
      <c r="K1306" s="39"/>
      <c r="L1306" s="16"/>
      <c r="M1306" s="39"/>
      <c r="N1306" s="536" t="s">
        <v>2318</v>
      </c>
    </row>
    <row r="1307" spans="1:14" ht="15.75" hidden="1">
      <c r="A1307" s="16"/>
      <c r="B1307" s="39"/>
      <c r="C1307" s="554"/>
      <c r="D1307" s="555"/>
      <c r="E1307" s="540"/>
      <c r="F1307" s="541"/>
      <c r="G1307" s="40"/>
      <c r="H1307" s="16"/>
      <c r="I1307" s="552"/>
      <c r="J1307" s="580" t="s">
        <v>277</v>
      </c>
      <c r="K1307" s="10">
        <f>'Ele 2022-23'!I153</f>
        <v>23.55</v>
      </c>
      <c r="L1307" s="208" t="s">
        <v>279</v>
      </c>
      <c r="M1307" s="9">
        <f>ROUND(I1307*K1307,0)</f>
        <v>0</v>
      </c>
      <c r="N1307" s="536" t="s">
        <v>2318</v>
      </c>
    </row>
    <row r="1308" spans="1:14" ht="44.25" hidden="1" customHeight="1">
      <c r="A1308" s="16">
        <v>9</v>
      </c>
      <c r="B1308" s="1858" t="s">
        <v>2264</v>
      </c>
      <c r="C1308" s="1858"/>
      <c r="D1308" s="1858"/>
      <c r="E1308" s="1858"/>
      <c r="F1308" s="1858"/>
      <c r="G1308" s="1858"/>
      <c r="H1308" s="1858"/>
      <c r="I1308" s="537"/>
      <c r="J1308" s="538"/>
      <c r="K1308" s="16"/>
      <c r="L1308" s="16"/>
      <c r="M1308" s="38"/>
      <c r="N1308" s="536" t="s">
        <v>2318</v>
      </c>
    </row>
    <row r="1309" spans="1:14" s="544" customFormat="1" ht="16.5" hidden="1" customHeight="1">
      <c r="A1309" s="16"/>
      <c r="B1309" s="39" t="s">
        <v>2817</v>
      </c>
      <c r="C1309" s="566"/>
      <c r="D1309" s="567"/>
      <c r="E1309" s="568"/>
      <c r="F1309" s="569"/>
      <c r="G1309" s="569"/>
      <c r="H1309" s="570"/>
      <c r="I1309" s="571"/>
      <c r="J1309" s="580"/>
      <c r="K1309" s="39"/>
      <c r="L1309" s="16"/>
      <c r="M1309" s="39"/>
      <c r="N1309" s="536" t="s">
        <v>2318</v>
      </c>
    </row>
    <row r="1310" spans="1:14" s="544" customFormat="1" ht="16.5" hidden="1" customHeight="1">
      <c r="A1310" s="16"/>
      <c r="B1310" s="607"/>
      <c r="C1310" s="583">
        <v>1</v>
      </c>
      <c r="D1310" s="584" t="s">
        <v>273</v>
      </c>
      <c r="E1310" s="585">
        <v>1</v>
      </c>
      <c r="F1310" s="588">
        <v>150</v>
      </c>
      <c r="G1310" s="586">
        <v>0</v>
      </c>
      <c r="H1310" s="586">
        <v>0</v>
      </c>
      <c r="I1310" s="552">
        <f>ROUND(IF(AND(F1310:H1310),C1310*E1310*F1310*G1310*H1310,IF(AND(F1310,G1310),C1310*E1310*F1310*G1310,IF(AND(F1310,H1310),C1310*E1310*F1310*H1310,IF(AND(G1310,H1310),C1310*E1310*G1310*H1310,IF(F1310,C1310*E1310*F1310,IF(G1310,C1310*E1310*G1310,IF(H1310,C1310*E1310*H1310,C1310*E1310))))))),2)</f>
        <v>150</v>
      </c>
      <c r="J1310" s="580" t="s">
        <v>277</v>
      </c>
      <c r="K1310" s="39"/>
      <c r="L1310" s="16"/>
      <c r="M1310" s="39"/>
      <c r="N1310" s="536" t="s">
        <v>2318</v>
      </c>
    </row>
    <row r="1311" spans="1:14" s="544" customFormat="1" ht="16.5" hidden="1" customHeight="1">
      <c r="A1311" s="16"/>
      <c r="B1311" s="607"/>
      <c r="C1311" s="548"/>
      <c r="D1311" s="549"/>
      <c r="E1311" s="550"/>
      <c r="F1311" s="589"/>
      <c r="G1311" s="551"/>
      <c r="H1311" s="551"/>
      <c r="I1311" s="552"/>
      <c r="J1311" s="580"/>
      <c r="K1311" s="39"/>
      <c r="L1311" s="16"/>
      <c r="M1311" s="39"/>
      <c r="N1311" s="536" t="s">
        <v>2318</v>
      </c>
    </row>
    <row r="1312" spans="1:14" ht="15.75" hidden="1">
      <c r="A1312" s="16"/>
      <c r="B1312" s="39"/>
      <c r="C1312" s="554"/>
      <c r="D1312" s="555"/>
      <c r="E1312" s="540"/>
      <c r="F1312" s="541"/>
      <c r="G1312" s="40"/>
      <c r="H1312" s="16"/>
      <c r="I1312" s="552"/>
      <c r="J1312" s="580" t="s">
        <v>277</v>
      </c>
      <c r="K1312" s="10">
        <f>'Ele 2022-23'!I145</f>
        <v>79.48</v>
      </c>
      <c r="L1312" s="208" t="s">
        <v>279</v>
      </c>
      <c r="M1312" s="9">
        <f>ROUND(I1312*K1312,0)</f>
        <v>0</v>
      </c>
      <c r="N1312" s="536" t="s">
        <v>2318</v>
      </c>
    </row>
    <row r="1313" spans="1:14" s="956" customFormat="1" ht="44.25" customHeight="1">
      <c r="A1313" s="951">
        <v>17</v>
      </c>
      <c r="B1313" s="1868" t="s">
        <v>429</v>
      </c>
      <c r="C1313" s="1868"/>
      <c r="D1313" s="1868"/>
      <c r="E1313" s="1868"/>
      <c r="F1313" s="1868"/>
      <c r="G1313" s="1868"/>
      <c r="H1313" s="1868"/>
      <c r="I1313" s="952"/>
      <c r="J1313" s="953"/>
      <c r="K1313" s="951"/>
      <c r="L1313" s="951"/>
      <c r="M1313" s="954"/>
      <c r="N1313" s="955" t="s">
        <v>2318</v>
      </c>
    </row>
    <row r="1314" spans="1:14" s="965" customFormat="1" ht="16.5" customHeight="1">
      <c r="A1314" s="951"/>
      <c r="B1314" s="957" t="s">
        <v>3135</v>
      </c>
      <c r="C1314" s="958"/>
      <c r="D1314" s="959"/>
      <c r="E1314" s="960"/>
      <c r="F1314" s="961"/>
      <c r="G1314" s="961"/>
      <c r="H1314" s="962"/>
      <c r="I1314" s="963"/>
      <c r="J1314" s="987"/>
      <c r="K1314" s="957"/>
      <c r="L1314" s="951"/>
      <c r="M1314" s="957"/>
      <c r="N1314" s="955" t="s">
        <v>2318</v>
      </c>
    </row>
    <row r="1315" spans="1:14" s="965" customFormat="1" ht="16.5" customHeight="1">
      <c r="A1315" s="951"/>
      <c r="B1315" s="993"/>
      <c r="C1315" s="967">
        <v>1</v>
      </c>
      <c r="D1315" s="968" t="s">
        <v>273</v>
      </c>
      <c r="E1315" s="969">
        <v>1</v>
      </c>
      <c r="F1315" s="988">
        <v>60</v>
      </c>
      <c r="G1315" s="970">
        <v>0</v>
      </c>
      <c r="H1315" s="970">
        <v>0</v>
      </c>
      <c r="I1315" s="971">
        <f>ROUND(IF(AND(F1315:H1315),C1315*E1315*F1315*G1315*H1315,IF(AND(F1315,G1315),C1315*E1315*F1315*G1315,IF(AND(F1315,H1315),C1315*E1315*F1315*H1315,IF(AND(G1315,H1315),C1315*E1315*G1315*H1315,IF(F1315,C1315*E1315*F1315,IF(G1315,C1315*E1315*G1315,IF(H1315,C1315*E1315*H1315,C1315*E1315))))))),2)</f>
        <v>60</v>
      </c>
      <c r="J1315" s="987" t="s">
        <v>277</v>
      </c>
      <c r="K1315" s="957"/>
      <c r="L1315" s="951"/>
      <c r="M1315" s="957"/>
      <c r="N1315" s="955" t="s">
        <v>2318</v>
      </c>
    </row>
    <row r="1316" spans="1:14" s="965" customFormat="1" ht="16.5" customHeight="1">
      <c r="A1316" s="951"/>
      <c r="B1316" s="993"/>
      <c r="C1316" s="967">
        <v>1</v>
      </c>
      <c r="D1316" s="968" t="s">
        <v>273</v>
      </c>
      <c r="E1316" s="969">
        <v>1</v>
      </c>
      <c r="F1316" s="988">
        <v>80</v>
      </c>
      <c r="G1316" s="970">
        <v>0</v>
      </c>
      <c r="H1316" s="970">
        <v>0</v>
      </c>
      <c r="I1316" s="971">
        <f>ROUND(IF(AND(F1316:H1316),C1316*E1316*F1316*G1316*H1316,IF(AND(F1316,G1316),C1316*E1316*F1316*G1316,IF(AND(F1316,H1316),C1316*E1316*F1316*H1316,IF(AND(G1316,H1316),C1316*E1316*G1316*H1316,IF(F1316,C1316*E1316*F1316,IF(G1316,C1316*E1316*G1316,IF(H1316,C1316*E1316*H1316,C1316*E1316))))))),2)</f>
        <v>80</v>
      </c>
      <c r="J1316" s="987" t="s">
        <v>277</v>
      </c>
      <c r="K1316" s="957"/>
      <c r="L1316" s="951"/>
      <c r="M1316" s="957"/>
      <c r="N1316" s="955" t="s">
        <v>2318</v>
      </c>
    </row>
    <row r="1317" spans="1:14" s="965" customFormat="1" ht="16.5" customHeight="1">
      <c r="A1317" s="951"/>
      <c r="B1317" s="993"/>
      <c r="C1317" s="973"/>
      <c r="D1317" s="974"/>
      <c r="E1317" s="975"/>
      <c r="F1317" s="986"/>
      <c r="G1317" s="976"/>
      <c r="H1317" s="976"/>
      <c r="I1317" s="971"/>
      <c r="J1317" s="987"/>
      <c r="K1317" s="957"/>
      <c r="L1317" s="951"/>
      <c r="M1317" s="957"/>
      <c r="N1317" s="955" t="s">
        <v>2318</v>
      </c>
    </row>
    <row r="1318" spans="1:14" s="956" customFormat="1" ht="15.75">
      <c r="A1318" s="951"/>
      <c r="B1318" s="957"/>
      <c r="C1318" s="977"/>
      <c r="D1318" s="978"/>
      <c r="E1318" s="979"/>
      <c r="F1318" s="980"/>
      <c r="G1318" s="981"/>
      <c r="H1318" s="951"/>
      <c r="I1318" s="971"/>
      <c r="J1318" s="987" t="s">
        <v>277</v>
      </c>
      <c r="K1318" s="982">
        <f>'Ele 2022-23'!I163</f>
        <v>83.333500000000001</v>
      </c>
      <c r="L1318" s="983" t="s">
        <v>279</v>
      </c>
      <c r="M1318" s="984">
        <f>ROUND(I1318*K1318,0)</f>
        <v>0</v>
      </c>
      <c r="N1318" s="955" t="s">
        <v>2318</v>
      </c>
    </row>
    <row r="1319" spans="1:14" ht="44.25" hidden="1" customHeight="1">
      <c r="A1319" s="16">
        <v>10</v>
      </c>
      <c r="B1319" s="1858" t="s">
        <v>430</v>
      </c>
      <c r="C1319" s="1858"/>
      <c r="D1319" s="1858"/>
      <c r="E1319" s="1858"/>
      <c r="F1319" s="1858"/>
      <c r="G1319" s="1858"/>
      <c r="H1319" s="1858"/>
      <c r="I1319" s="537"/>
      <c r="J1319" s="538"/>
      <c r="K1319" s="16"/>
      <c r="L1319" s="16"/>
      <c r="M1319" s="38"/>
      <c r="N1319" s="536" t="s">
        <v>2318</v>
      </c>
    </row>
    <row r="1320" spans="1:14" s="544" customFormat="1" ht="16.5" hidden="1" customHeight="1">
      <c r="A1320" s="16"/>
      <c r="B1320" s="39" t="s">
        <v>2107</v>
      </c>
      <c r="C1320" s="566"/>
      <c r="D1320" s="567"/>
      <c r="E1320" s="568"/>
      <c r="F1320" s="569"/>
      <c r="G1320" s="569"/>
      <c r="H1320" s="570"/>
      <c r="I1320" s="571"/>
      <c r="J1320" s="580"/>
      <c r="K1320" s="39"/>
      <c r="L1320" s="16"/>
      <c r="M1320" s="39"/>
      <c r="N1320" s="536" t="s">
        <v>2318</v>
      </c>
    </row>
    <row r="1321" spans="1:14" s="544" customFormat="1" ht="16.5" hidden="1" customHeight="1">
      <c r="A1321" s="16"/>
      <c r="B1321" s="607"/>
      <c r="C1321" s="548">
        <v>1</v>
      </c>
      <c r="D1321" s="549" t="s">
        <v>273</v>
      </c>
      <c r="E1321" s="550">
        <v>1</v>
      </c>
      <c r="F1321" s="589">
        <v>25</v>
      </c>
      <c r="G1321" s="551">
        <v>0</v>
      </c>
      <c r="H1321" s="551">
        <v>0</v>
      </c>
      <c r="I1321" s="552">
        <f>ROUND(IF(AND(F1321:H1321),C1321*E1321*F1321*G1321*H1321,IF(AND(F1321,G1321),C1321*E1321*F1321*G1321,IF(AND(F1321,H1321),C1321*E1321*F1321*H1321,IF(AND(G1321,H1321),C1321*E1321*G1321*H1321,IF(F1321,C1321*E1321*F1321,IF(G1321,C1321*E1321*G1321,IF(H1321,C1321*E1321*H1321,C1321*E1321))))))),2)</f>
        <v>25</v>
      </c>
      <c r="J1321" s="580" t="s">
        <v>277</v>
      </c>
      <c r="K1321" s="39"/>
      <c r="L1321" s="16"/>
      <c r="M1321" s="39"/>
      <c r="N1321" s="536" t="s">
        <v>2318</v>
      </c>
    </row>
    <row r="1322" spans="1:14" s="544" customFormat="1" ht="16.5" hidden="1" customHeight="1">
      <c r="A1322" s="16"/>
      <c r="B1322" s="607"/>
      <c r="C1322" s="548"/>
      <c r="D1322" s="549"/>
      <c r="E1322" s="550"/>
      <c r="F1322" s="589"/>
      <c r="G1322" s="551"/>
      <c r="H1322" s="551"/>
      <c r="I1322" s="552"/>
      <c r="J1322" s="580"/>
      <c r="K1322" s="39"/>
      <c r="L1322" s="16"/>
      <c r="M1322" s="39"/>
      <c r="N1322" s="536" t="s">
        <v>2318</v>
      </c>
    </row>
    <row r="1323" spans="1:14" ht="15.75" hidden="1">
      <c r="A1323" s="16"/>
      <c r="B1323" s="39"/>
      <c r="C1323" s="554"/>
      <c r="D1323" s="555"/>
      <c r="E1323" s="540"/>
      <c r="F1323" s="541"/>
      <c r="G1323" s="40"/>
      <c r="H1323" s="16"/>
      <c r="I1323" s="552"/>
      <c r="J1323" s="580" t="s">
        <v>277</v>
      </c>
      <c r="K1323" s="10">
        <f>'Ele 2022-23'!I173</f>
        <v>126.65</v>
      </c>
      <c r="L1323" s="208" t="s">
        <v>279</v>
      </c>
      <c r="M1323" s="9">
        <f>ROUND(I1323*K1323,0)</f>
        <v>0</v>
      </c>
      <c r="N1323" s="536" t="s">
        <v>2318</v>
      </c>
    </row>
    <row r="1324" spans="1:14" ht="44.25" hidden="1" customHeight="1">
      <c r="A1324" s="16">
        <v>10</v>
      </c>
      <c r="B1324" s="1858" t="s">
        <v>882</v>
      </c>
      <c r="C1324" s="1858"/>
      <c r="D1324" s="1858"/>
      <c r="E1324" s="1858"/>
      <c r="F1324" s="1858"/>
      <c r="G1324" s="1858"/>
      <c r="H1324" s="1858"/>
      <c r="I1324" s="537"/>
      <c r="J1324" s="538"/>
      <c r="K1324" s="16"/>
      <c r="L1324" s="16"/>
      <c r="M1324" s="38"/>
      <c r="N1324" s="536" t="s">
        <v>2318</v>
      </c>
    </row>
    <row r="1325" spans="1:14" s="544" customFormat="1" ht="16.5" hidden="1" customHeight="1">
      <c r="A1325" s="16"/>
      <c r="B1325" s="39" t="s">
        <v>2922</v>
      </c>
      <c r="C1325" s="566"/>
      <c r="D1325" s="567"/>
      <c r="E1325" s="568"/>
      <c r="F1325" s="569"/>
      <c r="G1325" s="569"/>
      <c r="H1325" s="570"/>
      <c r="I1325" s="571"/>
      <c r="J1325" s="580"/>
      <c r="K1325" s="39"/>
      <c r="L1325" s="16"/>
      <c r="M1325" s="39"/>
      <c r="N1325" s="536" t="s">
        <v>2318</v>
      </c>
    </row>
    <row r="1326" spans="1:14" s="544" customFormat="1" ht="16.5" hidden="1" customHeight="1">
      <c r="A1326" s="16"/>
      <c r="B1326" s="607"/>
      <c r="C1326" s="583">
        <v>1</v>
      </c>
      <c r="D1326" s="584" t="s">
        <v>273</v>
      </c>
      <c r="E1326" s="585">
        <v>1</v>
      </c>
      <c r="F1326" s="588">
        <v>30</v>
      </c>
      <c r="G1326" s="586">
        <v>0</v>
      </c>
      <c r="H1326" s="586">
        <v>0</v>
      </c>
      <c r="I1326" s="552">
        <f>ROUND(IF(AND(F1326:H1326),C1326*E1326*F1326*G1326*H1326,IF(AND(F1326,G1326),C1326*E1326*F1326*G1326,IF(AND(F1326,H1326),C1326*E1326*F1326*H1326,IF(AND(G1326,H1326),C1326*E1326*G1326*H1326,IF(F1326,C1326*E1326*F1326,IF(G1326,C1326*E1326*G1326,IF(H1326,C1326*E1326*H1326,C1326*E1326))))))),2)</f>
        <v>30</v>
      </c>
      <c r="J1326" s="580" t="s">
        <v>277</v>
      </c>
      <c r="K1326" s="39"/>
      <c r="L1326" s="16"/>
      <c r="M1326" s="39"/>
      <c r="N1326" s="536" t="s">
        <v>2318</v>
      </c>
    </row>
    <row r="1327" spans="1:14" s="544" customFormat="1" ht="16.5" hidden="1" customHeight="1">
      <c r="A1327" s="16"/>
      <c r="B1327" s="607"/>
      <c r="C1327" s="583"/>
      <c r="D1327" s="584"/>
      <c r="E1327" s="585"/>
      <c r="F1327" s="588"/>
      <c r="G1327" s="586"/>
      <c r="H1327" s="586"/>
      <c r="I1327" s="552"/>
      <c r="J1327" s="580"/>
      <c r="K1327" s="39"/>
      <c r="L1327" s="16"/>
      <c r="M1327" s="39"/>
      <c r="N1327" s="536" t="s">
        <v>2318</v>
      </c>
    </row>
    <row r="1328" spans="1:14" ht="15.75" hidden="1">
      <c r="A1328" s="16"/>
      <c r="B1328" s="39"/>
      <c r="C1328" s="554"/>
      <c r="D1328" s="555"/>
      <c r="E1328" s="540"/>
      <c r="F1328" s="541"/>
      <c r="G1328" s="40"/>
      <c r="H1328" s="16"/>
      <c r="I1328" s="552"/>
      <c r="J1328" s="580" t="s">
        <v>277</v>
      </c>
      <c r="K1328" s="10">
        <f>'Ele 2022-23'!I184</f>
        <v>64.563000000000002</v>
      </c>
      <c r="L1328" s="208" t="s">
        <v>279</v>
      </c>
      <c r="M1328" s="9">
        <f>ROUND(I1328*K1328,0)</f>
        <v>0</v>
      </c>
      <c r="N1328" s="536" t="s">
        <v>2318</v>
      </c>
    </row>
    <row r="1329" spans="1:14" s="956" customFormat="1" ht="22.5" customHeight="1">
      <c r="A1329" s="951">
        <v>18</v>
      </c>
      <c r="B1329" s="1868" t="s">
        <v>437</v>
      </c>
      <c r="C1329" s="1868"/>
      <c r="D1329" s="1868"/>
      <c r="E1329" s="1868"/>
      <c r="F1329" s="1868"/>
      <c r="G1329" s="1868"/>
      <c r="H1329" s="1868"/>
      <c r="I1329" s="952"/>
      <c r="J1329" s="953"/>
      <c r="K1329" s="951"/>
      <c r="L1329" s="951"/>
      <c r="M1329" s="954"/>
      <c r="N1329" s="955" t="s">
        <v>2318</v>
      </c>
    </row>
    <row r="1330" spans="1:14" s="965" customFormat="1" ht="16.5" customHeight="1">
      <c r="A1330" s="951"/>
      <c r="B1330" s="957" t="s">
        <v>3135</v>
      </c>
      <c r="C1330" s="958"/>
      <c r="D1330" s="959"/>
      <c r="E1330" s="960"/>
      <c r="F1330" s="961"/>
      <c r="G1330" s="961"/>
      <c r="H1330" s="962"/>
      <c r="I1330" s="963"/>
      <c r="J1330" s="987"/>
      <c r="K1330" s="957"/>
      <c r="L1330" s="951"/>
      <c r="M1330" s="957"/>
      <c r="N1330" s="955" t="s">
        <v>2318</v>
      </c>
    </row>
    <row r="1331" spans="1:14" s="965" customFormat="1" ht="16.5" customHeight="1">
      <c r="A1331" s="951"/>
      <c r="B1331" s="993"/>
      <c r="C1331" s="973">
        <v>1</v>
      </c>
      <c r="D1331" s="974" t="s">
        <v>273</v>
      </c>
      <c r="E1331" s="975">
        <v>6</v>
      </c>
      <c r="F1331" s="976">
        <v>0</v>
      </c>
      <c r="G1331" s="976">
        <v>0</v>
      </c>
      <c r="H1331" s="976">
        <v>0</v>
      </c>
      <c r="I1331" s="989">
        <f>ROUND(IF(AND(F1331:H1331),C1331*E1331*F1331*G1331*H1331,IF(AND(F1331,G1331),C1331*E1331*F1331*G1331,IF(AND(F1331,H1331),C1331*E1331*F1331*H1331,IF(AND(G1331,H1331),C1331*E1331*G1331*H1331,IF(F1331,C1331*E1331*F1331,IF(G1331,C1331*E1331*G1331,IF(H1331,C1331*E1331*H1331,C1331*E1331))))))),2)</f>
        <v>6</v>
      </c>
      <c r="J1331" s="987" t="s">
        <v>115</v>
      </c>
      <c r="K1331" s="957"/>
      <c r="L1331" s="951"/>
      <c r="M1331" s="957"/>
      <c r="N1331" s="955" t="s">
        <v>2318</v>
      </c>
    </row>
    <row r="1332" spans="1:14" s="965" customFormat="1" ht="16.5" customHeight="1">
      <c r="A1332" s="951"/>
      <c r="B1332" s="993"/>
      <c r="C1332" s="973">
        <v>1</v>
      </c>
      <c r="D1332" s="974" t="s">
        <v>273</v>
      </c>
      <c r="E1332" s="975">
        <v>6</v>
      </c>
      <c r="F1332" s="976">
        <v>0</v>
      </c>
      <c r="G1332" s="976">
        <v>0</v>
      </c>
      <c r="H1332" s="976">
        <v>0</v>
      </c>
      <c r="I1332" s="989">
        <f>ROUND(IF(AND(F1332:H1332),C1332*E1332*F1332*G1332*H1332,IF(AND(F1332,G1332),C1332*E1332*F1332*G1332,IF(AND(F1332,H1332),C1332*E1332*F1332*H1332,IF(AND(G1332,H1332),C1332*E1332*G1332*H1332,IF(F1332,C1332*E1332*F1332,IF(G1332,C1332*E1332*G1332,IF(H1332,C1332*E1332*H1332,C1332*E1332))))))),2)</f>
        <v>6</v>
      </c>
      <c r="J1332" s="987" t="s">
        <v>115</v>
      </c>
      <c r="K1332" s="957"/>
      <c r="L1332" s="951"/>
      <c r="M1332" s="957"/>
      <c r="N1332" s="955" t="s">
        <v>2318</v>
      </c>
    </row>
    <row r="1333" spans="1:14" s="965" customFormat="1" ht="16.5" customHeight="1">
      <c r="A1333" s="951"/>
      <c r="B1333" s="993"/>
      <c r="C1333" s="973"/>
      <c r="D1333" s="974"/>
      <c r="E1333" s="975"/>
      <c r="F1333" s="976"/>
      <c r="G1333" s="976"/>
      <c r="H1333" s="976"/>
      <c r="I1333" s="971"/>
      <c r="J1333" s="987"/>
      <c r="K1333" s="957"/>
      <c r="L1333" s="951"/>
      <c r="M1333" s="957"/>
      <c r="N1333" s="955" t="s">
        <v>2318</v>
      </c>
    </row>
    <row r="1334" spans="1:14" s="956" customFormat="1" ht="15.75">
      <c r="A1334" s="951"/>
      <c r="B1334" s="957"/>
      <c r="C1334" s="977"/>
      <c r="D1334" s="978"/>
      <c r="E1334" s="979"/>
      <c r="F1334" s="980"/>
      <c r="G1334" s="981"/>
      <c r="H1334" s="951"/>
      <c r="I1334" s="989"/>
      <c r="J1334" s="987" t="s">
        <v>115</v>
      </c>
      <c r="K1334" s="982">
        <f>'Ele 2022-23'!I60</f>
        <v>209</v>
      </c>
      <c r="L1334" s="983" t="s">
        <v>275</v>
      </c>
      <c r="M1334" s="984">
        <f>ROUND(I1334*K1334,0)</f>
        <v>0</v>
      </c>
      <c r="N1334" s="955" t="s">
        <v>2318</v>
      </c>
    </row>
    <row r="1335" spans="1:14" s="956" customFormat="1" ht="22.5" customHeight="1">
      <c r="A1335" s="951">
        <v>19</v>
      </c>
      <c r="B1335" s="1868" t="s">
        <v>615</v>
      </c>
      <c r="C1335" s="1868"/>
      <c r="D1335" s="1868"/>
      <c r="E1335" s="1868"/>
      <c r="F1335" s="1868"/>
      <c r="G1335" s="1868"/>
      <c r="H1335" s="1868"/>
      <c r="I1335" s="952"/>
      <c r="J1335" s="953"/>
      <c r="K1335" s="951"/>
      <c r="L1335" s="951"/>
      <c r="M1335" s="954"/>
      <c r="N1335" s="955" t="s">
        <v>2318</v>
      </c>
    </row>
    <row r="1336" spans="1:14" s="965" customFormat="1" ht="16.5" customHeight="1">
      <c r="A1336" s="951"/>
      <c r="B1336" s="957" t="s">
        <v>3135</v>
      </c>
      <c r="C1336" s="958"/>
      <c r="D1336" s="959"/>
      <c r="E1336" s="960"/>
      <c r="F1336" s="961"/>
      <c r="G1336" s="961"/>
      <c r="H1336" s="962"/>
      <c r="I1336" s="963"/>
      <c r="J1336" s="987"/>
      <c r="K1336" s="957"/>
      <c r="L1336" s="951"/>
      <c r="M1336" s="957"/>
      <c r="N1336" s="955" t="s">
        <v>2318</v>
      </c>
    </row>
    <row r="1337" spans="1:14" s="965" customFormat="1" ht="16.5" customHeight="1">
      <c r="A1337" s="951"/>
      <c r="B1337" s="993"/>
      <c r="C1337" s="973">
        <v>1</v>
      </c>
      <c r="D1337" s="974" t="s">
        <v>273</v>
      </c>
      <c r="E1337" s="975">
        <v>5</v>
      </c>
      <c r="F1337" s="976">
        <v>0</v>
      </c>
      <c r="G1337" s="976">
        <v>0</v>
      </c>
      <c r="H1337" s="976">
        <v>0</v>
      </c>
      <c r="I1337" s="989">
        <f>ROUND(IF(AND(F1337:H1337),C1337*E1337*F1337*G1337*H1337,IF(AND(F1337,G1337),C1337*E1337*F1337*G1337,IF(AND(F1337,H1337),C1337*E1337*F1337*H1337,IF(AND(G1337,H1337),C1337*E1337*G1337*H1337,IF(F1337,C1337*E1337*F1337,IF(G1337,C1337*E1337*G1337,IF(H1337,C1337*E1337*H1337,C1337*E1337))))))),2)</f>
        <v>5</v>
      </c>
      <c r="J1337" s="987" t="s">
        <v>115</v>
      </c>
      <c r="K1337" s="957"/>
      <c r="L1337" s="951"/>
      <c r="M1337" s="957"/>
      <c r="N1337" s="955" t="s">
        <v>2318</v>
      </c>
    </row>
    <row r="1338" spans="1:14" s="965" customFormat="1" ht="16.5" customHeight="1">
      <c r="A1338" s="951"/>
      <c r="B1338" s="993"/>
      <c r="C1338" s="973">
        <v>1</v>
      </c>
      <c r="D1338" s="974" t="s">
        <v>273</v>
      </c>
      <c r="E1338" s="975">
        <v>3</v>
      </c>
      <c r="F1338" s="976">
        <v>0</v>
      </c>
      <c r="G1338" s="976">
        <v>0</v>
      </c>
      <c r="H1338" s="976">
        <v>0</v>
      </c>
      <c r="I1338" s="989">
        <f>ROUND(IF(AND(F1338:H1338),C1338*E1338*F1338*G1338*H1338,IF(AND(F1338,G1338),C1338*E1338*F1338*G1338,IF(AND(F1338,H1338),C1338*E1338*F1338*H1338,IF(AND(G1338,H1338),C1338*E1338*G1338*H1338,IF(F1338,C1338*E1338*F1338,IF(G1338,C1338*E1338*G1338,IF(H1338,C1338*E1338*H1338,C1338*E1338))))))),2)</f>
        <v>3</v>
      </c>
      <c r="J1338" s="987" t="s">
        <v>115</v>
      </c>
      <c r="K1338" s="957"/>
      <c r="L1338" s="951"/>
      <c r="M1338" s="957"/>
      <c r="N1338" s="955" t="s">
        <v>2318</v>
      </c>
    </row>
    <row r="1339" spans="1:14" s="965" customFormat="1" ht="16.5" customHeight="1">
      <c r="A1339" s="951"/>
      <c r="B1339" s="993"/>
      <c r="C1339" s="973"/>
      <c r="D1339" s="974"/>
      <c r="E1339" s="975"/>
      <c r="F1339" s="976"/>
      <c r="G1339" s="976"/>
      <c r="H1339" s="976"/>
      <c r="I1339" s="971"/>
      <c r="J1339" s="987"/>
      <c r="K1339" s="957"/>
      <c r="L1339" s="951"/>
      <c r="M1339" s="957"/>
      <c r="N1339" s="955" t="s">
        <v>2318</v>
      </c>
    </row>
    <row r="1340" spans="1:14" s="956" customFormat="1" ht="15.75">
      <c r="A1340" s="951"/>
      <c r="B1340" s="957"/>
      <c r="C1340" s="977"/>
      <c r="D1340" s="978"/>
      <c r="E1340" s="979"/>
      <c r="F1340" s="980"/>
      <c r="G1340" s="981"/>
      <c r="H1340" s="951"/>
      <c r="I1340" s="989"/>
      <c r="J1340" s="987" t="s">
        <v>115</v>
      </c>
      <c r="K1340" s="982">
        <f>'Ele 2022-23'!I63</f>
        <v>171</v>
      </c>
      <c r="L1340" s="983" t="s">
        <v>275</v>
      </c>
      <c r="M1340" s="984">
        <f>ROUND(I1340*K1340,0)</f>
        <v>0</v>
      </c>
      <c r="N1340" s="955" t="s">
        <v>2318</v>
      </c>
    </row>
    <row r="1341" spans="1:14" ht="22.5" hidden="1" customHeight="1">
      <c r="A1341" s="16">
        <v>32</v>
      </c>
      <c r="B1341" s="1858" t="s">
        <v>694</v>
      </c>
      <c r="C1341" s="1858"/>
      <c r="D1341" s="1858"/>
      <c r="E1341" s="1858"/>
      <c r="F1341" s="1858"/>
      <c r="G1341" s="1858"/>
      <c r="H1341" s="1858"/>
      <c r="I1341" s="537"/>
      <c r="J1341" s="538"/>
      <c r="K1341" s="16"/>
      <c r="L1341" s="16"/>
      <c r="M1341" s="38"/>
      <c r="N1341" s="536" t="s">
        <v>2318</v>
      </c>
    </row>
    <row r="1342" spans="1:14" s="544" customFormat="1" ht="16.5" hidden="1" customHeight="1">
      <c r="A1342" s="16"/>
      <c r="B1342" s="39" t="s">
        <v>2538</v>
      </c>
      <c r="C1342" s="566"/>
      <c r="D1342" s="567"/>
      <c r="E1342" s="568"/>
      <c r="F1342" s="569"/>
      <c r="G1342" s="569"/>
      <c r="H1342" s="570"/>
      <c r="I1342" s="571"/>
      <c r="J1342" s="580"/>
      <c r="K1342" s="39"/>
      <c r="L1342" s="16"/>
      <c r="M1342" s="39"/>
      <c r="N1342" s="536" t="s">
        <v>2318</v>
      </c>
    </row>
    <row r="1343" spans="1:14" s="544" customFormat="1" ht="16.5" hidden="1" customHeight="1">
      <c r="A1343" s="16"/>
      <c r="B1343" s="607"/>
      <c r="C1343" s="548">
        <v>1</v>
      </c>
      <c r="D1343" s="549" t="s">
        <v>273</v>
      </c>
      <c r="E1343" s="550">
        <v>7</v>
      </c>
      <c r="F1343" s="551">
        <v>0</v>
      </c>
      <c r="G1343" s="551">
        <v>0</v>
      </c>
      <c r="H1343" s="551">
        <v>0</v>
      </c>
      <c r="I1343" s="613">
        <f>ROUND(IF(AND(F1343:H1343),C1343*E1343*F1343*G1343*H1343,IF(AND(F1343,G1343),C1343*E1343*F1343*G1343,IF(AND(F1343,H1343),C1343*E1343*F1343*H1343,IF(AND(G1343,H1343),C1343*E1343*G1343*H1343,IF(F1343,C1343*E1343*F1343,IF(G1343,C1343*E1343*G1343,IF(H1343,C1343*E1343*H1343,C1343*E1343))))))),2)</f>
        <v>7</v>
      </c>
      <c r="J1343" s="580" t="s">
        <v>115</v>
      </c>
      <c r="K1343" s="39"/>
      <c r="L1343" s="16"/>
      <c r="M1343" s="39"/>
      <c r="N1343" s="536" t="s">
        <v>2318</v>
      </c>
    </row>
    <row r="1344" spans="1:14" s="544" customFormat="1" ht="16.5" hidden="1" customHeight="1">
      <c r="A1344" s="16"/>
      <c r="B1344" s="607"/>
      <c r="C1344" s="548"/>
      <c r="D1344" s="549"/>
      <c r="E1344" s="550"/>
      <c r="F1344" s="551"/>
      <c r="G1344" s="551"/>
      <c r="H1344" s="551"/>
      <c r="I1344" s="552"/>
      <c r="J1344" s="580"/>
      <c r="K1344" s="39"/>
      <c r="L1344" s="16"/>
      <c r="M1344" s="39"/>
      <c r="N1344" s="536" t="s">
        <v>2318</v>
      </c>
    </row>
    <row r="1345" spans="1:14" ht="21" hidden="1" customHeight="1">
      <c r="A1345" s="16"/>
      <c r="B1345" s="39"/>
      <c r="C1345" s="554"/>
      <c r="D1345" s="555"/>
      <c r="E1345" s="540"/>
      <c r="F1345" s="541"/>
      <c r="G1345" s="40"/>
      <c r="H1345" s="16"/>
      <c r="I1345" s="613"/>
      <c r="J1345" s="580" t="s">
        <v>115</v>
      </c>
      <c r="K1345" s="10">
        <f>'Ele 2022-23'!I66</f>
        <v>132</v>
      </c>
      <c r="L1345" s="208" t="s">
        <v>275</v>
      </c>
      <c r="M1345" s="9">
        <f>ROUND(I1345*K1345,0)</f>
        <v>0</v>
      </c>
      <c r="N1345" s="536" t="s">
        <v>2318</v>
      </c>
    </row>
    <row r="1346" spans="1:14" ht="15" hidden="1" customHeight="1">
      <c r="A1346" s="16">
        <v>33</v>
      </c>
      <c r="B1346" s="1858" t="s">
        <v>617</v>
      </c>
      <c r="C1346" s="1858"/>
      <c r="D1346" s="1858"/>
      <c r="E1346" s="1858"/>
      <c r="F1346" s="1858"/>
      <c r="G1346" s="1858"/>
      <c r="H1346" s="1858"/>
      <c r="I1346" s="537"/>
      <c r="J1346" s="538"/>
      <c r="K1346" s="16"/>
      <c r="L1346" s="16"/>
      <c r="M1346" s="38"/>
      <c r="N1346" s="536" t="s">
        <v>2318</v>
      </c>
    </row>
    <row r="1347" spans="1:14" s="544" customFormat="1" ht="16.5" hidden="1" customHeight="1">
      <c r="A1347" s="16"/>
      <c r="B1347" s="39" t="s">
        <v>2538</v>
      </c>
      <c r="C1347" s="566"/>
      <c r="D1347" s="567"/>
      <c r="E1347" s="568"/>
      <c r="F1347" s="569"/>
      <c r="G1347" s="569"/>
      <c r="H1347" s="570"/>
      <c r="I1347" s="571"/>
      <c r="J1347" s="580"/>
      <c r="K1347" s="39"/>
      <c r="L1347" s="16"/>
      <c r="M1347" s="39"/>
      <c r="N1347" s="536" t="s">
        <v>2318</v>
      </c>
    </row>
    <row r="1348" spans="1:14" s="544" customFormat="1" ht="16.5" hidden="1" customHeight="1">
      <c r="A1348" s="16"/>
      <c r="B1348" s="607"/>
      <c r="C1348" s="548">
        <v>1</v>
      </c>
      <c r="D1348" s="549" t="s">
        <v>273</v>
      </c>
      <c r="E1348" s="550">
        <v>1</v>
      </c>
      <c r="F1348" s="551">
        <v>0</v>
      </c>
      <c r="G1348" s="551">
        <v>0</v>
      </c>
      <c r="H1348" s="551">
        <v>0</v>
      </c>
      <c r="I1348" s="613">
        <f>ROUND(IF(AND(F1348:H1348),C1348*E1348*F1348*G1348*H1348,IF(AND(F1348,G1348),C1348*E1348*F1348*G1348,IF(AND(F1348,H1348),C1348*E1348*F1348*H1348,IF(AND(G1348,H1348),C1348*E1348*G1348*H1348,IF(F1348,C1348*E1348*F1348,IF(G1348,C1348*E1348*G1348,IF(H1348,C1348*E1348*H1348,C1348*E1348))))))),2)</f>
        <v>1</v>
      </c>
      <c r="J1348" s="580" t="s">
        <v>115</v>
      </c>
      <c r="K1348" s="39"/>
      <c r="L1348" s="16"/>
      <c r="M1348" s="39"/>
      <c r="N1348" s="536" t="s">
        <v>2318</v>
      </c>
    </row>
    <row r="1349" spans="1:14" s="544" customFormat="1" ht="16.5" hidden="1" customHeight="1">
      <c r="A1349" s="16"/>
      <c r="B1349" s="607"/>
      <c r="C1349" s="548"/>
      <c r="D1349" s="549"/>
      <c r="E1349" s="550"/>
      <c r="F1349" s="551"/>
      <c r="G1349" s="551"/>
      <c r="H1349" s="551"/>
      <c r="I1349" s="613"/>
      <c r="J1349" s="580"/>
      <c r="K1349" s="39"/>
      <c r="L1349" s="16"/>
      <c r="M1349" s="39"/>
      <c r="N1349" s="536" t="s">
        <v>2318</v>
      </c>
    </row>
    <row r="1350" spans="1:14" ht="15.75" hidden="1">
      <c r="A1350" s="16"/>
      <c r="B1350" s="39"/>
      <c r="C1350" s="554"/>
      <c r="D1350" s="555"/>
      <c r="E1350" s="540"/>
      <c r="F1350" s="541"/>
      <c r="G1350" s="40"/>
      <c r="H1350" s="16"/>
      <c r="I1350" s="613"/>
      <c r="J1350" s="580" t="s">
        <v>115</v>
      </c>
      <c r="K1350" s="10">
        <f>'Ele 2022-23'!I73</f>
        <v>341</v>
      </c>
      <c r="L1350" s="208" t="s">
        <v>275</v>
      </c>
      <c r="M1350" s="9">
        <f>ROUND(I1350*K1350,0)</f>
        <v>0</v>
      </c>
      <c r="N1350" s="536" t="s">
        <v>2318</v>
      </c>
    </row>
    <row r="1351" spans="1:14" ht="22.5" hidden="1" customHeight="1">
      <c r="A1351" s="16">
        <v>33</v>
      </c>
      <c r="B1351" s="1858" t="s">
        <v>792</v>
      </c>
      <c r="C1351" s="1858"/>
      <c r="D1351" s="1858"/>
      <c r="E1351" s="1858"/>
      <c r="F1351" s="1858"/>
      <c r="G1351" s="1858"/>
      <c r="H1351" s="1858"/>
      <c r="I1351" s="537"/>
      <c r="J1351" s="538"/>
      <c r="K1351" s="16"/>
      <c r="L1351" s="16"/>
      <c r="M1351" s="38"/>
      <c r="N1351" s="536" t="s">
        <v>2318</v>
      </c>
    </row>
    <row r="1352" spans="1:14" s="544" customFormat="1" ht="16.5" hidden="1" customHeight="1">
      <c r="A1352" s="16"/>
      <c r="B1352" s="39" t="s">
        <v>2538</v>
      </c>
      <c r="C1352" s="566"/>
      <c r="D1352" s="567"/>
      <c r="E1352" s="568"/>
      <c r="F1352" s="569"/>
      <c r="G1352" s="569"/>
      <c r="H1352" s="570"/>
      <c r="I1352" s="571"/>
      <c r="J1352" s="580"/>
      <c r="K1352" s="39"/>
      <c r="L1352" s="16"/>
      <c r="M1352" s="39"/>
      <c r="N1352" s="536" t="s">
        <v>2318</v>
      </c>
    </row>
    <row r="1353" spans="1:14" s="544" customFormat="1" ht="16.5" hidden="1" customHeight="1">
      <c r="A1353" s="16"/>
      <c r="B1353" s="607"/>
      <c r="C1353" s="548">
        <v>1</v>
      </c>
      <c r="D1353" s="549" t="s">
        <v>273</v>
      </c>
      <c r="E1353" s="550">
        <v>1</v>
      </c>
      <c r="F1353" s="551">
        <v>0</v>
      </c>
      <c r="G1353" s="551">
        <v>0</v>
      </c>
      <c r="H1353" s="551">
        <v>0</v>
      </c>
      <c r="I1353" s="613">
        <f>ROUND(IF(AND(F1353:H1353),C1353*E1353*F1353*G1353*H1353,IF(AND(F1353,G1353),C1353*E1353*F1353*G1353,IF(AND(F1353,H1353),C1353*E1353*F1353*H1353,IF(AND(G1353,H1353),C1353*E1353*G1353*H1353,IF(F1353,C1353*E1353*F1353,IF(G1353,C1353*E1353*G1353,IF(H1353,C1353*E1353*H1353,C1353*E1353))))))),2)</f>
        <v>1</v>
      </c>
      <c r="J1353" s="580" t="s">
        <v>115</v>
      </c>
      <c r="K1353" s="39"/>
      <c r="L1353" s="16"/>
      <c r="M1353" s="39"/>
      <c r="N1353" s="536" t="s">
        <v>2318</v>
      </c>
    </row>
    <row r="1354" spans="1:14" s="544" customFormat="1" ht="16.5" hidden="1" customHeight="1">
      <c r="A1354" s="16"/>
      <c r="B1354" s="607"/>
      <c r="C1354" s="548"/>
      <c r="D1354" s="549"/>
      <c r="E1354" s="550"/>
      <c r="F1354" s="551"/>
      <c r="G1354" s="551"/>
      <c r="H1354" s="551"/>
      <c r="I1354" s="613"/>
      <c r="J1354" s="580"/>
      <c r="K1354" s="39"/>
      <c r="L1354" s="16"/>
      <c r="M1354" s="39"/>
      <c r="N1354" s="536" t="s">
        <v>2318</v>
      </c>
    </row>
    <row r="1355" spans="1:14" ht="15.75" hidden="1">
      <c r="A1355" s="16"/>
      <c r="B1355" s="39"/>
      <c r="C1355" s="554"/>
      <c r="D1355" s="555"/>
      <c r="E1355" s="540"/>
      <c r="F1355" s="541"/>
      <c r="G1355" s="40"/>
      <c r="H1355" s="16"/>
      <c r="I1355" s="613"/>
      <c r="J1355" s="580" t="s">
        <v>115</v>
      </c>
      <c r="K1355" s="10">
        <f>'Ele 2022-23'!I69</f>
        <v>88</v>
      </c>
      <c r="L1355" s="208" t="s">
        <v>275</v>
      </c>
      <c r="M1355" s="9">
        <f>ROUND(I1355*K1355,0)</f>
        <v>0</v>
      </c>
      <c r="N1355" s="536" t="s">
        <v>2318</v>
      </c>
    </row>
    <row r="1356" spans="1:14" ht="22.5" hidden="1" customHeight="1">
      <c r="A1356" s="16">
        <v>34</v>
      </c>
      <c r="B1356" s="1858" t="s">
        <v>439</v>
      </c>
      <c r="C1356" s="1858"/>
      <c r="D1356" s="1858"/>
      <c r="E1356" s="1858"/>
      <c r="F1356" s="1858"/>
      <c r="G1356" s="1858"/>
      <c r="H1356" s="1858"/>
      <c r="I1356" s="537"/>
      <c r="J1356" s="538"/>
      <c r="K1356" s="16"/>
      <c r="L1356" s="16"/>
      <c r="M1356" s="38"/>
      <c r="N1356" s="536" t="s">
        <v>2318</v>
      </c>
    </row>
    <row r="1357" spans="1:14" s="544" customFormat="1" ht="16.5" hidden="1" customHeight="1">
      <c r="A1357" s="16"/>
      <c r="B1357" s="39" t="s">
        <v>2538</v>
      </c>
      <c r="C1357" s="566"/>
      <c r="D1357" s="567"/>
      <c r="E1357" s="568"/>
      <c r="F1357" s="569"/>
      <c r="G1357" s="569"/>
      <c r="H1357" s="570"/>
      <c r="I1357" s="571"/>
      <c r="J1357" s="580"/>
      <c r="K1357" s="39"/>
      <c r="L1357" s="16"/>
      <c r="M1357" s="39"/>
      <c r="N1357" s="536" t="s">
        <v>2318</v>
      </c>
    </row>
    <row r="1358" spans="1:14" s="544" customFormat="1" ht="16.5" hidden="1" customHeight="1">
      <c r="A1358" s="16"/>
      <c r="B1358" s="607"/>
      <c r="C1358" s="548">
        <v>1</v>
      </c>
      <c r="D1358" s="549" t="s">
        <v>273</v>
      </c>
      <c r="E1358" s="550">
        <v>1</v>
      </c>
      <c r="F1358" s="551">
        <v>0</v>
      </c>
      <c r="G1358" s="551">
        <v>0</v>
      </c>
      <c r="H1358" s="551">
        <v>0</v>
      </c>
      <c r="I1358" s="613">
        <f>ROUND(IF(AND(F1358:H1358),C1358*E1358*F1358*G1358*H1358,IF(AND(F1358,G1358),C1358*E1358*F1358*G1358,IF(AND(F1358,H1358),C1358*E1358*F1358*H1358,IF(AND(G1358,H1358),C1358*E1358*G1358*H1358,IF(F1358,C1358*E1358*F1358,IF(G1358,C1358*E1358*G1358,IF(H1358,C1358*E1358*H1358,C1358*E1358))))))),2)</f>
        <v>1</v>
      </c>
      <c r="J1358" s="580" t="s">
        <v>115</v>
      </c>
      <c r="K1358" s="39"/>
      <c r="L1358" s="16"/>
      <c r="M1358" s="39"/>
      <c r="N1358" s="536" t="s">
        <v>2318</v>
      </c>
    </row>
    <row r="1359" spans="1:14" s="544" customFormat="1" ht="16.5" hidden="1" customHeight="1">
      <c r="A1359" s="16"/>
      <c r="B1359" s="607"/>
      <c r="C1359" s="548"/>
      <c r="D1359" s="549"/>
      <c r="E1359" s="550"/>
      <c r="F1359" s="551"/>
      <c r="G1359" s="551"/>
      <c r="H1359" s="551"/>
      <c r="I1359" s="552"/>
      <c r="J1359" s="580"/>
      <c r="K1359" s="39"/>
      <c r="L1359" s="16"/>
      <c r="M1359" s="39"/>
      <c r="N1359" s="536" t="s">
        <v>2318</v>
      </c>
    </row>
    <row r="1360" spans="1:14" ht="15.75" hidden="1">
      <c r="A1360" s="16"/>
      <c r="B1360" s="39"/>
      <c r="C1360" s="554"/>
      <c r="D1360" s="555"/>
      <c r="E1360" s="540"/>
      <c r="F1360" s="541"/>
      <c r="G1360" s="40"/>
      <c r="H1360" s="16"/>
      <c r="I1360" s="613"/>
      <c r="J1360" s="580" t="s">
        <v>115</v>
      </c>
      <c r="K1360" s="10">
        <f>'Ele 2022-23'!I76</f>
        <v>66</v>
      </c>
      <c r="L1360" s="208" t="s">
        <v>275</v>
      </c>
      <c r="M1360" s="9">
        <f>ROUND(I1360*K1360,0)</f>
        <v>0</v>
      </c>
      <c r="N1360" s="536" t="s">
        <v>2318</v>
      </c>
    </row>
    <row r="1361" spans="1:14" ht="43.5" hidden="1" customHeight="1">
      <c r="A1361" s="16">
        <v>35</v>
      </c>
      <c r="B1361" s="1858" t="s">
        <v>1238</v>
      </c>
      <c r="C1361" s="1858"/>
      <c r="D1361" s="1858"/>
      <c r="E1361" s="1858"/>
      <c r="F1361" s="1858"/>
      <c r="G1361" s="1858"/>
      <c r="H1361" s="1858"/>
      <c r="I1361" s="537"/>
      <c r="J1361" s="538"/>
      <c r="K1361" s="16"/>
      <c r="L1361" s="16"/>
      <c r="M1361" s="38"/>
      <c r="N1361" s="536" t="s">
        <v>2318</v>
      </c>
    </row>
    <row r="1362" spans="1:14" s="544" customFormat="1" ht="16.5" hidden="1" customHeight="1">
      <c r="A1362" s="16"/>
      <c r="B1362" s="39" t="s">
        <v>2539</v>
      </c>
      <c r="C1362" s="566"/>
      <c r="D1362" s="567"/>
      <c r="E1362" s="568"/>
      <c r="F1362" s="569"/>
      <c r="G1362" s="569"/>
      <c r="H1362" s="570"/>
      <c r="I1362" s="571"/>
      <c r="J1362" s="580"/>
      <c r="K1362" s="39"/>
      <c r="L1362" s="16"/>
      <c r="M1362" s="39"/>
      <c r="N1362" s="536" t="s">
        <v>2318</v>
      </c>
    </row>
    <row r="1363" spans="1:14" s="544" customFormat="1" ht="16.5" hidden="1" customHeight="1">
      <c r="A1363" s="16"/>
      <c r="B1363" s="607"/>
      <c r="C1363" s="583">
        <v>1</v>
      </c>
      <c r="D1363" s="584" t="s">
        <v>273</v>
      </c>
      <c r="E1363" s="585">
        <v>4</v>
      </c>
      <c r="F1363" s="586">
        <v>0</v>
      </c>
      <c r="G1363" s="586">
        <v>0</v>
      </c>
      <c r="H1363" s="586">
        <v>0</v>
      </c>
      <c r="I1363" s="613">
        <f>ROUND(IF(AND(F1363:H1363),C1363*E1363*F1363*G1363*H1363,IF(AND(F1363,G1363),C1363*E1363*F1363*G1363,IF(AND(F1363,H1363),C1363*E1363*F1363*H1363,IF(AND(G1363,H1363),C1363*E1363*G1363*H1363,IF(F1363,C1363*E1363*F1363,IF(G1363,C1363*E1363*G1363,IF(H1363,C1363*E1363*H1363,C1363*E1363))))))),2)</f>
        <v>4</v>
      </c>
      <c r="J1363" s="580" t="s">
        <v>115</v>
      </c>
      <c r="K1363" s="39"/>
      <c r="L1363" s="16"/>
      <c r="M1363" s="39"/>
      <c r="N1363" s="536" t="s">
        <v>2318</v>
      </c>
    </row>
    <row r="1364" spans="1:14" s="544" customFormat="1" ht="16.5" hidden="1" customHeight="1">
      <c r="A1364" s="16"/>
      <c r="B1364" s="607"/>
      <c r="C1364" s="548"/>
      <c r="D1364" s="549"/>
      <c r="E1364" s="550"/>
      <c r="F1364" s="551"/>
      <c r="G1364" s="551"/>
      <c r="H1364" s="551"/>
      <c r="I1364" s="552"/>
      <c r="J1364" s="580"/>
      <c r="K1364" s="39"/>
      <c r="L1364" s="16"/>
      <c r="M1364" s="39"/>
      <c r="N1364" s="536" t="s">
        <v>2318</v>
      </c>
    </row>
    <row r="1365" spans="1:14" ht="15.75" hidden="1">
      <c r="A1365" s="16"/>
      <c r="B1365" s="39"/>
      <c r="C1365" s="554"/>
      <c r="D1365" s="555"/>
      <c r="E1365" s="540"/>
      <c r="F1365" s="541"/>
      <c r="G1365" s="40"/>
      <c r="H1365" s="16"/>
      <c r="I1365" s="613"/>
      <c r="J1365" s="580" t="s">
        <v>115</v>
      </c>
      <c r="K1365" s="10">
        <f>'Ele 2022-23'!I125</f>
        <v>422.5</v>
      </c>
      <c r="L1365" s="208" t="s">
        <v>275</v>
      </c>
      <c r="M1365" s="9">
        <f>ROUND(I1365*K1365,0)</f>
        <v>0</v>
      </c>
      <c r="N1365" s="536" t="s">
        <v>2318</v>
      </c>
    </row>
    <row r="1366" spans="1:14" s="956" customFormat="1" ht="43.5" customHeight="1">
      <c r="A1366" s="951">
        <v>20</v>
      </c>
      <c r="B1366" s="1868" t="s">
        <v>432</v>
      </c>
      <c r="C1366" s="1868"/>
      <c r="D1366" s="1868"/>
      <c r="E1366" s="1868"/>
      <c r="F1366" s="1868"/>
      <c r="G1366" s="1868"/>
      <c r="H1366" s="1868"/>
      <c r="I1366" s="952"/>
      <c r="J1366" s="953"/>
      <c r="K1366" s="951"/>
      <c r="L1366" s="951"/>
      <c r="M1366" s="954"/>
      <c r="N1366" s="955" t="s">
        <v>2318</v>
      </c>
    </row>
    <row r="1367" spans="1:14" s="965" customFormat="1" ht="16.5" customHeight="1">
      <c r="A1367" s="951"/>
      <c r="B1367" s="957" t="s">
        <v>3136</v>
      </c>
      <c r="C1367" s="958"/>
      <c r="D1367" s="959"/>
      <c r="E1367" s="960"/>
      <c r="F1367" s="961"/>
      <c r="G1367" s="961"/>
      <c r="H1367" s="962"/>
      <c r="I1367" s="963"/>
      <c r="J1367" s="987"/>
      <c r="K1367" s="957"/>
      <c r="L1367" s="951"/>
      <c r="M1367" s="957"/>
      <c r="N1367" s="955" t="s">
        <v>2318</v>
      </c>
    </row>
    <row r="1368" spans="1:14" s="965" customFormat="1" ht="16.5" customHeight="1">
      <c r="A1368" s="951"/>
      <c r="B1368" s="993"/>
      <c r="C1368" s="967">
        <v>1</v>
      </c>
      <c r="D1368" s="968" t="s">
        <v>273</v>
      </c>
      <c r="E1368" s="969">
        <v>16</v>
      </c>
      <c r="F1368" s="970">
        <v>0</v>
      </c>
      <c r="G1368" s="970">
        <v>0</v>
      </c>
      <c r="H1368" s="970">
        <v>0</v>
      </c>
      <c r="I1368" s="989">
        <f>ROUND(IF(AND(F1368:H1368),C1368*E1368*F1368*G1368*H1368,IF(AND(F1368,G1368),C1368*E1368*F1368*G1368,IF(AND(F1368,H1368),C1368*E1368*F1368*H1368,IF(AND(G1368,H1368),C1368*E1368*G1368*H1368,IF(F1368,C1368*E1368*F1368,IF(G1368,C1368*E1368*G1368,IF(H1368,C1368*E1368*H1368,C1368*E1368))))))),2)</f>
        <v>16</v>
      </c>
      <c r="J1368" s="987" t="s">
        <v>115</v>
      </c>
      <c r="K1368" s="957"/>
      <c r="L1368" s="951"/>
      <c r="M1368" s="957"/>
      <c r="N1368" s="955" t="s">
        <v>2318</v>
      </c>
    </row>
    <row r="1369" spans="1:14" s="965" customFormat="1" ht="16.5" customHeight="1">
      <c r="A1369" s="951"/>
      <c r="B1369" s="993"/>
      <c r="C1369" s="967">
        <v>1</v>
      </c>
      <c r="D1369" s="968" t="s">
        <v>273</v>
      </c>
      <c r="E1369" s="969">
        <v>17</v>
      </c>
      <c r="F1369" s="970">
        <v>0</v>
      </c>
      <c r="G1369" s="970">
        <v>0</v>
      </c>
      <c r="H1369" s="970">
        <v>0</v>
      </c>
      <c r="I1369" s="989">
        <f>ROUND(IF(AND(F1369:H1369),C1369*E1369*F1369*G1369*H1369,IF(AND(F1369,G1369),C1369*E1369*F1369*G1369,IF(AND(F1369,H1369),C1369*E1369*F1369*H1369,IF(AND(G1369,H1369),C1369*E1369*G1369*H1369,IF(F1369,C1369*E1369*F1369,IF(G1369,C1369*E1369*G1369,IF(H1369,C1369*E1369*H1369,C1369*E1369))))))),2)</f>
        <v>17</v>
      </c>
      <c r="J1369" s="987" t="s">
        <v>115</v>
      </c>
      <c r="K1369" s="957"/>
      <c r="L1369" s="951"/>
      <c r="M1369" s="957"/>
      <c r="N1369" s="955" t="s">
        <v>2318</v>
      </c>
    </row>
    <row r="1370" spans="1:14" s="965" customFormat="1" ht="16.5" customHeight="1">
      <c r="A1370" s="951"/>
      <c r="B1370" s="993"/>
      <c r="C1370" s="973"/>
      <c r="D1370" s="974"/>
      <c r="E1370" s="975"/>
      <c r="F1370" s="976"/>
      <c r="G1370" s="976"/>
      <c r="H1370" s="976"/>
      <c r="I1370" s="989"/>
      <c r="J1370" s="987"/>
      <c r="K1370" s="957"/>
      <c r="L1370" s="951"/>
      <c r="M1370" s="957"/>
      <c r="N1370" s="955" t="s">
        <v>2318</v>
      </c>
    </row>
    <row r="1371" spans="1:14" s="956" customFormat="1" ht="15.75">
      <c r="A1371" s="951"/>
      <c r="B1371" s="957"/>
      <c r="C1371" s="977"/>
      <c r="D1371" s="978"/>
      <c r="E1371" s="979"/>
      <c r="F1371" s="980"/>
      <c r="G1371" s="981"/>
      <c r="H1371" s="951"/>
      <c r="I1371" s="989"/>
      <c r="J1371" s="987" t="s">
        <v>115</v>
      </c>
      <c r="K1371" s="982">
        <f>'Ele 2022-23'!I116</f>
        <v>125.73500000000001</v>
      </c>
      <c r="L1371" s="983" t="s">
        <v>275</v>
      </c>
      <c r="M1371" s="984">
        <f>ROUND(I1371*K1371,0)</f>
        <v>0</v>
      </c>
      <c r="N1371" s="955" t="s">
        <v>2318</v>
      </c>
    </row>
    <row r="1372" spans="1:14" ht="43.5" hidden="1" customHeight="1">
      <c r="A1372" s="16">
        <v>37</v>
      </c>
      <c r="B1372" s="1858" t="s">
        <v>620</v>
      </c>
      <c r="C1372" s="1858"/>
      <c r="D1372" s="1858"/>
      <c r="E1372" s="1858"/>
      <c r="F1372" s="1858"/>
      <c r="G1372" s="1858"/>
      <c r="H1372" s="1858"/>
      <c r="I1372" s="537"/>
      <c r="J1372" s="538"/>
      <c r="K1372" s="16"/>
      <c r="L1372" s="16"/>
      <c r="M1372" s="38"/>
      <c r="N1372" s="536" t="s">
        <v>2318</v>
      </c>
    </row>
    <row r="1373" spans="1:14" s="544" customFormat="1" ht="16.5" hidden="1" customHeight="1">
      <c r="A1373" s="16"/>
      <c r="B1373" s="39" t="s">
        <v>2540</v>
      </c>
      <c r="C1373" s="566"/>
      <c r="D1373" s="567"/>
      <c r="E1373" s="568"/>
      <c r="F1373" s="569"/>
      <c r="G1373" s="569"/>
      <c r="H1373" s="570"/>
      <c r="I1373" s="571"/>
      <c r="J1373" s="580"/>
      <c r="K1373" s="39"/>
      <c r="L1373" s="16"/>
      <c r="M1373" s="39"/>
      <c r="N1373" s="536" t="s">
        <v>2318</v>
      </c>
    </row>
    <row r="1374" spans="1:14" s="544" customFormat="1" ht="16.5" hidden="1" customHeight="1">
      <c r="A1374" s="16"/>
      <c r="B1374" s="607"/>
      <c r="C1374" s="548">
        <v>1</v>
      </c>
      <c r="D1374" s="549" t="s">
        <v>273</v>
      </c>
      <c r="E1374" s="550">
        <v>4</v>
      </c>
      <c r="F1374" s="551">
        <v>0</v>
      </c>
      <c r="G1374" s="551">
        <v>0</v>
      </c>
      <c r="H1374" s="551">
        <v>0</v>
      </c>
      <c r="I1374" s="613">
        <f>ROUND(IF(AND(F1374:H1374),C1374*E1374*F1374*G1374*H1374,IF(AND(F1374,G1374),C1374*E1374*F1374*G1374,IF(AND(F1374,H1374),C1374*E1374*F1374*H1374,IF(AND(G1374,H1374),C1374*E1374*G1374*H1374,IF(F1374,C1374*E1374*F1374,IF(G1374,C1374*E1374*G1374,IF(H1374,C1374*E1374*H1374,C1374*E1374))))))),2)</f>
        <v>4</v>
      </c>
      <c r="J1374" s="580" t="s">
        <v>115</v>
      </c>
      <c r="K1374" s="39"/>
      <c r="L1374" s="16"/>
      <c r="M1374" s="39"/>
      <c r="N1374" s="536" t="s">
        <v>2318</v>
      </c>
    </row>
    <row r="1375" spans="1:14" s="544" customFormat="1" ht="16.5" hidden="1" customHeight="1">
      <c r="A1375" s="16"/>
      <c r="B1375" s="607"/>
      <c r="C1375" s="548"/>
      <c r="D1375" s="549"/>
      <c r="E1375" s="550"/>
      <c r="F1375" s="551"/>
      <c r="G1375" s="551"/>
      <c r="H1375" s="551"/>
      <c r="I1375" s="613"/>
      <c r="J1375" s="580"/>
      <c r="K1375" s="39"/>
      <c r="L1375" s="16"/>
      <c r="M1375" s="39"/>
      <c r="N1375" s="536" t="s">
        <v>2318</v>
      </c>
    </row>
    <row r="1376" spans="1:14" ht="15.75" hidden="1">
      <c r="A1376" s="16"/>
      <c r="B1376" s="39"/>
      <c r="C1376" s="554"/>
      <c r="D1376" s="555"/>
      <c r="E1376" s="540"/>
      <c r="F1376" s="541"/>
      <c r="G1376" s="40"/>
      <c r="H1376" s="16"/>
      <c r="I1376" s="613"/>
      <c r="J1376" s="580" t="s">
        <v>115</v>
      </c>
      <c r="K1376" s="10">
        <f>'Ele 2022-23'!I133</f>
        <v>119.73500000000001</v>
      </c>
      <c r="L1376" s="208" t="s">
        <v>275</v>
      </c>
      <c r="M1376" s="9">
        <f>ROUND(I1376*K1376,0)</f>
        <v>0</v>
      </c>
      <c r="N1376" s="536" t="s">
        <v>2318</v>
      </c>
    </row>
    <row r="1377" spans="1:14" ht="19.5" hidden="1" customHeight="1">
      <c r="A1377" s="16">
        <v>38</v>
      </c>
      <c r="B1377" s="1858" t="s">
        <v>624</v>
      </c>
      <c r="C1377" s="1858"/>
      <c r="D1377" s="1858"/>
      <c r="E1377" s="1858"/>
      <c r="F1377" s="1858"/>
      <c r="G1377" s="1858"/>
      <c r="H1377" s="1858"/>
      <c r="I1377" s="537"/>
      <c r="J1377" s="538"/>
      <c r="K1377" s="16"/>
      <c r="L1377" s="16"/>
      <c r="M1377" s="38"/>
      <c r="N1377" s="536" t="s">
        <v>2318</v>
      </c>
    </row>
    <row r="1378" spans="1:14" s="544" customFormat="1" ht="16.5" hidden="1" customHeight="1">
      <c r="A1378" s="16"/>
      <c r="B1378" s="39" t="s">
        <v>2540</v>
      </c>
      <c r="C1378" s="566"/>
      <c r="D1378" s="567"/>
      <c r="E1378" s="568"/>
      <c r="F1378" s="569"/>
      <c r="G1378" s="569"/>
      <c r="H1378" s="570"/>
      <c r="I1378" s="571"/>
      <c r="J1378" s="580"/>
      <c r="K1378" s="39"/>
      <c r="L1378" s="16"/>
      <c r="M1378" s="39"/>
      <c r="N1378" s="536" t="s">
        <v>2318</v>
      </c>
    </row>
    <row r="1379" spans="1:14" s="544" customFormat="1" ht="16.5" hidden="1" customHeight="1">
      <c r="A1379" s="16"/>
      <c r="B1379" s="607"/>
      <c r="C1379" s="548">
        <v>1</v>
      </c>
      <c r="D1379" s="549" t="s">
        <v>273</v>
      </c>
      <c r="E1379" s="550">
        <v>8</v>
      </c>
      <c r="F1379" s="551">
        <v>0</v>
      </c>
      <c r="G1379" s="551">
        <v>0</v>
      </c>
      <c r="H1379" s="551">
        <v>0</v>
      </c>
      <c r="I1379" s="613">
        <f>ROUND(IF(AND(F1379:H1379),C1379*E1379*F1379*G1379*H1379,IF(AND(F1379,G1379),C1379*E1379*F1379*G1379,IF(AND(F1379,H1379),C1379*E1379*F1379*H1379,IF(AND(G1379,H1379),C1379*E1379*G1379*H1379,IF(F1379,C1379*E1379*F1379,IF(G1379,C1379*E1379*G1379,IF(H1379,C1379*E1379*H1379,C1379*E1379))))))),2)</f>
        <v>8</v>
      </c>
      <c r="J1379" s="580" t="s">
        <v>115</v>
      </c>
      <c r="K1379" s="39"/>
      <c r="L1379" s="16"/>
      <c r="M1379" s="39"/>
      <c r="N1379" s="536" t="s">
        <v>2318</v>
      </c>
    </row>
    <row r="1380" spans="1:14" s="544" customFormat="1" ht="16.5" hidden="1" customHeight="1">
      <c r="A1380" s="16"/>
      <c r="B1380" s="607"/>
      <c r="C1380" s="548"/>
      <c r="D1380" s="549"/>
      <c r="E1380" s="550"/>
      <c r="F1380" s="551"/>
      <c r="G1380" s="551"/>
      <c r="H1380" s="551"/>
      <c r="I1380" s="552"/>
      <c r="J1380" s="580"/>
      <c r="K1380" s="39"/>
      <c r="L1380" s="16"/>
      <c r="M1380" s="39"/>
      <c r="N1380" s="536" t="s">
        <v>2318</v>
      </c>
    </row>
    <row r="1381" spans="1:14" ht="15.75" hidden="1">
      <c r="A1381" s="16"/>
      <c r="B1381" s="39"/>
      <c r="C1381" s="554"/>
      <c r="D1381" s="555"/>
      <c r="E1381" s="540"/>
      <c r="F1381" s="541"/>
      <c r="G1381" s="40"/>
      <c r="H1381" s="16"/>
      <c r="I1381" s="613"/>
      <c r="J1381" s="580" t="s">
        <v>115</v>
      </c>
      <c r="K1381" s="10">
        <f>'Ele 2022-23'!I80</f>
        <v>21</v>
      </c>
      <c r="L1381" s="208" t="s">
        <v>275</v>
      </c>
      <c r="M1381" s="9">
        <f>ROUND(I1381*K1381,0)</f>
        <v>0</v>
      </c>
      <c r="N1381" s="536" t="s">
        <v>2318</v>
      </c>
    </row>
    <row r="1382" spans="1:14" s="956" customFormat="1" ht="30" customHeight="1">
      <c r="A1382" s="951">
        <v>21</v>
      </c>
      <c r="B1382" s="1868" t="s">
        <v>1268</v>
      </c>
      <c r="C1382" s="1868"/>
      <c r="D1382" s="1868"/>
      <c r="E1382" s="1868"/>
      <c r="F1382" s="1868"/>
      <c r="G1382" s="1868"/>
      <c r="H1382" s="1868"/>
      <c r="I1382" s="952"/>
      <c r="J1382" s="953"/>
      <c r="K1382" s="951"/>
      <c r="L1382" s="951"/>
      <c r="M1382" s="954"/>
      <c r="N1382" s="955" t="s">
        <v>2318</v>
      </c>
    </row>
    <row r="1383" spans="1:14" s="965" customFormat="1" ht="16.5" customHeight="1">
      <c r="A1383" s="951"/>
      <c r="B1383" s="957" t="s">
        <v>3136</v>
      </c>
      <c r="C1383" s="958"/>
      <c r="D1383" s="959"/>
      <c r="E1383" s="960"/>
      <c r="F1383" s="961"/>
      <c r="G1383" s="961"/>
      <c r="H1383" s="962"/>
      <c r="I1383" s="963"/>
      <c r="J1383" s="987"/>
      <c r="K1383" s="957"/>
      <c r="L1383" s="951"/>
      <c r="M1383" s="957"/>
      <c r="N1383" s="955" t="s">
        <v>2318</v>
      </c>
    </row>
    <row r="1384" spans="1:14" s="965" customFormat="1" ht="16.5" customHeight="1">
      <c r="A1384" s="951"/>
      <c r="B1384" s="993"/>
      <c r="C1384" s="967">
        <v>1</v>
      </c>
      <c r="D1384" s="968" t="s">
        <v>273</v>
      </c>
      <c r="E1384" s="969">
        <v>9</v>
      </c>
      <c r="F1384" s="970">
        <v>0</v>
      </c>
      <c r="G1384" s="970">
        <v>0</v>
      </c>
      <c r="H1384" s="970">
        <v>0</v>
      </c>
      <c r="I1384" s="989">
        <f>ROUND(IF(AND(F1384:H1384),C1384*E1384*F1384*G1384*H1384,IF(AND(F1384,G1384),C1384*E1384*F1384*G1384,IF(AND(F1384,H1384),C1384*E1384*F1384*H1384,IF(AND(G1384,H1384),C1384*E1384*G1384*H1384,IF(F1384,C1384*E1384*F1384,IF(G1384,C1384*E1384*G1384,IF(H1384,C1384*E1384*H1384,C1384*E1384))))))),2)</f>
        <v>9</v>
      </c>
      <c r="J1384" s="987" t="s">
        <v>115</v>
      </c>
      <c r="K1384" s="957"/>
      <c r="L1384" s="951"/>
      <c r="M1384" s="957"/>
      <c r="N1384" s="955" t="s">
        <v>2318</v>
      </c>
    </row>
    <row r="1385" spans="1:14" s="965" customFormat="1" ht="16.5" customHeight="1">
      <c r="A1385" s="951"/>
      <c r="B1385" s="993"/>
      <c r="C1385" s="967">
        <v>1</v>
      </c>
      <c r="D1385" s="968" t="s">
        <v>273</v>
      </c>
      <c r="E1385" s="969">
        <v>15</v>
      </c>
      <c r="F1385" s="970">
        <v>0</v>
      </c>
      <c r="G1385" s="970">
        <v>0</v>
      </c>
      <c r="H1385" s="970">
        <v>0</v>
      </c>
      <c r="I1385" s="989">
        <f>ROUND(IF(AND(F1385:H1385),C1385*E1385*F1385*G1385*H1385,IF(AND(F1385,G1385),C1385*E1385*F1385*G1385,IF(AND(F1385,H1385),C1385*E1385*F1385*H1385,IF(AND(G1385,H1385),C1385*E1385*G1385*H1385,IF(F1385,C1385*E1385*F1385,IF(G1385,C1385*E1385*G1385,IF(H1385,C1385*E1385*H1385,C1385*E1385))))))),2)</f>
        <v>15</v>
      </c>
      <c r="J1385" s="987" t="s">
        <v>115</v>
      </c>
      <c r="K1385" s="957"/>
      <c r="L1385" s="951"/>
      <c r="M1385" s="957"/>
      <c r="N1385" s="955" t="s">
        <v>2318</v>
      </c>
    </row>
    <row r="1386" spans="1:14" s="965" customFormat="1" ht="16.5" customHeight="1">
      <c r="A1386" s="951"/>
      <c r="B1386" s="993"/>
      <c r="C1386" s="973"/>
      <c r="D1386" s="974"/>
      <c r="E1386" s="975"/>
      <c r="F1386" s="976"/>
      <c r="G1386" s="976"/>
      <c r="H1386" s="976"/>
      <c r="I1386" s="989"/>
      <c r="J1386" s="987"/>
      <c r="K1386" s="957"/>
      <c r="L1386" s="951"/>
      <c r="M1386" s="957"/>
      <c r="N1386" s="955" t="s">
        <v>2318</v>
      </c>
    </row>
    <row r="1387" spans="1:14" s="956" customFormat="1" ht="15.75">
      <c r="A1387" s="951"/>
      <c r="B1387" s="957"/>
      <c r="C1387" s="977"/>
      <c r="D1387" s="978"/>
      <c r="E1387" s="979"/>
      <c r="F1387" s="980"/>
      <c r="G1387" s="981"/>
      <c r="H1387" s="951"/>
      <c r="I1387" s="989"/>
      <c r="J1387" s="987" t="s">
        <v>115</v>
      </c>
      <c r="K1387" s="982">
        <f>'Ele 2022-23'!I193</f>
        <v>127.25</v>
      </c>
      <c r="L1387" s="983" t="s">
        <v>275</v>
      </c>
      <c r="M1387" s="984">
        <f>ROUND(I1387*K1387,0)</f>
        <v>0</v>
      </c>
      <c r="N1387" s="955" t="s">
        <v>2318</v>
      </c>
    </row>
    <row r="1388" spans="1:14" s="956" customFormat="1" ht="43.5" customHeight="1">
      <c r="A1388" s="951">
        <v>22</v>
      </c>
      <c r="B1388" s="1868" t="s">
        <v>2082</v>
      </c>
      <c r="C1388" s="1868"/>
      <c r="D1388" s="1868"/>
      <c r="E1388" s="1868"/>
      <c r="F1388" s="1868"/>
      <c r="G1388" s="1868"/>
      <c r="H1388" s="1868"/>
      <c r="I1388" s="952"/>
      <c r="J1388" s="953"/>
      <c r="K1388" s="951"/>
      <c r="L1388" s="951"/>
      <c r="M1388" s="954"/>
      <c r="N1388" s="955" t="s">
        <v>2318</v>
      </c>
    </row>
    <row r="1389" spans="1:14" s="965" customFormat="1" ht="16.5" customHeight="1">
      <c r="A1389" s="951"/>
      <c r="B1389" s="957" t="s">
        <v>3138</v>
      </c>
      <c r="C1389" s="958"/>
      <c r="D1389" s="959"/>
      <c r="E1389" s="960"/>
      <c r="F1389" s="961"/>
      <c r="G1389" s="961"/>
      <c r="H1389" s="962"/>
      <c r="I1389" s="963"/>
      <c r="J1389" s="987"/>
      <c r="K1389" s="957"/>
      <c r="L1389" s="951"/>
      <c r="M1389" s="957"/>
      <c r="N1389" s="955" t="s">
        <v>2318</v>
      </c>
    </row>
    <row r="1390" spans="1:14" s="965" customFormat="1" ht="16.5" customHeight="1">
      <c r="A1390" s="951"/>
      <c r="B1390" s="993" t="s">
        <v>161</v>
      </c>
      <c r="C1390" s="967">
        <v>1</v>
      </c>
      <c r="D1390" s="968" t="s">
        <v>273</v>
      </c>
      <c r="E1390" s="969">
        <v>8</v>
      </c>
      <c r="F1390" s="970">
        <v>0</v>
      </c>
      <c r="G1390" s="970">
        <v>0</v>
      </c>
      <c r="H1390" s="970">
        <v>0</v>
      </c>
      <c r="I1390" s="989">
        <f>ROUND(IF(AND(F1390:H1390),C1390*E1390*F1390*G1390*H1390,IF(AND(F1390,G1390),C1390*E1390*F1390*G1390,IF(AND(F1390,H1390),C1390*E1390*F1390*H1390,IF(AND(G1390,H1390),C1390*E1390*G1390*H1390,IF(F1390,C1390*E1390*F1390,IF(G1390,C1390*E1390*G1390,IF(H1390,C1390*E1390*H1390,C1390*E1390))))))),2)</f>
        <v>8</v>
      </c>
      <c r="J1390" s="987" t="s">
        <v>115</v>
      </c>
      <c r="K1390" s="957"/>
      <c r="L1390" s="951"/>
      <c r="M1390" s="957"/>
      <c r="N1390" s="955" t="s">
        <v>2318</v>
      </c>
    </row>
    <row r="1391" spans="1:14" s="965" customFormat="1" ht="16.5" customHeight="1">
      <c r="A1391" s="951"/>
      <c r="B1391" s="993" t="s">
        <v>162</v>
      </c>
      <c r="C1391" s="967">
        <v>1</v>
      </c>
      <c r="D1391" s="968" t="s">
        <v>273</v>
      </c>
      <c r="E1391" s="969">
        <v>7</v>
      </c>
      <c r="F1391" s="970">
        <v>0</v>
      </c>
      <c r="G1391" s="970">
        <v>0</v>
      </c>
      <c r="H1391" s="970">
        <v>0</v>
      </c>
      <c r="I1391" s="989">
        <f>ROUND(IF(AND(F1391:H1391),C1391*E1391*F1391*G1391*H1391,IF(AND(F1391,G1391),C1391*E1391*F1391*G1391,IF(AND(F1391,H1391),C1391*E1391*F1391*H1391,IF(AND(G1391,H1391),C1391*E1391*G1391*H1391,IF(F1391,C1391*E1391*F1391,IF(G1391,C1391*E1391*G1391,IF(H1391,C1391*E1391*H1391,C1391*E1391))))))),2)</f>
        <v>7</v>
      </c>
      <c r="J1391" s="987" t="s">
        <v>115</v>
      </c>
      <c r="K1391" s="957"/>
      <c r="L1391" s="951"/>
      <c r="M1391" s="957"/>
      <c r="N1391" s="955" t="s">
        <v>2318</v>
      </c>
    </row>
    <row r="1392" spans="1:14" s="965" customFormat="1" ht="16.5" customHeight="1">
      <c r="A1392" s="951"/>
      <c r="B1392" s="993"/>
      <c r="C1392" s="973"/>
      <c r="D1392" s="974"/>
      <c r="E1392" s="975"/>
      <c r="F1392" s="976"/>
      <c r="G1392" s="976"/>
      <c r="H1392" s="976"/>
      <c r="I1392" s="989"/>
      <c r="J1392" s="987"/>
      <c r="K1392" s="957"/>
      <c r="L1392" s="951"/>
      <c r="M1392" s="957"/>
      <c r="N1392" s="955" t="s">
        <v>2318</v>
      </c>
    </row>
    <row r="1393" spans="1:14" s="956" customFormat="1" ht="17.25" customHeight="1">
      <c r="A1393" s="951"/>
      <c r="B1393" s="957"/>
      <c r="C1393" s="977"/>
      <c r="D1393" s="978"/>
      <c r="E1393" s="979"/>
      <c r="F1393" s="980"/>
      <c r="G1393" s="981"/>
      <c r="H1393" s="951"/>
      <c r="I1393" s="989"/>
      <c r="J1393" s="987" t="s">
        <v>115</v>
      </c>
      <c r="K1393" s="982">
        <f>'Ele 2022-23'!I205</f>
        <v>3312.1849999999999</v>
      </c>
      <c r="L1393" s="983" t="s">
        <v>275</v>
      </c>
      <c r="M1393" s="984">
        <f>ROUND(I1393*K1393,0)</f>
        <v>0</v>
      </c>
      <c r="N1393" s="955" t="s">
        <v>2318</v>
      </c>
    </row>
    <row r="1394" spans="1:14" ht="21" hidden="1" customHeight="1">
      <c r="A1394" s="16">
        <v>18</v>
      </c>
      <c r="B1394" s="1858" t="s">
        <v>1574</v>
      </c>
      <c r="C1394" s="1858"/>
      <c r="D1394" s="1858"/>
      <c r="E1394" s="1858"/>
      <c r="F1394" s="1858"/>
      <c r="G1394" s="1858"/>
      <c r="H1394" s="1858"/>
      <c r="I1394" s="537"/>
      <c r="J1394" s="538"/>
      <c r="K1394" s="16"/>
      <c r="L1394" s="16"/>
      <c r="M1394" s="38"/>
      <c r="N1394" s="536" t="s">
        <v>2318</v>
      </c>
    </row>
    <row r="1395" spans="1:14" s="544" customFormat="1" ht="16.5" hidden="1" customHeight="1">
      <c r="A1395" s="16"/>
      <c r="B1395" s="39" t="s">
        <v>2917</v>
      </c>
      <c r="C1395" s="566"/>
      <c r="D1395" s="567"/>
      <c r="E1395" s="568"/>
      <c r="F1395" s="569"/>
      <c r="G1395" s="569"/>
      <c r="H1395" s="570"/>
      <c r="I1395" s="571"/>
      <c r="J1395" s="580"/>
      <c r="K1395" s="39"/>
      <c r="L1395" s="16"/>
      <c r="M1395" s="39"/>
      <c r="N1395" s="536" t="s">
        <v>2318</v>
      </c>
    </row>
    <row r="1396" spans="1:14" s="544" customFormat="1" ht="16.5" hidden="1" customHeight="1">
      <c r="A1396" s="16"/>
      <c r="B1396" s="607"/>
      <c r="C1396" s="583">
        <v>1</v>
      </c>
      <c r="D1396" s="584" t="s">
        <v>273</v>
      </c>
      <c r="E1396" s="585">
        <v>12</v>
      </c>
      <c r="F1396" s="586">
        <v>0</v>
      </c>
      <c r="G1396" s="586">
        <v>0</v>
      </c>
      <c r="H1396" s="586">
        <v>0</v>
      </c>
      <c r="I1396" s="613">
        <f>ROUND(IF(AND(F1396:H1396),C1396*E1396*F1396*G1396*H1396,IF(AND(F1396,G1396),C1396*E1396*F1396*G1396,IF(AND(F1396,H1396),C1396*E1396*F1396*H1396,IF(AND(G1396,H1396),C1396*E1396*G1396*H1396,IF(F1396,C1396*E1396*F1396,IF(G1396,C1396*E1396*G1396,IF(H1396,C1396*E1396*H1396,C1396*E1396))))))),2)</f>
        <v>12</v>
      </c>
      <c r="J1396" s="580" t="s">
        <v>115</v>
      </c>
      <c r="K1396" s="39"/>
      <c r="L1396" s="16"/>
      <c r="M1396" s="39"/>
      <c r="N1396" s="536" t="s">
        <v>2318</v>
      </c>
    </row>
    <row r="1397" spans="1:14" s="544" customFormat="1" ht="16.5" hidden="1" customHeight="1">
      <c r="A1397" s="16"/>
      <c r="B1397" s="607"/>
      <c r="C1397" s="548"/>
      <c r="D1397" s="549"/>
      <c r="E1397" s="550"/>
      <c r="F1397" s="551"/>
      <c r="G1397" s="551"/>
      <c r="H1397" s="551"/>
      <c r="I1397" s="552"/>
      <c r="J1397" s="580"/>
      <c r="K1397" s="39"/>
      <c r="L1397" s="16"/>
      <c r="M1397" s="39"/>
      <c r="N1397" s="536" t="s">
        <v>2318</v>
      </c>
    </row>
    <row r="1398" spans="1:14" ht="15.75" hidden="1">
      <c r="A1398" s="16"/>
      <c r="B1398" s="39"/>
      <c r="C1398" s="554"/>
      <c r="D1398" s="555"/>
      <c r="E1398" s="540"/>
      <c r="F1398" s="541"/>
      <c r="G1398" s="40"/>
      <c r="H1398" s="16"/>
      <c r="I1398" s="613"/>
      <c r="J1398" s="580" t="s">
        <v>115</v>
      </c>
      <c r="K1398" s="10">
        <f>'Ele 2022-23'!I232</f>
        <v>227.41000000000003</v>
      </c>
      <c r="L1398" s="208" t="s">
        <v>275</v>
      </c>
      <c r="M1398" s="9">
        <f>ROUND(I1398*K1398,0)</f>
        <v>0</v>
      </c>
      <c r="N1398" s="536" t="s">
        <v>2318</v>
      </c>
    </row>
    <row r="1399" spans="1:14" ht="43.5" hidden="1" customHeight="1">
      <c r="A1399" s="16">
        <v>19</v>
      </c>
      <c r="B1399" s="1858" t="s">
        <v>946</v>
      </c>
      <c r="C1399" s="1858"/>
      <c r="D1399" s="1858"/>
      <c r="E1399" s="1858"/>
      <c r="F1399" s="1858"/>
      <c r="G1399" s="1858"/>
      <c r="H1399" s="1858"/>
      <c r="I1399" s="537"/>
      <c r="J1399" s="538"/>
      <c r="K1399" s="16"/>
      <c r="L1399" s="16"/>
      <c r="M1399" s="38"/>
      <c r="N1399" s="536" t="s">
        <v>2318</v>
      </c>
    </row>
    <row r="1400" spans="1:14" s="544" customFormat="1" ht="16.5" hidden="1" customHeight="1">
      <c r="A1400" s="16"/>
      <c r="B1400" s="39" t="s">
        <v>2830</v>
      </c>
      <c r="C1400" s="566"/>
      <c r="D1400" s="567"/>
      <c r="E1400" s="568"/>
      <c r="F1400" s="569"/>
      <c r="G1400" s="569"/>
      <c r="H1400" s="570"/>
      <c r="I1400" s="571"/>
      <c r="J1400" s="580"/>
      <c r="K1400" s="39"/>
      <c r="L1400" s="16"/>
      <c r="M1400" s="39"/>
      <c r="N1400" s="536" t="s">
        <v>2318</v>
      </c>
    </row>
    <row r="1401" spans="1:14" s="544" customFormat="1" ht="16.5" hidden="1" customHeight="1">
      <c r="A1401" s="16"/>
      <c r="B1401" s="607" t="s">
        <v>2087</v>
      </c>
      <c r="C1401" s="548">
        <v>1</v>
      </c>
      <c r="D1401" s="549" t="s">
        <v>273</v>
      </c>
      <c r="E1401" s="550">
        <v>7</v>
      </c>
      <c r="F1401" s="551">
        <v>0</v>
      </c>
      <c r="G1401" s="551">
        <v>0</v>
      </c>
      <c r="H1401" s="551">
        <v>0</v>
      </c>
      <c r="I1401" s="613">
        <f>ROUND(IF(AND(F1401:H1401),C1401*E1401*F1401*G1401*H1401,IF(AND(F1401,G1401),C1401*E1401*F1401*G1401,IF(AND(F1401,H1401),C1401*E1401*F1401*H1401,IF(AND(G1401,H1401),C1401*E1401*G1401*H1401,IF(F1401,C1401*E1401*F1401,IF(G1401,C1401*E1401*G1401,IF(H1401,C1401*E1401*H1401,C1401*E1401))))))),2)</f>
        <v>7</v>
      </c>
      <c r="J1401" s="580" t="s">
        <v>115</v>
      </c>
      <c r="K1401" s="39"/>
      <c r="L1401" s="16"/>
      <c r="M1401" s="39"/>
      <c r="N1401" s="536" t="s">
        <v>2318</v>
      </c>
    </row>
    <row r="1402" spans="1:14" s="544" customFormat="1" ht="16.5" hidden="1" customHeight="1">
      <c r="A1402" s="16"/>
      <c r="B1402" s="607"/>
      <c r="C1402" s="548"/>
      <c r="D1402" s="549"/>
      <c r="E1402" s="550"/>
      <c r="F1402" s="551"/>
      <c r="G1402" s="551"/>
      <c r="H1402" s="551"/>
      <c r="I1402" s="613"/>
      <c r="J1402" s="580"/>
      <c r="K1402" s="39"/>
      <c r="L1402" s="16"/>
      <c r="M1402" s="39"/>
      <c r="N1402" s="536" t="s">
        <v>2318</v>
      </c>
    </row>
    <row r="1403" spans="1:14" ht="15.75" hidden="1">
      <c r="A1403" s="16"/>
      <c r="B1403" s="39"/>
      <c r="C1403" s="554"/>
      <c r="D1403" s="555"/>
      <c r="E1403" s="540"/>
      <c r="F1403" s="541"/>
      <c r="G1403" s="40"/>
      <c r="H1403" s="16"/>
      <c r="I1403" s="613"/>
      <c r="J1403" s="580" t="s">
        <v>115</v>
      </c>
      <c r="K1403" s="10">
        <f>'Ele 2022-23'!I209</f>
        <v>2941.12</v>
      </c>
      <c r="L1403" s="208" t="s">
        <v>275</v>
      </c>
      <c r="M1403" s="9">
        <f>ROUND(I1403*K1403,0)</f>
        <v>0</v>
      </c>
      <c r="N1403" s="536" t="s">
        <v>2318</v>
      </c>
    </row>
    <row r="1404" spans="1:14" ht="30.75" hidden="1" customHeight="1">
      <c r="A1404" s="16">
        <v>20</v>
      </c>
      <c r="B1404" s="1858" t="s">
        <v>947</v>
      </c>
      <c r="C1404" s="1858"/>
      <c r="D1404" s="1858"/>
      <c r="E1404" s="1858"/>
      <c r="F1404" s="1858"/>
      <c r="G1404" s="1858"/>
      <c r="H1404" s="1858"/>
      <c r="I1404" s="613"/>
      <c r="J1404" s="538"/>
      <c r="K1404" s="16"/>
      <c r="L1404" s="16"/>
      <c r="M1404" s="38"/>
      <c r="N1404" s="536" t="s">
        <v>2318</v>
      </c>
    </row>
    <row r="1405" spans="1:14" s="544" customFormat="1" ht="16.5" hidden="1" customHeight="1">
      <c r="A1405" s="16"/>
      <c r="B1405" s="39" t="s">
        <v>2830</v>
      </c>
      <c r="C1405" s="566"/>
      <c r="D1405" s="567"/>
      <c r="E1405" s="568"/>
      <c r="F1405" s="569"/>
      <c r="G1405" s="569"/>
      <c r="H1405" s="570"/>
      <c r="I1405" s="571"/>
      <c r="J1405" s="580"/>
      <c r="K1405" s="39"/>
      <c r="L1405" s="16"/>
      <c r="M1405" s="39"/>
      <c r="N1405" s="536" t="s">
        <v>2318</v>
      </c>
    </row>
    <row r="1406" spans="1:14" s="544" customFormat="1" ht="16.5" hidden="1" customHeight="1">
      <c r="A1406" s="16"/>
      <c r="B1406" s="607"/>
      <c r="C1406" s="548">
        <v>1</v>
      </c>
      <c r="D1406" s="549" t="s">
        <v>273</v>
      </c>
      <c r="E1406" s="550">
        <v>12</v>
      </c>
      <c r="F1406" s="551">
        <v>0</v>
      </c>
      <c r="G1406" s="551">
        <v>0</v>
      </c>
      <c r="H1406" s="551">
        <v>0</v>
      </c>
      <c r="I1406" s="613">
        <f>ROUND(IF(AND(F1406:H1406),C1406*E1406*F1406*G1406*H1406,IF(AND(F1406,G1406),C1406*E1406*F1406*G1406,IF(AND(F1406,H1406),C1406*E1406*F1406*H1406,IF(AND(G1406,H1406),C1406*E1406*G1406*H1406,IF(F1406,C1406*E1406*F1406,IF(G1406,C1406*E1406*G1406,IF(H1406,C1406*E1406*H1406,C1406*E1406))))))),2)</f>
        <v>12</v>
      </c>
      <c r="J1406" s="580" t="s">
        <v>115</v>
      </c>
      <c r="K1406" s="39"/>
      <c r="L1406" s="16"/>
      <c r="M1406" s="39"/>
      <c r="N1406" s="536" t="s">
        <v>2318</v>
      </c>
    </row>
    <row r="1407" spans="1:14" s="544" customFormat="1" ht="16.5" hidden="1" customHeight="1">
      <c r="A1407" s="16"/>
      <c r="B1407" s="607"/>
      <c r="C1407" s="548"/>
      <c r="D1407" s="549"/>
      <c r="E1407" s="550"/>
      <c r="F1407" s="551"/>
      <c r="G1407" s="551"/>
      <c r="H1407" s="551"/>
      <c r="I1407" s="613"/>
      <c r="J1407" s="580"/>
      <c r="K1407" s="39"/>
      <c r="L1407" s="16"/>
      <c r="M1407" s="39"/>
      <c r="N1407" s="536" t="s">
        <v>2318</v>
      </c>
    </row>
    <row r="1408" spans="1:14" ht="15.75" hidden="1">
      <c r="A1408" s="16"/>
      <c r="B1408" s="39"/>
      <c r="C1408" s="554"/>
      <c r="D1408" s="555"/>
      <c r="E1408" s="540"/>
      <c r="F1408" s="541"/>
      <c r="G1408" s="40"/>
      <c r="H1408" s="16"/>
      <c r="I1408" s="613"/>
      <c r="J1408" s="580" t="s">
        <v>115</v>
      </c>
      <c r="K1408" s="10">
        <f>'Ele 2022-23'!I214</f>
        <v>278</v>
      </c>
      <c r="L1408" s="208" t="s">
        <v>275</v>
      </c>
      <c r="M1408" s="9">
        <f>ROUND(I1408*K1408,0)</f>
        <v>0</v>
      </c>
      <c r="N1408" s="536" t="s">
        <v>2318</v>
      </c>
    </row>
    <row r="1409" spans="1:14" ht="30.75" hidden="1" customHeight="1">
      <c r="A1409" s="16">
        <v>21</v>
      </c>
      <c r="B1409" s="1858" t="s">
        <v>948</v>
      </c>
      <c r="C1409" s="1858"/>
      <c r="D1409" s="1858"/>
      <c r="E1409" s="1858"/>
      <c r="F1409" s="1858"/>
      <c r="G1409" s="1858"/>
      <c r="H1409" s="1858"/>
      <c r="I1409" s="537"/>
      <c r="J1409" s="538"/>
      <c r="K1409" s="16"/>
      <c r="L1409" s="16"/>
      <c r="M1409" s="38"/>
      <c r="N1409" s="536" t="s">
        <v>2318</v>
      </c>
    </row>
    <row r="1410" spans="1:14" s="544" customFormat="1" ht="16.5" hidden="1" customHeight="1">
      <c r="A1410" s="16"/>
      <c r="B1410" s="39" t="s">
        <v>2830</v>
      </c>
      <c r="C1410" s="566"/>
      <c r="D1410" s="567"/>
      <c r="E1410" s="568"/>
      <c r="F1410" s="569"/>
      <c r="G1410" s="569"/>
      <c r="H1410" s="570"/>
      <c r="I1410" s="571"/>
      <c r="J1410" s="580"/>
      <c r="K1410" s="39"/>
      <c r="L1410" s="16"/>
      <c r="M1410" s="39"/>
      <c r="N1410" s="536" t="s">
        <v>2318</v>
      </c>
    </row>
    <row r="1411" spans="1:14" s="544" customFormat="1" ht="16.5" hidden="1" customHeight="1">
      <c r="A1411" s="16"/>
      <c r="B1411" s="607"/>
      <c r="C1411" s="548">
        <v>1</v>
      </c>
      <c r="D1411" s="549" t="s">
        <v>273</v>
      </c>
      <c r="E1411" s="550">
        <v>7</v>
      </c>
      <c r="F1411" s="551">
        <v>0</v>
      </c>
      <c r="G1411" s="551">
        <v>0</v>
      </c>
      <c r="H1411" s="551">
        <v>0</v>
      </c>
      <c r="I1411" s="613">
        <f>ROUND(IF(AND(F1411:H1411),C1411*E1411*F1411*G1411*H1411,IF(AND(F1411,G1411),C1411*E1411*F1411*G1411,IF(AND(F1411,H1411),C1411*E1411*F1411*H1411,IF(AND(G1411,H1411),C1411*E1411*G1411*H1411,IF(F1411,C1411*E1411*F1411,IF(G1411,C1411*E1411*G1411,IF(H1411,C1411*E1411*H1411,C1411*E1411))))))),2)</f>
        <v>7</v>
      </c>
      <c r="J1411" s="580" t="s">
        <v>115</v>
      </c>
      <c r="K1411" s="39"/>
      <c r="L1411" s="16"/>
      <c r="M1411" s="39"/>
      <c r="N1411" s="536" t="s">
        <v>2318</v>
      </c>
    </row>
    <row r="1412" spans="1:14" s="544" customFormat="1" ht="16.5" hidden="1" customHeight="1">
      <c r="A1412" s="16"/>
      <c r="B1412" s="607"/>
      <c r="C1412" s="548"/>
      <c r="D1412" s="549"/>
      <c r="E1412" s="550"/>
      <c r="F1412" s="551"/>
      <c r="G1412" s="551"/>
      <c r="H1412" s="551"/>
      <c r="I1412" s="613"/>
      <c r="J1412" s="580"/>
      <c r="K1412" s="39"/>
      <c r="L1412" s="16"/>
      <c r="M1412" s="39"/>
      <c r="N1412" s="536" t="s">
        <v>2318</v>
      </c>
    </row>
    <row r="1413" spans="1:14" ht="15.75" hidden="1">
      <c r="A1413" s="16"/>
      <c r="B1413" s="39"/>
      <c r="C1413" s="554"/>
      <c r="D1413" s="555"/>
      <c r="E1413" s="540"/>
      <c r="F1413" s="541"/>
      <c r="G1413" s="40"/>
      <c r="H1413" s="16"/>
      <c r="I1413" s="613"/>
      <c r="J1413" s="580" t="s">
        <v>115</v>
      </c>
      <c r="K1413" s="10">
        <f>'Ele 2022-23'!I221</f>
        <v>163.065</v>
      </c>
      <c r="L1413" s="208" t="s">
        <v>275</v>
      </c>
      <c r="M1413" s="9">
        <f>ROUND(I1413*K1413,0)</f>
        <v>0</v>
      </c>
      <c r="N1413" s="536" t="s">
        <v>2318</v>
      </c>
    </row>
    <row r="1414" spans="1:14" ht="30.75" hidden="1" customHeight="1">
      <c r="A1414" s="16">
        <v>15</v>
      </c>
      <c r="B1414" s="1858" t="s">
        <v>950</v>
      </c>
      <c r="C1414" s="1858"/>
      <c r="D1414" s="1858"/>
      <c r="E1414" s="1858"/>
      <c r="F1414" s="1858"/>
      <c r="G1414" s="1858"/>
      <c r="H1414" s="1858"/>
      <c r="I1414" s="537"/>
      <c r="J1414" s="538"/>
      <c r="K1414" s="16"/>
      <c r="L1414" s="16"/>
      <c r="M1414" s="38"/>
      <c r="N1414" s="536" t="s">
        <v>2318</v>
      </c>
    </row>
    <row r="1415" spans="1:14" s="544" customFormat="1" ht="16.5" hidden="1" customHeight="1">
      <c r="A1415" s="16"/>
      <c r="B1415" s="39" t="s">
        <v>2867</v>
      </c>
      <c r="C1415" s="566"/>
      <c r="D1415" s="567"/>
      <c r="E1415" s="568"/>
      <c r="F1415" s="569"/>
      <c r="G1415" s="569"/>
      <c r="H1415" s="570"/>
      <c r="I1415" s="571"/>
      <c r="J1415" s="580"/>
      <c r="K1415" s="39"/>
      <c r="L1415" s="16"/>
      <c r="M1415" s="39"/>
      <c r="N1415" s="536" t="s">
        <v>2318</v>
      </c>
    </row>
    <row r="1416" spans="1:14" s="544" customFormat="1" ht="16.5" hidden="1" customHeight="1">
      <c r="A1416" s="16"/>
      <c r="B1416" s="607" t="s">
        <v>660</v>
      </c>
      <c r="C1416" s="548">
        <v>1</v>
      </c>
      <c r="D1416" s="549" t="s">
        <v>273</v>
      </c>
      <c r="E1416" s="550">
        <v>2</v>
      </c>
      <c r="F1416" s="551">
        <v>0</v>
      </c>
      <c r="G1416" s="551">
        <v>0</v>
      </c>
      <c r="H1416" s="551">
        <v>0</v>
      </c>
      <c r="I1416" s="613">
        <f>ROUND(IF(AND(F1416:H1416),C1416*E1416*F1416*G1416*H1416,IF(AND(F1416,G1416),C1416*E1416*F1416*G1416,IF(AND(F1416,H1416),C1416*E1416*F1416*H1416,IF(AND(G1416,H1416),C1416*E1416*G1416*H1416,IF(F1416,C1416*E1416*F1416,IF(G1416,C1416*E1416*G1416,IF(H1416,C1416*E1416*H1416,C1416*E1416))))))),2)</f>
        <v>2</v>
      </c>
      <c r="J1416" s="580" t="s">
        <v>115</v>
      </c>
      <c r="K1416" s="39"/>
      <c r="L1416" s="16"/>
      <c r="M1416" s="39"/>
      <c r="N1416" s="536" t="s">
        <v>2318</v>
      </c>
    </row>
    <row r="1417" spans="1:14" s="544" customFormat="1" ht="16.5" hidden="1" customHeight="1">
      <c r="A1417" s="16"/>
      <c r="B1417" s="607" t="s">
        <v>650</v>
      </c>
      <c r="C1417" s="548">
        <v>1</v>
      </c>
      <c r="D1417" s="549" t="s">
        <v>273</v>
      </c>
      <c r="E1417" s="550">
        <v>1</v>
      </c>
      <c r="F1417" s="551">
        <v>0</v>
      </c>
      <c r="G1417" s="551">
        <v>0</v>
      </c>
      <c r="H1417" s="551">
        <v>0</v>
      </c>
      <c r="I1417" s="613">
        <f>ROUND(IF(AND(F1417:H1417),C1417*E1417*F1417*G1417*H1417,IF(AND(F1417,G1417),C1417*E1417*F1417*G1417,IF(AND(F1417,H1417),C1417*E1417*F1417*H1417,IF(AND(G1417,H1417),C1417*E1417*G1417*H1417,IF(F1417,C1417*E1417*F1417,IF(G1417,C1417*E1417*G1417,IF(H1417,C1417*E1417*H1417,C1417*E1417))))))),2)</f>
        <v>1</v>
      </c>
      <c r="J1417" s="580" t="s">
        <v>115</v>
      </c>
      <c r="K1417" s="39"/>
      <c r="L1417" s="16"/>
      <c r="M1417" s="39"/>
      <c r="N1417" s="536" t="s">
        <v>2318</v>
      </c>
    </row>
    <row r="1418" spans="1:14" s="544" customFormat="1" ht="16.5" hidden="1" customHeight="1">
      <c r="A1418" s="16"/>
      <c r="B1418" s="607" t="s">
        <v>1170</v>
      </c>
      <c r="C1418" s="548">
        <v>1</v>
      </c>
      <c r="D1418" s="549" t="s">
        <v>273</v>
      </c>
      <c r="E1418" s="550">
        <v>1</v>
      </c>
      <c r="F1418" s="551">
        <v>0</v>
      </c>
      <c r="G1418" s="551">
        <v>0</v>
      </c>
      <c r="H1418" s="551">
        <v>0</v>
      </c>
      <c r="I1418" s="613">
        <f>ROUND(IF(AND(F1418:H1418),C1418*E1418*F1418*G1418*H1418,IF(AND(F1418,G1418),C1418*E1418*F1418*G1418,IF(AND(F1418,H1418),C1418*E1418*F1418*H1418,IF(AND(G1418,H1418),C1418*E1418*G1418*H1418,IF(F1418,C1418*E1418*F1418,IF(G1418,C1418*E1418*G1418,IF(H1418,C1418*E1418*H1418,C1418*E1418))))))),2)</f>
        <v>1</v>
      </c>
      <c r="J1418" s="580" t="s">
        <v>115</v>
      </c>
      <c r="K1418" s="39"/>
      <c r="L1418" s="16"/>
      <c r="M1418" s="39"/>
      <c r="N1418" s="536" t="s">
        <v>2318</v>
      </c>
    </row>
    <row r="1419" spans="1:14" s="544" customFormat="1" ht="16.5" hidden="1" customHeight="1">
      <c r="A1419" s="16"/>
      <c r="B1419" s="607"/>
      <c r="C1419" s="548"/>
      <c r="D1419" s="549"/>
      <c r="E1419" s="550"/>
      <c r="F1419" s="551"/>
      <c r="G1419" s="551"/>
      <c r="H1419" s="551"/>
      <c r="I1419" s="613"/>
      <c r="J1419" s="580"/>
      <c r="K1419" s="39"/>
      <c r="L1419" s="16"/>
      <c r="M1419" s="39"/>
      <c r="N1419" s="536" t="s">
        <v>2318</v>
      </c>
    </row>
    <row r="1420" spans="1:14" ht="15.75" hidden="1">
      <c r="A1420" s="16"/>
      <c r="B1420" s="39"/>
      <c r="C1420" s="554"/>
      <c r="D1420" s="555"/>
      <c r="E1420" s="540"/>
      <c r="F1420" s="541"/>
      <c r="G1420" s="40"/>
      <c r="H1420" s="16"/>
      <c r="I1420" s="613"/>
      <c r="J1420" s="580" t="s">
        <v>115</v>
      </c>
      <c r="K1420" s="10">
        <f>'Ele 2022-23'!I227</f>
        <v>161.5</v>
      </c>
      <c r="L1420" s="208" t="s">
        <v>275</v>
      </c>
      <c r="M1420" s="9">
        <f>ROUND(I1420*K1420,0)</f>
        <v>0</v>
      </c>
      <c r="N1420" s="536" t="s">
        <v>2318</v>
      </c>
    </row>
    <row r="1421" spans="1:14" s="956" customFormat="1" ht="41.25" customHeight="1">
      <c r="A1421" s="951">
        <v>23</v>
      </c>
      <c r="B1421" s="1868" t="s">
        <v>442</v>
      </c>
      <c r="C1421" s="1868"/>
      <c r="D1421" s="1868"/>
      <c r="E1421" s="1868"/>
      <c r="F1421" s="1868"/>
      <c r="G1421" s="1868"/>
      <c r="H1421" s="1868"/>
      <c r="I1421" s="952"/>
      <c r="J1421" s="953"/>
      <c r="K1421" s="951"/>
      <c r="L1421" s="951"/>
      <c r="M1421" s="954"/>
      <c r="N1421" s="955" t="s">
        <v>2318</v>
      </c>
    </row>
    <row r="1422" spans="1:14" s="965" customFormat="1" ht="16.5" customHeight="1">
      <c r="A1422" s="951"/>
      <c r="B1422" s="957" t="s">
        <v>3137</v>
      </c>
      <c r="C1422" s="958"/>
      <c r="D1422" s="959"/>
      <c r="E1422" s="960"/>
      <c r="F1422" s="961"/>
      <c r="G1422" s="961"/>
      <c r="H1422" s="962"/>
      <c r="I1422" s="963"/>
      <c r="J1422" s="987"/>
      <c r="K1422" s="957"/>
      <c r="L1422" s="951"/>
      <c r="M1422" s="957"/>
      <c r="N1422" s="955" t="s">
        <v>2318</v>
      </c>
    </row>
    <row r="1423" spans="1:14" s="965" customFormat="1" ht="16.5" customHeight="1">
      <c r="A1423" s="951"/>
      <c r="B1423" s="993"/>
      <c r="C1423" s="967">
        <v>1</v>
      </c>
      <c r="D1423" s="968" t="s">
        <v>273</v>
      </c>
      <c r="E1423" s="969">
        <v>9</v>
      </c>
      <c r="F1423" s="970">
        <v>0</v>
      </c>
      <c r="G1423" s="970">
        <v>0</v>
      </c>
      <c r="H1423" s="970">
        <v>0</v>
      </c>
      <c r="I1423" s="989">
        <f>ROUND(IF(AND(F1423:H1423),C1423*E1423*F1423*G1423*H1423,IF(AND(F1423,G1423),C1423*E1423*F1423*G1423,IF(AND(F1423,H1423),C1423*E1423*F1423*H1423,IF(AND(G1423,H1423),C1423*E1423*G1423*H1423,IF(F1423,C1423*E1423*F1423,IF(G1423,C1423*E1423*G1423,IF(H1423,C1423*E1423*H1423,C1423*E1423))))))),2)</f>
        <v>9</v>
      </c>
      <c r="J1423" s="987" t="s">
        <v>115</v>
      </c>
      <c r="K1423" s="957"/>
      <c r="L1423" s="951"/>
      <c r="M1423" s="957"/>
      <c r="N1423" s="955" t="s">
        <v>2318</v>
      </c>
    </row>
    <row r="1424" spans="1:14" s="965" customFormat="1" ht="16.5" customHeight="1">
      <c r="A1424" s="951"/>
      <c r="B1424" s="993"/>
      <c r="C1424" s="967">
        <v>1</v>
      </c>
      <c r="D1424" s="968" t="s">
        <v>273</v>
      </c>
      <c r="E1424" s="969">
        <v>6</v>
      </c>
      <c r="F1424" s="970">
        <v>0</v>
      </c>
      <c r="G1424" s="970">
        <v>0</v>
      </c>
      <c r="H1424" s="970">
        <v>0</v>
      </c>
      <c r="I1424" s="989">
        <f>ROUND(IF(AND(F1424:H1424),C1424*E1424*F1424*G1424*H1424,IF(AND(F1424,G1424),C1424*E1424*F1424*G1424,IF(AND(F1424,H1424),C1424*E1424*F1424*H1424,IF(AND(G1424,H1424),C1424*E1424*G1424*H1424,IF(F1424,C1424*E1424*F1424,IF(G1424,C1424*E1424*G1424,IF(H1424,C1424*E1424*H1424,C1424*E1424))))))),2)</f>
        <v>6</v>
      </c>
      <c r="J1424" s="987" t="s">
        <v>115</v>
      </c>
      <c r="K1424" s="957"/>
      <c r="L1424" s="951"/>
      <c r="M1424" s="957"/>
      <c r="N1424" s="955" t="s">
        <v>2318</v>
      </c>
    </row>
    <row r="1425" spans="1:14" s="965" customFormat="1" ht="16.5" customHeight="1">
      <c r="A1425" s="951"/>
      <c r="B1425" s="993"/>
      <c r="C1425" s="973"/>
      <c r="D1425" s="974"/>
      <c r="E1425" s="975"/>
      <c r="F1425" s="976"/>
      <c r="G1425" s="976"/>
      <c r="H1425" s="976"/>
      <c r="I1425" s="989"/>
      <c r="J1425" s="987"/>
      <c r="K1425" s="957"/>
      <c r="L1425" s="951"/>
      <c r="M1425" s="957"/>
      <c r="N1425" s="955" t="s">
        <v>2318</v>
      </c>
    </row>
    <row r="1426" spans="1:14" s="956" customFormat="1" ht="15.75">
      <c r="A1426" s="951"/>
      <c r="B1426" s="957"/>
      <c r="C1426" s="977"/>
      <c r="D1426" s="978"/>
      <c r="E1426" s="979"/>
      <c r="F1426" s="980"/>
      <c r="G1426" s="981"/>
      <c r="H1426" s="951"/>
      <c r="I1426" s="989"/>
      <c r="J1426" s="987" t="s">
        <v>115</v>
      </c>
      <c r="K1426" s="982">
        <f>'Ele 2022-23'!I240</f>
        <v>399.94</v>
      </c>
      <c r="L1426" s="983" t="s">
        <v>275</v>
      </c>
      <c r="M1426" s="984">
        <f>ROUND(I1426*K1426,0)</f>
        <v>0</v>
      </c>
      <c r="N1426" s="955" t="s">
        <v>2318</v>
      </c>
    </row>
    <row r="1427" spans="1:14" ht="66.75" hidden="1" customHeight="1">
      <c r="A1427" s="16">
        <v>23</v>
      </c>
      <c r="B1427" s="1858" t="s">
        <v>2097</v>
      </c>
      <c r="C1427" s="1858"/>
      <c r="D1427" s="1858"/>
      <c r="E1427" s="1858"/>
      <c r="F1427" s="1858"/>
      <c r="G1427" s="1858"/>
      <c r="H1427" s="1858"/>
      <c r="I1427" s="537"/>
      <c r="J1427" s="538"/>
      <c r="K1427" s="16"/>
      <c r="L1427" s="16"/>
      <c r="M1427" s="38"/>
      <c r="N1427" s="536" t="s">
        <v>2318</v>
      </c>
    </row>
    <row r="1428" spans="1:14" s="544" customFormat="1" ht="16.5" hidden="1" customHeight="1">
      <c r="A1428" s="16"/>
      <c r="B1428" s="39" t="s">
        <v>2107</v>
      </c>
      <c r="C1428" s="566"/>
      <c r="D1428" s="567"/>
      <c r="E1428" s="568"/>
      <c r="F1428" s="569"/>
      <c r="G1428" s="569"/>
      <c r="H1428" s="570"/>
      <c r="I1428" s="571"/>
      <c r="J1428" s="580"/>
      <c r="K1428" s="39"/>
      <c r="L1428" s="16"/>
      <c r="M1428" s="39"/>
      <c r="N1428" s="536" t="s">
        <v>2318</v>
      </c>
    </row>
    <row r="1429" spans="1:14" s="544" customFormat="1" ht="16.5" hidden="1" customHeight="1">
      <c r="A1429" s="16"/>
      <c r="B1429" s="607"/>
      <c r="C1429" s="548">
        <v>1</v>
      </c>
      <c r="D1429" s="549" t="s">
        <v>273</v>
      </c>
      <c r="E1429" s="550">
        <v>1</v>
      </c>
      <c r="F1429" s="551">
        <v>0</v>
      </c>
      <c r="G1429" s="551">
        <v>0</v>
      </c>
      <c r="H1429" s="551">
        <v>0</v>
      </c>
      <c r="I1429" s="613">
        <f>ROUND(IF(AND(F1429:H1429),C1429*E1429*F1429*G1429*H1429,IF(AND(F1429,G1429),C1429*E1429*F1429*G1429,IF(AND(F1429,H1429),C1429*E1429*F1429*H1429,IF(AND(G1429,H1429),C1429*E1429*G1429*H1429,IF(F1429,C1429*E1429*F1429,IF(G1429,C1429*E1429*G1429,IF(H1429,C1429*E1429*H1429,C1429*E1429))))))),2)</f>
        <v>1</v>
      </c>
      <c r="J1429" s="580" t="s">
        <v>115</v>
      </c>
      <c r="K1429" s="39"/>
      <c r="L1429" s="16"/>
      <c r="M1429" s="39"/>
      <c r="N1429" s="536" t="s">
        <v>2318</v>
      </c>
    </row>
    <row r="1430" spans="1:14" s="544" customFormat="1" ht="16.5" hidden="1" customHeight="1">
      <c r="A1430" s="16"/>
      <c r="B1430" s="607"/>
      <c r="C1430" s="548"/>
      <c r="D1430" s="549"/>
      <c r="E1430" s="550"/>
      <c r="F1430" s="551"/>
      <c r="G1430" s="551"/>
      <c r="H1430" s="551"/>
      <c r="I1430" s="613"/>
      <c r="J1430" s="580"/>
      <c r="K1430" s="39"/>
      <c r="L1430" s="16"/>
      <c r="M1430" s="39"/>
      <c r="N1430" s="536" t="s">
        <v>2318</v>
      </c>
    </row>
    <row r="1431" spans="1:14" ht="15.75" hidden="1">
      <c r="A1431" s="16"/>
      <c r="B1431" s="39"/>
      <c r="C1431" s="554"/>
      <c r="D1431" s="555"/>
      <c r="E1431" s="540"/>
      <c r="F1431" s="541"/>
      <c r="G1431" s="40"/>
      <c r="H1431" s="16"/>
      <c r="I1431" s="613"/>
      <c r="J1431" s="580" t="s">
        <v>115</v>
      </c>
      <c r="K1431" s="10">
        <f>'Ele 2022-23'!I283</f>
        <v>1822</v>
      </c>
      <c r="L1431" s="208" t="s">
        <v>275</v>
      </c>
      <c r="M1431" s="9">
        <f>ROUND(I1431*K1431,0)</f>
        <v>0</v>
      </c>
      <c r="N1431" s="536" t="s">
        <v>2318</v>
      </c>
    </row>
    <row r="1432" spans="1:14" ht="110.25" hidden="1" customHeight="1">
      <c r="A1432" s="16">
        <v>23</v>
      </c>
      <c r="B1432" s="1858" t="s">
        <v>2263</v>
      </c>
      <c r="C1432" s="1858"/>
      <c r="D1432" s="1858"/>
      <c r="E1432" s="1858"/>
      <c r="F1432" s="1858"/>
      <c r="G1432" s="1858"/>
      <c r="H1432" s="1858"/>
      <c r="I1432" s="537"/>
      <c r="J1432" s="538"/>
      <c r="K1432" s="16"/>
      <c r="L1432" s="16"/>
      <c r="M1432" s="38"/>
      <c r="N1432" s="536" t="s">
        <v>2318</v>
      </c>
    </row>
    <row r="1433" spans="1:14" s="544" customFormat="1" ht="16.5" hidden="1" customHeight="1">
      <c r="A1433" s="16"/>
      <c r="B1433" s="39" t="s">
        <v>2107</v>
      </c>
      <c r="C1433" s="566"/>
      <c r="D1433" s="567"/>
      <c r="E1433" s="568"/>
      <c r="F1433" s="569"/>
      <c r="G1433" s="569"/>
      <c r="H1433" s="570"/>
      <c r="I1433" s="571"/>
      <c r="J1433" s="580"/>
      <c r="K1433" s="39"/>
      <c r="L1433" s="16"/>
      <c r="M1433" s="39"/>
      <c r="N1433" s="536" t="s">
        <v>2318</v>
      </c>
    </row>
    <row r="1434" spans="1:14" s="544" customFormat="1" ht="16.5" hidden="1" customHeight="1">
      <c r="A1434" s="16"/>
      <c r="B1434" s="607"/>
      <c r="C1434" s="548">
        <v>1</v>
      </c>
      <c r="D1434" s="549" t="s">
        <v>273</v>
      </c>
      <c r="E1434" s="550">
        <v>1</v>
      </c>
      <c r="F1434" s="551">
        <v>0</v>
      </c>
      <c r="G1434" s="551">
        <v>0</v>
      </c>
      <c r="H1434" s="551">
        <v>0</v>
      </c>
      <c r="I1434" s="613">
        <f>ROUND(IF(AND(F1434:H1434),C1434*E1434*F1434*G1434*H1434,IF(AND(F1434,G1434),C1434*E1434*F1434*G1434,IF(AND(F1434,H1434),C1434*E1434*F1434*H1434,IF(AND(G1434,H1434),C1434*E1434*G1434*H1434,IF(F1434,C1434*E1434*F1434,IF(G1434,C1434*E1434*G1434,IF(H1434,C1434*E1434*H1434,C1434*E1434))))))),2)</f>
        <v>1</v>
      </c>
      <c r="J1434" s="580" t="s">
        <v>115</v>
      </c>
      <c r="K1434" s="39"/>
      <c r="L1434" s="16"/>
      <c r="M1434" s="39"/>
      <c r="N1434" s="536" t="s">
        <v>2318</v>
      </c>
    </row>
    <row r="1435" spans="1:14" s="544" customFormat="1" ht="16.5" hidden="1" customHeight="1">
      <c r="A1435" s="16"/>
      <c r="B1435" s="607"/>
      <c r="C1435" s="548"/>
      <c r="D1435" s="549"/>
      <c r="E1435" s="550"/>
      <c r="F1435" s="551"/>
      <c r="G1435" s="551"/>
      <c r="H1435" s="551"/>
      <c r="I1435" s="613"/>
      <c r="J1435" s="580"/>
      <c r="K1435" s="39"/>
      <c r="L1435" s="16"/>
      <c r="M1435" s="39"/>
      <c r="N1435" s="536" t="s">
        <v>2318</v>
      </c>
    </row>
    <row r="1436" spans="1:14" ht="15.75" hidden="1">
      <c r="A1436" s="16"/>
      <c r="B1436" s="39"/>
      <c r="C1436" s="554"/>
      <c r="D1436" s="555"/>
      <c r="E1436" s="540"/>
      <c r="F1436" s="541"/>
      <c r="G1436" s="40"/>
      <c r="H1436" s="16"/>
      <c r="I1436" s="613"/>
      <c r="J1436" s="580" t="s">
        <v>115</v>
      </c>
      <c r="K1436" s="10">
        <f>'Ele 2022-23'!I286</f>
        <v>5428</v>
      </c>
      <c r="L1436" s="208" t="s">
        <v>275</v>
      </c>
      <c r="M1436" s="9">
        <f>ROUND(I1436*K1436,0)</f>
        <v>0</v>
      </c>
      <c r="N1436" s="536" t="s">
        <v>2318</v>
      </c>
    </row>
    <row r="1437" spans="1:14" ht="43.5" hidden="1" customHeight="1">
      <c r="A1437" s="16">
        <v>16</v>
      </c>
      <c r="B1437" s="1858" t="s">
        <v>794</v>
      </c>
      <c r="C1437" s="1858"/>
      <c r="D1437" s="1858"/>
      <c r="E1437" s="1858"/>
      <c r="F1437" s="1858"/>
      <c r="G1437" s="1858"/>
      <c r="H1437" s="1858"/>
      <c r="I1437" s="537"/>
      <c r="J1437" s="538"/>
      <c r="K1437" s="16"/>
      <c r="L1437" s="16"/>
      <c r="M1437" s="38"/>
      <c r="N1437" s="536" t="s">
        <v>2318</v>
      </c>
    </row>
    <row r="1438" spans="1:14" s="544" customFormat="1" ht="16.5" hidden="1" customHeight="1">
      <c r="A1438" s="16"/>
      <c r="B1438" s="607" t="s">
        <v>424</v>
      </c>
      <c r="C1438" s="566"/>
      <c r="D1438" s="567"/>
      <c r="E1438" s="568"/>
      <c r="F1438" s="569"/>
      <c r="G1438" s="569"/>
      <c r="H1438" s="570"/>
      <c r="I1438" s="571"/>
      <c r="J1438" s="580"/>
      <c r="K1438" s="39"/>
      <c r="L1438" s="16"/>
      <c r="M1438" s="39"/>
      <c r="N1438" s="536" t="s">
        <v>2318</v>
      </c>
    </row>
    <row r="1439" spans="1:14" s="544" customFormat="1" ht="16.5" hidden="1" customHeight="1">
      <c r="A1439" s="16"/>
      <c r="B1439" s="607"/>
      <c r="C1439" s="548">
        <v>1</v>
      </c>
      <c r="D1439" s="549" t="s">
        <v>273</v>
      </c>
      <c r="E1439" s="550">
        <v>1</v>
      </c>
      <c r="F1439" s="551">
        <v>0</v>
      </c>
      <c r="G1439" s="551">
        <v>0</v>
      </c>
      <c r="H1439" s="551">
        <v>0</v>
      </c>
      <c r="I1439" s="613">
        <f>ROUND(IF(AND(F1439:H1439),C1439*E1439*F1439*G1439*H1439,IF(AND(F1439,G1439),C1439*E1439*F1439*G1439,IF(AND(F1439,H1439),C1439*E1439*F1439*H1439,IF(AND(G1439,H1439),C1439*E1439*G1439*H1439,IF(F1439,C1439*E1439*F1439,IF(G1439,C1439*E1439*G1439,IF(H1439,C1439*E1439*H1439,C1439*E1439))))))),2)</f>
        <v>1</v>
      </c>
      <c r="J1439" s="580" t="s">
        <v>115</v>
      </c>
      <c r="K1439" s="39"/>
      <c r="L1439" s="16"/>
      <c r="M1439" s="39"/>
      <c r="N1439" s="536" t="s">
        <v>2318</v>
      </c>
    </row>
    <row r="1440" spans="1:14" s="544" customFormat="1" ht="16.5" hidden="1" customHeight="1">
      <c r="A1440" s="16"/>
      <c r="B1440" s="607"/>
      <c r="C1440" s="548"/>
      <c r="D1440" s="549"/>
      <c r="E1440" s="550"/>
      <c r="F1440" s="551"/>
      <c r="G1440" s="551"/>
      <c r="H1440" s="551"/>
      <c r="I1440" s="613"/>
      <c r="J1440" s="580"/>
      <c r="K1440" s="39"/>
      <c r="L1440" s="16"/>
      <c r="M1440" s="39"/>
      <c r="N1440" s="536" t="s">
        <v>2318</v>
      </c>
    </row>
    <row r="1441" spans="1:14" ht="15.75" hidden="1">
      <c r="A1441" s="16"/>
      <c r="B1441" s="39"/>
      <c r="C1441" s="554"/>
      <c r="D1441" s="555"/>
      <c r="E1441" s="540"/>
      <c r="F1441" s="541"/>
      <c r="G1441" s="40"/>
      <c r="H1441" s="16"/>
      <c r="I1441" s="613"/>
      <c r="J1441" s="580" t="s">
        <v>115</v>
      </c>
      <c r="K1441" s="10">
        <f>'Ele 2022-23'!I83</f>
        <v>1634</v>
      </c>
      <c r="L1441" s="208" t="s">
        <v>275</v>
      </c>
      <c r="M1441" s="9">
        <f>ROUND(I1441*K1441,0)</f>
        <v>0</v>
      </c>
      <c r="N1441" s="536" t="s">
        <v>2318</v>
      </c>
    </row>
    <row r="1442" spans="1:14" s="956" customFormat="1" ht="66" customHeight="1">
      <c r="A1442" s="951">
        <v>24</v>
      </c>
      <c r="B1442" s="1868" t="s">
        <v>698</v>
      </c>
      <c r="C1442" s="1868"/>
      <c r="D1442" s="1868"/>
      <c r="E1442" s="1868"/>
      <c r="F1442" s="1868"/>
      <c r="G1442" s="1868"/>
      <c r="H1442" s="1868"/>
      <c r="I1442" s="952"/>
      <c r="J1442" s="953"/>
      <c r="K1442" s="951"/>
      <c r="L1442" s="951"/>
      <c r="M1442" s="954"/>
      <c r="N1442" s="955" t="s">
        <v>2318</v>
      </c>
    </row>
    <row r="1443" spans="1:14" s="965" customFormat="1" ht="16.5" customHeight="1">
      <c r="A1443" s="951"/>
      <c r="B1443" s="957" t="s">
        <v>3137</v>
      </c>
      <c r="C1443" s="958"/>
      <c r="D1443" s="959"/>
      <c r="E1443" s="960"/>
      <c r="F1443" s="961"/>
      <c r="G1443" s="961"/>
      <c r="H1443" s="962"/>
      <c r="I1443" s="963"/>
      <c r="J1443" s="987"/>
      <c r="K1443" s="957"/>
      <c r="L1443" s="951"/>
      <c r="M1443" s="957"/>
      <c r="N1443" s="955" t="s">
        <v>2318</v>
      </c>
    </row>
    <row r="1444" spans="1:14" s="965" customFormat="1" ht="16.5" customHeight="1">
      <c r="A1444" s="951"/>
      <c r="B1444" s="993"/>
      <c r="C1444" s="973">
        <v>1</v>
      </c>
      <c r="D1444" s="974" t="s">
        <v>273</v>
      </c>
      <c r="E1444" s="975">
        <v>1</v>
      </c>
      <c r="F1444" s="976">
        <v>0</v>
      </c>
      <c r="G1444" s="976">
        <v>0</v>
      </c>
      <c r="H1444" s="976">
        <v>0</v>
      </c>
      <c r="I1444" s="989">
        <f>ROUND(IF(AND(F1444:H1444),C1444*E1444*F1444*G1444*H1444,IF(AND(F1444,G1444),C1444*E1444*F1444*G1444,IF(AND(F1444,H1444),C1444*E1444*F1444*H1444,IF(AND(G1444,H1444),C1444*E1444*G1444*H1444,IF(F1444,C1444*E1444*F1444,IF(G1444,C1444*E1444*G1444,IF(H1444,C1444*E1444*H1444,C1444*E1444))))))),2)</f>
        <v>1</v>
      </c>
      <c r="J1444" s="987" t="s">
        <v>115</v>
      </c>
      <c r="K1444" s="957"/>
      <c r="L1444" s="951"/>
      <c r="M1444" s="957"/>
      <c r="N1444" s="955" t="s">
        <v>2318</v>
      </c>
    </row>
    <row r="1445" spans="1:14" s="965" customFormat="1" ht="16.5" customHeight="1">
      <c r="A1445" s="951"/>
      <c r="B1445" s="993"/>
      <c r="C1445" s="973"/>
      <c r="D1445" s="974"/>
      <c r="E1445" s="975"/>
      <c r="F1445" s="976"/>
      <c r="G1445" s="976"/>
      <c r="H1445" s="976"/>
      <c r="I1445" s="971"/>
      <c r="J1445" s="987"/>
      <c r="K1445" s="957"/>
      <c r="L1445" s="951"/>
      <c r="M1445" s="957"/>
      <c r="N1445" s="955" t="s">
        <v>2318</v>
      </c>
    </row>
    <row r="1446" spans="1:14" s="956" customFormat="1" ht="15.75">
      <c r="A1446" s="951"/>
      <c r="B1446" s="957"/>
      <c r="C1446" s="977"/>
      <c r="D1446" s="978"/>
      <c r="E1446" s="979"/>
      <c r="F1446" s="980"/>
      <c r="G1446" s="981"/>
      <c r="H1446" s="951"/>
      <c r="I1446" s="989"/>
      <c r="J1446" s="987" t="s">
        <v>115</v>
      </c>
      <c r="K1446" s="982">
        <f>'Ele 2022-23'!I251</f>
        <v>3662</v>
      </c>
      <c r="L1446" s="983" t="s">
        <v>275</v>
      </c>
      <c r="M1446" s="984">
        <f>ROUND(I1446*K1446,0)</f>
        <v>0</v>
      </c>
      <c r="N1446" s="955" t="s">
        <v>2318</v>
      </c>
    </row>
    <row r="1447" spans="1:14" s="956" customFormat="1" ht="44.25" customHeight="1">
      <c r="A1447" s="951">
        <v>25</v>
      </c>
      <c r="B1447" s="1868" t="s">
        <v>941</v>
      </c>
      <c r="C1447" s="1868"/>
      <c r="D1447" s="1868"/>
      <c r="E1447" s="1868"/>
      <c r="F1447" s="1868"/>
      <c r="G1447" s="1868"/>
      <c r="H1447" s="1868"/>
      <c r="I1447" s="952"/>
      <c r="J1447" s="953"/>
      <c r="K1447" s="951"/>
      <c r="L1447" s="951"/>
      <c r="M1447" s="954"/>
      <c r="N1447" s="955" t="s">
        <v>2318</v>
      </c>
    </row>
    <row r="1448" spans="1:14" s="965" customFormat="1" ht="16.5" customHeight="1">
      <c r="A1448" s="951"/>
      <c r="B1448" s="957" t="s">
        <v>3137</v>
      </c>
      <c r="C1448" s="958"/>
      <c r="D1448" s="959"/>
      <c r="E1448" s="960"/>
      <c r="F1448" s="961"/>
      <c r="G1448" s="961"/>
      <c r="H1448" s="962"/>
      <c r="I1448" s="963"/>
      <c r="J1448" s="987"/>
      <c r="K1448" s="957"/>
      <c r="L1448" s="951"/>
      <c r="M1448" s="957"/>
      <c r="N1448" s="955" t="s">
        <v>2318</v>
      </c>
    </row>
    <row r="1449" spans="1:14" s="965" customFormat="1" ht="16.5" customHeight="1">
      <c r="A1449" s="951"/>
      <c r="B1449" s="993"/>
      <c r="C1449" s="973">
        <v>1</v>
      </c>
      <c r="D1449" s="974" t="s">
        <v>273</v>
      </c>
      <c r="E1449" s="975">
        <v>1</v>
      </c>
      <c r="F1449" s="976">
        <v>0</v>
      </c>
      <c r="G1449" s="976">
        <v>0</v>
      </c>
      <c r="H1449" s="976">
        <v>0</v>
      </c>
      <c r="I1449" s="989">
        <f>ROUND(IF(AND(F1449:H1449),C1449*E1449*F1449*G1449*H1449,IF(AND(F1449,G1449),C1449*E1449*F1449*G1449,IF(AND(F1449,H1449),C1449*E1449*F1449*H1449,IF(AND(G1449,H1449),C1449*E1449*G1449*H1449,IF(F1449,C1449*E1449*F1449,IF(G1449,C1449*E1449*G1449,IF(H1449,C1449*E1449*H1449,C1449*E1449))))))),2)</f>
        <v>1</v>
      </c>
      <c r="J1449" s="987" t="s">
        <v>115</v>
      </c>
      <c r="K1449" s="957"/>
      <c r="L1449" s="951"/>
      <c r="M1449" s="957"/>
      <c r="N1449" s="955" t="s">
        <v>2318</v>
      </c>
    </row>
    <row r="1450" spans="1:14" s="965" customFormat="1" ht="16.5" customHeight="1">
      <c r="A1450" s="951"/>
      <c r="B1450" s="993"/>
      <c r="C1450" s="973"/>
      <c r="D1450" s="974"/>
      <c r="E1450" s="975"/>
      <c r="F1450" s="976"/>
      <c r="G1450" s="976"/>
      <c r="H1450" s="976"/>
      <c r="I1450" s="971"/>
      <c r="J1450" s="987"/>
      <c r="K1450" s="957"/>
      <c r="L1450" s="951"/>
      <c r="M1450" s="957"/>
      <c r="N1450" s="955" t="s">
        <v>2318</v>
      </c>
    </row>
    <row r="1451" spans="1:14" s="956" customFormat="1" ht="15.75">
      <c r="A1451" s="951"/>
      <c r="B1451" s="957"/>
      <c r="C1451" s="977"/>
      <c r="D1451" s="978"/>
      <c r="E1451" s="979"/>
      <c r="F1451" s="980"/>
      <c r="G1451" s="981"/>
      <c r="H1451" s="951"/>
      <c r="I1451" s="989"/>
      <c r="J1451" s="987" t="s">
        <v>115</v>
      </c>
      <c r="K1451" s="982">
        <f>'Ele 2022-23'!I261</f>
        <v>1089.96</v>
      </c>
      <c r="L1451" s="983" t="s">
        <v>275</v>
      </c>
      <c r="M1451" s="984">
        <f>ROUND(I1451*K1451,0)</f>
        <v>0</v>
      </c>
      <c r="N1451" s="955" t="s">
        <v>2318</v>
      </c>
    </row>
    <row r="1452" spans="1:14" s="956" customFormat="1" ht="78" customHeight="1">
      <c r="A1452" s="951">
        <v>26</v>
      </c>
      <c r="B1452" s="1868" t="s">
        <v>450</v>
      </c>
      <c r="C1452" s="1868"/>
      <c r="D1452" s="1868"/>
      <c r="E1452" s="1868"/>
      <c r="F1452" s="1868"/>
      <c r="G1452" s="1868"/>
      <c r="H1452" s="1868"/>
      <c r="I1452" s="952"/>
      <c r="J1452" s="953"/>
      <c r="K1452" s="951"/>
      <c r="L1452" s="951"/>
      <c r="M1452" s="954"/>
      <c r="N1452" s="955" t="s">
        <v>2318</v>
      </c>
    </row>
    <row r="1453" spans="1:14" s="965" customFormat="1" ht="16.5" customHeight="1">
      <c r="A1453" s="951"/>
      <c r="B1453" s="957" t="s">
        <v>3138</v>
      </c>
      <c r="C1453" s="958"/>
      <c r="D1453" s="959"/>
      <c r="E1453" s="960"/>
      <c r="F1453" s="961"/>
      <c r="G1453" s="961"/>
      <c r="H1453" s="962"/>
      <c r="I1453" s="963"/>
      <c r="J1453" s="987"/>
      <c r="K1453" s="957"/>
      <c r="L1453" s="951"/>
      <c r="M1453" s="957"/>
      <c r="N1453" s="955" t="s">
        <v>2318</v>
      </c>
    </row>
    <row r="1454" spans="1:14" s="965" customFormat="1" ht="16.5" customHeight="1">
      <c r="A1454" s="951"/>
      <c r="B1454" s="993"/>
      <c r="C1454" s="973">
        <v>1</v>
      </c>
      <c r="D1454" s="974" t="s">
        <v>273</v>
      </c>
      <c r="E1454" s="975">
        <v>1</v>
      </c>
      <c r="F1454" s="976">
        <v>0</v>
      </c>
      <c r="G1454" s="976">
        <v>0</v>
      </c>
      <c r="H1454" s="976">
        <v>0</v>
      </c>
      <c r="I1454" s="989">
        <f>ROUND(IF(AND(F1454:H1454),C1454*E1454*F1454*G1454*H1454,IF(AND(F1454,G1454),C1454*E1454*F1454*G1454,IF(AND(F1454,H1454),C1454*E1454*F1454*H1454,IF(AND(G1454,H1454),C1454*E1454*G1454*H1454,IF(F1454,C1454*E1454*F1454,IF(G1454,C1454*E1454*G1454,IF(H1454,C1454*E1454*H1454,C1454*E1454))))))),2)</f>
        <v>1</v>
      </c>
      <c r="J1454" s="987" t="s">
        <v>115</v>
      </c>
      <c r="K1454" s="957"/>
      <c r="L1454" s="951"/>
      <c r="M1454" s="957"/>
      <c r="N1454" s="955" t="s">
        <v>2318</v>
      </c>
    </row>
    <row r="1455" spans="1:14" s="965" customFormat="1" ht="16.5" customHeight="1">
      <c r="A1455" s="951"/>
      <c r="B1455" s="993"/>
      <c r="C1455" s="973"/>
      <c r="D1455" s="974"/>
      <c r="E1455" s="975"/>
      <c r="F1455" s="976"/>
      <c r="G1455" s="976"/>
      <c r="H1455" s="976"/>
      <c r="I1455" s="989"/>
      <c r="J1455" s="987"/>
      <c r="K1455" s="957"/>
      <c r="L1455" s="951"/>
      <c r="M1455" s="957"/>
      <c r="N1455" s="955" t="s">
        <v>2318</v>
      </c>
    </row>
    <row r="1456" spans="1:14" s="956" customFormat="1" ht="15.75">
      <c r="A1456" s="951"/>
      <c r="B1456" s="957"/>
      <c r="C1456" s="977"/>
      <c r="D1456" s="978"/>
      <c r="E1456" s="979"/>
      <c r="F1456" s="980"/>
      <c r="G1456" s="981"/>
      <c r="H1456" s="951"/>
      <c r="I1456" s="989"/>
      <c r="J1456" s="987" t="s">
        <v>115</v>
      </c>
      <c r="K1456" s="982">
        <f>'Ele 2022-23'!I280</f>
        <v>4142.4250000000002</v>
      </c>
      <c r="L1456" s="983" t="s">
        <v>275</v>
      </c>
      <c r="M1456" s="984">
        <f>ROUND(I1456*K1456,0)</f>
        <v>0</v>
      </c>
      <c r="N1456" s="955" t="s">
        <v>2318</v>
      </c>
    </row>
    <row r="1457" spans="1:15" ht="66" hidden="1" customHeight="1">
      <c r="A1457" s="16">
        <v>5</v>
      </c>
      <c r="B1457" s="1859" t="s">
        <v>1184</v>
      </c>
      <c r="C1457" s="1860"/>
      <c r="D1457" s="1860"/>
      <c r="E1457" s="1860"/>
      <c r="F1457" s="1860"/>
      <c r="G1457" s="1860"/>
      <c r="H1457" s="1861"/>
      <c r="I1457" s="537"/>
      <c r="J1457" s="538"/>
      <c r="K1457" s="16"/>
      <c r="L1457" s="208"/>
      <c r="M1457" s="38"/>
      <c r="N1457" s="536" t="s">
        <v>2318</v>
      </c>
    </row>
    <row r="1458" spans="1:15" s="544" customFormat="1" ht="16.5" hidden="1" customHeight="1">
      <c r="A1458" s="16"/>
      <c r="B1458" s="39" t="s">
        <v>2776</v>
      </c>
      <c r="C1458" s="566"/>
      <c r="D1458" s="567"/>
      <c r="E1458" s="568"/>
      <c r="F1458" s="569"/>
      <c r="G1458" s="569"/>
      <c r="H1458" s="570"/>
      <c r="I1458" s="571"/>
      <c r="J1458" s="553"/>
      <c r="K1458" s="39"/>
      <c r="L1458" s="16"/>
      <c r="M1458" s="39"/>
      <c r="N1458" s="536" t="s">
        <v>2318</v>
      </c>
    </row>
    <row r="1459" spans="1:15" s="544" customFormat="1" ht="16.5" hidden="1" customHeight="1">
      <c r="A1459" s="16"/>
      <c r="B1459" s="547"/>
      <c r="C1459" s="548">
        <v>1</v>
      </c>
      <c r="D1459" s="549" t="s">
        <v>273</v>
      </c>
      <c r="E1459" s="550">
        <v>1</v>
      </c>
      <c r="F1459" s="551">
        <v>32</v>
      </c>
      <c r="G1459" s="551">
        <v>0</v>
      </c>
      <c r="H1459" s="551">
        <v>0.3</v>
      </c>
      <c r="I1459" s="552">
        <f>ROUND(IF(AND(F1459:H1459),C1459*E1459*F1459*G1459*H1459,IF(AND(F1459,G1459),C1459*E1459*F1459*G1459,IF(AND(F1459,H1459),C1459*E1459*F1459*H1459,IF(AND(G1459,H1459),C1459*E1459*G1459*H1459,IF(F1459,C1459*E1459*F1459,IF(G1459,C1459*E1459*G1459,IF(H1459,C1459*E1459*H1459,C1459*E1459))))))),2)</f>
        <v>9.6</v>
      </c>
      <c r="J1459" s="553" t="s">
        <v>102</v>
      </c>
      <c r="K1459" s="39"/>
      <c r="L1459" s="16"/>
      <c r="M1459" s="39"/>
      <c r="N1459" s="536" t="s">
        <v>2318</v>
      </c>
    </row>
    <row r="1460" spans="1:15" s="544" customFormat="1" ht="16.5" hidden="1" customHeight="1">
      <c r="A1460" s="16"/>
      <c r="B1460" s="547"/>
      <c r="C1460" s="548"/>
      <c r="D1460" s="549"/>
      <c r="E1460" s="587"/>
      <c r="F1460" s="551"/>
      <c r="G1460" s="551"/>
      <c r="H1460" s="551"/>
      <c r="I1460" s="552"/>
      <c r="J1460" s="553"/>
      <c r="K1460" s="39"/>
      <c r="L1460" s="208"/>
      <c r="M1460" s="39"/>
      <c r="N1460" s="536"/>
    </row>
    <row r="1461" spans="1:15" ht="15.75" hidden="1">
      <c r="A1461" s="16"/>
      <c r="B1461" s="39"/>
      <c r="C1461" s="554"/>
      <c r="D1461" s="555"/>
      <c r="E1461" s="540"/>
      <c r="F1461" s="541"/>
      <c r="G1461" s="40"/>
      <c r="H1461" s="16"/>
      <c r="I1461" s="592"/>
      <c r="J1461" s="553" t="s">
        <v>102</v>
      </c>
      <c r="K1461" s="10">
        <f>'data 2022-23'!G889</f>
        <v>630</v>
      </c>
      <c r="L1461" s="208" t="s">
        <v>2437</v>
      </c>
      <c r="M1461" s="9">
        <f>ROUND(I1461*K1461,0)</f>
        <v>0</v>
      </c>
      <c r="N1461" s="536" t="s">
        <v>2318</v>
      </c>
    </row>
    <row r="1462" spans="1:15" ht="15.75" hidden="1">
      <c r="A1462" s="16"/>
      <c r="B1462" s="39"/>
      <c r="C1462" s="554"/>
      <c r="D1462" s="555"/>
      <c r="E1462" s="540"/>
      <c r="F1462" s="541"/>
      <c r="G1462" s="40"/>
      <c r="H1462" s="16"/>
      <c r="I1462" s="552"/>
      <c r="J1462" s="553"/>
      <c r="K1462" s="10"/>
      <c r="L1462" s="208"/>
      <c r="M1462" s="9"/>
      <c r="N1462" s="536" t="s">
        <v>2318</v>
      </c>
    </row>
    <row r="1463" spans="1:15" ht="23.25" hidden="1" customHeight="1">
      <c r="A1463" s="16">
        <v>46</v>
      </c>
      <c r="B1463" s="1858" t="s">
        <v>2546</v>
      </c>
      <c r="C1463" s="1858"/>
      <c r="D1463" s="1858"/>
      <c r="E1463" s="1858"/>
      <c r="F1463" s="1858"/>
      <c r="G1463" s="1858"/>
      <c r="H1463" s="1858"/>
      <c r="I1463" s="537"/>
      <c r="J1463" s="538"/>
      <c r="K1463" s="16"/>
      <c r="L1463" s="16"/>
      <c r="M1463" s="9">
        <v>0</v>
      </c>
      <c r="N1463" s="536" t="s">
        <v>2318</v>
      </c>
    </row>
    <row r="1464" spans="1:15" s="956" customFormat="1">
      <c r="A1464" s="951"/>
      <c r="B1464" s="957"/>
      <c r="C1464" s="977"/>
      <c r="D1464" s="978"/>
      <c r="E1464" s="979"/>
      <c r="F1464" s="980"/>
      <c r="G1464" s="981"/>
      <c r="H1464" s="951"/>
      <c r="I1464" s="998"/>
      <c r="J1464" s="964"/>
      <c r="K1464" s="982"/>
      <c r="L1464" s="983"/>
      <c r="M1464" s="984"/>
    </row>
    <row r="1465" spans="1:15" s="956" customFormat="1">
      <c r="A1465" s="951"/>
      <c r="B1465" s="985"/>
      <c r="C1465" s="999"/>
      <c r="D1465" s="990"/>
      <c r="E1465" s="1000"/>
      <c r="F1465" s="1001"/>
      <c r="G1465" s="1001"/>
      <c r="H1465" s="985"/>
      <c r="I1465" s="971"/>
      <c r="J1465" s="1002"/>
      <c r="K1465" s="982"/>
      <c r="L1465" s="983"/>
      <c r="M1465" s="1003">
        <f>SUM(M8:M1464)</f>
        <v>0</v>
      </c>
      <c r="N1465" s="1004"/>
      <c r="O1465" s="1004"/>
    </row>
    <row r="1466" spans="1:15">
      <c r="M1466" s="603"/>
    </row>
    <row r="1467" spans="1:15">
      <c r="H1467" s="58"/>
      <c r="I1467" s="58"/>
      <c r="J1467" s="58"/>
      <c r="M1467" s="597"/>
    </row>
    <row r="1468" spans="1:15">
      <c r="H1468" s="58"/>
      <c r="I1468" s="58"/>
      <c r="J1468" s="58"/>
      <c r="M1468" s="597"/>
    </row>
    <row r="1469" spans="1:15">
      <c r="H1469" s="58"/>
      <c r="I1469" s="58"/>
      <c r="J1469" s="58"/>
      <c r="M1469" s="597"/>
    </row>
    <row r="1470" spans="1:15">
      <c r="H1470" s="55" t="str">
        <f>'lead 19-20'!$H$31</f>
        <v>Deputy Executive Engineer</v>
      </c>
      <c r="I1470" s="604"/>
      <c r="J1470" s="604"/>
      <c r="K1470" s="605"/>
      <c r="L1470" s="226" t="str">
        <f>'lead 19-20'!$K$31</f>
        <v>Assistant  Engineer</v>
      </c>
    </row>
    <row r="1471" spans="1:15">
      <c r="H1471" s="55" t="str">
        <f>'lead 19-20'!$H$32</f>
        <v>PRI Sub Division</v>
      </c>
      <c r="I1471" s="604"/>
      <c r="J1471" s="604"/>
      <c r="K1471" s="605"/>
      <c r="L1471" s="226" t="str">
        <f>'lead 19-20'!$K$32</f>
        <v>Mandal Praja parishad</v>
      </c>
    </row>
    <row r="1472" spans="1:15">
      <c r="H1472" s="55" t="str">
        <f>'lead 19-20'!$H$33</f>
        <v>Kanigiri</v>
      </c>
      <c r="I1472" s="12"/>
      <c r="J1472" s="12"/>
      <c r="K1472" s="526"/>
      <c r="L1472" s="226" t="str">
        <f>'lead 19-20'!$K$33</f>
        <v>Kanigiri</v>
      </c>
    </row>
    <row r="1478" spans="3:12" s="601" customFormat="1">
      <c r="C1478" s="58"/>
      <c r="E1478" s="598"/>
      <c r="F1478" s="599"/>
      <c r="G1478" s="600"/>
      <c r="H1478" s="12"/>
      <c r="K1478" s="606"/>
      <c r="L1478" s="602"/>
    </row>
  </sheetData>
  <autoFilter ref="A6:N1463">
    <filterColumn colId="0">
      <colorFilter dxfId="4"/>
    </filterColumn>
    <filterColumn colId="2" showButton="0"/>
    <filterColumn colId="3" showButton="0"/>
  </autoFilter>
  <mergeCells count="234">
    <mergeCell ref="A1:M1"/>
    <mergeCell ref="A2:B2"/>
    <mergeCell ref="C2:M2"/>
    <mergeCell ref="L4:L5"/>
    <mergeCell ref="M4:M5"/>
    <mergeCell ref="C6:E6"/>
    <mergeCell ref="K4:K5"/>
    <mergeCell ref="C3:M3"/>
    <mergeCell ref="B1030:H1030"/>
    <mergeCell ref="B1025:H1025"/>
    <mergeCell ref="B883:H883"/>
    <mergeCell ref="B869:H869"/>
    <mergeCell ref="B377:H377"/>
    <mergeCell ref="B553:H553"/>
    <mergeCell ref="B540:H540"/>
    <mergeCell ref="B527:H527"/>
    <mergeCell ref="B533:H533"/>
    <mergeCell ref="B440:H440"/>
    <mergeCell ref="B445:H445"/>
    <mergeCell ref="B1010:H1010"/>
    <mergeCell ref="B1015:H1015"/>
    <mergeCell ref="B1020:H1020"/>
    <mergeCell ref="B943:H943"/>
    <mergeCell ref="B948:H948"/>
    <mergeCell ref="B1463:H1463"/>
    <mergeCell ref="B1260:H1260"/>
    <mergeCell ref="B1265:H1265"/>
    <mergeCell ref="B1273:H1273"/>
    <mergeCell ref="A4:A5"/>
    <mergeCell ref="B4:B5"/>
    <mergeCell ref="C4:E5"/>
    <mergeCell ref="F4:H4"/>
    <mergeCell ref="I4:J5"/>
    <mergeCell ref="B1288:H1288"/>
    <mergeCell ref="B1223:H1223"/>
    <mergeCell ref="B1240:H1240"/>
    <mergeCell ref="B1248:H1248"/>
    <mergeCell ref="B1254:H1254"/>
    <mergeCell ref="B1202:H1202"/>
    <mergeCell ref="B1172:H1172"/>
    <mergeCell ref="B1177:H1177"/>
    <mergeCell ref="B1182:H1182"/>
    <mergeCell ref="B1187:H1187"/>
    <mergeCell ref="B1192:H1192"/>
    <mergeCell ref="B1442:H1442"/>
    <mergeCell ref="B1296:H1296"/>
    <mergeCell ref="B1302:H1302"/>
    <mergeCell ref="B1366:H1366"/>
    <mergeCell ref="B1308:H1308"/>
    <mergeCell ref="B1313:H1313"/>
    <mergeCell ref="B1319:H1319"/>
    <mergeCell ref="B1324:H1324"/>
    <mergeCell ref="B1329:H1329"/>
    <mergeCell ref="B1335:H1335"/>
    <mergeCell ref="B1388:H1388"/>
    <mergeCell ref="B1394:H1394"/>
    <mergeCell ref="B1399:H1399"/>
    <mergeCell ref="B1341:H1341"/>
    <mergeCell ref="B1346:H1346"/>
    <mergeCell ref="B1351:H1351"/>
    <mergeCell ref="B1356:H1356"/>
    <mergeCell ref="B1361:H1361"/>
    <mergeCell ref="B1382:H1382"/>
    <mergeCell ref="B1372:H1372"/>
    <mergeCell ref="B1377:H1377"/>
    <mergeCell ref="B1447:H1447"/>
    <mergeCell ref="B1452:H1452"/>
    <mergeCell ref="B1404:H1404"/>
    <mergeCell ref="B1409:H1409"/>
    <mergeCell ref="B1421:H1421"/>
    <mergeCell ref="B1427:H1427"/>
    <mergeCell ref="B1432:H1432"/>
    <mergeCell ref="B1414:H1414"/>
    <mergeCell ref="B1437:H1437"/>
    <mergeCell ref="B1207:H1207"/>
    <mergeCell ref="B1074:H1074"/>
    <mergeCell ref="B1079:H1079"/>
    <mergeCell ref="B1084:H1084"/>
    <mergeCell ref="B1094:H1094"/>
    <mergeCell ref="B1099:H1099"/>
    <mergeCell ref="B1105:H1105"/>
    <mergeCell ref="B1110:H1110"/>
    <mergeCell ref="B1197:H1197"/>
    <mergeCell ref="B1166:H1166"/>
    <mergeCell ref="B1130:H1130"/>
    <mergeCell ref="B1136:H1136"/>
    <mergeCell ref="B1141:H1141"/>
    <mergeCell ref="B1089:H1089"/>
    <mergeCell ref="B1151:H1151"/>
    <mergeCell ref="B1156:H1156"/>
    <mergeCell ref="B1146:H1146"/>
    <mergeCell ref="B1125:H1125"/>
    <mergeCell ref="B958:H958"/>
    <mergeCell ref="B968:H968"/>
    <mergeCell ref="B975:H975"/>
    <mergeCell ref="B963:H963"/>
    <mergeCell ref="B953:H953"/>
    <mergeCell ref="B985:H985"/>
    <mergeCell ref="B991:H991"/>
    <mergeCell ref="B1115:H1115"/>
    <mergeCell ref="B1120:H1120"/>
    <mergeCell ref="B1037:H1037"/>
    <mergeCell ref="B1042:H1042"/>
    <mergeCell ref="B1052:H1052"/>
    <mergeCell ref="B1060:H1060"/>
    <mergeCell ref="B384:H384"/>
    <mergeCell ref="B419:H419"/>
    <mergeCell ref="B722:H722"/>
    <mergeCell ref="B727:H727"/>
    <mergeCell ref="B808:H808"/>
    <mergeCell ref="B793:H793"/>
    <mergeCell ref="B800:H800"/>
    <mergeCell ref="B786:H786"/>
    <mergeCell ref="B775:H775"/>
    <mergeCell ref="B780:H780"/>
    <mergeCell ref="B756:H756"/>
    <mergeCell ref="B761:H761"/>
    <mergeCell ref="B430:H430"/>
    <mergeCell ref="B450:H450"/>
    <mergeCell ref="B640:H640"/>
    <mergeCell ref="B625:H625"/>
    <mergeCell ref="B611:H611"/>
    <mergeCell ref="B568:H568"/>
    <mergeCell ref="B480:H480"/>
    <mergeCell ref="B469:H469"/>
    <mergeCell ref="B458:H458"/>
    <mergeCell ref="B463:H463"/>
    <mergeCell ref="B681:H681"/>
    <mergeCell ref="B690:H690"/>
    <mergeCell ref="B1457:H1457"/>
    <mergeCell ref="B583:H583"/>
    <mergeCell ref="B576:H576"/>
    <mergeCell ref="B560:H560"/>
    <mergeCell ref="B547:H547"/>
    <mergeCell ref="B1161:H1161"/>
    <mergeCell ref="B1065:H1065"/>
    <mergeCell ref="B830:H830"/>
    <mergeCell ref="B816:H816"/>
    <mergeCell ref="B980:H980"/>
    <mergeCell ref="B933:H933"/>
    <mergeCell ref="B876:H876"/>
    <mergeCell ref="B1278:H1278"/>
    <mergeCell ref="B1283:H1283"/>
    <mergeCell ref="B1218:H1218"/>
    <mergeCell ref="B1212:H1212"/>
    <mergeCell ref="B938:H938"/>
    <mergeCell ref="B997:H997"/>
    <mergeCell ref="B919:H919"/>
    <mergeCell ref="B926:H926"/>
    <mergeCell ref="B911:H911"/>
    <mergeCell ref="B895:H895"/>
    <mergeCell ref="B823:H823"/>
    <mergeCell ref="B697:H697"/>
    <mergeCell ref="B671:H671"/>
    <mergeCell ref="B716:H716"/>
    <mergeCell ref="B835:H835"/>
    <mergeCell ref="B841:H841"/>
    <mergeCell ref="B618:H618"/>
    <mergeCell ref="B862:H862"/>
    <mergeCell ref="B767:H767"/>
    <mergeCell ref="B848:H848"/>
    <mergeCell ref="B855:H855"/>
    <mergeCell ref="B903:H903"/>
    <mergeCell ref="B889:H889"/>
    <mergeCell ref="B705:H705"/>
    <mergeCell ref="B356:H356"/>
    <mergeCell ref="B521:H521"/>
    <mergeCell ref="B509:H509"/>
    <mergeCell ref="B515:H515"/>
    <mergeCell ref="B503:H503"/>
    <mergeCell ref="B370:H370"/>
    <mergeCell ref="B751:H751"/>
    <mergeCell ref="B738:H738"/>
    <mergeCell ref="B744:H744"/>
    <mergeCell ref="B732:H732"/>
    <mergeCell ref="B491:H491"/>
    <mergeCell ref="B497:H497"/>
    <mergeCell ref="B604:H604"/>
    <mergeCell ref="B590:H590"/>
    <mergeCell ref="B597:H597"/>
    <mergeCell ref="B654:H654"/>
    <mergeCell ref="B662:H662"/>
    <mergeCell ref="B647:H647"/>
    <mergeCell ref="B710:H710"/>
    <mergeCell ref="B633:H633"/>
    <mergeCell ref="B435:H435"/>
    <mergeCell ref="B485:H485"/>
    <mergeCell ref="B474:H474"/>
    <mergeCell ref="B425:H425"/>
    <mergeCell ref="B314:H314"/>
    <mergeCell ref="B321:H321"/>
    <mergeCell ref="B363:H363"/>
    <mergeCell ref="B110:H110"/>
    <mergeCell ref="B116:H116"/>
    <mergeCell ref="B194:H194"/>
    <mergeCell ref="B201:H201"/>
    <mergeCell ref="B186:H186"/>
    <mergeCell ref="B171:H171"/>
    <mergeCell ref="B179:H179"/>
    <mergeCell ref="B163:H163"/>
    <mergeCell ref="B150:H150"/>
    <mergeCell ref="B156:H156"/>
    <mergeCell ref="B144:H144"/>
    <mergeCell ref="B129:H129"/>
    <mergeCell ref="B138:H138"/>
    <mergeCell ref="B122:H122"/>
    <mergeCell ref="B250:H250"/>
    <mergeCell ref="B257:H257"/>
    <mergeCell ref="B334:H334"/>
    <mergeCell ref="B292:H292"/>
    <mergeCell ref="B299:H299"/>
    <mergeCell ref="B342:H342"/>
    <mergeCell ref="B349:H349"/>
    <mergeCell ref="B41:H41"/>
    <mergeCell ref="B26:H26"/>
    <mergeCell ref="B35:H35"/>
    <mergeCell ref="B21:H21"/>
    <mergeCell ref="B9:H9"/>
    <mergeCell ref="B15:H15"/>
    <mergeCell ref="B210:H210"/>
    <mergeCell ref="B269:H269"/>
    <mergeCell ref="B307:H307"/>
    <mergeCell ref="B243:H243"/>
    <mergeCell ref="B220:H220"/>
    <mergeCell ref="B227:H227"/>
    <mergeCell ref="B60:H60"/>
    <mergeCell ref="B47:H47"/>
    <mergeCell ref="B53:H53"/>
    <mergeCell ref="B104:H104"/>
    <mergeCell ref="B90:H90"/>
    <mergeCell ref="B98:H98"/>
    <mergeCell ref="B84:H84"/>
    <mergeCell ref="B65:H65"/>
    <mergeCell ref="B70:H70"/>
  </mergeCells>
  <printOptions horizontalCentered="1"/>
  <pageMargins left="0.15" right="0.1" top="0.2" bottom="0.23" header="0.25" footer="0.08"/>
  <pageSetup paperSize="9" scale="95" pageOrder="overThenDown" orientation="portrait" r:id="rId1"/>
  <headerFooter alignWithMargins="0"/>
</worksheet>
</file>

<file path=xl/worksheets/sheet13.xml><?xml version="1.0" encoding="utf-8"?>
<worksheet xmlns="http://schemas.openxmlformats.org/spreadsheetml/2006/main" xmlns:r="http://schemas.openxmlformats.org/officeDocument/2006/relationships">
  <sheetPr>
    <tabColor rgb="FF00B050"/>
  </sheetPr>
  <dimension ref="A1:U494"/>
  <sheetViews>
    <sheetView showZeros="0" view="pageBreakPreview" zoomScaleSheetLayoutView="100" workbookViewId="0">
      <pane ySplit="3" topLeftCell="A35" activePane="bottomLeft" state="frozen"/>
      <selection activeCell="C31" sqref="C31:E31"/>
      <selection pane="bottomLeft" activeCell="A4" sqref="A4:XFD47"/>
    </sheetView>
  </sheetViews>
  <sheetFormatPr defaultColWidth="9.140625" defaultRowHeight="12.75"/>
  <cols>
    <col min="1" max="1" width="3.28515625" style="60" customWidth="1"/>
    <col min="2" max="2" width="22.28515625" style="60" bestFit="1" customWidth="1"/>
    <col min="3" max="5" width="7.7109375" style="60" customWidth="1"/>
    <col min="6" max="6" width="7.7109375" style="60" bestFit="1" customWidth="1"/>
    <col min="7" max="7" width="3.42578125" style="60" customWidth="1"/>
    <col min="8" max="8" width="8" style="60" customWidth="1"/>
    <col min="9" max="10" width="8.7109375" style="60" customWidth="1"/>
    <col min="11" max="11" width="6.42578125" style="60" bestFit="1" customWidth="1"/>
    <col min="12" max="12" width="7.140625" style="60" customWidth="1"/>
    <col min="13" max="13" width="6.28515625" style="60" customWidth="1"/>
    <col min="14" max="14" width="7.7109375" style="60" customWidth="1"/>
    <col min="15" max="16" width="6.42578125" style="60" customWidth="1"/>
    <col min="17" max="17" width="6" style="60" customWidth="1"/>
    <col min="18" max="18" width="5.42578125" style="60" customWidth="1"/>
    <col min="19" max="19" width="9.140625" style="60" bestFit="1" customWidth="1"/>
    <col min="20" max="20" width="7.7109375" style="60" bestFit="1" customWidth="1"/>
    <col min="21" max="21" width="3.28515625" style="60" bestFit="1" customWidth="1"/>
    <col min="22" max="16384" width="9.140625" style="60"/>
  </cols>
  <sheetData>
    <row r="1" spans="1:21" ht="21">
      <c r="A1" s="1875" t="s">
        <v>2547</v>
      </c>
      <c r="B1" s="1875"/>
      <c r="C1" s="1875"/>
      <c r="D1" s="1875"/>
      <c r="E1" s="1875"/>
      <c r="F1" s="1875"/>
      <c r="G1" s="1875"/>
      <c r="H1" s="1875"/>
      <c r="I1" s="1875"/>
      <c r="J1" s="1875"/>
      <c r="K1" s="1875"/>
      <c r="L1" s="1875"/>
      <c r="M1" s="1875"/>
      <c r="N1" s="1875"/>
      <c r="O1" s="1875"/>
      <c r="P1" s="1875"/>
      <c r="Q1" s="1875"/>
      <c r="R1" s="1875"/>
      <c r="S1" s="1875"/>
      <c r="T1" s="1875"/>
      <c r="U1" s="1875"/>
    </row>
    <row r="2" spans="1:21" ht="15.75" customHeight="1">
      <c r="A2" s="1877" t="str">
        <f>'SEIG P-A '!A2</f>
        <v>Name of the Work: Providing Additional Space for Agriculture Staff in  Baduguleru GP of Kanigiri Mandal</v>
      </c>
      <c r="B2" s="1877"/>
      <c r="C2" s="1877"/>
      <c r="D2" s="1877"/>
      <c r="E2" s="1877"/>
      <c r="F2" s="1877"/>
      <c r="G2" s="1877"/>
      <c r="H2" s="1877"/>
      <c r="I2" s="1877"/>
      <c r="J2" s="1877"/>
      <c r="K2" s="1877"/>
      <c r="L2" s="1877"/>
      <c r="M2" s="1877"/>
      <c r="N2" s="1877"/>
      <c r="O2" s="1877"/>
      <c r="P2" s="1877"/>
      <c r="Q2" s="1877"/>
      <c r="R2" s="1877"/>
      <c r="S2" s="1877"/>
      <c r="T2" s="1877"/>
      <c r="U2" s="1877"/>
    </row>
    <row r="3" spans="1:21" ht="38.25">
      <c r="A3" s="667" t="s">
        <v>23</v>
      </c>
      <c r="B3" s="667" t="s">
        <v>7</v>
      </c>
      <c r="C3" s="667" t="s">
        <v>220</v>
      </c>
      <c r="D3" s="667" t="s">
        <v>224</v>
      </c>
      <c r="E3" s="667" t="s">
        <v>905</v>
      </c>
      <c r="F3" s="1876" t="s">
        <v>227</v>
      </c>
      <c r="G3" s="1876"/>
      <c r="H3" s="667" t="s">
        <v>228</v>
      </c>
      <c r="I3" s="667" t="s">
        <v>229</v>
      </c>
      <c r="J3" s="667" t="s">
        <v>230</v>
      </c>
      <c r="K3" s="667" t="s">
        <v>234</v>
      </c>
      <c r="L3" s="219" t="s">
        <v>232</v>
      </c>
      <c r="M3" s="219" t="s">
        <v>231</v>
      </c>
      <c r="N3" s="219" t="s">
        <v>233</v>
      </c>
      <c r="O3" s="219" t="s">
        <v>135</v>
      </c>
      <c r="P3" s="219" t="s">
        <v>1191</v>
      </c>
      <c r="Q3" s="667" t="s">
        <v>41</v>
      </c>
      <c r="R3" s="667" t="s">
        <v>664</v>
      </c>
      <c r="S3" s="667" t="s">
        <v>420</v>
      </c>
      <c r="T3" s="667" t="s">
        <v>136</v>
      </c>
      <c r="U3" s="207"/>
    </row>
    <row r="48" spans="1:21" ht="27.75">
      <c r="A48" s="207"/>
      <c r="B48" s="207"/>
      <c r="C48" s="207"/>
      <c r="D48" s="207"/>
      <c r="E48" s="207"/>
      <c r="F48" s="82" t="s">
        <v>423</v>
      </c>
      <c r="G48" s="207"/>
      <c r="H48" s="292">
        <v>90</v>
      </c>
      <c r="I48" s="292">
        <v>90</v>
      </c>
      <c r="J48" s="292">
        <v>90</v>
      </c>
      <c r="K48" s="292">
        <v>90</v>
      </c>
      <c r="L48" s="292">
        <v>100</v>
      </c>
      <c r="M48" s="292">
        <v>100</v>
      </c>
      <c r="N48" s="292">
        <v>100</v>
      </c>
      <c r="O48" s="292">
        <v>100</v>
      </c>
      <c r="P48" s="292">
        <v>45</v>
      </c>
      <c r="Q48" s="292">
        <v>80</v>
      </c>
      <c r="R48" s="292">
        <v>45</v>
      </c>
      <c r="S48" s="369">
        <f>ROUND(('SEIG P-A '!S228*50)/1000,2)</f>
        <v>0</v>
      </c>
      <c r="T48" s="291" t="s">
        <v>29</v>
      </c>
      <c r="U48" s="207"/>
    </row>
    <row r="49" spans="1:21" ht="20.100000000000001" customHeight="1">
      <c r="A49" s="207"/>
      <c r="B49" s="207"/>
      <c r="C49" s="207"/>
      <c r="D49" s="207"/>
      <c r="E49" s="207"/>
      <c r="F49" s="207"/>
      <c r="G49" s="82" t="s">
        <v>104</v>
      </c>
      <c r="H49" s="209">
        <f>ROUND('SEIG P-A '!H228*H48,0)</f>
        <v>0</v>
      </c>
      <c r="I49" s="209">
        <f>ROUND('SEIG P-A '!I228*I48,0)</f>
        <v>0</v>
      </c>
      <c r="J49" s="209">
        <f>ROUND('SEIG P-A '!J228*J48,0)</f>
        <v>0</v>
      </c>
      <c r="K49" s="209">
        <f>ROUND('SEIG P-A '!K228*K48,0)</f>
        <v>0</v>
      </c>
      <c r="L49" s="209">
        <f>ROUND('SEIG P-A '!L228*L48,0)</f>
        <v>0</v>
      </c>
      <c r="M49" s="209">
        <f>ROUND('SEIG P-A '!M228*M48,0)</f>
        <v>0</v>
      </c>
      <c r="N49" s="209">
        <f>ROUND('SEIG P-A '!N228*N48,0)</f>
        <v>0</v>
      </c>
      <c r="O49" s="209">
        <f>ROUND('SEIG P-A '!O228*O48,0)</f>
        <v>0</v>
      </c>
      <c r="P49" s="209">
        <f>ROUND('SEIG P-A '!P228*P48,0)</f>
        <v>0</v>
      </c>
      <c r="Q49" s="209">
        <f>ROUND('SEIG P-A '!Q228*Q48,0)</f>
        <v>0</v>
      </c>
      <c r="R49" s="209">
        <f>ROUND('SEIG P-A '!R228*R48,0)</f>
        <v>0</v>
      </c>
      <c r="S49" s="369"/>
      <c r="T49" s="291"/>
      <c r="U49" s="207"/>
    </row>
    <row r="50" spans="1:21">
      <c r="A50" s="207"/>
      <c r="B50" s="207"/>
      <c r="C50" s="207"/>
      <c r="D50" s="207"/>
      <c r="E50" s="207"/>
      <c r="F50" s="291" t="s">
        <v>140</v>
      </c>
      <c r="G50" s="293" t="s">
        <v>104</v>
      </c>
      <c r="H50" s="294">
        <f>SUM(H49:R49)</f>
        <v>0</v>
      </c>
      <c r="I50" s="294"/>
      <c r="J50" s="294"/>
      <c r="K50" s="294"/>
      <c r="L50" s="207"/>
      <c r="M50" s="207"/>
      <c r="N50" s="207"/>
      <c r="O50" s="207"/>
      <c r="P50" s="207"/>
      <c r="Q50" s="207"/>
      <c r="R50" s="207"/>
      <c r="S50" s="295"/>
      <c r="T50" s="296"/>
      <c r="U50" s="207"/>
    </row>
    <row r="53" spans="1:21">
      <c r="N53" s="212"/>
      <c r="O53" s="212"/>
      <c r="P53" s="212"/>
      <c r="Q53" s="212"/>
      <c r="R53" s="212"/>
      <c r="S53" s="212"/>
      <c r="T53" s="212"/>
      <c r="U53" s="212"/>
    </row>
    <row r="54" spans="1:21">
      <c r="M54" s="55" t="str">
        <f>'lead 22-23 P-B'!H31</f>
        <v>Deputy Executive Engineer</v>
      </c>
      <c r="R54" s="55" t="str">
        <f>'lead 22-23 P-B'!K31</f>
        <v>Assistant  Engineer</v>
      </c>
    </row>
    <row r="55" spans="1:21">
      <c r="M55" s="55" t="str">
        <f>'lead 22-23 P-B'!H32</f>
        <v>PRI Sub Division</v>
      </c>
      <c r="N55" s="212"/>
      <c r="O55" s="212"/>
      <c r="P55" s="212"/>
      <c r="Q55" s="212"/>
      <c r="R55" s="55" t="str">
        <f>'lead 22-23 P-B'!K32</f>
        <v>Mandal Praja parishad</v>
      </c>
      <c r="S55" s="212"/>
      <c r="T55" s="212"/>
      <c r="U55" s="212"/>
    </row>
    <row r="56" spans="1:21">
      <c r="M56" s="55" t="str">
        <f>'lead 22-23 P-B'!H33</f>
        <v>Kanigiri</v>
      </c>
      <c r="N56" s="212"/>
      <c r="O56" s="212"/>
      <c r="P56" s="212"/>
      <c r="Q56" s="212"/>
      <c r="R56" s="55" t="str">
        <f>'lead 22-23 P-B'!K33</f>
        <v>Kanigiri</v>
      </c>
      <c r="S56" s="212"/>
      <c r="T56" s="212"/>
      <c r="U56" s="212"/>
    </row>
    <row r="494" spans="16:16">
      <c r="P494" s="60" t="s">
        <v>0</v>
      </c>
    </row>
  </sheetData>
  <autoFilter ref="A3:U47">
    <filterColumn colId="5" showButton="0"/>
  </autoFilter>
  <mergeCells count="3">
    <mergeCell ref="A1:U1"/>
    <mergeCell ref="F3:G3"/>
    <mergeCell ref="A2:U2"/>
  </mergeCells>
  <printOptions horizontalCentered="1"/>
  <pageMargins left="0.5" right="0.21" top="0.22" bottom="0.23" header="0.22" footer="0.16"/>
  <pageSetup paperSize="9" scale="71" orientation="landscape" r:id="rId1"/>
</worksheet>
</file>

<file path=xl/worksheets/sheet14.xml><?xml version="1.0" encoding="utf-8"?>
<worksheet xmlns="http://schemas.openxmlformats.org/spreadsheetml/2006/main" xmlns:r="http://schemas.openxmlformats.org/officeDocument/2006/relationships">
  <dimension ref="A1:H19"/>
  <sheetViews>
    <sheetView topLeftCell="A4" zoomScale="115" zoomScaleNormal="115" workbookViewId="0">
      <selection activeCell="H17" sqref="H17"/>
    </sheetView>
  </sheetViews>
  <sheetFormatPr defaultColWidth="9.140625" defaultRowHeight="12.75"/>
  <cols>
    <col min="1" max="1" width="9.140625" style="449"/>
    <col min="2" max="2" width="9.42578125" style="1149" bestFit="1" customWidth="1"/>
    <col min="3" max="6" width="9.140625" style="1149"/>
    <col min="7" max="7" width="9.140625" style="448"/>
    <col min="8" max="8" width="9.42578125" style="448" bestFit="1" customWidth="1"/>
    <col min="9" max="16384" width="9.140625" style="448"/>
  </cols>
  <sheetData>
    <row r="1" spans="1:8" s="1152" customFormat="1">
      <c r="A1" s="1150" t="s">
        <v>975</v>
      </c>
      <c r="B1" s="1151" t="s">
        <v>1554</v>
      </c>
      <c r="C1" s="1151" t="s">
        <v>1555</v>
      </c>
      <c r="D1" s="1151" t="s">
        <v>784</v>
      </c>
      <c r="E1" s="1151" t="s">
        <v>1556</v>
      </c>
      <c r="F1" s="1151" t="s">
        <v>783</v>
      </c>
    </row>
    <row r="2" spans="1:8" s="1152" customFormat="1">
      <c r="A2" s="1150">
        <v>5</v>
      </c>
      <c r="B2" s="1151">
        <v>1208.9000000000001</v>
      </c>
      <c r="C2" s="1151">
        <v>0</v>
      </c>
      <c r="D2" s="1151">
        <v>1278</v>
      </c>
      <c r="E2" s="1151">
        <v>206.4</v>
      </c>
      <c r="F2" s="1151">
        <v>0</v>
      </c>
      <c r="H2" s="1153"/>
    </row>
    <row r="3" spans="1:8" s="1152" customFormat="1">
      <c r="A3" s="1150"/>
      <c r="B3" s="1151">
        <f>ROUND(B2*0.395,2)</f>
        <v>477.52</v>
      </c>
      <c r="C3" s="1151">
        <f>ROUND(C2*0.62,2)</f>
        <v>0</v>
      </c>
      <c r="D3" s="1151">
        <f>ROUND(D2*0.89,2)</f>
        <v>1137.42</v>
      </c>
      <c r="E3" s="1151">
        <f>ROUND(E2*1.58,2)</f>
        <v>326.11</v>
      </c>
      <c r="F3" s="1151">
        <f>ROUND(F2*2.47,2)</f>
        <v>0</v>
      </c>
      <c r="G3" s="1152" t="s">
        <v>152</v>
      </c>
      <c r="H3" s="1154">
        <f>SUM(B3:F3)</f>
        <v>1941.0500000000002</v>
      </c>
    </row>
    <row r="4" spans="1:8" s="1152" customFormat="1">
      <c r="A4" s="1150"/>
      <c r="B4" s="1151"/>
      <c r="C4" s="1151"/>
      <c r="D4" s="1151"/>
      <c r="E4" s="1151"/>
      <c r="F4" s="1151"/>
      <c r="H4" s="1155"/>
    </row>
    <row r="5" spans="1:8" s="1152" customFormat="1">
      <c r="A5" s="1150">
        <v>18</v>
      </c>
      <c r="B5" s="1151">
        <v>1253.1500000000001</v>
      </c>
      <c r="C5" s="1151">
        <v>0</v>
      </c>
      <c r="D5" s="1151">
        <v>216.6</v>
      </c>
      <c r="E5" s="1151">
        <v>134.5</v>
      </c>
      <c r="F5" s="1151">
        <v>0</v>
      </c>
      <c r="H5" s="1153"/>
    </row>
    <row r="6" spans="1:8" s="1152" customFormat="1">
      <c r="A6" s="1150"/>
      <c r="B6" s="1151">
        <f>ROUND(B5*0.395,2)</f>
        <v>494.99</v>
      </c>
      <c r="C6" s="1151">
        <f>ROUND(C5*0.62,2)</f>
        <v>0</v>
      </c>
      <c r="D6" s="1151">
        <f>ROUND(D5*0.89,2)</f>
        <v>192.77</v>
      </c>
      <c r="E6" s="1151">
        <f>ROUND(E5*1.58,2)</f>
        <v>212.51</v>
      </c>
      <c r="F6" s="1151">
        <f>ROUND(F5*2.47,2)</f>
        <v>0</v>
      </c>
      <c r="G6" s="1152" t="s">
        <v>1557</v>
      </c>
      <c r="H6" s="1154">
        <f>SUM(B6:F6)</f>
        <v>900.27</v>
      </c>
    </row>
    <row r="7" spans="1:8" s="1152" customFormat="1">
      <c r="A7" s="1150"/>
      <c r="B7" s="1151"/>
      <c r="C7" s="1151"/>
      <c r="D7" s="1151"/>
      <c r="E7" s="1151"/>
      <c r="F7" s="1151"/>
      <c r="H7" s="1154"/>
    </row>
    <row r="8" spans="1:8" s="1152" customFormat="1">
      <c r="A8" s="1150">
        <v>27</v>
      </c>
      <c r="B8" s="1151">
        <v>3116.54</v>
      </c>
      <c r="C8" s="1151">
        <v>0</v>
      </c>
      <c r="D8" s="1151">
        <v>289.85000000000002</v>
      </c>
      <c r="E8" s="1151">
        <v>248</v>
      </c>
      <c r="F8" s="1151">
        <v>0</v>
      </c>
      <c r="H8" s="1153"/>
    </row>
    <row r="9" spans="1:8" s="1152" customFormat="1">
      <c r="A9" s="1150"/>
      <c r="B9" s="1151">
        <f>ROUND(B8*0.395,2)</f>
        <v>1231.03</v>
      </c>
      <c r="C9" s="1151">
        <f>ROUND(C8*0.62,2)</f>
        <v>0</v>
      </c>
      <c r="D9" s="1151">
        <f>ROUND(D8*0.89,2)</f>
        <v>257.97000000000003</v>
      </c>
      <c r="E9" s="1151">
        <f>ROUND(E8*1.58,2)</f>
        <v>391.84</v>
      </c>
      <c r="F9" s="1151">
        <f>ROUND(F8*2.47,2)</f>
        <v>0</v>
      </c>
      <c r="G9" s="1152" t="s">
        <v>3391</v>
      </c>
      <c r="H9" s="1154">
        <f>SUM(B9:F9)</f>
        <v>1880.84</v>
      </c>
    </row>
    <row r="10" spans="1:8" s="1152" customFormat="1">
      <c r="A10" s="1150"/>
      <c r="B10" s="1151"/>
      <c r="C10" s="1151"/>
      <c r="D10" s="1151"/>
      <c r="E10" s="1151"/>
      <c r="F10" s="1151"/>
    </row>
    <row r="11" spans="1:8" s="1152" customFormat="1">
      <c r="A11" s="1150">
        <v>35</v>
      </c>
      <c r="B11" s="1151">
        <v>63</v>
      </c>
      <c r="C11" s="1151">
        <v>0</v>
      </c>
      <c r="D11" s="1151">
        <v>60.8</v>
      </c>
      <c r="E11" s="1151">
        <v>0</v>
      </c>
      <c r="F11" s="1151">
        <v>0</v>
      </c>
      <c r="H11" s="1153"/>
    </row>
    <row r="12" spans="1:8" s="1152" customFormat="1">
      <c r="A12" s="1150"/>
      <c r="B12" s="1151">
        <f>ROUND(B11*0.395,2)</f>
        <v>24.89</v>
      </c>
      <c r="C12" s="1151">
        <f>ROUND(C11*0.62,2)</f>
        <v>0</v>
      </c>
      <c r="D12" s="1151">
        <f>ROUND(D11*0.89,2)</f>
        <v>54.11</v>
      </c>
      <c r="E12" s="1151">
        <f>ROUND(E11*1.58,2)</f>
        <v>0</v>
      </c>
      <c r="F12" s="1151">
        <f>ROUND(F11*2.47,2)</f>
        <v>0</v>
      </c>
      <c r="H12" s="1154">
        <f>SUM(B12:F12)</f>
        <v>79</v>
      </c>
    </row>
    <row r="13" spans="1:8" s="1152" customFormat="1">
      <c r="A13" s="1150"/>
      <c r="B13" s="1151"/>
      <c r="C13" s="1151"/>
      <c r="D13" s="1151"/>
      <c r="E13" s="1151"/>
      <c r="F13" s="1151"/>
      <c r="H13" s="1154"/>
    </row>
    <row r="14" spans="1:8" s="1152" customFormat="1">
      <c r="A14" s="1150">
        <v>42</v>
      </c>
      <c r="B14" s="1151">
        <v>299.89999999999998</v>
      </c>
      <c r="C14" s="1151">
        <v>0</v>
      </c>
      <c r="D14" s="1151">
        <v>182.22</v>
      </c>
      <c r="E14" s="1151">
        <v>0</v>
      </c>
      <c r="F14" s="1151">
        <v>0</v>
      </c>
      <c r="H14" s="1153"/>
    </row>
    <row r="15" spans="1:8" s="1152" customFormat="1">
      <c r="A15" s="1150"/>
      <c r="B15" s="1151">
        <f>ROUND(B14*0.395,2)</f>
        <v>118.46</v>
      </c>
      <c r="C15" s="1151">
        <f>ROUND(C14*0.62,2)</f>
        <v>0</v>
      </c>
      <c r="D15" s="1151">
        <f>ROUND(D14*0.89,2)</f>
        <v>162.18</v>
      </c>
      <c r="E15" s="1151">
        <f>ROUND(E14*1.58,2)</f>
        <v>0</v>
      </c>
      <c r="F15" s="1151">
        <f>ROUND(F14*2.47,2)</f>
        <v>0</v>
      </c>
      <c r="G15" s="1152" t="s">
        <v>3392</v>
      </c>
      <c r="H15" s="1154">
        <f>SUM(B15:F15)</f>
        <v>280.64</v>
      </c>
    </row>
    <row r="16" spans="1:8" s="1152" customFormat="1">
      <c r="A16" s="1150"/>
      <c r="B16" s="1151"/>
      <c r="C16" s="1151"/>
      <c r="D16" s="1151"/>
      <c r="E16" s="1151"/>
      <c r="F16" s="1151"/>
      <c r="H16" s="1154"/>
    </row>
    <row r="17" spans="1:8" s="1152" customFormat="1">
      <c r="A17" s="1150">
        <v>47</v>
      </c>
      <c r="B17" s="1151">
        <v>94</v>
      </c>
      <c r="C17" s="1151">
        <v>0</v>
      </c>
      <c r="D17" s="1151">
        <v>0</v>
      </c>
      <c r="E17" s="1151">
        <v>0</v>
      </c>
      <c r="F17" s="1151">
        <v>0</v>
      </c>
      <c r="H17" s="1153"/>
    </row>
    <row r="18" spans="1:8" s="1152" customFormat="1">
      <c r="A18" s="1150"/>
      <c r="B18" s="1151">
        <f>ROUND(B17*0.395,2)</f>
        <v>37.130000000000003</v>
      </c>
      <c r="C18" s="1151">
        <f>ROUND(C17*0.62,2)</f>
        <v>0</v>
      </c>
      <c r="D18" s="1151">
        <f>ROUND(D17*0.89,2)</f>
        <v>0</v>
      </c>
      <c r="E18" s="1151">
        <f>ROUND(E17*1.58,2)</f>
        <v>0</v>
      </c>
      <c r="F18" s="1151">
        <f>ROUND(F17*2.47,2)</f>
        <v>0</v>
      </c>
      <c r="G18" s="1152" t="s">
        <v>3392</v>
      </c>
      <c r="H18" s="1154">
        <f>SUM(B18:F18)</f>
        <v>37.130000000000003</v>
      </c>
    </row>
    <row r="19" spans="1:8" s="1152" customFormat="1">
      <c r="A19" s="1150"/>
      <c r="B19" s="1151"/>
      <c r="C19" s="1151"/>
      <c r="D19" s="1151"/>
      <c r="E19" s="1151"/>
      <c r="F19" s="1151"/>
      <c r="H19" s="1154"/>
    </row>
  </sheetData>
  <pageMargins left="0.7" right="0.7" top="0.75" bottom="0.75" header="0.3" footer="0.3"/>
  <pageSetup orientation="portrait" verticalDpi="0" r:id="rId1"/>
</worksheet>
</file>

<file path=xl/worksheets/sheet15.xml><?xml version="1.0" encoding="utf-8"?>
<worksheet xmlns="http://schemas.openxmlformats.org/spreadsheetml/2006/main" xmlns:r="http://schemas.openxmlformats.org/officeDocument/2006/relationships">
  <sheetPr filterMode="1">
    <tabColor rgb="FF00B050"/>
  </sheetPr>
  <dimension ref="A1:U676"/>
  <sheetViews>
    <sheetView showZeros="0" view="pageBreakPreview" zoomScaleSheetLayoutView="100" workbookViewId="0">
      <pane ySplit="3" topLeftCell="A39" activePane="bottomLeft" state="frozen"/>
      <selection activeCell="A230" sqref="A230"/>
      <selection pane="bottomLeft" activeCell="J39" sqref="J39"/>
    </sheetView>
  </sheetViews>
  <sheetFormatPr defaultColWidth="9.140625" defaultRowHeight="12.75"/>
  <cols>
    <col min="1" max="1" width="3.28515625" style="1173" customWidth="1"/>
    <col min="2" max="2" width="22.28515625" style="1173" bestFit="1" customWidth="1"/>
    <col min="3" max="5" width="7.7109375" style="1173" customWidth="1"/>
    <col min="6" max="6" width="7.7109375" style="1173" bestFit="1" customWidth="1"/>
    <col min="7" max="7" width="3.42578125" style="1173" customWidth="1"/>
    <col min="8" max="8" width="8" style="1173" customWidth="1"/>
    <col min="9" max="10" width="8.7109375" style="1173" customWidth="1"/>
    <col min="11" max="11" width="6.42578125" style="1173" bestFit="1" customWidth="1"/>
    <col min="12" max="12" width="7.140625" style="1173" customWidth="1"/>
    <col min="13" max="13" width="6.28515625" style="1173" customWidth="1"/>
    <col min="14" max="14" width="7.7109375" style="1173" customWidth="1"/>
    <col min="15" max="16" width="6.42578125" style="1173" customWidth="1"/>
    <col min="17" max="17" width="6" style="1173" customWidth="1"/>
    <col min="18" max="18" width="5.42578125" style="1173" customWidth="1"/>
    <col min="19" max="19" width="9.140625" style="1173" bestFit="1" customWidth="1"/>
    <col min="20" max="20" width="7.7109375" style="1173" bestFit="1" customWidth="1"/>
    <col min="21" max="21" width="3.28515625" style="1173" bestFit="1" customWidth="1"/>
    <col min="22" max="16384" width="9.140625" style="1173"/>
  </cols>
  <sheetData>
    <row r="1" spans="1:21" ht="21">
      <c r="A1" s="1878" t="s">
        <v>2278</v>
      </c>
      <c r="B1" s="1878"/>
      <c r="C1" s="1878"/>
      <c r="D1" s="1878"/>
      <c r="E1" s="1878"/>
      <c r="F1" s="1878"/>
      <c r="G1" s="1878"/>
      <c r="H1" s="1878"/>
      <c r="I1" s="1878"/>
      <c r="J1" s="1878"/>
      <c r="K1" s="1878"/>
      <c r="L1" s="1878"/>
      <c r="M1" s="1878"/>
      <c r="N1" s="1878"/>
      <c r="O1" s="1878"/>
      <c r="P1" s="1878"/>
      <c r="Q1" s="1878"/>
      <c r="R1" s="1878"/>
      <c r="S1" s="1878"/>
      <c r="T1" s="1878"/>
      <c r="U1" s="1878"/>
    </row>
    <row r="2" spans="1:21" ht="15.75" customHeight="1">
      <c r="A2" s="1174" t="str">
        <f>'lead 19-20'!B2&amp;'lead 19-20'!C2</f>
        <v>Name of the Work: Providing Additional Space for Agriculture Staff in  Baduguleru GP of Kanigiri Mandal</v>
      </c>
      <c r="B2" s="1416"/>
      <c r="C2" s="1416"/>
      <c r="D2" s="1416"/>
      <c r="E2" s="1416"/>
      <c r="F2" s="1416"/>
      <c r="G2" s="1416"/>
      <c r="H2" s="1416"/>
      <c r="I2" s="1416"/>
      <c r="J2" s="1416"/>
      <c r="K2" s="1416"/>
      <c r="L2" s="1416"/>
      <c r="M2" s="1416"/>
      <c r="N2" s="1416"/>
      <c r="O2" s="1416"/>
      <c r="P2" s="1416"/>
      <c r="Q2" s="1416"/>
      <c r="R2" s="1416"/>
      <c r="S2" s="1416"/>
      <c r="T2" s="1416"/>
      <c r="U2" s="1416"/>
    </row>
    <row r="3" spans="1:21" ht="38.25">
      <c r="A3" s="1417" t="s">
        <v>23</v>
      </c>
      <c r="B3" s="1417" t="s">
        <v>7</v>
      </c>
      <c r="C3" s="1417" t="s">
        <v>220</v>
      </c>
      <c r="D3" s="1417" t="s">
        <v>224</v>
      </c>
      <c r="E3" s="1417" t="s">
        <v>905</v>
      </c>
      <c r="F3" s="1879" t="s">
        <v>227</v>
      </c>
      <c r="G3" s="1879"/>
      <c r="H3" s="1417" t="s">
        <v>228</v>
      </c>
      <c r="I3" s="1417" t="s">
        <v>229</v>
      </c>
      <c r="J3" s="1417" t="s">
        <v>230</v>
      </c>
      <c r="K3" s="1417" t="s">
        <v>234</v>
      </c>
      <c r="L3" s="1175" t="s">
        <v>232</v>
      </c>
      <c r="M3" s="1175" t="s">
        <v>231</v>
      </c>
      <c r="N3" s="1175" t="s">
        <v>233</v>
      </c>
      <c r="O3" s="1175" t="s">
        <v>135</v>
      </c>
      <c r="P3" s="1175" t="s">
        <v>1191</v>
      </c>
      <c r="Q3" s="1417" t="s">
        <v>41</v>
      </c>
      <c r="R3" s="1417" t="s">
        <v>664</v>
      </c>
      <c r="S3" s="1417" t="s">
        <v>420</v>
      </c>
      <c r="T3" s="1417" t="s">
        <v>136</v>
      </c>
      <c r="U3" s="1163"/>
    </row>
    <row r="4" spans="1:21" s="1161" customFormat="1" ht="15.75">
      <c r="A4" s="1176"/>
      <c r="B4" s="1177" t="s">
        <v>2021</v>
      </c>
      <c r="C4" s="1178"/>
      <c r="D4" s="1179"/>
      <c r="E4" s="1180"/>
      <c r="F4" s="1181">
        <v>1</v>
      </c>
      <c r="G4" s="1182"/>
      <c r="H4" s="1176"/>
      <c r="I4" s="1183"/>
      <c r="J4" s="1184"/>
      <c r="K4" s="1176"/>
      <c r="L4" s="1182"/>
      <c r="M4" s="1176"/>
    </row>
    <row r="5" spans="1:21" ht="18" hidden="1" customHeight="1">
      <c r="A5" s="1185">
        <v>1</v>
      </c>
      <c r="B5" s="1163" t="s">
        <v>101</v>
      </c>
      <c r="C5" s="1543"/>
      <c r="D5" s="1163"/>
      <c r="E5" s="1163"/>
      <c r="F5" s="1186">
        <f>C5+D5</f>
        <v>0</v>
      </c>
      <c r="G5" s="1186" t="s">
        <v>421</v>
      </c>
      <c r="H5" s="1185">
        <v>0</v>
      </c>
      <c r="I5" s="1185">
        <v>0</v>
      </c>
      <c r="J5" s="1185">
        <v>0</v>
      </c>
      <c r="K5" s="1185">
        <v>0</v>
      </c>
      <c r="L5" s="1185">
        <v>0</v>
      </c>
      <c r="M5" s="1185">
        <v>0</v>
      </c>
      <c r="N5" s="1185">
        <v>0</v>
      </c>
      <c r="O5" s="1187">
        <v>0</v>
      </c>
      <c r="P5" s="1187">
        <v>0</v>
      </c>
      <c r="Q5" s="1185">
        <v>0</v>
      </c>
      <c r="R5" s="1188">
        <f>F5</f>
        <v>0</v>
      </c>
      <c r="S5" s="1189">
        <v>0</v>
      </c>
      <c r="T5" s="1163">
        <v>0</v>
      </c>
      <c r="U5" s="1163"/>
    </row>
    <row r="6" spans="1:21" ht="20.100000000000001" customHeight="1">
      <c r="A6" s="1185">
        <v>1</v>
      </c>
      <c r="B6" s="1163" t="s">
        <v>135</v>
      </c>
      <c r="C6" s="1186">
        <f>WORK!I223</f>
        <v>99.320000000000007</v>
      </c>
      <c r="D6" s="1163"/>
      <c r="E6" s="1163"/>
      <c r="F6" s="1186">
        <f t="shared" ref="F6:F45" si="0">SUM(C6:E6)</f>
        <v>99.320000000000007</v>
      </c>
      <c r="G6" s="1186" t="s">
        <v>421</v>
      </c>
      <c r="H6" s="1185">
        <v>0</v>
      </c>
      <c r="I6" s="1185">
        <v>0</v>
      </c>
      <c r="J6" s="1185">
        <v>0</v>
      </c>
      <c r="K6" s="1185">
        <v>0</v>
      </c>
      <c r="L6" s="1185">
        <v>0</v>
      </c>
      <c r="M6" s="1185">
        <v>0</v>
      </c>
      <c r="N6" s="1185">
        <v>0</v>
      </c>
      <c r="O6" s="1188">
        <f>F6</f>
        <v>99.320000000000007</v>
      </c>
      <c r="P6" s="1187">
        <v>0</v>
      </c>
      <c r="Q6" s="1185">
        <v>0</v>
      </c>
      <c r="R6" s="1187">
        <v>0</v>
      </c>
      <c r="S6" s="1189">
        <v>0</v>
      </c>
      <c r="T6" s="1163">
        <v>0</v>
      </c>
      <c r="U6" s="1163"/>
    </row>
    <row r="7" spans="1:21" ht="20.100000000000001" customHeight="1">
      <c r="A7" s="1185">
        <v>2</v>
      </c>
      <c r="B7" s="1163" t="s">
        <v>1192</v>
      </c>
      <c r="C7" s="1186">
        <f>WORK!I170</f>
        <v>13.280000000000001</v>
      </c>
      <c r="D7" s="1163"/>
      <c r="E7" s="1163"/>
      <c r="F7" s="1186">
        <f t="shared" si="0"/>
        <v>13.280000000000001</v>
      </c>
      <c r="G7" s="1186" t="s">
        <v>421</v>
      </c>
      <c r="H7" s="1185">
        <v>0</v>
      </c>
      <c r="I7" s="1185">
        <v>0</v>
      </c>
      <c r="J7" s="1185">
        <v>0</v>
      </c>
      <c r="K7" s="1185">
        <v>0</v>
      </c>
      <c r="L7" s="1185">
        <v>0</v>
      </c>
      <c r="M7" s="1185">
        <v>0</v>
      </c>
      <c r="N7" s="1185">
        <v>0</v>
      </c>
      <c r="O7" s="1187">
        <v>0</v>
      </c>
      <c r="P7" s="1188">
        <f>F7</f>
        <v>13.280000000000001</v>
      </c>
      <c r="Q7" s="1185">
        <v>0</v>
      </c>
      <c r="R7" s="1187">
        <v>0</v>
      </c>
      <c r="S7" s="1189">
        <v>0</v>
      </c>
      <c r="T7" s="1163">
        <v>0</v>
      </c>
      <c r="U7" s="1163"/>
    </row>
    <row r="8" spans="1:21" ht="20.100000000000001" hidden="1" customHeight="1">
      <c r="A8" s="1185">
        <v>4</v>
      </c>
      <c r="B8" s="1163" t="s">
        <v>663</v>
      </c>
      <c r="C8" s="1186">
        <f>WORK!I194</f>
        <v>0</v>
      </c>
      <c r="D8" s="1163"/>
      <c r="E8" s="1163"/>
      <c r="F8" s="1186">
        <f t="shared" si="0"/>
        <v>0</v>
      </c>
      <c r="G8" s="1186" t="s">
        <v>421</v>
      </c>
      <c r="H8" s="1185">
        <v>0</v>
      </c>
      <c r="I8" s="1185">
        <v>0</v>
      </c>
      <c r="J8" s="1185">
        <v>0</v>
      </c>
      <c r="K8" s="1185">
        <v>0</v>
      </c>
      <c r="L8" s="1185">
        <v>0</v>
      </c>
      <c r="M8" s="1185">
        <v>0</v>
      </c>
      <c r="N8" s="1185">
        <v>0</v>
      </c>
      <c r="O8" s="1187">
        <v>0</v>
      </c>
      <c r="P8" s="1188"/>
      <c r="Q8" s="1185">
        <v>0</v>
      </c>
      <c r="R8" s="1188">
        <f>F8</f>
        <v>0</v>
      </c>
      <c r="S8" s="1189">
        <v>0</v>
      </c>
      <c r="T8" s="1163">
        <v>0</v>
      </c>
      <c r="U8" s="1163"/>
    </row>
    <row r="9" spans="1:21" ht="20.100000000000001" customHeight="1">
      <c r="A9" s="1185">
        <v>3</v>
      </c>
      <c r="B9" s="1163" t="s">
        <v>235</v>
      </c>
      <c r="C9" s="1186">
        <f>WORK!I96</f>
        <v>22.029999999999998</v>
      </c>
      <c r="D9" s="1163"/>
      <c r="E9" s="1163"/>
      <c r="F9" s="1186">
        <f t="shared" si="0"/>
        <v>22.029999999999998</v>
      </c>
      <c r="G9" s="1186" t="s">
        <v>421</v>
      </c>
      <c r="H9" s="1188">
        <f>ROUND(F9*0.9,2)</f>
        <v>19.829999999999998</v>
      </c>
      <c r="I9" s="1187">
        <v>0</v>
      </c>
      <c r="J9" s="1187">
        <v>0</v>
      </c>
      <c r="K9" s="1185">
        <v>0</v>
      </c>
      <c r="L9" s="1188">
        <f>ROUND(F9*0.45,2)</f>
        <v>9.91</v>
      </c>
      <c r="M9" s="1185">
        <v>0</v>
      </c>
      <c r="N9" s="1185">
        <v>0</v>
      </c>
      <c r="O9" s="1187">
        <v>0</v>
      </c>
      <c r="P9" s="1187">
        <v>0</v>
      </c>
      <c r="Q9" s="1187">
        <v>0</v>
      </c>
      <c r="R9" s="1187">
        <v>0</v>
      </c>
      <c r="S9" s="1190">
        <f t="shared" ref="S9:S45" si="1">ROUND(F9*T9/50,2)</f>
        <v>71.38</v>
      </c>
      <c r="T9" s="1186">
        <v>162</v>
      </c>
      <c r="U9" s="1188" t="s">
        <v>4</v>
      </c>
    </row>
    <row r="10" spans="1:21" ht="20.100000000000001" hidden="1" customHeight="1">
      <c r="A10" s="1185">
        <v>6</v>
      </c>
      <c r="B10" s="1163" t="s">
        <v>446</v>
      </c>
      <c r="C10" s="1186">
        <f>WORK!I137</f>
        <v>0</v>
      </c>
      <c r="D10" s="1163"/>
      <c r="E10" s="1163"/>
      <c r="F10" s="1186">
        <f t="shared" si="0"/>
        <v>0</v>
      </c>
      <c r="G10" s="1186" t="s">
        <v>421</v>
      </c>
      <c r="H10" s="1188">
        <f>ROUND(F10*0.9,2)</f>
        <v>0</v>
      </c>
      <c r="I10" s="1187">
        <v>0</v>
      </c>
      <c r="J10" s="1187">
        <v>0</v>
      </c>
      <c r="K10" s="1185">
        <v>0</v>
      </c>
      <c r="L10" s="1188">
        <f>ROUND(F10*0.45,2)</f>
        <v>0</v>
      </c>
      <c r="M10" s="1185">
        <v>0</v>
      </c>
      <c r="N10" s="1185">
        <v>0</v>
      </c>
      <c r="O10" s="1187">
        <v>0</v>
      </c>
      <c r="P10" s="1187">
        <v>0</v>
      </c>
      <c r="Q10" s="1187">
        <v>0</v>
      </c>
      <c r="R10" s="1187">
        <v>0</v>
      </c>
      <c r="S10" s="1190">
        <f t="shared" si="1"/>
        <v>0</v>
      </c>
      <c r="T10" s="1186">
        <v>129.6</v>
      </c>
      <c r="U10" s="1188" t="s">
        <v>4</v>
      </c>
    </row>
    <row r="11" spans="1:21" ht="20.100000000000001" customHeight="1">
      <c r="A11" s="1185">
        <v>4</v>
      </c>
      <c r="B11" s="1163" t="s">
        <v>132</v>
      </c>
      <c r="C11" s="1186">
        <f>WORK!I291</f>
        <v>11.870000000000001</v>
      </c>
      <c r="D11" s="1163"/>
      <c r="E11" s="1163"/>
      <c r="F11" s="1186">
        <f t="shared" si="0"/>
        <v>11.870000000000001</v>
      </c>
      <c r="G11" s="1186" t="s">
        <v>421</v>
      </c>
      <c r="H11" s="1187">
        <v>0</v>
      </c>
      <c r="I11" s="1188">
        <f t="shared" ref="I11:I21" si="2">ROUND(F11*0.8,2)</f>
        <v>9.5</v>
      </c>
      <c r="J11" s="1187">
        <v>0</v>
      </c>
      <c r="K11" s="1185">
        <v>0</v>
      </c>
      <c r="L11" s="1188">
        <f t="shared" ref="L11:L21" si="3">ROUND(F11*0.4,2)</f>
        <v>4.75</v>
      </c>
      <c r="M11" s="1185">
        <v>0</v>
      </c>
      <c r="N11" s="1185">
        <v>0</v>
      </c>
      <c r="O11" s="1187">
        <v>0</v>
      </c>
      <c r="P11" s="1187">
        <v>0</v>
      </c>
      <c r="Q11" s="1187">
        <v>0</v>
      </c>
      <c r="R11" s="1187">
        <v>0</v>
      </c>
      <c r="S11" s="1190">
        <f t="shared" si="1"/>
        <v>80.72</v>
      </c>
      <c r="T11" s="1186">
        <f>data!E110</f>
        <v>340</v>
      </c>
      <c r="U11" s="1188" t="s">
        <v>4</v>
      </c>
    </row>
    <row r="12" spans="1:21" ht="20.100000000000001" customHeight="1">
      <c r="A12" s="1185">
        <v>5</v>
      </c>
      <c r="B12" s="1163" t="s">
        <v>133</v>
      </c>
      <c r="C12" s="1186">
        <f>WORK!I311</f>
        <v>1.28</v>
      </c>
      <c r="D12" s="1163"/>
      <c r="E12" s="1163"/>
      <c r="F12" s="1186">
        <f t="shared" si="0"/>
        <v>1.28</v>
      </c>
      <c r="G12" s="1186" t="s">
        <v>421</v>
      </c>
      <c r="H12" s="1187">
        <v>0</v>
      </c>
      <c r="I12" s="1188">
        <f t="shared" si="2"/>
        <v>1.02</v>
      </c>
      <c r="J12" s="1187">
        <v>0</v>
      </c>
      <c r="K12" s="1185">
        <v>0</v>
      </c>
      <c r="L12" s="1188">
        <f t="shared" si="3"/>
        <v>0.51</v>
      </c>
      <c r="M12" s="1185">
        <v>0</v>
      </c>
      <c r="N12" s="1185">
        <v>0</v>
      </c>
      <c r="O12" s="1187">
        <v>0</v>
      </c>
      <c r="P12" s="1187">
        <v>0</v>
      </c>
      <c r="Q12" s="1187">
        <v>0</v>
      </c>
      <c r="R12" s="1187">
        <v>0</v>
      </c>
      <c r="S12" s="1190">
        <f t="shared" si="1"/>
        <v>8.6999999999999993</v>
      </c>
      <c r="T12" s="1186">
        <f>$T$11</f>
        <v>340</v>
      </c>
      <c r="U12" s="1188" t="s">
        <v>4</v>
      </c>
    </row>
    <row r="13" spans="1:21" ht="20.100000000000001" customHeight="1">
      <c r="A13" s="1185">
        <v>6</v>
      </c>
      <c r="B13" s="1163" t="s">
        <v>127</v>
      </c>
      <c r="C13" s="1186">
        <f>WORK!I342</f>
        <v>5.7099999999999991</v>
      </c>
      <c r="D13" s="1186">
        <f>FF!I16</f>
        <v>0</v>
      </c>
      <c r="E13" s="1186">
        <f>SF!I14</f>
        <v>0</v>
      </c>
      <c r="F13" s="1186">
        <f t="shared" si="0"/>
        <v>5.7099999999999991</v>
      </c>
      <c r="G13" s="1186" t="s">
        <v>421</v>
      </c>
      <c r="H13" s="1187">
        <v>0</v>
      </c>
      <c r="I13" s="1188">
        <f t="shared" si="2"/>
        <v>4.57</v>
      </c>
      <c r="J13" s="1187">
        <v>0</v>
      </c>
      <c r="K13" s="1185">
        <v>0</v>
      </c>
      <c r="L13" s="1188">
        <f t="shared" si="3"/>
        <v>2.2799999999999998</v>
      </c>
      <c r="M13" s="1185">
        <v>0</v>
      </c>
      <c r="N13" s="1185">
        <v>0</v>
      </c>
      <c r="O13" s="1187">
        <v>0</v>
      </c>
      <c r="P13" s="1187">
        <v>0</v>
      </c>
      <c r="Q13" s="1187">
        <v>0</v>
      </c>
      <c r="R13" s="1187">
        <v>0</v>
      </c>
      <c r="S13" s="1190">
        <f t="shared" si="1"/>
        <v>38.83</v>
      </c>
      <c r="T13" s="1186">
        <f>$T$11</f>
        <v>340</v>
      </c>
      <c r="U13" s="1188" t="s">
        <v>4</v>
      </c>
    </row>
    <row r="14" spans="1:21" ht="20.100000000000001" customHeight="1">
      <c r="A14" s="1185">
        <v>7</v>
      </c>
      <c r="B14" s="1163" t="s">
        <v>128</v>
      </c>
      <c r="C14" s="1186">
        <f>WORK!I384</f>
        <v>5.8000000000000007</v>
      </c>
      <c r="D14" s="1163"/>
      <c r="E14" s="1163"/>
      <c r="F14" s="1186">
        <f t="shared" si="0"/>
        <v>5.8000000000000007</v>
      </c>
      <c r="G14" s="1186" t="s">
        <v>421</v>
      </c>
      <c r="H14" s="1187">
        <v>0</v>
      </c>
      <c r="I14" s="1188">
        <f t="shared" si="2"/>
        <v>4.6399999999999997</v>
      </c>
      <c r="J14" s="1187">
        <v>0</v>
      </c>
      <c r="K14" s="1185">
        <v>0</v>
      </c>
      <c r="L14" s="1188">
        <f t="shared" si="3"/>
        <v>2.3199999999999998</v>
      </c>
      <c r="M14" s="1185">
        <v>0</v>
      </c>
      <c r="N14" s="1185">
        <v>0</v>
      </c>
      <c r="O14" s="1187">
        <v>0</v>
      </c>
      <c r="P14" s="1187">
        <v>0</v>
      </c>
      <c r="Q14" s="1187">
        <v>0</v>
      </c>
      <c r="R14" s="1187">
        <v>0</v>
      </c>
      <c r="S14" s="1190">
        <f t="shared" si="1"/>
        <v>39.44</v>
      </c>
      <c r="T14" s="1186">
        <f>$T$11</f>
        <v>340</v>
      </c>
      <c r="U14" s="1188" t="s">
        <v>4</v>
      </c>
    </row>
    <row r="15" spans="1:21" ht="20.100000000000001" customHeight="1">
      <c r="A15" s="1185">
        <v>8</v>
      </c>
      <c r="B15" s="1163" t="s">
        <v>131</v>
      </c>
      <c r="C15" s="1186">
        <f>WORK!I428</f>
        <v>6.2000000000000011</v>
      </c>
      <c r="D15" s="1186">
        <f>FF!I59</f>
        <v>0</v>
      </c>
      <c r="E15" s="1186">
        <f>SF!I39</f>
        <v>0</v>
      </c>
      <c r="F15" s="1186">
        <f t="shared" si="0"/>
        <v>6.2000000000000011</v>
      </c>
      <c r="G15" s="1186" t="s">
        <v>421</v>
      </c>
      <c r="H15" s="1187">
        <v>0</v>
      </c>
      <c r="I15" s="1188">
        <f t="shared" si="2"/>
        <v>4.96</v>
      </c>
      <c r="J15" s="1187">
        <v>0</v>
      </c>
      <c r="K15" s="1185">
        <v>0</v>
      </c>
      <c r="L15" s="1188">
        <f t="shared" si="3"/>
        <v>2.48</v>
      </c>
      <c r="M15" s="1185">
        <v>0</v>
      </c>
      <c r="N15" s="1185">
        <v>0</v>
      </c>
      <c r="O15" s="1187">
        <v>0</v>
      </c>
      <c r="P15" s="1187">
        <v>0</v>
      </c>
      <c r="Q15" s="1187">
        <v>0</v>
      </c>
      <c r="R15" s="1187">
        <v>0</v>
      </c>
      <c r="S15" s="1190">
        <f t="shared" si="1"/>
        <v>42.16</v>
      </c>
      <c r="T15" s="1186">
        <f>$T$11</f>
        <v>340</v>
      </c>
      <c r="U15" s="1188" t="s">
        <v>4</v>
      </c>
    </row>
    <row r="16" spans="1:21" ht="20.100000000000001" hidden="1" customHeight="1">
      <c r="A16" s="1185">
        <v>9</v>
      </c>
      <c r="B16" s="1191" t="s">
        <v>236</v>
      </c>
      <c r="C16" s="1186">
        <f>ROUND(WORK!I483*0.15,2)</f>
        <v>0</v>
      </c>
      <c r="D16" s="1186">
        <f>ROUND(FF!I112*0.15,2)</f>
        <v>0</v>
      </c>
      <c r="E16" s="1186">
        <f>ROUND(SF!I63*0.15,2)</f>
        <v>0</v>
      </c>
      <c r="F16" s="1186">
        <f t="shared" si="0"/>
        <v>0</v>
      </c>
      <c r="G16" s="1186" t="s">
        <v>422</v>
      </c>
      <c r="H16" s="1187">
        <v>0</v>
      </c>
      <c r="I16" s="1188">
        <f t="shared" si="2"/>
        <v>0</v>
      </c>
      <c r="J16" s="1187">
        <v>0</v>
      </c>
      <c r="K16" s="1185">
        <v>0</v>
      </c>
      <c r="L16" s="1188">
        <f t="shared" si="3"/>
        <v>0</v>
      </c>
      <c r="M16" s="1185">
        <v>0</v>
      </c>
      <c r="N16" s="1185">
        <v>0</v>
      </c>
      <c r="O16" s="1187">
        <v>0</v>
      </c>
      <c r="P16" s="1187">
        <v>0</v>
      </c>
      <c r="Q16" s="1187">
        <v>0</v>
      </c>
      <c r="R16" s="1187">
        <v>0</v>
      </c>
      <c r="S16" s="1190">
        <f t="shared" si="1"/>
        <v>0</v>
      </c>
      <c r="T16" s="1186">
        <f>ROUND(T15,2)</f>
        <v>340</v>
      </c>
      <c r="U16" s="1188" t="s">
        <v>4</v>
      </c>
    </row>
    <row r="17" spans="1:21" ht="20.100000000000001" customHeight="1">
      <c r="A17" s="1185">
        <v>9</v>
      </c>
      <c r="B17" s="1191" t="s">
        <v>237</v>
      </c>
      <c r="C17" s="1186">
        <f>ROUND(WORK!I506*0.125,2)</f>
        <v>16.02</v>
      </c>
      <c r="D17" s="1186">
        <f>ROUND(FF!I140*0.125,2)</f>
        <v>0</v>
      </c>
      <c r="E17" s="1186">
        <f>ROUND(SF!I86*0.125,2)</f>
        <v>0</v>
      </c>
      <c r="F17" s="1186">
        <f t="shared" si="0"/>
        <v>16.02</v>
      </c>
      <c r="G17" s="1186" t="s">
        <v>422</v>
      </c>
      <c r="H17" s="1187">
        <v>0</v>
      </c>
      <c r="I17" s="1188">
        <f t="shared" si="2"/>
        <v>12.82</v>
      </c>
      <c r="J17" s="1187">
        <v>0</v>
      </c>
      <c r="K17" s="1185">
        <v>0</v>
      </c>
      <c r="L17" s="1188">
        <f t="shared" si="3"/>
        <v>6.41</v>
      </c>
      <c r="M17" s="1185">
        <v>0</v>
      </c>
      <c r="N17" s="1185">
        <v>0</v>
      </c>
      <c r="O17" s="1187">
        <v>0</v>
      </c>
      <c r="P17" s="1187">
        <v>0</v>
      </c>
      <c r="Q17" s="1187">
        <v>0</v>
      </c>
      <c r="R17" s="1187">
        <v>0</v>
      </c>
      <c r="S17" s="1190">
        <f t="shared" si="1"/>
        <v>108.94</v>
      </c>
      <c r="T17" s="1186">
        <f>ROUND(T15,2)</f>
        <v>340</v>
      </c>
      <c r="U17" s="1188" t="s">
        <v>4</v>
      </c>
    </row>
    <row r="18" spans="1:21" ht="20.100000000000001" hidden="1" customHeight="1">
      <c r="A18" s="1185">
        <v>11</v>
      </c>
      <c r="B18" s="1191" t="s">
        <v>605</v>
      </c>
      <c r="C18" s="1186">
        <f>ROUND(WORK!I531*0.1,2)</f>
        <v>0</v>
      </c>
      <c r="D18" s="1186">
        <f>ROUND(FF!I164*0.1,2)</f>
        <v>0</v>
      </c>
      <c r="E18" s="1186">
        <f>ROUND(SF!I106*0.1,2)</f>
        <v>0</v>
      </c>
      <c r="F18" s="1186">
        <f t="shared" si="0"/>
        <v>0</v>
      </c>
      <c r="G18" s="1186" t="s">
        <v>422</v>
      </c>
      <c r="H18" s="1187">
        <v>0</v>
      </c>
      <c r="I18" s="1188">
        <f t="shared" si="2"/>
        <v>0</v>
      </c>
      <c r="J18" s="1187">
        <v>0</v>
      </c>
      <c r="K18" s="1185">
        <v>0</v>
      </c>
      <c r="L18" s="1188">
        <f t="shared" si="3"/>
        <v>0</v>
      </c>
      <c r="M18" s="1185">
        <v>0</v>
      </c>
      <c r="N18" s="1185">
        <v>0</v>
      </c>
      <c r="O18" s="1187">
        <v>0</v>
      </c>
      <c r="P18" s="1187">
        <v>0</v>
      </c>
      <c r="Q18" s="1187">
        <v>0</v>
      </c>
      <c r="R18" s="1187">
        <v>0</v>
      </c>
      <c r="S18" s="1190">
        <f t="shared" si="1"/>
        <v>0</v>
      </c>
      <c r="T18" s="1186">
        <f>T17</f>
        <v>340</v>
      </c>
      <c r="U18" s="1188" t="s">
        <v>4</v>
      </c>
    </row>
    <row r="19" spans="1:21" ht="20.100000000000001" hidden="1" customHeight="1">
      <c r="A19" s="1185">
        <v>9</v>
      </c>
      <c r="B19" s="1191" t="s">
        <v>1231</v>
      </c>
      <c r="C19" s="1186">
        <f>ROUND(WORK!I553*0.05,2)</f>
        <v>0</v>
      </c>
      <c r="D19" s="1186">
        <f>ROUND(FF!I185*0.05,2)</f>
        <v>0</v>
      </c>
      <c r="E19" s="1186">
        <f>ROUND(SF!I127*0.05,2)</f>
        <v>0</v>
      </c>
      <c r="F19" s="1186">
        <f t="shared" si="0"/>
        <v>0</v>
      </c>
      <c r="G19" s="1186" t="s">
        <v>422</v>
      </c>
      <c r="H19" s="1187">
        <v>0</v>
      </c>
      <c r="I19" s="1188">
        <f t="shared" si="2"/>
        <v>0</v>
      </c>
      <c r="J19" s="1187">
        <v>0</v>
      </c>
      <c r="K19" s="1185">
        <v>0</v>
      </c>
      <c r="L19" s="1188">
        <f t="shared" si="3"/>
        <v>0</v>
      </c>
      <c r="M19" s="1185">
        <v>0</v>
      </c>
      <c r="N19" s="1185">
        <v>0</v>
      </c>
      <c r="O19" s="1187">
        <v>0</v>
      </c>
      <c r="P19" s="1187">
        <v>0</v>
      </c>
      <c r="Q19" s="1187">
        <v>0</v>
      </c>
      <c r="R19" s="1187">
        <v>0</v>
      </c>
      <c r="S19" s="1190">
        <f t="shared" si="1"/>
        <v>0</v>
      </c>
      <c r="T19" s="1186">
        <f>T18</f>
        <v>340</v>
      </c>
      <c r="U19" s="1188" t="s">
        <v>4</v>
      </c>
    </row>
    <row r="20" spans="1:21" ht="20.100000000000001" hidden="1" customHeight="1">
      <c r="A20" s="1185">
        <v>16</v>
      </c>
      <c r="B20" s="1191" t="s">
        <v>1440</v>
      </c>
      <c r="C20" s="1186">
        <f>ROUND(WORK!I578*0.025,2)</f>
        <v>0</v>
      </c>
      <c r="D20" s="1186">
        <f>ROUND(FF!I209*0.025,2)</f>
        <v>0</v>
      </c>
      <c r="E20" s="1186">
        <f>ROUND(SF!I151*0.025,2)</f>
        <v>0</v>
      </c>
      <c r="F20" s="1186">
        <f t="shared" si="0"/>
        <v>0</v>
      </c>
      <c r="G20" s="1186" t="s">
        <v>422</v>
      </c>
      <c r="H20" s="1187">
        <v>0</v>
      </c>
      <c r="I20" s="1188">
        <f t="shared" si="2"/>
        <v>0</v>
      </c>
      <c r="J20" s="1187">
        <v>0</v>
      </c>
      <c r="K20" s="1185">
        <v>0</v>
      </c>
      <c r="L20" s="1188">
        <f t="shared" si="3"/>
        <v>0</v>
      </c>
      <c r="M20" s="1185">
        <v>0</v>
      </c>
      <c r="N20" s="1185">
        <v>0</v>
      </c>
      <c r="O20" s="1187">
        <v>0</v>
      </c>
      <c r="P20" s="1187">
        <v>0</v>
      </c>
      <c r="Q20" s="1187">
        <v>0</v>
      </c>
      <c r="R20" s="1187">
        <v>0</v>
      </c>
      <c r="S20" s="1190">
        <f t="shared" si="1"/>
        <v>0</v>
      </c>
      <c r="T20" s="1186">
        <f>T19</f>
        <v>340</v>
      </c>
      <c r="U20" s="1188" t="s">
        <v>4</v>
      </c>
    </row>
    <row r="21" spans="1:21" ht="20.100000000000001" customHeight="1">
      <c r="A21" s="1185">
        <v>10</v>
      </c>
      <c r="B21" s="1163" t="s">
        <v>129</v>
      </c>
      <c r="C21" s="1186">
        <f>WORK!I609</f>
        <v>1.53</v>
      </c>
      <c r="D21" s="1186">
        <f>FF!I238</f>
        <v>0</v>
      </c>
      <c r="E21" s="1186">
        <f>SF!I176</f>
        <v>0</v>
      </c>
      <c r="F21" s="1186">
        <f t="shared" si="0"/>
        <v>1.53</v>
      </c>
      <c r="G21" s="1186" t="s">
        <v>421</v>
      </c>
      <c r="H21" s="1187">
        <v>0</v>
      </c>
      <c r="I21" s="1188">
        <f t="shared" si="2"/>
        <v>1.22</v>
      </c>
      <c r="J21" s="1187">
        <v>0</v>
      </c>
      <c r="K21" s="1185">
        <v>0</v>
      </c>
      <c r="L21" s="1188">
        <f t="shared" si="3"/>
        <v>0.61</v>
      </c>
      <c r="M21" s="1185">
        <v>0</v>
      </c>
      <c r="N21" s="1185">
        <v>0</v>
      </c>
      <c r="O21" s="1187">
        <v>0</v>
      </c>
      <c r="P21" s="1187">
        <v>0</v>
      </c>
      <c r="Q21" s="1187">
        <v>0</v>
      </c>
      <c r="R21" s="1187">
        <v>0</v>
      </c>
      <c r="S21" s="1190">
        <f t="shared" si="1"/>
        <v>10.4</v>
      </c>
      <c r="T21" s="1186">
        <f>$T$11</f>
        <v>340</v>
      </c>
      <c r="U21" s="1188" t="s">
        <v>4</v>
      </c>
    </row>
    <row r="22" spans="1:21" ht="20.100000000000001" customHeight="1">
      <c r="A22" s="1185">
        <v>11</v>
      </c>
      <c r="B22" s="1163" t="s">
        <v>130</v>
      </c>
      <c r="C22" s="1186">
        <f>WORK!I644</f>
        <v>12</v>
      </c>
      <c r="D22" s="1186">
        <f>FF!I282</f>
        <v>0</v>
      </c>
      <c r="E22" s="1186">
        <f>SF!I202</f>
        <v>0</v>
      </c>
      <c r="F22" s="1186">
        <f t="shared" si="0"/>
        <v>12</v>
      </c>
      <c r="G22" s="1186" t="s">
        <v>82</v>
      </c>
      <c r="H22" s="1187">
        <v>0</v>
      </c>
      <c r="I22" s="1188">
        <f>ROUND(F22*0.0375*0.8,2)</f>
        <v>0.36</v>
      </c>
      <c r="J22" s="1187">
        <v>0</v>
      </c>
      <c r="K22" s="1185">
        <v>0</v>
      </c>
      <c r="L22" s="1188">
        <f>ROUND(F22*0.0375*0.4,2)</f>
        <v>0.18</v>
      </c>
      <c r="M22" s="1185">
        <v>0</v>
      </c>
      <c r="N22" s="1185">
        <v>0</v>
      </c>
      <c r="O22" s="1187">
        <v>0</v>
      </c>
      <c r="P22" s="1187">
        <v>0</v>
      </c>
      <c r="Q22" s="1187">
        <v>0</v>
      </c>
      <c r="R22" s="1187">
        <v>0</v>
      </c>
      <c r="S22" s="1190">
        <f t="shared" si="1"/>
        <v>3.06</v>
      </c>
      <c r="T22" s="1195">
        <f>ROUND(T21*0.0375,2)</f>
        <v>12.75</v>
      </c>
      <c r="U22" s="1188" t="s">
        <v>4</v>
      </c>
    </row>
    <row r="23" spans="1:21" ht="20.100000000000001" customHeight="1">
      <c r="A23" s="1185">
        <v>12</v>
      </c>
      <c r="B23" s="1191" t="s">
        <v>1441</v>
      </c>
      <c r="C23" s="1186">
        <f>WORK!I666</f>
        <v>108</v>
      </c>
      <c r="D23" s="1186">
        <f>FF!I307</f>
        <v>0</v>
      </c>
      <c r="E23" s="1186">
        <f>SF!I222</f>
        <v>0</v>
      </c>
      <c r="F23" s="1186">
        <f t="shared" si="0"/>
        <v>108</v>
      </c>
      <c r="G23" s="1186" t="s">
        <v>422</v>
      </c>
      <c r="H23" s="1187">
        <v>0</v>
      </c>
      <c r="I23" s="1187">
        <v>0</v>
      </c>
      <c r="J23" s="1187">
        <v>0</v>
      </c>
      <c r="K23" s="1185">
        <v>0</v>
      </c>
      <c r="L23" s="1187">
        <v>0</v>
      </c>
      <c r="M23" s="1185">
        <v>0</v>
      </c>
      <c r="N23" s="1188">
        <f>ROUND(F23*0.015*1.05,2)</f>
        <v>1.7</v>
      </c>
      <c r="O23" s="1187">
        <v>0</v>
      </c>
      <c r="P23" s="1187">
        <v>0</v>
      </c>
      <c r="Q23" s="1187">
        <v>0</v>
      </c>
      <c r="R23" s="1187">
        <v>0</v>
      </c>
      <c r="S23" s="1190">
        <f t="shared" si="1"/>
        <v>15.55</v>
      </c>
      <c r="T23" s="1186">
        <v>7.2</v>
      </c>
      <c r="U23" s="1188" t="s">
        <v>4</v>
      </c>
    </row>
    <row r="24" spans="1:21" ht="20.100000000000001" hidden="1" customHeight="1">
      <c r="A24" s="1185">
        <v>9</v>
      </c>
      <c r="B24" s="1191" t="s">
        <v>1226</v>
      </c>
      <c r="C24" s="1186">
        <f>WORK!I690</f>
        <v>0</v>
      </c>
      <c r="D24" s="1186">
        <f>FF!I332</f>
        <v>0</v>
      </c>
      <c r="E24" s="1186">
        <f>SF!I243</f>
        <v>0</v>
      </c>
      <c r="F24" s="1186">
        <f t="shared" si="0"/>
        <v>0</v>
      </c>
      <c r="G24" s="1186" t="s">
        <v>422</v>
      </c>
      <c r="H24" s="1187">
        <v>0</v>
      </c>
      <c r="I24" s="1187">
        <v>0</v>
      </c>
      <c r="J24" s="1187">
        <v>0</v>
      </c>
      <c r="K24" s="1185">
        <v>0</v>
      </c>
      <c r="L24" s="1187">
        <v>0</v>
      </c>
      <c r="M24" s="1185">
        <v>0</v>
      </c>
      <c r="N24" s="1188">
        <f>ROUND(F24*0.021*1.05,2)</f>
        <v>0</v>
      </c>
      <c r="O24" s="1187">
        <v>0</v>
      </c>
      <c r="P24" s="1187">
        <v>0</v>
      </c>
      <c r="Q24" s="1187">
        <v>0</v>
      </c>
      <c r="R24" s="1187">
        <v>0</v>
      </c>
      <c r="S24" s="1190">
        <f t="shared" si="1"/>
        <v>0</v>
      </c>
      <c r="T24" s="1186">
        <v>10.08</v>
      </c>
      <c r="U24" s="1188" t="s">
        <v>4</v>
      </c>
    </row>
    <row r="25" spans="1:21" ht="20.100000000000001" hidden="1" customHeight="1">
      <c r="A25" s="1185">
        <v>13</v>
      </c>
      <c r="B25" s="1163" t="s">
        <v>1194</v>
      </c>
      <c r="C25" s="1186">
        <f>WORK!I715</f>
        <v>0</v>
      </c>
      <c r="D25" s="1186"/>
      <c r="E25" s="1186"/>
      <c r="F25" s="1186">
        <f t="shared" si="0"/>
        <v>0</v>
      </c>
      <c r="G25" s="1186" t="s">
        <v>421</v>
      </c>
      <c r="H25" s="1187">
        <v>0</v>
      </c>
      <c r="I25" s="1187">
        <v>0</v>
      </c>
      <c r="J25" s="1187">
        <v>0</v>
      </c>
      <c r="K25" s="1188">
        <f>ROUND(F25*1.1,2)</f>
        <v>0</v>
      </c>
      <c r="L25" s="1187">
        <v>0</v>
      </c>
      <c r="M25" s="1188">
        <f>ROUND(F25*0.33,2)</f>
        <v>0</v>
      </c>
      <c r="N25" s="1187">
        <v>0</v>
      </c>
      <c r="O25" s="1187">
        <v>0</v>
      </c>
      <c r="P25" s="1187">
        <v>0</v>
      </c>
      <c r="Q25" s="1188"/>
      <c r="R25" s="1187">
        <v>0</v>
      </c>
      <c r="S25" s="1190">
        <f t="shared" si="1"/>
        <v>0</v>
      </c>
      <c r="T25" s="1186">
        <v>59.4</v>
      </c>
      <c r="U25" s="1188" t="s">
        <v>4</v>
      </c>
    </row>
    <row r="26" spans="1:21" ht="20.100000000000001" customHeight="1">
      <c r="A26" s="1185">
        <v>13</v>
      </c>
      <c r="B26" s="1163" t="s">
        <v>134</v>
      </c>
      <c r="C26" s="1186">
        <f>WORK!I753</f>
        <v>19.080000000000002</v>
      </c>
      <c r="D26" s="1186">
        <f>FF!I356</f>
        <v>0</v>
      </c>
      <c r="E26" s="1186">
        <f>SF!I269</f>
        <v>0</v>
      </c>
      <c r="F26" s="1186">
        <f t="shared" si="0"/>
        <v>19.080000000000002</v>
      </c>
      <c r="G26" s="1186" t="s">
        <v>421</v>
      </c>
      <c r="H26" s="1187">
        <v>0</v>
      </c>
      <c r="I26" s="1187">
        <v>0</v>
      </c>
      <c r="J26" s="1187">
        <v>0</v>
      </c>
      <c r="K26" s="1185">
        <v>0</v>
      </c>
      <c r="L26" s="1187">
        <v>0</v>
      </c>
      <c r="M26" s="1188">
        <f>ROUND(F26*0.2,2)</f>
        <v>3.82</v>
      </c>
      <c r="N26" s="1187">
        <v>0</v>
      </c>
      <c r="O26" s="1187">
        <v>0</v>
      </c>
      <c r="P26" s="1187">
        <v>0</v>
      </c>
      <c r="Q26" s="1188">
        <f>ROUND(F26*512/1000,2)</f>
        <v>9.77</v>
      </c>
      <c r="R26" s="1187">
        <v>0</v>
      </c>
      <c r="S26" s="1190">
        <f t="shared" si="1"/>
        <v>13.74</v>
      </c>
      <c r="T26" s="1186">
        <v>36</v>
      </c>
      <c r="U26" s="1188" t="s">
        <v>4</v>
      </c>
    </row>
    <row r="27" spans="1:21" ht="20.100000000000001" customHeight="1">
      <c r="A27" s="1185">
        <v>14</v>
      </c>
      <c r="B27" s="1163" t="s">
        <v>906</v>
      </c>
      <c r="C27" s="1186">
        <f>WORK!I820</f>
        <v>21.8</v>
      </c>
      <c r="D27" s="1186">
        <f>FF!I396</f>
        <v>0</v>
      </c>
      <c r="E27" s="1186">
        <f>SF!I298</f>
        <v>0</v>
      </c>
      <c r="F27" s="1186">
        <f t="shared" si="0"/>
        <v>21.8</v>
      </c>
      <c r="G27" s="1186" t="s">
        <v>421</v>
      </c>
      <c r="H27" s="1187">
        <v>0</v>
      </c>
      <c r="I27" s="1187">
        <v>0</v>
      </c>
      <c r="J27" s="1187">
        <v>0</v>
      </c>
      <c r="K27" s="1185">
        <v>0</v>
      </c>
      <c r="L27" s="1187">
        <v>0</v>
      </c>
      <c r="M27" s="1188">
        <f>ROUND(F27*0.2,2)</f>
        <v>4.3600000000000003</v>
      </c>
      <c r="N27" s="1187">
        <v>0</v>
      </c>
      <c r="O27" s="1187">
        <v>0</v>
      </c>
      <c r="P27" s="1187">
        <v>0</v>
      </c>
      <c r="Q27" s="1188">
        <f>ROUND(F27*512/1000,2)</f>
        <v>11.16</v>
      </c>
      <c r="R27" s="1187">
        <v>0</v>
      </c>
      <c r="S27" s="1190">
        <f t="shared" si="1"/>
        <v>20.93</v>
      </c>
      <c r="T27" s="1186">
        <v>48</v>
      </c>
      <c r="U27" s="1188" t="s">
        <v>4</v>
      </c>
    </row>
    <row r="28" spans="1:21" ht="20.100000000000001" customHeight="1">
      <c r="A28" s="1185">
        <v>15</v>
      </c>
      <c r="B28" s="1163" t="s">
        <v>3637</v>
      </c>
      <c r="C28" s="1186">
        <f>WORK!I872</f>
        <v>40.4</v>
      </c>
      <c r="D28" s="1186">
        <f>FF!I487</f>
        <v>0</v>
      </c>
      <c r="E28" s="1186">
        <f>SF!I328</f>
        <v>0</v>
      </c>
      <c r="F28" s="1186">
        <f t="shared" si="0"/>
        <v>40.4</v>
      </c>
      <c r="G28" s="1186" t="s">
        <v>422</v>
      </c>
      <c r="H28" s="1187">
        <v>0</v>
      </c>
      <c r="I28" s="1188"/>
      <c r="J28" s="1187">
        <v>0</v>
      </c>
      <c r="K28" s="1185">
        <v>0</v>
      </c>
      <c r="L28" s="1187">
        <v>0</v>
      </c>
      <c r="M28" s="1188">
        <f>ROUND(F28*0.022,2)</f>
        <v>0.89</v>
      </c>
      <c r="N28" s="1187">
        <v>0</v>
      </c>
      <c r="O28" s="1187">
        <v>0</v>
      </c>
      <c r="P28" s="1187">
        <v>0</v>
      </c>
      <c r="Q28" s="1188">
        <f>ROUND(F28*512*0.1/1000,2)</f>
        <v>2.0699999999999998</v>
      </c>
      <c r="R28" s="1187">
        <v>0</v>
      </c>
      <c r="S28" s="1190">
        <f t="shared" si="1"/>
        <v>5.82</v>
      </c>
      <c r="T28" s="1186">
        <v>7.2</v>
      </c>
      <c r="U28" s="1188" t="s">
        <v>4</v>
      </c>
    </row>
    <row r="29" spans="1:21" ht="20.100000000000001" hidden="1" customHeight="1">
      <c r="A29" s="1185">
        <v>16</v>
      </c>
      <c r="B29" s="1163" t="s">
        <v>1214</v>
      </c>
      <c r="C29" s="1186">
        <f>WORK!I916</f>
        <v>0</v>
      </c>
      <c r="D29" s="1186">
        <f>FF!I557</f>
        <v>0</v>
      </c>
      <c r="E29" s="1186">
        <f>SF!I354</f>
        <v>0</v>
      </c>
      <c r="F29" s="1186">
        <f t="shared" si="0"/>
        <v>0</v>
      </c>
      <c r="G29" s="1186" t="s">
        <v>421</v>
      </c>
      <c r="H29" s="1187">
        <v>0</v>
      </c>
      <c r="I29" s="1187">
        <v>0</v>
      </c>
      <c r="J29" s="1187">
        <v>0</v>
      </c>
      <c r="K29" s="1185">
        <v>0</v>
      </c>
      <c r="L29" s="1187">
        <v>0</v>
      </c>
      <c r="M29" s="1188">
        <f>ROUND(F29*0.1*1.05,2)</f>
        <v>0</v>
      </c>
      <c r="N29" s="1187">
        <v>0</v>
      </c>
      <c r="O29" s="1187">
        <v>0</v>
      </c>
      <c r="P29" s="1187">
        <v>0</v>
      </c>
      <c r="Q29" s="1188">
        <f>ROUND(F29*110/1000,2)</f>
        <v>0</v>
      </c>
      <c r="R29" s="1187">
        <v>0</v>
      </c>
      <c r="S29" s="1190">
        <f t="shared" si="1"/>
        <v>0</v>
      </c>
      <c r="T29" s="1186">
        <v>24</v>
      </c>
      <c r="U29" s="1188" t="s">
        <v>4</v>
      </c>
    </row>
    <row r="30" spans="1:21" ht="20.100000000000001" customHeight="1">
      <c r="A30" s="1185">
        <v>16</v>
      </c>
      <c r="B30" s="1191" t="s">
        <v>1215</v>
      </c>
      <c r="C30" s="1186">
        <f>WORK!I947</f>
        <v>19.310000000000002</v>
      </c>
      <c r="D30" s="1186">
        <f>FF!I584</f>
        <v>0</v>
      </c>
      <c r="E30" s="1186"/>
      <c r="F30" s="1186">
        <f t="shared" si="0"/>
        <v>19.310000000000002</v>
      </c>
      <c r="G30" s="1186" t="s">
        <v>422</v>
      </c>
      <c r="H30" s="1187">
        <v>0</v>
      </c>
      <c r="I30" s="1187">
        <v>0</v>
      </c>
      <c r="J30" s="1187">
        <v>0</v>
      </c>
      <c r="K30" s="1185">
        <v>0</v>
      </c>
      <c r="L30" s="1187">
        <v>0</v>
      </c>
      <c r="M30" s="1187">
        <v>0</v>
      </c>
      <c r="N30" s="1188">
        <f>ROUND(F30*((0.015*1.05)+(0.025*1.05)),2)</f>
        <v>0.81</v>
      </c>
      <c r="O30" s="1187">
        <v>0</v>
      </c>
      <c r="P30" s="1187">
        <v>0</v>
      </c>
      <c r="Q30" s="1187">
        <v>0</v>
      </c>
      <c r="R30" s="1187">
        <v>0</v>
      </c>
      <c r="S30" s="1190">
        <f t="shared" si="1"/>
        <v>8.07</v>
      </c>
      <c r="T30" s="1186">
        <v>20.89</v>
      </c>
      <c r="U30" s="1188" t="s">
        <v>4</v>
      </c>
    </row>
    <row r="31" spans="1:21" ht="20.100000000000001" customHeight="1">
      <c r="A31" s="1185">
        <v>17</v>
      </c>
      <c r="B31" s="1191" t="s">
        <v>137</v>
      </c>
      <c r="C31" s="1186">
        <f>WORK!I980</f>
        <v>135.33999999999997</v>
      </c>
      <c r="D31" s="1186">
        <f>FF!I621</f>
        <v>0</v>
      </c>
      <c r="E31" s="1186">
        <f>SF!I382</f>
        <v>0</v>
      </c>
      <c r="F31" s="1186">
        <f t="shared" si="0"/>
        <v>135.33999999999997</v>
      </c>
      <c r="G31" s="1186" t="s">
        <v>422</v>
      </c>
      <c r="H31" s="1187">
        <v>0</v>
      </c>
      <c r="I31" s="1187">
        <v>0</v>
      </c>
      <c r="J31" s="1187">
        <v>0</v>
      </c>
      <c r="K31" s="1185">
        <v>0</v>
      </c>
      <c r="L31" s="1187">
        <v>0</v>
      </c>
      <c r="M31" s="1187">
        <v>0</v>
      </c>
      <c r="N31" s="1188">
        <f>ROUND(F31*0.015*1.05,2)</f>
        <v>2.13</v>
      </c>
      <c r="O31" s="1187">
        <v>0</v>
      </c>
      <c r="P31" s="1187">
        <v>0</v>
      </c>
      <c r="Q31" s="1187">
        <v>0</v>
      </c>
      <c r="R31" s="1187">
        <v>0</v>
      </c>
      <c r="S31" s="1190">
        <f t="shared" si="1"/>
        <v>19.489999999999998</v>
      </c>
      <c r="T31" s="1186">
        <v>7.2</v>
      </c>
      <c r="U31" s="1188" t="s">
        <v>4</v>
      </c>
    </row>
    <row r="32" spans="1:21" ht="20.100000000000001" hidden="1" customHeight="1">
      <c r="A32" s="1185">
        <v>2</v>
      </c>
      <c r="B32" s="1191" t="s">
        <v>238</v>
      </c>
      <c r="C32" s="1186">
        <f>WORK!I1033</f>
        <v>0</v>
      </c>
      <c r="D32" s="1186">
        <f>FF!I686</f>
        <v>0</v>
      </c>
      <c r="E32" s="1186">
        <f>SF!I412</f>
        <v>0</v>
      </c>
      <c r="F32" s="1186">
        <f t="shared" si="0"/>
        <v>0</v>
      </c>
      <c r="G32" s="1186" t="s">
        <v>422</v>
      </c>
      <c r="H32" s="1187">
        <v>0</v>
      </c>
      <c r="I32" s="1187">
        <v>0</v>
      </c>
      <c r="J32" s="1187">
        <v>0</v>
      </c>
      <c r="K32" s="1185">
        <v>0</v>
      </c>
      <c r="L32" s="1187">
        <v>0</v>
      </c>
      <c r="M32" s="1187">
        <v>0</v>
      </c>
      <c r="N32" s="1188">
        <f>ROUND(F32*0.015*1.05,2)</f>
        <v>0</v>
      </c>
      <c r="O32" s="1187">
        <v>0</v>
      </c>
      <c r="P32" s="1187">
        <v>0</v>
      </c>
      <c r="Q32" s="1187">
        <v>0</v>
      </c>
      <c r="R32" s="1187">
        <v>0</v>
      </c>
      <c r="S32" s="1190">
        <f t="shared" si="1"/>
        <v>0</v>
      </c>
      <c r="T32" s="1186">
        <v>4.32</v>
      </c>
      <c r="U32" s="1188" t="s">
        <v>4</v>
      </c>
    </row>
    <row r="33" spans="1:21" ht="20.100000000000001" hidden="1" customHeight="1">
      <c r="A33" s="1185">
        <v>18</v>
      </c>
      <c r="B33" s="1191" t="s">
        <v>604</v>
      </c>
      <c r="C33" s="1186">
        <f>WORK!I1059</f>
        <v>0</v>
      </c>
      <c r="D33" s="1186">
        <f>FF!I718</f>
        <v>0</v>
      </c>
      <c r="E33" s="1186">
        <f>SF!I444</f>
        <v>0</v>
      </c>
      <c r="F33" s="1186">
        <f t="shared" si="0"/>
        <v>0</v>
      </c>
      <c r="G33" s="1186" t="s">
        <v>422</v>
      </c>
      <c r="H33" s="1187">
        <v>0</v>
      </c>
      <c r="I33" s="1187">
        <v>0</v>
      </c>
      <c r="J33" s="1187">
        <v>0</v>
      </c>
      <c r="K33" s="1185">
        <v>0</v>
      </c>
      <c r="L33" s="1187">
        <v>0</v>
      </c>
      <c r="M33" s="1187">
        <v>0</v>
      </c>
      <c r="N33" s="1188">
        <f>ROUND(F33*0.021*1.05,2)</f>
        <v>0</v>
      </c>
      <c r="O33" s="1187">
        <v>0</v>
      </c>
      <c r="P33" s="1187">
        <v>0</v>
      </c>
      <c r="Q33" s="1187">
        <v>0</v>
      </c>
      <c r="R33" s="1187">
        <v>0</v>
      </c>
      <c r="S33" s="1190">
        <f t="shared" si="1"/>
        <v>0</v>
      </c>
      <c r="T33" s="1186">
        <v>6.05</v>
      </c>
      <c r="U33" s="1188" t="s">
        <v>4</v>
      </c>
    </row>
    <row r="34" spans="1:21" ht="20.100000000000001" customHeight="1">
      <c r="A34" s="1185">
        <v>18</v>
      </c>
      <c r="B34" s="1191" t="s">
        <v>904</v>
      </c>
      <c r="C34" s="1186">
        <f>WORK!I1100</f>
        <v>216.86</v>
      </c>
      <c r="D34" s="1186">
        <f>FF!I770</f>
        <v>0</v>
      </c>
      <c r="E34" s="1186">
        <f>SF!I480</f>
        <v>0</v>
      </c>
      <c r="F34" s="1186">
        <f t="shared" si="0"/>
        <v>216.86</v>
      </c>
      <c r="G34" s="1186" t="s">
        <v>422</v>
      </c>
      <c r="H34" s="1187">
        <v>0</v>
      </c>
      <c r="I34" s="1187">
        <v>0</v>
      </c>
      <c r="J34" s="1187">
        <v>0</v>
      </c>
      <c r="K34" s="1185">
        <v>0</v>
      </c>
      <c r="L34" s="1187">
        <v>0</v>
      </c>
      <c r="M34" s="1187">
        <v>0</v>
      </c>
      <c r="N34" s="1188">
        <f>ROUND(F34*0.015*1,2)</f>
        <v>3.25</v>
      </c>
      <c r="O34" s="1187">
        <v>0</v>
      </c>
      <c r="P34" s="1187">
        <v>0</v>
      </c>
      <c r="Q34" s="1187">
        <v>0</v>
      </c>
      <c r="R34" s="1187">
        <v>0</v>
      </c>
      <c r="S34" s="1190">
        <f t="shared" si="1"/>
        <v>22.08</v>
      </c>
      <c r="T34" s="1186">
        <v>5.09</v>
      </c>
      <c r="U34" s="1188" t="s">
        <v>4</v>
      </c>
    </row>
    <row r="35" spans="1:21" ht="20.100000000000001" customHeight="1">
      <c r="A35" s="1185">
        <v>19</v>
      </c>
      <c r="B35" s="1191" t="s">
        <v>603</v>
      </c>
      <c r="C35" s="1186">
        <f>WORK!I1167</f>
        <v>134.19000000000003</v>
      </c>
      <c r="D35" s="1186">
        <f>FF!I865</f>
        <v>0</v>
      </c>
      <c r="E35" s="1186">
        <f>SF!I515</f>
        <v>0</v>
      </c>
      <c r="F35" s="1186">
        <f t="shared" si="0"/>
        <v>134.19000000000003</v>
      </c>
      <c r="G35" s="1186" t="s">
        <v>422</v>
      </c>
      <c r="H35" s="1187">
        <v>0</v>
      </c>
      <c r="I35" s="1187">
        <v>0</v>
      </c>
      <c r="J35" s="1187">
        <v>0</v>
      </c>
      <c r="K35" s="1185">
        <v>0</v>
      </c>
      <c r="L35" s="1187">
        <v>0</v>
      </c>
      <c r="M35" s="1187">
        <v>0</v>
      </c>
      <c r="N35" s="1188">
        <f>ROUND(F35*0.022*1,2)</f>
        <v>2.95</v>
      </c>
      <c r="O35" s="1187">
        <v>0</v>
      </c>
      <c r="P35" s="1187">
        <v>0</v>
      </c>
      <c r="Q35" s="1187">
        <v>0</v>
      </c>
      <c r="R35" s="1187">
        <v>0</v>
      </c>
      <c r="S35" s="1190">
        <f t="shared" si="1"/>
        <v>15.43</v>
      </c>
      <c r="T35" s="1186">
        <v>5.75</v>
      </c>
      <c r="U35" s="1188" t="s">
        <v>4</v>
      </c>
    </row>
    <row r="36" spans="1:21" ht="20.100000000000001" hidden="1" customHeight="1">
      <c r="A36" s="1185">
        <v>21</v>
      </c>
      <c r="B36" s="1163" t="s">
        <v>447</v>
      </c>
      <c r="C36" s="1186">
        <f>WORK!I1206</f>
        <v>0</v>
      </c>
      <c r="D36" s="1186">
        <f>FF!I911</f>
        <v>0</v>
      </c>
      <c r="E36" s="1186">
        <f>SF!I544</f>
        <v>0</v>
      </c>
      <c r="F36" s="1186">
        <f t="shared" si="0"/>
        <v>0</v>
      </c>
      <c r="G36" s="1186" t="s">
        <v>421</v>
      </c>
      <c r="H36" s="1187">
        <v>0</v>
      </c>
      <c r="I36" s="1188">
        <f>ROUND(F36*0.8,2)</f>
        <v>0</v>
      </c>
      <c r="J36" s="1187">
        <v>0</v>
      </c>
      <c r="K36" s="1185">
        <v>0</v>
      </c>
      <c r="L36" s="1188">
        <f>ROUND(F36*0.4,2)</f>
        <v>0</v>
      </c>
      <c r="M36" s="1185">
        <v>0</v>
      </c>
      <c r="N36" s="1185">
        <v>0</v>
      </c>
      <c r="O36" s="1187">
        <v>0</v>
      </c>
      <c r="P36" s="1187">
        <v>0</v>
      </c>
      <c r="Q36" s="1187">
        <v>0</v>
      </c>
      <c r="R36" s="1187">
        <v>0</v>
      </c>
      <c r="S36" s="1190">
        <f t="shared" si="1"/>
        <v>0</v>
      </c>
      <c r="T36" s="1186">
        <f>$T$11</f>
        <v>340</v>
      </c>
      <c r="U36" s="1188" t="s">
        <v>4</v>
      </c>
    </row>
    <row r="37" spans="1:21" ht="20.100000000000001" hidden="1" customHeight="1">
      <c r="A37" s="1185">
        <v>7</v>
      </c>
      <c r="B37" s="1191" t="s">
        <v>241</v>
      </c>
      <c r="C37" s="1186">
        <f>WORK!I1232</f>
        <v>0</v>
      </c>
      <c r="D37" s="1186">
        <f>FF!I939</f>
        <v>0</v>
      </c>
      <c r="E37" s="1186">
        <f>SF!I565</f>
        <v>0</v>
      </c>
      <c r="F37" s="1186">
        <f t="shared" si="0"/>
        <v>0</v>
      </c>
      <c r="G37" s="1186" t="s">
        <v>422</v>
      </c>
      <c r="H37" s="1187">
        <v>0</v>
      </c>
      <c r="I37" s="1187">
        <v>0</v>
      </c>
      <c r="J37" s="1187">
        <v>0</v>
      </c>
      <c r="K37" s="1185">
        <v>0</v>
      </c>
      <c r="L37" s="1187">
        <v>0</v>
      </c>
      <c r="M37" s="1188">
        <f>ROUND(F37*0.014,2)</f>
        <v>0</v>
      </c>
      <c r="N37" s="1187">
        <v>0</v>
      </c>
      <c r="O37" s="1187">
        <v>0</v>
      </c>
      <c r="P37" s="1187">
        <v>0</v>
      </c>
      <c r="Q37" s="1187">
        <v>0</v>
      </c>
      <c r="R37" s="1187">
        <v>0</v>
      </c>
      <c r="S37" s="1190">
        <f t="shared" si="1"/>
        <v>0</v>
      </c>
      <c r="T37" s="1186">
        <v>6.06</v>
      </c>
      <c r="U37" s="1188" t="s">
        <v>4</v>
      </c>
    </row>
    <row r="38" spans="1:21" ht="20.100000000000001" hidden="1" customHeight="1">
      <c r="A38" s="1185">
        <v>8</v>
      </c>
      <c r="B38" s="1191" t="s">
        <v>242</v>
      </c>
      <c r="C38" s="1186">
        <f>WORK!I1266</f>
        <v>0</v>
      </c>
      <c r="D38" s="1186">
        <f>FF!I970</f>
        <v>0</v>
      </c>
      <c r="E38" s="1186">
        <f>SF!I590</f>
        <v>0</v>
      </c>
      <c r="F38" s="1186">
        <f t="shared" si="0"/>
        <v>0</v>
      </c>
      <c r="G38" s="1186" t="s">
        <v>422</v>
      </c>
      <c r="H38" s="1187">
        <v>0</v>
      </c>
      <c r="I38" s="1187">
        <v>0</v>
      </c>
      <c r="J38" s="1187">
        <v>0</v>
      </c>
      <c r="K38" s="1185">
        <v>0</v>
      </c>
      <c r="L38" s="1187">
        <v>0</v>
      </c>
      <c r="M38" s="1188">
        <f>ROUND(F38*0.012,2)</f>
        <v>0</v>
      </c>
      <c r="N38" s="1187">
        <v>0</v>
      </c>
      <c r="O38" s="1187">
        <v>0</v>
      </c>
      <c r="P38" s="1187">
        <v>0</v>
      </c>
      <c r="Q38" s="1187">
        <v>0</v>
      </c>
      <c r="R38" s="1187">
        <v>0</v>
      </c>
      <c r="S38" s="1190">
        <f t="shared" si="1"/>
        <v>0</v>
      </c>
      <c r="T38" s="1195">
        <v>6.7560000000000002</v>
      </c>
      <c r="U38" s="1188" t="s">
        <v>4</v>
      </c>
    </row>
    <row r="39" spans="1:21" ht="20.100000000000001" customHeight="1">
      <c r="A39" s="1185">
        <v>20</v>
      </c>
      <c r="B39" s="1191" t="s">
        <v>681</v>
      </c>
      <c r="C39" s="1186">
        <f>WORK!I1312</f>
        <v>111.85000000000002</v>
      </c>
      <c r="D39" s="1186">
        <f>FF!I1009</f>
        <v>0</v>
      </c>
      <c r="E39" s="1186">
        <f>SF!I618</f>
        <v>0</v>
      </c>
      <c r="F39" s="1186">
        <f t="shared" si="0"/>
        <v>111.85000000000002</v>
      </c>
      <c r="G39" s="1186" t="s">
        <v>422</v>
      </c>
      <c r="H39" s="1187">
        <v>0</v>
      </c>
      <c r="I39" s="1187">
        <v>0</v>
      </c>
      <c r="J39" s="1187">
        <v>0</v>
      </c>
      <c r="K39" s="1185">
        <v>0</v>
      </c>
      <c r="L39" s="1187">
        <v>0</v>
      </c>
      <c r="M39" s="1188">
        <f>ROUND(F39*0.014,2)</f>
        <v>1.57</v>
      </c>
      <c r="N39" s="1187">
        <v>0</v>
      </c>
      <c r="O39" s="1187">
        <v>0</v>
      </c>
      <c r="P39" s="1187">
        <v>0</v>
      </c>
      <c r="Q39" s="1187">
        <v>0</v>
      </c>
      <c r="R39" s="1187">
        <v>0</v>
      </c>
      <c r="S39" s="1190">
        <f t="shared" si="1"/>
        <v>16.78</v>
      </c>
      <c r="T39" s="1186">
        <v>7.5</v>
      </c>
      <c r="U39" s="1188" t="s">
        <v>4</v>
      </c>
    </row>
    <row r="40" spans="1:21" ht="20.100000000000001" customHeight="1">
      <c r="A40" s="1185">
        <v>21</v>
      </c>
      <c r="B40" s="1191" t="s">
        <v>682</v>
      </c>
      <c r="C40" s="1186">
        <f>WORK!I1357</f>
        <v>9.15</v>
      </c>
      <c r="D40" s="1186">
        <f>FF!I1048</f>
        <v>0</v>
      </c>
      <c r="E40" s="1186">
        <f>SF!I646</f>
        <v>0</v>
      </c>
      <c r="F40" s="1186">
        <f t="shared" si="0"/>
        <v>9.15</v>
      </c>
      <c r="G40" s="1186" t="s">
        <v>422</v>
      </c>
      <c r="H40" s="1187">
        <v>0</v>
      </c>
      <c r="I40" s="1187">
        <v>0</v>
      </c>
      <c r="J40" s="1187">
        <v>0</v>
      </c>
      <c r="K40" s="1185">
        <v>0</v>
      </c>
      <c r="L40" s="1187">
        <v>0</v>
      </c>
      <c r="M40" s="1188">
        <f>ROUND(F40*0.012,2)</f>
        <v>0.11</v>
      </c>
      <c r="N40" s="1187">
        <v>0</v>
      </c>
      <c r="O40" s="1187">
        <v>0</v>
      </c>
      <c r="P40" s="1187">
        <v>0</v>
      </c>
      <c r="Q40" s="1187">
        <v>0</v>
      </c>
      <c r="R40" s="1187">
        <v>0</v>
      </c>
      <c r="S40" s="1190">
        <f t="shared" si="1"/>
        <v>1.66</v>
      </c>
      <c r="T40" s="1195">
        <v>9.06</v>
      </c>
      <c r="U40" s="1188" t="s">
        <v>4</v>
      </c>
    </row>
    <row r="41" spans="1:21" ht="20.100000000000001" hidden="1" customHeight="1">
      <c r="A41" s="1185">
        <v>37</v>
      </c>
      <c r="B41" s="1191" t="s">
        <v>683</v>
      </c>
      <c r="C41" s="1186">
        <f>WORK!I1393</f>
        <v>0</v>
      </c>
      <c r="D41" s="1186">
        <f>FF!I1089</f>
        <v>0</v>
      </c>
      <c r="E41" s="1186">
        <f>SF!I674</f>
        <v>0</v>
      </c>
      <c r="F41" s="1186">
        <f t="shared" si="0"/>
        <v>0</v>
      </c>
      <c r="G41" s="1186" t="s">
        <v>422</v>
      </c>
      <c r="H41" s="1187">
        <v>0</v>
      </c>
      <c r="I41" s="1187">
        <v>0</v>
      </c>
      <c r="J41" s="1187">
        <v>0</v>
      </c>
      <c r="K41" s="1185">
        <v>0</v>
      </c>
      <c r="L41" s="1187">
        <v>0</v>
      </c>
      <c r="M41" s="1188">
        <f>ROUND(F41*0.014,2)</f>
        <v>0</v>
      </c>
      <c r="N41" s="1187">
        <v>0</v>
      </c>
      <c r="O41" s="1187">
        <v>0</v>
      </c>
      <c r="P41" s="1187">
        <v>0</v>
      </c>
      <c r="Q41" s="1187">
        <v>0</v>
      </c>
      <c r="R41" s="1187">
        <v>0</v>
      </c>
      <c r="S41" s="1190">
        <f t="shared" si="1"/>
        <v>0</v>
      </c>
      <c r="T41" s="1186">
        <v>7.5</v>
      </c>
      <c r="U41" s="1188" t="s">
        <v>4</v>
      </c>
    </row>
    <row r="42" spans="1:21" ht="20.100000000000001" hidden="1" customHeight="1">
      <c r="A42" s="1185">
        <v>38</v>
      </c>
      <c r="B42" s="1191" t="s">
        <v>684</v>
      </c>
      <c r="C42" s="1186">
        <f>WORK!I1424</f>
        <v>0</v>
      </c>
      <c r="D42" s="1186">
        <f>FF!I1123</f>
        <v>0</v>
      </c>
      <c r="E42" s="1186">
        <f>SF!I702</f>
        <v>0</v>
      </c>
      <c r="F42" s="1186">
        <f t="shared" si="0"/>
        <v>0</v>
      </c>
      <c r="G42" s="1186" t="s">
        <v>422</v>
      </c>
      <c r="H42" s="1187">
        <v>0</v>
      </c>
      <c r="I42" s="1187">
        <v>0</v>
      </c>
      <c r="J42" s="1187">
        <v>0</v>
      </c>
      <c r="K42" s="1185">
        <v>0</v>
      </c>
      <c r="L42" s="1187">
        <v>0</v>
      </c>
      <c r="M42" s="1188">
        <f>ROUND(F42*0.012,2)</f>
        <v>0</v>
      </c>
      <c r="N42" s="1187">
        <v>0</v>
      </c>
      <c r="O42" s="1187">
        <v>0</v>
      </c>
      <c r="P42" s="1187">
        <v>0</v>
      </c>
      <c r="Q42" s="1187">
        <v>0</v>
      </c>
      <c r="R42" s="1187">
        <v>0</v>
      </c>
      <c r="S42" s="1190">
        <f t="shared" si="1"/>
        <v>0</v>
      </c>
      <c r="T42" s="1195">
        <v>6.7560000000000002</v>
      </c>
      <c r="U42" s="1188" t="s">
        <v>4</v>
      </c>
    </row>
    <row r="43" spans="1:21" ht="20.100000000000001" hidden="1" customHeight="1">
      <c r="A43" s="1185">
        <v>11</v>
      </c>
      <c r="B43" s="1191" t="s">
        <v>239</v>
      </c>
      <c r="C43" s="1186">
        <f>WORK!I1452</f>
        <v>0</v>
      </c>
      <c r="D43" s="1186">
        <f>FF!I1155</f>
        <v>0</v>
      </c>
      <c r="E43" s="1186">
        <f>SF!I730</f>
        <v>0</v>
      </c>
      <c r="F43" s="1186">
        <f t="shared" si="0"/>
        <v>0</v>
      </c>
      <c r="G43" s="1186" t="s">
        <v>422</v>
      </c>
      <c r="H43" s="1187">
        <v>0</v>
      </c>
      <c r="I43" s="1187">
        <v>0</v>
      </c>
      <c r="J43" s="1187">
        <v>0</v>
      </c>
      <c r="K43" s="1185">
        <v>0</v>
      </c>
      <c r="L43" s="1187">
        <v>0</v>
      </c>
      <c r="M43" s="1188">
        <f>ROUND(F43*0.012,2)</f>
        <v>0</v>
      </c>
      <c r="N43" s="1187">
        <v>0</v>
      </c>
      <c r="O43" s="1187">
        <v>0</v>
      </c>
      <c r="P43" s="1187">
        <v>0</v>
      </c>
      <c r="Q43" s="1187">
        <v>0</v>
      </c>
      <c r="R43" s="1187">
        <v>0</v>
      </c>
      <c r="S43" s="1190">
        <f t="shared" si="1"/>
        <v>0</v>
      </c>
      <c r="T43" s="1186">
        <v>5.46</v>
      </c>
      <c r="U43" s="1188" t="s">
        <v>4</v>
      </c>
    </row>
    <row r="44" spans="1:21" ht="20.100000000000001" hidden="1" customHeight="1">
      <c r="A44" s="1185">
        <v>12</v>
      </c>
      <c r="B44" s="1191" t="s">
        <v>240</v>
      </c>
      <c r="C44" s="1186">
        <f>WORK!I1476</f>
        <v>0</v>
      </c>
      <c r="D44" s="1186">
        <f>FF!I1182</f>
        <v>0</v>
      </c>
      <c r="E44" s="1186">
        <f>SF!I757</f>
        <v>0</v>
      </c>
      <c r="F44" s="1186">
        <f t="shared" si="0"/>
        <v>0</v>
      </c>
      <c r="G44" s="1186" t="s">
        <v>422</v>
      </c>
      <c r="H44" s="1187">
        <v>0</v>
      </c>
      <c r="I44" s="1187">
        <v>0</v>
      </c>
      <c r="J44" s="1187">
        <v>0</v>
      </c>
      <c r="K44" s="1185">
        <v>0</v>
      </c>
      <c r="L44" s="1187">
        <v>0</v>
      </c>
      <c r="M44" s="1188">
        <f>ROUND(F44*0.012,2)</f>
        <v>0</v>
      </c>
      <c r="N44" s="1187">
        <v>0</v>
      </c>
      <c r="O44" s="1187">
        <v>0</v>
      </c>
      <c r="P44" s="1187">
        <v>0</v>
      </c>
      <c r="Q44" s="1187">
        <v>0</v>
      </c>
      <c r="R44" s="1187">
        <v>0</v>
      </c>
      <c r="S44" s="1190">
        <f t="shared" si="1"/>
        <v>0</v>
      </c>
      <c r="T44" s="1186">
        <v>9.06</v>
      </c>
      <c r="U44" s="1188" t="s">
        <v>4</v>
      </c>
    </row>
    <row r="45" spans="1:21" ht="20.100000000000001" customHeight="1">
      <c r="A45" s="1185">
        <v>22</v>
      </c>
      <c r="B45" s="1191" t="s">
        <v>1216</v>
      </c>
      <c r="C45" s="1186">
        <f>WORK!I1501</f>
        <v>19.310000000000002</v>
      </c>
      <c r="D45" s="1186">
        <f>FF!I1217</f>
        <v>0</v>
      </c>
      <c r="E45" s="1186">
        <f>SF!I781</f>
        <v>0</v>
      </c>
      <c r="F45" s="1186">
        <f t="shared" si="0"/>
        <v>19.310000000000002</v>
      </c>
      <c r="G45" s="1186" t="s">
        <v>422</v>
      </c>
      <c r="H45" s="1187">
        <v>0</v>
      </c>
      <c r="I45" s="1187">
        <v>0</v>
      </c>
      <c r="J45" s="1187">
        <v>0</v>
      </c>
      <c r="K45" s="1185">
        <v>0</v>
      </c>
      <c r="L45" s="1187">
        <v>0</v>
      </c>
      <c r="M45" s="1188">
        <f>ROUND(F45*0.008*1,2)</f>
        <v>0.15</v>
      </c>
      <c r="N45" s="1187">
        <v>0</v>
      </c>
      <c r="O45" s="1187">
        <v>0</v>
      </c>
      <c r="P45" s="1187">
        <v>0</v>
      </c>
      <c r="Q45" s="1187">
        <v>0</v>
      </c>
      <c r="R45" s="1187">
        <v>0</v>
      </c>
      <c r="S45" s="1190">
        <f t="shared" si="1"/>
        <v>1.07</v>
      </c>
      <c r="T45" s="1186">
        <v>2.76</v>
      </c>
      <c r="U45" s="1188" t="s">
        <v>4</v>
      </c>
    </row>
    <row r="46" spans="1:21" ht="20.100000000000001" hidden="1" customHeight="1">
      <c r="A46" s="1185">
        <v>5</v>
      </c>
      <c r="B46" s="1163" t="s">
        <v>2279</v>
      </c>
      <c r="C46" s="1186">
        <f>WORK!I1555</f>
        <v>0</v>
      </c>
      <c r="D46" s="1186"/>
      <c r="E46" s="1186"/>
      <c r="F46" s="1186">
        <f t="shared" ref="F46" si="4">SUM(C46:E46)</f>
        <v>0</v>
      </c>
      <c r="G46" s="1186" t="s">
        <v>421</v>
      </c>
      <c r="H46" s="1187">
        <v>0</v>
      </c>
      <c r="I46" s="1188">
        <f>ROUND(F46*0.017,2)</f>
        <v>0</v>
      </c>
      <c r="J46" s="1187">
        <v>0</v>
      </c>
      <c r="K46" s="1185">
        <v>0</v>
      </c>
      <c r="L46" s="1188">
        <f>ROUND(F46*0.009,2)</f>
        <v>0</v>
      </c>
      <c r="M46" s="1185">
        <v>0</v>
      </c>
      <c r="N46" s="1185">
        <v>0</v>
      </c>
      <c r="O46" s="1187">
        <v>0</v>
      </c>
      <c r="P46" s="1187">
        <v>0</v>
      </c>
      <c r="Q46" s="1187">
        <v>0</v>
      </c>
      <c r="R46" s="1187">
        <v>0</v>
      </c>
      <c r="S46" s="1190">
        <f t="shared" ref="S46" si="5">ROUND(F46*T46/50,2)</f>
        <v>0</v>
      </c>
      <c r="T46" s="1186">
        <v>12</v>
      </c>
      <c r="U46" s="1188" t="s">
        <v>4</v>
      </c>
    </row>
    <row r="47" spans="1:21" ht="18" hidden="1" customHeight="1">
      <c r="A47" s="1185"/>
      <c r="B47" s="1191"/>
      <c r="C47" s="1191"/>
      <c r="D47" s="1191"/>
      <c r="E47" s="1191"/>
      <c r="F47" s="1186"/>
      <c r="G47" s="1186"/>
      <c r="H47" s="1188"/>
      <c r="I47" s="1188"/>
      <c r="J47" s="1188"/>
      <c r="K47" s="1188"/>
      <c r="L47" s="1188"/>
      <c r="M47" s="1188"/>
      <c r="N47" s="1187"/>
      <c r="O47" s="1188"/>
      <c r="P47" s="1188"/>
      <c r="Q47" s="1187"/>
      <c r="R47" s="1188"/>
      <c r="S47" s="1188"/>
      <c r="T47" s="1186"/>
      <c r="U47" s="1188"/>
    </row>
    <row r="48" spans="1:21">
      <c r="A48" s="1163"/>
      <c r="B48" s="1192" t="s">
        <v>103</v>
      </c>
      <c r="C48" s="1163"/>
      <c r="D48" s="1163"/>
      <c r="E48" s="1163"/>
      <c r="F48" s="1181">
        <v>1</v>
      </c>
      <c r="G48" s="1163"/>
      <c r="H48" s="1193">
        <f t="shared" ref="H48:S48" si="6">SUM(H5:H47)</f>
        <v>19.829999999999998</v>
      </c>
      <c r="I48" s="1193">
        <f t="shared" si="6"/>
        <v>39.090000000000003</v>
      </c>
      <c r="J48" s="1193">
        <f t="shared" si="6"/>
        <v>0</v>
      </c>
      <c r="K48" s="1193">
        <f t="shared" si="6"/>
        <v>0</v>
      </c>
      <c r="L48" s="1193">
        <f t="shared" si="6"/>
        <v>29.45</v>
      </c>
      <c r="M48" s="1193">
        <f t="shared" si="6"/>
        <v>10.9</v>
      </c>
      <c r="N48" s="1193">
        <f t="shared" si="6"/>
        <v>10.84</v>
      </c>
      <c r="O48" s="1193">
        <f t="shared" si="6"/>
        <v>99.320000000000007</v>
      </c>
      <c r="P48" s="1193">
        <f t="shared" si="6"/>
        <v>13.280000000000001</v>
      </c>
      <c r="Q48" s="1193">
        <f t="shared" si="6"/>
        <v>23</v>
      </c>
      <c r="R48" s="1193">
        <f t="shared" si="6"/>
        <v>0</v>
      </c>
      <c r="S48" s="1193">
        <f t="shared" si="6"/>
        <v>544.25</v>
      </c>
      <c r="T48" s="1194" t="s">
        <v>142</v>
      </c>
      <c r="U48" s="1163"/>
    </row>
    <row r="49" spans="1:21" s="1161" customFormat="1" ht="15.75" hidden="1">
      <c r="A49" s="1176"/>
      <c r="B49" s="1177" t="s">
        <v>2022</v>
      </c>
      <c r="C49" s="1178"/>
      <c r="D49" s="1179"/>
      <c r="E49" s="1180"/>
      <c r="F49" s="1181">
        <v>1</v>
      </c>
      <c r="G49" s="1182"/>
      <c r="H49" s="1176"/>
      <c r="I49" s="1183"/>
      <c r="J49" s="1184"/>
      <c r="K49" s="1176"/>
      <c r="L49" s="1182"/>
      <c r="M49" s="1176"/>
    </row>
    <row r="50" spans="1:21" ht="18" hidden="1" customHeight="1">
      <c r="A50" s="1185">
        <v>1</v>
      </c>
      <c r="B50" s="1163" t="s">
        <v>101</v>
      </c>
      <c r="C50" s="1543"/>
      <c r="D50" s="1163"/>
      <c r="E50" s="1163"/>
      <c r="F50" s="1186">
        <f>C50+D50</f>
        <v>0</v>
      </c>
      <c r="G50" s="1186" t="s">
        <v>421</v>
      </c>
      <c r="H50" s="1185">
        <v>0</v>
      </c>
      <c r="I50" s="1185">
        <v>0</v>
      </c>
      <c r="J50" s="1185">
        <v>0</v>
      </c>
      <c r="K50" s="1185">
        <v>0</v>
      </c>
      <c r="L50" s="1185">
        <v>0</v>
      </c>
      <c r="M50" s="1185">
        <v>0</v>
      </c>
      <c r="N50" s="1185">
        <v>0</v>
      </c>
      <c r="O50" s="1187">
        <v>0</v>
      </c>
      <c r="P50" s="1187">
        <v>0</v>
      </c>
      <c r="Q50" s="1185">
        <v>0</v>
      </c>
      <c r="R50" s="1188">
        <f>F50</f>
        <v>0</v>
      </c>
      <c r="S50" s="1189">
        <v>0</v>
      </c>
      <c r="T50" s="1163">
        <v>0</v>
      </c>
      <c r="U50" s="1163"/>
    </row>
    <row r="51" spans="1:21" ht="20.100000000000001" hidden="1" customHeight="1">
      <c r="A51" s="1185">
        <v>1</v>
      </c>
      <c r="B51" s="1163" t="s">
        <v>135</v>
      </c>
      <c r="C51" s="1186">
        <f>WORK!I236</f>
        <v>0</v>
      </c>
      <c r="D51" s="1163"/>
      <c r="E51" s="1163"/>
      <c r="F51" s="1186">
        <f t="shared" ref="F51:F91" si="7">SUM(C51:E51)</f>
        <v>0</v>
      </c>
      <c r="G51" s="1186" t="s">
        <v>421</v>
      </c>
      <c r="H51" s="1185">
        <v>0</v>
      </c>
      <c r="I51" s="1185">
        <v>0</v>
      </c>
      <c r="J51" s="1185">
        <v>0</v>
      </c>
      <c r="K51" s="1185">
        <v>0</v>
      </c>
      <c r="L51" s="1185">
        <v>0</v>
      </c>
      <c r="M51" s="1185">
        <v>0</v>
      </c>
      <c r="N51" s="1185">
        <v>0</v>
      </c>
      <c r="O51" s="1188">
        <f>F51</f>
        <v>0</v>
      </c>
      <c r="P51" s="1187">
        <v>0</v>
      </c>
      <c r="Q51" s="1185">
        <v>0</v>
      </c>
      <c r="R51" s="1187">
        <v>0</v>
      </c>
      <c r="S51" s="1189">
        <v>0</v>
      </c>
      <c r="T51" s="1163">
        <v>0</v>
      </c>
      <c r="U51" s="1163"/>
    </row>
    <row r="52" spans="1:21" ht="20.100000000000001" hidden="1" customHeight="1">
      <c r="A52" s="1185">
        <v>14</v>
      </c>
      <c r="B52" s="1163" t="s">
        <v>1192</v>
      </c>
      <c r="C52" s="1186">
        <f>WORK!I176</f>
        <v>0</v>
      </c>
      <c r="D52" s="1163"/>
      <c r="E52" s="1163"/>
      <c r="F52" s="1186">
        <f t="shared" si="7"/>
        <v>0</v>
      </c>
      <c r="G52" s="1186" t="s">
        <v>421</v>
      </c>
      <c r="H52" s="1185">
        <v>0</v>
      </c>
      <c r="I52" s="1185">
        <v>0</v>
      </c>
      <c r="J52" s="1185">
        <v>0</v>
      </c>
      <c r="K52" s="1185">
        <v>0</v>
      </c>
      <c r="L52" s="1185">
        <v>0</v>
      </c>
      <c r="M52" s="1185">
        <v>0</v>
      </c>
      <c r="N52" s="1185">
        <v>0</v>
      </c>
      <c r="O52" s="1187">
        <v>0</v>
      </c>
      <c r="P52" s="1188">
        <f>F52</f>
        <v>0</v>
      </c>
      <c r="Q52" s="1185">
        <v>0</v>
      </c>
      <c r="R52" s="1187">
        <v>0</v>
      </c>
      <c r="S52" s="1189">
        <v>0</v>
      </c>
      <c r="T52" s="1163">
        <v>0</v>
      </c>
      <c r="U52" s="1163"/>
    </row>
    <row r="53" spans="1:21" ht="20.100000000000001" hidden="1" customHeight="1">
      <c r="A53" s="1185">
        <v>4</v>
      </c>
      <c r="B53" s="1163" t="s">
        <v>663</v>
      </c>
      <c r="C53" s="1186">
        <f>WORK!I200</f>
        <v>0</v>
      </c>
      <c r="D53" s="1163"/>
      <c r="E53" s="1163"/>
      <c r="F53" s="1186">
        <f t="shared" si="7"/>
        <v>0</v>
      </c>
      <c r="G53" s="1186" t="s">
        <v>421</v>
      </c>
      <c r="H53" s="1185">
        <v>0</v>
      </c>
      <c r="I53" s="1185">
        <v>0</v>
      </c>
      <c r="J53" s="1185">
        <v>0</v>
      </c>
      <c r="K53" s="1185">
        <v>0</v>
      </c>
      <c r="L53" s="1185">
        <v>0</v>
      </c>
      <c r="M53" s="1185">
        <v>0</v>
      </c>
      <c r="N53" s="1185">
        <v>0</v>
      </c>
      <c r="O53" s="1187">
        <v>0</v>
      </c>
      <c r="P53" s="1188"/>
      <c r="Q53" s="1185">
        <v>0</v>
      </c>
      <c r="R53" s="1188">
        <f>F53</f>
        <v>0</v>
      </c>
      <c r="S53" s="1189">
        <v>0</v>
      </c>
      <c r="T53" s="1163">
        <v>0</v>
      </c>
      <c r="U53" s="1163"/>
    </row>
    <row r="54" spans="1:21" ht="20.100000000000001" hidden="1" customHeight="1">
      <c r="A54" s="1185">
        <v>15</v>
      </c>
      <c r="B54" s="1163" t="s">
        <v>235</v>
      </c>
      <c r="C54" s="1186">
        <f>WORK!I110</f>
        <v>0</v>
      </c>
      <c r="D54" s="1163"/>
      <c r="E54" s="1163"/>
      <c r="F54" s="1186">
        <f t="shared" si="7"/>
        <v>0</v>
      </c>
      <c r="G54" s="1186" t="s">
        <v>421</v>
      </c>
      <c r="H54" s="1188">
        <f>ROUND(F54*0.9,2)</f>
        <v>0</v>
      </c>
      <c r="I54" s="1187">
        <v>0</v>
      </c>
      <c r="J54" s="1187">
        <v>0</v>
      </c>
      <c r="K54" s="1185">
        <v>0</v>
      </c>
      <c r="L54" s="1188">
        <f>ROUND(F54*0.45,2)</f>
        <v>0</v>
      </c>
      <c r="M54" s="1185">
        <v>0</v>
      </c>
      <c r="N54" s="1185">
        <v>0</v>
      </c>
      <c r="O54" s="1187">
        <v>0</v>
      </c>
      <c r="P54" s="1187">
        <v>0</v>
      </c>
      <c r="Q54" s="1187">
        <v>0</v>
      </c>
      <c r="R54" s="1187">
        <v>0</v>
      </c>
      <c r="S54" s="1190">
        <f t="shared" ref="S54:S91" si="8">ROUND(F54*T54/50,2)</f>
        <v>0</v>
      </c>
      <c r="T54" s="1186">
        <v>162</v>
      </c>
      <c r="U54" s="1188" t="s">
        <v>4</v>
      </c>
    </row>
    <row r="55" spans="1:21" ht="20.100000000000001" hidden="1" customHeight="1">
      <c r="A55" s="1185">
        <v>6</v>
      </c>
      <c r="B55" s="1163" t="s">
        <v>446</v>
      </c>
      <c r="C55" s="1186">
        <f>WORK!I146</f>
        <v>0</v>
      </c>
      <c r="D55" s="1163"/>
      <c r="E55" s="1163"/>
      <c r="F55" s="1186">
        <f t="shared" si="7"/>
        <v>0</v>
      </c>
      <c r="G55" s="1186" t="s">
        <v>421</v>
      </c>
      <c r="H55" s="1188">
        <f>ROUND(F55*0.9,2)</f>
        <v>0</v>
      </c>
      <c r="I55" s="1187">
        <v>0</v>
      </c>
      <c r="J55" s="1187">
        <v>0</v>
      </c>
      <c r="K55" s="1185">
        <v>0</v>
      </c>
      <c r="L55" s="1188">
        <f>ROUND(F55*0.45,2)</f>
        <v>0</v>
      </c>
      <c r="M55" s="1185">
        <v>0</v>
      </c>
      <c r="N55" s="1185">
        <v>0</v>
      </c>
      <c r="O55" s="1187">
        <v>0</v>
      </c>
      <c r="P55" s="1187">
        <v>0</v>
      </c>
      <c r="Q55" s="1187">
        <v>0</v>
      </c>
      <c r="R55" s="1187">
        <v>0</v>
      </c>
      <c r="S55" s="1190">
        <f t="shared" si="8"/>
        <v>0</v>
      </c>
      <c r="T55" s="1186">
        <v>129.6</v>
      </c>
      <c r="U55" s="1188" t="s">
        <v>4</v>
      </c>
    </row>
    <row r="56" spans="1:21" ht="20.100000000000001" hidden="1" customHeight="1">
      <c r="A56" s="1185">
        <v>16</v>
      </c>
      <c r="B56" s="1163" t="s">
        <v>132</v>
      </c>
      <c r="C56" s="1186">
        <f>WORK!I296</f>
        <v>0</v>
      </c>
      <c r="D56" s="1163"/>
      <c r="E56" s="1163"/>
      <c r="F56" s="1186">
        <f t="shared" si="7"/>
        <v>0</v>
      </c>
      <c r="G56" s="1186" t="s">
        <v>421</v>
      </c>
      <c r="H56" s="1187">
        <v>0</v>
      </c>
      <c r="I56" s="1188">
        <f t="shared" ref="I56:I66" si="9">ROUND(F56*0.8,2)</f>
        <v>0</v>
      </c>
      <c r="J56" s="1187">
        <v>0</v>
      </c>
      <c r="K56" s="1185">
        <v>0</v>
      </c>
      <c r="L56" s="1188">
        <f t="shared" ref="L56:L66" si="10">ROUND(F56*0.4,2)</f>
        <v>0</v>
      </c>
      <c r="M56" s="1185">
        <v>0</v>
      </c>
      <c r="N56" s="1185">
        <v>0</v>
      </c>
      <c r="O56" s="1187">
        <v>0</v>
      </c>
      <c r="P56" s="1187">
        <v>0</v>
      </c>
      <c r="Q56" s="1187">
        <v>0</v>
      </c>
      <c r="R56" s="1187">
        <v>0</v>
      </c>
      <c r="S56" s="1190">
        <f t="shared" si="8"/>
        <v>0</v>
      </c>
      <c r="T56" s="1186">
        <f>data!E1026</f>
        <v>340</v>
      </c>
      <c r="U56" s="1188" t="s">
        <v>4</v>
      </c>
    </row>
    <row r="57" spans="1:21" ht="20.100000000000001" hidden="1" customHeight="1">
      <c r="A57" s="1185">
        <v>4</v>
      </c>
      <c r="B57" s="1163" t="s">
        <v>133</v>
      </c>
      <c r="C57" s="1186">
        <f>WORK!I316</f>
        <v>0</v>
      </c>
      <c r="D57" s="1163"/>
      <c r="E57" s="1163"/>
      <c r="F57" s="1186">
        <f t="shared" si="7"/>
        <v>0</v>
      </c>
      <c r="G57" s="1186" t="s">
        <v>421</v>
      </c>
      <c r="H57" s="1187">
        <v>0</v>
      </c>
      <c r="I57" s="1188">
        <f t="shared" si="9"/>
        <v>0</v>
      </c>
      <c r="J57" s="1187">
        <v>0</v>
      </c>
      <c r="K57" s="1185">
        <v>0</v>
      </c>
      <c r="L57" s="1188">
        <f t="shared" si="10"/>
        <v>0</v>
      </c>
      <c r="M57" s="1185">
        <v>0</v>
      </c>
      <c r="N57" s="1185">
        <v>0</v>
      </c>
      <c r="O57" s="1187">
        <v>0</v>
      </c>
      <c r="P57" s="1187">
        <v>0</v>
      </c>
      <c r="Q57" s="1187">
        <v>0</v>
      </c>
      <c r="R57" s="1187">
        <v>0</v>
      </c>
      <c r="S57" s="1190">
        <f t="shared" si="8"/>
        <v>0</v>
      </c>
      <c r="T57" s="1186">
        <f>$T$56</f>
        <v>340</v>
      </c>
      <c r="U57" s="1188" t="s">
        <v>4</v>
      </c>
    </row>
    <row r="58" spans="1:21" ht="20.100000000000001" hidden="1" customHeight="1">
      <c r="A58" s="1185">
        <v>17</v>
      </c>
      <c r="B58" s="1163" t="s">
        <v>127</v>
      </c>
      <c r="C58" s="1186">
        <f>WORK!I349</f>
        <v>0</v>
      </c>
      <c r="D58" s="1186">
        <f>FF!I21</f>
        <v>0</v>
      </c>
      <c r="E58" s="1186">
        <f>SF!I21</f>
        <v>0</v>
      </c>
      <c r="F58" s="1186">
        <f t="shared" si="7"/>
        <v>0</v>
      </c>
      <c r="G58" s="1186" t="s">
        <v>421</v>
      </c>
      <c r="H58" s="1187">
        <v>0</v>
      </c>
      <c r="I58" s="1188">
        <f t="shared" si="9"/>
        <v>0</v>
      </c>
      <c r="J58" s="1187">
        <v>0</v>
      </c>
      <c r="K58" s="1185">
        <v>0</v>
      </c>
      <c r="L58" s="1188">
        <f t="shared" si="10"/>
        <v>0</v>
      </c>
      <c r="M58" s="1185">
        <v>0</v>
      </c>
      <c r="N58" s="1185">
        <v>0</v>
      </c>
      <c r="O58" s="1187">
        <v>0</v>
      </c>
      <c r="P58" s="1187">
        <v>0</v>
      </c>
      <c r="Q58" s="1187">
        <v>0</v>
      </c>
      <c r="R58" s="1187">
        <v>0</v>
      </c>
      <c r="S58" s="1190">
        <f t="shared" si="8"/>
        <v>0</v>
      </c>
      <c r="T58" s="1186">
        <f>$T$56</f>
        <v>340</v>
      </c>
      <c r="U58" s="1188" t="s">
        <v>4</v>
      </c>
    </row>
    <row r="59" spans="1:21" ht="20.100000000000001" hidden="1" customHeight="1">
      <c r="A59" s="1185">
        <v>18</v>
      </c>
      <c r="B59" s="1163" t="s">
        <v>128</v>
      </c>
      <c r="C59" s="1186">
        <f>WORK!I392</f>
        <v>0</v>
      </c>
      <c r="D59" s="1163"/>
      <c r="E59" s="1163"/>
      <c r="F59" s="1186">
        <f t="shared" si="7"/>
        <v>0</v>
      </c>
      <c r="G59" s="1186" t="s">
        <v>421</v>
      </c>
      <c r="H59" s="1187">
        <v>0</v>
      </c>
      <c r="I59" s="1188">
        <f t="shared" si="9"/>
        <v>0</v>
      </c>
      <c r="J59" s="1187">
        <v>0</v>
      </c>
      <c r="K59" s="1185">
        <v>0</v>
      </c>
      <c r="L59" s="1188">
        <f t="shared" si="10"/>
        <v>0</v>
      </c>
      <c r="M59" s="1185">
        <v>0</v>
      </c>
      <c r="N59" s="1185">
        <v>0</v>
      </c>
      <c r="O59" s="1187">
        <v>0</v>
      </c>
      <c r="P59" s="1187">
        <v>0</v>
      </c>
      <c r="Q59" s="1187">
        <v>0</v>
      </c>
      <c r="R59" s="1187">
        <v>0</v>
      </c>
      <c r="S59" s="1190">
        <f t="shared" si="8"/>
        <v>0</v>
      </c>
      <c r="T59" s="1186">
        <f>$T$56</f>
        <v>340</v>
      </c>
      <c r="U59" s="1188" t="s">
        <v>4</v>
      </c>
    </row>
    <row r="60" spans="1:21" ht="20.100000000000001" hidden="1" customHeight="1">
      <c r="A60" s="1185">
        <v>12</v>
      </c>
      <c r="B60" s="1163" t="s">
        <v>131</v>
      </c>
      <c r="C60" s="1186">
        <f>WORK!I440</f>
        <v>0</v>
      </c>
      <c r="D60" s="1186">
        <f>FF!I74</f>
        <v>0</v>
      </c>
      <c r="E60" s="1186">
        <f>SF!I45</f>
        <v>0</v>
      </c>
      <c r="F60" s="1186">
        <f t="shared" si="7"/>
        <v>0</v>
      </c>
      <c r="G60" s="1186" t="s">
        <v>421</v>
      </c>
      <c r="H60" s="1187">
        <v>0</v>
      </c>
      <c r="I60" s="1188">
        <f t="shared" si="9"/>
        <v>0</v>
      </c>
      <c r="J60" s="1187">
        <v>0</v>
      </c>
      <c r="K60" s="1185">
        <v>0</v>
      </c>
      <c r="L60" s="1188">
        <f t="shared" si="10"/>
        <v>0</v>
      </c>
      <c r="M60" s="1185">
        <v>0</v>
      </c>
      <c r="N60" s="1185">
        <v>0</v>
      </c>
      <c r="O60" s="1187">
        <v>0</v>
      </c>
      <c r="P60" s="1187">
        <v>0</v>
      </c>
      <c r="Q60" s="1187">
        <v>0</v>
      </c>
      <c r="R60" s="1187">
        <v>0</v>
      </c>
      <c r="S60" s="1190">
        <f t="shared" si="8"/>
        <v>0</v>
      </c>
      <c r="T60" s="1186">
        <f>$T$56</f>
        <v>340</v>
      </c>
      <c r="U60" s="1188" t="s">
        <v>4</v>
      </c>
    </row>
    <row r="61" spans="1:21" ht="20.100000000000001" hidden="1" customHeight="1">
      <c r="A61" s="1185">
        <v>14</v>
      </c>
      <c r="B61" s="1191" t="s">
        <v>236</v>
      </c>
      <c r="C61" s="1186">
        <f>ROUND(WORK!I489*0.15,2)</f>
        <v>0</v>
      </c>
      <c r="D61" s="1186">
        <f>ROUND(FF!I120*0.15,2)</f>
        <v>0</v>
      </c>
      <c r="E61" s="1186">
        <f>ROUND(SF!I69*0.15,2)</f>
        <v>0</v>
      </c>
      <c r="F61" s="1186">
        <f t="shared" si="7"/>
        <v>0</v>
      </c>
      <c r="G61" s="1186" t="s">
        <v>422</v>
      </c>
      <c r="H61" s="1187">
        <v>0</v>
      </c>
      <c r="I61" s="1188">
        <f t="shared" si="9"/>
        <v>0</v>
      </c>
      <c r="J61" s="1187">
        <v>0</v>
      </c>
      <c r="K61" s="1185">
        <v>0</v>
      </c>
      <c r="L61" s="1188">
        <f t="shared" si="10"/>
        <v>0</v>
      </c>
      <c r="M61" s="1185">
        <v>0</v>
      </c>
      <c r="N61" s="1185">
        <v>0</v>
      </c>
      <c r="O61" s="1187">
        <v>0</v>
      </c>
      <c r="P61" s="1187">
        <v>0</v>
      </c>
      <c r="Q61" s="1187">
        <v>0</v>
      </c>
      <c r="R61" s="1187">
        <v>0</v>
      </c>
      <c r="S61" s="1190">
        <f t="shared" si="8"/>
        <v>0</v>
      </c>
      <c r="T61" s="1186">
        <f>ROUND(T60,2)</f>
        <v>340</v>
      </c>
      <c r="U61" s="1188" t="s">
        <v>4</v>
      </c>
    </row>
    <row r="62" spans="1:21" ht="20.100000000000001" hidden="1" customHeight="1">
      <c r="A62" s="1185">
        <v>13</v>
      </c>
      <c r="B62" s="1191" t="s">
        <v>237</v>
      </c>
      <c r="C62" s="1186">
        <f>ROUND(WORK!I512*0.125,2)</f>
        <v>0</v>
      </c>
      <c r="D62" s="1186">
        <f>ROUND(FF!I146*0.125,2)</f>
        <v>0</v>
      </c>
      <c r="E62" s="1186">
        <f>ROUND(SF!I91*0.125,2)</f>
        <v>0</v>
      </c>
      <c r="F62" s="1186">
        <f t="shared" si="7"/>
        <v>0</v>
      </c>
      <c r="G62" s="1186" t="s">
        <v>422</v>
      </c>
      <c r="H62" s="1187">
        <v>0</v>
      </c>
      <c r="I62" s="1188">
        <f t="shared" si="9"/>
        <v>0</v>
      </c>
      <c r="J62" s="1187">
        <v>0</v>
      </c>
      <c r="K62" s="1185">
        <v>0</v>
      </c>
      <c r="L62" s="1188">
        <f t="shared" si="10"/>
        <v>0</v>
      </c>
      <c r="M62" s="1185">
        <v>0</v>
      </c>
      <c r="N62" s="1185">
        <v>0</v>
      </c>
      <c r="O62" s="1187">
        <v>0</v>
      </c>
      <c r="P62" s="1187">
        <v>0</v>
      </c>
      <c r="Q62" s="1187">
        <v>0</v>
      </c>
      <c r="R62" s="1187">
        <v>0</v>
      </c>
      <c r="S62" s="1190">
        <f t="shared" si="8"/>
        <v>0</v>
      </c>
      <c r="T62" s="1186">
        <f>ROUND(T60,2)</f>
        <v>340</v>
      </c>
      <c r="U62" s="1188" t="s">
        <v>4</v>
      </c>
    </row>
    <row r="63" spans="1:21" ht="20.100000000000001" hidden="1" customHeight="1">
      <c r="A63" s="1185">
        <v>10</v>
      </c>
      <c r="B63" s="1191" t="s">
        <v>605</v>
      </c>
      <c r="C63" s="1186">
        <f>ROUND(WORK!I536*0.1,2)</f>
        <v>0</v>
      </c>
      <c r="D63" s="1186">
        <f>ROUND(FF!I169*0.1,2)</f>
        <v>0</v>
      </c>
      <c r="E63" s="1186">
        <f>ROUND(SF!I111*0.1,2)</f>
        <v>0</v>
      </c>
      <c r="F63" s="1186">
        <f t="shared" si="7"/>
        <v>0</v>
      </c>
      <c r="G63" s="1186" t="s">
        <v>422</v>
      </c>
      <c r="H63" s="1187">
        <v>0</v>
      </c>
      <c r="I63" s="1188">
        <f t="shared" si="9"/>
        <v>0</v>
      </c>
      <c r="J63" s="1187">
        <v>0</v>
      </c>
      <c r="K63" s="1185">
        <v>0</v>
      </c>
      <c r="L63" s="1188">
        <f t="shared" si="10"/>
        <v>0</v>
      </c>
      <c r="M63" s="1185">
        <v>0</v>
      </c>
      <c r="N63" s="1185">
        <v>0</v>
      </c>
      <c r="O63" s="1187">
        <v>0</v>
      </c>
      <c r="P63" s="1187">
        <v>0</v>
      </c>
      <c r="Q63" s="1187">
        <v>0</v>
      </c>
      <c r="R63" s="1187">
        <v>0</v>
      </c>
      <c r="S63" s="1190">
        <f t="shared" si="8"/>
        <v>0</v>
      </c>
      <c r="T63" s="1186">
        <f>T62</f>
        <v>340</v>
      </c>
      <c r="U63" s="1188" t="s">
        <v>4</v>
      </c>
    </row>
    <row r="64" spans="1:21" ht="20.100000000000001" hidden="1" customHeight="1">
      <c r="A64" s="1185">
        <v>9</v>
      </c>
      <c r="B64" s="1191" t="s">
        <v>1231</v>
      </c>
      <c r="C64" s="1186">
        <f>ROUND(WORK!I559*0.05,2)</f>
        <v>0</v>
      </c>
      <c r="D64" s="1186">
        <f>ROUND(FF!I191*0.05,2)</f>
        <v>0</v>
      </c>
      <c r="E64" s="1186">
        <f>ROUND(SF!I133*0.05,2)</f>
        <v>0</v>
      </c>
      <c r="F64" s="1186">
        <f t="shared" si="7"/>
        <v>0</v>
      </c>
      <c r="G64" s="1186" t="s">
        <v>422</v>
      </c>
      <c r="H64" s="1187">
        <v>0</v>
      </c>
      <c r="I64" s="1188">
        <f t="shared" si="9"/>
        <v>0</v>
      </c>
      <c r="J64" s="1187">
        <v>0</v>
      </c>
      <c r="K64" s="1185">
        <v>0</v>
      </c>
      <c r="L64" s="1188">
        <f t="shared" si="10"/>
        <v>0</v>
      </c>
      <c r="M64" s="1185">
        <v>0</v>
      </c>
      <c r="N64" s="1185">
        <v>0</v>
      </c>
      <c r="O64" s="1187">
        <v>0</v>
      </c>
      <c r="P64" s="1187">
        <v>0</v>
      </c>
      <c r="Q64" s="1187">
        <v>0</v>
      </c>
      <c r="R64" s="1187">
        <v>0</v>
      </c>
      <c r="S64" s="1190">
        <f t="shared" si="8"/>
        <v>0</v>
      </c>
      <c r="T64" s="1186">
        <f>T63</f>
        <v>340</v>
      </c>
      <c r="U64" s="1188" t="s">
        <v>4</v>
      </c>
    </row>
    <row r="65" spans="1:21" ht="20.100000000000001" hidden="1" customHeight="1">
      <c r="A65" s="1185">
        <v>16</v>
      </c>
      <c r="B65" s="1191" t="s">
        <v>1440</v>
      </c>
      <c r="C65" s="1186">
        <f>ROUND(WORK!I585*0.025,2)</f>
        <v>0</v>
      </c>
      <c r="D65" s="1186">
        <f>ROUND(FF!I215*0.025,2)</f>
        <v>0</v>
      </c>
      <c r="E65" s="1186">
        <f>ROUND(SF!I157*0.025,2)</f>
        <v>0</v>
      </c>
      <c r="F65" s="1186">
        <f t="shared" si="7"/>
        <v>0</v>
      </c>
      <c r="G65" s="1186" t="s">
        <v>422</v>
      </c>
      <c r="H65" s="1187">
        <v>0</v>
      </c>
      <c r="I65" s="1188">
        <f t="shared" si="9"/>
        <v>0</v>
      </c>
      <c r="J65" s="1187">
        <v>0</v>
      </c>
      <c r="K65" s="1185">
        <v>0</v>
      </c>
      <c r="L65" s="1188">
        <f t="shared" si="10"/>
        <v>0</v>
      </c>
      <c r="M65" s="1185">
        <v>0</v>
      </c>
      <c r="N65" s="1185">
        <v>0</v>
      </c>
      <c r="O65" s="1187">
        <v>0</v>
      </c>
      <c r="P65" s="1187">
        <v>0</v>
      </c>
      <c r="Q65" s="1187">
        <v>0</v>
      </c>
      <c r="R65" s="1187">
        <v>0</v>
      </c>
      <c r="S65" s="1190">
        <f t="shared" si="8"/>
        <v>0</v>
      </c>
      <c r="T65" s="1186">
        <f>T64</f>
        <v>340</v>
      </c>
      <c r="U65" s="1188" t="s">
        <v>4</v>
      </c>
    </row>
    <row r="66" spans="1:21" ht="20.100000000000001" hidden="1" customHeight="1">
      <c r="A66" s="1185">
        <v>10</v>
      </c>
      <c r="B66" s="1163" t="s">
        <v>129</v>
      </c>
      <c r="C66" s="1186">
        <f>WORK!I619</f>
        <v>0</v>
      </c>
      <c r="D66" s="1186">
        <f>FF!I259</f>
        <v>0</v>
      </c>
      <c r="E66" s="1186">
        <f>SF!I183</f>
        <v>0</v>
      </c>
      <c r="F66" s="1186">
        <f t="shared" si="7"/>
        <v>0</v>
      </c>
      <c r="G66" s="1186" t="s">
        <v>421</v>
      </c>
      <c r="H66" s="1187">
        <v>0</v>
      </c>
      <c r="I66" s="1188">
        <f t="shared" si="9"/>
        <v>0</v>
      </c>
      <c r="J66" s="1187">
        <v>0</v>
      </c>
      <c r="K66" s="1185">
        <v>0</v>
      </c>
      <c r="L66" s="1188">
        <f t="shared" si="10"/>
        <v>0</v>
      </c>
      <c r="M66" s="1185">
        <v>0</v>
      </c>
      <c r="N66" s="1185">
        <v>0</v>
      </c>
      <c r="O66" s="1187">
        <v>0</v>
      </c>
      <c r="P66" s="1187">
        <v>0</v>
      </c>
      <c r="Q66" s="1187">
        <v>0</v>
      </c>
      <c r="R66" s="1187">
        <v>0</v>
      </c>
      <c r="S66" s="1190">
        <f t="shared" si="8"/>
        <v>0</v>
      </c>
      <c r="T66" s="1186">
        <f>$T$56</f>
        <v>340</v>
      </c>
      <c r="U66" s="1188" t="s">
        <v>4</v>
      </c>
    </row>
    <row r="67" spans="1:21" ht="20.100000000000001" hidden="1" customHeight="1">
      <c r="A67" s="1185">
        <v>11</v>
      </c>
      <c r="B67" s="1163" t="s">
        <v>130</v>
      </c>
      <c r="C67" s="1186">
        <f>WORK!I649</f>
        <v>0</v>
      </c>
      <c r="D67" s="1186">
        <f>FF!I288</f>
        <v>0</v>
      </c>
      <c r="E67" s="1186">
        <f>SF!I207</f>
        <v>0</v>
      </c>
      <c r="F67" s="1186">
        <f t="shared" si="7"/>
        <v>0</v>
      </c>
      <c r="G67" s="1186" t="s">
        <v>82</v>
      </c>
      <c r="H67" s="1187">
        <v>0</v>
      </c>
      <c r="I67" s="1188">
        <f>ROUND(F67*0.0375*0.8,2)</f>
        <v>0</v>
      </c>
      <c r="J67" s="1187">
        <v>0</v>
      </c>
      <c r="K67" s="1185">
        <v>0</v>
      </c>
      <c r="L67" s="1188">
        <f>ROUND(F67*0.0375*0.4,2)</f>
        <v>0</v>
      </c>
      <c r="M67" s="1185">
        <v>0</v>
      </c>
      <c r="N67" s="1185">
        <v>0</v>
      </c>
      <c r="O67" s="1187">
        <v>0</v>
      </c>
      <c r="P67" s="1187">
        <v>0</v>
      </c>
      <c r="Q67" s="1187">
        <v>0</v>
      </c>
      <c r="R67" s="1187">
        <v>0</v>
      </c>
      <c r="S67" s="1190">
        <f t="shared" si="8"/>
        <v>0</v>
      </c>
      <c r="T67" s="1195">
        <f>ROUND(T66*0.0375,2)</f>
        <v>12.75</v>
      </c>
      <c r="U67" s="1188" t="s">
        <v>4</v>
      </c>
    </row>
    <row r="68" spans="1:21" ht="20.100000000000001" hidden="1" customHeight="1">
      <c r="A68" s="1185">
        <v>19</v>
      </c>
      <c r="B68" s="1191" t="s">
        <v>1441</v>
      </c>
      <c r="C68" s="1186">
        <f>WORK!I672</f>
        <v>0</v>
      </c>
      <c r="D68" s="1186">
        <f>FF!I314</f>
        <v>0</v>
      </c>
      <c r="E68" s="1186">
        <f>SF!I227</f>
        <v>0</v>
      </c>
      <c r="F68" s="1186">
        <f t="shared" si="7"/>
        <v>0</v>
      </c>
      <c r="G68" s="1186" t="s">
        <v>422</v>
      </c>
      <c r="H68" s="1187">
        <v>0</v>
      </c>
      <c r="I68" s="1187">
        <v>0</v>
      </c>
      <c r="J68" s="1187">
        <v>0</v>
      </c>
      <c r="K68" s="1185">
        <v>0</v>
      </c>
      <c r="L68" s="1187">
        <v>0</v>
      </c>
      <c r="M68" s="1185">
        <v>0</v>
      </c>
      <c r="N68" s="1188">
        <f>ROUND(F68*0.015*1.05,2)</f>
        <v>0</v>
      </c>
      <c r="O68" s="1187">
        <v>0</v>
      </c>
      <c r="P68" s="1187">
        <v>0</v>
      </c>
      <c r="Q68" s="1187">
        <v>0</v>
      </c>
      <c r="R68" s="1187">
        <v>0</v>
      </c>
      <c r="S68" s="1190">
        <f t="shared" si="8"/>
        <v>0</v>
      </c>
      <c r="T68" s="1186">
        <v>7.2</v>
      </c>
      <c r="U68" s="1188" t="s">
        <v>4</v>
      </c>
    </row>
    <row r="69" spans="1:21" ht="20.100000000000001" hidden="1" customHeight="1">
      <c r="A69" s="1185">
        <v>16</v>
      </c>
      <c r="B69" s="1191" t="s">
        <v>1226</v>
      </c>
      <c r="C69" s="1186">
        <f>WORK!I696</f>
        <v>0</v>
      </c>
      <c r="D69" s="1186">
        <f>FF!I338</f>
        <v>0</v>
      </c>
      <c r="E69" s="1186">
        <f>SF!I249</f>
        <v>0</v>
      </c>
      <c r="F69" s="1186">
        <f t="shared" si="7"/>
        <v>0</v>
      </c>
      <c r="G69" s="1186" t="s">
        <v>422</v>
      </c>
      <c r="H69" s="1187">
        <v>0</v>
      </c>
      <c r="I69" s="1187">
        <v>0</v>
      </c>
      <c r="J69" s="1187">
        <v>0</v>
      </c>
      <c r="K69" s="1185">
        <v>0</v>
      </c>
      <c r="L69" s="1187">
        <v>0</v>
      </c>
      <c r="M69" s="1185">
        <v>0</v>
      </c>
      <c r="N69" s="1188">
        <f>ROUND(F69*0.021*1.05,2)</f>
        <v>0</v>
      </c>
      <c r="O69" s="1187">
        <v>0</v>
      </c>
      <c r="P69" s="1187">
        <v>0</v>
      </c>
      <c r="Q69" s="1187">
        <v>0</v>
      </c>
      <c r="R69" s="1187">
        <v>0</v>
      </c>
      <c r="S69" s="1190">
        <f t="shared" si="8"/>
        <v>0</v>
      </c>
      <c r="T69" s="1186">
        <v>10.08</v>
      </c>
      <c r="U69" s="1188" t="s">
        <v>4</v>
      </c>
    </row>
    <row r="70" spans="1:21" ht="20.100000000000001" hidden="1" customHeight="1">
      <c r="A70" s="1185">
        <v>13</v>
      </c>
      <c r="B70" s="1163" t="s">
        <v>1194</v>
      </c>
      <c r="C70" s="1186">
        <f>WORK!I722</f>
        <v>0</v>
      </c>
      <c r="D70" s="1186"/>
      <c r="E70" s="1186"/>
      <c r="F70" s="1186">
        <f t="shared" si="7"/>
        <v>0</v>
      </c>
      <c r="G70" s="1186" t="s">
        <v>421</v>
      </c>
      <c r="H70" s="1187">
        <v>0</v>
      </c>
      <c r="I70" s="1187">
        <v>0</v>
      </c>
      <c r="J70" s="1187">
        <v>0</v>
      </c>
      <c r="K70" s="1188">
        <f>ROUND(F70*1.1,2)</f>
        <v>0</v>
      </c>
      <c r="L70" s="1187">
        <v>0</v>
      </c>
      <c r="M70" s="1188">
        <f>ROUND(F70*0.33,2)</f>
        <v>0</v>
      </c>
      <c r="N70" s="1187">
        <v>0</v>
      </c>
      <c r="O70" s="1187">
        <v>0</v>
      </c>
      <c r="P70" s="1187">
        <v>0</v>
      </c>
      <c r="Q70" s="1188"/>
      <c r="R70" s="1187">
        <v>0</v>
      </c>
      <c r="S70" s="1190">
        <f t="shared" si="8"/>
        <v>0</v>
      </c>
      <c r="T70" s="1186">
        <v>59.4</v>
      </c>
      <c r="U70" s="1188" t="s">
        <v>4</v>
      </c>
    </row>
    <row r="71" spans="1:21" ht="20.100000000000001" hidden="1" customHeight="1">
      <c r="A71" s="1185">
        <v>20</v>
      </c>
      <c r="B71" s="1163" t="s">
        <v>134</v>
      </c>
      <c r="C71" s="1186">
        <f>WORK!I772</f>
        <v>0</v>
      </c>
      <c r="D71" s="1186">
        <f>FF!I362</f>
        <v>0</v>
      </c>
      <c r="E71" s="1186">
        <f>SF!I274</f>
        <v>0</v>
      </c>
      <c r="F71" s="1186">
        <f t="shared" si="7"/>
        <v>0</v>
      </c>
      <c r="G71" s="1186" t="s">
        <v>421</v>
      </c>
      <c r="H71" s="1187">
        <v>0</v>
      </c>
      <c r="I71" s="1187">
        <v>0</v>
      </c>
      <c r="J71" s="1187">
        <v>0</v>
      </c>
      <c r="K71" s="1185">
        <v>0</v>
      </c>
      <c r="L71" s="1187">
        <v>0</v>
      </c>
      <c r="M71" s="1188">
        <f>ROUND(F71*0.2,2)</f>
        <v>0</v>
      </c>
      <c r="N71" s="1187">
        <v>0</v>
      </c>
      <c r="O71" s="1187">
        <v>0</v>
      </c>
      <c r="P71" s="1187">
        <v>0</v>
      </c>
      <c r="Q71" s="1188">
        <f>ROUND(F71*512/1000,2)</f>
        <v>0</v>
      </c>
      <c r="R71" s="1187">
        <v>0</v>
      </c>
      <c r="S71" s="1190">
        <f t="shared" si="8"/>
        <v>0</v>
      </c>
      <c r="T71" s="1186">
        <v>36</v>
      </c>
      <c r="U71" s="1188" t="s">
        <v>4</v>
      </c>
    </row>
    <row r="72" spans="1:21" ht="20.100000000000001" hidden="1" customHeight="1">
      <c r="A72" s="1185">
        <v>12</v>
      </c>
      <c r="B72" s="1163" t="s">
        <v>906</v>
      </c>
      <c r="C72" s="1186">
        <f>WORK!I833</f>
        <v>0</v>
      </c>
      <c r="D72" s="1186">
        <f>FF!I435</f>
        <v>0</v>
      </c>
      <c r="E72" s="1186">
        <f>SF!I307</f>
        <v>0</v>
      </c>
      <c r="F72" s="1186">
        <f t="shared" si="7"/>
        <v>0</v>
      </c>
      <c r="G72" s="1186" t="s">
        <v>421</v>
      </c>
      <c r="H72" s="1187">
        <v>0</v>
      </c>
      <c r="I72" s="1187">
        <v>0</v>
      </c>
      <c r="J72" s="1187">
        <v>0</v>
      </c>
      <c r="K72" s="1185">
        <v>0</v>
      </c>
      <c r="L72" s="1187">
        <v>0</v>
      </c>
      <c r="M72" s="1188">
        <f>ROUND(F72*0.2,2)</f>
        <v>0</v>
      </c>
      <c r="N72" s="1187">
        <v>0</v>
      </c>
      <c r="O72" s="1187">
        <v>0</v>
      </c>
      <c r="P72" s="1187">
        <v>0</v>
      </c>
      <c r="Q72" s="1188">
        <f>ROUND(F72*512/1000,2)</f>
        <v>0</v>
      </c>
      <c r="R72" s="1187">
        <v>0</v>
      </c>
      <c r="S72" s="1190">
        <f t="shared" si="8"/>
        <v>0</v>
      </c>
      <c r="T72" s="1186">
        <v>48</v>
      </c>
      <c r="U72" s="1188" t="s">
        <v>4</v>
      </c>
    </row>
    <row r="73" spans="1:21" ht="20.100000000000001" hidden="1" customHeight="1">
      <c r="A73" s="1185">
        <v>13</v>
      </c>
      <c r="B73" s="1163" t="s">
        <v>3637</v>
      </c>
      <c r="C73" s="1186">
        <f>WORK!I885</f>
        <v>0</v>
      </c>
      <c r="D73" s="1186">
        <f>FF!I520</f>
        <v>0</v>
      </c>
      <c r="E73" s="1186">
        <f>SF!I333</f>
        <v>0</v>
      </c>
      <c r="F73" s="1186">
        <f t="shared" si="7"/>
        <v>0</v>
      </c>
      <c r="G73" s="1186" t="s">
        <v>422</v>
      </c>
      <c r="H73" s="1187">
        <v>0</v>
      </c>
      <c r="I73" s="1188"/>
      <c r="J73" s="1187">
        <v>0</v>
      </c>
      <c r="K73" s="1185">
        <v>0</v>
      </c>
      <c r="L73" s="1187">
        <v>0</v>
      </c>
      <c r="M73" s="1188">
        <f>ROUND(F73*0.022,2)</f>
        <v>0</v>
      </c>
      <c r="N73" s="1187">
        <v>0</v>
      </c>
      <c r="O73" s="1187">
        <v>0</v>
      </c>
      <c r="P73" s="1187">
        <v>0</v>
      </c>
      <c r="Q73" s="1188">
        <f>ROUND(F73*512*0.1/1000,2)</f>
        <v>0</v>
      </c>
      <c r="R73" s="1187">
        <v>0</v>
      </c>
      <c r="S73" s="1190">
        <f t="shared" si="8"/>
        <v>0</v>
      </c>
      <c r="T73" s="1186">
        <v>7.2</v>
      </c>
      <c r="U73" s="1188" t="s">
        <v>4</v>
      </c>
    </row>
    <row r="74" spans="1:21" ht="20.100000000000001" hidden="1" customHeight="1">
      <c r="A74" s="1185">
        <v>16</v>
      </c>
      <c r="B74" s="1163" t="s">
        <v>1214</v>
      </c>
      <c r="C74" s="1186">
        <f>WORK!I924</f>
        <v>0</v>
      </c>
      <c r="D74" s="1186">
        <f>FF!I564</f>
        <v>0</v>
      </c>
      <c r="E74" s="1186">
        <f>SF!I361</f>
        <v>0</v>
      </c>
      <c r="F74" s="1186">
        <f t="shared" si="7"/>
        <v>0</v>
      </c>
      <c r="G74" s="1186" t="s">
        <v>421</v>
      </c>
      <c r="H74" s="1187">
        <v>0</v>
      </c>
      <c r="I74" s="1187">
        <v>0</v>
      </c>
      <c r="J74" s="1187">
        <v>0</v>
      </c>
      <c r="K74" s="1185">
        <v>0</v>
      </c>
      <c r="L74" s="1187">
        <v>0</v>
      </c>
      <c r="M74" s="1188">
        <f>ROUND(F74*0.1*1.05,2)</f>
        <v>0</v>
      </c>
      <c r="N74" s="1187">
        <v>0</v>
      </c>
      <c r="O74" s="1187">
        <v>0</v>
      </c>
      <c r="P74" s="1187">
        <v>0</v>
      </c>
      <c r="Q74" s="1188">
        <f>ROUND(F74*110/1000,2)</f>
        <v>0</v>
      </c>
      <c r="R74" s="1187">
        <v>0</v>
      </c>
      <c r="S74" s="1190">
        <f t="shared" si="8"/>
        <v>0</v>
      </c>
      <c r="T74" s="1186">
        <v>24</v>
      </c>
      <c r="U74" s="1188" t="s">
        <v>4</v>
      </c>
    </row>
    <row r="75" spans="1:21" ht="20.100000000000001" hidden="1" customHeight="1">
      <c r="A75" s="1185">
        <v>20</v>
      </c>
      <c r="B75" s="1191" t="s">
        <v>1215</v>
      </c>
      <c r="C75" s="1186">
        <f>WORK!I952</f>
        <v>0</v>
      </c>
      <c r="D75" s="1186">
        <f>FF!I590</f>
        <v>0</v>
      </c>
      <c r="E75" s="1186"/>
      <c r="F75" s="1186">
        <f t="shared" si="7"/>
        <v>0</v>
      </c>
      <c r="G75" s="1186" t="s">
        <v>422</v>
      </c>
      <c r="H75" s="1187">
        <v>0</v>
      </c>
      <c r="I75" s="1187">
        <v>0</v>
      </c>
      <c r="J75" s="1187">
        <v>0</v>
      </c>
      <c r="K75" s="1185">
        <v>0</v>
      </c>
      <c r="L75" s="1187">
        <v>0</v>
      </c>
      <c r="M75" s="1187">
        <v>0</v>
      </c>
      <c r="N75" s="1188">
        <f>ROUND(F75*((0.015*1.05)+(0.025*1.05)),2)</f>
        <v>0</v>
      </c>
      <c r="O75" s="1187">
        <v>0</v>
      </c>
      <c r="P75" s="1187">
        <v>0</v>
      </c>
      <c r="Q75" s="1187">
        <v>0</v>
      </c>
      <c r="R75" s="1187">
        <v>0</v>
      </c>
      <c r="S75" s="1190">
        <f t="shared" si="8"/>
        <v>0</v>
      </c>
      <c r="T75" s="1186">
        <v>20.89</v>
      </c>
      <c r="U75" s="1188" t="s">
        <v>4</v>
      </c>
    </row>
    <row r="76" spans="1:21" ht="20.100000000000001" hidden="1" customHeight="1">
      <c r="A76" s="1185">
        <v>22</v>
      </c>
      <c r="B76" s="1191" t="s">
        <v>137</v>
      </c>
      <c r="C76" s="1186">
        <f>WORK!I996</f>
        <v>0</v>
      </c>
      <c r="D76" s="1186">
        <f>FF!I652</f>
        <v>0</v>
      </c>
      <c r="E76" s="1186">
        <f>SF!I390</f>
        <v>0</v>
      </c>
      <c r="F76" s="1186">
        <f t="shared" si="7"/>
        <v>0</v>
      </c>
      <c r="G76" s="1186" t="s">
        <v>422</v>
      </c>
      <c r="H76" s="1187">
        <v>0</v>
      </c>
      <c r="I76" s="1187">
        <v>0</v>
      </c>
      <c r="J76" s="1187">
        <v>0</v>
      </c>
      <c r="K76" s="1185">
        <v>0</v>
      </c>
      <c r="L76" s="1187">
        <v>0</v>
      </c>
      <c r="M76" s="1187">
        <v>0</v>
      </c>
      <c r="N76" s="1188">
        <f>ROUND(F76*0.015*1.05,2)</f>
        <v>0</v>
      </c>
      <c r="O76" s="1187">
        <v>0</v>
      </c>
      <c r="P76" s="1187">
        <v>0</v>
      </c>
      <c r="Q76" s="1187">
        <v>0</v>
      </c>
      <c r="R76" s="1187">
        <v>0</v>
      </c>
      <c r="S76" s="1190">
        <f t="shared" si="8"/>
        <v>0</v>
      </c>
      <c r="T76" s="1186">
        <v>7.2</v>
      </c>
      <c r="U76" s="1188" t="s">
        <v>4</v>
      </c>
    </row>
    <row r="77" spans="1:21" ht="20.100000000000001" hidden="1" customHeight="1">
      <c r="A77" s="1185">
        <v>2</v>
      </c>
      <c r="B77" s="1191" t="s">
        <v>238</v>
      </c>
      <c r="C77" s="1186">
        <f>WORK!I1040</f>
        <v>0</v>
      </c>
      <c r="D77" s="1186">
        <f>FF!I694</f>
        <v>0</v>
      </c>
      <c r="E77" s="1186">
        <f>SF!I420</f>
        <v>0</v>
      </c>
      <c r="F77" s="1186">
        <f t="shared" si="7"/>
        <v>0</v>
      </c>
      <c r="G77" s="1186" t="s">
        <v>422</v>
      </c>
      <c r="H77" s="1187">
        <v>0</v>
      </c>
      <c r="I77" s="1187">
        <v>0</v>
      </c>
      <c r="J77" s="1187">
        <v>0</v>
      </c>
      <c r="K77" s="1185">
        <v>0</v>
      </c>
      <c r="L77" s="1187">
        <v>0</v>
      </c>
      <c r="M77" s="1187">
        <v>0</v>
      </c>
      <c r="N77" s="1188">
        <f>ROUND(F77*0.015*1.05,2)</f>
        <v>0</v>
      </c>
      <c r="O77" s="1187">
        <v>0</v>
      </c>
      <c r="P77" s="1187">
        <v>0</v>
      </c>
      <c r="Q77" s="1187">
        <v>0</v>
      </c>
      <c r="R77" s="1187">
        <v>0</v>
      </c>
      <c r="S77" s="1190">
        <f t="shared" si="8"/>
        <v>0</v>
      </c>
      <c r="T77" s="1186">
        <v>4.32</v>
      </c>
      <c r="U77" s="1188" t="s">
        <v>4</v>
      </c>
    </row>
    <row r="78" spans="1:21" ht="20.100000000000001" hidden="1" customHeight="1">
      <c r="A78" s="1185">
        <v>3</v>
      </c>
      <c r="B78" s="1191" t="s">
        <v>604</v>
      </c>
      <c r="C78" s="1186">
        <f>WORK!I1066</f>
        <v>0</v>
      </c>
      <c r="D78" s="1186">
        <f>FF!I726</f>
        <v>0</v>
      </c>
      <c r="E78" s="1186">
        <f>SF!I452</f>
        <v>0</v>
      </c>
      <c r="F78" s="1186">
        <f t="shared" si="7"/>
        <v>0</v>
      </c>
      <c r="G78" s="1186" t="s">
        <v>422</v>
      </c>
      <c r="H78" s="1187">
        <v>0</v>
      </c>
      <c r="I78" s="1187">
        <v>0</v>
      </c>
      <c r="J78" s="1187">
        <v>0</v>
      </c>
      <c r="K78" s="1185">
        <v>0</v>
      </c>
      <c r="L78" s="1187">
        <v>0</v>
      </c>
      <c r="M78" s="1187">
        <v>0</v>
      </c>
      <c r="N78" s="1188">
        <f>ROUND(F78*0.021*1.05,2)</f>
        <v>0</v>
      </c>
      <c r="O78" s="1187">
        <v>0</v>
      </c>
      <c r="P78" s="1187">
        <v>0</v>
      </c>
      <c r="Q78" s="1187">
        <v>0</v>
      </c>
      <c r="R78" s="1187">
        <v>0</v>
      </c>
      <c r="S78" s="1190">
        <f t="shared" si="8"/>
        <v>0</v>
      </c>
      <c r="T78" s="1186">
        <v>6.05</v>
      </c>
      <c r="U78" s="1188" t="s">
        <v>4</v>
      </c>
    </row>
    <row r="79" spans="1:21" ht="20.100000000000001" hidden="1" customHeight="1">
      <c r="A79" s="1185">
        <v>23</v>
      </c>
      <c r="B79" s="1191" t="s">
        <v>904</v>
      </c>
      <c r="C79" s="1186">
        <f>WORK!I1118</f>
        <v>0</v>
      </c>
      <c r="D79" s="1186">
        <f>FF!I823</f>
        <v>0</v>
      </c>
      <c r="E79" s="1186">
        <f>SF!I489</f>
        <v>0</v>
      </c>
      <c r="F79" s="1186">
        <f t="shared" si="7"/>
        <v>0</v>
      </c>
      <c r="G79" s="1186" t="s">
        <v>422</v>
      </c>
      <c r="H79" s="1187">
        <v>0</v>
      </c>
      <c r="I79" s="1187">
        <v>0</v>
      </c>
      <c r="J79" s="1187">
        <v>0</v>
      </c>
      <c r="K79" s="1185">
        <v>0</v>
      </c>
      <c r="L79" s="1187">
        <v>0</v>
      </c>
      <c r="M79" s="1187">
        <v>0</v>
      </c>
      <c r="N79" s="1188">
        <f>ROUND(F79*0.015*1,2)</f>
        <v>0</v>
      </c>
      <c r="O79" s="1187">
        <v>0</v>
      </c>
      <c r="P79" s="1187">
        <v>0</v>
      </c>
      <c r="Q79" s="1187">
        <v>0</v>
      </c>
      <c r="R79" s="1187">
        <v>0</v>
      </c>
      <c r="S79" s="1190">
        <f t="shared" si="8"/>
        <v>0</v>
      </c>
      <c r="T79" s="1186">
        <v>5.09</v>
      </c>
      <c r="U79" s="1188" t="s">
        <v>4</v>
      </c>
    </row>
    <row r="80" spans="1:21" ht="20.100000000000001" hidden="1" customHeight="1">
      <c r="A80" s="1185">
        <v>24</v>
      </c>
      <c r="B80" s="1191" t="s">
        <v>603</v>
      </c>
      <c r="C80" s="1186">
        <f>WORK!I1177</f>
        <v>0</v>
      </c>
      <c r="D80" s="1186">
        <f>FF!I890</f>
        <v>0</v>
      </c>
      <c r="E80" s="1186">
        <f>SF!I525</f>
        <v>0</v>
      </c>
      <c r="F80" s="1186">
        <f t="shared" si="7"/>
        <v>0</v>
      </c>
      <c r="G80" s="1186" t="s">
        <v>422</v>
      </c>
      <c r="H80" s="1187">
        <v>0</v>
      </c>
      <c r="I80" s="1187">
        <v>0</v>
      </c>
      <c r="J80" s="1187">
        <v>0</v>
      </c>
      <c r="K80" s="1185">
        <v>0</v>
      </c>
      <c r="L80" s="1187">
        <v>0</v>
      </c>
      <c r="M80" s="1187">
        <v>0</v>
      </c>
      <c r="N80" s="1188">
        <f>ROUND(F80*0.022*1,2)</f>
        <v>0</v>
      </c>
      <c r="O80" s="1187">
        <v>0</v>
      </c>
      <c r="P80" s="1187">
        <v>0</v>
      </c>
      <c r="Q80" s="1187">
        <v>0</v>
      </c>
      <c r="R80" s="1187">
        <v>0</v>
      </c>
      <c r="S80" s="1190">
        <f t="shared" si="8"/>
        <v>0</v>
      </c>
      <c r="T80" s="1186">
        <v>5.75</v>
      </c>
      <c r="U80" s="1188" t="s">
        <v>4</v>
      </c>
    </row>
    <row r="81" spans="1:21" ht="20.100000000000001" hidden="1" customHeight="1">
      <c r="A81" s="1185">
        <v>19</v>
      </c>
      <c r="B81" s="1163" t="s">
        <v>447</v>
      </c>
      <c r="C81" s="1186">
        <f>WORK!I1213</f>
        <v>0</v>
      </c>
      <c r="D81" s="1186">
        <f>FF!I918</f>
        <v>0</v>
      </c>
      <c r="E81" s="1186">
        <f>SF!I549</f>
        <v>0</v>
      </c>
      <c r="F81" s="1186">
        <f t="shared" si="7"/>
        <v>0</v>
      </c>
      <c r="G81" s="1186" t="s">
        <v>421</v>
      </c>
      <c r="H81" s="1187">
        <v>0</v>
      </c>
      <c r="I81" s="1188">
        <f>ROUND(F81*0.8,2)</f>
        <v>0</v>
      </c>
      <c r="J81" s="1187">
        <v>0</v>
      </c>
      <c r="K81" s="1185">
        <v>0</v>
      </c>
      <c r="L81" s="1188">
        <f>ROUND(F81*0.4,2)</f>
        <v>0</v>
      </c>
      <c r="M81" s="1185">
        <v>0</v>
      </c>
      <c r="N81" s="1185">
        <v>0</v>
      </c>
      <c r="O81" s="1187">
        <v>0</v>
      </c>
      <c r="P81" s="1187">
        <v>0</v>
      </c>
      <c r="Q81" s="1187">
        <v>0</v>
      </c>
      <c r="R81" s="1187">
        <v>0</v>
      </c>
      <c r="S81" s="1190">
        <f t="shared" si="8"/>
        <v>0</v>
      </c>
      <c r="T81" s="1186">
        <f>$T$56</f>
        <v>340</v>
      </c>
      <c r="U81" s="1188" t="s">
        <v>4</v>
      </c>
    </row>
    <row r="82" spans="1:21" ht="20.100000000000001" hidden="1" customHeight="1">
      <c r="A82" s="1185">
        <v>25</v>
      </c>
      <c r="B82" s="1191" t="s">
        <v>241</v>
      </c>
      <c r="C82" s="1186">
        <f>WORK!I1242</f>
        <v>0</v>
      </c>
      <c r="D82" s="1186">
        <f>FF!I949</f>
        <v>0</v>
      </c>
      <c r="E82" s="1186">
        <f>SF!I571</f>
        <v>0</v>
      </c>
      <c r="F82" s="1186">
        <f t="shared" si="7"/>
        <v>0</v>
      </c>
      <c r="G82" s="1186" t="s">
        <v>422</v>
      </c>
      <c r="H82" s="1187">
        <v>0</v>
      </c>
      <c r="I82" s="1187">
        <v>0</v>
      </c>
      <c r="J82" s="1187">
        <v>0</v>
      </c>
      <c r="K82" s="1185">
        <v>0</v>
      </c>
      <c r="L82" s="1187">
        <v>0</v>
      </c>
      <c r="M82" s="1188">
        <f>ROUND(F82*0.014,2)</f>
        <v>0</v>
      </c>
      <c r="N82" s="1187">
        <v>0</v>
      </c>
      <c r="O82" s="1187">
        <v>0</v>
      </c>
      <c r="P82" s="1187">
        <v>0</v>
      </c>
      <c r="Q82" s="1187">
        <v>0</v>
      </c>
      <c r="R82" s="1187">
        <v>0</v>
      </c>
      <c r="S82" s="1190">
        <f t="shared" si="8"/>
        <v>0</v>
      </c>
      <c r="T82" s="1186">
        <v>6.06</v>
      </c>
      <c r="U82" s="1188" t="s">
        <v>4</v>
      </c>
    </row>
    <row r="83" spans="1:21" ht="20.100000000000001" hidden="1" customHeight="1">
      <c r="A83" s="1185">
        <v>26</v>
      </c>
      <c r="B83" s="1191" t="s">
        <v>242</v>
      </c>
      <c r="C83" s="1186">
        <f>WORK!I1278</f>
        <v>0</v>
      </c>
      <c r="D83" s="1186">
        <f>FF!I988</f>
        <v>0</v>
      </c>
      <c r="E83" s="1186">
        <f>SF!I597</f>
        <v>0</v>
      </c>
      <c r="F83" s="1186">
        <f t="shared" si="7"/>
        <v>0</v>
      </c>
      <c r="G83" s="1186" t="s">
        <v>422</v>
      </c>
      <c r="H83" s="1187">
        <v>0</v>
      </c>
      <c r="I83" s="1187">
        <v>0</v>
      </c>
      <c r="J83" s="1187">
        <v>0</v>
      </c>
      <c r="K83" s="1185">
        <v>0</v>
      </c>
      <c r="L83" s="1187">
        <v>0</v>
      </c>
      <c r="M83" s="1188">
        <f>ROUND(F83*0.012,2)</f>
        <v>0</v>
      </c>
      <c r="N83" s="1187">
        <v>0</v>
      </c>
      <c r="O83" s="1187">
        <v>0</v>
      </c>
      <c r="P83" s="1187">
        <v>0</v>
      </c>
      <c r="Q83" s="1187">
        <v>0</v>
      </c>
      <c r="R83" s="1187">
        <v>0</v>
      </c>
      <c r="S83" s="1190">
        <f t="shared" si="8"/>
        <v>0</v>
      </c>
      <c r="T83" s="1195">
        <v>6.7560000000000002</v>
      </c>
      <c r="U83" s="1188" t="s">
        <v>4</v>
      </c>
    </row>
    <row r="84" spans="1:21" ht="20.100000000000001" hidden="1" customHeight="1">
      <c r="A84" s="1185">
        <v>24</v>
      </c>
      <c r="B84" s="1191" t="s">
        <v>681</v>
      </c>
      <c r="C84" s="1186">
        <f>WORK!I1323</f>
        <v>0</v>
      </c>
      <c r="D84" s="1186">
        <f>FF!I1017</f>
        <v>0</v>
      </c>
      <c r="E84" s="1186">
        <f>SF!I625</f>
        <v>0</v>
      </c>
      <c r="F84" s="1186">
        <f t="shared" si="7"/>
        <v>0</v>
      </c>
      <c r="G84" s="1186" t="s">
        <v>422</v>
      </c>
      <c r="H84" s="1187">
        <v>0</v>
      </c>
      <c r="I84" s="1187">
        <v>0</v>
      </c>
      <c r="J84" s="1187">
        <v>0</v>
      </c>
      <c r="K84" s="1185">
        <v>0</v>
      </c>
      <c r="L84" s="1187">
        <v>0</v>
      </c>
      <c r="M84" s="1188">
        <f>ROUND(F84*0.014,2)</f>
        <v>0</v>
      </c>
      <c r="N84" s="1187">
        <v>0</v>
      </c>
      <c r="O84" s="1187">
        <v>0</v>
      </c>
      <c r="P84" s="1187">
        <v>0</v>
      </c>
      <c r="Q84" s="1187">
        <v>0</v>
      </c>
      <c r="R84" s="1187">
        <v>0</v>
      </c>
      <c r="S84" s="1190">
        <f t="shared" si="8"/>
        <v>0</v>
      </c>
      <c r="T84" s="1186">
        <v>7.5</v>
      </c>
      <c r="U84" s="1188" t="s">
        <v>4</v>
      </c>
    </row>
    <row r="85" spans="1:21" ht="20.100000000000001" hidden="1" customHeight="1">
      <c r="A85" s="1185">
        <v>25</v>
      </c>
      <c r="B85" s="1191" t="s">
        <v>682</v>
      </c>
      <c r="C85" s="1186">
        <f>WORK!I1367</f>
        <v>0</v>
      </c>
      <c r="D85" s="1186">
        <f>FF!I1057</f>
        <v>0</v>
      </c>
      <c r="E85" s="1186">
        <f>SF!I653</f>
        <v>0</v>
      </c>
      <c r="F85" s="1186">
        <f t="shared" si="7"/>
        <v>0</v>
      </c>
      <c r="G85" s="1186" t="s">
        <v>422</v>
      </c>
      <c r="H85" s="1187">
        <v>0</v>
      </c>
      <c r="I85" s="1187">
        <v>0</v>
      </c>
      <c r="J85" s="1187">
        <v>0</v>
      </c>
      <c r="K85" s="1185">
        <v>0</v>
      </c>
      <c r="L85" s="1187">
        <v>0</v>
      </c>
      <c r="M85" s="1188">
        <f>ROUND(F85*0.012,2)</f>
        <v>0</v>
      </c>
      <c r="N85" s="1187">
        <v>0</v>
      </c>
      <c r="O85" s="1187">
        <v>0</v>
      </c>
      <c r="P85" s="1187">
        <v>0</v>
      </c>
      <c r="Q85" s="1187">
        <v>0</v>
      </c>
      <c r="R85" s="1187">
        <v>0</v>
      </c>
      <c r="S85" s="1190">
        <f t="shared" si="8"/>
        <v>0</v>
      </c>
      <c r="T85" s="1195">
        <v>9.06</v>
      </c>
      <c r="U85" s="1188" t="s">
        <v>4</v>
      </c>
    </row>
    <row r="86" spans="1:21" ht="20.100000000000001" hidden="1" customHeight="1">
      <c r="A86" s="1185">
        <v>37</v>
      </c>
      <c r="B86" s="1191" t="s">
        <v>683</v>
      </c>
      <c r="C86" s="1186">
        <f>WORK!I1403</f>
        <v>0</v>
      </c>
      <c r="D86" s="1186">
        <f>FF!I1100</f>
        <v>0</v>
      </c>
      <c r="E86" s="1186">
        <f>SF!I681</f>
        <v>0</v>
      </c>
      <c r="F86" s="1186">
        <f t="shared" si="7"/>
        <v>0</v>
      </c>
      <c r="G86" s="1186" t="s">
        <v>422</v>
      </c>
      <c r="H86" s="1187">
        <v>0</v>
      </c>
      <c r="I86" s="1187">
        <v>0</v>
      </c>
      <c r="J86" s="1187">
        <v>0</v>
      </c>
      <c r="K86" s="1185">
        <v>0</v>
      </c>
      <c r="L86" s="1187">
        <v>0</v>
      </c>
      <c r="M86" s="1188">
        <f>ROUND(F86*0.014,2)</f>
        <v>0</v>
      </c>
      <c r="N86" s="1187">
        <v>0</v>
      </c>
      <c r="O86" s="1187">
        <v>0</v>
      </c>
      <c r="P86" s="1187">
        <v>0</v>
      </c>
      <c r="Q86" s="1187">
        <v>0</v>
      </c>
      <c r="R86" s="1187">
        <v>0</v>
      </c>
      <c r="S86" s="1190">
        <f t="shared" si="8"/>
        <v>0</v>
      </c>
      <c r="T86" s="1186">
        <v>7.5</v>
      </c>
      <c r="U86" s="1188" t="s">
        <v>4</v>
      </c>
    </row>
    <row r="87" spans="1:21" ht="20.100000000000001" hidden="1" customHeight="1">
      <c r="A87" s="1185">
        <v>38</v>
      </c>
      <c r="B87" s="1191" t="s">
        <v>684</v>
      </c>
      <c r="C87" s="1186">
        <f>WORK!I1432</f>
        <v>0</v>
      </c>
      <c r="D87" s="1186">
        <f>FF!I1134</f>
        <v>0</v>
      </c>
      <c r="E87" s="1186">
        <f>SF!I709</f>
        <v>0</v>
      </c>
      <c r="F87" s="1186">
        <f t="shared" si="7"/>
        <v>0</v>
      </c>
      <c r="G87" s="1186" t="s">
        <v>422</v>
      </c>
      <c r="H87" s="1187">
        <v>0</v>
      </c>
      <c r="I87" s="1187">
        <v>0</v>
      </c>
      <c r="J87" s="1187">
        <v>0</v>
      </c>
      <c r="K87" s="1185">
        <v>0</v>
      </c>
      <c r="L87" s="1187">
        <v>0</v>
      </c>
      <c r="M87" s="1188">
        <f>ROUND(F87*0.012,2)</f>
        <v>0</v>
      </c>
      <c r="N87" s="1187">
        <v>0</v>
      </c>
      <c r="O87" s="1187">
        <v>0</v>
      </c>
      <c r="P87" s="1187">
        <v>0</v>
      </c>
      <c r="Q87" s="1187">
        <v>0</v>
      </c>
      <c r="R87" s="1187">
        <v>0</v>
      </c>
      <c r="S87" s="1190">
        <f t="shared" si="8"/>
        <v>0</v>
      </c>
      <c r="T87" s="1195">
        <v>6.7560000000000002</v>
      </c>
      <c r="U87" s="1188" t="s">
        <v>4</v>
      </c>
    </row>
    <row r="88" spans="1:21" ht="20.100000000000001" hidden="1" customHeight="1">
      <c r="A88" s="1185">
        <v>28</v>
      </c>
      <c r="B88" s="1191" t="s">
        <v>239</v>
      </c>
      <c r="C88" s="1186">
        <f>WORK!I1457</f>
        <v>0</v>
      </c>
      <c r="D88" s="1186">
        <f>FF!I1163</f>
        <v>0</v>
      </c>
      <c r="E88" s="1186">
        <f>SF!I737</f>
        <v>0</v>
      </c>
      <c r="F88" s="1186">
        <f t="shared" si="7"/>
        <v>0</v>
      </c>
      <c r="G88" s="1186" t="s">
        <v>422</v>
      </c>
      <c r="H88" s="1187">
        <v>0</v>
      </c>
      <c r="I88" s="1187">
        <v>0</v>
      </c>
      <c r="J88" s="1187">
        <v>0</v>
      </c>
      <c r="K88" s="1185">
        <v>0</v>
      </c>
      <c r="L88" s="1187">
        <v>0</v>
      </c>
      <c r="M88" s="1188">
        <f>ROUND(F88*0.012,2)</f>
        <v>0</v>
      </c>
      <c r="N88" s="1187">
        <v>0</v>
      </c>
      <c r="O88" s="1187">
        <v>0</v>
      </c>
      <c r="P88" s="1187">
        <v>0</v>
      </c>
      <c r="Q88" s="1187">
        <v>0</v>
      </c>
      <c r="R88" s="1187">
        <v>0</v>
      </c>
      <c r="S88" s="1190">
        <f t="shared" si="8"/>
        <v>0</v>
      </c>
      <c r="T88" s="1186">
        <v>5.46</v>
      </c>
      <c r="U88" s="1188" t="s">
        <v>4</v>
      </c>
    </row>
    <row r="89" spans="1:21" ht="20.100000000000001" hidden="1" customHeight="1">
      <c r="A89" s="1185">
        <v>29</v>
      </c>
      <c r="B89" s="1191" t="s">
        <v>240</v>
      </c>
      <c r="C89" s="1186">
        <f>WORK!I1483</f>
        <v>0</v>
      </c>
      <c r="D89" s="1186">
        <f>FF!I1190</f>
        <v>0</v>
      </c>
      <c r="E89" s="1186">
        <f>SF!I763</f>
        <v>0</v>
      </c>
      <c r="F89" s="1186">
        <f t="shared" si="7"/>
        <v>0</v>
      </c>
      <c r="G89" s="1186" t="s">
        <v>422</v>
      </c>
      <c r="H89" s="1187">
        <v>0</v>
      </c>
      <c r="I89" s="1187">
        <v>0</v>
      </c>
      <c r="J89" s="1187">
        <v>0</v>
      </c>
      <c r="K89" s="1185">
        <v>0</v>
      </c>
      <c r="L89" s="1187">
        <v>0</v>
      </c>
      <c r="M89" s="1188">
        <f>ROUND(F89*0.012,2)</f>
        <v>0</v>
      </c>
      <c r="N89" s="1187">
        <v>0</v>
      </c>
      <c r="O89" s="1187">
        <v>0</v>
      </c>
      <c r="P89" s="1187">
        <v>0</v>
      </c>
      <c r="Q89" s="1187">
        <v>0</v>
      </c>
      <c r="R89" s="1187">
        <v>0</v>
      </c>
      <c r="S89" s="1190">
        <f t="shared" si="8"/>
        <v>0</v>
      </c>
      <c r="T89" s="1186">
        <v>9.06</v>
      </c>
      <c r="U89" s="1188" t="s">
        <v>4</v>
      </c>
    </row>
    <row r="90" spans="1:21" ht="20.100000000000001" hidden="1" customHeight="1">
      <c r="A90" s="1185">
        <v>26</v>
      </c>
      <c r="B90" s="1191" t="s">
        <v>1216</v>
      </c>
      <c r="C90" s="1186">
        <f>WORK!I1507</f>
        <v>0</v>
      </c>
      <c r="D90" s="1186">
        <f>FF!I1225</f>
        <v>0</v>
      </c>
      <c r="E90" s="1186">
        <f>SF!I787</f>
        <v>0</v>
      </c>
      <c r="F90" s="1186">
        <f t="shared" si="7"/>
        <v>0</v>
      </c>
      <c r="G90" s="1186" t="s">
        <v>422</v>
      </c>
      <c r="H90" s="1187">
        <v>0</v>
      </c>
      <c r="I90" s="1187">
        <v>0</v>
      </c>
      <c r="J90" s="1187">
        <v>0</v>
      </c>
      <c r="K90" s="1185">
        <v>0</v>
      </c>
      <c r="L90" s="1187">
        <v>0</v>
      </c>
      <c r="M90" s="1188">
        <f>ROUND(F90*0.008*1,2)</f>
        <v>0</v>
      </c>
      <c r="N90" s="1187">
        <v>0</v>
      </c>
      <c r="O90" s="1187">
        <v>0</v>
      </c>
      <c r="P90" s="1187">
        <v>0</v>
      </c>
      <c r="Q90" s="1187">
        <v>0</v>
      </c>
      <c r="R90" s="1187">
        <v>0</v>
      </c>
      <c r="S90" s="1190">
        <f t="shared" si="8"/>
        <v>0</v>
      </c>
      <c r="T90" s="1186">
        <v>2.76</v>
      </c>
      <c r="U90" s="1188" t="s">
        <v>4</v>
      </c>
    </row>
    <row r="91" spans="1:21" ht="20.100000000000001" hidden="1" customHeight="1">
      <c r="A91" s="1185">
        <v>5</v>
      </c>
      <c r="B91" s="1163" t="s">
        <v>2279</v>
      </c>
      <c r="C91" s="1186">
        <f>WORK!I1562</f>
        <v>0</v>
      </c>
      <c r="D91" s="1186"/>
      <c r="E91" s="1186"/>
      <c r="F91" s="1186">
        <f t="shared" si="7"/>
        <v>0</v>
      </c>
      <c r="G91" s="1186" t="s">
        <v>421</v>
      </c>
      <c r="H91" s="1187">
        <v>0</v>
      </c>
      <c r="I91" s="1188">
        <f>ROUND(F91*0.017,2)</f>
        <v>0</v>
      </c>
      <c r="J91" s="1187">
        <v>0</v>
      </c>
      <c r="K91" s="1185">
        <v>0</v>
      </c>
      <c r="L91" s="1188">
        <f>ROUND(F91*0.009,2)</f>
        <v>0</v>
      </c>
      <c r="M91" s="1185">
        <v>0</v>
      </c>
      <c r="N91" s="1185">
        <v>0</v>
      </c>
      <c r="O91" s="1187">
        <v>0</v>
      </c>
      <c r="P91" s="1187">
        <v>0</v>
      </c>
      <c r="Q91" s="1187">
        <v>0</v>
      </c>
      <c r="R91" s="1187">
        <v>0</v>
      </c>
      <c r="S91" s="1190">
        <f t="shared" si="8"/>
        <v>0</v>
      </c>
      <c r="T91" s="1186">
        <v>12</v>
      </c>
      <c r="U91" s="1188" t="s">
        <v>4</v>
      </c>
    </row>
    <row r="92" spans="1:21" ht="18" hidden="1" customHeight="1">
      <c r="A92" s="1185"/>
      <c r="B92" s="1191"/>
      <c r="C92" s="1191"/>
      <c r="D92" s="1191"/>
      <c r="E92" s="1191"/>
      <c r="F92" s="1186"/>
      <c r="G92" s="1186"/>
      <c r="H92" s="1188"/>
      <c r="I92" s="1188"/>
      <c r="J92" s="1188"/>
      <c r="K92" s="1188"/>
      <c r="L92" s="1188"/>
      <c r="M92" s="1188"/>
      <c r="N92" s="1187"/>
      <c r="O92" s="1188"/>
      <c r="P92" s="1188"/>
      <c r="Q92" s="1187"/>
      <c r="R92" s="1188"/>
      <c r="S92" s="1188"/>
      <c r="T92" s="1186"/>
      <c r="U92" s="1188"/>
    </row>
    <row r="93" spans="1:21" hidden="1">
      <c r="A93" s="1163"/>
      <c r="B93" s="1192" t="s">
        <v>103</v>
      </c>
      <c r="C93" s="1163"/>
      <c r="D93" s="1163"/>
      <c r="E93" s="1163"/>
      <c r="F93" s="1181">
        <v>1</v>
      </c>
      <c r="G93" s="1163"/>
      <c r="H93" s="1193">
        <f t="shared" ref="H93:S93" si="11">SUM(H50:H92)</f>
        <v>0</v>
      </c>
      <c r="I93" s="1193">
        <f t="shared" si="11"/>
        <v>0</v>
      </c>
      <c r="J93" s="1193">
        <f t="shared" si="11"/>
        <v>0</v>
      </c>
      <c r="K93" s="1193">
        <f t="shared" si="11"/>
        <v>0</v>
      </c>
      <c r="L93" s="1193">
        <f t="shared" si="11"/>
        <v>0</v>
      </c>
      <c r="M93" s="1193">
        <f t="shared" si="11"/>
        <v>0</v>
      </c>
      <c r="N93" s="1193">
        <f t="shared" si="11"/>
        <v>0</v>
      </c>
      <c r="O93" s="1193">
        <f t="shared" si="11"/>
        <v>0</v>
      </c>
      <c r="P93" s="1193">
        <f t="shared" si="11"/>
        <v>0</v>
      </c>
      <c r="Q93" s="1193">
        <f t="shared" si="11"/>
        <v>0</v>
      </c>
      <c r="R93" s="1193">
        <f t="shared" si="11"/>
        <v>0</v>
      </c>
      <c r="S93" s="1193">
        <f t="shared" si="11"/>
        <v>0</v>
      </c>
      <c r="T93" s="1194" t="s">
        <v>142</v>
      </c>
      <c r="U93" s="1163"/>
    </row>
    <row r="94" spans="1:21" s="1161" customFormat="1" ht="15.75" hidden="1">
      <c r="A94" s="1176"/>
      <c r="B94" s="1177" t="s">
        <v>2319</v>
      </c>
      <c r="C94" s="1178"/>
      <c r="D94" s="1179"/>
      <c r="E94" s="1180"/>
      <c r="F94" s="1181">
        <v>1</v>
      </c>
      <c r="G94" s="1182"/>
      <c r="H94" s="1176"/>
      <c r="I94" s="1183"/>
      <c r="J94" s="1184"/>
      <c r="K94" s="1176"/>
      <c r="L94" s="1182"/>
      <c r="M94" s="1176"/>
    </row>
    <row r="95" spans="1:21" ht="18" hidden="1" customHeight="1">
      <c r="A95" s="1185">
        <v>1</v>
      </c>
      <c r="B95" s="1163" t="s">
        <v>101</v>
      </c>
      <c r="C95" s="1543"/>
      <c r="D95" s="1163"/>
      <c r="E95" s="1163"/>
      <c r="F95" s="1186">
        <f>C95+D95</f>
        <v>0</v>
      </c>
      <c r="G95" s="1186" t="s">
        <v>421</v>
      </c>
      <c r="H95" s="1185">
        <v>0</v>
      </c>
      <c r="I95" s="1185">
        <v>0</v>
      </c>
      <c r="J95" s="1185">
        <v>0</v>
      </c>
      <c r="K95" s="1185">
        <v>0</v>
      </c>
      <c r="L95" s="1185">
        <v>0</v>
      </c>
      <c r="M95" s="1185">
        <v>0</v>
      </c>
      <c r="N95" s="1185">
        <v>0</v>
      </c>
      <c r="O95" s="1187">
        <v>0</v>
      </c>
      <c r="P95" s="1187">
        <v>0</v>
      </c>
      <c r="Q95" s="1185">
        <v>0</v>
      </c>
      <c r="R95" s="1188">
        <f>F95</f>
        <v>0</v>
      </c>
      <c r="S95" s="1189">
        <v>0</v>
      </c>
      <c r="T95" s="1163">
        <v>0</v>
      </c>
      <c r="U95" s="1163"/>
    </row>
    <row r="96" spans="1:21" ht="20.100000000000001" hidden="1" customHeight="1">
      <c r="A96" s="1185">
        <v>1</v>
      </c>
      <c r="B96" s="1163" t="s">
        <v>135</v>
      </c>
      <c r="C96" s="1186">
        <f>WORK!I242</f>
        <v>0</v>
      </c>
      <c r="D96" s="1163"/>
      <c r="E96" s="1163"/>
      <c r="F96" s="1186">
        <f t="shared" ref="F96:F136" si="12">SUM(C96:E96)</f>
        <v>0</v>
      </c>
      <c r="G96" s="1186" t="s">
        <v>421</v>
      </c>
      <c r="H96" s="1185">
        <v>0</v>
      </c>
      <c r="I96" s="1185">
        <v>0</v>
      </c>
      <c r="J96" s="1185">
        <v>0</v>
      </c>
      <c r="K96" s="1185">
        <v>0</v>
      </c>
      <c r="L96" s="1185">
        <v>0</v>
      </c>
      <c r="M96" s="1185">
        <v>0</v>
      </c>
      <c r="N96" s="1185">
        <v>0</v>
      </c>
      <c r="O96" s="1188">
        <f>F96</f>
        <v>0</v>
      </c>
      <c r="P96" s="1187">
        <v>0</v>
      </c>
      <c r="Q96" s="1185">
        <v>0</v>
      </c>
      <c r="R96" s="1187">
        <v>0</v>
      </c>
      <c r="S96" s="1189">
        <v>0</v>
      </c>
      <c r="T96" s="1163">
        <v>0</v>
      </c>
      <c r="U96" s="1163"/>
    </row>
    <row r="97" spans="1:21" ht="20.100000000000001" hidden="1" customHeight="1">
      <c r="A97" s="1185">
        <v>14</v>
      </c>
      <c r="B97" s="1163" t="s">
        <v>1192</v>
      </c>
      <c r="C97" s="1186">
        <f>WORK!I182</f>
        <v>0</v>
      </c>
      <c r="D97" s="1163"/>
      <c r="E97" s="1163"/>
      <c r="F97" s="1186">
        <f t="shared" si="12"/>
        <v>0</v>
      </c>
      <c r="G97" s="1186" t="s">
        <v>421</v>
      </c>
      <c r="H97" s="1185">
        <v>0</v>
      </c>
      <c r="I97" s="1185">
        <v>0</v>
      </c>
      <c r="J97" s="1185">
        <v>0</v>
      </c>
      <c r="K97" s="1185">
        <v>0</v>
      </c>
      <c r="L97" s="1185">
        <v>0</v>
      </c>
      <c r="M97" s="1185">
        <v>0</v>
      </c>
      <c r="N97" s="1185">
        <v>0</v>
      </c>
      <c r="O97" s="1187">
        <v>0</v>
      </c>
      <c r="P97" s="1188">
        <f>F97</f>
        <v>0</v>
      </c>
      <c r="Q97" s="1185">
        <v>0</v>
      </c>
      <c r="R97" s="1187">
        <v>0</v>
      </c>
      <c r="S97" s="1189">
        <v>0</v>
      </c>
      <c r="T97" s="1163">
        <v>0</v>
      </c>
      <c r="U97" s="1163"/>
    </row>
    <row r="98" spans="1:21" ht="20.100000000000001" hidden="1" customHeight="1">
      <c r="A98" s="1185">
        <v>4</v>
      </c>
      <c r="B98" s="1163" t="s">
        <v>663</v>
      </c>
      <c r="C98" s="1186">
        <f>WORK!I206</f>
        <v>0</v>
      </c>
      <c r="D98" s="1163"/>
      <c r="E98" s="1163"/>
      <c r="F98" s="1186">
        <f t="shared" si="12"/>
        <v>0</v>
      </c>
      <c r="G98" s="1186" t="s">
        <v>421</v>
      </c>
      <c r="H98" s="1185">
        <v>0</v>
      </c>
      <c r="I98" s="1185">
        <v>0</v>
      </c>
      <c r="J98" s="1185">
        <v>0</v>
      </c>
      <c r="K98" s="1185">
        <v>0</v>
      </c>
      <c r="L98" s="1185">
        <v>0</v>
      </c>
      <c r="M98" s="1185">
        <v>0</v>
      </c>
      <c r="N98" s="1185">
        <v>0</v>
      </c>
      <c r="O98" s="1187">
        <v>0</v>
      </c>
      <c r="P98" s="1188"/>
      <c r="Q98" s="1185">
        <v>0</v>
      </c>
      <c r="R98" s="1188">
        <f>F98</f>
        <v>0</v>
      </c>
      <c r="S98" s="1189">
        <v>0</v>
      </c>
      <c r="T98" s="1163">
        <v>0</v>
      </c>
      <c r="U98" s="1163"/>
    </row>
    <row r="99" spans="1:21" ht="20.100000000000001" hidden="1" customHeight="1">
      <c r="A99" s="1185">
        <v>15</v>
      </c>
      <c r="B99" s="1163" t="s">
        <v>235</v>
      </c>
      <c r="C99" s="1186">
        <f>WORK!I120</f>
        <v>0</v>
      </c>
      <c r="D99" s="1163"/>
      <c r="E99" s="1163"/>
      <c r="F99" s="1186">
        <f t="shared" si="12"/>
        <v>0</v>
      </c>
      <c r="G99" s="1186" t="s">
        <v>421</v>
      </c>
      <c r="H99" s="1188">
        <f>ROUND(F99*0.9,2)</f>
        <v>0</v>
      </c>
      <c r="I99" s="1187">
        <v>0</v>
      </c>
      <c r="J99" s="1187">
        <v>0</v>
      </c>
      <c r="K99" s="1185">
        <v>0</v>
      </c>
      <c r="L99" s="1188">
        <f>ROUND(F99*0.45,2)</f>
        <v>0</v>
      </c>
      <c r="M99" s="1185">
        <v>0</v>
      </c>
      <c r="N99" s="1185">
        <v>0</v>
      </c>
      <c r="O99" s="1187">
        <v>0</v>
      </c>
      <c r="P99" s="1187">
        <v>0</v>
      </c>
      <c r="Q99" s="1187">
        <v>0</v>
      </c>
      <c r="R99" s="1187">
        <v>0</v>
      </c>
      <c r="S99" s="1190">
        <f t="shared" ref="S99:S136" si="13">ROUND(F99*T99/50,2)</f>
        <v>0</v>
      </c>
      <c r="T99" s="1186">
        <v>162</v>
      </c>
      <c r="U99" s="1188" t="s">
        <v>4</v>
      </c>
    </row>
    <row r="100" spans="1:21" ht="20.100000000000001" hidden="1" customHeight="1">
      <c r="A100" s="1185">
        <v>6</v>
      </c>
      <c r="B100" s="1163" t="s">
        <v>446</v>
      </c>
      <c r="C100" s="1186">
        <f>WORK!I155</f>
        <v>0</v>
      </c>
      <c r="D100" s="1163"/>
      <c r="E100" s="1163"/>
      <c r="F100" s="1186">
        <f t="shared" si="12"/>
        <v>0</v>
      </c>
      <c r="G100" s="1186" t="s">
        <v>421</v>
      </c>
      <c r="H100" s="1188">
        <f>ROUND(F100*0.9,2)</f>
        <v>0</v>
      </c>
      <c r="I100" s="1187">
        <v>0</v>
      </c>
      <c r="J100" s="1187">
        <v>0</v>
      </c>
      <c r="K100" s="1185">
        <v>0</v>
      </c>
      <c r="L100" s="1188">
        <f>ROUND(F100*0.45,2)</f>
        <v>0</v>
      </c>
      <c r="M100" s="1185">
        <v>0</v>
      </c>
      <c r="N100" s="1185">
        <v>0</v>
      </c>
      <c r="O100" s="1187">
        <v>0</v>
      </c>
      <c r="P100" s="1187">
        <v>0</v>
      </c>
      <c r="Q100" s="1187">
        <v>0</v>
      </c>
      <c r="R100" s="1187">
        <v>0</v>
      </c>
      <c r="S100" s="1190">
        <f t="shared" si="13"/>
        <v>0</v>
      </c>
      <c r="T100" s="1186">
        <v>129.6</v>
      </c>
      <c r="U100" s="1188" t="s">
        <v>4</v>
      </c>
    </row>
    <row r="101" spans="1:21" ht="20.100000000000001" hidden="1" customHeight="1">
      <c r="A101" s="1185">
        <v>4</v>
      </c>
      <c r="B101" s="1163" t="s">
        <v>132</v>
      </c>
      <c r="C101" s="1186">
        <f>WORK!I301</f>
        <v>0</v>
      </c>
      <c r="D101" s="1163"/>
      <c r="E101" s="1163"/>
      <c r="F101" s="1186">
        <f t="shared" si="12"/>
        <v>0</v>
      </c>
      <c r="G101" s="1186" t="s">
        <v>421</v>
      </c>
      <c r="H101" s="1187">
        <v>0</v>
      </c>
      <c r="I101" s="1188">
        <f t="shared" ref="I101:I111" si="14">ROUND(F101*0.8,2)</f>
        <v>0</v>
      </c>
      <c r="J101" s="1187">
        <v>0</v>
      </c>
      <c r="K101" s="1185">
        <v>0</v>
      </c>
      <c r="L101" s="1188">
        <f t="shared" ref="L101:L111" si="15">ROUND(F101*0.4,2)</f>
        <v>0</v>
      </c>
      <c r="M101" s="1185">
        <v>0</v>
      </c>
      <c r="N101" s="1185">
        <v>0</v>
      </c>
      <c r="O101" s="1187">
        <v>0</v>
      </c>
      <c r="P101" s="1187">
        <v>0</v>
      </c>
      <c r="Q101" s="1187">
        <v>0</v>
      </c>
      <c r="R101" s="1187">
        <v>0</v>
      </c>
      <c r="S101" s="1190">
        <f t="shared" si="13"/>
        <v>0</v>
      </c>
      <c r="T101" s="1186">
        <f>data!E1943</f>
        <v>340</v>
      </c>
      <c r="U101" s="1188" t="s">
        <v>4</v>
      </c>
    </row>
    <row r="102" spans="1:21" ht="20.100000000000001" hidden="1" customHeight="1">
      <c r="A102" s="1185">
        <v>5</v>
      </c>
      <c r="B102" s="1163" t="s">
        <v>133</v>
      </c>
      <c r="C102" s="1186">
        <f>WORK!I321</f>
        <v>0</v>
      </c>
      <c r="D102" s="1163"/>
      <c r="E102" s="1163"/>
      <c r="F102" s="1186">
        <f t="shared" si="12"/>
        <v>0</v>
      </c>
      <c r="G102" s="1186" t="s">
        <v>421</v>
      </c>
      <c r="H102" s="1187">
        <v>0</v>
      </c>
      <c r="I102" s="1188">
        <f t="shared" si="14"/>
        <v>0</v>
      </c>
      <c r="J102" s="1187">
        <v>0</v>
      </c>
      <c r="K102" s="1185">
        <v>0</v>
      </c>
      <c r="L102" s="1188">
        <f t="shared" si="15"/>
        <v>0</v>
      </c>
      <c r="M102" s="1185">
        <v>0</v>
      </c>
      <c r="N102" s="1185">
        <v>0</v>
      </c>
      <c r="O102" s="1187">
        <v>0</v>
      </c>
      <c r="P102" s="1187">
        <v>0</v>
      </c>
      <c r="Q102" s="1187">
        <v>0</v>
      </c>
      <c r="R102" s="1187">
        <v>0</v>
      </c>
      <c r="S102" s="1190">
        <f t="shared" si="13"/>
        <v>0</v>
      </c>
      <c r="T102" s="1186">
        <f>$T$101</f>
        <v>340</v>
      </c>
      <c r="U102" s="1188" t="s">
        <v>4</v>
      </c>
    </row>
    <row r="103" spans="1:21" ht="20.100000000000001" hidden="1" customHeight="1">
      <c r="A103" s="1185">
        <v>16</v>
      </c>
      <c r="B103" s="1163" t="s">
        <v>127</v>
      </c>
      <c r="C103" s="1186">
        <f>WORK!I354</f>
        <v>0</v>
      </c>
      <c r="D103" s="1186">
        <f>FF!I30</f>
        <v>0</v>
      </c>
      <c r="E103" s="1186">
        <f>SF!I28</f>
        <v>0</v>
      </c>
      <c r="F103" s="1186">
        <f t="shared" si="12"/>
        <v>0</v>
      </c>
      <c r="G103" s="1186" t="s">
        <v>421</v>
      </c>
      <c r="H103" s="1187">
        <v>0</v>
      </c>
      <c r="I103" s="1188">
        <f t="shared" si="14"/>
        <v>0</v>
      </c>
      <c r="J103" s="1187">
        <v>0</v>
      </c>
      <c r="K103" s="1185">
        <v>0</v>
      </c>
      <c r="L103" s="1188">
        <f t="shared" si="15"/>
        <v>0</v>
      </c>
      <c r="M103" s="1185">
        <v>0</v>
      </c>
      <c r="N103" s="1185">
        <v>0</v>
      </c>
      <c r="O103" s="1187">
        <v>0</v>
      </c>
      <c r="P103" s="1187">
        <v>0</v>
      </c>
      <c r="Q103" s="1187">
        <v>0</v>
      </c>
      <c r="R103" s="1187">
        <v>0</v>
      </c>
      <c r="S103" s="1190">
        <f t="shared" si="13"/>
        <v>0</v>
      </c>
      <c r="T103" s="1186">
        <f>$T$101</f>
        <v>340</v>
      </c>
      <c r="U103" s="1188" t="s">
        <v>4</v>
      </c>
    </row>
    <row r="104" spans="1:21" ht="20.100000000000001" hidden="1" customHeight="1">
      <c r="A104" s="1185">
        <v>17</v>
      </c>
      <c r="B104" s="1163" t="s">
        <v>128</v>
      </c>
      <c r="C104" s="1186">
        <f>WORK!I400</f>
        <v>0</v>
      </c>
      <c r="D104" s="1163"/>
      <c r="E104" s="1163"/>
      <c r="F104" s="1186">
        <f t="shared" si="12"/>
        <v>0</v>
      </c>
      <c r="G104" s="1186" t="s">
        <v>421</v>
      </c>
      <c r="H104" s="1187">
        <v>0</v>
      </c>
      <c r="I104" s="1188">
        <f t="shared" si="14"/>
        <v>0</v>
      </c>
      <c r="J104" s="1187">
        <v>0</v>
      </c>
      <c r="K104" s="1185">
        <v>0</v>
      </c>
      <c r="L104" s="1188">
        <f t="shared" si="15"/>
        <v>0</v>
      </c>
      <c r="M104" s="1185">
        <v>0</v>
      </c>
      <c r="N104" s="1185">
        <v>0</v>
      </c>
      <c r="O104" s="1187">
        <v>0</v>
      </c>
      <c r="P104" s="1187">
        <v>0</v>
      </c>
      <c r="Q104" s="1187">
        <v>0</v>
      </c>
      <c r="R104" s="1187">
        <v>0</v>
      </c>
      <c r="S104" s="1190">
        <f t="shared" si="13"/>
        <v>0</v>
      </c>
      <c r="T104" s="1186">
        <f>$T$101</f>
        <v>340</v>
      </c>
      <c r="U104" s="1188" t="s">
        <v>4</v>
      </c>
    </row>
    <row r="105" spans="1:21" ht="20.100000000000001" hidden="1" customHeight="1">
      <c r="A105" s="1185">
        <v>3</v>
      </c>
      <c r="B105" s="1163" t="s">
        <v>131</v>
      </c>
      <c r="C105" s="1186">
        <f>WORK!I467</f>
        <v>0</v>
      </c>
      <c r="D105" s="1186">
        <f>FF!I98</f>
        <v>0</v>
      </c>
      <c r="E105" s="1186">
        <f>SF!I51</f>
        <v>0</v>
      </c>
      <c r="F105" s="1186">
        <f t="shared" si="12"/>
        <v>0</v>
      </c>
      <c r="G105" s="1186" t="s">
        <v>421</v>
      </c>
      <c r="H105" s="1187">
        <v>0</v>
      </c>
      <c r="I105" s="1188">
        <f t="shared" si="14"/>
        <v>0</v>
      </c>
      <c r="J105" s="1187">
        <v>0</v>
      </c>
      <c r="K105" s="1185">
        <v>0</v>
      </c>
      <c r="L105" s="1188">
        <f t="shared" si="15"/>
        <v>0</v>
      </c>
      <c r="M105" s="1185">
        <v>0</v>
      </c>
      <c r="N105" s="1185">
        <v>0</v>
      </c>
      <c r="O105" s="1187">
        <v>0</v>
      </c>
      <c r="P105" s="1187">
        <v>0</v>
      </c>
      <c r="Q105" s="1187">
        <v>0</v>
      </c>
      <c r="R105" s="1187">
        <v>0</v>
      </c>
      <c r="S105" s="1190">
        <f t="shared" si="13"/>
        <v>0</v>
      </c>
      <c r="T105" s="1186">
        <f>$T$101</f>
        <v>340</v>
      </c>
      <c r="U105" s="1188" t="s">
        <v>4</v>
      </c>
    </row>
    <row r="106" spans="1:21" ht="20.100000000000001" hidden="1" customHeight="1">
      <c r="A106" s="1185">
        <v>9</v>
      </c>
      <c r="B106" s="1191" t="s">
        <v>236</v>
      </c>
      <c r="C106" s="1186">
        <f>ROUND(WORK!I494*0.15,2)</f>
        <v>0</v>
      </c>
      <c r="D106" s="1186">
        <f>ROUND(FF!I128*0.15,2)</f>
        <v>0</v>
      </c>
      <c r="E106" s="1186">
        <f>ROUND(SF!I75*0.15,2)</f>
        <v>0</v>
      </c>
      <c r="F106" s="1186">
        <f t="shared" si="12"/>
        <v>0</v>
      </c>
      <c r="G106" s="1186" t="s">
        <v>422</v>
      </c>
      <c r="H106" s="1187">
        <v>0</v>
      </c>
      <c r="I106" s="1188">
        <f t="shared" si="14"/>
        <v>0</v>
      </c>
      <c r="J106" s="1187">
        <v>0</v>
      </c>
      <c r="K106" s="1185">
        <v>0</v>
      </c>
      <c r="L106" s="1188">
        <f t="shared" si="15"/>
        <v>0</v>
      </c>
      <c r="M106" s="1185">
        <v>0</v>
      </c>
      <c r="N106" s="1185">
        <v>0</v>
      </c>
      <c r="O106" s="1187">
        <v>0</v>
      </c>
      <c r="P106" s="1187">
        <v>0</v>
      </c>
      <c r="Q106" s="1187">
        <v>0</v>
      </c>
      <c r="R106" s="1187">
        <v>0</v>
      </c>
      <c r="S106" s="1190">
        <f t="shared" si="13"/>
        <v>0</v>
      </c>
      <c r="T106" s="1186">
        <f>ROUND(T105,2)</f>
        <v>340</v>
      </c>
      <c r="U106" s="1188" t="s">
        <v>4</v>
      </c>
    </row>
    <row r="107" spans="1:21" ht="20.100000000000001" hidden="1" customHeight="1">
      <c r="A107" s="1185">
        <v>4</v>
      </c>
      <c r="B107" s="1191" t="s">
        <v>237</v>
      </c>
      <c r="C107" s="1186">
        <f>ROUND(WORK!I519*0.125,2)</f>
        <v>0</v>
      </c>
      <c r="D107" s="1186">
        <f>ROUND(FF!I153*0.125,2)</f>
        <v>0</v>
      </c>
      <c r="E107" s="1186">
        <f>ROUND(SF!I96*0.125,2)</f>
        <v>0</v>
      </c>
      <c r="F107" s="1186">
        <f t="shared" si="12"/>
        <v>0</v>
      </c>
      <c r="G107" s="1186" t="s">
        <v>422</v>
      </c>
      <c r="H107" s="1187">
        <v>0</v>
      </c>
      <c r="I107" s="1188">
        <f t="shared" si="14"/>
        <v>0</v>
      </c>
      <c r="J107" s="1187">
        <v>0</v>
      </c>
      <c r="K107" s="1185">
        <v>0</v>
      </c>
      <c r="L107" s="1188">
        <f t="shared" si="15"/>
        <v>0</v>
      </c>
      <c r="M107" s="1185">
        <v>0</v>
      </c>
      <c r="N107" s="1185">
        <v>0</v>
      </c>
      <c r="O107" s="1187">
        <v>0</v>
      </c>
      <c r="P107" s="1187">
        <v>0</v>
      </c>
      <c r="Q107" s="1187">
        <v>0</v>
      </c>
      <c r="R107" s="1187">
        <v>0</v>
      </c>
      <c r="S107" s="1190">
        <f t="shared" si="13"/>
        <v>0</v>
      </c>
      <c r="T107" s="1186">
        <f>ROUND(T105,2)</f>
        <v>340</v>
      </c>
      <c r="U107" s="1188" t="s">
        <v>4</v>
      </c>
    </row>
    <row r="108" spans="1:21" ht="20.100000000000001" hidden="1" customHeight="1">
      <c r="A108" s="1185">
        <v>9</v>
      </c>
      <c r="B108" s="1191" t="s">
        <v>605</v>
      </c>
      <c r="C108" s="1186">
        <f>ROUND(WORK!I542*0.1,2)</f>
        <v>0</v>
      </c>
      <c r="D108" s="1186">
        <f>ROUND(FF!I174*0.1,2)</f>
        <v>0</v>
      </c>
      <c r="E108" s="1186">
        <f>ROUND(SF!I116*0.1,2)</f>
        <v>0</v>
      </c>
      <c r="F108" s="1186">
        <f t="shared" si="12"/>
        <v>0</v>
      </c>
      <c r="G108" s="1186" t="s">
        <v>422</v>
      </c>
      <c r="H108" s="1187">
        <v>0</v>
      </c>
      <c r="I108" s="1188">
        <f t="shared" si="14"/>
        <v>0</v>
      </c>
      <c r="J108" s="1187">
        <v>0</v>
      </c>
      <c r="K108" s="1185">
        <v>0</v>
      </c>
      <c r="L108" s="1188">
        <f t="shared" si="15"/>
        <v>0</v>
      </c>
      <c r="M108" s="1185">
        <v>0</v>
      </c>
      <c r="N108" s="1185">
        <v>0</v>
      </c>
      <c r="O108" s="1187">
        <v>0</v>
      </c>
      <c r="P108" s="1187">
        <v>0</v>
      </c>
      <c r="Q108" s="1187">
        <v>0</v>
      </c>
      <c r="R108" s="1187">
        <v>0</v>
      </c>
      <c r="S108" s="1190">
        <f t="shared" si="13"/>
        <v>0</v>
      </c>
      <c r="T108" s="1186">
        <f>T107</f>
        <v>340</v>
      </c>
      <c r="U108" s="1188" t="s">
        <v>4</v>
      </c>
    </row>
    <row r="109" spans="1:21" ht="20.100000000000001" hidden="1" customHeight="1">
      <c r="A109" s="1185">
        <v>9</v>
      </c>
      <c r="B109" s="1191" t="s">
        <v>1231</v>
      </c>
      <c r="C109" s="1186">
        <f>ROUND(WORK!I565*0.05,2)</f>
        <v>0</v>
      </c>
      <c r="D109" s="1186">
        <f>ROUND(FF!I197*0.05,2)</f>
        <v>0</v>
      </c>
      <c r="E109" s="1186">
        <f>ROUND(SF!I139*0.05,2)</f>
        <v>0</v>
      </c>
      <c r="F109" s="1186">
        <f t="shared" si="12"/>
        <v>0</v>
      </c>
      <c r="G109" s="1186" t="s">
        <v>422</v>
      </c>
      <c r="H109" s="1187">
        <v>0</v>
      </c>
      <c r="I109" s="1188">
        <f t="shared" si="14"/>
        <v>0</v>
      </c>
      <c r="J109" s="1187">
        <v>0</v>
      </c>
      <c r="K109" s="1185">
        <v>0</v>
      </c>
      <c r="L109" s="1188">
        <f t="shared" si="15"/>
        <v>0</v>
      </c>
      <c r="M109" s="1185">
        <v>0</v>
      </c>
      <c r="N109" s="1185">
        <v>0</v>
      </c>
      <c r="O109" s="1187">
        <v>0</v>
      </c>
      <c r="P109" s="1187">
        <v>0</v>
      </c>
      <c r="Q109" s="1187">
        <v>0</v>
      </c>
      <c r="R109" s="1187">
        <v>0</v>
      </c>
      <c r="S109" s="1190">
        <f t="shared" si="13"/>
        <v>0</v>
      </c>
      <c r="T109" s="1186">
        <f>T108</f>
        <v>340</v>
      </c>
      <c r="U109" s="1188" t="s">
        <v>4</v>
      </c>
    </row>
    <row r="110" spans="1:21" ht="20.100000000000001" hidden="1" customHeight="1">
      <c r="A110" s="1185">
        <v>16</v>
      </c>
      <c r="B110" s="1191" t="s">
        <v>1440</v>
      </c>
      <c r="C110" s="1186">
        <f>ROUND(WORK!I592*0.025,2)</f>
        <v>0</v>
      </c>
      <c r="D110" s="1186">
        <f>ROUND(FF!I221*0.025,2)</f>
        <v>0</v>
      </c>
      <c r="E110" s="1186">
        <f>ROUND(SF!I163*0.025,2)</f>
        <v>0</v>
      </c>
      <c r="F110" s="1186">
        <f t="shared" si="12"/>
        <v>0</v>
      </c>
      <c r="G110" s="1186" t="s">
        <v>422</v>
      </c>
      <c r="H110" s="1187">
        <v>0</v>
      </c>
      <c r="I110" s="1188">
        <f t="shared" si="14"/>
        <v>0</v>
      </c>
      <c r="J110" s="1187">
        <v>0</v>
      </c>
      <c r="K110" s="1185">
        <v>0</v>
      </c>
      <c r="L110" s="1188">
        <f t="shared" si="15"/>
        <v>0</v>
      </c>
      <c r="M110" s="1185">
        <v>0</v>
      </c>
      <c r="N110" s="1185">
        <v>0</v>
      </c>
      <c r="O110" s="1187">
        <v>0</v>
      </c>
      <c r="P110" s="1187">
        <v>0</v>
      </c>
      <c r="Q110" s="1187">
        <v>0</v>
      </c>
      <c r="R110" s="1187">
        <v>0</v>
      </c>
      <c r="S110" s="1190">
        <f t="shared" si="13"/>
        <v>0</v>
      </c>
      <c r="T110" s="1186">
        <f>T109</f>
        <v>340</v>
      </c>
      <c r="U110" s="1188" t="s">
        <v>4</v>
      </c>
    </row>
    <row r="111" spans="1:21" ht="20.100000000000001" hidden="1" customHeight="1">
      <c r="A111" s="1185">
        <v>5</v>
      </c>
      <c r="B111" s="1163" t="s">
        <v>129</v>
      </c>
      <c r="C111" s="1186">
        <f>WORK!I628</f>
        <v>0</v>
      </c>
      <c r="D111" s="1186">
        <f>FF!I270</f>
        <v>0</v>
      </c>
      <c r="E111" s="1186">
        <f>SF!I190</f>
        <v>0</v>
      </c>
      <c r="F111" s="1186">
        <f t="shared" si="12"/>
        <v>0</v>
      </c>
      <c r="G111" s="1186" t="s">
        <v>421</v>
      </c>
      <c r="H111" s="1187">
        <v>0</v>
      </c>
      <c r="I111" s="1188">
        <f t="shared" si="14"/>
        <v>0</v>
      </c>
      <c r="J111" s="1187">
        <v>0</v>
      </c>
      <c r="K111" s="1185">
        <v>0</v>
      </c>
      <c r="L111" s="1188">
        <f t="shared" si="15"/>
        <v>0</v>
      </c>
      <c r="M111" s="1185">
        <v>0</v>
      </c>
      <c r="N111" s="1185">
        <v>0</v>
      </c>
      <c r="O111" s="1187">
        <v>0</v>
      </c>
      <c r="P111" s="1187">
        <v>0</v>
      </c>
      <c r="Q111" s="1187">
        <v>0</v>
      </c>
      <c r="R111" s="1187">
        <v>0</v>
      </c>
      <c r="S111" s="1190">
        <f t="shared" si="13"/>
        <v>0</v>
      </c>
      <c r="T111" s="1186">
        <f>$T$101</f>
        <v>340</v>
      </c>
      <c r="U111" s="1188" t="s">
        <v>4</v>
      </c>
    </row>
    <row r="112" spans="1:21" ht="20.100000000000001" hidden="1" customHeight="1">
      <c r="A112" s="1185">
        <v>6</v>
      </c>
      <c r="B112" s="1163" t="s">
        <v>130</v>
      </c>
      <c r="C112" s="1186">
        <f>WORK!I655</f>
        <v>0</v>
      </c>
      <c r="D112" s="1186">
        <f>FF!I295</f>
        <v>0</v>
      </c>
      <c r="E112" s="1186">
        <f>SF!I212</f>
        <v>0</v>
      </c>
      <c r="F112" s="1186">
        <f t="shared" si="12"/>
        <v>0</v>
      </c>
      <c r="G112" s="1186" t="s">
        <v>82</v>
      </c>
      <c r="H112" s="1187">
        <v>0</v>
      </c>
      <c r="I112" s="1188">
        <f>ROUND(F112*0.0375*0.8,2)</f>
        <v>0</v>
      </c>
      <c r="J112" s="1187">
        <v>0</v>
      </c>
      <c r="K112" s="1185">
        <v>0</v>
      </c>
      <c r="L112" s="1188">
        <f>ROUND(F112*0.0375*0.4,2)</f>
        <v>0</v>
      </c>
      <c r="M112" s="1185">
        <v>0</v>
      </c>
      <c r="N112" s="1185">
        <v>0</v>
      </c>
      <c r="O112" s="1187">
        <v>0</v>
      </c>
      <c r="P112" s="1187">
        <v>0</v>
      </c>
      <c r="Q112" s="1187">
        <v>0</v>
      </c>
      <c r="R112" s="1187">
        <v>0</v>
      </c>
      <c r="S112" s="1190">
        <f t="shared" si="13"/>
        <v>0</v>
      </c>
      <c r="T112" s="1195">
        <f>ROUND(T111*0.0375,2)</f>
        <v>12.75</v>
      </c>
      <c r="U112" s="1188" t="s">
        <v>4</v>
      </c>
    </row>
    <row r="113" spans="1:21" ht="20.100000000000001" hidden="1" customHeight="1">
      <c r="A113" s="1185">
        <v>4</v>
      </c>
      <c r="B113" s="1191" t="s">
        <v>1441</v>
      </c>
      <c r="C113" s="1186">
        <f>WORK!I678</f>
        <v>0</v>
      </c>
      <c r="D113" s="1186">
        <f>FF!I320</f>
        <v>0</v>
      </c>
      <c r="E113" s="1186">
        <f>SF!I232</f>
        <v>0</v>
      </c>
      <c r="F113" s="1186">
        <f t="shared" si="12"/>
        <v>0</v>
      </c>
      <c r="G113" s="1186" t="s">
        <v>422</v>
      </c>
      <c r="H113" s="1187">
        <v>0</v>
      </c>
      <c r="I113" s="1187">
        <v>0</v>
      </c>
      <c r="J113" s="1187">
        <v>0</v>
      </c>
      <c r="K113" s="1185">
        <v>0</v>
      </c>
      <c r="L113" s="1187">
        <v>0</v>
      </c>
      <c r="M113" s="1185">
        <v>0</v>
      </c>
      <c r="N113" s="1188">
        <f>ROUND(F113*0.015*1.05,2)</f>
        <v>0</v>
      </c>
      <c r="O113" s="1187">
        <v>0</v>
      </c>
      <c r="P113" s="1187">
        <v>0</v>
      </c>
      <c r="Q113" s="1187">
        <v>0</v>
      </c>
      <c r="R113" s="1187">
        <v>0</v>
      </c>
      <c r="S113" s="1190">
        <f t="shared" si="13"/>
        <v>0</v>
      </c>
      <c r="T113" s="1186">
        <v>7.2</v>
      </c>
      <c r="U113" s="1188" t="s">
        <v>4</v>
      </c>
    </row>
    <row r="114" spans="1:21" ht="20.100000000000001" hidden="1" customHeight="1">
      <c r="A114" s="1185">
        <v>12</v>
      </c>
      <c r="B114" s="1191" t="s">
        <v>1226</v>
      </c>
      <c r="C114" s="1186">
        <f>WORK!I702</f>
        <v>0</v>
      </c>
      <c r="D114" s="1186">
        <f>FF!I344</f>
        <v>0</v>
      </c>
      <c r="E114" s="1186">
        <f>SF!I255</f>
        <v>0</v>
      </c>
      <c r="F114" s="1186">
        <f t="shared" si="12"/>
        <v>0</v>
      </c>
      <c r="G114" s="1186" t="s">
        <v>422</v>
      </c>
      <c r="H114" s="1187">
        <v>0</v>
      </c>
      <c r="I114" s="1187">
        <v>0</v>
      </c>
      <c r="J114" s="1187">
        <v>0</v>
      </c>
      <c r="K114" s="1185">
        <v>0</v>
      </c>
      <c r="L114" s="1187">
        <v>0</v>
      </c>
      <c r="M114" s="1185">
        <v>0</v>
      </c>
      <c r="N114" s="1188">
        <f>ROUND(F114*0.021*1.05,2)</f>
        <v>0</v>
      </c>
      <c r="O114" s="1187">
        <v>0</v>
      </c>
      <c r="P114" s="1187">
        <v>0</v>
      </c>
      <c r="Q114" s="1187">
        <v>0</v>
      </c>
      <c r="R114" s="1187">
        <v>0</v>
      </c>
      <c r="S114" s="1190">
        <f t="shared" si="13"/>
        <v>0</v>
      </c>
      <c r="T114" s="1186">
        <v>10.08</v>
      </c>
      <c r="U114" s="1188" t="s">
        <v>4</v>
      </c>
    </row>
    <row r="115" spans="1:21" ht="20.100000000000001" hidden="1" customHeight="1">
      <c r="A115" s="1185">
        <v>13</v>
      </c>
      <c r="B115" s="1163" t="s">
        <v>1194</v>
      </c>
      <c r="C115" s="1186">
        <f>WORK!I729</f>
        <v>0</v>
      </c>
      <c r="D115" s="1186"/>
      <c r="E115" s="1186"/>
      <c r="F115" s="1186">
        <f t="shared" si="12"/>
        <v>0</v>
      </c>
      <c r="G115" s="1186" t="s">
        <v>421</v>
      </c>
      <c r="H115" s="1187">
        <v>0</v>
      </c>
      <c r="I115" s="1187">
        <v>0</v>
      </c>
      <c r="J115" s="1187">
        <v>0</v>
      </c>
      <c r="K115" s="1188">
        <f>ROUND(F115*1.1,2)</f>
        <v>0</v>
      </c>
      <c r="L115" s="1187">
        <v>0</v>
      </c>
      <c r="M115" s="1188">
        <f>ROUND(F115*0.33,2)</f>
        <v>0</v>
      </c>
      <c r="N115" s="1187">
        <v>0</v>
      </c>
      <c r="O115" s="1187">
        <v>0</v>
      </c>
      <c r="P115" s="1187">
        <v>0</v>
      </c>
      <c r="Q115" s="1188"/>
      <c r="R115" s="1187">
        <v>0</v>
      </c>
      <c r="S115" s="1190">
        <f t="shared" si="13"/>
        <v>0</v>
      </c>
      <c r="T115" s="1186">
        <v>59.4</v>
      </c>
      <c r="U115" s="1188" t="s">
        <v>4</v>
      </c>
    </row>
    <row r="116" spans="1:21" ht="20.100000000000001" hidden="1" customHeight="1">
      <c r="A116" s="1185">
        <v>18</v>
      </c>
      <c r="B116" s="1163" t="s">
        <v>134</v>
      </c>
      <c r="C116" s="1186">
        <f>WORK!I780</f>
        <v>0</v>
      </c>
      <c r="D116" s="1186">
        <f>FF!I368</f>
        <v>0</v>
      </c>
      <c r="E116" s="1186">
        <f>SF!I282</f>
        <v>0</v>
      </c>
      <c r="F116" s="1186">
        <f t="shared" si="12"/>
        <v>0</v>
      </c>
      <c r="G116" s="1186" t="s">
        <v>421</v>
      </c>
      <c r="H116" s="1187">
        <v>0</v>
      </c>
      <c r="I116" s="1187">
        <v>0</v>
      </c>
      <c r="J116" s="1187">
        <v>0</v>
      </c>
      <c r="K116" s="1185">
        <v>0</v>
      </c>
      <c r="L116" s="1187">
        <v>0</v>
      </c>
      <c r="M116" s="1188">
        <f>ROUND(F116*0.2,2)</f>
        <v>0</v>
      </c>
      <c r="N116" s="1187">
        <v>0</v>
      </c>
      <c r="O116" s="1187">
        <v>0</v>
      </c>
      <c r="P116" s="1187">
        <v>0</v>
      </c>
      <c r="Q116" s="1188">
        <f>ROUND(F116*512/1000,2)</f>
        <v>0</v>
      </c>
      <c r="R116" s="1187">
        <v>0</v>
      </c>
      <c r="S116" s="1190">
        <f t="shared" si="13"/>
        <v>0</v>
      </c>
      <c r="T116" s="1186">
        <v>36</v>
      </c>
      <c r="U116" s="1188" t="s">
        <v>4</v>
      </c>
    </row>
    <row r="117" spans="1:21" ht="20.100000000000001" hidden="1" customHeight="1">
      <c r="A117" s="1185">
        <v>19</v>
      </c>
      <c r="B117" s="1163" t="s">
        <v>906</v>
      </c>
      <c r="C117" s="1186">
        <f>WORK!I852</f>
        <v>0</v>
      </c>
      <c r="D117" s="1186">
        <f>FF!I454</f>
        <v>0</v>
      </c>
      <c r="E117" s="1186">
        <f>SF!I312</f>
        <v>0</v>
      </c>
      <c r="F117" s="1186">
        <f t="shared" si="12"/>
        <v>0</v>
      </c>
      <c r="G117" s="1186" t="s">
        <v>421</v>
      </c>
      <c r="H117" s="1187">
        <v>0</v>
      </c>
      <c r="I117" s="1187">
        <v>0</v>
      </c>
      <c r="J117" s="1187">
        <v>0</v>
      </c>
      <c r="K117" s="1185">
        <v>0</v>
      </c>
      <c r="L117" s="1187">
        <v>0</v>
      </c>
      <c r="M117" s="1188">
        <f>ROUND(F117*0.2,2)</f>
        <v>0</v>
      </c>
      <c r="N117" s="1187">
        <v>0</v>
      </c>
      <c r="O117" s="1187">
        <v>0</v>
      </c>
      <c r="P117" s="1187">
        <v>0</v>
      </c>
      <c r="Q117" s="1188">
        <f>ROUND(F117*512/1000,2)</f>
        <v>0</v>
      </c>
      <c r="R117" s="1187">
        <v>0</v>
      </c>
      <c r="S117" s="1190">
        <f t="shared" si="13"/>
        <v>0</v>
      </c>
      <c r="T117" s="1186">
        <v>48</v>
      </c>
      <c r="U117" s="1188" t="s">
        <v>4</v>
      </c>
    </row>
    <row r="118" spans="1:21" ht="20.100000000000001" hidden="1" customHeight="1">
      <c r="A118" s="1185">
        <v>9</v>
      </c>
      <c r="B118" s="1163" t="s">
        <v>3637</v>
      </c>
      <c r="C118" s="1186">
        <f>WORK!I892</f>
        <v>0</v>
      </c>
      <c r="D118" s="1186">
        <f>FF!I541</f>
        <v>0</v>
      </c>
      <c r="E118" s="1186">
        <f>SF!I339</f>
        <v>0</v>
      </c>
      <c r="F118" s="1186">
        <f t="shared" si="12"/>
        <v>0</v>
      </c>
      <c r="G118" s="1186" t="s">
        <v>422</v>
      </c>
      <c r="H118" s="1187">
        <v>0</v>
      </c>
      <c r="I118" s="1188"/>
      <c r="J118" s="1187">
        <v>0</v>
      </c>
      <c r="K118" s="1185">
        <v>0</v>
      </c>
      <c r="L118" s="1187">
        <v>0</v>
      </c>
      <c r="M118" s="1188">
        <f>ROUND(F118*0.022,2)</f>
        <v>0</v>
      </c>
      <c r="N118" s="1187">
        <v>0</v>
      </c>
      <c r="O118" s="1187">
        <v>0</v>
      </c>
      <c r="P118" s="1187">
        <v>0</v>
      </c>
      <c r="Q118" s="1188">
        <f>ROUND(F118*512*0.1/1000,2)</f>
        <v>0</v>
      </c>
      <c r="R118" s="1187">
        <v>0</v>
      </c>
      <c r="S118" s="1190">
        <f t="shared" si="13"/>
        <v>0</v>
      </c>
      <c r="T118" s="1186">
        <v>7.2</v>
      </c>
      <c r="U118" s="1188" t="s">
        <v>4</v>
      </c>
    </row>
    <row r="119" spans="1:21" ht="20.100000000000001" hidden="1" customHeight="1">
      <c r="A119" s="1185">
        <v>16</v>
      </c>
      <c r="B119" s="1163" t="s">
        <v>1214</v>
      </c>
      <c r="C119" s="1186">
        <f>WORK!I932</f>
        <v>0</v>
      </c>
      <c r="D119" s="1186">
        <f>FF!I571</f>
        <v>0</v>
      </c>
      <c r="E119" s="1186">
        <f>SF!I368</f>
        <v>0</v>
      </c>
      <c r="F119" s="1186">
        <f t="shared" si="12"/>
        <v>0</v>
      </c>
      <c r="G119" s="1186" t="s">
        <v>421</v>
      </c>
      <c r="H119" s="1187">
        <v>0</v>
      </c>
      <c r="I119" s="1187">
        <v>0</v>
      </c>
      <c r="J119" s="1187">
        <v>0</v>
      </c>
      <c r="K119" s="1185">
        <v>0</v>
      </c>
      <c r="L119" s="1187">
        <v>0</v>
      </c>
      <c r="M119" s="1188">
        <f>ROUND(F119*0.1*1.05,2)</f>
        <v>0</v>
      </c>
      <c r="N119" s="1187">
        <v>0</v>
      </c>
      <c r="O119" s="1187">
        <v>0</v>
      </c>
      <c r="P119" s="1187">
        <v>0</v>
      </c>
      <c r="Q119" s="1188">
        <f>ROUND(F119*110/1000,2)</f>
        <v>0</v>
      </c>
      <c r="R119" s="1187">
        <v>0</v>
      </c>
      <c r="S119" s="1190">
        <f t="shared" si="13"/>
        <v>0</v>
      </c>
      <c r="T119" s="1186">
        <v>24</v>
      </c>
      <c r="U119" s="1188" t="s">
        <v>4</v>
      </c>
    </row>
    <row r="120" spans="1:21" ht="20.100000000000001" hidden="1" customHeight="1">
      <c r="A120" s="1185">
        <v>20</v>
      </c>
      <c r="B120" s="1191" t="s">
        <v>1215</v>
      </c>
      <c r="C120" s="1186">
        <f>WORK!I958</f>
        <v>0</v>
      </c>
      <c r="D120" s="1186">
        <f>FF!I596</f>
        <v>0</v>
      </c>
      <c r="E120" s="1186"/>
      <c r="F120" s="1186">
        <f t="shared" si="12"/>
        <v>0</v>
      </c>
      <c r="G120" s="1186" t="s">
        <v>422</v>
      </c>
      <c r="H120" s="1187">
        <v>0</v>
      </c>
      <c r="I120" s="1187">
        <v>0</v>
      </c>
      <c r="J120" s="1187">
        <v>0</v>
      </c>
      <c r="K120" s="1185">
        <v>0</v>
      </c>
      <c r="L120" s="1187">
        <v>0</v>
      </c>
      <c r="M120" s="1187">
        <v>0</v>
      </c>
      <c r="N120" s="1188">
        <f>ROUND(F120*((0.015*1.05)+(0.025*1.05)),2)</f>
        <v>0</v>
      </c>
      <c r="O120" s="1187">
        <v>0</v>
      </c>
      <c r="P120" s="1187">
        <v>0</v>
      </c>
      <c r="Q120" s="1187">
        <v>0</v>
      </c>
      <c r="R120" s="1187">
        <v>0</v>
      </c>
      <c r="S120" s="1190">
        <f t="shared" si="13"/>
        <v>0</v>
      </c>
      <c r="T120" s="1186">
        <v>20.89</v>
      </c>
      <c r="U120" s="1188" t="s">
        <v>4</v>
      </c>
    </row>
    <row r="121" spans="1:21" ht="20.100000000000001" hidden="1" customHeight="1">
      <c r="A121" s="1185">
        <v>21</v>
      </c>
      <c r="B121" s="1191" t="s">
        <v>137</v>
      </c>
      <c r="C121" s="1186">
        <f>WORK!I1009</f>
        <v>0</v>
      </c>
      <c r="D121" s="1186">
        <f>FF!I659</f>
        <v>0</v>
      </c>
      <c r="E121" s="1186">
        <f>SF!I397</f>
        <v>0</v>
      </c>
      <c r="F121" s="1186">
        <f t="shared" si="12"/>
        <v>0</v>
      </c>
      <c r="G121" s="1186" t="s">
        <v>422</v>
      </c>
      <c r="H121" s="1187">
        <v>0</v>
      </c>
      <c r="I121" s="1187">
        <v>0</v>
      </c>
      <c r="J121" s="1187">
        <v>0</v>
      </c>
      <c r="K121" s="1185">
        <v>0</v>
      </c>
      <c r="L121" s="1187">
        <v>0</v>
      </c>
      <c r="M121" s="1187">
        <v>0</v>
      </c>
      <c r="N121" s="1188">
        <f>ROUND(F121*0.015*1.05,2)</f>
        <v>0</v>
      </c>
      <c r="O121" s="1187">
        <v>0</v>
      </c>
      <c r="P121" s="1187">
        <v>0</v>
      </c>
      <c r="Q121" s="1187">
        <v>0</v>
      </c>
      <c r="R121" s="1187">
        <v>0</v>
      </c>
      <c r="S121" s="1190">
        <f t="shared" si="13"/>
        <v>0</v>
      </c>
      <c r="T121" s="1186">
        <v>7.2</v>
      </c>
      <c r="U121" s="1188" t="s">
        <v>4</v>
      </c>
    </row>
    <row r="122" spans="1:21" ht="20.100000000000001" hidden="1" customHeight="1">
      <c r="A122" s="1185">
        <v>2</v>
      </c>
      <c r="B122" s="1191" t="s">
        <v>238</v>
      </c>
      <c r="C122" s="1186">
        <f>WORK!I1047</f>
        <v>0</v>
      </c>
      <c r="D122" s="1186">
        <f>FF!I702</f>
        <v>0</v>
      </c>
      <c r="E122" s="1186">
        <f>SF!I428</f>
        <v>0</v>
      </c>
      <c r="F122" s="1186">
        <f t="shared" si="12"/>
        <v>0</v>
      </c>
      <c r="G122" s="1186" t="s">
        <v>422</v>
      </c>
      <c r="H122" s="1187">
        <v>0</v>
      </c>
      <c r="I122" s="1187">
        <v>0</v>
      </c>
      <c r="J122" s="1187">
        <v>0</v>
      </c>
      <c r="K122" s="1185">
        <v>0</v>
      </c>
      <c r="L122" s="1187">
        <v>0</v>
      </c>
      <c r="M122" s="1187">
        <v>0</v>
      </c>
      <c r="N122" s="1188">
        <f>ROUND(F122*0.015*1.05,2)</f>
        <v>0</v>
      </c>
      <c r="O122" s="1187">
        <v>0</v>
      </c>
      <c r="P122" s="1187">
        <v>0</v>
      </c>
      <c r="Q122" s="1187">
        <v>0</v>
      </c>
      <c r="R122" s="1187">
        <v>0</v>
      </c>
      <c r="S122" s="1190">
        <f t="shared" si="13"/>
        <v>0</v>
      </c>
      <c r="T122" s="1186">
        <v>4.32</v>
      </c>
      <c r="U122" s="1188" t="s">
        <v>4</v>
      </c>
    </row>
    <row r="123" spans="1:21" ht="20.100000000000001" hidden="1" customHeight="1">
      <c r="A123" s="1185">
        <v>3</v>
      </c>
      <c r="B123" s="1191" t="s">
        <v>604</v>
      </c>
      <c r="C123" s="1186">
        <f>WORK!I1073</f>
        <v>0</v>
      </c>
      <c r="D123" s="1186">
        <f>FF!I734</f>
        <v>0</v>
      </c>
      <c r="E123" s="1186">
        <f>SF!I460</f>
        <v>0</v>
      </c>
      <c r="F123" s="1186">
        <f t="shared" si="12"/>
        <v>0</v>
      </c>
      <c r="G123" s="1186" t="s">
        <v>422</v>
      </c>
      <c r="H123" s="1187">
        <v>0</v>
      </c>
      <c r="I123" s="1187">
        <v>0</v>
      </c>
      <c r="J123" s="1187">
        <v>0</v>
      </c>
      <c r="K123" s="1185">
        <v>0</v>
      </c>
      <c r="L123" s="1187">
        <v>0</v>
      </c>
      <c r="M123" s="1187">
        <v>0</v>
      </c>
      <c r="N123" s="1188">
        <f>ROUND(F123*0.021*1.05,2)</f>
        <v>0</v>
      </c>
      <c r="O123" s="1187">
        <v>0</v>
      </c>
      <c r="P123" s="1187">
        <v>0</v>
      </c>
      <c r="Q123" s="1187">
        <v>0</v>
      </c>
      <c r="R123" s="1187">
        <v>0</v>
      </c>
      <c r="S123" s="1190">
        <f t="shared" si="13"/>
        <v>0</v>
      </c>
      <c r="T123" s="1186">
        <v>6.05</v>
      </c>
      <c r="U123" s="1188" t="s">
        <v>4</v>
      </c>
    </row>
    <row r="124" spans="1:21" ht="20.100000000000001" hidden="1" customHeight="1">
      <c r="A124" s="1185">
        <v>22</v>
      </c>
      <c r="B124" s="1191" t="s">
        <v>904</v>
      </c>
      <c r="C124" s="1186">
        <f>WORK!I1145</f>
        <v>0</v>
      </c>
      <c r="D124" s="1186">
        <f>FF!I830</f>
        <v>0</v>
      </c>
      <c r="E124" s="1186">
        <f>SF!I496</f>
        <v>0</v>
      </c>
      <c r="F124" s="1186">
        <f t="shared" si="12"/>
        <v>0</v>
      </c>
      <c r="G124" s="1186" t="s">
        <v>422</v>
      </c>
      <c r="H124" s="1187">
        <v>0</v>
      </c>
      <c r="I124" s="1187">
        <v>0</v>
      </c>
      <c r="J124" s="1187">
        <v>0</v>
      </c>
      <c r="K124" s="1185">
        <v>0</v>
      </c>
      <c r="L124" s="1187">
        <v>0</v>
      </c>
      <c r="M124" s="1187">
        <v>0</v>
      </c>
      <c r="N124" s="1188">
        <f>ROUND(F124*0.015*1,2)</f>
        <v>0</v>
      </c>
      <c r="O124" s="1187">
        <v>0</v>
      </c>
      <c r="P124" s="1187">
        <v>0</v>
      </c>
      <c r="Q124" s="1187">
        <v>0</v>
      </c>
      <c r="R124" s="1187">
        <v>0</v>
      </c>
      <c r="S124" s="1190">
        <f t="shared" si="13"/>
        <v>0</v>
      </c>
      <c r="T124" s="1186">
        <v>5.09</v>
      </c>
      <c r="U124" s="1188" t="s">
        <v>4</v>
      </c>
    </row>
    <row r="125" spans="1:21" ht="20.100000000000001" hidden="1" customHeight="1">
      <c r="A125" s="1185">
        <v>23</v>
      </c>
      <c r="B125" s="1191" t="s">
        <v>603</v>
      </c>
      <c r="C125" s="1186">
        <f>WORK!I1186</f>
        <v>0</v>
      </c>
      <c r="D125" s="1186">
        <f>FF!I897</f>
        <v>0</v>
      </c>
      <c r="E125" s="1186">
        <f>SF!I532</f>
        <v>0</v>
      </c>
      <c r="F125" s="1186">
        <f t="shared" si="12"/>
        <v>0</v>
      </c>
      <c r="G125" s="1186" t="s">
        <v>422</v>
      </c>
      <c r="H125" s="1187">
        <v>0</v>
      </c>
      <c r="I125" s="1187">
        <v>0</v>
      </c>
      <c r="J125" s="1187">
        <v>0</v>
      </c>
      <c r="K125" s="1185">
        <v>0</v>
      </c>
      <c r="L125" s="1187">
        <v>0</v>
      </c>
      <c r="M125" s="1187">
        <v>0</v>
      </c>
      <c r="N125" s="1188">
        <f>ROUND(F125*0.022*1,2)</f>
        <v>0</v>
      </c>
      <c r="O125" s="1187">
        <v>0</v>
      </c>
      <c r="P125" s="1187">
        <v>0</v>
      </c>
      <c r="Q125" s="1187">
        <v>0</v>
      </c>
      <c r="R125" s="1187">
        <v>0</v>
      </c>
      <c r="S125" s="1190">
        <f t="shared" si="13"/>
        <v>0</v>
      </c>
      <c r="T125" s="1186">
        <v>5.75</v>
      </c>
      <c r="U125" s="1188" t="s">
        <v>4</v>
      </c>
    </row>
    <row r="126" spans="1:21" ht="20.100000000000001" hidden="1" customHeight="1">
      <c r="A126" s="1185">
        <v>19</v>
      </c>
      <c r="B126" s="1163" t="s">
        <v>447</v>
      </c>
      <c r="C126" s="1186">
        <f>WORK!I1220</f>
        <v>0</v>
      </c>
      <c r="D126" s="1186">
        <f>FF!I925</f>
        <v>0</v>
      </c>
      <c r="E126" s="1186">
        <f>SF!I554</f>
        <v>0</v>
      </c>
      <c r="F126" s="1186">
        <f t="shared" si="12"/>
        <v>0</v>
      </c>
      <c r="G126" s="1186" t="s">
        <v>421</v>
      </c>
      <c r="H126" s="1187">
        <v>0</v>
      </c>
      <c r="I126" s="1188">
        <f>ROUND(F126*0.8,2)</f>
        <v>0</v>
      </c>
      <c r="J126" s="1187">
        <v>0</v>
      </c>
      <c r="K126" s="1185">
        <v>0</v>
      </c>
      <c r="L126" s="1188">
        <f>ROUND(F126*0.4,2)</f>
        <v>0</v>
      </c>
      <c r="M126" s="1185">
        <v>0</v>
      </c>
      <c r="N126" s="1185">
        <v>0</v>
      </c>
      <c r="O126" s="1187">
        <v>0</v>
      </c>
      <c r="P126" s="1187">
        <v>0</v>
      </c>
      <c r="Q126" s="1187">
        <v>0</v>
      </c>
      <c r="R126" s="1187">
        <v>0</v>
      </c>
      <c r="S126" s="1190">
        <f t="shared" si="13"/>
        <v>0</v>
      </c>
      <c r="T126" s="1186">
        <f>$T$101</f>
        <v>340</v>
      </c>
      <c r="U126" s="1188" t="s">
        <v>4</v>
      </c>
    </row>
    <row r="127" spans="1:21" ht="20.100000000000001" hidden="1" customHeight="1">
      <c r="A127" s="1185">
        <v>24</v>
      </c>
      <c r="B127" s="1191" t="s">
        <v>241</v>
      </c>
      <c r="C127" s="1186">
        <f>WORK!I1250</f>
        <v>0</v>
      </c>
      <c r="D127" s="1186">
        <f>FF!I956</f>
        <v>0</v>
      </c>
      <c r="E127" s="1186">
        <f>SF!I577</f>
        <v>0</v>
      </c>
      <c r="F127" s="1186">
        <f t="shared" si="12"/>
        <v>0</v>
      </c>
      <c r="G127" s="1186" t="s">
        <v>422</v>
      </c>
      <c r="H127" s="1187">
        <v>0</v>
      </c>
      <c r="I127" s="1187">
        <v>0</v>
      </c>
      <c r="J127" s="1187">
        <v>0</v>
      </c>
      <c r="K127" s="1185">
        <v>0</v>
      </c>
      <c r="L127" s="1187">
        <v>0</v>
      </c>
      <c r="M127" s="1188">
        <f>ROUND(F127*0.014,2)</f>
        <v>0</v>
      </c>
      <c r="N127" s="1187">
        <v>0</v>
      </c>
      <c r="O127" s="1187">
        <v>0</v>
      </c>
      <c r="P127" s="1187">
        <v>0</v>
      </c>
      <c r="Q127" s="1187">
        <v>0</v>
      </c>
      <c r="R127" s="1187">
        <v>0</v>
      </c>
      <c r="S127" s="1190">
        <f t="shared" si="13"/>
        <v>0</v>
      </c>
      <c r="T127" s="1186">
        <v>6.06</v>
      </c>
      <c r="U127" s="1188" t="s">
        <v>4</v>
      </c>
    </row>
    <row r="128" spans="1:21" ht="20.100000000000001" hidden="1" customHeight="1">
      <c r="A128" s="1185">
        <v>25</v>
      </c>
      <c r="B128" s="1191" t="s">
        <v>242</v>
      </c>
      <c r="C128" s="1186">
        <f>WORK!I1289</f>
        <v>0</v>
      </c>
      <c r="D128" s="1186">
        <f>FF!I995</f>
        <v>0</v>
      </c>
      <c r="E128" s="1186">
        <f>SF!I604</f>
        <v>0</v>
      </c>
      <c r="F128" s="1186">
        <f t="shared" si="12"/>
        <v>0</v>
      </c>
      <c r="G128" s="1186" t="s">
        <v>422</v>
      </c>
      <c r="H128" s="1187">
        <v>0</v>
      </c>
      <c r="I128" s="1187">
        <v>0</v>
      </c>
      <c r="J128" s="1187">
        <v>0</v>
      </c>
      <c r="K128" s="1185">
        <v>0</v>
      </c>
      <c r="L128" s="1187">
        <v>0</v>
      </c>
      <c r="M128" s="1188">
        <f>ROUND(F128*0.012,2)</f>
        <v>0</v>
      </c>
      <c r="N128" s="1187">
        <v>0</v>
      </c>
      <c r="O128" s="1187">
        <v>0</v>
      </c>
      <c r="P128" s="1187">
        <v>0</v>
      </c>
      <c r="Q128" s="1187">
        <v>0</v>
      </c>
      <c r="R128" s="1187">
        <v>0</v>
      </c>
      <c r="S128" s="1190">
        <f t="shared" si="13"/>
        <v>0</v>
      </c>
      <c r="T128" s="1195">
        <v>6.7560000000000002</v>
      </c>
      <c r="U128" s="1188" t="s">
        <v>4</v>
      </c>
    </row>
    <row r="129" spans="1:21" ht="20.100000000000001" hidden="1" customHeight="1">
      <c r="A129" s="1185">
        <v>26</v>
      </c>
      <c r="B129" s="1191" t="s">
        <v>681</v>
      </c>
      <c r="C129" s="1186">
        <f>WORK!I1328</f>
        <v>0</v>
      </c>
      <c r="D129" s="1186">
        <f>FF!I1024</f>
        <v>0</v>
      </c>
      <c r="E129" s="1186">
        <f>SF!I632</f>
        <v>0</v>
      </c>
      <c r="F129" s="1186">
        <f t="shared" si="12"/>
        <v>0</v>
      </c>
      <c r="G129" s="1186" t="s">
        <v>422</v>
      </c>
      <c r="H129" s="1187">
        <v>0</v>
      </c>
      <c r="I129" s="1187">
        <v>0</v>
      </c>
      <c r="J129" s="1187">
        <v>0</v>
      </c>
      <c r="K129" s="1185">
        <v>0</v>
      </c>
      <c r="L129" s="1187">
        <v>0</v>
      </c>
      <c r="M129" s="1188">
        <f>ROUND(F129*0.014,2)</f>
        <v>0</v>
      </c>
      <c r="N129" s="1187">
        <v>0</v>
      </c>
      <c r="O129" s="1187">
        <v>0</v>
      </c>
      <c r="P129" s="1187">
        <v>0</v>
      </c>
      <c r="Q129" s="1187">
        <v>0</v>
      </c>
      <c r="R129" s="1187">
        <v>0</v>
      </c>
      <c r="S129" s="1190">
        <f t="shared" si="13"/>
        <v>0</v>
      </c>
      <c r="T129" s="1186">
        <v>7.5</v>
      </c>
      <c r="U129" s="1188" t="s">
        <v>4</v>
      </c>
    </row>
    <row r="130" spans="1:21" ht="20.100000000000001" hidden="1" customHeight="1">
      <c r="A130" s="1185">
        <v>27</v>
      </c>
      <c r="B130" s="1191" t="s">
        <v>682</v>
      </c>
      <c r="C130" s="1186">
        <f>WORK!I1372</f>
        <v>0</v>
      </c>
      <c r="D130" s="1186">
        <f>FF!I1064</f>
        <v>0</v>
      </c>
      <c r="E130" s="1186">
        <f>SF!I660</f>
        <v>0</v>
      </c>
      <c r="F130" s="1186">
        <f t="shared" si="12"/>
        <v>0</v>
      </c>
      <c r="G130" s="1186" t="s">
        <v>422</v>
      </c>
      <c r="H130" s="1187">
        <v>0</v>
      </c>
      <c r="I130" s="1187">
        <v>0</v>
      </c>
      <c r="J130" s="1187">
        <v>0</v>
      </c>
      <c r="K130" s="1185">
        <v>0</v>
      </c>
      <c r="L130" s="1187">
        <v>0</v>
      </c>
      <c r="M130" s="1188">
        <f>ROUND(F130*0.012,2)</f>
        <v>0</v>
      </c>
      <c r="N130" s="1187">
        <v>0</v>
      </c>
      <c r="O130" s="1187">
        <v>0</v>
      </c>
      <c r="P130" s="1187">
        <v>0</v>
      </c>
      <c r="Q130" s="1187">
        <v>0</v>
      </c>
      <c r="R130" s="1187">
        <v>0</v>
      </c>
      <c r="S130" s="1190">
        <f t="shared" si="13"/>
        <v>0</v>
      </c>
      <c r="T130" s="1195">
        <v>9.06</v>
      </c>
      <c r="U130" s="1188" t="s">
        <v>4</v>
      </c>
    </row>
    <row r="131" spans="1:21" ht="20.100000000000001" hidden="1" customHeight="1">
      <c r="A131" s="1185">
        <v>37</v>
      </c>
      <c r="B131" s="1191" t="s">
        <v>683</v>
      </c>
      <c r="C131" s="1186">
        <f>WORK!I1410</f>
        <v>0</v>
      </c>
      <c r="D131" s="1186">
        <f>FF!I1108</f>
        <v>0</v>
      </c>
      <c r="E131" s="1186">
        <f>SF!I688</f>
        <v>0</v>
      </c>
      <c r="F131" s="1186">
        <f t="shared" si="12"/>
        <v>0</v>
      </c>
      <c r="G131" s="1186" t="s">
        <v>422</v>
      </c>
      <c r="H131" s="1187">
        <v>0</v>
      </c>
      <c r="I131" s="1187">
        <v>0</v>
      </c>
      <c r="J131" s="1187">
        <v>0</v>
      </c>
      <c r="K131" s="1185">
        <v>0</v>
      </c>
      <c r="L131" s="1187">
        <v>0</v>
      </c>
      <c r="M131" s="1188">
        <f>ROUND(F131*0.014,2)</f>
        <v>0</v>
      </c>
      <c r="N131" s="1187">
        <v>0</v>
      </c>
      <c r="O131" s="1187">
        <v>0</v>
      </c>
      <c r="P131" s="1187">
        <v>0</v>
      </c>
      <c r="Q131" s="1187">
        <v>0</v>
      </c>
      <c r="R131" s="1187">
        <v>0</v>
      </c>
      <c r="S131" s="1190">
        <f t="shared" si="13"/>
        <v>0</v>
      </c>
      <c r="T131" s="1186">
        <v>7.5</v>
      </c>
      <c r="U131" s="1188" t="s">
        <v>4</v>
      </c>
    </row>
    <row r="132" spans="1:21" ht="20.100000000000001" hidden="1" customHeight="1">
      <c r="A132" s="1185">
        <v>38</v>
      </c>
      <c r="B132" s="1191" t="s">
        <v>684</v>
      </c>
      <c r="C132" s="1186">
        <f>WORK!I1439</f>
        <v>0</v>
      </c>
      <c r="D132" s="1186">
        <f>FF!I1141</f>
        <v>0</v>
      </c>
      <c r="E132" s="1186">
        <f>SF!I716</f>
        <v>0</v>
      </c>
      <c r="F132" s="1186">
        <f t="shared" si="12"/>
        <v>0</v>
      </c>
      <c r="G132" s="1186" t="s">
        <v>422</v>
      </c>
      <c r="H132" s="1187">
        <v>0</v>
      </c>
      <c r="I132" s="1187">
        <v>0</v>
      </c>
      <c r="J132" s="1187">
        <v>0</v>
      </c>
      <c r="K132" s="1185">
        <v>0</v>
      </c>
      <c r="L132" s="1187">
        <v>0</v>
      </c>
      <c r="M132" s="1188">
        <f>ROUND(F132*0.012,2)</f>
        <v>0</v>
      </c>
      <c r="N132" s="1187">
        <v>0</v>
      </c>
      <c r="O132" s="1187">
        <v>0</v>
      </c>
      <c r="P132" s="1187">
        <v>0</v>
      </c>
      <c r="Q132" s="1187">
        <v>0</v>
      </c>
      <c r="R132" s="1187">
        <v>0</v>
      </c>
      <c r="S132" s="1190">
        <f t="shared" si="13"/>
        <v>0</v>
      </c>
      <c r="T132" s="1195">
        <v>6.7560000000000002</v>
      </c>
      <c r="U132" s="1188" t="s">
        <v>4</v>
      </c>
    </row>
    <row r="133" spans="1:21" ht="20.100000000000001" hidden="1" customHeight="1">
      <c r="A133" s="1185">
        <v>28</v>
      </c>
      <c r="B133" s="1191" t="s">
        <v>239</v>
      </c>
      <c r="C133" s="1186">
        <f>WORK!I1464</f>
        <v>0</v>
      </c>
      <c r="D133" s="1186">
        <f>FF!I1170</f>
        <v>0</v>
      </c>
      <c r="E133" s="1186">
        <f>SF!I744</f>
        <v>0</v>
      </c>
      <c r="F133" s="1186">
        <f t="shared" si="12"/>
        <v>0</v>
      </c>
      <c r="G133" s="1186" t="s">
        <v>422</v>
      </c>
      <c r="H133" s="1187">
        <v>0</v>
      </c>
      <c r="I133" s="1187">
        <v>0</v>
      </c>
      <c r="J133" s="1187">
        <v>0</v>
      </c>
      <c r="K133" s="1185">
        <v>0</v>
      </c>
      <c r="L133" s="1187">
        <v>0</v>
      </c>
      <c r="M133" s="1188">
        <f>ROUND(F133*0.012,2)</f>
        <v>0</v>
      </c>
      <c r="N133" s="1187">
        <v>0</v>
      </c>
      <c r="O133" s="1187">
        <v>0</v>
      </c>
      <c r="P133" s="1187">
        <v>0</v>
      </c>
      <c r="Q133" s="1187">
        <v>0</v>
      </c>
      <c r="R133" s="1187">
        <v>0</v>
      </c>
      <c r="S133" s="1190">
        <f t="shared" si="13"/>
        <v>0</v>
      </c>
      <c r="T133" s="1186">
        <v>5.46</v>
      </c>
      <c r="U133" s="1188" t="s">
        <v>4</v>
      </c>
    </row>
    <row r="134" spans="1:21" ht="20.100000000000001" hidden="1" customHeight="1">
      <c r="A134" s="1185">
        <v>29</v>
      </c>
      <c r="B134" s="1191" t="s">
        <v>240</v>
      </c>
      <c r="C134" s="1186">
        <f>WORK!I1488</f>
        <v>0</v>
      </c>
      <c r="D134" s="1186">
        <f>FF!I1197</f>
        <v>0</v>
      </c>
      <c r="E134" s="1186">
        <f>SF!I769</f>
        <v>0</v>
      </c>
      <c r="F134" s="1186">
        <f t="shared" si="12"/>
        <v>0</v>
      </c>
      <c r="G134" s="1186" t="s">
        <v>422</v>
      </c>
      <c r="H134" s="1187">
        <v>0</v>
      </c>
      <c r="I134" s="1187">
        <v>0</v>
      </c>
      <c r="J134" s="1187">
        <v>0</v>
      </c>
      <c r="K134" s="1185">
        <v>0</v>
      </c>
      <c r="L134" s="1187">
        <v>0</v>
      </c>
      <c r="M134" s="1188">
        <f>ROUND(F134*0.012,2)</f>
        <v>0</v>
      </c>
      <c r="N134" s="1187">
        <v>0</v>
      </c>
      <c r="O134" s="1187">
        <v>0</v>
      </c>
      <c r="P134" s="1187">
        <v>0</v>
      </c>
      <c r="Q134" s="1187">
        <v>0</v>
      </c>
      <c r="R134" s="1187">
        <v>0</v>
      </c>
      <c r="S134" s="1190">
        <f t="shared" si="13"/>
        <v>0</v>
      </c>
      <c r="T134" s="1186">
        <v>9.06</v>
      </c>
      <c r="U134" s="1188" t="s">
        <v>4</v>
      </c>
    </row>
    <row r="135" spans="1:21" ht="20.100000000000001" hidden="1" customHeight="1">
      <c r="A135" s="1185">
        <v>30</v>
      </c>
      <c r="B135" s="1191" t="s">
        <v>1216</v>
      </c>
      <c r="C135" s="1186">
        <f>WORK!I1513</f>
        <v>0</v>
      </c>
      <c r="D135" s="1186">
        <f>FF!I1233</f>
        <v>0</v>
      </c>
      <c r="E135" s="1186">
        <f>SF!I793</f>
        <v>0</v>
      </c>
      <c r="F135" s="1186">
        <f t="shared" si="12"/>
        <v>0</v>
      </c>
      <c r="G135" s="1186" t="s">
        <v>422</v>
      </c>
      <c r="H135" s="1187">
        <v>0</v>
      </c>
      <c r="I135" s="1187">
        <v>0</v>
      </c>
      <c r="J135" s="1187">
        <v>0</v>
      </c>
      <c r="K135" s="1185">
        <v>0</v>
      </c>
      <c r="L135" s="1187">
        <v>0</v>
      </c>
      <c r="M135" s="1188">
        <f>ROUND(F135*0.008*1,2)</f>
        <v>0</v>
      </c>
      <c r="N135" s="1187">
        <v>0</v>
      </c>
      <c r="O135" s="1187">
        <v>0</v>
      </c>
      <c r="P135" s="1187">
        <v>0</v>
      </c>
      <c r="Q135" s="1187">
        <v>0</v>
      </c>
      <c r="R135" s="1187">
        <v>0</v>
      </c>
      <c r="S135" s="1190">
        <f t="shared" si="13"/>
        <v>0</v>
      </c>
      <c r="T135" s="1186">
        <v>2.76</v>
      </c>
      <c r="U135" s="1188" t="s">
        <v>4</v>
      </c>
    </row>
    <row r="136" spans="1:21" ht="20.100000000000001" hidden="1" customHeight="1">
      <c r="A136" s="1185">
        <v>5</v>
      </c>
      <c r="B136" s="1163" t="s">
        <v>2279</v>
      </c>
      <c r="C136" s="1186">
        <f>WORK!I1569</f>
        <v>0</v>
      </c>
      <c r="D136" s="1186"/>
      <c r="E136" s="1186"/>
      <c r="F136" s="1186">
        <f t="shared" si="12"/>
        <v>0</v>
      </c>
      <c r="G136" s="1186" t="s">
        <v>421</v>
      </c>
      <c r="H136" s="1187">
        <v>0</v>
      </c>
      <c r="I136" s="1188">
        <f>ROUND(F136*0.017,2)</f>
        <v>0</v>
      </c>
      <c r="J136" s="1187">
        <v>0</v>
      </c>
      <c r="K136" s="1185">
        <v>0</v>
      </c>
      <c r="L136" s="1188">
        <f>ROUND(F136*0.009,2)</f>
        <v>0</v>
      </c>
      <c r="M136" s="1185">
        <v>0</v>
      </c>
      <c r="N136" s="1185">
        <v>0</v>
      </c>
      <c r="O136" s="1187">
        <v>0</v>
      </c>
      <c r="P136" s="1187">
        <v>0</v>
      </c>
      <c r="Q136" s="1187">
        <v>0</v>
      </c>
      <c r="R136" s="1187">
        <v>0</v>
      </c>
      <c r="S136" s="1190">
        <f t="shared" si="13"/>
        <v>0</v>
      </c>
      <c r="T136" s="1186">
        <v>12</v>
      </c>
      <c r="U136" s="1188" t="s">
        <v>4</v>
      </c>
    </row>
    <row r="137" spans="1:21" ht="18" hidden="1" customHeight="1">
      <c r="A137" s="1185"/>
      <c r="B137" s="1191"/>
      <c r="C137" s="1191"/>
      <c r="D137" s="1191"/>
      <c r="E137" s="1191"/>
      <c r="F137" s="1186"/>
      <c r="G137" s="1186"/>
      <c r="H137" s="1188"/>
      <c r="I137" s="1188"/>
      <c r="J137" s="1188"/>
      <c r="K137" s="1188"/>
      <c r="L137" s="1188"/>
      <c r="M137" s="1188"/>
      <c r="N137" s="1187"/>
      <c r="O137" s="1188"/>
      <c r="P137" s="1188"/>
      <c r="Q137" s="1187"/>
      <c r="R137" s="1188"/>
      <c r="S137" s="1188"/>
      <c r="T137" s="1186"/>
      <c r="U137" s="1188"/>
    </row>
    <row r="138" spans="1:21" hidden="1">
      <c r="A138" s="1163"/>
      <c r="B138" s="1192" t="s">
        <v>103</v>
      </c>
      <c r="C138" s="1163"/>
      <c r="D138" s="1163"/>
      <c r="E138" s="1163"/>
      <c r="F138" s="1181">
        <v>1</v>
      </c>
      <c r="G138" s="1163"/>
      <c r="H138" s="1193">
        <f t="shared" ref="H138:S138" si="16">SUM(H95:H137)</f>
        <v>0</v>
      </c>
      <c r="I138" s="1193">
        <f t="shared" si="16"/>
        <v>0</v>
      </c>
      <c r="J138" s="1193">
        <f t="shared" si="16"/>
        <v>0</v>
      </c>
      <c r="K138" s="1193">
        <f t="shared" si="16"/>
        <v>0</v>
      </c>
      <c r="L138" s="1193">
        <f t="shared" si="16"/>
        <v>0</v>
      </c>
      <c r="M138" s="1193">
        <f t="shared" si="16"/>
        <v>0</v>
      </c>
      <c r="N138" s="1193">
        <f t="shared" si="16"/>
        <v>0</v>
      </c>
      <c r="O138" s="1193">
        <f t="shared" si="16"/>
        <v>0</v>
      </c>
      <c r="P138" s="1193">
        <f t="shared" si="16"/>
        <v>0</v>
      </c>
      <c r="Q138" s="1193">
        <f t="shared" si="16"/>
        <v>0</v>
      </c>
      <c r="R138" s="1193">
        <f t="shared" si="16"/>
        <v>0</v>
      </c>
      <c r="S138" s="1193">
        <f t="shared" si="16"/>
        <v>0</v>
      </c>
      <c r="T138" s="1194" t="s">
        <v>142</v>
      </c>
      <c r="U138" s="1163"/>
    </row>
    <row r="139" spans="1:21" s="1161" customFormat="1" ht="15.75" hidden="1">
      <c r="A139" s="1176"/>
      <c r="B139" s="1177" t="s">
        <v>2320</v>
      </c>
      <c r="C139" s="1178"/>
      <c r="D139" s="1179"/>
      <c r="E139" s="1180"/>
      <c r="F139" s="1181">
        <v>1</v>
      </c>
      <c r="G139" s="1182"/>
      <c r="H139" s="1176"/>
      <c r="I139" s="1183"/>
      <c r="J139" s="1184"/>
      <c r="K139" s="1176"/>
      <c r="L139" s="1182"/>
      <c r="M139" s="1176"/>
    </row>
    <row r="140" spans="1:21" ht="18" hidden="1" customHeight="1">
      <c r="A140" s="1185">
        <v>1</v>
      </c>
      <c r="B140" s="1163" t="s">
        <v>101</v>
      </c>
      <c r="C140" s="1543"/>
      <c r="D140" s="1163"/>
      <c r="E140" s="1163"/>
      <c r="F140" s="1186">
        <f>C140+D140</f>
        <v>0</v>
      </c>
      <c r="G140" s="1186" t="s">
        <v>421</v>
      </c>
      <c r="H140" s="1185">
        <v>0</v>
      </c>
      <c r="I140" s="1185">
        <v>0</v>
      </c>
      <c r="J140" s="1185">
        <v>0</v>
      </c>
      <c r="K140" s="1185">
        <v>0</v>
      </c>
      <c r="L140" s="1185">
        <v>0</v>
      </c>
      <c r="M140" s="1185">
        <v>0</v>
      </c>
      <c r="N140" s="1185">
        <v>0</v>
      </c>
      <c r="O140" s="1187">
        <v>0</v>
      </c>
      <c r="P140" s="1187">
        <v>0</v>
      </c>
      <c r="Q140" s="1185">
        <v>0</v>
      </c>
      <c r="R140" s="1188">
        <f>F140</f>
        <v>0</v>
      </c>
      <c r="S140" s="1189">
        <v>0</v>
      </c>
      <c r="T140" s="1163">
        <v>0</v>
      </c>
      <c r="U140" s="1163"/>
    </row>
    <row r="141" spans="1:21" ht="20.100000000000001" hidden="1" customHeight="1">
      <c r="A141" s="1185">
        <v>1</v>
      </c>
      <c r="B141" s="1163" t="s">
        <v>135</v>
      </c>
      <c r="C141" s="1186">
        <f>WORK!I248</f>
        <v>0</v>
      </c>
      <c r="D141" s="1163"/>
      <c r="E141" s="1163"/>
      <c r="F141" s="1186">
        <f t="shared" ref="F141:F181" si="17">SUM(C141:E141)</f>
        <v>0</v>
      </c>
      <c r="G141" s="1186" t="s">
        <v>421</v>
      </c>
      <c r="H141" s="1185">
        <v>0</v>
      </c>
      <c r="I141" s="1185">
        <v>0</v>
      </c>
      <c r="J141" s="1185">
        <v>0</v>
      </c>
      <c r="K141" s="1185">
        <v>0</v>
      </c>
      <c r="L141" s="1185">
        <v>0</v>
      </c>
      <c r="M141" s="1185">
        <v>0</v>
      </c>
      <c r="N141" s="1185">
        <v>0</v>
      </c>
      <c r="O141" s="1188">
        <f>F141</f>
        <v>0</v>
      </c>
      <c r="P141" s="1187">
        <v>0</v>
      </c>
      <c r="Q141" s="1185">
        <v>0</v>
      </c>
      <c r="R141" s="1187">
        <v>0</v>
      </c>
      <c r="S141" s="1189">
        <v>0</v>
      </c>
      <c r="T141" s="1163">
        <v>0</v>
      </c>
      <c r="U141" s="1163"/>
    </row>
    <row r="142" spans="1:21" ht="20.100000000000001" hidden="1" customHeight="1">
      <c r="A142" s="1185">
        <v>2</v>
      </c>
      <c r="B142" s="1163" t="s">
        <v>1192</v>
      </c>
      <c r="C142" s="1186">
        <f>WORK!I188</f>
        <v>0</v>
      </c>
      <c r="D142" s="1163"/>
      <c r="E142" s="1163"/>
      <c r="F142" s="1186">
        <f t="shared" si="17"/>
        <v>0</v>
      </c>
      <c r="G142" s="1186" t="s">
        <v>421</v>
      </c>
      <c r="H142" s="1185">
        <v>0</v>
      </c>
      <c r="I142" s="1185">
        <v>0</v>
      </c>
      <c r="J142" s="1185">
        <v>0</v>
      </c>
      <c r="K142" s="1185">
        <v>0</v>
      </c>
      <c r="L142" s="1185">
        <v>0</v>
      </c>
      <c r="M142" s="1185">
        <v>0</v>
      </c>
      <c r="N142" s="1185">
        <v>0</v>
      </c>
      <c r="O142" s="1187">
        <v>0</v>
      </c>
      <c r="P142" s="1188">
        <f>F142</f>
        <v>0</v>
      </c>
      <c r="Q142" s="1185">
        <v>0</v>
      </c>
      <c r="R142" s="1187">
        <v>0</v>
      </c>
      <c r="S142" s="1189">
        <v>0</v>
      </c>
      <c r="T142" s="1163">
        <v>0</v>
      </c>
      <c r="U142" s="1163"/>
    </row>
    <row r="143" spans="1:21" ht="20.100000000000001" hidden="1" customHeight="1">
      <c r="A143" s="1185">
        <v>4</v>
      </c>
      <c r="B143" s="1163" t="s">
        <v>663</v>
      </c>
      <c r="C143" s="1186">
        <f>WORK!I212</f>
        <v>0</v>
      </c>
      <c r="D143" s="1163"/>
      <c r="E143" s="1163"/>
      <c r="F143" s="1186">
        <f t="shared" si="17"/>
        <v>0</v>
      </c>
      <c r="G143" s="1186" t="s">
        <v>421</v>
      </c>
      <c r="H143" s="1185">
        <v>0</v>
      </c>
      <c r="I143" s="1185">
        <v>0</v>
      </c>
      <c r="J143" s="1185">
        <v>0</v>
      </c>
      <c r="K143" s="1185">
        <v>0</v>
      </c>
      <c r="L143" s="1185">
        <v>0</v>
      </c>
      <c r="M143" s="1185">
        <v>0</v>
      </c>
      <c r="N143" s="1185">
        <v>0</v>
      </c>
      <c r="O143" s="1187">
        <v>0</v>
      </c>
      <c r="P143" s="1188"/>
      <c r="Q143" s="1185">
        <v>0</v>
      </c>
      <c r="R143" s="1188">
        <f>F143</f>
        <v>0</v>
      </c>
      <c r="S143" s="1189">
        <v>0</v>
      </c>
      <c r="T143" s="1163">
        <v>0</v>
      </c>
      <c r="U143" s="1163"/>
    </row>
    <row r="144" spans="1:21" ht="20.100000000000001" hidden="1" customHeight="1">
      <c r="A144" s="1185">
        <v>33</v>
      </c>
      <c r="B144" s="1163" t="s">
        <v>235</v>
      </c>
      <c r="C144" s="1186">
        <f>WORK!I128</f>
        <v>0</v>
      </c>
      <c r="D144" s="1163"/>
      <c r="E144" s="1163"/>
      <c r="F144" s="1186">
        <f t="shared" si="17"/>
        <v>0</v>
      </c>
      <c r="G144" s="1186" t="s">
        <v>421</v>
      </c>
      <c r="H144" s="1188">
        <f>ROUND(F144*0.9,2)</f>
        <v>0</v>
      </c>
      <c r="I144" s="1187">
        <v>0</v>
      </c>
      <c r="J144" s="1187">
        <v>0</v>
      </c>
      <c r="K144" s="1185">
        <v>0</v>
      </c>
      <c r="L144" s="1188">
        <f>ROUND(F144*0.45,2)</f>
        <v>0</v>
      </c>
      <c r="M144" s="1185">
        <v>0</v>
      </c>
      <c r="N144" s="1185">
        <v>0</v>
      </c>
      <c r="O144" s="1187">
        <v>0</v>
      </c>
      <c r="P144" s="1187">
        <v>0</v>
      </c>
      <c r="Q144" s="1187">
        <v>0</v>
      </c>
      <c r="R144" s="1187">
        <v>0</v>
      </c>
      <c r="S144" s="1190">
        <f t="shared" ref="S144:S181" si="18">ROUND(F144*T144/50,2)</f>
        <v>0</v>
      </c>
      <c r="T144" s="1186">
        <v>162</v>
      </c>
      <c r="U144" s="1188" t="s">
        <v>4</v>
      </c>
    </row>
    <row r="145" spans="1:21" ht="20.100000000000001" hidden="1" customHeight="1">
      <c r="A145" s="1185">
        <v>6</v>
      </c>
      <c r="B145" s="1163" t="s">
        <v>446</v>
      </c>
      <c r="C145" s="1186">
        <f>WORK!I164</f>
        <v>0</v>
      </c>
      <c r="D145" s="1163"/>
      <c r="E145" s="1163"/>
      <c r="F145" s="1186">
        <f t="shared" si="17"/>
        <v>0</v>
      </c>
      <c r="G145" s="1186" t="s">
        <v>421</v>
      </c>
      <c r="H145" s="1188">
        <f>ROUND(F145*0.9,2)</f>
        <v>0</v>
      </c>
      <c r="I145" s="1187">
        <v>0</v>
      </c>
      <c r="J145" s="1187">
        <v>0</v>
      </c>
      <c r="K145" s="1185">
        <v>0</v>
      </c>
      <c r="L145" s="1188">
        <f>ROUND(F145*0.45,2)</f>
        <v>0</v>
      </c>
      <c r="M145" s="1185">
        <v>0</v>
      </c>
      <c r="N145" s="1185">
        <v>0</v>
      </c>
      <c r="O145" s="1187">
        <v>0</v>
      </c>
      <c r="P145" s="1187">
        <v>0</v>
      </c>
      <c r="Q145" s="1187">
        <v>0</v>
      </c>
      <c r="R145" s="1187">
        <v>0</v>
      </c>
      <c r="S145" s="1190">
        <f t="shared" si="18"/>
        <v>0</v>
      </c>
      <c r="T145" s="1186">
        <v>129.6</v>
      </c>
      <c r="U145" s="1188" t="s">
        <v>4</v>
      </c>
    </row>
    <row r="146" spans="1:21" ht="20.100000000000001" hidden="1" customHeight="1">
      <c r="A146" s="1185">
        <v>4</v>
      </c>
      <c r="B146" s="1163" t="s">
        <v>132</v>
      </c>
      <c r="C146" s="1186">
        <f>WORK!I306</f>
        <v>0</v>
      </c>
      <c r="D146" s="1163"/>
      <c r="E146" s="1163"/>
      <c r="F146" s="1186">
        <f t="shared" si="17"/>
        <v>0</v>
      </c>
      <c r="G146" s="1186" t="s">
        <v>421</v>
      </c>
      <c r="H146" s="1187">
        <v>0</v>
      </c>
      <c r="I146" s="1188">
        <f t="shared" ref="I146:I156" si="19">ROUND(F146*0.8,2)</f>
        <v>0</v>
      </c>
      <c r="J146" s="1187">
        <v>0</v>
      </c>
      <c r="K146" s="1185">
        <v>0</v>
      </c>
      <c r="L146" s="1188">
        <f t="shared" ref="L146:L156" si="20">ROUND(F146*0.4,2)</f>
        <v>0</v>
      </c>
      <c r="M146" s="1185">
        <v>0</v>
      </c>
      <c r="N146" s="1185">
        <v>0</v>
      </c>
      <c r="O146" s="1187">
        <v>0</v>
      </c>
      <c r="P146" s="1187">
        <v>0</v>
      </c>
      <c r="Q146" s="1187">
        <v>0</v>
      </c>
      <c r="R146" s="1187">
        <v>0</v>
      </c>
      <c r="S146" s="1190">
        <f t="shared" si="18"/>
        <v>0</v>
      </c>
      <c r="T146" s="1186">
        <f>data!E2860</f>
        <v>340</v>
      </c>
      <c r="U146" s="1188" t="s">
        <v>4</v>
      </c>
    </row>
    <row r="147" spans="1:21" ht="20.100000000000001" hidden="1" customHeight="1">
      <c r="A147" s="1185">
        <v>5</v>
      </c>
      <c r="B147" s="1163" t="s">
        <v>133</v>
      </c>
      <c r="C147" s="1186">
        <f>WORK!I326</f>
        <v>0</v>
      </c>
      <c r="D147" s="1163"/>
      <c r="E147" s="1163"/>
      <c r="F147" s="1186">
        <f t="shared" si="17"/>
        <v>0</v>
      </c>
      <c r="G147" s="1186" t="s">
        <v>421</v>
      </c>
      <c r="H147" s="1187">
        <v>0</v>
      </c>
      <c r="I147" s="1188">
        <f t="shared" si="19"/>
        <v>0</v>
      </c>
      <c r="J147" s="1187">
        <v>0</v>
      </c>
      <c r="K147" s="1185">
        <v>0</v>
      </c>
      <c r="L147" s="1188">
        <f t="shared" si="20"/>
        <v>0</v>
      </c>
      <c r="M147" s="1185">
        <v>0</v>
      </c>
      <c r="N147" s="1185">
        <v>0</v>
      </c>
      <c r="O147" s="1187">
        <v>0</v>
      </c>
      <c r="P147" s="1187">
        <v>0</v>
      </c>
      <c r="Q147" s="1187">
        <v>0</v>
      </c>
      <c r="R147" s="1187">
        <v>0</v>
      </c>
      <c r="S147" s="1190">
        <f t="shared" si="18"/>
        <v>0</v>
      </c>
      <c r="T147" s="1186">
        <f>$T$146</f>
        <v>340</v>
      </c>
      <c r="U147" s="1188" t="s">
        <v>4</v>
      </c>
    </row>
    <row r="148" spans="1:21" ht="20.100000000000001" hidden="1" customHeight="1">
      <c r="A148" s="1185">
        <v>2</v>
      </c>
      <c r="B148" s="1163" t="s">
        <v>127</v>
      </c>
      <c r="C148" s="1186">
        <f>WORK!I366</f>
        <v>0</v>
      </c>
      <c r="D148" s="1186">
        <f>FF!I35</f>
        <v>0</v>
      </c>
      <c r="E148" s="1186">
        <f>SF!I33</f>
        <v>0</v>
      </c>
      <c r="F148" s="1186">
        <f t="shared" si="17"/>
        <v>0</v>
      </c>
      <c r="G148" s="1186" t="s">
        <v>421</v>
      </c>
      <c r="H148" s="1187">
        <v>0</v>
      </c>
      <c r="I148" s="1188">
        <f t="shared" si="19"/>
        <v>0</v>
      </c>
      <c r="J148" s="1187">
        <v>0</v>
      </c>
      <c r="K148" s="1185">
        <v>0</v>
      </c>
      <c r="L148" s="1188">
        <f t="shared" si="20"/>
        <v>0</v>
      </c>
      <c r="M148" s="1185">
        <v>0</v>
      </c>
      <c r="N148" s="1185">
        <v>0</v>
      </c>
      <c r="O148" s="1187">
        <v>0</v>
      </c>
      <c r="P148" s="1187">
        <v>0</v>
      </c>
      <c r="Q148" s="1187">
        <v>0</v>
      </c>
      <c r="R148" s="1187">
        <v>0</v>
      </c>
      <c r="S148" s="1190">
        <f t="shared" si="18"/>
        <v>0</v>
      </c>
      <c r="T148" s="1186">
        <f>$T$146</f>
        <v>340</v>
      </c>
      <c r="U148" s="1188" t="s">
        <v>4</v>
      </c>
    </row>
    <row r="149" spans="1:21" ht="20.100000000000001" hidden="1" customHeight="1">
      <c r="A149" s="1185">
        <v>7</v>
      </c>
      <c r="B149" s="1163" t="s">
        <v>128</v>
      </c>
      <c r="C149" s="1186">
        <f>WORK!I406</f>
        <v>0</v>
      </c>
      <c r="D149" s="1163"/>
      <c r="E149" s="1163"/>
      <c r="F149" s="1186">
        <f t="shared" si="17"/>
        <v>0</v>
      </c>
      <c r="G149" s="1186" t="s">
        <v>421</v>
      </c>
      <c r="H149" s="1187">
        <v>0</v>
      </c>
      <c r="I149" s="1188">
        <f t="shared" si="19"/>
        <v>0</v>
      </c>
      <c r="J149" s="1187">
        <v>0</v>
      </c>
      <c r="K149" s="1185">
        <v>0</v>
      </c>
      <c r="L149" s="1188">
        <f t="shared" si="20"/>
        <v>0</v>
      </c>
      <c r="M149" s="1185">
        <v>0</v>
      </c>
      <c r="N149" s="1185">
        <v>0</v>
      </c>
      <c r="O149" s="1187">
        <v>0</v>
      </c>
      <c r="P149" s="1187">
        <v>0</v>
      </c>
      <c r="Q149" s="1187">
        <v>0</v>
      </c>
      <c r="R149" s="1187">
        <v>0</v>
      </c>
      <c r="S149" s="1190">
        <f t="shared" si="18"/>
        <v>0</v>
      </c>
      <c r="T149" s="1186">
        <f>$T$146</f>
        <v>340</v>
      </c>
      <c r="U149" s="1188" t="s">
        <v>4</v>
      </c>
    </row>
    <row r="150" spans="1:21" ht="20.100000000000001" hidden="1" customHeight="1">
      <c r="A150" s="1185">
        <v>3</v>
      </c>
      <c r="B150" s="1163" t="s">
        <v>131</v>
      </c>
      <c r="C150" s="1186">
        <f>WORK!I475</f>
        <v>0</v>
      </c>
      <c r="D150" s="1186">
        <f>FF!I104</f>
        <v>0</v>
      </c>
      <c r="E150" s="1186">
        <f>SF!I57</f>
        <v>0</v>
      </c>
      <c r="F150" s="1186">
        <f t="shared" si="17"/>
        <v>0</v>
      </c>
      <c r="G150" s="1186" t="s">
        <v>421</v>
      </c>
      <c r="H150" s="1187">
        <v>0</v>
      </c>
      <c r="I150" s="1188">
        <f t="shared" si="19"/>
        <v>0</v>
      </c>
      <c r="J150" s="1187">
        <v>0</v>
      </c>
      <c r="K150" s="1185">
        <v>0</v>
      </c>
      <c r="L150" s="1188">
        <f t="shared" si="20"/>
        <v>0</v>
      </c>
      <c r="M150" s="1185">
        <v>0</v>
      </c>
      <c r="N150" s="1185">
        <v>0</v>
      </c>
      <c r="O150" s="1187">
        <v>0</v>
      </c>
      <c r="P150" s="1187">
        <v>0</v>
      </c>
      <c r="Q150" s="1187">
        <v>0</v>
      </c>
      <c r="R150" s="1187">
        <v>0</v>
      </c>
      <c r="S150" s="1190">
        <f t="shared" si="18"/>
        <v>0</v>
      </c>
      <c r="T150" s="1186">
        <f>$T$146</f>
        <v>340</v>
      </c>
      <c r="U150" s="1188" t="s">
        <v>4</v>
      </c>
    </row>
    <row r="151" spans="1:21" ht="20.100000000000001" hidden="1" customHeight="1">
      <c r="A151" s="1185">
        <v>9</v>
      </c>
      <c r="B151" s="1191" t="s">
        <v>236</v>
      </c>
      <c r="C151" s="1186">
        <f>ROUND(WORK!I500*0.15,2)</f>
        <v>0</v>
      </c>
      <c r="D151" s="1186">
        <f>ROUND(FF!I133*0.15,2)</f>
        <v>0</v>
      </c>
      <c r="E151" s="1186">
        <f>ROUND(SF!I81*0.15,2)</f>
        <v>0</v>
      </c>
      <c r="F151" s="1186">
        <f t="shared" si="17"/>
        <v>0</v>
      </c>
      <c r="G151" s="1186" t="s">
        <v>422</v>
      </c>
      <c r="H151" s="1187">
        <v>0</v>
      </c>
      <c r="I151" s="1188">
        <f t="shared" si="19"/>
        <v>0</v>
      </c>
      <c r="J151" s="1187">
        <v>0</v>
      </c>
      <c r="K151" s="1185">
        <v>0</v>
      </c>
      <c r="L151" s="1188">
        <f t="shared" si="20"/>
        <v>0</v>
      </c>
      <c r="M151" s="1185">
        <v>0</v>
      </c>
      <c r="N151" s="1185">
        <v>0</v>
      </c>
      <c r="O151" s="1187">
        <v>0</v>
      </c>
      <c r="P151" s="1187">
        <v>0</v>
      </c>
      <c r="Q151" s="1187">
        <v>0</v>
      </c>
      <c r="R151" s="1187">
        <v>0</v>
      </c>
      <c r="S151" s="1190">
        <f t="shared" si="18"/>
        <v>0</v>
      </c>
      <c r="T151" s="1186">
        <f>ROUND(T150,2)</f>
        <v>340</v>
      </c>
      <c r="U151" s="1188" t="s">
        <v>4</v>
      </c>
    </row>
    <row r="152" spans="1:21" ht="20.100000000000001" hidden="1" customHeight="1">
      <c r="A152" s="1185">
        <v>4</v>
      </c>
      <c r="B152" s="1191" t="s">
        <v>237</v>
      </c>
      <c r="C152" s="1186">
        <f>ROUND(WORK!I525*0.125,2)</f>
        <v>0</v>
      </c>
      <c r="D152" s="1186">
        <f>ROUND(FF!I159*0.125,2)</f>
        <v>0</v>
      </c>
      <c r="E152" s="1186">
        <f>ROUND(SF!I101*0.125,2)</f>
        <v>0</v>
      </c>
      <c r="F152" s="1186">
        <f t="shared" si="17"/>
        <v>0</v>
      </c>
      <c r="G152" s="1186" t="s">
        <v>422</v>
      </c>
      <c r="H152" s="1187">
        <v>0</v>
      </c>
      <c r="I152" s="1188">
        <f t="shared" si="19"/>
        <v>0</v>
      </c>
      <c r="J152" s="1187">
        <v>0</v>
      </c>
      <c r="K152" s="1185">
        <v>0</v>
      </c>
      <c r="L152" s="1188">
        <f t="shared" si="20"/>
        <v>0</v>
      </c>
      <c r="M152" s="1185">
        <v>0</v>
      </c>
      <c r="N152" s="1185">
        <v>0</v>
      </c>
      <c r="O152" s="1187">
        <v>0</v>
      </c>
      <c r="P152" s="1187">
        <v>0</v>
      </c>
      <c r="Q152" s="1187">
        <v>0</v>
      </c>
      <c r="R152" s="1187">
        <v>0</v>
      </c>
      <c r="S152" s="1190">
        <f t="shared" si="18"/>
        <v>0</v>
      </c>
      <c r="T152" s="1186">
        <f>ROUND(T150,2)</f>
        <v>340</v>
      </c>
      <c r="U152" s="1188" t="s">
        <v>4</v>
      </c>
    </row>
    <row r="153" spans="1:21" ht="20.100000000000001" hidden="1" customHeight="1">
      <c r="A153" s="1185">
        <v>34</v>
      </c>
      <c r="B153" s="1191" t="s">
        <v>605</v>
      </c>
      <c r="C153" s="1186">
        <f>ROUND(WORK!I547*0.1,2)</f>
        <v>0</v>
      </c>
      <c r="D153" s="1186">
        <f>ROUND(FF!I179*0.1,2)</f>
        <v>0</v>
      </c>
      <c r="E153" s="1186">
        <f>ROUND(SF!I121*0.1,2)</f>
        <v>0</v>
      </c>
      <c r="F153" s="1186">
        <f t="shared" si="17"/>
        <v>0</v>
      </c>
      <c r="G153" s="1186" t="s">
        <v>422</v>
      </c>
      <c r="H153" s="1187">
        <v>0</v>
      </c>
      <c r="I153" s="1188">
        <f t="shared" si="19"/>
        <v>0</v>
      </c>
      <c r="J153" s="1187">
        <v>0</v>
      </c>
      <c r="K153" s="1185">
        <v>0</v>
      </c>
      <c r="L153" s="1188">
        <f t="shared" si="20"/>
        <v>0</v>
      </c>
      <c r="M153" s="1185">
        <v>0</v>
      </c>
      <c r="N153" s="1185">
        <v>0</v>
      </c>
      <c r="O153" s="1187">
        <v>0</v>
      </c>
      <c r="P153" s="1187">
        <v>0</v>
      </c>
      <c r="Q153" s="1187">
        <v>0</v>
      </c>
      <c r="R153" s="1187">
        <v>0</v>
      </c>
      <c r="S153" s="1190">
        <f t="shared" si="18"/>
        <v>0</v>
      </c>
      <c r="T153" s="1186">
        <f>T152</f>
        <v>340</v>
      </c>
      <c r="U153" s="1188" t="s">
        <v>4</v>
      </c>
    </row>
    <row r="154" spans="1:21" ht="20.100000000000001" hidden="1" customHeight="1">
      <c r="A154" s="1185">
        <v>9</v>
      </c>
      <c r="B154" s="1191" t="s">
        <v>1231</v>
      </c>
      <c r="C154" s="1186">
        <f>ROUND(WORK!I571*0.05,2)</f>
        <v>0</v>
      </c>
      <c r="D154" s="1186">
        <f>ROUND(FF!I203*0.05,2)</f>
        <v>0</v>
      </c>
      <c r="E154" s="1186">
        <f>ROUND(SF!I145*0.05,2)</f>
        <v>0</v>
      </c>
      <c r="F154" s="1186">
        <f t="shared" si="17"/>
        <v>0</v>
      </c>
      <c r="G154" s="1186" t="s">
        <v>422</v>
      </c>
      <c r="H154" s="1187">
        <v>0</v>
      </c>
      <c r="I154" s="1188">
        <f t="shared" si="19"/>
        <v>0</v>
      </c>
      <c r="J154" s="1187">
        <v>0</v>
      </c>
      <c r="K154" s="1185">
        <v>0</v>
      </c>
      <c r="L154" s="1188">
        <f t="shared" si="20"/>
        <v>0</v>
      </c>
      <c r="M154" s="1185">
        <v>0</v>
      </c>
      <c r="N154" s="1185">
        <v>0</v>
      </c>
      <c r="O154" s="1187">
        <v>0</v>
      </c>
      <c r="P154" s="1187">
        <v>0</v>
      </c>
      <c r="Q154" s="1187">
        <v>0</v>
      </c>
      <c r="R154" s="1187">
        <v>0</v>
      </c>
      <c r="S154" s="1190">
        <f t="shared" si="18"/>
        <v>0</v>
      </c>
      <c r="T154" s="1186">
        <f>T153</f>
        <v>340</v>
      </c>
      <c r="U154" s="1188" t="s">
        <v>4</v>
      </c>
    </row>
    <row r="155" spans="1:21" ht="20.100000000000001" hidden="1" customHeight="1">
      <c r="A155" s="1185">
        <v>16</v>
      </c>
      <c r="B155" s="1191" t="s">
        <v>1440</v>
      </c>
      <c r="C155" s="1186">
        <f>ROUND(WORK!I599*0.025,2)</f>
        <v>0</v>
      </c>
      <c r="D155" s="1186">
        <f>ROUND(FF!I227*0.025,2)</f>
        <v>0</v>
      </c>
      <c r="E155" s="1186">
        <f>ROUND(SF!I169*0.025,2)</f>
        <v>0</v>
      </c>
      <c r="F155" s="1186">
        <f t="shared" si="17"/>
        <v>0</v>
      </c>
      <c r="G155" s="1186" t="s">
        <v>422</v>
      </c>
      <c r="H155" s="1187">
        <v>0</v>
      </c>
      <c r="I155" s="1188">
        <f t="shared" si="19"/>
        <v>0</v>
      </c>
      <c r="J155" s="1187">
        <v>0</v>
      </c>
      <c r="K155" s="1185">
        <v>0</v>
      </c>
      <c r="L155" s="1188">
        <f t="shared" si="20"/>
        <v>0</v>
      </c>
      <c r="M155" s="1185">
        <v>0</v>
      </c>
      <c r="N155" s="1185">
        <v>0</v>
      </c>
      <c r="O155" s="1187">
        <v>0</v>
      </c>
      <c r="P155" s="1187">
        <v>0</v>
      </c>
      <c r="Q155" s="1187">
        <v>0</v>
      </c>
      <c r="R155" s="1187">
        <v>0</v>
      </c>
      <c r="S155" s="1190">
        <f t="shared" si="18"/>
        <v>0</v>
      </c>
      <c r="T155" s="1186">
        <f>T154</f>
        <v>340</v>
      </c>
      <c r="U155" s="1188" t="s">
        <v>4</v>
      </c>
    </row>
    <row r="156" spans="1:21" ht="20.100000000000001" hidden="1" customHeight="1">
      <c r="A156" s="1185">
        <v>12</v>
      </c>
      <c r="B156" s="1163" t="s">
        <v>129</v>
      </c>
      <c r="C156" s="1186">
        <f>WORK!I639</f>
        <v>0</v>
      </c>
      <c r="D156" s="1186">
        <f>FF!I276</f>
        <v>0</v>
      </c>
      <c r="E156" s="1186">
        <f>SF!I197</f>
        <v>0</v>
      </c>
      <c r="F156" s="1186">
        <f t="shared" si="17"/>
        <v>0</v>
      </c>
      <c r="G156" s="1186" t="s">
        <v>421</v>
      </c>
      <c r="H156" s="1187">
        <v>0</v>
      </c>
      <c r="I156" s="1188">
        <f t="shared" si="19"/>
        <v>0</v>
      </c>
      <c r="J156" s="1187">
        <v>0</v>
      </c>
      <c r="K156" s="1185">
        <v>0</v>
      </c>
      <c r="L156" s="1188">
        <f t="shared" si="20"/>
        <v>0</v>
      </c>
      <c r="M156" s="1185">
        <v>0</v>
      </c>
      <c r="N156" s="1185">
        <v>0</v>
      </c>
      <c r="O156" s="1187">
        <v>0</v>
      </c>
      <c r="P156" s="1187">
        <v>0</v>
      </c>
      <c r="Q156" s="1187">
        <v>0</v>
      </c>
      <c r="R156" s="1187">
        <v>0</v>
      </c>
      <c r="S156" s="1190">
        <f t="shared" si="18"/>
        <v>0</v>
      </c>
      <c r="T156" s="1186">
        <f>$T$146</f>
        <v>340</v>
      </c>
      <c r="U156" s="1188" t="s">
        <v>4</v>
      </c>
    </row>
    <row r="157" spans="1:21" ht="20.100000000000001" hidden="1" customHeight="1">
      <c r="A157" s="1185">
        <v>13</v>
      </c>
      <c r="B157" s="1163" t="s">
        <v>130</v>
      </c>
      <c r="C157" s="1186">
        <f>WORK!I660</f>
        <v>0</v>
      </c>
      <c r="D157" s="1186">
        <f>FF!I301</f>
        <v>0</v>
      </c>
      <c r="E157" s="1186">
        <f>SF!I217</f>
        <v>0</v>
      </c>
      <c r="F157" s="1186">
        <f t="shared" si="17"/>
        <v>0</v>
      </c>
      <c r="G157" s="1186" t="s">
        <v>82</v>
      </c>
      <c r="H157" s="1187">
        <v>0</v>
      </c>
      <c r="I157" s="1188">
        <f>ROUND(F157*0.0375*0.8,2)</f>
        <v>0</v>
      </c>
      <c r="J157" s="1187">
        <v>0</v>
      </c>
      <c r="K157" s="1185">
        <v>0</v>
      </c>
      <c r="L157" s="1188">
        <f>ROUND(F157*0.0375*0.4,2)</f>
        <v>0</v>
      </c>
      <c r="M157" s="1185">
        <v>0</v>
      </c>
      <c r="N157" s="1185">
        <v>0</v>
      </c>
      <c r="O157" s="1187">
        <v>0</v>
      </c>
      <c r="P157" s="1187">
        <v>0</v>
      </c>
      <c r="Q157" s="1187">
        <v>0</v>
      </c>
      <c r="R157" s="1187">
        <v>0</v>
      </c>
      <c r="S157" s="1190">
        <f t="shared" si="18"/>
        <v>0</v>
      </c>
      <c r="T157" s="1195">
        <f>ROUND(T156*0.0375,2)</f>
        <v>12.75</v>
      </c>
      <c r="U157" s="1188" t="s">
        <v>4</v>
      </c>
    </row>
    <row r="158" spans="1:21" ht="20.100000000000001" hidden="1" customHeight="1">
      <c r="A158" s="1185">
        <v>31</v>
      </c>
      <c r="B158" s="1191" t="s">
        <v>1441</v>
      </c>
      <c r="C158" s="1186">
        <f>WORK!I684</f>
        <v>0</v>
      </c>
      <c r="D158" s="1186">
        <f>FF!I326</f>
        <v>0</v>
      </c>
      <c r="E158" s="1186">
        <f>SF!I237</f>
        <v>0</v>
      </c>
      <c r="F158" s="1186">
        <f t="shared" si="17"/>
        <v>0</v>
      </c>
      <c r="G158" s="1186" t="s">
        <v>422</v>
      </c>
      <c r="H158" s="1187">
        <v>0</v>
      </c>
      <c r="I158" s="1187">
        <v>0</v>
      </c>
      <c r="J158" s="1187">
        <v>0</v>
      </c>
      <c r="K158" s="1185">
        <v>0</v>
      </c>
      <c r="L158" s="1187">
        <v>0</v>
      </c>
      <c r="M158" s="1185">
        <v>0</v>
      </c>
      <c r="N158" s="1188">
        <f>ROUND(F158*0.015*1.05,2)</f>
        <v>0</v>
      </c>
      <c r="O158" s="1187">
        <v>0</v>
      </c>
      <c r="P158" s="1187">
        <v>0</v>
      </c>
      <c r="Q158" s="1187">
        <v>0</v>
      </c>
      <c r="R158" s="1187">
        <v>0</v>
      </c>
      <c r="S158" s="1190">
        <f t="shared" si="18"/>
        <v>0</v>
      </c>
      <c r="T158" s="1186">
        <v>7.2</v>
      </c>
      <c r="U158" s="1188" t="s">
        <v>4</v>
      </c>
    </row>
    <row r="159" spans="1:21" ht="20.100000000000001" hidden="1" customHeight="1">
      <c r="A159" s="1185">
        <v>12</v>
      </c>
      <c r="B159" s="1191" t="s">
        <v>1226</v>
      </c>
      <c r="C159" s="1186">
        <f>WORK!I708</f>
        <v>0</v>
      </c>
      <c r="D159" s="1186">
        <f>FF!I350</f>
        <v>0</v>
      </c>
      <c r="E159" s="1186">
        <f>SF!I261</f>
        <v>0</v>
      </c>
      <c r="F159" s="1186">
        <f t="shared" si="17"/>
        <v>0</v>
      </c>
      <c r="G159" s="1186" t="s">
        <v>422</v>
      </c>
      <c r="H159" s="1187">
        <v>0</v>
      </c>
      <c r="I159" s="1187">
        <v>0</v>
      </c>
      <c r="J159" s="1187">
        <v>0</v>
      </c>
      <c r="K159" s="1185">
        <v>0</v>
      </c>
      <c r="L159" s="1187">
        <v>0</v>
      </c>
      <c r="M159" s="1185">
        <v>0</v>
      </c>
      <c r="N159" s="1188">
        <f>ROUND(F159*0.021*1.05,2)</f>
        <v>0</v>
      </c>
      <c r="O159" s="1187">
        <v>0</v>
      </c>
      <c r="P159" s="1187">
        <v>0</v>
      </c>
      <c r="Q159" s="1187">
        <v>0</v>
      </c>
      <c r="R159" s="1187">
        <v>0</v>
      </c>
      <c r="S159" s="1190">
        <f t="shared" si="18"/>
        <v>0</v>
      </c>
      <c r="T159" s="1186">
        <v>10.08</v>
      </c>
      <c r="U159" s="1188" t="s">
        <v>4</v>
      </c>
    </row>
    <row r="160" spans="1:21" ht="20.100000000000001" hidden="1" customHeight="1">
      <c r="A160" s="1185">
        <v>35</v>
      </c>
      <c r="B160" s="1163" t="s">
        <v>1194</v>
      </c>
      <c r="C160" s="1186">
        <f>WORK!I735</f>
        <v>0</v>
      </c>
      <c r="D160" s="1186"/>
      <c r="E160" s="1186"/>
      <c r="F160" s="1186">
        <f t="shared" si="17"/>
        <v>0</v>
      </c>
      <c r="G160" s="1186" t="s">
        <v>421</v>
      </c>
      <c r="H160" s="1187">
        <v>0</v>
      </c>
      <c r="I160" s="1187">
        <v>0</v>
      </c>
      <c r="J160" s="1187">
        <v>0</v>
      </c>
      <c r="K160" s="1188">
        <f>ROUND(F160*1.1,2)</f>
        <v>0</v>
      </c>
      <c r="L160" s="1187">
        <v>0</v>
      </c>
      <c r="M160" s="1188">
        <f>ROUND(F160*0.33,2)</f>
        <v>0</v>
      </c>
      <c r="N160" s="1187">
        <v>0</v>
      </c>
      <c r="O160" s="1187">
        <v>0</v>
      </c>
      <c r="P160" s="1187">
        <v>0</v>
      </c>
      <c r="Q160" s="1188"/>
      <c r="R160" s="1187">
        <v>0</v>
      </c>
      <c r="S160" s="1190">
        <f t="shared" si="18"/>
        <v>0</v>
      </c>
      <c r="T160" s="1186">
        <v>59.4</v>
      </c>
      <c r="U160" s="1188" t="s">
        <v>4</v>
      </c>
    </row>
    <row r="161" spans="1:21" ht="20.100000000000001" hidden="1" customHeight="1">
      <c r="A161" s="1185">
        <v>2</v>
      </c>
      <c r="B161" s="1163" t="s">
        <v>134</v>
      </c>
      <c r="C161" s="1186">
        <f>WORK!I798</f>
        <v>0</v>
      </c>
      <c r="D161" s="1186">
        <f>FF!I374</f>
        <v>0</v>
      </c>
      <c r="E161" s="1186">
        <f>SF!I290</f>
        <v>0</v>
      </c>
      <c r="F161" s="1186">
        <f t="shared" si="17"/>
        <v>0</v>
      </c>
      <c r="G161" s="1186" t="s">
        <v>421</v>
      </c>
      <c r="H161" s="1187">
        <v>0</v>
      </c>
      <c r="I161" s="1187">
        <v>0</v>
      </c>
      <c r="J161" s="1187">
        <v>0</v>
      </c>
      <c r="K161" s="1185">
        <v>0</v>
      </c>
      <c r="L161" s="1187">
        <v>0</v>
      </c>
      <c r="M161" s="1188">
        <f>ROUND(F161*0.2,2)</f>
        <v>0</v>
      </c>
      <c r="N161" s="1187">
        <v>0</v>
      </c>
      <c r="O161" s="1187">
        <v>0</v>
      </c>
      <c r="P161" s="1187">
        <v>0</v>
      </c>
      <c r="Q161" s="1188">
        <f>ROUND(F161*512/1000,2)</f>
        <v>0</v>
      </c>
      <c r="R161" s="1187">
        <v>0</v>
      </c>
      <c r="S161" s="1190">
        <f t="shared" si="18"/>
        <v>0</v>
      </c>
      <c r="T161" s="1186">
        <v>36</v>
      </c>
      <c r="U161" s="1188" t="s">
        <v>4</v>
      </c>
    </row>
    <row r="162" spans="1:21" ht="20.100000000000001" hidden="1" customHeight="1">
      <c r="A162" s="1185">
        <v>14</v>
      </c>
      <c r="B162" s="1163" t="s">
        <v>906</v>
      </c>
      <c r="C162" s="1186">
        <f>WORK!I860</f>
        <v>0</v>
      </c>
      <c r="D162" s="1186">
        <f>FF!I460</f>
        <v>0</v>
      </c>
      <c r="E162" s="1186">
        <f>SF!I320</f>
        <v>0</v>
      </c>
      <c r="F162" s="1186">
        <f t="shared" si="17"/>
        <v>0</v>
      </c>
      <c r="G162" s="1186" t="s">
        <v>421</v>
      </c>
      <c r="H162" s="1187">
        <v>0</v>
      </c>
      <c r="I162" s="1187">
        <v>0</v>
      </c>
      <c r="J162" s="1187">
        <v>0</v>
      </c>
      <c r="K162" s="1185">
        <v>0</v>
      </c>
      <c r="L162" s="1187">
        <v>0</v>
      </c>
      <c r="M162" s="1188">
        <f>ROUND(F162*0.2,2)</f>
        <v>0</v>
      </c>
      <c r="N162" s="1187">
        <v>0</v>
      </c>
      <c r="O162" s="1187">
        <v>0</v>
      </c>
      <c r="P162" s="1187">
        <v>0</v>
      </c>
      <c r="Q162" s="1188">
        <f>ROUND(F162*512/1000,2)</f>
        <v>0</v>
      </c>
      <c r="R162" s="1187">
        <v>0</v>
      </c>
      <c r="S162" s="1190">
        <f t="shared" si="18"/>
        <v>0</v>
      </c>
      <c r="T162" s="1186">
        <v>48</v>
      </c>
      <c r="U162" s="1188" t="s">
        <v>4</v>
      </c>
    </row>
    <row r="163" spans="1:21" ht="20.100000000000001" hidden="1" customHeight="1">
      <c r="A163" s="1185">
        <v>15</v>
      </c>
      <c r="B163" s="1163" t="s">
        <v>3637</v>
      </c>
      <c r="C163" s="1186">
        <f>WORK!I908</f>
        <v>0</v>
      </c>
      <c r="D163" s="1186">
        <f>FF!I550</f>
        <v>0</v>
      </c>
      <c r="E163" s="1186">
        <f>SF!I347</f>
        <v>0</v>
      </c>
      <c r="F163" s="1186">
        <f t="shared" si="17"/>
        <v>0</v>
      </c>
      <c r="G163" s="1186" t="s">
        <v>422</v>
      </c>
      <c r="H163" s="1187">
        <v>0</v>
      </c>
      <c r="I163" s="1188"/>
      <c r="J163" s="1187">
        <v>0</v>
      </c>
      <c r="K163" s="1185">
        <v>0</v>
      </c>
      <c r="L163" s="1187">
        <v>0</v>
      </c>
      <c r="M163" s="1188">
        <f>ROUND(F163*0.022,2)</f>
        <v>0</v>
      </c>
      <c r="N163" s="1187">
        <v>0</v>
      </c>
      <c r="O163" s="1187">
        <v>0</v>
      </c>
      <c r="P163" s="1187">
        <v>0</v>
      </c>
      <c r="Q163" s="1188">
        <f>ROUND(F163*512*0.1/1000,2)</f>
        <v>0</v>
      </c>
      <c r="R163" s="1187">
        <v>0</v>
      </c>
      <c r="S163" s="1190">
        <f t="shared" si="18"/>
        <v>0</v>
      </c>
      <c r="T163" s="1186">
        <v>7.2</v>
      </c>
      <c r="U163" s="1188" t="s">
        <v>4</v>
      </c>
    </row>
    <row r="164" spans="1:21" ht="20.100000000000001" hidden="1" customHeight="1">
      <c r="A164" s="1185">
        <v>36</v>
      </c>
      <c r="B164" s="1163" t="s">
        <v>1214</v>
      </c>
      <c r="C164" s="1186">
        <f>WORK!I940</f>
        <v>0</v>
      </c>
      <c r="D164" s="1186">
        <f>FF!I578</f>
        <v>0</v>
      </c>
      <c r="E164" s="1186">
        <f>SF!I375</f>
        <v>0</v>
      </c>
      <c r="F164" s="1186">
        <f t="shared" si="17"/>
        <v>0</v>
      </c>
      <c r="G164" s="1186" t="s">
        <v>421</v>
      </c>
      <c r="H164" s="1187">
        <v>0</v>
      </c>
      <c r="I164" s="1187">
        <v>0</v>
      </c>
      <c r="J164" s="1187">
        <v>0</v>
      </c>
      <c r="K164" s="1185">
        <v>0</v>
      </c>
      <c r="L164" s="1187">
        <v>0</v>
      </c>
      <c r="M164" s="1188">
        <f>ROUND(F164*0.1*1.05,2)</f>
        <v>0</v>
      </c>
      <c r="N164" s="1187">
        <v>0</v>
      </c>
      <c r="O164" s="1187">
        <v>0</v>
      </c>
      <c r="P164" s="1187">
        <v>0</v>
      </c>
      <c r="Q164" s="1188">
        <f>ROUND(F164*110/1000,2)</f>
        <v>0</v>
      </c>
      <c r="R164" s="1187">
        <v>0</v>
      </c>
      <c r="S164" s="1190">
        <f t="shared" si="18"/>
        <v>0</v>
      </c>
      <c r="T164" s="1186">
        <v>24</v>
      </c>
      <c r="U164" s="1188" t="s">
        <v>4</v>
      </c>
    </row>
    <row r="165" spans="1:21" ht="20.100000000000001" hidden="1" customHeight="1">
      <c r="A165" s="1185">
        <v>17</v>
      </c>
      <c r="B165" s="1191" t="s">
        <v>1215</v>
      </c>
      <c r="C165" s="1186">
        <f>WORK!I964</f>
        <v>0</v>
      </c>
      <c r="D165" s="1186">
        <f>FF!I602</f>
        <v>0</v>
      </c>
      <c r="E165" s="1186"/>
      <c r="F165" s="1186">
        <f t="shared" si="17"/>
        <v>0</v>
      </c>
      <c r="G165" s="1186" t="s">
        <v>422</v>
      </c>
      <c r="H165" s="1187">
        <v>0</v>
      </c>
      <c r="I165" s="1187">
        <v>0</v>
      </c>
      <c r="J165" s="1187">
        <v>0</v>
      </c>
      <c r="K165" s="1185">
        <v>0</v>
      </c>
      <c r="L165" s="1187">
        <v>0</v>
      </c>
      <c r="M165" s="1187">
        <v>0</v>
      </c>
      <c r="N165" s="1188">
        <f>ROUND(F165*((0.015*1.05)+(0.025*1.05)),2)</f>
        <v>0</v>
      </c>
      <c r="O165" s="1187">
        <v>0</v>
      </c>
      <c r="P165" s="1187">
        <v>0</v>
      </c>
      <c r="Q165" s="1187">
        <v>0</v>
      </c>
      <c r="R165" s="1187">
        <v>0</v>
      </c>
      <c r="S165" s="1190">
        <f t="shared" si="18"/>
        <v>0</v>
      </c>
      <c r="T165" s="1186">
        <v>20.89</v>
      </c>
      <c r="U165" s="1188" t="s">
        <v>4</v>
      </c>
    </row>
    <row r="166" spans="1:21" ht="20.100000000000001" hidden="1" customHeight="1">
      <c r="A166" s="1185">
        <v>16</v>
      </c>
      <c r="B166" s="1191" t="s">
        <v>137</v>
      </c>
      <c r="C166" s="1186">
        <f>WORK!I1026</f>
        <v>0</v>
      </c>
      <c r="D166" s="1186">
        <f>FF!I678</f>
        <v>0</v>
      </c>
      <c r="E166" s="1186">
        <f>SF!I404</f>
        <v>0</v>
      </c>
      <c r="F166" s="1186">
        <f t="shared" si="17"/>
        <v>0</v>
      </c>
      <c r="G166" s="1186" t="s">
        <v>422</v>
      </c>
      <c r="H166" s="1187">
        <v>0</v>
      </c>
      <c r="I166" s="1187">
        <v>0</v>
      </c>
      <c r="J166" s="1187">
        <v>0</v>
      </c>
      <c r="K166" s="1185">
        <v>0</v>
      </c>
      <c r="L166" s="1187">
        <v>0</v>
      </c>
      <c r="M166" s="1187">
        <v>0</v>
      </c>
      <c r="N166" s="1188">
        <f>ROUND(F166*0.015*1.05,2)</f>
        <v>0</v>
      </c>
      <c r="O166" s="1187">
        <v>0</v>
      </c>
      <c r="P166" s="1187">
        <v>0</v>
      </c>
      <c r="Q166" s="1187">
        <v>0</v>
      </c>
      <c r="R166" s="1187">
        <v>0</v>
      </c>
      <c r="S166" s="1190">
        <f t="shared" si="18"/>
        <v>0</v>
      </c>
      <c r="T166" s="1186">
        <v>7.2</v>
      </c>
      <c r="U166" s="1188" t="s">
        <v>4</v>
      </c>
    </row>
    <row r="167" spans="1:21" ht="20.100000000000001" hidden="1" customHeight="1">
      <c r="A167" s="1185">
        <v>2</v>
      </c>
      <c r="B167" s="1191" t="s">
        <v>238</v>
      </c>
      <c r="C167" s="1186">
        <f>WORK!I1054</f>
        <v>0</v>
      </c>
      <c r="D167" s="1186">
        <f>FF!I710</f>
        <v>0</v>
      </c>
      <c r="E167" s="1186">
        <f>SF!I436</f>
        <v>0</v>
      </c>
      <c r="F167" s="1186">
        <f t="shared" si="17"/>
        <v>0</v>
      </c>
      <c r="G167" s="1186" t="s">
        <v>422</v>
      </c>
      <c r="H167" s="1187">
        <v>0</v>
      </c>
      <c r="I167" s="1187">
        <v>0</v>
      </c>
      <c r="J167" s="1187">
        <v>0</v>
      </c>
      <c r="K167" s="1185">
        <v>0</v>
      </c>
      <c r="L167" s="1187">
        <v>0</v>
      </c>
      <c r="M167" s="1187">
        <v>0</v>
      </c>
      <c r="N167" s="1188">
        <f>ROUND(F167*0.015*1.05,2)</f>
        <v>0</v>
      </c>
      <c r="O167" s="1187">
        <v>0</v>
      </c>
      <c r="P167" s="1187">
        <v>0</v>
      </c>
      <c r="Q167" s="1187">
        <v>0</v>
      </c>
      <c r="R167" s="1187">
        <v>0</v>
      </c>
      <c r="S167" s="1190">
        <f t="shared" si="18"/>
        <v>0</v>
      </c>
      <c r="T167" s="1186">
        <v>4.32</v>
      </c>
      <c r="U167" s="1188" t="s">
        <v>4</v>
      </c>
    </row>
    <row r="168" spans="1:21" ht="20.100000000000001" hidden="1" customHeight="1">
      <c r="A168" s="1185">
        <v>3</v>
      </c>
      <c r="B168" s="1191" t="s">
        <v>604</v>
      </c>
      <c r="C168" s="1186">
        <f>WORK!I1078</f>
        <v>0</v>
      </c>
      <c r="D168" s="1186">
        <f>FF!I742</f>
        <v>0</v>
      </c>
      <c r="E168" s="1186">
        <f>SF!I468</f>
        <v>0</v>
      </c>
      <c r="F168" s="1186">
        <f t="shared" si="17"/>
        <v>0</v>
      </c>
      <c r="G168" s="1186" t="s">
        <v>422</v>
      </c>
      <c r="H168" s="1187">
        <v>0</v>
      </c>
      <c r="I168" s="1187">
        <v>0</v>
      </c>
      <c r="J168" s="1187">
        <v>0</v>
      </c>
      <c r="K168" s="1185">
        <v>0</v>
      </c>
      <c r="L168" s="1187">
        <v>0</v>
      </c>
      <c r="M168" s="1187">
        <v>0</v>
      </c>
      <c r="N168" s="1188">
        <f>ROUND(F168*0.021*1.05,2)</f>
        <v>0</v>
      </c>
      <c r="O168" s="1187">
        <v>0</v>
      </c>
      <c r="P168" s="1187">
        <v>0</v>
      </c>
      <c r="Q168" s="1187">
        <v>0</v>
      </c>
      <c r="R168" s="1187">
        <v>0</v>
      </c>
      <c r="S168" s="1190">
        <f t="shared" si="18"/>
        <v>0</v>
      </c>
      <c r="T168" s="1186">
        <v>6.05</v>
      </c>
      <c r="U168" s="1188" t="s">
        <v>4</v>
      </c>
    </row>
    <row r="169" spans="1:21" ht="20.100000000000001" hidden="1" customHeight="1">
      <c r="A169" s="1185">
        <v>37</v>
      </c>
      <c r="B169" s="1191" t="s">
        <v>904</v>
      </c>
      <c r="C169" s="1186">
        <f>WORK!I1155</f>
        <v>0</v>
      </c>
      <c r="D169" s="1186">
        <f>FF!I858</f>
        <v>0</v>
      </c>
      <c r="E169" s="1186">
        <f>SF!I508</f>
        <v>0</v>
      </c>
      <c r="F169" s="1186">
        <f t="shared" si="17"/>
        <v>0</v>
      </c>
      <c r="G169" s="1186" t="s">
        <v>422</v>
      </c>
      <c r="H169" s="1187">
        <v>0</v>
      </c>
      <c r="I169" s="1187">
        <v>0</v>
      </c>
      <c r="J169" s="1187">
        <v>0</v>
      </c>
      <c r="K169" s="1185">
        <v>0</v>
      </c>
      <c r="L169" s="1187">
        <v>0</v>
      </c>
      <c r="M169" s="1187">
        <v>0</v>
      </c>
      <c r="N169" s="1188">
        <f>ROUND(F169*0.015*1,2)</f>
        <v>0</v>
      </c>
      <c r="O169" s="1187">
        <v>0</v>
      </c>
      <c r="P169" s="1187">
        <v>0</v>
      </c>
      <c r="Q169" s="1187">
        <v>0</v>
      </c>
      <c r="R169" s="1187">
        <v>0</v>
      </c>
      <c r="S169" s="1190">
        <f t="shared" si="18"/>
        <v>0</v>
      </c>
      <c r="T169" s="1186">
        <v>5.09</v>
      </c>
      <c r="U169" s="1188" t="s">
        <v>4</v>
      </c>
    </row>
    <row r="170" spans="1:21" ht="20.100000000000001" hidden="1" customHeight="1">
      <c r="A170" s="1185">
        <v>18</v>
      </c>
      <c r="B170" s="1191" t="s">
        <v>603</v>
      </c>
      <c r="C170" s="1186">
        <f>WORK!I1201</f>
        <v>0</v>
      </c>
      <c r="D170" s="1186">
        <f>FF!I904</f>
        <v>0</v>
      </c>
      <c r="E170" s="1186">
        <f>SF!I539</f>
        <v>0</v>
      </c>
      <c r="F170" s="1186">
        <f t="shared" si="17"/>
        <v>0</v>
      </c>
      <c r="G170" s="1186" t="s">
        <v>422</v>
      </c>
      <c r="H170" s="1187">
        <v>0</v>
      </c>
      <c r="I170" s="1187">
        <v>0</v>
      </c>
      <c r="J170" s="1187">
        <v>0</v>
      </c>
      <c r="K170" s="1185">
        <v>0</v>
      </c>
      <c r="L170" s="1187">
        <v>0</v>
      </c>
      <c r="M170" s="1187">
        <v>0</v>
      </c>
      <c r="N170" s="1188">
        <f>ROUND(F170*0.022*1,2)</f>
        <v>0</v>
      </c>
      <c r="O170" s="1187">
        <v>0</v>
      </c>
      <c r="P170" s="1187">
        <v>0</v>
      </c>
      <c r="Q170" s="1187">
        <v>0</v>
      </c>
      <c r="R170" s="1187">
        <v>0</v>
      </c>
      <c r="S170" s="1190">
        <f t="shared" si="18"/>
        <v>0</v>
      </c>
      <c r="T170" s="1186">
        <v>5.75</v>
      </c>
      <c r="U170" s="1188" t="s">
        <v>4</v>
      </c>
    </row>
    <row r="171" spans="1:21" ht="20.100000000000001" hidden="1" customHeight="1">
      <c r="A171" s="1185">
        <v>19</v>
      </c>
      <c r="B171" s="1163" t="s">
        <v>447</v>
      </c>
      <c r="C171" s="1186">
        <f>WORK!I1225</f>
        <v>0</v>
      </c>
      <c r="D171" s="1186">
        <f>FF!I932</f>
        <v>0</v>
      </c>
      <c r="E171" s="1186">
        <f>SF!I559</f>
        <v>0</v>
      </c>
      <c r="F171" s="1186">
        <f t="shared" si="17"/>
        <v>0</v>
      </c>
      <c r="G171" s="1186" t="s">
        <v>421</v>
      </c>
      <c r="H171" s="1187">
        <v>0</v>
      </c>
      <c r="I171" s="1188">
        <f>ROUND(F171*0.8,2)</f>
        <v>0</v>
      </c>
      <c r="J171" s="1187">
        <v>0</v>
      </c>
      <c r="K171" s="1185">
        <v>0</v>
      </c>
      <c r="L171" s="1188">
        <f>ROUND(F171*0.4,2)</f>
        <v>0</v>
      </c>
      <c r="M171" s="1185">
        <v>0</v>
      </c>
      <c r="N171" s="1185">
        <v>0</v>
      </c>
      <c r="O171" s="1187">
        <v>0</v>
      </c>
      <c r="P171" s="1187">
        <v>0</v>
      </c>
      <c r="Q171" s="1187">
        <v>0</v>
      </c>
      <c r="R171" s="1187">
        <v>0</v>
      </c>
      <c r="S171" s="1190">
        <f t="shared" si="18"/>
        <v>0</v>
      </c>
      <c r="T171" s="1186">
        <f>$T$146</f>
        <v>340</v>
      </c>
      <c r="U171" s="1188" t="s">
        <v>4</v>
      </c>
    </row>
    <row r="172" spans="1:21" ht="20.100000000000001" hidden="1" customHeight="1">
      <c r="A172" s="1185">
        <v>19</v>
      </c>
      <c r="B172" s="1191" t="s">
        <v>241</v>
      </c>
      <c r="C172" s="1186">
        <f>WORK!I1259</f>
        <v>0</v>
      </c>
      <c r="D172" s="1186">
        <f>FF!I963</f>
        <v>0</v>
      </c>
      <c r="E172" s="1186">
        <f>SF!I583</f>
        <v>0</v>
      </c>
      <c r="F172" s="1186">
        <f t="shared" si="17"/>
        <v>0</v>
      </c>
      <c r="G172" s="1186" t="s">
        <v>422</v>
      </c>
      <c r="H172" s="1187">
        <v>0</v>
      </c>
      <c r="I172" s="1187">
        <v>0</v>
      </c>
      <c r="J172" s="1187">
        <v>0</v>
      </c>
      <c r="K172" s="1185">
        <v>0</v>
      </c>
      <c r="L172" s="1187">
        <v>0</v>
      </c>
      <c r="M172" s="1188">
        <f>ROUND(F172*0.014,2)</f>
        <v>0</v>
      </c>
      <c r="N172" s="1187">
        <v>0</v>
      </c>
      <c r="O172" s="1187">
        <v>0</v>
      </c>
      <c r="P172" s="1187">
        <v>0</v>
      </c>
      <c r="Q172" s="1187">
        <v>0</v>
      </c>
      <c r="R172" s="1187">
        <v>0</v>
      </c>
      <c r="S172" s="1190">
        <f t="shared" si="18"/>
        <v>0</v>
      </c>
      <c r="T172" s="1186">
        <v>6.06</v>
      </c>
      <c r="U172" s="1188" t="s">
        <v>4</v>
      </c>
    </row>
    <row r="173" spans="1:21" ht="20.100000000000001" hidden="1" customHeight="1">
      <c r="A173" s="1185">
        <v>20</v>
      </c>
      <c r="B173" s="1191" t="s">
        <v>242</v>
      </c>
      <c r="C173" s="1186">
        <f>WORK!I1299</f>
        <v>0</v>
      </c>
      <c r="D173" s="1186">
        <f>FF!I1002</f>
        <v>0</v>
      </c>
      <c r="E173" s="1186">
        <f>SF!I611</f>
        <v>0</v>
      </c>
      <c r="F173" s="1186">
        <f t="shared" si="17"/>
        <v>0</v>
      </c>
      <c r="G173" s="1186" t="s">
        <v>422</v>
      </c>
      <c r="H173" s="1187">
        <v>0</v>
      </c>
      <c r="I173" s="1187">
        <v>0</v>
      </c>
      <c r="J173" s="1187">
        <v>0</v>
      </c>
      <c r="K173" s="1185">
        <v>0</v>
      </c>
      <c r="L173" s="1187">
        <v>0</v>
      </c>
      <c r="M173" s="1188">
        <f>ROUND(F173*0.012,2)</f>
        <v>0</v>
      </c>
      <c r="N173" s="1187">
        <v>0</v>
      </c>
      <c r="O173" s="1187">
        <v>0</v>
      </c>
      <c r="P173" s="1187">
        <v>0</v>
      </c>
      <c r="Q173" s="1187">
        <v>0</v>
      </c>
      <c r="R173" s="1187">
        <v>0</v>
      </c>
      <c r="S173" s="1190">
        <f t="shared" si="18"/>
        <v>0</v>
      </c>
      <c r="T173" s="1195">
        <v>6.7560000000000002</v>
      </c>
      <c r="U173" s="1188" t="s">
        <v>4</v>
      </c>
    </row>
    <row r="174" spans="1:21" ht="20.100000000000001" hidden="1" customHeight="1">
      <c r="A174" s="1185">
        <v>22</v>
      </c>
      <c r="B174" s="1191" t="s">
        <v>681</v>
      </c>
      <c r="C174" s="1186">
        <f>WORK!I1344</f>
        <v>0</v>
      </c>
      <c r="D174" s="1186">
        <f>FF!I1041</f>
        <v>0</v>
      </c>
      <c r="E174" s="1186">
        <f>SF!I639</f>
        <v>0</v>
      </c>
      <c r="F174" s="1186">
        <f t="shared" si="17"/>
        <v>0</v>
      </c>
      <c r="G174" s="1186" t="s">
        <v>422</v>
      </c>
      <c r="H174" s="1187">
        <v>0</v>
      </c>
      <c r="I174" s="1187">
        <v>0</v>
      </c>
      <c r="J174" s="1187">
        <v>0</v>
      </c>
      <c r="K174" s="1185">
        <v>0</v>
      </c>
      <c r="L174" s="1187">
        <v>0</v>
      </c>
      <c r="M174" s="1188">
        <f>ROUND(F174*0.014,2)</f>
        <v>0</v>
      </c>
      <c r="N174" s="1187">
        <v>0</v>
      </c>
      <c r="O174" s="1187">
        <v>0</v>
      </c>
      <c r="P174" s="1187">
        <v>0</v>
      </c>
      <c r="Q174" s="1187">
        <v>0</v>
      </c>
      <c r="R174" s="1187">
        <v>0</v>
      </c>
      <c r="S174" s="1190">
        <f t="shared" si="18"/>
        <v>0</v>
      </c>
      <c r="T174" s="1186">
        <v>7.5</v>
      </c>
      <c r="U174" s="1188" t="s">
        <v>4</v>
      </c>
    </row>
    <row r="175" spans="1:21" ht="20.100000000000001" hidden="1" customHeight="1">
      <c r="A175" s="1185">
        <v>23</v>
      </c>
      <c r="B175" s="1191" t="s">
        <v>682</v>
      </c>
      <c r="C175" s="1186">
        <f>WORK!I1386</f>
        <v>0</v>
      </c>
      <c r="D175" s="1186">
        <f>FF!I1081</f>
        <v>0</v>
      </c>
      <c r="E175" s="1186">
        <f>SF!I667</f>
        <v>0</v>
      </c>
      <c r="F175" s="1186">
        <f t="shared" si="17"/>
        <v>0</v>
      </c>
      <c r="G175" s="1186" t="s">
        <v>422</v>
      </c>
      <c r="H175" s="1187">
        <v>0</v>
      </c>
      <c r="I175" s="1187">
        <v>0</v>
      </c>
      <c r="J175" s="1187">
        <v>0</v>
      </c>
      <c r="K175" s="1185">
        <v>0</v>
      </c>
      <c r="L175" s="1187">
        <v>0</v>
      </c>
      <c r="M175" s="1188">
        <f>ROUND(F175*0.012,2)</f>
        <v>0</v>
      </c>
      <c r="N175" s="1187">
        <v>0</v>
      </c>
      <c r="O175" s="1187">
        <v>0</v>
      </c>
      <c r="P175" s="1187">
        <v>0</v>
      </c>
      <c r="Q175" s="1187">
        <v>0</v>
      </c>
      <c r="R175" s="1187">
        <v>0</v>
      </c>
      <c r="S175" s="1190">
        <f t="shared" si="18"/>
        <v>0</v>
      </c>
      <c r="T175" s="1195">
        <v>9.06</v>
      </c>
      <c r="U175" s="1188" t="s">
        <v>4</v>
      </c>
    </row>
    <row r="176" spans="1:21" ht="20.100000000000001" hidden="1" customHeight="1">
      <c r="A176" s="1185">
        <v>37</v>
      </c>
      <c r="B176" s="1191" t="s">
        <v>683</v>
      </c>
      <c r="C176" s="1186">
        <f>WORK!I1417</f>
        <v>0</v>
      </c>
      <c r="D176" s="1186">
        <f>FF!I1116</f>
        <v>0</v>
      </c>
      <c r="E176" s="1186">
        <f>SF!I695</f>
        <v>0</v>
      </c>
      <c r="F176" s="1186">
        <f t="shared" si="17"/>
        <v>0</v>
      </c>
      <c r="G176" s="1186" t="s">
        <v>422</v>
      </c>
      <c r="H176" s="1187">
        <v>0</v>
      </c>
      <c r="I176" s="1187">
        <v>0</v>
      </c>
      <c r="J176" s="1187">
        <v>0</v>
      </c>
      <c r="K176" s="1185">
        <v>0</v>
      </c>
      <c r="L176" s="1187">
        <v>0</v>
      </c>
      <c r="M176" s="1188">
        <f>ROUND(F176*0.014,2)</f>
        <v>0</v>
      </c>
      <c r="N176" s="1187">
        <v>0</v>
      </c>
      <c r="O176" s="1187">
        <v>0</v>
      </c>
      <c r="P176" s="1187">
        <v>0</v>
      </c>
      <c r="Q176" s="1187">
        <v>0</v>
      </c>
      <c r="R176" s="1187">
        <v>0</v>
      </c>
      <c r="S176" s="1190">
        <f t="shared" si="18"/>
        <v>0</v>
      </c>
      <c r="T176" s="1186">
        <v>7.5</v>
      </c>
      <c r="U176" s="1188" t="s">
        <v>4</v>
      </c>
    </row>
    <row r="177" spans="1:21" ht="20.100000000000001" hidden="1" customHeight="1">
      <c r="A177" s="1185">
        <v>38</v>
      </c>
      <c r="B177" s="1191" t="s">
        <v>684</v>
      </c>
      <c r="C177" s="1186">
        <f>WORK!I1446</f>
        <v>0</v>
      </c>
      <c r="D177" s="1186">
        <f>FF!I1148</f>
        <v>0</v>
      </c>
      <c r="E177" s="1186">
        <f>SF!I723</f>
        <v>0</v>
      </c>
      <c r="F177" s="1186">
        <f t="shared" si="17"/>
        <v>0</v>
      </c>
      <c r="G177" s="1186" t="s">
        <v>422</v>
      </c>
      <c r="H177" s="1187">
        <v>0</v>
      </c>
      <c r="I177" s="1187">
        <v>0</v>
      </c>
      <c r="J177" s="1187">
        <v>0</v>
      </c>
      <c r="K177" s="1185">
        <v>0</v>
      </c>
      <c r="L177" s="1187">
        <v>0</v>
      </c>
      <c r="M177" s="1188">
        <f>ROUND(F177*0.012,2)</f>
        <v>0</v>
      </c>
      <c r="N177" s="1187">
        <v>0</v>
      </c>
      <c r="O177" s="1187">
        <v>0</v>
      </c>
      <c r="P177" s="1187">
        <v>0</v>
      </c>
      <c r="Q177" s="1187">
        <v>0</v>
      </c>
      <c r="R177" s="1187">
        <v>0</v>
      </c>
      <c r="S177" s="1190">
        <f t="shared" si="18"/>
        <v>0</v>
      </c>
      <c r="T177" s="1195">
        <v>6.7560000000000002</v>
      </c>
      <c r="U177" s="1188" t="s">
        <v>4</v>
      </c>
    </row>
    <row r="178" spans="1:21" ht="20.100000000000001" hidden="1" customHeight="1">
      <c r="A178" s="1185">
        <v>23</v>
      </c>
      <c r="B178" s="1191" t="s">
        <v>239</v>
      </c>
      <c r="C178" s="1186">
        <f>WORK!I1469</f>
        <v>0</v>
      </c>
      <c r="D178" s="1186">
        <f>FF!I1175</f>
        <v>0</v>
      </c>
      <c r="E178" s="1186">
        <f>SF!I751</f>
        <v>0</v>
      </c>
      <c r="F178" s="1186">
        <f t="shared" si="17"/>
        <v>0</v>
      </c>
      <c r="G178" s="1186" t="s">
        <v>422</v>
      </c>
      <c r="H178" s="1187">
        <v>0</v>
      </c>
      <c r="I178" s="1187">
        <v>0</v>
      </c>
      <c r="J178" s="1187">
        <v>0</v>
      </c>
      <c r="K178" s="1185">
        <v>0</v>
      </c>
      <c r="L178" s="1187">
        <v>0</v>
      </c>
      <c r="M178" s="1188">
        <f>ROUND(F178*0.012,2)</f>
        <v>0</v>
      </c>
      <c r="N178" s="1187">
        <v>0</v>
      </c>
      <c r="O178" s="1187">
        <v>0</v>
      </c>
      <c r="P178" s="1187">
        <v>0</v>
      </c>
      <c r="Q178" s="1187">
        <v>0</v>
      </c>
      <c r="R178" s="1187">
        <v>0</v>
      </c>
      <c r="S178" s="1190">
        <f t="shared" si="18"/>
        <v>0</v>
      </c>
      <c r="T178" s="1186">
        <v>5.46</v>
      </c>
      <c r="U178" s="1188" t="s">
        <v>4</v>
      </c>
    </row>
    <row r="179" spans="1:21" ht="20.100000000000001" hidden="1" customHeight="1">
      <c r="A179" s="1185">
        <v>12</v>
      </c>
      <c r="B179" s="1191" t="s">
        <v>240</v>
      </c>
      <c r="C179" s="1186">
        <f>WORK!I1494</f>
        <v>0</v>
      </c>
      <c r="D179" s="1186">
        <f>FF!I1209</f>
        <v>0</v>
      </c>
      <c r="E179" s="1186">
        <f>SF!I775</f>
        <v>0</v>
      </c>
      <c r="F179" s="1186">
        <f t="shared" si="17"/>
        <v>0</v>
      </c>
      <c r="G179" s="1186" t="s">
        <v>422</v>
      </c>
      <c r="H179" s="1187">
        <v>0</v>
      </c>
      <c r="I179" s="1187">
        <v>0</v>
      </c>
      <c r="J179" s="1187">
        <v>0</v>
      </c>
      <c r="K179" s="1185">
        <v>0</v>
      </c>
      <c r="L179" s="1187">
        <v>0</v>
      </c>
      <c r="M179" s="1188">
        <f>ROUND(F179*0.012,2)</f>
        <v>0</v>
      </c>
      <c r="N179" s="1187">
        <v>0</v>
      </c>
      <c r="O179" s="1187">
        <v>0</v>
      </c>
      <c r="P179" s="1187">
        <v>0</v>
      </c>
      <c r="Q179" s="1187">
        <v>0</v>
      </c>
      <c r="R179" s="1187">
        <v>0</v>
      </c>
      <c r="S179" s="1190">
        <f t="shared" si="18"/>
        <v>0</v>
      </c>
      <c r="T179" s="1186">
        <v>9.06</v>
      </c>
      <c r="U179" s="1188" t="s">
        <v>4</v>
      </c>
    </row>
    <row r="180" spans="1:21" ht="20.100000000000001" hidden="1" customHeight="1">
      <c r="A180" s="1185">
        <v>24</v>
      </c>
      <c r="B180" s="1191" t="s">
        <v>1216</v>
      </c>
      <c r="C180" s="1186">
        <f>WORK!I1520</f>
        <v>0</v>
      </c>
      <c r="D180" s="1186">
        <f>FF!I1241</f>
        <v>0</v>
      </c>
      <c r="E180" s="1186">
        <f>SF!I799</f>
        <v>0</v>
      </c>
      <c r="F180" s="1186">
        <f t="shared" si="17"/>
        <v>0</v>
      </c>
      <c r="G180" s="1186" t="s">
        <v>422</v>
      </c>
      <c r="H180" s="1187">
        <v>0</v>
      </c>
      <c r="I180" s="1187">
        <v>0</v>
      </c>
      <c r="J180" s="1187">
        <v>0</v>
      </c>
      <c r="K180" s="1185">
        <v>0</v>
      </c>
      <c r="L180" s="1187">
        <v>0</v>
      </c>
      <c r="M180" s="1188">
        <f>ROUND(F180*0.008*1,2)</f>
        <v>0</v>
      </c>
      <c r="N180" s="1187">
        <v>0</v>
      </c>
      <c r="O180" s="1187">
        <v>0</v>
      </c>
      <c r="P180" s="1187">
        <v>0</v>
      </c>
      <c r="Q180" s="1187">
        <v>0</v>
      </c>
      <c r="R180" s="1187">
        <v>0</v>
      </c>
      <c r="S180" s="1190">
        <f t="shared" si="18"/>
        <v>0</v>
      </c>
      <c r="T180" s="1186">
        <v>2.76</v>
      </c>
      <c r="U180" s="1188" t="s">
        <v>4</v>
      </c>
    </row>
    <row r="181" spans="1:21" ht="20.100000000000001" hidden="1" customHeight="1">
      <c r="A181" s="1185">
        <v>5</v>
      </c>
      <c r="B181" s="1163" t="s">
        <v>2279</v>
      </c>
      <c r="C181" s="1186">
        <f>WORK!I1576</f>
        <v>0</v>
      </c>
      <c r="D181" s="1186"/>
      <c r="E181" s="1186"/>
      <c r="F181" s="1186">
        <f t="shared" si="17"/>
        <v>0</v>
      </c>
      <c r="G181" s="1186" t="s">
        <v>421</v>
      </c>
      <c r="H181" s="1187">
        <v>0</v>
      </c>
      <c r="I181" s="1188">
        <f>ROUND(F181*0.017,2)</f>
        <v>0</v>
      </c>
      <c r="J181" s="1187">
        <v>0</v>
      </c>
      <c r="K181" s="1185">
        <v>0</v>
      </c>
      <c r="L181" s="1188">
        <f>ROUND(F181*0.009,2)</f>
        <v>0</v>
      </c>
      <c r="M181" s="1185">
        <v>0</v>
      </c>
      <c r="N181" s="1185">
        <v>0</v>
      </c>
      <c r="O181" s="1187">
        <v>0</v>
      </c>
      <c r="P181" s="1187">
        <v>0</v>
      </c>
      <c r="Q181" s="1187">
        <v>0</v>
      </c>
      <c r="R181" s="1187">
        <v>0</v>
      </c>
      <c r="S181" s="1190">
        <f t="shared" si="18"/>
        <v>0</v>
      </c>
      <c r="T181" s="1186">
        <v>12</v>
      </c>
      <c r="U181" s="1188" t="s">
        <v>4</v>
      </c>
    </row>
    <row r="182" spans="1:21" ht="18" hidden="1" customHeight="1">
      <c r="A182" s="1185"/>
      <c r="B182" s="1191"/>
      <c r="C182" s="1191"/>
      <c r="D182" s="1191"/>
      <c r="E182" s="1191"/>
      <c r="F182" s="1186"/>
      <c r="G182" s="1186"/>
      <c r="H182" s="1188"/>
      <c r="I182" s="1188"/>
      <c r="J182" s="1188"/>
      <c r="K182" s="1188"/>
      <c r="L182" s="1188"/>
      <c r="M182" s="1188"/>
      <c r="N182" s="1187"/>
      <c r="O182" s="1188"/>
      <c r="P182" s="1188"/>
      <c r="Q182" s="1187"/>
      <c r="R182" s="1188"/>
      <c r="S182" s="1188"/>
      <c r="T182" s="1186"/>
      <c r="U182" s="1188"/>
    </row>
    <row r="183" spans="1:21" hidden="1">
      <c r="A183" s="1163"/>
      <c r="B183" s="1192" t="s">
        <v>103</v>
      </c>
      <c r="C183" s="1163"/>
      <c r="D183" s="1163"/>
      <c r="E183" s="1163"/>
      <c r="F183" s="1181">
        <v>1</v>
      </c>
      <c r="G183" s="1163"/>
      <c r="H183" s="1193">
        <f t="shared" ref="H183:S183" si="21">SUM(H140:H182)</f>
        <v>0</v>
      </c>
      <c r="I183" s="1193">
        <f t="shared" si="21"/>
        <v>0</v>
      </c>
      <c r="J183" s="1193">
        <f t="shared" si="21"/>
        <v>0</v>
      </c>
      <c r="K183" s="1193">
        <f t="shared" si="21"/>
        <v>0</v>
      </c>
      <c r="L183" s="1193">
        <f t="shared" si="21"/>
        <v>0</v>
      </c>
      <c r="M183" s="1193">
        <f t="shared" si="21"/>
        <v>0</v>
      </c>
      <c r="N183" s="1193">
        <f t="shared" si="21"/>
        <v>0</v>
      </c>
      <c r="O183" s="1193">
        <f t="shared" si="21"/>
        <v>0</v>
      </c>
      <c r="P183" s="1193">
        <f t="shared" si="21"/>
        <v>0</v>
      </c>
      <c r="Q183" s="1193">
        <f t="shared" si="21"/>
        <v>0</v>
      </c>
      <c r="R183" s="1193">
        <f t="shared" si="21"/>
        <v>0</v>
      </c>
      <c r="S183" s="1193">
        <f t="shared" si="21"/>
        <v>0</v>
      </c>
      <c r="T183" s="1194" t="s">
        <v>142</v>
      </c>
      <c r="U183" s="1163"/>
    </row>
    <row r="184" spans="1:21" hidden="1">
      <c r="A184" s="1163"/>
      <c r="B184" s="1192" t="s">
        <v>2777</v>
      </c>
      <c r="C184" s="1163"/>
      <c r="D184" s="1163"/>
      <c r="E184" s="1163"/>
      <c r="F184" s="1181"/>
      <c r="G184" s="1163"/>
      <c r="H184" s="1193"/>
      <c r="I184" s="1193"/>
      <c r="J184" s="1193"/>
      <c r="K184" s="1193"/>
      <c r="L184" s="1193"/>
      <c r="M184" s="1193"/>
      <c r="N184" s="1193"/>
      <c r="O184" s="1193"/>
      <c r="P184" s="1193"/>
      <c r="Q184" s="1193"/>
      <c r="R184" s="1193"/>
      <c r="S184" s="1193"/>
      <c r="T184" s="1194"/>
      <c r="U184" s="1163"/>
    </row>
    <row r="185" spans="1:21" ht="18" hidden="1" customHeight="1">
      <c r="A185" s="1185">
        <v>1</v>
      </c>
      <c r="B185" s="1163" t="s">
        <v>101</v>
      </c>
      <c r="C185" s="1543"/>
      <c r="D185" s="1163"/>
      <c r="E185" s="1163"/>
      <c r="F185" s="1186">
        <f>C185+D185</f>
        <v>0</v>
      </c>
      <c r="G185" s="1186" t="s">
        <v>421</v>
      </c>
      <c r="H185" s="1185">
        <v>0</v>
      </c>
      <c r="I185" s="1185">
        <v>0</v>
      </c>
      <c r="J185" s="1185">
        <v>0</v>
      </c>
      <c r="K185" s="1185">
        <v>0</v>
      </c>
      <c r="L185" s="1185">
        <v>0</v>
      </c>
      <c r="M185" s="1185">
        <v>0</v>
      </c>
      <c r="N185" s="1185">
        <v>0</v>
      </c>
      <c r="O185" s="1187">
        <v>0</v>
      </c>
      <c r="P185" s="1187">
        <v>0</v>
      </c>
      <c r="Q185" s="1185">
        <v>0</v>
      </c>
      <c r="R185" s="1188">
        <f>F185</f>
        <v>0</v>
      </c>
      <c r="S185" s="1189">
        <v>0</v>
      </c>
      <c r="T185" s="1163">
        <v>0</v>
      </c>
      <c r="U185" s="1163"/>
    </row>
    <row r="186" spans="1:21" ht="20.100000000000001" hidden="1" customHeight="1">
      <c r="A186" s="1185">
        <v>1</v>
      </c>
      <c r="B186" s="1163" t="s">
        <v>135</v>
      </c>
      <c r="C186" s="1186">
        <f>'3.60 lakhs'!I52</f>
        <v>0</v>
      </c>
      <c r="D186" s="1163"/>
      <c r="E186" s="1163"/>
      <c r="F186" s="1186">
        <f t="shared" ref="F186:F226" si="22">SUM(C186:E186)</f>
        <v>0</v>
      </c>
      <c r="G186" s="1186" t="s">
        <v>421</v>
      </c>
      <c r="H186" s="1185">
        <v>0</v>
      </c>
      <c r="I186" s="1185">
        <v>0</v>
      </c>
      <c r="J186" s="1185">
        <v>0</v>
      </c>
      <c r="K186" s="1185">
        <v>0</v>
      </c>
      <c r="L186" s="1185">
        <v>0</v>
      </c>
      <c r="M186" s="1185">
        <v>0</v>
      </c>
      <c r="N186" s="1185">
        <v>0</v>
      </c>
      <c r="O186" s="1188">
        <f>F186</f>
        <v>0</v>
      </c>
      <c r="P186" s="1187">
        <v>0</v>
      </c>
      <c r="Q186" s="1185">
        <v>0</v>
      </c>
      <c r="R186" s="1187">
        <v>0</v>
      </c>
      <c r="S186" s="1189">
        <v>0</v>
      </c>
      <c r="T186" s="1163">
        <v>0</v>
      </c>
      <c r="U186" s="1163"/>
    </row>
    <row r="187" spans="1:21" ht="20.100000000000001" hidden="1" customHeight="1">
      <c r="A187" s="1185">
        <v>2</v>
      </c>
      <c r="B187" s="1163" t="s">
        <v>1192</v>
      </c>
      <c r="C187" s="1186">
        <f>'3.60 lakhs'!I40</f>
        <v>0</v>
      </c>
      <c r="D187" s="1163"/>
      <c r="E187" s="1163"/>
      <c r="F187" s="1186">
        <f t="shared" si="22"/>
        <v>0</v>
      </c>
      <c r="G187" s="1186" t="s">
        <v>421</v>
      </c>
      <c r="H187" s="1185">
        <v>0</v>
      </c>
      <c r="I187" s="1185">
        <v>0</v>
      </c>
      <c r="J187" s="1185">
        <v>0</v>
      </c>
      <c r="K187" s="1185">
        <v>0</v>
      </c>
      <c r="L187" s="1185">
        <v>0</v>
      </c>
      <c r="M187" s="1185">
        <v>0</v>
      </c>
      <c r="N187" s="1185">
        <v>0</v>
      </c>
      <c r="O187" s="1187">
        <v>0</v>
      </c>
      <c r="P187" s="1188">
        <f>F187</f>
        <v>0</v>
      </c>
      <c r="Q187" s="1185">
        <v>0</v>
      </c>
      <c r="R187" s="1187">
        <v>0</v>
      </c>
      <c r="S187" s="1189">
        <v>0</v>
      </c>
      <c r="T187" s="1163">
        <v>0</v>
      </c>
      <c r="U187" s="1163"/>
    </row>
    <row r="188" spans="1:21" ht="20.100000000000001" hidden="1" customHeight="1">
      <c r="A188" s="1185">
        <v>4</v>
      </c>
      <c r="B188" s="1163" t="s">
        <v>663</v>
      </c>
      <c r="C188" s="1186">
        <f>'3.60 lakhs'!I46</f>
        <v>0</v>
      </c>
      <c r="D188" s="1163"/>
      <c r="E188" s="1163"/>
      <c r="F188" s="1186">
        <f t="shared" si="22"/>
        <v>0</v>
      </c>
      <c r="G188" s="1186" t="s">
        <v>421</v>
      </c>
      <c r="H188" s="1185">
        <v>0</v>
      </c>
      <c r="I188" s="1185">
        <v>0</v>
      </c>
      <c r="J188" s="1185">
        <v>0</v>
      </c>
      <c r="K188" s="1185">
        <v>0</v>
      </c>
      <c r="L188" s="1185">
        <v>0</v>
      </c>
      <c r="M188" s="1185">
        <v>0</v>
      </c>
      <c r="N188" s="1185">
        <v>0</v>
      </c>
      <c r="O188" s="1187">
        <v>0</v>
      </c>
      <c r="P188" s="1188"/>
      <c r="Q188" s="1185">
        <v>0</v>
      </c>
      <c r="R188" s="1188">
        <f>F188</f>
        <v>0</v>
      </c>
      <c r="S188" s="1189">
        <v>0</v>
      </c>
      <c r="T188" s="1163">
        <v>0</v>
      </c>
      <c r="U188" s="1163"/>
    </row>
    <row r="189" spans="1:21" ht="20.100000000000001" hidden="1" customHeight="1">
      <c r="A189" s="1185">
        <v>1</v>
      </c>
      <c r="B189" s="1163" t="s">
        <v>235</v>
      </c>
      <c r="C189" s="1186">
        <f>'3.60 lakhs'!I25</f>
        <v>0</v>
      </c>
      <c r="D189" s="1163"/>
      <c r="E189" s="1163"/>
      <c r="F189" s="1186">
        <f t="shared" si="22"/>
        <v>0</v>
      </c>
      <c r="G189" s="1186" t="s">
        <v>421</v>
      </c>
      <c r="H189" s="1188">
        <f>ROUND(F189*0.9,2)</f>
        <v>0</v>
      </c>
      <c r="I189" s="1187">
        <v>0</v>
      </c>
      <c r="J189" s="1187">
        <v>0</v>
      </c>
      <c r="K189" s="1185">
        <v>0</v>
      </c>
      <c r="L189" s="1188">
        <f>ROUND(F189*0.45,2)</f>
        <v>0</v>
      </c>
      <c r="M189" s="1185">
        <v>0</v>
      </c>
      <c r="N189" s="1185">
        <v>0</v>
      </c>
      <c r="O189" s="1187">
        <v>0</v>
      </c>
      <c r="P189" s="1187">
        <v>0</v>
      </c>
      <c r="Q189" s="1187">
        <v>0</v>
      </c>
      <c r="R189" s="1187">
        <v>0</v>
      </c>
      <c r="S189" s="1190">
        <f t="shared" ref="S189:S226" si="23">ROUND(F189*T189/50,2)</f>
        <v>0</v>
      </c>
      <c r="T189" s="1186">
        <v>162</v>
      </c>
      <c r="U189" s="1188" t="s">
        <v>4</v>
      </c>
    </row>
    <row r="190" spans="1:21" ht="20.100000000000001" hidden="1" customHeight="1">
      <c r="A190" s="1185">
        <v>6</v>
      </c>
      <c r="B190" s="1163" t="s">
        <v>446</v>
      </c>
      <c r="C190" s="1186">
        <f>'3.60 lakhs'!I34</f>
        <v>0</v>
      </c>
      <c r="D190" s="1163"/>
      <c r="E190" s="1163"/>
      <c r="F190" s="1186">
        <f t="shared" si="22"/>
        <v>0</v>
      </c>
      <c r="G190" s="1186" t="s">
        <v>421</v>
      </c>
      <c r="H190" s="1188">
        <f>ROUND(F190*0.9,2)</f>
        <v>0</v>
      </c>
      <c r="I190" s="1187">
        <v>0</v>
      </c>
      <c r="J190" s="1187">
        <v>0</v>
      </c>
      <c r="K190" s="1185">
        <v>0</v>
      </c>
      <c r="L190" s="1188">
        <f>ROUND(F190*0.45,2)</f>
        <v>0</v>
      </c>
      <c r="M190" s="1185">
        <v>0</v>
      </c>
      <c r="N190" s="1185">
        <v>0</v>
      </c>
      <c r="O190" s="1187">
        <v>0</v>
      </c>
      <c r="P190" s="1187">
        <v>0</v>
      </c>
      <c r="Q190" s="1187">
        <v>0</v>
      </c>
      <c r="R190" s="1187">
        <v>0</v>
      </c>
      <c r="S190" s="1190">
        <f t="shared" si="23"/>
        <v>0</v>
      </c>
      <c r="T190" s="1186">
        <v>129.6</v>
      </c>
      <c r="U190" s="1188" t="s">
        <v>4</v>
      </c>
    </row>
    <row r="191" spans="1:21" ht="20.100000000000001" hidden="1" customHeight="1">
      <c r="A191" s="1185">
        <v>4</v>
      </c>
      <c r="B191" s="1163" t="s">
        <v>132</v>
      </c>
      <c r="C191" s="1186">
        <f>'3.60 lakhs'!I64</f>
        <v>0</v>
      </c>
      <c r="D191" s="1163"/>
      <c r="E191" s="1163"/>
      <c r="F191" s="1186">
        <f t="shared" si="22"/>
        <v>0</v>
      </c>
      <c r="G191" s="1186" t="s">
        <v>421</v>
      </c>
      <c r="H191" s="1187">
        <v>0</v>
      </c>
      <c r="I191" s="1188">
        <f t="shared" ref="I191:I201" si="24">ROUND(F191*0.8,2)</f>
        <v>0</v>
      </c>
      <c r="J191" s="1187">
        <v>0</v>
      </c>
      <c r="K191" s="1185">
        <v>0</v>
      </c>
      <c r="L191" s="1188">
        <f t="shared" ref="L191:L201" si="25">ROUND(F191*0.4,2)</f>
        <v>0</v>
      </c>
      <c r="M191" s="1185">
        <v>0</v>
      </c>
      <c r="N191" s="1185">
        <v>0</v>
      </c>
      <c r="O191" s="1187">
        <v>0</v>
      </c>
      <c r="P191" s="1187">
        <v>0</v>
      </c>
      <c r="Q191" s="1187">
        <v>0</v>
      </c>
      <c r="R191" s="1187">
        <v>0</v>
      </c>
      <c r="S191" s="1190">
        <f t="shared" si="23"/>
        <v>0</v>
      </c>
      <c r="T191" s="1186">
        <f>'data 2022-23'!E107</f>
        <v>340</v>
      </c>
      <c r="U191" s="1188" t="s">
        <v>4</v>
      </c>
    </row>
    <row r="192" spans="1:21" ht="20.100000000000001" hidden="1" customHeight="1">
      <c r="A192" s="1185">
        <v>5</v>
      </c>
      <c r="B192" s="1163" t="s">
        <v>133</v>
      </c>
      <c r="C192" s="1186">
        <f>'3.60 lakhs'!I69</f>
        <v>0</v>
      </c>
      <c r="D192" s="1163"/>
      <c r="E192" s="1163"/>
      <c r="F192" s="1186">
        <f t="shared" si="22"/>
        <v>0</v>
      </c>
      <c r="G192" s="1186" t="s">
        <v>421</v>
      </c>
      <c r="H192" s="1187">
        <v>0</v>
      </c>
      <c r="I192" s="1188">
        <f t="shared" si="24"/>
        <v>0</v>
      </c>
      <c r="J192" s="1187">
        <v>0</v>
      </c>
      <c r="K192" s="1185">
        <v>0</v>
      </c>
      <c r="L192" s="1188">
        <f t="shared" si="25"/>
        <v>0</v>
      </c>
      <c r="M192" s="1185">
        <v>0</v>
      </c>
      <c r="N192" s="1185">
        <v>0</v>
      </c>
      <c r="O192" s="1187">
        <v>0</v>
      </c>
      <c r="P192" s="1187">
        <v>0</v>
      </c>
      <c r="Q192" s="1187">
        <v>0</v>
      </c>
      <c r="R192" s="1187">
        <v>0</v>
      </c>
      <c r="S192" s="1190">
        <f t="shared" si="23"/>
        <v>0</v>
      </c>
      <c r="T192" s="1186">
        <f>$T$191</f>
        <v>340</v>
      </c>
      <c r="U192" s="1188" t="s">
        <v>4</v>
      </c>
    </row>
    <row r="193" spans="1:21" ht="20.100000000000001" hidden="1" customHeight="1">
      <c r="A193" s="1185">
        <v>2</v>
      </c>
      <c r="B193" s="1163" t="s">
        <v>127</v>
      </c>
      <c r="C193" s="1186">
        <f>'3.60 lakhs'!I81</f>
        <v>0</v>
      </c>
      <c r="D193" s="1186">
        <f>'3.60 lakhs'!I462</f>
        <v>0</v>
      </c>
      <c r="E193" s="1186">
        <f>'3.60 lakhs'!I709</f>
        <v>0</v>
      </c>
      <c r="F193" s="1186">
        <f t="shared" si="22"/>
        <v>0</v>
      </c>
      <c r="G193" s="1186" t="s">
        <v>421</v>
      </c>
      <c r="H193" s="1187">
        <v>0</v>
      </c>
      <c r="I193" s="1188">
        <f t="shared" si="24"/>
        <v>0</v>
      </c>
      <c r="J193" s="1187">
        <v>0</v>
      </c>
      <c r="K193" s="1185">
        <v>0</v>
      </c>
      <c r="L193" s="1188">
        <f t="shared" si="25"/>
        <v>0</v>
      </c>
      <c r="M193" s="1185">
        <v>0</v>
      </c>
      <c r="N193" s="1185">
        <v>0</v>
      </c>
      <c r="O193" s="1187">
        <v>0</v>
      </c>
      <c r="P193" s="1187">
        <v>0</v>
      </c>
      <c r="Q193" s="1187">
        <v>0</v>
      </c>
      <c r="R193" s="1187">
        <v>0</v>
      </c>
      <c r="S193" s="1190">
        <f t="shared" si="23"/>
        <v>0</v>
      </c>
      <c r="T193" s="1186">
        <f>$T$191</f>
        <v>340</v>
      </c>
      <c r="U193" s="1188" t="s">
        <v>4</v>
      </c>
    </row>
    <row r="194" spans="1:21" ht="20.100000000000001" hidden="1" customHeight="1">
      <c r="A194" s="1185">
        <v>7</v>
      </c>
      <c r="B194" s="1163" t="s">
        <v>128</v>
      </c>
      <c r="C194" s="1186">
        <f>'3.60 lakhs'!I89</f>
        <v>0</v>
      </c>
      <c r="D194" s="1163"/>
      <c r="E194" s="1163"/>
      <c r="F194" s="1186">
        <f t="shared" si="22"/>
        <v>0</v>
      </c>
      <c r="G194" s="1186" t="s">
        <v>421</v>
      </c>
      <c r="H194" s="1187">
        <v>0</v>
      </c>
      <c r="I194" s="1188">
        <f t="shared" si="24"/>
        <v>0</v>
      </c>
      <c r="J194" s="1187">
        <v>0</v>
      </c>
      <c r="K194" s="1185">
        <v>0</v>
      </c>
      <c r="L194" s="1188">
        <f t="shared" si="25"/>
        <v>0</v>
      </c>
      <c r="M194" s="1185">
        <v>0</v>
      </c>
      <c r="N194" s="1185">
        <v>0</v>
      </c>
      <c r="O194" s="1187">
        <v>0</v>
      </c>
      <c r="P194" s="1187">
        <v>0</v>
      </c>
      <c r="Q194" s="1187">
        <v>0</v>
      </c>
      <c r="R194" s="1187">
        <v>0</v>
      </c>
      <c r="S194" s="1190">
        <f t="shared" si="23"/>
        <v>0</v>
      </c>
      <c r="T194" s="1186">
        <f>$T$191</f>
        <v>340</v>
      </c>
      <c r="U194" s="1188" t="s">
        <v>4</v>
      </c>
    </row>
    <row r="195" spans="1:21" ht="20.100000000000001" hidden="1" customHeight="1">
      <c r="A195" s="1185">
        <v>3</v>
      </c>
      <c r="B195" s="1163" t="s">
        <v>131</v>
      </c>
      <c r="C195" s="1186">
        <f>'3.60 lakhs'!I97</f>
        <v>0</v>
      </c>
      <c r="D195" s="1186">
        <f>'3.60 lakhs'!I468</f>
        <v>0</v>
      </c>
      <c r="E195" s="1186">
        <f>'3.60 lakhs'!I715</f>
        <v>0</v>
      </c>
      <c r="F195" s="1186">
        <f t="shared" si="22"/>
        <v>0</v>
      </c>
      <c r="G195" s="1186" t="s">
        <v>421</v>
      </c>
      <c r="H195" s="1187">
        <v>0</v>
      </c>
      <c r="I195" s="1188">
        <f t="shared" si="24"/>
        <v>0</v>
      </c>
      <c r="J195" s="1187">
        <v>0</v>
      </c>
      <c r="K195" s="1185">
        <v>0</v>
      </c>
      <c r="L195" s="1188">
        <f t="shared" si="25"/>
        <v>0</v>
      </c>
      <c r="M195" s="1185">
        <v>0</v>
      </c>
      <c r="N195" s="1185">
        <v>0</v>
      </c>
      <c r="O195" s="1187">
        <v>0</v>
      </c>
      <c r="P195" s="1187">
        <v>0</v>
      </c>
      <c r="Q195" s="1187">
        <v>0</v>
      </c>
      <c r="R195" s="1187">
        <v>0</v>
      </c>
      <c r="S195" s="1190">
        <f t="shared" si="23"/>
        <v>0</v>
      </c>
      <c r="T195" s="1186">
        <f>$T$191</f>
        <v>340</v>
      </c>
      <c r="U195" s="1188" t="s">
        <v>4</v>
      </c>
    </row>
    <row r="196" spans="1:21" ht="20.100000000000001" hidden="1" customHeight="1">
      <c r="A196" s="1185">
        <v>9</v>
      </c>
      <c r="B196" s="1191" t="s">
        <v>236</v>
      </c>
      <c r="C196" s="1186">
        <f>ROUND('3.60 lakhs'!I103*0.15,2)</f>
        <v>0</v>
      </c>
      <c r="D196" s="1186">
        <f>ROUND('3.60 lakhs'!I473*0.15,2)</f>
        <v>0</v>
      </c>
      <c r="E196" s="1186">
        <f>ROUND('3.60 lakhs'!I721*0.15,2)</f>
        <v>0</v>
      </c>
      <c r="F196" s="1186">
        <f t="shared" si="22"/>
        <v>0</v>
      </c>
      <c r="G196" s="1186" t="s">
        <v>422</v>
      </c>
      <c r="H196" s="1187">
        <v>0</v>
      </c>
      <c r="I196" s="1188">
        <f t="shared" si="24"/>
        <v>0</v>
      </c>
      <c r="J196" s="1187">
        <v>0</v>
      </c>
      <c r="K196" s="1185">
        <v>0</v>
      </c>
      <c r="L196" s="1188">
        <f t="shared" si="25"/>
        <v>0</v>
      </c>
      <c r="M196" s="1185">
        <v>0</v>
      </c>
      <c r="N196" s="1185">
        <v>0</v>
      </c>
      <c r="O196" s="1187">
        <v>0</v>
      </c>
      <c r="P196" s="1187">
        <v>0</v>
      </c>
      <c r="Q196" s="1187">
        <v>0</v>
      </c>
      <c r="R196" s="1187">
        <v>0</v>
      </c>
      <c r="S196" s="1190">
        <f t="shared" si="23"/>
        <v>0</v>
      </c>
      <c r="T196" s="1186">
        <f>ROUND(T195,2)</f>
        <v>340</v>
      </c>
      <c r="U196" s="1188" t="s">
        <v>4</v>
      </c>
    </row>
    <row r="197" spans="1:21" ht="20.100000000000001" hidden="1" customHeight="1">
      <c r="A197" s="1185">
        <v>4</v>
      </c>
      <c r="B197" s="1191" t="s">
        <v>237</v>
      </c>
      <c r="C197" s="1186">
        <f>ROUND('3.60 lakhs'!I109*0.125,2)</f>
        <v>0</v>
      </c>
      <c r="D197" s="1186">
        <f>ROUND('3.60 lakhs'!I479*0.125,2)</f>
        <v>0</v>
      </c>
      <c r="E197" s="1186">
        <f>ROUND('3.60 lakhs'!I726*0.125,2)</f>
        <v>0</v>
      </c>
      <c r="F197" s="1186">
        <f t="shared" si="22"/>
        <v>0</v>
      </c>
      <c r="G197" s="1186" t="s">
        <v>422</v>
      </c>
      <c r="H197" s="1187">
        <v>0</v>
      </c>
      <c r="I197" s="1188">
        <f t="shared" si="24"/>
        <v>0</v>
      </c>
      <c r="J197" s="1187">
        <v>0</v>
      </c>
      <c r="K197" s="1185">
        <v>0</v>
      </c>
      <c r="L197" s="1188">
        <f t="shared" si="25"/>
        <v>0</v>
      </c>
      <c r="M197" s="1185">
        <v>0</v>
      </c>
      <c r="N197" s="1185">
        <v>0</v>
      </c>
      <c r="O197" s="1187">
        <v>0</v>
      </c>
      <c r="P197" s="1187">
        <v>0</v>
      </c>
      <c r="Q197" s="1187">
        <v>0</v>
      </c>
      <c r="R197" s="1187">
        <v>0</v>
      </c>
      <c r="S197" s="1190">
        <f t="shared" si="23"/>
        <v>0</v>
      </c>
      <c r="T197" s="1186">
        <f>ROUND(T195,2)</f>
        <v>340</v>
      </c>
      <c r="U197" s="1188" t="s">
        <v>4</v>
      </c>
    </row>
    <row r="198" spans="1:21" ht="20.100000000000001" hidden="1" customHeight="1">
      <c r="A198" s="1185">
        <v>9</v>
      </c>
      <c r="B198" s="1191" t="s">
        <v>605</v>
      </c>
      <c r="C198" s="1186">
        <f>ROUND('3.60 lakhs'!I115*0.1,2)</f>
        <v>0</v>
      </c>
      <c r="D198" s="1186">
        <f>ROUND('3.60 lakhs'!I484*0.1,2)</f>
        <v>0</v>
      </c>
      <c r="E198" s="1186">
        <f>ROUND('3.60 lakhs'!I731*0.1,2)</f>
        <v>0</v>
      </c>
      <c r="F198" s="1186">
        <f t="shared" si="22"/>
        <v>0</v>
      </c>
      <c r="G198" s="1186" t="s">
        <v>422</v>
      </c>
      <c r="H198" s="1187">
        <v>0</v>
      </c>
      <c r="I198" s="1188">
        <f t="shared" si="24"/>
        <v>0</v>
      </c>
      <c r="J198" s="1187">
        <v>0</v>
      </c>
      <c r="K198" s="1185">
        <v>0</v>
      </c>
      <c r="L198" s="1188">
        <f t="shared" si="25"/>
        <v>0</v>
      </c>
      <c r="M198" s="1185">
        <v>0</v>
      </c>
      <c r="N198" s="1185">
        <v>0</v>
      </c>
      <c r="O198" s="1187">
        <v>0</v>
      </c>
      <c r="P198" s="1187">
        <v>0</v>
      </c>
      <c r="Q198" s="1187">
        <v>0</v>
      </c>
      <c r="R198" s="1187">
        <v>0</v>
      </c>
      <c r="S198" s="1190">
        <f t="shared" si="23"/>
        <v>0</v>
      </c>
      <c r="T198" s="1186">
        <f>T197</f>
        <v>340</v>
      </c>
      <c r="U198" s="1188" t="s">
        <v>4</v>
      </c>
    </row>
    <row r="199" spans="1:21" ht="20.100000000000001" hidden="1" customHeight="1">
      <c r="A199" s="1185">
        <v>9</v>
      </c>
      <c r="B199" s="1191" t="s">
        <v>1231</v>
      </c>
      <c r="C199" s="1186">
        <f>ROUND('3.60 lakhs'!I121*0.05,2)</f>
        <v>0</v>
      </c>
      <c r="D199" s="1186">
        <f>ROUND('3.60 lakhs'!I490*0.05,2)</f>
        <v>0</v>
      </c>
      <c r="E199" s="1186">
        <f>ROUND('3.60 lakhs'!I737*0.05,2)</f>
        <v>0</v>
      </c>
      <c r="F199" s="1186">
        <f t="shared" si="22"/>
        <v>0</v>
      </c>
      <c r="G199" s="1186" t="s">
        <v>422</v>
      </c>
      <c r="H199" s="1187">
        <v>0</v>
      </c>
      <c r="I199" s="1188">
        <f t="shared" si="24"/>
        <v>0</v>
      </c>
      <c r="J199" s="1187">
        <v>0</v>
      </c>
      <c r="K199" s="1185">
        <v>0</v>
      </c>
      <c r="L199" s="1188">
        <f t="shared" si="25"/>
        <v>0</v>
      </c>
      <c r="M199" s="1185">
        <v>0</v>
      </c>
      <c r="N199" s="1185">
        <v>0</v>
      </c>
      <c r="O199" s="1187">
        <v>0</v>
      </c>
      <c r="P199" s="1187">
        <v>0</v>
      </c>
      <c r="Q199" s="1187">
        <v>0</v>
      </c>
      <c r="R199" s="1187">
        <v>0</v>
      </c>
      <c r="S199" s="1190">
        <f t="shared" si="23"/>
        <v>0</v>
      </c>
      <c r="T199" s="1186">
        <f>T198</f>
        <v>340</v>
      </c>
      <c r="U199" s="1188" t="s">
        <v>4</v>
      </c>
    </row>
    <row r="200" spans="1:21" ht="20.100000000000001" hidden="1" customHeight="1">
      <c r="A200" s="1185">
        <v>16</v>
      </c>
      <c r="B200" s="1191" t="s">
        <v>1440</v>
      </c>
      <c r="C200" s="1186">
        <f>ROUND('3.60 lakhs'!I128*0.025,2)</f>
        <v>0</v>
      </c>
      <c r="D200" s="1186">
        <f>ROUND('3.60 lakhs'!I496*0.025,2)</f>
        <v>0</v>
      </c>
      <c r="E200" s="1186">
        <f>ROUND('3.60 lakhs'!I743*0.025,2)</f>
        <v>0</v>
      </c>
      <c r="F200" s="1186">
        <f t="shared" si="22"/>
        <v>0</v>
      </c>
      <c r="G200" s="1186" t="s">
        <v>422</v>
      </c>
      <c r="H200" s="1187">
        <v>0</v>
      </c>
      <c r="I200" s="1188">
        <f t="shared" si="24"/>
        <v>0</v>
      </c>
      <c r="J200" s="1187">
        <v>0</v>
      </c>
      <c r="K200" s="1185">
        <v>0</v>
      </c>
      <c r="L200" s="1188">
        <f t="shared" si="25"/>
        <v>0</v>
      </c>
      <c r="M200" s="1185">
        <v>0</v>
      </c>
      <c r="N200" s="1185">
        <v>0</v>
      </c>
      <c r="O200" s="1187">
        <v>0</v>
      </c>
      <c r="P200" s="1187">
        <v>0</v>
      </c>
      <c r="Q200" s="1187">
        <v>0</v>
      </c>
      <c r="R200" s="1187">
        <v>0</v>
      </c>
      <c r="S200" s="1190">
        <f t="shared" si="23"/>
        <v>0</v>
      </c>
      <c r="T200" s="1186">
        <f>T199</f>
        <v>340</v>
      </c>
      <c r="U200" s="1188" t="s">
        <v>4</v>
      </c>
    </row>
    <row r="201" spans="1:21" ht="20.100000000000001" hidden="1" customHeight="1">
      <c r="A201" s="1185">
        <v>5</v>
      </c>
      <c r="B201" s="1163" t="s">
        <v>129</v>
      </c>
      <c r="C201" s="1186">
        <f>'3.60 lakhs'!I137</f>
        <v>0</v>
      </c>
      <c r="D201" s="1186">
        <f>'3.60 lakhs'!I502</f>
        <v>0</v>
      </c>
      <c r="E201" s="1186">
        <f>'3.60 lakhs'!I750</f>
        <v>0</v>
      </c>
      <c r="F201" s="1186">
        <f t="shared" si="22"/>
        <v>0</v>
      </c>
      <c r="G201" s="1186" t="s">
        <v>421</v>
      </c>
      <c r="H201" s="1187">
        <v>0</v>
      </c>
      <c r="I201" s="1188">
        <f t="shared" si="24"/>
        <v>0</v>
      </c>
      <c r="J201" s="1187">
        <v>0</v>
      </c>
      <c r="K201" s="1185">
        <v>0</v>
      </c>
      <c r="L201" s="1188">
        <f t="shared" si="25"/>
        <v>0</v>
      </c>
      <c r="M201" s="1185">
        <v>0</v>
      </c>
      <c r="N201" s="1185">
        <v>0</v>
      </c>
      <c r="O201" s="1187">
        <v>0</v>
      </c>
      <c r="P201" s="1187">
        <v>0</v>
      </c>
      <c r="Q201" s="1187">
        <v>0</v>
      </c>
      <c r="R201" s="1187">
        <v>0</v>
      </c>
      <c r="S201" s="1190">
        <f t="shared" si="23"/>
        <v>0</v>
      </c>
      <c r="T201" s="1186">
        <f>$T$191</f>
        <v>340</v>
      </c>
      <c r="U201" s="1188" t="s">
        <v>4</v>
      </c>
    </row>
    <row r="202" spans="1:21" ht="20.100000000000001" hidden="1" customHeight="1">
      <c r="A202" s="1185">
        <v>6</v>
      </c>
      <c r="B202" s="1163" t="s">
        <v>130</v>
      </c>
      <c r="C202" s="1186">
        <f>'3.60 lakhs'!I143</f>
        <v>0</v>
      </c>
      <c r="D202" s="1186">
        <f>'3.60 lakhs'!I508</f>
        <v>0</v>
      </c>
      <c r="E202" s="1186">
        <f>'3.60 lakhs'!I755</f>
        <v>0</v>
      </c>
      <c r="F202" s="1186">
        <f t="shared" si="22"/>
        <v>0</v>
      </c>
      <c r="G202" s="1186" t="s">
        <v>82</v>
      </c>
      <c r="H202" s="1187">
        <v>0</v>
      </c>
      <c r="I202" s="1188">
        <f>ROUND(F202*0.0375*0.8,2)</f>
        <v>0</v>
      </c>
      <c r="J202" s="1187">
        <v>0</v>
      </c>
      <c r="K202" s="1185">
        <v>0</v>
      </c>
      <c r="L202" s="1188">
        <f>ROUND(F202*0.0375*0.4,2)</f>
        <v>0</v>
      </c>
      <c r="M202" s="1185">
        <v>0</v>
      </c>
      <c r="N202" s="1185">
        <v>0</v>
      </c>
      <c r="O202" s="1187">
        <v>0</v>
      </c>
      <c r="P202" s="1187">
        <v>0</v>
      </c>
      <c r="Q202" s="1187">
        <v>0</v>
      </c>
      <c r="R202" s="1187">
        <v>0</v>
      </c>
      <c r="S202" s="1190">
        <f t="shared" si="23"/>
        <v>0</v>
      </c>
      <c r="T202" s="1195">
        <f>ROUND(T201*0.0375,2)</f>
        <v>12.75</v>
      </c>
      <c r="U202" s="1188" t="s">
        <v>4</v>
      </c>
    </row>
    <row r="203" spans="1:21" ht="20.100000000000001" hidden="1" customHeight="1">
      <c r="A203" s="1185">
        <v>4</v>
      </c>
      <c r="B203" s="1191" t="s">
        <v>1441</v>
      </c>
      <c r="C203" s="1186">
        <f>'3.60 lakhs'!I149</f>
        <v>0</v>
      </c>
      <c r="D203" s="1186">
        <f>'3.60 lakhs'!I514</f>
        <v>0</v>
      </c>
      <c r="E203" s="1186">
        <f>'3.60 lakhs'!I760</f>
        <v>0</v>
      </c>
      <c r="F203" s="1186">
        <f t="shared" si="22"/>
        <v>0</v>
      </c>
      <c r="G203" s="1186" t="s">
        <v>422</v>
      </c>
      <c r="H203" s="1187">
        <v>0</v>
      </c>
      <c r="I203" s="1187">
        <v>0</v>
      </c>
      <c r="J203" s="1187">
        <v>0</v>
      </c>
      <c r="K203" s="1185">
        <v>0</v>
      </c>
      <c r="L203" s="1187">
        <v>0</v>
      </c>
      <c r="M203" s="1185">
        <v>0</v>
      </c>
      <c r="N203" s="1188">
        <f>ROUND(F203*0.015*1.05,2)</f>
        <v>0</v>
      </c>
      <c r="O203" s="1187">
        <v>0</v>
      </c>
      <c r="P203" s="1187">
        <v>0</v>
      </c>
      <c r="Q203" s="1187">
        <v>0</v>
      </c>
      <c r="R203" s="1187">
        <v>0</v>
      </c>
      <c r="S203" s="1190">
        <f t="shared" si="23"/>
        <v>0</v>
      </c>
      <c r="T203" s="1186">
        <v>7.2</v>
      </c>
      <c r="U203" s="1188" t="s">
        <v>4</v>
      </c>
    </row>
    <row r="204" spans="1:21" ht="20.100000000000001" hidden="1" customHeight="1">
      <c r="A204" s="1185">
        <v>12</v>
      </c>
      <c r="B204" s="1191" t="s">
        <v>1226</v>
      </c>
      <c r="C204" s="1186">
        <f>'3.60 lakhs'!I155</f>
        <v>0</v>
      </c>
      <c r="D204" s="1186">
        <f>'3.60 lakhs'!I520</f>
        <v>0</v>
      </c>
      <c r="E204" s="1186">
        <f>'3.60 lakhs'!I766</f>
        <v>0</v>
      </c>
      <c r="F204" s="1186">
        <f t="shared" si="22"/>
        <v>0</v>
      </c>
      <c r="G204" s="1186" t="s">
        <v>422</v>
      </c>
      <c r="H204" s="1187">
        <v>0</v>
      </c>
      <c r="I204" s="1187">
        <v>0</v>
      </c>
      <c r="J204" s="1187">
        <v>0</v>
      </c>
      <c r="K204" s="1185">
        <v>0</v>
      </c>
      <c r="L204" s="1187">
        <v>0</v>
      </c>
      <c r="M204" s="1185">
        <v>0</v>
      </c>
      <c r="N204" s="1188">
        <f>ROUND(F204*0.021*1.05,2)</f>
        <v>0</v>
      </c>
      <c r="O204" s="1187">
        <v>0</v>
      </c>
      <c r="P204" s="1187">
        <v>0</v>
      </c>
      <c r="Q204" s="1187">
        <v>0</v>
      </c>
      <c r="R204" s="1187">
        <v>0</v>
      </c>
      <c r="S204" s="1190">
        <f t="shared" si="23"/>
        <v>0</v>
      </c>
      <c r="T204" s="1186">
        <v>10.08</v>
      </c>
      <c r="U204" s="1188" t="s">
        <v>4</v>
      </c>
    </row>
    <row r="205" spans="1:21" ht="20.100000000000001" hidden="1" customHeight="1">
      <c r="A205" s="1185">
        <v>13</v>
      </c>
      <c r="B205" s="1163" t="s">
        <v>1194</v>
      </c>
      <c r="C205" s="1186">
        <f>'3.60 lakhs'!I162</f>
        <v>0</v>
      </c>
      <c r="D205" s="1186"/>
      <c r="E205" s="1186"/>
      <c r="F205" s="1186">
        <f t="shared" si="22"/>
        <v>0</v>
      </c>
      <c r="G205" s="1186" t="s">
        <v>421</v>
      </c>
      <c r="H205" s="1187">
        <v>0</v>
      </c>
      <c r="I205" s="1187">
        <v>0</v>
      </c>
      <c r="J205" s="1187">
        <v>0</v>
      </c>
      <c r="K205" s="1188">
        <f>ROUND(F205*1.1,2)</f>
        <v>0</v>
      </c>
      <c r="L205" s="1187">
        <v>0</v>
      </c>
      <c r="M205" s="1188">
        <f>ROUND(F205*0.33,2)</f>
        <v>0</v>
      </c>
      <c r="N205" s="1187">
        <v>0</v>
      </c>
      <c r="O205" s="1187">
        <v>0</v>
      </c>
      <c r="P205" s="1187">
        <v>0</v>
      </c>
      <c r="Q205" s="1188"/>
      <c r="R205" s="1187">
        <v>0</v>
      </c>
      <c r="S205" s="1190">
        <f t="shared" si="23"/>
        <v>0</v>
      </c>
      <c r="T205" s="1186">
        <v>59.4</v>
      </c>
      <c r="U205" s="1188" t="s">
        <v>4</v>
      </c>
    </row>
    <row r="206" spans="1:21" ht="20.100000000000001" hidden="1" customHeight="1">
      <c r="A206" s="1185">
        <v>2</v>
      </c>
      <c r="B206" s="1163" t="s">
        <v>134</v>
      </c>
      <c r="C206" s="1186">
        <f>'3.60 lakhs'!I170</f>
        <v>0</v>
      </c>
      <c r="D206" s="1186">
        <f>'3.60 lakhs'!I526</f>
        <v>0</v>
      </c>
      <c r="E206" s="1186">
        <f>'3.60 lakhs'!I774</f>
        <v>0</v>
      </c>
      <c r="F206" s="1186">
        <f t="shared" si="22"/>
        <v>0</v>
      </c>
      <c r="G206" s="1186" t="s">
        <v>421</v>
      </c>
      <c r="H206" s="1187">
        <v>0</v>
      </c>
      <c r="I206" s="1187">
        <v>0</v>
      </c>
      <c r="J206" s="1187">
        <v>0</v>
      </c>
      <c r="K206" s="1185">
        <v>0</v>
      </c>
      <c r="L206" s="1187">
        <v>0</v>
      </c>
      <c r="M206" s="1188">
        <f>ROUND(F206*0.2,2)</f>
        <v>0</v>
      </c>
      <c r="N206" s="1187">
        <v>0</v>
      </c>
      <c r="O206" s="1187">
        <v>0</v>
      </c>
      <c r="P206" s="1187">
        <v>0</v>
      </c>
      <c r="Q206" s="1188">
        <f>ROUND(F206*512/1000,2)</f>
        <v>0</v>
      </c>
      <c r="R206" s="1187">
        <v>0</v>
      </c>
      <c r="S206" s="1190">
        <f t="shared" si="23"/>
        <v>0</v>
      </c>
      <c r="T206" s="1186">
        <v>36</v>
      </c>
      <c r="U206" s="1188" t="s">
        <v>4</v>
      </c>
    </row>
    <row r="207" spans="1:21" ht="20.100000000000001" hidden="1" customHeight="1">
      <c r="A207" s="1185">
        <v>2</v>
      </c>
      <c r="B207" s="1163" t="s">
        <v>906</v>
      </c>
      <c r="C207" s="1186">
        <f>'3.60 lakhs'!I178</f>
        <v>0</v>
      </c>
      <c r="D207" s="1186">
        <f>'3.60 lakhs'!I532</f>
        <v>0</v>
      </c>
      <c r="E207" s="1186">
        <f>'3.60 lakhs'!I779</f>
        <v>0</v>
      </c>
      <c r="F207" s="1186">
        <f t="shared" si="22"/>
        <v>0</v>
      </c>
      <c r="G207" s="1186" t="s">
        <v>421</v>
      </c>
      <c r="H207" s="1187">
        <v>0</v>
      </c>
      <c r="I207" s="1187">
        <v>0</v>
      </c>
      <c r="J207" s="1187">
        <v>0</v>
      </c>
      <c r="K207" s="1185">
        <v>0</v>
      </c>
      <c r="L207" s="1187">
        <v>0</v>
      </c>
      <c r="M207" s="1188">
        <f>ROUND(F207*0.2,2)</f>
        <v>0</v>
      </c>
      <c r="N207" s="1187">
        <v>0</v>
      </c>
      <c r="O207" s="1187">
        <v>0</v>
      </c>
      <c r="P207" s="1187">
        <v>0</v>
      </c>
      <c r="Q207" s="1188">
        <f>ROUND(F207*512/1000,2)</f>
        <v>0</v>
      </c>
      <c r="R207" s="1187">
        <v>0</v>
      </c>
      <c r="S207" s="1190">
        <f t="shared" si="23"/>
        <v>0</v>
      </c>
      <c r="T207" s="1186">
        <v>48</v>
      </c>
      <c r="U207" s="1188" t="s">
        <v>4</v>
      </c>
    </row>
    <row r="208" spans="1:21" ht="20.100000000000001" hidden="1" customHeight="1">
      <c r="A208" s="1185">
        <v>9</v>
      </c>
      <c r="B208" s="1163" t="s">
        <v>3637</v>
      </c>
      <c r="C208" s="1186">
        <f>'3.60 lakhs'!I185</f>
        <v>0</v>
      </c>
      <c r="D208" s="1186">
        <f>'3.60 lakhs'!I539</f>
        <v>0</v>
      </c>
      <c r="E208" s="1186">
        <f>'3.60 lakhs'!I785</f>
        <v>0</v>
      </c>
      <c r="F208" s="1186">
        <f t="shared" si="22"/>
        <v>0</v>
      </c>
      <c r="G208" s="1186" t="s">
        <v>422</v>
      </c>
      <c r="H208" s="1187">
        <v>0</v>
      </c>
      <c r="I208" s="1188"/>
      <c r="J208" s="1187">
        <v>0</v>
      </c>
      <c r="K208" s="1185">
        <v>0</v>
      </c>
      <c r="L208" s="1187">
        <v>0</v>
      </c>
      <c r="M208" s="1188">
        <f>ROUND(F208*0.022,2)</f>
        <v>0</v>
      </c>
      <c r="N208" s="1187">
        <v>0</v>
      </c>
      <c r="O208" s="1187">
        <v>0</v>
      </c>
      <c r="P208" s="1187">
        <v>0</v>
      </c>
      <c r="Q208" s="1188">
        <f>ROUND(F208*512*0.1/1000,2)</f>
        <v>0</v>
      </c>
      <c r="R208" s="1187">
        <v>0</v>
      </c>
      <c r="S208" s="1190">
        <f t="shared" si="23"/>
        <v>0</v>
      </c>
      <c r="T208" s="1186">
        <v>7.2</v>
      </c>
      <c r="U208" s="1188" t="s">
        <v>4</v>
      </c>
    </row>
    <row r="209" spans="1:21" ht="20.100000000000001" hidden="1" customHeight="1">
      <c r="A209" s="1185">
        <v>16</v>
      </c>
      <c r="B209" s="1163" t="s">
        <v>1214</v>
      </c>
      <c r="C209" s="1186">
        <f>'3.60 lakhs'!I193</f>
        <v>0</v>
      </c>
      <c r="D209" s="1186">
        <f>'3.60 lakhs'!I546</f>
        <v>0</v>
      </c>
      <c r="E209" s="1186">
        <f>'3.60 lakhs'!I792</f>
        <v>0</v>
      </c>
      <c r="F209" s="1186">
        <f t="shared" si="22"/>
        <v>0</v>
      </c>
      <c r="G209" s="1186" t="s">
        <v>421</v>
      </c>
      <c r="H209" s="1187">
        <v>0</v>
      </c>
      <c r="I209" s="1187">
        <v>0</v>
      </c>
      <c r="J209" s="1187">
        <v>0</v>
      </c>
      <c r="K209" s="1185">
        <v>0</v>
      </c>
      <c r="L209" s="1187">
        <v>0</v>
      </c>
      <c r="M209" s="1188">
        <f>ROUND(F209*0.1*1.05,2)</f>
        <v>0</v>
      </c>
      <c r="N209" s="1187">
        <v>0</v>
      </c>
      <c r="O209" s="1187">
        <v>0</v>
      </c>
      <c r="P209" s="1187">
        <v>0</v>
      </c>
      <c r="Q209" s="1188">
        <f>ROUND(F209*110/1000,2)</f>
        <v>0</v>
      </c>
      <c r="R209" s="1187">
        <v>0</v>
      </c>
      <c r="S209" s="1190">
        <f t="shared" si="23"/>
        <v>0</v>
      </c>
      <c r="T209" s="1186">
        <v>24</v>
      </c>
      <c r="U209" s="1188" t="s">
        <v>4</v>
      </c>
    </row>
    <row r="210" spans="1:21" ht="20.100000000000001" hidden="1" customHeight="1">
      <c r="A210" s="1185">
        <v>14</v>
      </c>
      <c r="B210" s="1191" t="s">
        <v>1215</v>
      </c>
      <c r="C210" s="1186">
        <f>'3.60 lakhs'!I200</f>
        <v>0</v>
      </c>
      <c r="D210" s="1186">
        <f>'3.60 lakhs'!I552</f>
        <v>0</v>
      </c>
      <c r="E210" s="1186"/>
      <c r="F210" s="1186">
        <f t="shared" si="22"/>
        <v>0</v>
      </c>
      <c r="G210" s="1186" t="s">
        <v>422</v>
      </c>
      <c r="H210" s="1187">
        <v>0</v>
      </c>
      <c r="I210" s="1187">
        <v>0</v>
      </c>
      <c r="J210" s="1187">
        <v>0</v>
      </c>
      <c r="K210" s="1185">
        <v>0</v>
      </c>
      <c r="L210" s="1187">
        <v>0</v>
      </c>
      <c r="M210" s="1187">
        <v>0</v>
      </c>
      <c r="N210" s="1188">
        <f>ROUND(F210*((0.015*1.05)+(0.025*1.05)),2)</f>
        <v>0</v>
      </c>
      <c r="O210" s="1187">
        <v>0</v>
      </c>
      <c r="P210" s="1187">
        <v>0</v>
      </c>
      <c r="Q210" s="1187">
        <v>0</v>
      </c>
      <c r="R210" s="1187">
        <v>0</v>
      </c>
      <c r="S210" s="1190">
        <f t="shared" si="23"/>
        <v>0</v>
      </c>
      <c r="T210" s="1186">
        <v>20.89</v>
      </c>
      <c r="U210" s="1188" t="s">
        <v>4</v>
      </c>
    </row>
    <row r="211" spans="1:21" ht="20.100000000000001" hidden="1" customHeight="1">
      <c r="A211" s="1185">
        <v>4</v>
      </c>
      <c r="B211" s="1191" t="s">
        <v>137</v>
      </c>
      <c r="C211" s="1186">
        <f>'3.60 lakhs'!I209</f>
        <v>0</v>
      </c>
      <c r="D211" s="1186">
        <f>'3.60 lakhs'!I559</f>
        <v>0</v>
      </c>
      <c r="E211" s="1186">
        <f>'3.60 lakhs'!I799</f>
        <v>0</v>
      </c>
      <c r="F211" s="1186">
        <f t="shared" si="22"/>
        <v>0</v>
      </c>
      <c r="G211" s="1186" t="s">
        <v>422</v>
      </c>
      <c r="H211" s="1187">
        <v>0</v>
      </c>
      <c r="I211" s="1187">
        <v>0</v>
      </c>
      <c r="J211" s="1187">
        <v>0</v>
      </c>
      <c r="K211" s="1185">
        <v>0</v>
      </c>
      <c r="L211" s="1187">
        <v>0</v>
      </c>
      <c r="M211" s="1187">
        <v>0</v>
      </c>
      <c r="N211" s="1188">
        <f>ROUND(F211*0.015*1.05,2)</f>
        <v>0</v>
      </c>
      <c r="O211" s="1187">
        <v>0</v>
      </c>
      <c r="P211" s="1187">
        <v>0</v>
      </c>
      <c r="Q211" s="1187">
        <v>0</v>
      </c>
      <c r="R211" s="1187">
        <v>0</v>
      </c>
      <c r="S211" s="1190">
        <f t="shared" si="23"/>
        <v>0</v>
      </c>
      <c r="T211" s="1186">
        <v>7.2</v>
      </c>
      <c r="U211" s="1188" t="s">
        <v>4</v>
      </c>
    </row>
    <row r="212" spans="1:21" ht="20.100000000000001" hidden="1" customHeight="1">
      <c r="A212" s="1185">
        <v>3</v>
      </c>
      <c r="B212" s="1191" t="s">
        <v>238</v>
      </c>
      <c r="C212" s="1186">
        <f>'3.60 lakhs'!I219</f>
        <v>0</v>
      </c>
      <c r="D212" s="1186">
        <f>'3.60 lakhs'!I567</f>
        <v>0</v>
      </c>
      <c r="E212" s="1186">
        <f>'3.60 lakhs'!I807</f>
        <v>0</v>
      </c>
      <c r="F212" s="1186">
        <f t="shared" si="22"/>
        <v>0</v>
      </c>
      <c r="G212" s="1186" t="s">
        <v>422</v>
      </c>
      <c r="H212" s="1187">
        <v>0</v>
      </c>
      <c r="I212" s="1187">
        <v>0</v>
      </c>
      <c r="J212" s="1187">
        <v>0</v>
      </c>
      <c r="K212" s="1185">
        <v>0</v>
      </c>
      <c r="L212" s="1187">
        <v>0</v>
      </c>
      <c r="M212" s="1187">
        <v>0</v>
      </c>
      <c r="N212" s="1188">
        <f>ROUND(F212*0.015*1.05,2)</f>
        <v>0</v>
      </c>
      <c r="O212" s="1187">
        <v>0</v>
      </c>
      <c r="P212" s="1187">
        <v>0</v>
      </c>
      <c r="Q212" s="1187">
        <v>0</v>
      </c>
      <c r="R212" s="1187">
        <v>0</v>
      </c>
      <c r="S212" s="1190">
        <f t="shared" si="23"/>
        <v>0</v>
      </c>
      <c r="T212" s="1186">
        <v>4.32</v>
      </c>
      <c r="U212" s="1188" t="s">
        <v>4</v>
      </c>
    </row>
    <row r="213" spans="1:21" ht="20.100000000000001" hidden="1" customHeight="1">
      <c r="A213" s="1185">
        <v>3</v>
      </c>
      <c r="B213" s="1191" t="s">
        <v>604</v>
      </c>
      <c r="C213" s="1186">
        <f>'3.60 lakhs'!I226</f>
        <v>0</v>
      </c>
      <c r="D213" s="1186">
        <f>'3.60 lakhs'!I575</f>
        <v>0</v>
      </c>
      <c r="E213" s="1186">
        <f>'3.60 lakhs'!I815</f>
        <v>0</v>
      </c>
      <c r="F213" s="1186">
        <f t="shared" si="22"/>
        <v>0</v>
      </c>
      <c r="G213" s="1186" t="s">
        <v>422</v>
      </c>
      <c r="H213" s="1187">
        <v>0</v>
      </c>
      <c r="I213" s="1187">
        <v>0</v>
      </c>
      <c r="J213" s="1187">
        <v>0</v>
      </c>
      <c r="K213" s="1185">
        <v>0</v>
      </c>
      <c r="L213" s="1187">
        <v>0</v>
      </c>
      <c r="M213" s="1187">
        <v>0</v>
      </c>
      <c r="N213" s="1188">
        <f>ROUND(F213*0.021*1.05,2)</f>
        <v>0</v>
      </c>
      <c r="O213" s="1187">
        <v>0</v>
      </c>
      <c r="P213" s="1187">
        <v>0</v>
      </c>
      <c r="Q213" s="1187">
        <v>0</v>
      </c>
      <c r="R213" s="1187">
        <v>0</v>
      </c>
      <c r="S213" s="1190">
        <f t="shared" si="23"/>
        <v>0</v>
      </c>
      <c r="T213" s="1186">
        <v>6.05</v>
      </c>
      <c r="U213" s="1188" t="s">
        <v>4</v>
      </c>
    </row>
    <row r="214" spans="1:21" ht="20.100000000000001" hidden="1" customHeight="1">
      <c r="A214" s="1185">
        <v>5</v>
      </c>
      <c r="B214" s="1191" t="s">
        <v>904</v>
      </c>
      <c r="C214" s="1186">
        <f>'3.60 lakhs'!I233</f>
        <v>0</v>
      </c>
      <c r="D214" s="1186">
        <f>'3.60 lakhs'!I582</f>
        <v>0</v>
      </c>
      <c r="E214" s="1186">
        <f>'3.60 lakhs'!I822</f>
        <v>0</v>
      </c>
      <c r="F214" s="1186">
        <f t="shared" si="22"/>
        <v>0</v>
      </c>
      <c r="G214" s="1186" t="s">
        <v>422</v>
      </c>
      <c r="H214" s="1187">
        <v>0</v>
      </c>
      <c r="I214" s="1187">
        <v>0</v>
      </c>
      <c r="J214" s="1187">
        <v>0</v>
      </c>
      <c r="K214" s="1185">
        <v>0</v>
      </c>
      <c r="L214" s="1187">
        <v>0</v>
      </c>
      <c r="M214" s="1187">
        <v>0</v>
      </c>
      <c r="N214" s="1188">
        <f>ROUND(F214*0.015*1,2)</f>
        <v>0</v>
      </c>
      <c r="O214" s="1187">
        <v>0</v>
      </c>
      <c r="P214" s="1187">
        <v>0</v>
      </c>
      <c r="Q214" s="1187">
        <v>0</v>
      </c>
      <c r="R214" s="1187">
        <v>0</v>
      </c>
      <c r="S214" s="1190">
        <f t="shared" si="23"/>
        <v>0</v>
      </c>
      <c r="T214" s="1186">
        <v>5.09</v>
      </c>
      <c r="U214" s="1188" t="s">
        <v>4</v>
      </c>
    </row>
    <row r="215" spans="1:21" ht="20.100000000000001" hidden="1" customHeight="1">
      <c r="A215" s="1185">
        <v>6</v>
      </c>
      <c r="B215" s="1191" t="s">
        <v>603</v>
      </c>
      <c r="C215" s="1186">
        <f>'3.60 lakhs'!I249</f>
        <v>0</v>
      </c>
      <c r="D215" s="1186">
        <f>'3.60 lakhs'!I589</f>
        <v>0</v>
      </c>
      <c r="E215" s="1186">
        <f>'3.60 lakhs'!I829</f>
        <v>0</v>
      </c>
      <c r="F215" s="1186">
        <f t="shared" si="22"/>
        <v>0</v>
      </c>
      <c r="G215" s="1186" t="s">
        <v>422</v>
      </c>
      <c r="H215" s="1187">
        <v>0</v>
      </c>
      <c r="I215" s="1187">
        <v>0</v>
      </c>
      <c r="J215" s="1187">
        <v>0</v>
      </c>
      <c r="K215" s="1185">
        <v>0</v>
      </c>
      <c r="L215" s="1187">
        <v>0</v>
      </c>
      <c r="M215" s="1187">
        <v>0</v>
      </c>
      <c r="N215" s="1188">
        <f>ROUND(F215*0.022*1,2)</f>
        <v>0</v>
      </c>
      <c r="O215" s="1187">
        <v>0</v>
      </c>
      <c r="P215" s="1187">
        <v>0</v>
      </c>
      <c r="Q215" s="1187">
        <v>0</v>
      </c>
      <c r="R215" s="1187">
        <v>0</v>
      </c>
      <c r="S215" s="1190">
        <f t="shared" si="23"/>
        <v>0</v>
      </c>
      <c r="T215" s="1186">
        <v>5.75</v>
      </c>
      <c r="U215" s="1188" t="s">
        <v>4</v>
      </c>
    </row>
    <row r="216" spans="1:21" ht="20.100000000000001" hidden="1" customHeight="1">
      <c r="A216" s="1185">
        <v>19</v>
      </c>
      <c r="B216" s="1163" t="s">
        <v>447</v>
      </c>
      <c r="C216" s="1186">
        <f>'3.60 lakhs'!I256</f>
        <v>0</v>
      </c>
      <c r="D216" s="1186">
        <f>'3.60 lakhs'!I596</f>
        <v>0</v>
      </c>
      <c r="E216" s="1186">
        <f>'3.60 lakhs'!I834</f>
        <v>0</v>
      </c>
      <c r="F216" s="1186">
        <f t="shared" si="22"/>
        <v>0</v>
      </c>
      <c r="G216" s="1186" t="s">
        <v>421</v>
      </c>
      <c r="H216" s="1187">
        <v>0</v>
      </c>
      <c r="I216" s="1188">
        <f>ROUND(F216*0.8,2)</f>
        <v>0</v>
      </c>
      <c r="J216" s="1187">
        <v>0</v>
      </c>
      <c r="K216" s="1185">
        <v>0</v>
      </c>
      <c r="L216" s="1188">
        <f>ROUND(F216*0.4,2)</f>
        <v>0</v>
      </c>
      <c r="M216" s="1185">
        <v>0</v>
      </c>
      <c r="N216" s="1185">
        <v>0</v>
      </c>
      <c r="O216" s="1187">
        <v>0</v>
      </c>
      <c r="P216" s="1187">
        <v>0</v>
      </c>
      <c r="Q216" s="1187">
        <v>0</v>
      </c>
      <c r="R216" s="1187">
        <v>0</v>
      </c>
      <c r="S216" s="1190">
        <f t="shared" si="23"/>
        <v>0</v>
      </c>
      <c r="T216" s="1186">
        <f>$T$191</f>
        <v>340</v>
      </c>
      <c r="U216" s="1188" t="s">
        <v>4</v>
      </c>
    </row>
    <row r="217" spans="1:21" ht="20.100000000000001" hidden="1" customHeight="1">
      <c r="A217" s="1185">
        <v>4</v>
      </c>
      <c r="B217" s="1191" t="s">
        <v>241</v>
      </c>
      <c r="C217" s="1186">
        <f>'3.60 lakhs'!I268</f>
        <v>0</v>
      </c>
      <c r="D217" s="1186">
        <f>'3.60 lakhs'!I603</f>
        <v>0</v>
      </c>
      <c r="E217" s="1186">
        <f>'3.60 lakhs'!I840</f>
        <v>0</v>
      </c>
      <c r="F217" s="1186">
        <f t="shared" si="22"/>
        <v>0</v>
      </c>
      <c r="G217" s="1186" t="s">
        <v>422</v>
      </c>
      <c r="H217" s="1187">
        <v>0</v>
      </c>
      <c r="I217" s="1187">
        <v>0</v>
      </c>
      <c r="J217" s="1187">
        <v>0</v>
      </c>
      <c r="K217" s="1185">
        <v>0</v>
      </c>
      <c r="L217" s="1187">
        <v>0</v>
      </c>
      <c r="M217" s="1188">
        <f>ROUND(F217*0.014,2)</f>
        <v>0</v>
      </c>
      <c r="N217" s="1187">
        <v>0</v>
      </c>
      <c r="O217" s="1187">
        <v>0</v>
      </c>
      <c r="P217" s="1187">
        <v>0</v>
      </c>
      <c r="Q217" s="1187">
        <v>0</v>
      </c>
      <c r="R217" s="1187">
        <v>0</v>
      </c>
      <c r="S217" s="1190">
        <f t="shared" si="23"/>
        <v>0</v>
      </c>
      <c r="T217" s="1186">
        <v>6.06</v>
      </c>
      <c r="U217" s="1188" t="s">
        <v>4</v>
      </c>
    </row>
    <row r="218" spans="1:21" ht="20.100000000000001" hidden="1" customHeight="1">
      <c r="A218" s="1185">
        <v>5</v>
      </c>
      <c r="B218" s="1191" t="s">
        <v>242</v>
      </c>
      <c r="C218" s="1186">
        <f>'3.60 lakhs'!I291</f>
        <v>0</v>
      </c>
      <c r="D218" s="1186">
        <f>'3.60 lakhs'!I610</f>
        <v>0</v>
      </c>
      <c r="E218" s="1186">
        <f>'3.60 lakhs'!I847</f>
        <v>0</v>
      </c>
      <c r="F218" s="1186">
        <f t="shared" si="22"/>
        <v>0</v>
      </c>
      <c r="G218" s="1186" t="s">
        <v>422</v>
      </c>
      <c r="H218" s="1187">
        <v>0</v>
      </c>
      <c r="I218" s="1187">
        <v>0</v>
      </c>
      <c r="J218" s="1187">
        <v>0</v>
      </c>
      <c r="K218" s="1185">
        <v>0</v>
      </c>
      <c r="L218" s="1187">
        <v>0</v>
      </c>
      <c r="M218" s="1188">
        <f>ROUND(F218*0.012,2)</f>
        <v>0</v>
      </c>
      <c r="N218" s="1187">
        <v>0</v>
      </c>
      <c r="O218" s="1187">
        <v>0</v>
      </c>
      <c r="P218" s="1187">
        <v>0</v>
      </c>
      <c r="Q218" s="1187">
        <v>0</v>
      </c>
      <c r="R218" s="1187">
        <v>0</v>
      </c>
      <c r="S218" s="1190">
        <f t="shared" si="23"/>
        <v>0</v>
      </c>
      <c r="T218" s="1195">
        <v>6.7560000000000002</v>
      </c>
      <c r="U218" s="1188" t="s">
        <v>4</v>
      </c>
    </row>
    <row r="219" spans="1:21" ht="20.100000000000001" hidden="1" customHeight="1">
      <c r="A219" s="1185">
        <v>9</v>
      </c>
      <c r="B219" s="1191" t="s">
        <v>681</v>
      </c>
      <c r="C219" s="1186">
        <f>'3.60 lakhs'!I298</f>
        <v>0</v>
      </c>
      <c r="D219" s="1186">
        <f>'3.60 lakhs'!I617</f>
        <v>0</v>
      </c>
      <c r="E219" s="1186">
        <f>'3.60 lakhs'!I854</f>
        <v>0</v>
      </c>
      <c r="F219" s="1186">
        <f t="shared" si="22"/>
        <v>0</v>
      </c>
      <c r="G219" s="1186" t="s">
        <v>422</v>
      </c>
      <c r="H219" s="1187">
        <v>0</v>
      </c>
      <c r="I219" s="1187">
        <v>0</v>
      </c>
      <c r="J219" s="1187">
        <v>0</v>
      </c>
      <c r="K219" s="1185">
        <v>0</v>
      </c>
      <c r="L219" s="1187">
        <v>0</v>
      </c>
      <c r="M219" s="1188">
        <f>ROUND(F219*0.014,2)</f>
        <v>0</v>
      </c>
      <c r="N219" s="1187">
        <v>0</v>
      </c>
      <c r="O219" s="1187">
        <v>0</v>
      </c>
      <c r="P219" s="1187">
        <v>0</v>
      </c>
      <c r="Q219" s="1187">
        <v>0</v>
      </c>
      <c r="R219" s="1187">
        <v>0</v>
      </c>
      <c r="S219" s="1190">
        <f t="shared" si="23"/>
        <v>0</v>
      </c>
      <c r="T219" s="1186">
        <v>7.5</v>
      </c>
      <c r="U219" s="1188" t="s">
        <v>4</v>
      </c>
    </row>
    <row r="220" spans="1:21" ht="20.100000000000001" hidden="1" customHeight="1">
      <c r="A220" s="1185">
        <v>10</v>
      </c>
      <c r="B220" s="1191" t="s">
        <v>682</v>
      </c>
      <c r="C220" s="1186">
        <f>'3.60 lakhs'!I306</f>
        <v>0</v>
      </c>
      <c r="D220" s="1186">
        <f>'3.60 lakhs'!I624</f>
        <v>0</v>
      </c>
      <c r="E220" s="1186">
        <f>'3.60 lakhs'!I861</f>
        <v>0</v>
      </c>
      <c r="F220" s="1186">
        <f t="shared" si="22"/>
        <v>0</v>
      </c>
      <c r="G220" s="1186" t="s">
        <v>422</v>
      </c>
      <c r="H220" s="1187">
        <v>0</v>
      </c>
      <c r="I220" s="1187">
        <v>0</v>
      </c>
      <c r="J220" s="1187">
        <v>0</v>
      </c>
      <c r="K220" s="1185">
        <v>0</v>
      </c>
      <c r="L220" s="1187">
        <v>0</v>
      </c>
      <c r="M220" s="1188">
        <f>ROUND(F220*0.012,2)</f>
        <v>0</v>
      </c>
      <c r="N220" s="1187">
        <v>0</v>
      </c>
      <c r="O220" s="1187">
        <v>0</v>
      </c>
      <c r="P220" s="1187">
        <v>0</v>
      </c>
      <c r="Q220" s="1187">
        <v>0</v>
      </c>
      <c r="R220" s="1187">
        <v>0</v>
      </c>
      <c r="S220" s="1190">
        <f t="shared" si="23"/>
        <v>0</v>
      </c>
      <c r="T220" s="1195">
        <v>9.06</v>
      </c>
      <c r="U220" s="1188" t="s">
        <v>4</v>
      </c>
    </row>
    <row r="221" spans="1:21" ht="20.100000000000001" hidden="1" customHeight="1">
      <c r="A221" s="1185">
        <v>37</v>
      </c>
      <c r="B221" s="1191" t="s">
        <v>683</v>
      </c>
      <c r="C221" s="1186">
        <f>'3.60 lakhs'!I313</f>
        <v>0</v>
      </c>
      <c r="D221" s="1186">
        <f>'3.60 lakhs'!I632</f>
        <v>0</v>
      </c>
      <c r="E221" s="1186">
        <f>'3.60 lakhs'!I868</f>
        <v>0</v>
      </c>
      <c r="F221" s="1186">
        <f t="shared" si="22"/>
        <v>0</v>
      </c>
      <c r="G221" s="1186" t="s">
        <v>422</v>
      </c>
      <c r="H221" s="1187">
        <v>0</v>
      </c>
      <c r="I221" s="1187">
        <v>0</v>
      </c>
      <c r="J221" s="1187">
        <v>0</v>
      </c>
      <c r="K221" s="1185">
        <v>0</v>
      </c>
      <c r="L221" s="1187">
        <v>0</v>
      </c>
      <c r="M221" s="1188">
        <f>ROUND(F221*0.014,2)</f>
        <v>0</v>
      </c>
      <c r="N221" s="1187">
        <v>0</v>
      </c>
      <c r="O221" s="1187">
        <v>0</v>
      </c>
      <c r="P221" s="1187">
        <v>0</v>
      </c>
      <c r="Q221" s="1187">
        <v>0</v>
      </c>
      <c r="R221" s="1187">
        <v>0</v>
      </c>
      <c r="S221" s="1190">
        <f t="shared" si="23"/>
        <v>0</v>
      </c>
      <c r="T221" s="1186">
        <v>7.5</v>
      </c>
      <c r="U221" s="1188" t="s">
        <v>4</v>
      </c>
    </row>
    <row r="222" spans="1:21" ht="20.100000000000001" hidden="1" customHeight="1">
      <c r="A222" s="1185">
        <v>38</v>
      </c>
      <c r="B222" s="1191" t="s">
        <v>684</v>
      </c>
      <c r="C222" s="1186">
        <f>'3.60 lakhs'!I320</f>
        <v>0</v>
      </c>
      <c r="D222" s="1186">
        <f>'3.60 lakhs'!I639</f>
        <v>0</v>
      </c>
      <c r="E222" s="1186">
        <f>'3.60 lakhs'!I875</f>
        <v>0</v>
      </c>
      <c r="F222" s="1186">
        <f t="shared" si="22"/>
        <v>0</v>
      </c>
      <c r="G222" s="1186" t="s">
        <v>422</v>
      </c>
      <c r="H222" s="1187">
        <v>0</v>
      </c>
      <c r="I222" s="1187">
        <v>0</v>
      </c>
      <c r="J222" s="1187">
        <v>0</v>
      </c>
      <c r="K222" s="1185">
        <v>0</v>
      </c>
      <c r="L222" s="1187">
        <v>0</v>
      </c>
      <c r="M222" s="1188">
        <f>ROUND(F222*0.012,2)</f>
        <v>0</v>
      </c>
      <c r="N222" s="1187">
        <v>0</v>
      </c>
      <c r="O222" s="1187">
        <v>0</v>
      </c>
      <c r="P222" s="1187">
        <v>0</v>
      </c>
      <c r="Q222" s="1187">
        <v>0</v>
      </c>
      <c r="R222" s="1187">
        <v>0</v>
      </c>
      <c r="S222" s="1190">
        <f t="shared" si="23"/>
        <v>0</v>
      </c>
      <c r="T222" s="1195">
        <v>6.7560000000000002</v>
      </c>
      <c r="U222" s="1188" t="s">
        <v>4</v>
      </c>
    </row>
    <row r="223" spans="1:21" ht="20.100000000000001" hidden="1" customHeight="1">
      <c r="A223" s="1185">
        <v>6</v>
      </c>
      <c r="B223" s="1191" t="s">
        <v>239</v>
      </c>
      <c r="C223" s="1186">
        <f>'3.60 lakhs'!I333</f>
        <v>0</v>
      </c>
      <c r="D223" s="1186">
        <f>'3.60 lakhs'!I646</f>
        <v>0</v>
      </c>
      <c r="E223" s="1186">
        <f>'3.60 lakhs'!I882</f>
        <v>0</v>
      </c>
      <c r="F223" s="1186">
        <f t="shared" si="22"/>
        <v>0</v>
      </c>
      <c r="G223" s="1186" t="s">
        <v>422</v>
      </c>
      <c r="H223" s="1187">
        <v>0</v>
      </c>
      <c r="I223" s="1187">
        <v>0</v>
      </c>
      <c r="J223" s="1187">
        <v>0</v>
      </c>
      <c r="K223" s="1185">
        <v>0</v>
      </c>
      <c r="L223" s="1187">
        <v>0</v>
      </c>
      <c r="M223" s="1188">
        <f>ROUND(F223*0.012,2)</f>
        <v>0</v>
      </c>
      <c r="N223" s="1187">
        <v>0</v>
      </c>
      <c r="O223" s="1187">
        <v>0</v>
      </c>
      <c r="P223" s="1187">
        <v>0</v>
      </c>
      <c r="Q223" s="1187">
        <v>0</v>
      </c>
      <c r="R223" s="1187">
        <v>0</v>
      </c>
      <c r="S223" s="1190">
        <f t="shared" si="23"/>
        <v>0</v>
      </c>
      <c r="T223" s="1186">
        <v>5.46</v>
      </c>
      <c r="U223" s="1188" t="s">
        <v>4</v>
      </c>
    </row>
    <row r="224" spans="1:21" ht="20.100000000000001" hidden="1" customHeight="1">
      <c r="A224" s="1185">
        <v>7</v>
      </c>
      <c r="B224" s="1191" t="s">
        <v>240</v>
      </c>
      <c r="C224" s="1186">
        <f>'3.60 lakhs'!I341</f>
        <v>0</v>
      </c>
      <c r="D224" s="1186">
        <f>'3.60 lakhs'!I653</f>
        <v>0</v>
      </c>
      <c r="E224" s="1186">
        <f>'3.60 lakhs'!I888</f>
        <v>0</v>
      </c>
      <c r="F224" s="1186">
        <f t="shared" si="22"/>
        <v>0</v>
      </c>
      <c r="G224" s="1186" t="s">
        <v>422</v>
      </c>
      <c r="H224" s="1187">
        <v>0</v>
      </c>
      <c r="I224" s="1187">
        <v>0</v>
      </c>
      <c r="J224" s="1187">
        <v>0</v>
      </c>
      <c r="K224" s="1185">
        <v>0</v>
      </c>
      <c r="L224" s="1187">
        <v>0</v>
      </c>
      <c r="M224" s="1188">
        <f>ROUND(F224*0.012,2)</f>
        <v>0</v>
      </c>
      <c r="N224" s="1187">
        <v>0</v>
      </c>
      <c r="O224" s="1187">
        <v>0</v>
      </c>
      <c r="P224" s="1187">
        <v>0</v>
      </c>
      <c r="Q224" s="1187">
        <v>0</v>
      </c>
      <c r="R224" s="1187">
        <v>0</v>
      </c>
      <c r="S224" s="1190">
        <f t="shared" si="23"/>
        <v>0</v>
      </c>
      <c r="T224" s="1186">
        <v>9.06</v>
      </c>
      <c r="U224" s="1188" t="s">
        <v>4</v>
      </c>
    </row>
    <row r="225" spans="1:21" ht="20.100000000000001" hidden="1" customHeight="1">
      <c r="A225" s="1185">
        <v>22</v>
      </c>
      <c r="B225" s="1191" t="s">
        <v>1216</v>
      </c>
      <c r="C225" s="1186">
        <f>'3.60 lakhs'!I348</f>
        <v>0</v>
      </c>
      <c r="D225" s="1186">
        <f>'3.60 lakhs'!I661</f>
        <v>0</v>
      </c>
      <c r="E225" s="1186">
        <f>'3.60 lakhs'!I894</f>
        <v>0</v>
      </c>
      <c r="F225" s="1186">
        <f t="shared" si="22"/>
        <v>0</v>
      </c>
      <c r="G225" s="1186" t="s">
        <v>422</v>
      </c>
      <c r="H225" s="1187">
        <v>0</v>
      </c>
      <c r="I225" s="1187">
        <v>0</v>
      </c>
      <c r="J225" s="1187">
        <v>0</v>
      </c>
      <c r="K225" s="1185">
        <v>0</v>
      </c>
      <c r="L225" s="1187">
        <v>0</v>
      </c>
      <c r="M225" s="1188">
        <f>ROUND(F225*0.008*1,2)</f>
        <v>0</v>
      </c>
      <c r="N225" s="1187">
        <v>0</v>
      </c>
      <c r="O225" s="1187">
        <v>0</v>
      </c>
      <c r="P225" s="1187">
        <v>0</v>
      </c>
      <c r="Q225" s="1187">
        <v>0</v>
      </c>
      <c r="R225" s="1187">
        <v>0</v>
      </c>
      <c r="S225" s="1190">
        <f t="shared" si="23"/>
        <v>0</v>
      </c>
      <c r="T225" s="1186">
        <v>2.76</v>
      </c>
      <c r="U225" s="1188" t="s">
        <v>4</v>
      </c>
    </row>
    <row r="226" spans="1:21" ht="20.100000000000001" hidden="1" customHeight="1">
      <c r="A226" s="1185">
        <v>5</v>
      </c>
      <c r="B226" s="1163" t="s">
        <v>2279</v>
      </c>
      <c r="C226" s="1186">
        <f>'3.60 lakhs'!I362</f>
        <v>0</v>
      </c>
      <c r="D226" s="1186"/>
      <c r="E226" s="1186"/>
      <c r="F226" s="1186">
        <f t="shared" si="22"/>
        <v>0</v>
      </c>
      <c r="G226" s="1186" t="s">
        <v>421</v>
      </c>
      <c r="H226" s="1187">
        <v>0</v>
      </c>
      <c r="I226" s="1188">
        <f>ROUND(F226*0.017,2)</f>
        <v>0</v>
      </c>
      <c r="J226" s="1187">
        <v>0</v>
      </c>
      <c r="K226" s="1185">
        <v>0</v>
      </c>
      <c r="L226" s="1188">
        <f>ROUND(F226*0.009,2)</f>
        <v>0</v>
      </c>
      <c r="M226" s="1185">
        <v>0</v>
      </c>
      <c r="N226" s="1185">
        <v>0</v>
      </c>
      <c r="O226" s="1187">
        <v>0</v>
      </c>
      <c r="P226" s="1187">
        <v>0</v>
      </c>
      <c r="Q226" s="1187">
        <v>0</v>
      </c>
      <c r="R226" s="1187">
        <v>0</v>
      </c>
      <c r="S226" s="1190">
        <f t="shared" si="23"/>
        <v>0</v>
      </c>
      <c r="T226" s="1186">
        <v>12</v>
      </c>
      <c r="U226" s="1188" t="s">
        <v>4</v>
      </c>
    </row>
    <row r="227" spans="1:21" ht="18" hidden="1" customHeight="1">
      <c r="A227" s="1185"/>
      <c r="B227" s="1191"/>
      <c r="C227" s="1191"/>
      <c r="D227" s="1191"/>
      <c r="E227" s="1191"/>
      <c r="F227" s="1186"/>
      <c r="G227" s="1186"/>
      <c r="H227" s="1188"/>
      <c r="I227" s="1188"/>
      <c r="J227" s="1188"/>
      <c r="K227" s="1188"/>
      <c r="L227" s="1188"/>
      <c r="M227" s="1188"/>
      <c r="N227" s="1187"/>
      <c r="O227" s="1188"/>
      <c r="P227" s="1188"/>
      <c r="Q227" s="1187"/>
      <c r="R227" s="1188"/>
      <c r="S227" s="1188"/>
      <c r="T227" s="1186"/>
      <c r="U227" s="1188"/>
    </row>
    <row r="228" spans="1:21" hidden="1">
      <c r="A228" s="1163"/>
      <c r="B228" s="1192" t="s">
        <v>103</v>
      </c>
      <c r="C228" s="1163"/>
      <c r="D228" s="1163"/>
      <c r="E228" s="1163"/>
      <c r="F228" s="1181">
        <v>1</v>
      </c>
      <c r="G228" s="1163"/>
      <c r="H228" s="1193">
        <f t="shared" ref="H228:S228" si="26">SUM(H185:H227)</f>
        <v>0</v>
      </c>
      <c r="I228" s="1193">
        <f t="shared" si="26"/>
        <v>0</v>
      </c>
      <c r="J228" s="1193">
        <f t="shared" si="26"/>
        <v>0</v>
      </c>
      <c r="K228" s="1193">
        <f t="shared" si="26"/>
        <v>0</v>
      </c>
      <c r="L228" s="1193">
        <f t="shared" si="26"/>
        <v>0</v>
      </c>
      <c r="M228" s="1193">
        <f t="shared" si="26"/>
        <v>0</v>
      </c>
      <c r="N228" s="1193">
        <f t="shared" si="26"/>
        <v>0</v>
      </c>
      <c r="O228" s="1193">
        <f t="shared" si="26"/>
        <v>0</v>
      </c>
      <c r="P228" s="1193">
        <f t="shared" si="26"/>
        <v>0</v>
      </c>
      <c r="Q228" s="1193">
        <f t="shared" si="26"/>
        <v>0</v>
      </c>
      <c r="R228" s="1193">
        <f t="shared" si="26"/>
        <v>0</v>
      </c>
      <c r="S228" s="1193">
        <f t="shared" si="26"/>
        <v>0</v>
      </c>
      <c r="T228" s="1194" t="s">
        <v>142</v>
      </c>
      <c r="U228" s="1163"/>
    </row>
    <row r="229" spans="1:21">
      <c r="A229" s="1163"/>
      <c r="B229" s="1192" t="s">
        <v>2323</v>
      </c>
      <c r="C229" s="1163"/>
      <c r="D229" s="1163"/>
      <c r="E229" s="1163"/>
      <c r="F229" s="1181">
        <v>1</v>
      </c>
      <c r="G229" s="1163"/>
      <c r="H229" s="1193">
        <f t="shared" ref="H229:S229" si="27">H48+H93+H138+H183+H228</f>
        <v>19.829999999999998</v>
      </c>
      <c r="I229" s="1193">
        <f t="shared" si="27"/>
        <v>39.090000000000003</v>
      </c>
      <c r="J229" s="1193">
        <f t="shared" si="27"/>
        <v>0</v>
      </c>
      <c r="K229" s="1193">
        <f t="shared" si="27"/>
        <v>0</v>
      </c>
      <c r="L229" s="1193">
        <f t="shared" si="27"/>
        <v>29.45</v>
      </c>
      <c r="M229" s="1193">
        <f t="shared" si="27"/>
        <v>10.9</v>
      </c>
      <c r="N229" s="1193">
        <f t="shared" si="27"/>
        <v>10.84</v>
      </c>
      <c r="O229" s="1193">
        <f t="shared" si="27"/>
        <v>99.320000000000007</v>
      </c>
      <c r="P229" s="1193">
        <f t="shared" si="27"/>
        <v>13.280000000000001</v>
      </c>
      <c r="Q229" s="1193">
        <f t="shared" si="27"/>
        <v>23</v>
      </c>
      <c r="R229" s="1193">
        <f t="shared" si="27"/>
        <v>0</v>
      </c>
      <c r="S229" s="1193">
        <f t="shared" si="27"/>
        <v>544.25</v>
      </c>
      <c r="T229" s="1194"/>
      <c r="U229" s="1163"/>
    </row>
    <row r="230" spans="1:21" ht="27.75">
      <c r="A230" s="1163"/>
      <c r="B230" s="1163"/>
      <c r="C230" s="1163"/>
      <c r="D230" s="1163"/>
      <c r="E230" s="1163"/>
      <c r="F230" s="1192" t="s">
        <v>423</v>
      </c>
      <c r="G230" s="1163"/>
      <c r="H230" s="1196">
        <v>90</v>
      </c>
      <c r="I230" s="1196">
        <v>90</v>
      </c>
      <c r="J230" s="1196">
        <v>90</v>
      </c>
      <c r="K230" s="1196">
        <v>90</v>
      </c>
      <c r="L230" s="1196">
        <v>100</v>
      </c>
      <c r="M230" s="1196">
        <v>100</v>
      </c>
      <c r="N230" s="1196">
        <v>100</v>
      </c>
      <c r="O230" s="1196">
        <v>100</v>
      </c>
      <c r="P230" s="1196">
        <v>45</v>
      </c>
      <c r="Q230" s="1196">
        <v>80</v>
      </c>
      <c r="R230" s="1196">
        <v>45</v>
      </c>
      <c r="S230" s="1197">
        <f>ROUND((S229*50)/1000,2)</f>
        <v>27.21</v>
      </c>
      <c r="T230" s="1194" t="s">
        <v>29</v>
      </c>
      <c r="U230" s="1163"/>
    </row>
    <row r="231" spans="1:21" ht="20.100000000000001" customHeight="1">
      <c r="A231" s="1163"/>
      <c r="B231" s="1163"/>
      <c r="C231" s="1163"/>
      <c r="D231" s="1163"/>
      <c r="E231" s="1163"/>
      <c r="F231" s="1163"/>
      <c r="G231" s="1192" t="s">
        <v>104</v>
      </c>
      <c r="H231" s="1198">
        <f t="shared" ref="H231:R231" si="28">ROUND(H229*H230,0)</f>
        <v>1785</v>
      </c>
      <c r="I231" s="1198">
        <f t="shared" si="28"/>
        <v>3518</v>
      </c>
      <c r="J231" s="1198">
        <f t="shared" si="28"/>
        <v>0</v>
      </c>
      <c r="K231" s="1198">
        <f t="shared" si="28"/>
        <v>0</v>
      </c>
      <c r="L231" s="1198">
        <f t="shared" si="28"/>
        <v>2945</v>
      </c>
      <c r="M231" s="1198">
        <f t="shared" si="28"/>
        <v>1090</v>
      </c>
      <c r="N231" s="1198">
        <f t="shared" si="28"/>
        <v>1084</v>
      </c>
      <c r="O231" s="1198">
        <f t="shared" si="28"/>
        <v>9932</v>
      </c>
      <c r="P231" s="1198">
        <f t="shared" si="28"/>
        <v>598</v>
      </c>
      <c r="Q231" s="1198">
        <f t="shared" si="28"/>
        <v>1840</v>
      </c>
      <c r="R231" s="1198">
        <f t="shared" si="28"/>
        <v>0</v>
      </c>
      <c r="S231" s="1197"/>
      <c r="T231" s="1194"/>
      <c r="U231" s="1163"/>
    </row>
    <row r="232" spans="1:21">
      <c r="A232" s="1163"/>
      <c r="B232" s="1163"/>
      <c r="C232" s="1163"/>
      <c r="D232" s="1163"/>
      <c r="E232" s="1163"/>
      <c r="F232" s="1194" t="s">
        <v>140</v>
      </c>
      <c r="G232" s="1199" t="s">
        <v>104</v>
      </c>
      <c r="H232" s="1200">
        <f>SUM(H231:R231)</f>
        <v>22792</v>
      </c>
      <c r="I232" s="1200"/>
      <c r="J232" s="1200"/>
      <c r="K232" s="1200"/>
      <c r="L232" s="1163"/>
      <c r="M232" s="1163"/>
      <c r="N232" s="1163"/>
      <c r="O232" s="1163"/>
      <c r="P232" s="1163"/>
      <c r="Q232" s="1163"/>
      <c r="R232" s="1163"/>
      <c r="S232" s="1201"/>
      <c r="T232" s="1202"/>
      <c r="U232" s="1163"/>
    </row>
    <row r="235" spans="1:21">
      <c r="N235" s="1203"/>
      <c r="O235" s="1203"/>
      <c r="P235" s="1203"/>
      <c r="Q235" s="1203"/>
      <c r="R235" s="1203"/>
      <c r="S235" s="1203"/>
      <c r="T235" s="1203"/>
      <c r="U235" s="1203"/>
    </row>
    <row r="236" spans="1:21">
      <c r="M236" s="1204" t="str">
        <f>'lead 19-20'!$H$31</f>
        <v>Deputy Executive Engineer</v>
      </c>
      <c r="R236" s="1204" t="str">
        <f>'lead 19-20'!$K$31</f>
        <v>Assistant  Engineer</v>
      </c>
    </row>
    <row r="237" spans="1:21">
      <c r="M237" s="1204" t="str">
        <f>'lead 19-20'!$H$32</f>
        <v>PRI Sub Division</v>
      </c>
      <c r="N237" s="1203"/>
      <c r="O237" s="1203"/>
      <c r="P237" s="1203"/>
      <c r="Q237" s="1203"/>
      <c r="R237" s="1204" t="str">
        <f>'lead 19-20'!$K$32</f>
        <v>Mandal Praja parishad</v>
      </c>
      <c r="S237" s="1203"/>
      <c r="T237" s="1203"/>
      <c r="U237" s="1203"/>
    </row>
    <row r="238" spans="1:21">
      <c r="M238" s="1204" t="str">
        <f>'lead 19-20'!$H$33</f>
        <v>Kanigiri</v>
      </c>
      <c r="N238" s="1203"/>
      <c r="O238" s="1203"/>
      <c r="P238" s="1203"/>
      <c r="Q238" s="1203"/>
      <c r="R238" s="1204" t="str">
        <f>'lead 19-20'!$K$33</f>
        <v>Kanigiri</v>
      </c>
      <c r="S238" s="1203"/>
      <c r="T238" s="1203"/>
      <c r="U238" s="1203"/>
    </row>
    <row r="676" spans="16:16">
      <c r="P676" s="1173" t="s">
        <v>0</v>
      </c>
    </row>
  </sheetData>
  <autoFilter ref="A3:U229">
    <filterColumn colId="5" showButton="0">
      <customFilters>
        <customFilter operator="notEqual" val=" "/>
      </customFilters>
    </filterColumn>
  </autoFilter>
  <mergeCells count="2">
    <mergeCell ref="A1:U1"/>
    <mergeCell ref="F3:G3"/>
  </mergeCells>
  <printOptions horizontalCentered="1"/>
  <pageMargins left="0.5" right="0.21" top="0.22" bottom="0.23" header="0.22" footer="0.16"/>
  <pageSetup paperSize="9" scale="90" orientation="landscape" r:id="rId1"/>
  <rowBreaks count="1" manualBreakCount="1">
    <brk id="40" max="20" man="1"/>
  </rowBreaks>
</worksheet>
</file>

<file path=xl/worksheets/sheet16.xml><?xml version="1.0" encoding="utf-8"?>
<worksheet xmlns="http://schemas.openxmlformats.org/spreadsheetml/2006/main" xmlns:r="http://schemas.openxmlformats.org/officeDocument/2006/relationships">
  <sheetPr>
    <tabColor rgb="FFFFFF00"/>
  </sheetPr>
  <dimension ref="A1:I215"/>
  <sheetViews>
    <sheetView defaultGridColor="0" view="pageBreakPreview" topLeftCell="A111" colorId="22" zoomScale="115" zoomScaleSheetLayoutView="115" workbookViewId="0">
      <selection activeCell="B108" sqref="B108"/>
    </sheetView>
  </sheetViews>
  <sheetFormatPr defaultRowHeight="12.75"/>
  <cols>
    <col min="1" max="1" width="6.5703125" style="61" customWidth="1"/>
    <col min="2" max="2" width="32.7109375" style="61" customWidth="1"/>
    <col min="3" max="4" width="14.5703125" style="80" customWidth="1"/>
    <col min="5" max="5" width="13.28515625" style="61" customWidth="1"/>
    <col min="6" max="6" width="14.7109375" style="61" customWidth="1"/>
    <col min="7" max="7" width="9.140625" style="61"/>
    <col min="8" max="8" width="10.140625" style="61" bestFit="1" customWidth="1"/>
    <col min="9" max="9" width="9.5703125" style="61" bestFit="1" customWidth="1"/>
    <col min="10" max="250" width="9.140625" style="61"/>
    <col min="251" max="251" width="5" style="61" customWidth="1"/>
    <col min="252" max="252" width="21.85546875" style="61" customWidth="1"/>
    <col min="253" max="253" width="6.7109375" style="61" customWidth="1"/>
    <col min="254" max="254" width="9.5703125" style="61" customWidth="1"/>
    <col min="255" max="255" width="3.7109375" style="61" customWidth="1"/>
    <col min="256" max="256" width="18" style="61" customWidth="1"/>
    <col min="257" max="257" width="3.5703125" style="61" customWidth="1"/>
    <col min="258" max="258" width="11.7109375" style="61" customWidth="1"/>
    <col min="259" max="259" width="10.7109375" style="61" customWidth="1"/>
    <col min="260" max="260" width="11.140625" style="61" customWidth="1"/>
    <col min="261" max="261" width="10.5703125" style="61" customWidth="1"/>
    <col min="262" max="262" width="9.7109375" style="61" bestFit="1" customWidth="1"/>
    <col min="263" max="506" width="9.140625" style="61"/>
    <col min="507" max="507" width="5" style="61" customWidth="1"/>
    <col min="508" max="508" width="21.85546875" style="61" customWidth="1"/>
    <col min="509" max="509" width="6.7109375" style="61" customWidth="1"/>
    <col min="510" max="510" width="9.5703125" style="61" customWidth="1"/>
    <col min="511" max="511" width="3.7109375" style="61" customWidth="1"/>
    <col min="512" max="512" width="18" style="61" customWidth="1"/>
    <col min="513" max="513" width="3.5703125" style="61" customWidth="1"/>
    <col min="514" max="514" width="11.7109375" style="61" customWidth="1"/>
    <col min="515" max="515" width="10.7109375" style="61" customWidth="1"/>
    <col min="516" max="516" width="11.140625" style="61" customWidth="1"/>
    <col min="517" max="517" width="10.5703125" style="61" customWidth="1"/>
    <col min="518" max="518" width="9.7109375" style="61" bestFit="1" customWidth="1"/>
    <col min="519" max="762" width="9.140625" style="61"/>
    <col min="763" max="763" width="5" style="61" customWidth="1"/>
    <col min="764" max="764" width="21.85546875" style="61" customWidth="1"/>
    <col min="765" max="765" width="6.7109375" style="61" customWidth="1"/>
    <col min="766" max="766" width="9.5703125" style="61" customWidth="1"/>
    <col min="767" max="767" width="3.7109375" style="61" customWidth="1"/>
    <col min="768" max="768" width="18" style="61" customWidth="1"/>
    <col min="769" max="769" width="3.5703125" style="61" customWidth="1"/>
    <col min="770" max="770" width="11.7109375" style="61" customWidth="1"/>
    <col min="771" max="771" width="10.7109375" style="61" customWidth="1"/>
    <col min="772" max="772" width="11.140625" style="61" customWidth="1"/>
    <col min="773" max="773" width="10.5703125" style="61" customWidth="1"/>
    <col min="774" max="774" width="9.7109375" style="61" bestFit="1" customWidth="1"/>
    <col min="775" max="1018" width="9.140625" style="61"/>
    <col min="1019" max="1019" width="5" style="61" customWidth="1"/>
    <col min="1020" max="1020" width="21.85546875" style="61" customWidth="1"/>
    <col min="1021" max="1021" width="6.7109375" style="61" customWidth="1"/>
    <col min="1022" max="1022" width="9.5703125" style="61" customWidth="1"/>
    <col min="1023" max="1023" width="3.7109375" style="61" customWidth="1"/>
    <col min="1024" max="1024" width="18" style="61" customWidth="1"/>
    <col min="1025" max="1025" width="3.5703125" style="61" customWidth="1"/>
    <col min="1026" max="1026" width="11.7109375" style="61" customWidth="1"/>
    <col min="1027" max="1027" width="10.7109375" style="61" customWidth="1"/>
    <col min="1028" max="1028" width="11.140625" style="61" customWidth="1"/>
    <col min="1029" max="1029" width="10.5703125" style="61" customWidth="1"/>
    <col min="1030" max="1030" width="9.7109375" style="61" bestFit="1" customWidth="1"/>
    <col min="1031" max="1274" width="9.140625" style="61"/>
    <col min="1275" max="1275" width="5" style="61" customWidth="1"/>
    <col min="1276" max="1276" width="21.85546875" style="61" customWidth="1"/>
    <col min="1277" max="1277" width="6.7109375" style="61" customWidth="1"/>
    <col min="1278" max="1278" width="9.5703125" style="61" customWidth="1"/>
    <col min="1279" max="1279" width="3.7109375" style="61" customWidth="1"/>
    <col min="1280" max="1280" width="18" style="61" customWidth="1"/>
    <col min="1281" max="1281" width="3.5703125" style="61" customWidth="1"/>
    <col min="1282" max="1282" width="11.7109375" style="61" customWidth="1"/>
    <col min="1283" max="1283" width="10.7109375" style="61" customWidth="1"/>
    <col min="1284" max="1284" width="11.140625" style="61" customWidth="1"/>
    <col min="1285" max="1285" width="10.5703125" style="61" customWidth="1"/>
    <col min="1286" max="1286" width="9.7109375" style="61" bestFit="1" customWidth="1"/>
    <col min="1287" max="1530" width="9.140625" style="61"/>
    <col min="1531" max="1531" width="5" style="61" customWidth="1"/>
    <col min="1532" max="1532" width="21.85546875" style="61" customWidth="1"/>
    <col min="1533" max="1533" width="6.7109375" style="61" customWidth="1"/>
    <col min="1534" max="1534" width="9.5703125" style="61" customWidth="1"/>
    <col min="1535" max="1535" width="3.7109375" style="61" customWidth="1"/>
    <col min="1536" max="1536" width="18" style="61" customWidth="1"/>
    <col min="1537" max="1537" width="3.5703125" style="61" customWidth="1"/>
    <col min="1538" max="1538" width="11.7109375" style="61" customWidth="1"/>
    <col min="1539" max="1539" width="10.7109375" style="61" customWidth="1"/>
    <col min="1540" max="1540" width="11.140625" style="61" customWidth="1"/>
    <col min="1541" max="1541" width="10.5703125" style="61" customWidth="1"/>
    <col min="1542" max="1542" width="9.7109375" style="61" bestFit="1" customWidth="1"/>
    <col min="1543" max="1786" width="9.140625" style="61"/>
    <col min="1787" max="1787" width="5" style="61" customWidth="1"/>
    <col min="1788" max="1788" width="21.85546875" style="61" customWidth="1"/>
    <col min="1789" max="1789" width="6.7109375" style="61" customWidth="1"/>
    <col min="1790" max="1790" width="9.5703125" style="61" customWidth="1"/>
    <col min="1791" max="1791" width="3.7109375" style="61" customWidth="1"/>
    <col min="1792" max="1792" width="18" style="61" customWidth="1"/>
    <col min="1793" max="1793" width="3.5703125" style="61" customWidth="1"/>
    <col min="1794" max="1794" width="11.7109375" style="61" customWidth="1"/>
    <col min="1795" max="1795" width="10.7109375" style="61" customWidth="1"/>
    <col min="1796" max="1796" width="11.140625" style="61" customWidth="1"/>
    <col min="1797" max="1797" width="10.5703125" style="61" customWidth="1"/>
    <col min="1798" max="1798" width="9.7109375" style="61" bestFit="1" customWidth="1"/>
    <col min="1799" max="2042" width="9.140625" style="61"/>
    <col min="2043" max="2043" width="5" style="61" customWidth="1"/>
    <col min="2044" max="2044" width="21.85546875" style="61" customWidth="1"/>
    <col min="2045" max="2045" width="6.7109375" style="61" customWidth="1"/>
    <col min="2046" max="2046" width="9.5703125" style="61" customWidth="1"/>
    <col min="2047" max="2047" width="3.7109375" style="61" customWidth="1"/>
    <col min="2048" max="2048" width="18" style="61" customWidth="1"/>
    <col min="2049" max="2049" width="3.5703125" style="61" customWidth="1"/>
    <col min="2050" max="2050" width="11.7109375" style="61" customWidth="1"/>
    <col min="2051" max="2051" width="10.7109375" style="61" customWidth="1"/>
    <col min="2052" max="2052" width="11.140625" style="61" customWidth="1"/>
    <col min="2053" max="2053" width="10.5703125" style="61" customWidth="1"/>
    <col min="2054" max="2054" width="9.7109375" style="61" bestFit="1" customWidth="1"/>
    <col min="2055" max="2298" width="9.140625" style="61"/>
    <col min="2299" max="2299" width="5" style="61" customWidth="1"/>
    <col min="2300" max="2300" width="21.85546875" style="61" customWidth="1"/>
    <col min="2301" max="2301" width="6.7109375" style="61" customWidth="1"/>
    <col min="2302" max="2302" width="9.5703125" style="61" customWidth="1"/>
    <col min="2303" max="2303" width="3.7109375" style="61" customWidth="1"/>
    <col min="2304" max="2304" width="18" style="61" customWidth="1"/>
    <col min="2305" max="2305" width="3.5703125" style="61" customWidth="1"/>
    <col min="2306" max="2306" width="11.7109375" style="61" customWidth="1"/>
    <col min="2307" max="2307" width="10.7109375" style="61" customWidth="1"/>
    <col min="2308" max="2308" width="11.140625" style="61" customWidth="1"/>
    <col min="2309" max="2309" width="10.5703125" style="61" customWidth="1"/>
    <col min="2310" max="2310" width="9.7109375" style="61" bestFit="1" customWidth="1"/>
    <col min="2311" max="2554" width="9.140625" style="61"/>
    <col min="2555" max="2555" width="5" style="61" customWidth="1"/>
    <col min="2556" max="2556" width="21.85546875" style="61" customWidth="1"/>
    <col min="2557" max="2557" width="6.7109375" style="61" customWidth="1"/>
    <col min="2558" max="2558" width="9.5703125" style="61" customWidth="1"/>
    <col min="2559" max="2559" width="3.7109375" style="61" customWidth="1"/>
    <col min="2560" max="2560" width="18" style="61" customWidth="1"/>
    <col min="2561" max="2561" width="3.5703125" style="61" customWidth="1"/>
    <col min="2562" max="2562" width="11.7109375" style="61" customWidth="1"/>
    <col min="2563" max="2563" width="10.7109375" style="61" customWidth="1"/>
    <col min="2564" max="2564" width="11.140625" style="61" customWidth="1"/>
    <col min="2565" max="2565" width="10.5703125" style="61" customWidth="1"/>
    <col min="2566" max="2566" width="9.7109375" style="61" bestFit="1" customWidth="1"/>
    <col min="2567" max="2810" width="9.140625" style="61"/>
    <col min="2811" max="2811" width="5" style="61" customWidth="1"/>
    <col min="2812" max="2812" width="21.85546875" style="61" customWidth="1"/>
    <col min="2813" max="2813" width="6.7109375" style="61" customWidth="1"/>
    <col min="2814" max="2814" width="9.5703125" style="61" customWidth="1"/>
    <col min="2815" max="2815" width="3.7109375" style="61" customWidth="1"/>
    <col min="2816" max="2816" width="18" style="61" customWidth="1"/>
    <col min="2817" max="2817" width="3.5703125" style="61" customWidth="1"/>
    <col min="2818" max="2818" width="11.7109375" style="61" customWidth="1"/>
    <col min="2819" max="2819" width="10.7109375" style="61" customWidth="1"/>
    <col min="2820" max="2820" width="11.140625" style="61" customWidth="1"/>
    <col min="2821" max="2821" width="10.5703125" style="61" customWidth="1"/>
    <col min="2822" max="2822" width="9.7109375" style="61" bestFit="1" customWidth="1"/>
    <col min="2823" max="3066" width="9.140625" style="61"/>
    <col min="3067" max="3067" width="5" style="61" customWidth="1"/>
    <col min="3068" max="3068" width="21.85546875" style="61" customWidth="1"/>
    <col min="3069" max="3069" width="6.7109375" style="61" customWidth="1"/>
    <col min="3070" max="3070" width="9.5703125" style="61" customWidth="1"/>
    <col min="3071" max="3071" width="3.7109375" style="61" customWidth="1"/>
    <col min="3072" max="3072" width="18" style="61" customWidth="1"/>
    <col min="3073" max="3073" width="3.5703125" style="61" customWidth="1"/>
    <col min="3074" max="3074" width="11.7109375" style="61" customWidth="1"/>
    <col min="3075" max="3075" width="10.7109375" style="61" customWidth="1"/>
    <col min="3076" max="3076" width="11.140625" style="61" customWidth="1"/>
    <col min="3077" max="3077" width="10.5703125" style="61" customWidth="1"/>
    <col min="3078" max="3078" width="9.7109375" style="61" bestFit="1" customWidth="1"/>
    <col min="3079" max="3322" width="9.140625" style="61"/>
    <col min="3323" max="3323" width="5" style="61" customWidth="1"/>
    <col min="3324" max="3324" width="21.85546875" style="61" customWidth="1"/>
    <col min="3325" max="3325" width="6.7109375" style="61" customWidth="1"/>
    <col min="3326" max="3326" width="9.5703125" style="61" customWidth="1"/>
    <col min="3327" max="3327" width="3.7109375" style="61" customWidth="1"/>
    <col min="3328" max="3328" width="18" style="61" customWidth="1"/>
    <col min="3329" max="3329" width="3.5703125" style="61" customWidth="1"/>
    <col min="3330" max="3330" width="11.7109375" style="61" customWidth="1"/>
    <col min="3331" max="3331" width="10.7109375" style="61" customWidth="1"/>
    <col min="3332" max="3332" width="11.140625" style="61" customWidth="1"/>
    <col min="3333" max="3333" width="10.5703125" style="61" customWidth="1"/>
    <col min="3334" max="3334" width="9.7109375" style="61" bestFit="1" customWidth="1"/>
    <col min="3335" max="3578" width="9.140625" style="61"/>
    <col min="3579" max="3579" width="5" style="61" customWidth="1"/>
    <col min="3580" max="3580" width="21.85546875" style="61" customWidth="1"/>
    <col min="3581" max="3581" width="6.7109375" style="61" customWidth="1"/>
    <col min="3582" max="3582" width="9.5703125" style="61" customWidth="1"/>
    <col min="3583" max="3583" width="3.7109375" style="61" customWidth="1"/>
    <col min="3584" max="3584" width="18" style="61" customWidth="1"/>
    <col min="3585" max="3585" width="3.5703125" style="61" customWidth="1"/>
    <col min="3586" max="3586" width="11.7109375" style="61" customWidth="1"/>
    <col min="3587" max="3587" width="10.7109375" style="61" customWidth="1"/>
    <col min="3588" max="3588" width="11.140625" style="61" customWidth="1"/>
    <col min="3589" max="3589" width="10.5703125" style="61" customWidth="1"/>
    <col min="3590" max="3590" width="9.7109375" style="61" bestFit="1" customWidth="1"/>
    <col min="3591" max="3834" width="9.140625" style="61"/>
    <col min="3835" max="3835" width="5" style="61" customWidth="1"/>
    <col min="3836" max="3836" width="21.85546875" style="61" customWidth="1"/>
    <col min="3837" max="3837" width="6.7109375" style="61" customWidth="1"/>
    <col min="3838" max="3838" width="9.5703125" style="61" customWidth="1"/>
    <col min="3839" max="3839" width="3.7109375" style="61" customWidth="1"/>
    <col min="3840" max="3840" width="18" style="61" customWidth="1"/>
    <col min="3841" max="3841" width="3.5703125" style="61" customWidth="1"/>
    <col min="3842" max="3842" width="11.7109375" style="61" customWidth="1"/>
    <col min="3843" max="3843" width="10.7109375" style="61" customWidth="1"/>
    <col min="3844" max="3844" width="11.140625" style="61" customWidth="1"/>
    <col min="3845" max="3845" width="10.5703125" style="61" customWidth="1"/>
    <col min="3846" max="3846" width="9.7109375" style="61" bestFit="1" customWidth="1"/>
    <col min="3847" max="4090" width="9.140625" style="61"/>
    <col min="4091" max="4091" width="5" style="61" customWidth="1"/>
    <col min="4092" max="4092" width="21.85546875" style="61" customWidth="1"/>
    <col min="4093" max="4093" width="6.7109375" style="61" customWidth="1"/>
    <col min="4094" max="4094" width="9.5703125" style="61" customWidth="1"/>
    <col min="4095" max="4095" width="3.7109375" style="61" customWidth="1"/>
    <col min="4096" max="4096" width="18" style="61" customWidth="1"/>
    <col min="4097" max="4097" width="3.5703125" style="61" customWidth="1"/>
    <col min="4098" max="4098" width="11.7109375" style="61" customWidth="1"/>
    <col min="4099" max="4099" width="10.7109375" style="61" customWidth="1"/>
    <col min="4100" max="4100" width="11.140625" style="61" customWidth="1"/>
    <col min="4101" max="4101" width="10.5703125" style="61" customWidth="1"/>
    <col min="4102" max="4102" width="9.7109375" style="61" bestFit="1" customWidth="1"/>
    <col min="4103" max="4346" width="9.140625" style="61"/>
    <col min="4347" max="4347" width="5" style="61" customWidth="1"/>
    <col min="4348" max="4348" width="21.85546875" style="61" customWidth="1"/>
    <col min="4349" max="4349" width="6.7109375" style="61" customWidth="1"/>
    <col min="4350" max="4350" width="9.5703125" style="61" customWidth="1"/>
    <col min="4351" max="4351" width="3.7109375" style="61" customWidth="1"/>
    <col min="4352" max="4352" width="18" style="61" customWidth="1"/>
    <col min="4353" max="4353" width="3.5703125" style="61" customWidth="1"/>
    <col min="4354" max="4354" width="11.7109375" style="61" customWidth="1"/>
    <col min="4355" max="4355" width="10.7109375" style="61" customWidth="1"/>
    <col min="4356" max="4356" width="11.140625" style="61" customWidth="1"/>
    <col min="4357" max="4357" width="10.5703125" style="61" customWidth="1"/>
    <col min="4358" max="4358" width="9.7109375" style="61" bestFit="1" customWidth="1"/>
    <col min="4359" max="4602" width="9.140625" style="61"/>
    <col min="4603" max="4603" width="5" style="61" customWidth="1"/>
    <col min="4604" max="4604" width="21.85546875" style="61" customWidth="1"/>
    <col min="4605" max="4605" width="6.7109375" style="61" customWidth="1"/>
    <col min="4606" max="4606" width="9.5703125" style="61" customWidth="1"/>
    <col min="4607" max="4607" width="3.7109375" style="61" customWidth="1"/>
    <col min="4608" max="4608" width="18" style="61" customWidth="1"/>
    <col min="4609" max="4609" width="3.5703125" style="61" customWidth="1"/>
    <col min="4610" max="4610" width="11.7109375" style="61" customWidth="1"/>
    <col min="4611" max="4611" width="10.7109375" style="61" customWidth="1"/>
    <col min="4612" max="4612" width="11.140625" style="61" customWidth="1"/>
    <col min="4613" max="4613" width="10.5703125" style="61" customWidth="1"/>
    <col min="4614" max="4614" width="9.7109375" style="61" bestFit="1" customWidth="1"/>
    <col min="4615" max="4858" width="9.140625" style="61"/>
    <col min="4859" max="4859" width="5" style="61" customWidth="1"/>
    <col min="4860" max="4860" width="21.85546875" style="61" customWidth="1"/>
    <col min="4861" max="4861" width="6.7109375" style="61" customWidth="1"/>
    <col min="4862" max="4862" width="9.5703125" style="61" customWidth="1"/>
    <col min="4863" max="4863" width="3.7109375" style="61" customWidth="1"/>
    <col min="4864" max="4864" width="18" style="61" customWidth="1"/>
    <col min="4865" max="4865" width="3.5703125" style="61" customWidth="1"/>
    <col min="4866" max="4866" width="11.7109375" style="61" customWidth="1"/>
    <col min="4867" max="4867" width="10.7109375" style="61" customWidth="1"/>
    <col min="4868" max="4868" width="11.140625" style="61" customWidth="1"/>
    <col min="4869" max="4869" width="10.5703125" style="61" customWidth="1"/>
    <col min="4870" max="4870" width="9.7109375" style="61" bestFit="1" customWidth="1"/>
    <col min="4871" max="5114" width="9.140625" style="61"/>
    <col min="5115" max="5115" width="5" style="61" customWidth="1"/>
    <col min="5116" max="5116" width="21.85546875" style="61" customWidth="1"/>
    <col min="5117" max="5117" width="6.7109375" style="61" customWidth="1"/>
    <col min="5118" max="5118" width="9.5703125" style="61" customWidth="1"/>
    <col min="5119" max="5119" width="3.7109375" style="61" customWidth="1"/>
    <col min="5120" max="5120" width="18" style="61" customWidth="1"/>
    <col min="5121" max="5121" width="3.5703125" style="61" customWidth="1"/>
    <col min="5122" max="5122" width="11.7109375" style="61" customWidth="1"/>
    <col min="5123" max="5123" width="10.7109375" style="61" customWidth="1"/>
    <col min="5124" max="5124" width="11.140625" style="61" customWidth="1"/>
    <col min="5125" max="5125" width="10.5703125" style="61" customWidth="1"/>
    <col min="5126" max="5126" width="9.7109375" style="61" bestFit="1" customWidth="1"/>
    <col min="5127" max="5370" width="9.140625" style="61"/>
    <col min="5371" max="5371" width="5" style="61" customWidth="1"/>
    <col min="5372" max="5372" width="21.85546875" style="61" customWidth="1"/>
    <col min="5373" max="5373" width="6.7109375" style="61" customWidth="1"/>
    <col min="5374" max="5374" width="9.5703125" style="61" customWidth="1"/>
    <col min="5375" max="5375" width="3.7109375" style="61" customWidth="1"/>
    <col min="5376" max="5376" width="18" style="61" customWidth="1"/>
    <col min="5377" max="5377" width="3.5703125" style="61" customWidth="1"/>
    <col min="5378" max="5378" width="11.7109375" style="61" customWidth="1"/>
    <col min="5379" max="5379" width="10.7109375" style="61" customWidth="1"/>
    <col min="5380" max="5380" width="11.140625" style="61" customWidth="1"/>
    <col min="5381" max="5381" width="10.5703125" style="61" customWidth="1"/>
    <col min="5382" max="5382" width="9.7109375" style="61" bestFit="1" customWidth="1"/>
    <col min="5383" max="5626" width="9.140625" style="61"/>
    <col min="5627" max="5627" width="5" style="61" customWidth="1"/>
    <col min="5628" max="5628" width="21.85546875" style="61" customWidth="1"/>
    <col min="5629" max="5629" width="6.7109375" style="61" customWidth="1"/>
    <col min="5630" max="5630" width="9.5703125" style="61" customWidth="1"/>
    <col min="5631" max="5631" width="3.7109375" style="61" customWidth="1"/>
    <col min="5632" max="5632" width="18" style="61" customWidth="1"/>
    <col min="5633" max="5633" width="3.5703125" style="61" customWidth="1"/>
    <col min="5634" max="5634" width="11.7109375" style="61" customWidth="1"/>
    <col min="5635" max="5635" width="10.7109375" style="61" customWidth="1"/>
    <col min="5636" max="5636" width="11.140625" style="61" customWidth="1"/>
    <col min="5637" max="5637" width="10.5703125" style="61" customWidth="1"/>
    <col min="5638" max="5638" width="9.7109375" style="61" bestFit="1" customWidth="1"/>
    <col min="5639" max="5882" width="9.140625" style="61"/>
    <col min="5883" max="5883" width="5" style="61" customWidth="1"/>
    <col min="5884" max="5884" width="21.85546875" style="61" customWidth="1"/>
    <col min="5885" max="5885" width="6.7109375" style="61" customWidth="1"/>
    <col min="5886" max="5886" width="9.5703125" style="61" customWidth="1"/>
    <col min="5887" max="5887" width="3.7109375" style="61" customWidth="1"/>
    <col min="5888" max="5888" width="18" style="61" customWidth="1"/>
    <col min="5889" max="5889" width="3.5703125" style="61" customWidth="1"/>
    <col min="5890" max="5890" width="11.7109375" style="61" customWidth="1"/>
    <col min="5891" max="5891" width="10.7109375" style="61" customWidth="1"/>
    <col min="5892" max="5892" width="11.140625" style="61" customWidth="1"/>
    <col min="5893" max="5893" width="10.5703125" style="61" customWidth="1"/>
    <col min="5894" max="5894" width="9.7109375" style="61" bestFit="1" customWidth="1"/>
    <col min="5895" max="6138" width="9.140625" style="61"/>
    <col min="6139" max="6139" width="5" style="61" customWidth="1"/>
    <col min="6140" max="6140" width="21.85546875" style="61" customWidth="1"/>
    <col min="6141" max="6141" width="6.7109375" style="61" customWidth="1"/>
    <col min="6142" max="6142" width="9.5703125" style="61" customWidth="1"/>
    <col min="6143" max="6143" width="3.7109375" style="61" customWidth="1"/>
    <col min="6144" max="6144" width="18" style="61" customWidth="1"/>
    <col min="6145" max="6145" width="3.5703125" style="61" customWidth="1"/>
    <col min="6146" max="6146" width="11.7109375" style="61" customWidth="1"/>
    <col min="6147" max="6147" width="10.7109375" style="61" customWidth="1"/>
    <col min="6148" max="6148" width="11.140625" style="61" customWidth="1"/>
    <col min="6149" max="6149" width="10.5703125" style="61" customWidth="1"/>
    <col min="6150" max="6150" width="9.7109375" style="61" bestFit="1" customWidth="1"/>
    <col min="6151" max="6394" width="9.140625" style="61"/>
    <col min="6395" max="6395" width="5" style="61" customWidth="1"/>
    <col min="6396" max="6396" width="21.85546875" style="61" customWidth="1"/>
    <col min="6397" max="6397" width="6.7109375" style="61" customWidth="1"/>
    <col min="6398" max="6398" width="9.5703125" style="61" customWidth="1"/>
    <col min="6399" max="6399" width="3.7109375" style="61" customWidth="1"/>
    <col min="6400" max="6400" width="18" style="61" customWidth="1"/>
    <col min="6401" max="6401" width="3.5703125" style="61" customWidth="1"/>
    <col min="6402" max="6402" width="11.7109375" style="61" customWidth="1"/>
    <col min="6403" max="6403" width="10.7109375" style="61" customWidth="1"/>
    <col min="6404" max="6404" width="11.140625" style="61" customWidth="1"/>
    <col min="6405" max="6405" width="10.5703125" style="61" customWidth="1"/>
    <col min="6406" max="6406" width="9.7109375" style="61" bestFit="1" customWidth="1"/>
    <col min="6407" max="6650" width="9.140625" style="61"/>
    <col min="6651" max="6651" width="5" style="61" customWidth="1"/>
    <col min="6652" max="6652" width="21.85546875" style="61" customWidth="1"/>
    <col min="6653" max="6653" width="6.7109375" style="61" customWidth="1"/>
    <col min="6654" max="6654" width="9.5703125" style="61" customWidth="1"/>
    <col min="6655" max="6655" width="3.7109375" style="61" customWidth="1"/>
    <col min="6656" max="6656" width="18" style="61" customWidth="1"/>
    <col min="6657" max="6657" width="3.5703125" style="61" customWidth="1"/>
    <col min="6658" max="6658" width="11.7109375" style="61" customWidth="1"/>
    <col min="6659" max="6659" width="10.7109375" style="61" customWidth="1"/>
    <col min="6660" max="6660" width="11.140625" style="61" customWidth="1"/>
    <col min="6661" max="6661" width="10.5703125" style="61" customWidth="1"/>
    <col min="6662" max="6662" width="9.7109375" style="61" bestFit="1" customWidth="1"/>
    <col min="6663" max="6906" width="9.140625" style="61"/>
    <col min="6907" max="6907" width="5" style="61" customWidth="1"/>
    <col min="6908" max="6908" width="21.85546875" style="61" customWidth="1"/>
    <col min="6909" max="6909" width="6.7109375" style="61" customWidth="1"/>
    <col min="6910" max="6910" width="9.5703125" style="61" customWidth="1"/>
    <col min="6911" max="6911" width="3.7109375" style="61" customWidth="1"/>
    <col min="6912" max="6912" width="18" style="61" customWidth="1"/>
    <col min="6913" max="6913" width="3.5703125" style="61" customWidth="1"/>
    <col min="6914" max="6914" width="11.7109375" style="61" customWidth="1"/>
    <col min="6915" max="6915" width="10.7109375" style="61" customWidth="1"/>
    <col min="6916" max="6916" width="11.140625" style="61" customWidth="1"/>
    <col min="6917" max="6917" width="10.5703125" style="61" customWidth="1"/>
    <col min="6918" max="6918" width="9.7109375" style="61" bestFit="1" customWidth="1"/>
    <col min="6919" max="7162" width="9.140625" style="61"/>
    <col min="7163" max="7163" width="5" style="61" customWidth="1"/>
    <col min="7164" max="7164" width="21.85546875" style="61" customWidth="1"/>
    <col min="7165" max="7165" width="6.7109375" style="61" customWidth="1"/>
    <col min="7166" max="7166" width="9.5703125" style="61" customWidth="1"/>
    <col min="7167" max="7167" width="3.7109375" style="61" customWidth="1"/>
    <col min="7168" max="7168" width="18" style="61" customWidth="1"/>
    <col min="7169" max="7169" width="3.5703125" style="61" customWidth="1"/>
    <col min="7170" max="7170" width="11.7109375" style="61" customWidth="1"/>
    <col min="7171" max="7171" width="10.7109375" style="61" customWidth="1"/>
    <col min="7172" max="7172" width="11.140625" style="61" customWidth="1"/>
    <col min="7173" max="7173" width="10.5703125" style="61" customWidth="1"/>
    <col min="7174" max="7174" width="9.7109375" style="61" bestFit="1" customWidth="1"/>
    <col min="7175" max="7418" width="9.140625" style="61"/>
    <col min="7419" max="7419" width="5" style="61" customWidth="1"/>
    <col min="7420" max="7420" width="21.85546875" style="61" customWidth="1"/>
    <col min="7421" max="7421" width="6.7109375" style="61" customWidth="1"/>
    <col min="7422" max="7422" width="9.5703125" style="61" customWidth="1"/>
    <col min="7423" max="7423" width="3.7109375" style="61" customWidth="1"/>
    <col min="7424" max="7424" width="18" style="61" customWidth="1"/>
    <col min="7425" max="7425" width="3.5703125" style="61" customWidth="1"/>
    <col min="7426" max="7426" width="11.7109375" style="61" customWidth="1"/>
    <col min="7427" max="7427" width="10.7109375" style="61" customWidth="1"/>
    <col min="7428" max="7428" width="11.140625" style="61" customWidth="1"/>
    <col min="7429" max="7429" width="10.5703125" style="61" customWidth="1"/>
    <col min="7430" max="7430" width="9.7109375" style="61" bestFit="1" customWidth="1"/>
    <col min="7431" max="7674" width="9.140625" style="61"/>
    <col min="7675" max="7675" width="5" style="61" customWidth="1"/>
    <col min="7676" max="7676" width="21.85546875" style="61" customWidth="1"/>
    <col min="7677" max="7677" width="6.7109375" style="61" customWidth="1"/>
    <col min="7678" max="7678" width="9.5703125" style="61" customWidth="1"/>
    <col min="7679" max="7679" width="3.7109375" style="61" customWidth="1"/>
    <col min="7680" max="7680" width="18" style="61" customWidth="1"/>
    <col min="7681" max="7681" width="3.5703125" style="61" customWidth="1"/>
    <col min="7682" max="7682" width="11.7109375" style="61" customWidth="1"/>
    <col min="7683" max="7683" width="10.7109375" style="61" customWidth="1"/>
    <col min="7684" max="7684" width="11.140625" style="61" customWidth="1"/>
    <col min="7685" max="7685" width="10.5703125" style="61" customWidth="1"/>
    <col min="7686" max="7686" width="9.7109375" style="61" bestFit="1" customWidth="1"/>
    <col min="7687" max="7930" width="9.140625" style="61"/>
    <col min="7931" max="7931" width="5" style="61" customWidth="1"/>
    <col min="7932" max="7932" width="21.85546875" style="61" customWidth="1"/>
    <col min="7933" max="7933" width="6.7109375" style="61" customWidth="1"/>
    <col min="7934" max="7934" width="9.5703125" style="61" customWidth="1"/>
    <col min="7935" max="7935" width="3.7109375" style="61" customWidth="1"/>
    <col min="7936" max="7936" width="18" style="61" customWidth="1"/>
    <col min="7937" max="7937" width="3.5703125" style="61" customWidth="1"/>
    <col min="7938" max="7938" width="11.7109375" style="61" customWidth="1"/>
    <col min="7939" max="7939" width="10.7109375" style="61" customWidth="1"/>
    <col min="7940" max="7940" width="11.140625" style="61" customWidth="1"/>
    <col min="7941" max="7941" width="10.5703125" style="61" customWidth="1"/>
    <col min="7942" max="7942" width="9.7109375" style="61" bestFit="1" customWidth="1"/>
    <col min="7943" max="8186" width="9.140625" style="61"/>
    <col min="8187" max="8187" width="5" style="61" customWidth="1"/>
    <col min="8188" max="8188" width="21.85546875" style="61" customWidth="1"/>
    <col min="8189" max="8189" width="6.7109375" style="61" customWidth="1"/>
    <col min="8190" max="8190" width="9.5703125" style="61" customWidth="1"/>
    <col min="8191" max="8191" width="3.7109375" style="61" customWidth="1"/>
    <col min="8192" max="8192" width="18" style="61" customWidth="1"/>
    <col min="8193" max="8193" width="3.5703125" style="61" customWidth="1"/>
    <col min="8194" max="8194" width="11.7109375" style="61" customWidth="1"/>
    <col min="8195" max="8195" width="10.7109375" style="61" customWidth="1"/>
    <col min="8196" max="8196" width="11.140625" style="61" customWidth="1"/>
    <col min="8197" max="8197" width="10.5703125" style="61" customWidth="1"/>
    <col min="8198" max="8198" width="9.7109375" style="61" bestFit="1" customWidth="1"/>
    <col min="8199" max="8442" width="9.140625" style="61"/>
    <col min="8443" max="8443" width="5" style="61" customWidth="1"/>
    <col min="8444" max="8444" width="21.85546875" style="61" customWidth="1"/>
    <col min="8445" max="8445" width="6.7109375" style="61" customWidth="1"/>
    <col min="8446" max="8446" width="9.5703125" style="61" customWidth="1"/>
    <col min="8447" max="8447" width="3.7109375" style="61" customWidth="1"/>
    <col min="8448" max="8448" width="18" style="61" customWidth="1"/>
    <col min="8449" max="8449" width="3.5703125" style="61" customWidth="1"/>
    <col min="8450" max="8450" width="11.7109375" style="61" customWidth="1"/>
    <col min="8451" max="8451" width="10.7109375" style="61" customWidth="1"/>
    <col min="8452" max="8452" width="11.140625" style="61" customWidth="1"/>
    <col min="8453" max="8453" width="10.5703125" style="61" customWidth="1"/>
    <col min="8454" max="8454" width="9.7109375" style="61" bestFit="1" customWidth="1"/>
    <col min="8455" max="8698" width="9.140625" style="61"/>
    <col min="8699" max="8699" width="5" style="61" customWidth="1"/>
    <col min="8700" max="8700" width="21.85546875" style="61" customWidth="1"/>
    <col min="8701" max="8701" width="6.7109375" style="61" customWidth="1"/>
    <col min="8702" max="8702" width="9.5703125" style="61" customWidth="1"/>
    <col min="8703" max="8703" width="3.7109375" style="61" customWidth="1"/>
    <col min="8704" max="8704" width="18" style="61" customWidth="1"/>
    <col min="8705" max="8705" width="3.5703125" style="61" customWidth="1"/>
    <col min="8706" max="8706" width="11.7109375" style="61" customWidth="1"/>
    <col min="8707" max="8707" width="10.7109375" style="61" customWidth="1"/>
    <col min="8708" max="8708" width="11.140625" style="61" customWidth="1"/>
    <col min="8709" max="8709" width="10.5703125" style="61" customWidth="1"/>
    <col min="8710" max="8710" width="9.7109375" style="61" bestFit="1" customWidth="1"/>
    <col min="8711" max="8954" width="9.140625" style="61"/>
    <col min="8955" max="8955" width="5" style="61" customWidth="1"/>
    <col min="8956" max="8956" width="21.85546875" style="61" customWidth="1"/>
    <col min="8957" max="8957" width="6.7109375" style="61" customWidth="1"/>
    <col min="8958" max="8958" width="9.5703125" style="61" customWidth="1"/>
    <col min="8959" max="8959" width="3.7109375" style="61" customWidth="1"/>
    <col min="8960" max="8960" width="18" style="61" customWidth="1"/>
    <col min="8961" max="8961" width="3.5703125" style="61" customWidth="1"/>
    <col min="8962" max="8962" width="11.7109375" style="61" customWidth="1"/>
    <col min="8963" max="8963" width="10.7109375" style="61" customWidth="1"/>
    <col min="8964" max="8964" width="11.140625" style="61" customWidth="1"/>
    <col min="8965" max="8965" width="10.5703125" style="61" customWidth="1"/>
    <col min="8966" max="8966" width="9.7109375" style="61" bestFit="1" customWidth="1"/>
    <col min="8967" max="9210" width="9.140625" style="61"/>
    <col min="9211" max="9211" width="5" style="61" customWidth="1"/>
    <col min="9212" max="9212" width="21.85546875" style="61" customWidth="1"/>
    <col min="9213" max="9213" width="6.7109375" style="61" customWidth="1"/>
    <col min="9214" max="9214" width="9.5703125" style="61" customWidth="1"/>
    <col min="9215" max="9215" width="3.7109375" style="61" customWidth="1"/>
    <col min="9216" max="9216" width="18" style="61" customWidth="1"/>
    <col min="9217" max="9217" width="3.5703125" style="61" customWidth="1"/>
    <col min="9218" max="9218" width="11.7109375" style="61" customWidth="1"/>
    <col min="9219" max="9219" width="10.7109375" style="61" customWidth="1"/>
    <col min="9220" max="9220" width="11.140625" style="61" customWidth="1"/>
    <col min="9221" max="9221" width="10.5703125" style="61" customWidth="1"/>
    <col min="9222" max="9222" width="9.7109375" style="61" bestFit="1" customWidth="1"/>
    <col min="9223" max="9466" width="9.140625" style="61"/>
    <col min="9467" max="9467" width="5" style="61" customWidth="1"/>
    <col min="9468" max="9468" width="21.85546875" style="61" customWidth="1"/>
    <col min="9469" max="9469" width="6.7109375" style="61" customWidth="1"/>
    <col min="9470" max="9470" width="9.5703125" style="61" customWidth="1"/>
    <col min="9471" max="9471" width="3.7109375" style="61" customWidth="1"/>
    <col min="9472" max="9472" width="18" style="61" customWidth="1"/>
    <col min="9473" max="9473" width="3.5703125" style="61" customWidth="1"/>
    <col min="9474" max="9474" width="11.7109375" style="61" customWidth="1"/>
    <col min="9475" max="9475" width="10.7109375" style="61" customWidth="1"/>
    <col min="9476" max="9476" width="11.140625" style="61" customWidth="1"/>
    <col min="9477" max="9477" width="10.5703125" style="61" customWidth="1"/>
    <col min="9478" max="9478" width="9.7109375" style="61" bestFit="1" customWidth="1"/>
    <col min="9479" max="9722" width="9.140625" style="61"/>
    <col min="9723" max="9723" width="5" style="61" customWidth="1"/>
    <col min="9724" max="9724" width="21.85546875" style="61" customWidth="1"/>
    <col min="9725" max="9725" width="6.7109375" style="61" customWidth="1"/>
    <col min="9726" max="9726" width="9.5703125" style="61" customWidth="1"/>
    <col min="9727" max="9727" width="3.7109375" style="61" customWidth="1"/>
    <col min="9728" max="9728" width="18" style="61" customWidth="1"/>
    <col min="9729" max="9729" width="3.5703125" style="61" customWidth="1"/>
    <col min="9730" max="9730" width="11.7109375" style="61" customWidth="1"/>
    <col min="9731" max="9731" width="10.7109375" style="61" customWidth="1"/>
    <col min="9732" max="9732" width="11.140625" style="61" customWidth="1"/>
    <col min="9733" max="9733" width="10.5703125" style="61" customWidth="1"/>
    <col min="9734" max="9734" width="9.7109375" style="61" bestFit="1" customWidth="1"/>
    <col min="9735" max="9978" width="9.140625" style="61"/>
    <col min="9979" max="9979" width="5" style="61" customWidth="1"/>
    <col min="9980" max="9980" width="21.85546875" style="61" customWidth="1"/>
    <col min="9981" max="9981" width="6.7109375" style="61" customWidth="1"/>
    <col min="9982" max="9982" width="9.5703125" style="61" customWidth="1"/>
    <col min="9983" max="9983" width="3.7109375" style="61" customWidth="1"/>
    <col min="9984" max="9984" width="18" style="61" customWidth="1"/>
    <col min="9985" max="9985" width="3.5703125" style="61" customWidth="1"/>
    <col min="9986" max="9986" width="11.7109375" style="61" customWidth="1"/>
    <col min="9987" max="9987" width="10.7109375" style="61" customWidth="1"/>
    <col min="9988" max="9988" width="11.140625" style="61" customWidth="1"/>
    <col min="9989" max="9989" width="10.5703125" style="61" customWidth="1"/>
    <col min="9990" max="9990" width="9.7109375" style="61" bestFit="1" customWidth="1"/>
    <col min="9991" max="10234" width="9.140625" style="61"/>
    <col min="10235" max="10235" width="5" style="61" customWidth="1"/>
    <col min="10236" max="10236" width="21.85546875" style="61" customWidth="1"/>
    <col min="10237" max="10237" width="6.7109375" style="61" customWidth="1"/>
    <col min="10238" max="10238" width="9.5703125" style="61" customWidth="1"/>
    <col min="10239" max="10239" width="3.7109375" style="61" customWidth="1"/>
    <col min="10240" max="10240" width="18" style="61" customWidth="1"/>
    <col min="10241" max="10241" width="3.5703125" style="61" customWidth="1"/>
    <col min="10242" max="10242" width="11.7109375" style="61" customWidth="1"/>
    <col min="10243" max="10243" width="10.7109375" style="61" customWidth="1"/>
    <col min="10244" max="10244" width="11.140625" style="61" customWidth="1"/>
    <col min="10245" max="10245" width="10.5703125" style="61" customWidth="1"/>
    <col min="10246" max="10246" width="9.7109375" style="61" bestFit="1" customWidth="1"/>
    <col min="10247" max="10490" width="9.140625" style="61"/>
    <col min="10491" max="10491" width="5" style="61" customWidth="1"/>
    <col min="10492" max="10492" width="21.85546875" style="61" customWidth="1"/>
    <col min="10493" max="10493" width="6.7109375" style="61" customWidth="1"/>
    <col min="10494" max="10494" width="9.5703125" style="61" customWidth="1"/>
    <col min="10495" max="10495" width="3.7109375" style="61" customWidth="1"/>
    <col min="10496" max="10496" width="18" style="61" customWidth="1"/>
    <col min="10497" max="10497" width="3.5703125" style="61" customWidth="1"/>
    <col min="10498" max="10498" width="11.7109375" style="61" customWidth="1"/>
    <col min="10499" max="10499" width="10.7109375" style="61" customWidth="1"/>
    <col min="10500" max="10500" width="11.140625" style="61" customWidth="1"/>
    <col min="10501" max="10501" width="10.5703125" style="61" customWidth="1"/>
    <col min="10502" max="10502" width="9.7109375" style="61" bestFit="1" customWidth="1"/>
    <col min="10503" max="10746" width="9.140625" style="61"/>
    <col min="10747" max="10747" width="5" style="61" customWidth="1"/>
    <col min="10748" max="10748" width="21.85546875" style="61" customWidth="1"/>
    <col min="10749" max="10749" width="6.7109375" style="61" customWidth="1"/>
    <col min="10750" max="10750" width="9.5703125" style="61" customWidth="1"/>
    <col min="10751" max="10751" width="3.7109375" style="61" customWidth="1"/>
    <col min="10752" max="10752" width="18" style="61" customWidth="1"/>
    <col min="10753" max="10753" width="3.5703125" style="61" customWidth="1"/>
    <col min="10754" max="10754" width="11.7109375" style="61" customWidth="1"/>
    <col min="10755" max="10755" width="10.7109375" style="61" customWidth="1"/>
    <col min="10756" max="10756" width="11.140625" style="61" customWidth="1"/>
    <col min="10757" max="10757" width="10.5703125" style="61" customWidth="1"/>
    <col min="10758" max="10758" width="9.7109375" style="61" bestFit="1" customWidth="1"/>
    <col min="10759" max="11002" width="9.140625" style="61"/>
    <col min="11003" max="11003" width="5" style="61" customWidth="1"/>
    <col min="11004" max="11004" width="21.85546875" style="61" customWidth="1"/>
    <col min="11005" max="11005" width="6.7109375" style="61" customWidth="1"/>
    <col min="11006" max="11006" width="9.5703125" style="61" customWidth="1"/>
    <col min="11007" max="11007" width="3.7109375" style="61" customWidth="1"/>
    <col min="11008" max="11008" width="18" style="61" customWidth="1"/>
    <col min="11009" max="11009" width="3.5703125" style="61" customWidth="1"/>
    <col min="11010" max="11010" width="11.7109375" style="61" customWidth="1"/>
    <col min="11011" max="11011" width="10.7109375" style="61" customWidth="1"/>
    <col min="11012" max="11012" width="11.140625" style="61" customWidth="1"/>
    <col min="11013" max="11013" width="10.5703125" style="61" customWidth="1"/>
    <col min="11014" max="11014" width="9.7109375" style="61" bestFit="1" customWidth="1"/>
    <col min="11015" max="11258" width="9.140625" style="61"/>
    <col min="11259" max="11259" width="5" style="61" customWidth="1"/>
    <col min="11260" max="11260" width="21.85546875" style="61" customWidth="1"/>
    <col min="11261" max="11261" width="6.7109375" style="61" customWidth="1"/>
    <col min="11262" max="11262" width="9.5703125" style="61" customWidth="1"/>
    <col min="11263" max="11263" width="3.7109375" style="61" customWidth="1"/>
    <col min="11264" max="11264" width="18" style="61" customWidth="1"/>
    <col min="11265" max="11265" width="3.5703125" style="61" customWidth="1"/>
    <col min="11266" max="11266" width="11.7109375" style="61" customWidth="1"/>
    <col min="11267" max="11267" width="10.7109375" style="61" customWidth="1"/>
    <col min="11268" max="11268" width="11.140625" style="61" customWidth="1"/>
    <col min="11269" max="11269" width="10.5703125" style="61" customWidth="1"/>
    <col min="11270" max="11270" width="9.7109375" style="61" bestFit="1" customWidth="1"/>
    <col min="11271" max="11514" width="9.140625" style="61"/>
    <col min="11515" max="11515" width="5" style="61" customWidth="1"/>
    <col min="11516" max="11516" width="21.85546875" style="61" customWidth="1"/>
    <col min="11517" max="11517" width="6.7109375" style="61" customWidth="1"/>
    <col min="11518" max="11518" width="9.5703125" style="61" customWidth="1"/>
    <col min="11519" max="11519" width="3.7109375" style="61" customWidth="1"/>
    <col min="11520" max="11520" width="18" style="61" customWidth="1"/>
    <col min="11521" max="11521" width="3.5703125" style="61" customWidth="1"/>
    <col min="11522" max="11522" width="11.7109375" style="61" customWidth="1"/>
    <col min="11523" max="11523" width="10.7109375" style="61" customWidth="1"/>
    <col min="11524" max="11524" width="11.140625" style="61" customWidth="1"/>
    <col min="11525" max="11525" width="10.5703125" style="61" customWidth="1"/>
    <col min="11526" max="11526" width="9.7109375" style="61" bestFit="1" customWidth="1"/>
    <col min="11527" max="11770" width="9.140625" style="61"/>
    <col min="11771" max="11771" width="5" style="61" customWidth="1"/>
    <col min="11772" max="11772" width="21.85546875" style="61" customWidth="1"/>
    <col min="11773" max="11773" width="6.7109375" style="61" customWidth="1"/>
    <col min="11774" max="11774" width="9.5703125" style="61" customWidth="1"/>
    <col min="11775" max="11775" width="3.7109375" style="61" customWidth="1"/>
    <col min="11776" max="11776" width="18" style="61" customWidth="1"/>
    <col min="11777" max="11777" width="3.5703125" style="61" customWidth="1"/>
    <col min="11778" max="11778" width="11.7109375" style="61" customWidth="1"/>
    <col min="11779" max="11779" width="10.7109375" style="61" customWidth="1"/>
    <col min="11780" max="11780" width="11.140625" style="61" customWidth="1"/>
    <col min="11781" max="11781" width="10.5703125" style="61" customWidth="1"/>
    <col min="11782" max="11782" width="9.7109375" style="61" bestFit="1" customWidth="1"/>
    <col min="11783" max="12026" width="9.140625" style="61"/>
    <col min="12027" max="12027" width="5" style="61" customWidth="1"/>
    <col min="12028" max="12028" width="21.85546875" style="61" customWidth="1"/>
    <col min="12029" max="12029" width="6.7109375" style="61" customWidth="1"/>
    <col min="12030" max="12030" width="9.5703125" style="61" customWidth="1"/>
    <col min="12031" max="12031" width="3.7109375" style="61" customWidth="1"/>
    <col min="12032" max="12032" width="18" style="61" customWidth="1"/>
    <col min="12033" max="12033" width="3.5703125" style="61" customWidth="1"/>
    <col min="12034" max="12034" width="11.7109375" style="61" customWidth="1"/>
    <col min="12035" max="12035" width="10.7109375" style="61" customWidth="1"/>
    <col min="12036" max="12036" width="11.140625" style="61" customWidth="1"/>
    <col min="12037" max="12037" width="10.5703125" style="61" customWidth="1"/>
    <col min="12038" max="12038" width="9.7109375" style="61" bestFit="1" customWidth="1"/>
    <col min="12039" max="12282" width="9.140625" style="61"/>
    <col min="12283" max="12283" width="5" style="61" customWidth="1"/>
    <col min="12284" max="12284" width="21.85546875" style="61" customWidth="1"/>
    <col min="12285" max="12285" width="6.7109375" style="61" customWidth="1"/>
    <col min="12286" max="12286" width="9.5703125" style="61" customWidth="1"/>
    <col min="12287" max="12287" width="3.7109375" style="61" customWidth="1"/>
    <col min="12288" max="12288" width="18" style="61" customWidth="1"/>
    <col min="12289" max="12289" width="3.5703125" style="61" customWidth="1"/>
    <col min="12290" max="12290" width="11.7109375" style="61" customWidth="1"/>
    <col min="12291" max="12291" width="10.7109375" style="61" customWidth="1"/>
    <col min="12292" max="12292" width="11.140625" style="61" customWidth="1"/>
    <col min="12293" max="12293" width="10.5703125" style="61" customWidth="1"/>
    <col min="12294" max="12294" width="9.7109375" style="61" bestFit="1" customWidth="1"/>
    <col min="12295" max="12538" width="9.140625" style="61"/>
    <col min="12539" max="12539" width="5" style="61" customWidth="1"/>
    <col min="12540" max="12540" width="21.85546875" style="61" customWidth="1"/>
    <col min="12541" max="12541" width="6.7109375" style="61" customWidth="1"/>
    <col min="12542" max="12542" width="9.5703125" style="61" customWidth="1"/>
    <col min="12543" max="12543" width="3.7109375" style="61" customWidth="1"/>
    <col min="12544" max="12544" width="18" style="61" customWidth="1"/>
    <col min="12545" max="12545" width="3.5703125" style="61" customWidth="1"/>
    <col min="12546" max="12546" width="11.7109375" style="61" customWidth="1"/>
    <col min="12547" max="12547" width="10.7109375" style="61" customWidth="1"/>
    <col min="12548" max="12548" width="11.140625" style="61" customWidth="1"/>
    <col min="12549" max="12549" width="10.5703125" style="61" customWidth="1"/>
    <col min="12550" max="12550" width="9.7109375" style="61" bestFit="1" customWidth="1"/>
    <col min="12551" max="12794" width="9.140625" style="61"/>
    <col min="12795" max="12795" width="5" style="61" customWidth="1"/>
    <col min="12796" max="12796" width="21.85546875" style="61" customWidth="1"/>
    <col min="12797" max="12797" width="6.7109375" style="61" customWidth="1"/>
    <col min="12798" max="12798" width="9.5703125" style="61" customWidth="1"/>
    <col min="12799" max="12799" width="3.7109375" style="61" customWidth="1"/>
    <col min="12800" max="12800" width="18" style="61" customWidth="1"/>
    <col min="12801" max="12801" width="3.5703125" style="61" customWidth="1"/>
    <col min="12802" max="12802" width="11.7109375" style="61" customWidth="1"/>
    <col min="12803" max="12803" width="10.7109375" style="61" customWidth="1"/>
    <col min="12804" max="12804" width="11.140625" style="61" customWidth="1"/>
    <col min="12805" max="12805" width="10.5703125" style="61" customWidth="1"/>
    <col min="12806" max="12806" width="9.7109375" style="61" bestFit="1" customWidth="1"/>
    <col min="12807" max="13050" width="9.140625" style="61"/>
    <col min="13051" max="13051" width="5" style="61" customWidth="1"/>
    <col min="13052" max="13052" width="21.85546875" style="61" customWidth="1"/>
    <col min="13053" max="13053" width="6.7109375" style="61" customWidth="1"/>
    <col min="13054" max="13054" width="9.5703125" style="61" customWidth="1"/>
    <col min="13055" max="13055" width="3.7109375" style="61" customWidth="1"/>
    <col min="13056" max="13056" width="18" style="61" customWidth="1"/>
    <col min="13057" max="13057" width="3.5703125" style="61" customWidth="1"/>
    <col min="13058" max="13058" width="11.7109375" style="61" customWidth="1"/>
    <col min="13059" max="13059" width="10.7109375" style="61" customWidth="1"/>
    <col min="13060" max="13060" width="11.140625" style="61" customWidth="1"/>
    <col min="13061" max="13061" width="10.5703125" style="61" customWidth="1"/>
    <col min="13062" max="13062" width="9.7109375" style="61" bestFit="1" customWidth="1"/>
    <col min="13063" max="13306" width="9.140625" style="61"/>
    <col min="13307" max="13307" width="5" style="61" customWidth="1"/>
    <col min="13308" max="13308" width="21.85546875" style="61" customWidth="1"/>
    <col min="13309" max="13309" width="6.7109375" style="61" customWidth="1"/>
    <col min="13310" max="13310" width="9.5703125" style="61" customWidth="1"/>
    <col min="13311" max="13311" width="3.7109375" style="61" customWidth="1"/>
    <col min="13312" max="13312" width="18" style="61" customWidth="1"/>
    <col min="13313" max="13313" width="3.5703125" style="61" customWidth="1"/>
    <col min="13314" max="13314" width="11.7109375" style="61" customWidth="1"/>
    <col min="13315" max="13315" width="10.7109375" style="61" customWidth="1"/>
    <col min="13316" max="13316" width="11.140625" style="61" customWidth="1"/>
    <col min="13317" max="13317" width="10.5703125" style="61" customWidth="1"/>
    <col min="13318" max="13318" width="9.7109375" style="61" bestFit="1" customWidth="1"/>
    <col min="13319" max="13562" width="9.140625" style="61"/>
    <col min="13563" max="13563" width="5" style="61" customWidth="1"/>
    <col min="13564" max="13564" width="21.85546875" style="61" customWidth="1"/>
    <col min="13565" max="13565" width="6.7109375" style="61" customWidth="1"/>
    <col min="13566" max="13566" width="9.5703125" style="61" customWidth="1"/>
    <col min="13567" max="13567" width="3.7109375" style="61" customWidth="1"/>
    <col min="13568" max="13568" width="18" style="61" customWidth="1"/>
    <col min="13569" max="13569" width="3.5703125" style="61" customWidth="1"/>
    <col min="13570" max="13570" width="11.7109375" style="61" customWidth="1"/>
    <col min="13571" max="13571" width="10.7109375" style="61" customWidth="1"/>
    <col min="13572" max="13572" width="11.140625" style="61" customWidth="1"/>
    <col min="13573" max="13573" width="10.5703125" style="61" customWidth="1"/>
    <col min="13574" max="13574" width="9.7109375" style="61" bestFit="1" customWidth="1"/>
    <col min="13575" max="13818" width="9.140625" style="61"/>
    <col min="13819" max="13819" width="5" style="61" customWidth="1"/>
    <col min="13820" max="13820" width="21.85546875" style="61" customWidth="1"/>
    <col min="13821" max="13821" width="6.7109375" style="61" customWidth="1"/>
    <col min="13822" max="13822" width="9.5703125" style="61" customWidth="1"/>
    <col min="13823" max="13823" width="3.7109375" style="61" customWidth="1"/>
    <col min="13824" max="13824" width="18" style="61" customWidth="1"/>
    <col min="13825" max="13825" width="3.5703125" style="61" customWidth="1"/>
    <col min="13826" max="13826" width="11.7109375" style="61" customWidth="1"/>
    <col min="13827" max="13827" width="10.7109375" style="61" customWidth="1"/>
    <col min="13828" max="13828" width="11.140625" style="61" customWidth="1"/>
    <col min="13829" max="13829" width="10.5703125" style="61" customWidth="1"/>
    <col min="13830" max="13830" width="9.7109375" style="61" bestFit="1" customWidth="1"/>
    <col min="13831" max="14074" width="9.140625" style="61"/>
    <col min="14075" max="14075" width="5" style="61" customWidth="1"/>
    <col min="14076" max="14076" width="21.85546875" style="61" customWidth="1"/>
    <col min="14077" max="14077" width="6.7109375" style="61" customWidth="1"/>
    <col min="14078" max="14078" width="9.5703125" style="61" customWidth="1"/>
    <col min="14079" max="14079" width="3.7109375" style="61" customWidth="1"/>
    <col min="14080" max="14080" width="18" style="61" customWidth="1"/>
    <col min="14081" max="14081" width="3.5703125" style="61" customWidth="1"/>
    <col min="14082" max="14082" width="11.7109375" style="61" customWidth="1"/>
    <col min="14083" max="14083" width="10.7109375" style="61" customWidth="1"/>
    <col min="14084" max="14084" width="11.140625" style="61" customWidth="1"/>
    <col min="14085" max="14085" width="10.5703125" style="61" customWidth="1"/>
    <col min="14086" max="14086" width="9.7109375" style="61" bestFit="1" customWidth="1"/>
    <col min="14087" max="14330" width="9.140625" style="61"/>
    <col min="14331" max="14331" width="5" style="61" customWidth="1"/>
    <col min="14332" max="14332" width="21.85546875" style="61" customWidth="1"/>
    <col min="14333" max="14333" width="6.7109375" style="61" customWidth="1"/>
    <col min="14334" max="14334" width="9.5703125" style="61" customWidth="1"/>
    <col min="14335" max="14335" width="3.7109375" style="61" customWidth="1"/>
    <col min="14336" max="14336" width="18" style="61" customWidth="1"/>
    <col min="14337" max="14337" width="3.5703125" style="61" customWidth="1"/>
    <col min="14338" max="14338" width="11.7109375" style="61" customWidth="1"/>
    <col min="14339" max="14339" width="10.7109375" style="61" customWidth="1"/>
    <col min="14340" max="14340" width="11.140625" style="61" customWidth="1"/>
    <col min="14341" max="14341" width="10.5703125" style="61" customWidth="1"/>
    <col min="14342" max="14342" width="9.7109375" style="61" bestFit="1" customWidth="1"/>
    <col min="14343" max="14586" width="9.140625" style="61"/>
    <col min="14587" max="14587" width="5" style="61" customWidth="1"/>
    <col min="14588" max="14588" width="21.85546875" style="61" customWidth="1"/>
    <col min="14589" max="14589" width="6.7109375" style="61" customWidth="1"/>
    <col min="14590" max="14590" width="9.5703125" style="61" customWidth="1"/>
    <col min="14591" max="14591" width="3.7109375" style="61" customWidth="1"/>
    <col min="14592" max="14592" width="18" style="61" customWidth="1"/>
    <col min="14593" max="14593" width="3.5703125" style="61" customWidth="1"/>
    <col min="14594" max="14594" width="11.7109375" style="61" customWidth="1"/>
    <col min="14595" max="14595" width="10.7109375" style="61" customWidth="1"/>
    <col min="14596" max="14596" width="11.140625" style="61" customWidth="1"/>
    <col min="14597" max="14597" width="10.5703125" style="61" customWidth="1"/>
    <col min="14598" max="14598" width="9.7109375" style="61" bestFit="1" customWidth="1"/>
    <col min="14599" max="14842" width="9.140625" style="61"/>
    <col min="14843" max="14843" width="5" style="61" customWidth="1"/>
    <col min="14844" max="14844" width="21.85546875" style="61" customWidth="1"/>
    <col min="14845" max="14845" width="6.7109375" style="61" customWidth="1"/>
    <col min="14846" max="14846" width="9.5703125" style="61" customWidth="1"/>
    <col min="14847" max="14847" width="3.7109375" style="61" customWidth="1"/>
    <col min="14848" max="14848" width="18" style="61" customWidth="1"/>
    <col min="14849" max="14849" width="3.5703125" style="61" customWidth="1"/>
    <col min="14850" max="14850" width="11.7109375" style="61" customWidth="1"/>
    <col min="14851" max="14851" width="10.7109375" style="61" customWidth="1"/>
    <col min="14852" max="14852" width="11.140625" style="61" customWidth="1"/>
    <col min="14853" max="14853" width="10.5703125" style="61" customWidth="1"/>
    <col min="14854" max="14854" width="9.7109375" style="61" bestFit="1" customWidth="1"/>
    <col min="14855" max="15098" width="9.140625" style="61"/>
    <col min="15099" max="15099" width="5" style="61" customWidth="1"/>
    <col min="15100" max="15100" width="21.85546875" style="61" customWidth="1"/>
    <col min="15101" max="15101" width="6.7109375" style="61" customWidth="1"/>
    <col min="15102" max="15102" width="9.5703125" style="61" customWidth="1"/>
    <col min="15103" max="15103" width="3.7109375" style="61" customWidth="1"/>
    <col min="15104" max="15104" width="18" style="61" customWidth="1"/>
    <col min="15105" max="15105" width="3.5703125" style="61" customWidth="1"/>
    <col min="15106" max="15106" width="11.7109375" style="61" customWidth="1"/>
    <col min="15107" max="15107" width="10.7109375" style="61" customWidth="1"/>
    <col min="15108" max="15108" width="11.140625" style="61" customWidth="1"/>
    <col min="15109" max="15109" width="10.5703125" style="61" customWidth="1"/>
    <col min="15110" max="15110" width="9.7109375" style="61" bestFit="1" customWidth="1"/>
    <col min="15111" max="15354" width="9.140625" style="61"/>
    <col min="15355" max="15355" width="5" style="61" customWidth="1"/>
    <col min="15356" max="15356" width="21.85546875" style="61" customWidth="1"/>
    <col min="15357" max="15357" width="6.7109375" style="61" customWidth="1"/>
    <col min="15358" max="15358" width="9.5703125" style="61" customWidth="1"/>
    <col min="15359" max="15359" width="3.7109375" style="61" customWidth="1"/>
    <col min="15360" max="15360" width="18" style="61" customWidth="1"/>
    <col min="15361" max="15361" width="3.5703125" style="61" customWidth="1"/>
    <col min="15362" max="15362" width="11.7109375" style="61" customWidth="1"/>
    <col min="15363" max="15363" width="10.7109375" style="61" customWidth="1"/>
    <col min="15364" max="15364" width="11.140625" style="61" customWidth="1"/>
    <col min="15365" max="15365" width="10.5703125" style="61" customWidth="1"/>
    <col min="15366" max="15366" width="9.7109375" style="61" bestFit="1" customWidth="1"/>
    <col min="15367" max="15610" width="9.140625" style="61"/>
    <col min="15611" max="15611" width="5" style="61" customWidth="1"/>
    <col min="15612" max="15612" width="21.85546875" style="61" customWidth="1"/>
    <col min="15613" max="15613" width="6.7109375" style="61" customWidth="1"/>
    <col min="15614" max="15614" width="9.5703125" style="61" customWidth="1"/>
    <col min="15615" max="15615" width="3.7109375" style="61" customWidth="1"/>
    <col min="15616" max="15616" width="18" style="61" customWidth="1"/>
    <col min="15617" max="15617" width="3.5703125" style="61" customWidth="1"/>
    <col min="15618" max="15618" width="11.7109375" style="61" customWidth="1"/>
    <col min="15619" max="15619" width="10.7109375" style="61" customWidth="1"/>
    <col min="15620" max="15620" width="11.140625" style="61" customWidth="1"/>
    <col min="15621" max="15621" width="10.5703125" style="61" customWidth="1"/>
    <col min="15622" max="15622" width="9.7109375" style="61" bestFit="1" customWidth="1"/>
    <col min="15623" max="15866" width="9.140625" style="61"/>
    <col min="15867" max="15867" width="5" style="61" customWidth="1"/>
    <col min="15868" max="15868" width="21.85546875" style="61" customWidth="1"/>
    <col min="15869" max="15869" width="6.7109375" style="61" customWidth="1"/>
    <col min="15870" max="15870" width="9.5703125" style="61" customWidth="1"/>
    <col min="15871" max="15871" width="3.7109375" style="61" customWidth="1"/>
    <col min="15872" max="15872" width="18" style="61" customWidth="1"/>
    <col min="15873" max="15873" width="3.5703125" style="61" customWidth="1"/>
    <col min="15874" max="15874" width="11.7109375" style="61" customWidth="1"/>
    <col min="15875" max="15875" width="10.7109375" style="61" customWidth="1"/>
    <col min="15876" max="15876" width="11.140625" style="61" customWidth="1"/>
    <col min="15877" max="15877" width="10.5703125" style="61" customWidth="1"/>
    <col min="15878" max="15878" width="9.7109375" style="61" bestFit="1" customWidth="1"/>
    <col min="15879" max="16122" width="9.140625" style="61"/>
    <col min="16123" max="16123" width="5" style="61" customWidth="1"/>
    <col min="16124" max="16124" width="21.85546875" style="61" customWidth="1"/>
    <col min="16125" max="16125" width="6.7109375" style="61" customWidth="1"/>
    <col min="16126" max="16126" width="9.5703125" style="61" customWidth="1"/>
    <col min="16127" max="16127" width="3.7109375" style="61" customWidth="1"/>
    <col min="16128" max="16128" width="18" style="61" customWidth="1"/>
    <col min="16129" max="16129" width="3.5703125" style="61" customWidth="1"/>
    <col min="16130" max="16130" width="11.7109375" style="61" customWidth="1"/>
    <col min="16131" max="16131" width="10.7109375" style="61" customWidth="1"/>
    <col min="16132" max="16132" width="11.140625" style="61" customWidth="1"/>
    <col min="16133" max="16133" width="10.5703125" style="61" customWidth="1"/>
    <col min="16134" max="16134" width="9.7109375" style="61" bestFit="1" customWidth="1"/>
    <col min="16135" max="16384" width="9.140625" style="61"/>
  </cols>
  <sheetData>
    <row r="1" spans="1:9" ht="16.5" customHeight="1">
      <c r="A1" s="1883" t="s">
        <v>1461</v>
      </c>
      <c r="B1" s="1884"/>
      <c r="C1" s="1884"/>
      <c r="D1" s="1884"/>
      <c r="E1" s="1884"/>
      <c r="F1" s="1884"/>
    </row>
    <row r="2" spans="1:9" ht="27.75" customHeight="1">
      <c r="A2" s="1885" t="str">
        <f>'lead 19-20'!B2&amp;'lead 19-20'!C2</f>
        <v>Name of the Work: Providing Additional Space for Agriculture Staff in  Baduguleru GP of Kanigiri Mandal</v>
      </c>
      <c r="B2" s="1885"/>
      <c r="C2" s="1885"/>
      <c r="D2" s="1885"/>
      <c r="E2" s="1885"/>
      <c r="F2" s="1885"/>
    </row>
    <row r="3" spans="1:9" ht="16.5" customHeight="1">
      <c r="A3" s="62"/>
      <c r="B3" s="63"/>
      <c r="D3" s="64" t="s">
        <v>452</v>
      </c>
      <c r="E3" s="65" t="str">
        <f>'lead 19-20'!K4</f>
        <v>21.80 Lakhs</v>
      </c>
      <c r="F3" s="62"/>
    </row>
    <row r="4" spans="1:9" s="68" customFormat="1" ht="27" customHeight="1">
      <c r="A4" s="66" t="s">
        <v>271</v>
      </c>
      <c r="B4" s="66" t="s">
        <v>1479</v>
      </c>
      <c r="C4" s="67" t="s">
        <v>6</v>
      </c>
      <c r="D4" s="67" t="s">
        <v>8</v>
      </c>
      <c r="E4" s="67" t="s">
        <v>16</v>
      </c>
      <c r="F4" s="67" t="s">
        <v>10</v>
      </c>
    </row>
    <row r="5" spans="1:9" s="68" customFormat="1" ht="17.25" customHeight="1">
      <c r="A5" s="66">
        <v>1</v>
      </c>
      <c r="B5" s="66">
        <v>2</v>
      </c>
      <c r="C5" s="67">
        <v>3</v>
      </c>
      <c r="D5" s="67">
        <v>4</v>
      </c>
      <c r="E5" s="67">
        <v>5</v>
      </c>
      <c r="F5" s="67">
        <v>6</v>
      </c>
    </row>
    <row r="6" spans="1:9" s="68" customFormat="1" ht="15" hidden="1">
      <c r="A6" s="1880" t="s">
        <v>1462</v>
      </c>
      <c r="B6" s="1881"/>
      <c r="C6" s="1881"/>
      <c r="D6" s="1881"/>
      <c r="E6" s="1881"/>
      <c r="F6" s="1882"/>
    </row>
    <row r="7" spans="1:9" s="68" customFormat="1" ht="15" hidden="1">
      <c r="A7" s="66">
        <v>1</v>
      </c>
      <c r="B7" s="66" t="s">
        <v>1463</v>
      </c>
      <c r="C7" s="67"/>
      <c r="D7" s="67"/>
      <c r="E7" s="67"/>
      <c r="F7" s="67"/>
    </row>
    <row r="8" spans="1:9" s="73" customFormat="1" ht="15" hidden="1">
      <c r="A8" s="69"/>
      <c r="B8" s="70" t="s">
        <v>2025</v>
      </c>
      <c r="C8" s="228">
        <f>'SEIG P-A '!S48</f>
        <v>544.25</v>
      </c>
      <c r="D8" s="228">
        <f>ROUND('lead 19-20'!L8/1000*50,2)</f>
        <v>235</v>
      </c>
      <c r="E8" s="229" t="s">
        <v>1061</v>
      </c>
      <c r="F8" s="74">
        <f>ROUND(C8*D8,0)</f>
        <v>127899</v>
      </c>
      <c r="I8" s="77"/>
    </row>
    <row r="9" spans="1:9" s="73" customFormat="1" ht="15" hidden="1">
      <c r="A9" s="69"/>
      <c r="B9" s="70" t="s">
        <v>2026</v>
      </c>
      <c r="C9" s="228">
        <f>'SEIG P-A '!S93</f>
        <v>0</v>
      </c>
      <c r="D9" s="228">
        <f>ROUND('lead 20-21'!L8/1000*50,2)</f>
        <v>235</v>
      </c>
      <c r="E9" s="229" t="s">
        <v>1061</v>
      </c>
      <c r="F9" s="74">
        <f>ROUND(C9*D9,0)</f>
        <v>0</v>
      </c>
      <c r="I9" s="77"/>
    </row>
    <row r="10" spans="1:9" s="73" customFormat="1" ht="15" hidden="1">
      <c r="A10" s="69"/>
      <c r="B10" s="70" t="s">
        <v>2403</v>
      </c>
      <c r="C10" s="228">
        <f>'SEIG P-A '!S138</f>
        <v>0</v>
      </c>
      <c r="D10" s="228">
        <f>ROUND('lead 21-22'!L8/1000*50,2)</f>
        <v>235</v>
      </c>
      <c r="E10" s="229" t="s">
        <v>1061</v>
      </c>
      <c r="F10" s="74">
        <f t="shared" ref="F10:F11" si="0">ROUND(C10*D10,0)</f>
        <v>0</v>
      </c>
      <c r="I10" s="77"/>
    </row>
    <row r="11" spans="1:9" s="73" customFormat="1" ht="15" hidden="1">
      <c r="A11" s="69"/>
      <c r="B11" s="70" t="s">
        <v>2404</v>
      </c>
      <c r="C11" s="228">
        <f>'SEIG P-A '!S183</f>
        <v>0</v>
      </c>
      <c r="D11" s="228">
        <f>ROUND('lead 22-23'!L8/1000*50,2)</f>
        <v>235</v>
      </c>
      <c r="E11" s="229" t="s">
        <v>1061</v>
      </c>
      <c r="F11" s="74">
        <f t="shared" si="0"/>
        <v>0</v>
      </c>
      <c r="I11" s="77"/>
    </row>
    <row r="12" spans="1:9" s="73" customFormat="1" ht="15" hidden="1">
      <c r="A12" s="69"/>
      <c r="B12" s="70"/>
      <c r="C12" s="81">
        <f>SUM(C8:C11)</f>
        <v>544.25</v>
      </c>
      <c r="D12" s="81"/>
      <c r="E12" s="72"/>
      <c r="F12" s="71">
        <f>SUM(F8:F11)</f>
        <v>127899</v>
      </c>
    </row>
    <row r="13" spans="1:9" s="68" customFormat="1" ht="15" hidden="1">
      <c r="A13" s="66"/>
      <c r="B13" s="66" t="s">
        <v>1464</v>
      </c>
      <c r="C13" s="67"/>
      <c r="D13" s="67"/>
      <c r="E13" s="67"/>
      <c r="F13" s="67"/>
    </row>
    <row r="14" spans="1:9" s="73" customFormat="1" ht="15" hidden="1">
      <c r="A14" s="69"/>
      <c r="B14" s="70" t="s">
        <v>847</v>
      </c>
      <c r="C14" s="228">
        <f>C12</f>
        <v>544.25</v>
      </c>
      <c r="D14" s="228">
        <v>235</v>
      </c>
      <c r="E14" s="229" t="s">
        <v>1061</v>
      </c>
      <c r="F14" s="74">
        <f>ROUND(C14*D14,0)</f>
        <v>127899</v>
      </c>
    </row>
    <row r="15" spans="1:9" s="73" customFormat="1" ht="15" hidden="1">
      <c r="A15" s="69"/>
      <c r="B15" s="70" t="s">
        <v>847</v>
      </c>
      <c r="C15" s="228">
        <f>C12-C14</f>
        <v>0</v>
      </c>
      <c r="D15" s="228">
        <v>260</v>
      </c>
      <c r="E15" s="229" t="s">
        <v>1061</v>
      </c>
      <c r="F15" s="74">
        <f>ROUND(C15*D15,0)</f>
        <v>0</v>
      </c>
    </row>
    <row r="16" spans="1:9" s="73" customFormat="1" ht="15" hidden="1">
      <c r="A16" s="69"/>
      <c r="B16" s="70"/>
      <c r="C16" s="81"/>
      <c r="D16" s="81"/>
      <c r="E16" s="72"/>
      <c r="F16" s="71">
        <f>SUM(F14:F15)</f>
        <v>127899</v>
      </c>
    </row>
    <row r="17" spans="1:8" s="73" customFormat="1" ht="30" hidden="1">
      <c r="A17" s="69"/>
      <c r="B17" s="70" t="s">
        <v>3252</v>
      </c>
      <c r="C17" s="72"/>
      <c r="D17" s="72"/>
      <c r="E17" s="72"/>
      <c r="F17" s="74">
        <v>0</v>
      </c>
    </row>
    <row r="18" spans="1:8" s="73" customFormat="1" ht="15">
      <c r="A18" s="444"/>
      <c r="B18" s="445"/>
      <c r="C18" s="446"/>
      <c r="D18" s="446"/>
      <c r="E18" s="446"/>
      <c r="F18" s="447"/>
    </row>
    <row r="19" spans="1:8" s="68" customFormat="1" ht="15">
      <c r="A19" s="1880" t="s">
        <v>1468</v>
      </c>
      <c r="B19" s="1881"/>
      <c r="C19" s="1881"/>
      <c r="D19" s="1881"/>
      <c r="E19" s="1881"/>
      <c r="F19" s="1882"/>
    </row>
    <row r="20" spans="1:8" s="68" customFormat="1" ht="15">
      <c r="A20" s="66">
        <v>2</v>
      </c>
      <c r="B20" s="66" t="s">
        <v>1463</v>
      </c>
      <c r="C20" s="67"/>
      <c r="D20" s="67"/>
      <c r="E20" s="67"/>
      <c r="F20" s="67"/>
    </row>
    <row r="21" spans="1:8" s="73" customFormat="1" ht="15">
      <c r="A21" s="69"/>
      <c r="B21" s="70" t="s">
        <v>2027</v>
      </c>
      <c r="C21" s="228">
        <f>'SEIG P-A '!O48</f>
        <v>99.320000000000007</v>
      </c>
      <c r="D21" s="228">
        <f>'lead 19-20'!L14</f>
        <v>1249.7999999999988</v>
      </c>
      <c r="E21" s="229" t="s">
        <v>274</v>
      </c>
      <c r="F21" s="74">
        <f>ROUND(C21*D21,0)</f>
        <v>124130</v>
      </c>
    </row>
    <row r="22" spans="1:8" s="73" customFormat="1" ht="15" hidden="1">
      <c r="A22" s="69"/>
      <c r="B22" s="70" t="s">
        <v>2028</v>
      </c>
      <c r="C22" s="228">
        <f>'SEIG P-A '!O93</f>
        <v>0</v>
      </c>
      <c r="D22" s="228">
        <f>'lead 20-21'!L14</f>
        <v>1316.600000000001</v>
      </c>
      <c r="E22" s="229" t="s">
        <v>274</v>
      </c>
      <c r="F22" s="74">
        <f>ROUND(C22*D22,0)</f>
        <v>0</v>
      </c>
    </row>
    <row r="23" spans="1:8" s="73" customFormat="1" ht="15" hidden="1">
      <c r="A23" s="69"/>
      <c r="B23" s="70" t="s">
        <v>2405</v>
      </c>
      <c r="C23" s="228">
        <f>'SEIG P-A '!O138</f>
        <v>0</v>
      </c>
      <c r="D23" s="228">
        <f>'lead 21-22'!L14</f>
        <v>1503.4000000000019</v>
      </c>
      <c r="E23" s="229" t="s">
        <v>274</v>
      </c>
      <c r="F23" s="74">
        <f>ROUND(C23*D23,0)</f>
        <v>0</v>
      </c>
    </row>
    <row r="24" spans="1:8" s="73" customFormat="1" ht="15" hidden="1">
      <c r="A24" s="69"/>
      <c r="B24" s="70" t="s">
        <v>2406</v>
      </c>
      <c r="C24" s="228">
        <f>'SEIG P-A '!O183</f>
        <v>0</v>
      </c>
      <c r="D24" s="228">
        <f>'lead 22-23'!L14</f>
        <v>1575.9999999999998</v>
      </c>
      <c r="E24" s="229" t="s">
        <v>274</v>
      </c>
      <c r="F24" s="74">
        <f>ROUND(C24*D24,0)</f>
        <v>0</v>
      </c>
    </row>
    <row r="25" spans="1:8" s="73" customFormat="1" ht="15">
      <c r="A25" s="69"/>
      <c r="B25" s="70"/>
      <c r="C25" s="81">
        <f>SUM(C21:C24)</f>
        <v>99.320000000000007</v>
      </c>
      <c r="D25" s="81"/>
      <c r="E25" s="72"/>
      <c r="F25" s="71">
        <f>SUM(F21:F24)</f>
        <v>124130</v>
      </c>
    </row>
    <row r="26" spans="1:8" s="68" customFormat="1" ht="15">
      <c r="A26" s="66"/>
      <c r="B26" s="66" t="s">
        <v>1464</v>
      </c>
      <c r="C26" s="67"/>
      <c r="D26" s="67"/>
      <c r="E26" s="67"/>
      <c r="F26" s="67"/>
    </row>
    <row r="27" spans="1:8" s="73" customFormat="1" ht="15">
      <c r="A27" s="69"/>
      <c r="B27" s="70" t="s">
        <v>1434</v>
      </c>
      <c r="C27" s="228">
        <v>36.17</v>
      </c>
      <c r="D27" s="228">
        <v>1915.93</v>
      </c>
      <c r="E27" s="229" t="s">
        <v>274</v>
      </c>
      <c r="F27" s="74">
        <f>ROUND(C27*D27,0)</f>
        <v>69299</v>
      </c>
      <c r="H27" s="228">
        <v>264.10000000000002</v>
      </c>
    </row>
    <row r="28" spans="1:8" s="73" customFormat="1" ht="15">
      <c r="A28" s="69"/>
      <c r="B28" s="70" t="s">
        <v>1434</v>
      </c>
      <c r="C28" s="228">
        <f>C25+C44+C57-C59-C46-C34-C27</f>
        <v>40.669999999999987</v>
      </c>
      <c r="D28" s="228">
        <v>304.7</v>
      </c>
      <c r="E28" s="229" t="s">
        <v>274</v>
      </c>
      <c r="F28" s="74">
        <f>ROUND(C28*D28,0)</f>
        <v>12392</v>
      </c>
    </row>
    <row r="29" spans="1:8" s="73" customFormat="1" ht="15">
      <c r="A29" s="69"/>
      <c r="B29" s="70"/>
      <c r="C29" s="81"/>
      <c r="D29" s="81"/>
      <c r="E29" s="72"/>
      <c r="F29" s="71">
        <f>SUM(F27:F28)</f>
        <v>81691</v>
      </c>
    </row>
    <row r="30" spans="1:8" s="73" customFormat="1" ht="15">
      <c r="A30" s="69"/>
      <c r="B30" s="70" t="s">
        <v>1465</v>
      </c>
      <c r="C30" s="72"/>
      <c r="D30" s="72"/>
      <c r="E30" s="72"/>
      <c r="F30" s="71">
        <f>F29-F25</f>
        <v>-42439</v>
      </c>
    </row>
    <row r="31" spans="1:8" s="68" customFormat="1" ht="15">
      <c r="A31" s="1880" t="s">
        <v>1563</v>
      </c>
      <c r="B31" s="1881"/>
      <c r="C31" s="1881"/>
      <c r="D31" s="1881"/>
      <c r="E31" s="1881"/>
      <c r="F31" s="1882"/>
    </row>
    <row r="32" spans="1:8" s="68" customFormat="1" ht="15">
      <c r="A32" s="66">
        <v>3</v>
      </c>
      <c r="B32" s="66" t="s">
        <v>1464</v>
      </c>
      <c r="C32" s="67"/>
      <c r="D32" s="67"/>
      <c r="E32" s="67"/>
      <c r="F32" s="67"/>
    </row>
    <row r="33" spans="1:9" s="73" customFormat="1" ht="15">
      <c r="A33" s="69"/>
      <c r="B33" s="70" t="s">
        <v>1564</v>
      </c>
      <c r="C33" s="228">
        <v>36</v>
      </c>
      <c r="D33" s="228">
        <v>375</v>
      </c>
      <c r="E33" s="229" t="s">
        <v>280</v>
      </c>
      <c r="F33" s="74">
        <f>ROUND(C33*D33,0)</f>
        <v>13500</v>
      </c>
    </row>
    <row r="34" spans="1:9" s="73" customFormat="1" ht="15">
      <c r="A34" s="69"/>
      <c r="B34" s="70" t="s">
        <v>1567</v>
      </c>
      <c r="C34" s="228">
        <v>22.5</v>
      </c>
      <c r="D34" s="228">
        <v>809</v>
      </c>
      <c r="E34" s="229" t="s">
        <v>274</v>
      </c>
      <c r="F34" s="74">
        <f>ROUND(C34*D34,0)</f>
        <v>18203</v>
      </c>
    </row>
    <row r="35" spans="1:9" s="73" customFormat="1" ht="15">
      <c r="A35" s="69"/>
      <c r="B35" s="70"/>
      <c r="C35" s="81"/>
      <c r="D35" s="81"/>
      <c r="E35" s="72"/>
      <c r="F35" s="71">
        <f>SUM(F33:F34)</f>
        <v>31703</v>
      </c>
    </row>
    <row r="36" spans="1:9" s="73" customFormat="1" ht="15">
      <c r="A36" s="69"/>
      <c r="B36" s="70" t="s">
        <v>1565</v>
      </c>
      <c r="C36" s="72"/>
      <c r="D36" s="72"/>
      <c r="E36" s="72"/>
      <c r="F36" s="71">
        <f>F35</f>
        <v>31703</v>
      </c>
    </row>
    <row r="37" spans="1:9" s="68" customFormat="1" ht="15">
      <c r="A37" s="1880" t="s">
        <v>1467</v>
      </c>
      <c r="B37" s="1881"/>
      <c r="C37" s="1881"/>
      <c r="D37" s="1881"/>
      <c r="E37" s="1881"/>
      <c r="F37" s="1882"/>
    </row>
    <row r="38" spans="1:9" s="68" customFormat="1" ht="15">
      <c r="A38" s="66">
        <v>3</v>
      </c>
      <c r="B38" s="66" t="s">
        <v>1463</v>
      </c>
      <c r="C38" s="67"/>
      <c r="D38" s="67"/>
      <c r="E38" s="67"/>
      <c r="F38" s="67"/>
    </row>
    <row r="39" spans="1:9" s="73" customFormat="1" ht="15">
      <c r="A39" s="69"/>
      <c r="B39" s="70" t="s">
        <v>2029</v>
      </c>
      <c r="C39" s="228">
        <f>'SEIG P-A '!M48+'SEIG P-A '!N48</f>
        <v>21.740000000000002</v>
      </c>
      <c r="D39" s="228">
        <f>'lead 19-20'!L12</f>
        <v>1464.7999999999988</v>
      </c>
      <c r="E39" s="229" t="s">
        <v>274</v>
      </c>
      <c r="F39" s="74">
        <f>ROUND(C39*D39,0)</f>
        <v>31845</v>
      </c>
    </row>
    <row r="40" spans="1:9" s="73" customFormat="1" ht="15" hidden="1">
      <c r="A40" s="69"/>
      <c r="B40" s="70" t="s">
        <v>2030</v>
      </c>
      <c r="C40" s="228">
        <f>'SEIG P-A '!M93+'SEIG P-A '!N93</f>
        <v>0</v>
      </c>
      <c r="D40" s="228">
        <f>'lead 20-21'!L12</f>
        <v>1546.600000000001</v>
      </c>
      <c r="E40" s="229" t="s">
        <v>274</v>
      </c>
      <c r="F40" s="74">
        <f t="shared" ref="F40:F42" si="1">ROUND(C40*D40,0)</f>
        <v>0</v>
      </c>
    </row>
    <row r="41" spans="1:9" s="73" customFormat="1" ht="15" hidden="1">
      <c r="A41" s="69"/>
      <c r="B41" s="70" t="s">
        <v>2407</v>
      </c>
      <c r="C41" s="228">
        <f>'SEIG P-A '!M138+'SEIG P-A '!N138</f>
        <v>0</v>
      </c>
      <c r="D41" s="228">
        <f>'lead 21-22'!L12</f>
        <v>1743.4000000000019</v>
      </c>
      <c r="E41" s="229" t="s">
        <v>274</v>
      </c>
      <c r="F41" s="74">
        <f t="shared" si="1"/>
        <v>0</v>
      </c>
    </row>
    <row r="42" spans="1:9" s="73" customFormat="1" ht="15" hidden="1">
      <c r="A42" s="69"/>
      <c r="B42" s="70" t="s">
        <v>2408</v>
      </c>
      <c r="C42" s="228">
        <f>'SEIG P-A '!M183+'SEIG P-A '!N183</f>
        <v>0</v>
      </c>
      <c r="D42" s="228">
        <f>'lead 22-23'!L12</f>
        <v>1815.9999999999998</v>
      </c>
      <c r="E42" s="229" t="s">
        <v>274</v>
      </c>
      <c r="F42" s="74">
        <f t="shared" si="1"/>
        <v>0</v>
      </c>
    </row>
    <row r="43" spans="1:9" s="73" customFormat="1" ht="15">
      <c r="A43" s="69"/>
      <c r="B43" s="70"/>
      <c r="C43" s="228"/>
      <c r="D43" s="228"/>
      <c r="E43" s="229"/>
      <c r="F43" s="74"/>
    </row>
    <row r="44" spans="1:9" s="73" customFormat="1" ht="15">
      <c r="A44" s="69"/>
      <c r="B44" s="70"/>
      <c r="C44" s="81">
        <f>SUM(C39:C43)</f>
        <v>21.740000000000002</v>
      </c>
      <c r="D44" s="81"/>
      <c r="E44" s="72"/>
      <c r="F44" s="71">
        <f>SUM(F39:F43)</f>
        <v>31845</v>
      </c>
    </row>
    <row r="45" spans="1:9" s="68" customFormat="1" ht="15">
      <c r="A45" s="66"/>
      <c r="B45" s="66" t="s">
        <v>1464</v>
      </c>
      <c r="C45" s="67"/>
      <c r="D45" s="67"/>
      <c r="E45" s="67"/>
      <c r="F45" s="67"/>
    </row>
    <row r="46" spans="1:9" s="73" customFormat="1" ht="15">
      <c r="A46" s="69"/>
      <c r="B46" s="70" t="s">
        <v>771</v>
      </c>
      <c r="C46" s="228">
        <v>21.72</v>
      </c>
      <c r="D46" s="228">
        <v>2059.9299999999998</v>
      </c>
      <c r="E46" s="229" t="s">
        <v>274</v>
      </c>
      <c r="F46" s="74">
        <f>ROUND(C46*D46,0)</f>
        <v>44742</v>
      </c>
    </row>
    <row r="47" spans="1:9" s="73" customFormat="1" ht="15" hidden="1">
      <c r="A47" s="69"/>
      <c r="B47" s="70" t="s">
        <v>771</v>
      </c>
      <c r="C47" s="228"/>
      <c r="D47" s="228">
        <v>304.7</v>
      </c>
      <c r="E47" s="229" t="s">
        <v>274</v>
      </c>
      <c r="F47" s="74">
        <f>ROUND(C47*D47,0)</f>
        <v>0</v>
      </c>
      <c r="H47" s="77"/>
      <c r="I47" s="699"/>
    </row>
    <row r="48" spans="1:9" s="73" customFormat="1" ht="15">
      <c r="A48" s="69"/>
      <c r="B48" s="70"/>
      <c r="C48" s="81"/>
      <c r="D48" s="81"/>
      <c r="E48" s="72"/>
      <c r="F48" s="71">
        <f>SUM(F46:F47)</f>
        <v>44742</v>
      </c>
    </row>
    <row r="49" spans="1:8" s="73" customFormat="1" ht="15">
      <c r="A49" s="69"/>
      <c r="B49" s="70" t="s">
        <v>1469</v>
      </c>
      <c r="C49" s="72"/>
      <c r="D49" s="72"/>
      <c r="E49" s="72"/>
      <c r="F49" s="71">
        <f>F48-F44</f>
        <v>12897</v>
      </c>
    </row>
    <row r="50" spans="1:8" s="68" customFormat="1" ht="15">
      <c r="A50" s="1880" t="s">
        <v>1470</v>
      </c>
      <c r="B50" s="1881"/>
      <c r="C50" s="1881"/>
      <c r="D50" s="1881"/>
      <c r="E50" s="1881"/>
      <c r="F50" s="1882"/>
    </row>
    <row r="51" spans="1:8" s="68" customFormat="1" ht="15">
      <c r="A51" s="66">
        <v>4</v>
      </c>
      <c r="B51" s="66" t="s">
        <v>1463</v>
      </c>
      <c r="C51" s="67"/>
      <c r="D51" s="67"/>
      <c r="E51" s="67"/>
      <c r="F51" s="67"/>
    </row>
    <row r="52" spans="1:8" s="73" customFormat="1" ht="15">
      <c r="A52" s="69"/>
      <c r="B52" s="70" t="s">
        <v>2031</v>
      </c>
      <c r="C52" s="228">
        <f>'SEIG P-A '!L48</f>
        <v>29.45</v>
      </c>
      <c r="D52" s="228">
        <f>'lead 19-20'!L13</f>
        <v>1384.7999999999988</v>
      </c>
      <c r="E52" s="229" t="s">
        <v>274</v>
      </c>
      <c r="F52" s="74">
        <f>ROUND(C52*D52,0)</f>
        <v>40782</v>
      </c>
    </row>
    <row r="53" spans="1:8" s="73" customFormat="1" ht="15" hidden="1">
      <c r="A53" s="69"/>
      <c r="B53" s="70" t="s">
        <v>2032</v>
      </c>
      <c r="C53" s="228">
        <f>'SEIG P-A '!L93</f>
        <v>0</v>
      </c>
      <c r="D53" s="228">
        <f>'lead 20-21'!L13</f>
        <v>1451.600000000001</v>
      </c>
      <c r="E53" s="229" t="s">
        <v>274</v>
      </c>
      <c r="F53" s="74">
        <f>ROUND(C53*D53,0)</f>
        <v>0</v>
      </c>
    </row>
    <row r="54" spans="1:8" s="73" customFormat="1" ht="15" hidden="1">
      <c r="A54" s="69"/>
      <c r="B54" s="70" t="s">
        <v>2409</v>
      </c>
      <c r="C54" s="228">
        <f>'SEIG P-A '!L138</f>
        <v>0</v>
      </c>
      <c r="D54" s="228">
        <f>'lead 21-22'!L13</f>
        <v>1648.4000000000019</v>
      </c>
      <c r="E54" s="229" t="s">
        <v>274</v>
      </c>
      <c r="F54" s="74">
        <f t="shared" ref="F54:F55" si="2">ROUND(C54*D54,0)</f>
        <v>0</v>
      </c>
    </row>
    <row r="55" spans="1:8" s="73" customFormat="1" ht="15" hidden="1">
      <c r="A55" s="69"/>
      <c r="B55" s="70" t="s">
        <v>2410</v>
      </c>
      <c r="C55" s="228">
        <f>'SEIG P-A '!L183</f>
        <v>0</v>
      </c>
      <c r="D55" s="228">
        <f>'lead 22-23'!L13</f>
        <v>1720.9999999999998</v>
      </c>
      <c r="E55" s="229" t="s">
        <v>274</v>
      </c>
      <c r="F55" s="74">
        <f t="shared" si="2"/>
        <v>0</v>
      </c>
    </row>
    <row r="56" spans="1:8" s="73" customFormat="1" ht="15">
      <c r="A56" s="69"/>
      <c r="B56" s="70"/>
      <c r="C56" s="228"/>
      <c r="D56" s="228"/>
      <c r="E56" s="229"/>
      <c r="F56" s="74"/>
    </row>
    <row r="57" spans="1:8" s="73" customFormat="1" ht="15">
      <c r="A57" s="69"/>
      <c r="B57" s="70"/>
      <c r="C57" s="81">
        <f>SUM(C52:C56)</f>
        <v>29.45</v>
      </c>
      <c r="D57" s="81"/>
      <c r="E57" s="72"/>
      <c r="F57" s="71">
        <f>SUM(F52:F56)</f>
        <v>40782</v>
      </c>
    </row>
    <row r="58" spans="1:8" s="68" customFormat="1" ht="15">
      <c r="A58" s="66"/>
      <c r="B58" s="66" t="s">
        <v>1464</v>
      </c>
      <c r="C58" s="67"/>
      <c r="D58" s="67"/>
      <c r="E58" s="67"/>
      <c r="F58" s="67"/>
    </row>
    <row r="59" spans="1:8" s="73" customFormat="1" ht="15">
      <c r="A59" s="69"/>
      <c r="B59" s="70" t="s">
        <v>109</v>
      </c>
      <c r="C59" s="228">
        <f>C57</f>
        <v>29.45</v>
      </c>
      <c r="D59" s="228">
        <v>2059.9299999999998</v>
      </c>
      <c r="E59" s="229" t="s">
        <v>274</v>
      </c>
      <c r="F59" s="74">
        <f>ROUND(C59*D59,0)</f>
        <v>60665</v>
      </c>
    </row>
    <row r="60" spans="1:8" s="73" customFormat="1" ht="15" hidden="1">
      <c r="A60" s="69"/>
      <c r="B60" s="70" t="s">
        <v>109</v>
      </c>
      <c r="C60" s="228"/>
      <c r="D60" s="228">
        <f>D55</f>
        <v>1720.9999999999998</v>
      </c>
      <c r="E60" s="229" t="s">
        <v>274</v>
      </c>
      <c r="F60" s="74">
        <f>ROUND(C60*D60,0)</f>
        <v>0</v>
      </c>
      <c r="H60" s="77">
        <f>F53+F54-F60</f>
        <v>0</v>
      </c>
    </row>
    <row r="61" spans="1:8" s="73" customFormat="1" ht="15">
      <c r="A61" s="69"/>
      <c r="B61" s="70"/>
      <c r="C61" s="81"/>
      <c r="D61" s="81"/>
      <c r="E61" s="72"/>
      <c r="F61" s="71">
        <f>SUM(F59:F60)</f>
        <v>60665</v>
      </c>
    </row>
    <row r="62" spans="1:8" s="73" customFormat="1" ht="15">
      <c r="A62" s="69"/>
      <c r="B62" s="70" t="s">
        <v>1471</v>
      </c>
      <c r="C62" s="72"/>
      <c r="D62" s="72"/>
      <c r="E62" s="72"/>
      <c r="F62" s="71">
        <f>F61-F57</f>
        <v>19883</v>
      </c>
    </row>
    <row r="63" spans="1:8" s="68" customFormat="1" ht="15" hidden="1">
      <c r="A63" s="1880" t="s">
        <v>1472</v>
      </c>
      <c r="B63" s="1881"/>
      <c r="C63" s="1881"/>
      <c r="D63" s="1881"/>
      <c r="E63" s="1881"/>
      <c r="F63" s="1882"/>
    </row>
    <row r="64" spans="1:8" s="68" customFormat="1" ht="15" hidden="1">
      <c r="A64" s="66">
        <v>5</v>
      </c>
      <c r="B64" s="66" t="s">
        <v>1463</v>
      </c>
      <c r="C64" s="67"/>
      <c r="D64" s="67"/>
      <c r="E64" s="67"/>
      <c r="F64" s="67"/>
    </row>
    <row r="65" spans="1:6" s="73" customFormat="1" ht="15" hidden="1">
      <c r="A65" s="69"/>
      <c r="B65" s="70" t="s">
        <v>2033</v>
      </c>
      <c r="C65" s="228">
        <f>'SEIG P-A '!I48</f>
        <v>39.090000000000003</v>
      </c>
      <c r="D65" s="228">
        <f>data!F38</f>
        <v>1722.2999999999997</v>
      </c>
      <c r="E65" s="229" t="s">
        <v>274</v>
      </c>
      <c r="F65" s="74">
        <f>ROUND(C65*D65,0)</f>
        <v>67325</v>
      </c>
    </row>
    <row r="66" spans="1:6" s="73" customFormat="1" ht="15" hidden="1">
      <c r="A66" s="69"/>
      <c r="B66" s="70" t="s">
        <v>2034</v>
      </c>
      <c r="C66" s="228">
        <f>'SEIG P-A '!I93</f>
        <v>0</v>
      </c>
      <c r="D66" s="228">
        <f>data!F954</f>
        <v>1799.05</v>
      </c>
      <c r="E66" s="229" t="s">
        <v>274</v>
      </c>
      <c r="F66" s="74">
        <f t="shared" ref="F66:F68" si="3">ROUND(C66*D66,0)</f>
        <v>0</v>
      </c>
    </row>
    <row r="67" spans="1:6" s="73" customFormat="1" ht="15" hidden="1">
      <c r="A67" s="69"/>
      <c r="B67" s="70" t="s">
        <v>2411</v>
      </c>
      <c r="C67" s="228">
        <f>'SEIG P-A '!I138</f>
        <v>0</v>
      </c>
      <c r="D67" s="228">
        <f>data!F1871</f>
        <v>1876.2299999999998</v>
      </c>
      <c r="E67" s="229" t="s">
        <v>274</v>
      </c>
      <c r="F67" s="74">
        <f t="shared" si="3"/>
        <v>0</v>
      </c>
    </row>
    <row r="68" spans="1:6" s="73" customFormat="1" ht="15" hidden="1">
      <c r="A68" s="69"/>
      <c r="B68" s="70" t="s">
        <v>2412</v>
      </c>
      <c r="C68" s="228">
        <f>'SEIG P-A '!I183</f>
        <v>0</v>
      </c>
      <c r="D68" s="228">
        <f>data!F2788</f>
        <v>2046.91</v>
      </c>
      <c r="E68" s="229" t="s">
        <v>274</v>
      </c>
      <c r="F68" s="74">
        <f t="shared" si="3"/>
        <v>0</v>
      </c>
    </row>
    <row r="69" spans="1:6" s="73" customFormat="1" ht="15" hidden="1">
      <c r="A69" s="69"/>
      <c r="B69" s="70"/>
      <c r="C69" s="228"/>
      <c r="D69" s="228"/>
      <c r="E69" s="229"/>
      <c r="F69" s="74"/>
    </row>
    <row r="70" spans="1:6" s="73" customFormat="1" ht="15" hidden="1">
      <c r="A70" s="69"/>
      <c r="B70" s="70"/>
      <c r="C70" s="81">
        <f>SUM(C65:C69)</f>
        <v>39.090000000000003</v>
      </c>
      <c r="D70" s="81"/>
      <c r="E70" s="72"/>
      <c r="F70" s="71">
        <f>SUM(F65:F69)</f>
        <v>67325</v>
      </c>
    </row>
    <row r="71" spans="1:6" s="68" customFormat="1" ht="15" hidden="1">
      <c r="A71" s="66"/>
      <c r="B71" s="66" t="s">
        <v>1464</v>
      </c>
      <c r="C71" s="67"/>
      <c r="D71" s="67"/>
      <c r="E71" s="67"/>
      <c r="F71" s="67"/>
    </row>
    <row r="72" spans="1:6" s="73" customFormat="1" ht="15" hidden="1">
      <c r="A72" s="69"/>
      <c r="B72" s="70" t="s">
        <v>1473</v>
      </c>
      <c r="C72" s="228">
        <f>C70</f>
        <v>39.090000000000003</v>
      </c>
      <c r="D72" s="228">
        <v>1377.84</v>
      </c>
      <c r="E72" s="229" t="s">
        <v>274</v>
      </c>
      <c r="F72" s="74">
        <f>ROUND(C72*D72,0)</f>
        <v>53860</v>
      </c>
    </row>
    <row r="73" spans="1:6" s="73" customFormat="1" ht="15" hidden="1">
      <c r="A73" s="69"/>
      <c r="B73" s="70" t="s">
        <v>1473</v>
      </c>
      <c r="C73" s="228">
        <f>C70-C72</f>
        <v>0</v>
      </c>
      <c r="D73" s="228">
        <f>D68</f>
        <v>2046.91</v>
      </c>
      <c r="E73" s="229" t="s">
        <v>274</v>
      </c>
      <c r="F73" s="74">
        <f>ROUND(C73*D73,0)</f>
        <v>0</v>
      </c>
    </row>
    <row r="74" spans="1:6" s="73" customFormat="1" ht="15" hidden="1">
      <c r="A74" s="69"/>
      <c r="B74" s="70"/>
      <c r="C74" s="81"/>
      <c r="D74" s="81"/>
      <c r="E74" s="72"/>
      <c r="F74" s="71">
        <f>SUM(F72:F73)</f>
        <v>53860</v>
      </c>
    </row>
    <row r="75" spans="1:6" s="73" customFormat="1" ht="30" hidden="1">
      <c r="A75" s="69"/>
      <c r="B75" s="70" t="s">
        <v>1474</v>
      </c>
      <c r="C75" s="72"/>
      <c r="D75" s="72"/>
      <c r="E75" s="72"/>
      <c r="F75" s="71">
        <v>0</v>
      </c>
    </row>
    <row r="76" spans="1:6" s="68" customFormat="1" ht="15" hidden="1">
      <c r="A76" s="1880" t="s">
        <v>1475</v>
      </c>
      <c r="B76" s="1881"/>
      <c r="C76" s="1881"/>
      <c r="D76" s="1881"/>
      <c r="E76" s="1881"/>
      <c r="F76" s="1882"/>
    </row>
    <row r="77" spans="1:6" s="68" customFormat="1" ht="15" hidden="1">
      <c r="A77" s="66">
        <v>6</v>
      </c>
      <c r="B77" s="66" t="s">
        <v>1463</v>
      </c>
      <c r="C77" s="67"/>
      <c r="D77" s="67"/>
      <c r="E77" s="67"/>
      <c r="F77" s="67"/>
    </row>
    <row r="78" spans="1:6" s="73" customFormat="1" ht="15" hidden="1">
      <c r="A78" s="69"/>
      <c r="B78" s="70" t="s">
        <v>2035</v>
      </c>
      <c r="C78" s="228">
        <f>'SEIG P-A '!H48</f>
        <v>19.829999999999998</v>
      </c>
      <c r="D78" s="228">
        <f>'lead 19-20'!L16</f>
        <v>1375.7999999999997</v>
      </c>
      <c r="E78" s="229" t="s">
        <v>274</v>
      </c>
      <c r="F78" s="74">
        <f>ROUND(C78*D78,0)</f>
        <v>27282</v>
      </c>
    </row>
    <row r="79" spans="1:6" s="73" customFormat="1" ht="15" hidden="1">
      <c r="A79" s="69"/>
      <c r="B79" s="70" t="s">
        <v>2036</v>
      </c>
      <c r="C79" s="228">
        <f>'SEIG P-A '!H93</f>
        <v>0</v>
      </c>
      <c r="D79" s="228">
        <f>'lead 20-21'!L16</f>
        <v>1436.7999999999997</v>
      </c>
      <c r="E79" s="229" t="s">
        <v>274</v>
      </c>
      <c r="F79" s="74">
        <f>ROUND(C79*D79,0)</f>
        <v>0</v>
      </c>
    </row>
    <row r="80" spans="1:6" s="73" customFormat="1" ht="15" hidden="1">
      <c r="A80" s="69"/>
      <c r="B80" s="70" t="s">
        <v>2413</v>
      </c>
      <c r="C80" s="228">
        <f>'SEIG P-A '!H138</f>
        <v>0</v>
      </c>
      <c r="D80" s="228">
        <f>'lead 20-21'!L16</f>
        <v>1436.7999999999997</v>
      </c>
      <c r="E80" s="229" t="s">
        <v>274</v>
      </c>
      <c r="F80" s="74">
        <f>ROUND(C80*D80,0)</f>
        <v>0</v>
      </c>
    </row>
    <row r="81" spans="1:6" s="73" customFormat="1" ht="15" hidden="1">
      <c r="A81" s="69"/>
      <c r="B81" s="70" t="s">
        <v>2414</v>
      </c>
      <c r="C81" s="228">
        <f>'SEIG P-A '!H183</f>
        <v>0</v>
      </c>
      <c r="D81" s="228">
        <f>'lead 20-21'!L16</f>
        <v>1436.7999999999997</v>
      </c>
      <c r="E81" s="229" t="s">
        <v>274</v>
      </c>
      <c r="F81" s="74">
        <f>ROUND(C81*D81,0)</f>
        <v>0</v>
      </c>
    </row>
    <row r="82" spans="1:6" s="73" customFormat="1" ht="15" hidden="1">
      <c r="A82" s="69"/>
      <c r="B82" s="70"/>
      <c r="C82" s="81">
        <f>SUM(C78:C81)</f>
        <v>19.829999999999998</v>
      </c>
      <c r="D82" s="81"/>
      <c r="E82" s="72"/>
      <c r="F82" s="665">
        <f>SUM(F78:F81)</f>
        <v>27282</v>
      </c>
    </row>
    <row r="83" spans="1:6" s="68" customFormat="1" ht="15" hidden="1">
      <c r="A83" s="66"/>
      <c r="B83" s="66" t="s">
        <v>1464</v>
      </c>
      <c r="C83" s="67"/>
      <c r="D83" s="67"/>
      <c r="E83" s="67"/>
      <c r="F83" s="67"/>
    </row>
    <row r="84" spans="1:6" s="73" customFormat="1" ht="15" hidden="1">
      <c r="A84" s="69"/>
      <c r="B84" s="70" t="s">
        <v>1476</v>
      </c>
      <c r="C84" s="228">
        <v>19.829999999999998</v>
      </c>
      <c r="D84" s="228">
        <v>1375.8</v>
      </c>
      <c r="E84" s="229" t="s">
        <v>274</v>
      </c>
      <c r="F84" s="74">
        <f>ROUND(C84*D84,0)</f>
        <v>27282</v>
      </c>
    </row>
    <row r="85" spans="1:6" s="73" customFormat="1" ht="15" hidden="1">
      <c r="A85" s="69"/>
      <c r="B85" s="70"/>
      <c r="C85" s="228"/>
      <c r="D85" s="228">
        <v>1730.8</v>
      </c>
      <c r="E85" s="229" t="s">
        <v>274</v>
      </c>
      <c r="F85" s="74">
        <f>ROUND(C85*D85,0)</f>
        <v>0</v>
      </c>
    </row>
    <row r="86" spans="1:6" s="73" customFormat="1" ht="15" hidden="1">
      <c r="A86" s="69"/>
      <c r="B86" s="70"/>
      <c r="C86" s="81"/>
      <c r="D86" s="81"/>
      <c r="E86" s="72"/>
      <c r="F86" s="71">
        <f>SUM(F84:F85)</f>
        <v>27282</v>
      </c>
    </row>
    <row r="87" spans="1:6" s="73" customFormat="1" ht="15" hidden="1">
      <c r="A87" s="69"/>
      <c r="B87" s="70" t="s">
        <v>1477</v>
      </c>
      <c r="C87" s="72"/>
      <c r="D87" s="72"/>
      <c r="E87" s="72"/>
      <c r="F87" s="71">
        <v>0</v>
      </c>
    </row>
    <row r="88" spans="1:6" s="73" customFormat="1" ht="30">
      <c r="A88" s="69"/>
      <c r="B88" s="70" t="s">
        <v>2428</v>
      </c>
      <c r="C88" s="72"/>
      <c r="D88" s="72"/>
      <c r="E88" s="72"/>
      <c r="F88" s="71">
        <f>SUM(F17+F30+F36+F49+F62+F75+F87)</f>
        <v>22044</v>
      </c>
    </row>
    <row r="89" spans="1:6" ht="21.75" customHeight="1">
      <c r="A89" s="1883" t="s">
        <v>2212</v>
      </c>
      <c r="B89" s="1884"/>
      <c r="C89" s="1884"/>
      <c r="D89" s="1884"/>
      <c r="E89" s="1884"/>
      <c r="F89" s="1884"/>
    </row>
    <row r="90" spans="1:6" s="68" customFormat="1" ht="15">
      <c r="A90" s="1880" t="s">
        <v>1478</v>
      </c>
      <c r="B90" s="1881"/>
      <c r="C90" s="1881"/>
      <c r="D90" s="1881"/>
      <c r="E90" s="1881"/>
      <c r="F90" s="1882"/>
    </row>
    <row r="91" spans="1:6" s="68" customFormat="1" ht="15">
      <c r="A91" s="66">
        <v>1</v>
      </c>
      <c r="B91" s="66" t="s">
        <v>1463</v>
      </c>
      <c r="C91" s="67"/>
      <c r="D91" s="67"/>
      <c r="E91" s="67"/>
      <c r="F91" s="67"/>
    </row>
    <row r="92" spans="1:6" s="68" customFormat="1" ht="15">
      <c r="A92" s="66"/>
      <c r="B92" s="66" t="s">
        <v>2219</v>
      </c>
      <c r="C92" s="67"/>
      <c r="D92" s="67"/>
      <c r="E92" s="67"/>
      <c r="F92" s="67"/>
    </row>
    <row r="93" spans="1:6" s="73" customFormat="1" ht="15">
      <c r="A93" s="69"/>
      <c r="B93" s="70" t="s">
        <v>3369</v>
      </c>
      <c r="C93" s="228">
        <f>WORK!I1989</f>
        <v>4.88</v>
      </c>
      <c r="D93" s="228">
        <f>'lead 19-20'!L9</f>
        <v>48970</v>
      </c>
      <c r="E93" s="229" t="s">
        <v>280</v>
      </c>
      <c r="F93" s="74">
        <f>ROUND(C93*D93,0)</f>
        <v>238974</v>
      </c>
    </row>
    <row r="94" spans="1:6" s="73" customFormat="1" ht="15" hidden="1">
      <c r="A94" s="69"/>
      <c r="B94" s="70" t="s">
        <v>2224</v>
      </c>
      <c r="C94" s="228">
        <f>FF!I1522</f>
        <v>0</v>
      </c>
      <c r="D94" s="228">
        <f>D93</f>
        <v>48970</v>
      </c>
      <c r="E94" s="229" t="s">
        <v>280</v>
      </c>
      <c r="F94" s="74">
        <f>ROUND(C94*D94,0)</f>
        <v>0</v>
      </c>
    </row>
    <row r="95" spans="1:6" s="73" customFormat="1" ht="15" hidden="1">
      <c r="A95" s="69"/>
      <c r="B95" s="70" t="s">
        <v>2225</v>
      </c>
      <c r="C95" s="228">
        <f>SF!I943</f>
        <v>0</v>
      </c>
      <c r="D95" s="228">
        <f>D94</f>
        <v>48970</v>
      </c>
      <c r="E95" s="229" t="s">
        <v>280</v>
      </c>
      <c r="F95" s="74">
        <f>ROUND(C95*D95,0)</f>
        <v>0</v>
      </c>
    </row>
    <row r="96" spans="1:6" s="68" customFormat="1" ht="15" hidden="1">
      <c r="A96" s="66"/>
      <c r="B96" s="66" t="s">
        <v>2220</v>
      </c>
      <c r="C96" s="67"/>
      <c r="D96" s="67"/>
      <c r="E96" s="67"/>
      <c r="F96" s="67"/>
    </row>
    <row r="97" spans="1:6" s="73" customFormat="1" ht="15" hidden="1">
      <c r="A97" s="69"/>
      <c r="B97" s="70" t="s">
        <v>2223</v>
      </c>
      <c r="C97" s="228">
        <f>WORK!I1994</f>
        <v>0</v>
      </c>
      <c r="D97" s="228">
        <f>'lead 20-21'!L9</f>
        <v>48380</v>
      </c>
      <c r="E97" s="229" t="s">
        <v>280</v>
      </c>
      <c r="F97" s="74">
        <f>ROUND(C97*D97,0)</f>
        <v>0</v>
      </c>
    </row>
    <row r="98" spans="1:6" s="73" customFormat="1" ht="15" hidden="1">
      <c r="A98" s="69"/>
      <c r="B98" s="70" t="s">
        <v>2224</v>
      </c>
      <c r="C98" s="228">
        <f>FF!I1527</f>
        <v>0</v>
      </c>
      <c r="D98" s="228">
        <f>D97</f>
        <v>48380</v>
      </c>
      <c r="E98" s="229" t="s">
        <v>280</v>
      </c>
      <c r="F98" s="74">
        <f>ROUND(C98*D98,0)</f>
        <v>0</v>
      </c>
    </row>
    <row r="99" spans="1:6" s="73" customFormat="1" ht="15" hidden="1">
      <c r="A99" s="69"/>
      <c r="B99" s="70" t="s">
        <v>2225</v>
      </c>
      <c r="C99" s="228">
        <f>SF!I948</f>
        <v>0</v>
      </c>
      <c r="D99" s="228">
        <f>D98</f>
        <v>48380</v>
      </c>
      <c r="E99" s="229" t="s">
        <v>280</v>
      </c>
      <c r="F99" s="74">
        <f>ROUND(C99*D99,0)</f>
        <v>0</v>
      </c>
    </row>
    <row r="100" spans="1:6" s="68" customFormat="1" ht="15" hidden="1">
      <c r="A100" s="66"/>
      <c r="B100" s="66" t="s">
        <v>2221</v>
      </c>
      <c r="C100" s="67"/>
      <c r="D100" s="67"/>
      <c r="E100" s="67"/>
      <c r="F100" s="67"/>
    </row>
    <row r="101" spans="1:6" s="73" customFormat="1" ht="15" hidden="1">
      <c r="A101" s="69"/>
      <c r="B101" s="70" t="s">
        <v>2223</v>
      </c>
      <c r="C101" s="228">
        <f>WORK!I1999</f>
        <v>0</v>
      </c>
      <c r="D101" s="228">
        <f>'lead 21-22'!L9</f>
        <v>64310</v>
      </c>
      <c r="E101" s="229" t="s">
        <v>280</v>
      </c>
      <c r="F101" s="74">
        <f>ROUND(C101*D101,0)</f>
        <v>0</v>
      </c>
    </row>
    <row r="102" spans="1:6" s="73" customFormat="1" ht="15" hidden="1">
      <c r="A102" s="69"/>
      <c r="B102" s="70" t="s">
        <v>2224</v>
      </c>
      <c r="C102" s="228">
        <f>FF!I1535</f>
        <v>0</v>
      </c>
      <c r="D102" s="228">
        <f>D101</f>
        <v>64310</v>
      </c>
      <c r="E102" s="229" t="s">
        <v>280</v>
      </c>
      <c r="F102" s="74">
        <f>ROUND(C102*D102,0)</f>
        <v>0</v>
      </c>
    </row>
    <row r="103" spans="1:6" s="73" customFormat="1" ht="15" hidden="1">
      <c r="A103" s="69"/>
      <c r="B103" s="70" t="s">
        <v>2225</v>
      </c>
      <c r="C103" s="228">
        <f>SF!I954</f>
        <v>0</v>
      </c>
      <c r="D103" s="228">
        <f>D102</f>
        <v>64310</v>
      </c>
      <c r="E103" s="229" t="s">
        <v>280</v>
      </c>
      <c r="F103" s="74">
        <f>ROUND(C103*D103,0)</f>
        <v>0</v>
      </c>
    </row>
    <row r="104" spans="1:6" s="68" customFormat="1" ht="15" hidden="1">
      <c r="A104" s="66"/>
      <c r="B104" s="66" t="s">
        <v>2222</v>
      </c>
      <c r="C104" s="67"/>
      <c r="D104" s="67"/>
      <c r="E104" s="67"/>
      <c r="F104" s="67"/>
    </row>
    <row r="105" spans="1:6" s="73" customFormat="1" ht="15" hidden="1">
      <c r="A105" s="69"/>
      <c r="B105" s="70" t="s">
        <v>2223</v>
      </c>
      <c r="C105" s="228">
        <f>WORK!I2004</f>
        <v>0</v>
      </c>
      <c r="D105" s="228">
        <f>'lead 22-23'!L9</f>
        <v>75520</v>
      </c>
      <c r="E105" s="229" t="s">
        <v>280</v>
      </c>
      <c r="F105" s="74">
        <f>ROUND(C105*D105,0)</f>
        <v>0</v>
      </c>
    </row>
    <row r="106" spans="1:6" s="73" customFormat="1" ht="15" hidden="1">
      <c r="A106" s="69"/>
      <c r="B106" s="70" t="s">
        <v>2224</v>
      </c>
      <c r="C106" s="228">
        <f>FF!I1542</f>
        <v>0</v>
      </c>
      <c r="D106" s="228">
        <f>D105</f>
        <v>75520</v>
      </c>
      <c r="E106" s="229" t="s">
        <v>280</v>
      </c>
      <c r="F106" s="74">
        <f>ROUND(C106*D106,0)</f>
        <v>0</v>
      </c>
    </row>
    <row r="107" spans="1:6" s="73" customFormat="1" ht="15" hidden="1">
      <c r="A107" s="69"/>
      <c r="B107" s="70" t="s">
        <v>2225</v>
      </c>
      <c r="C107" s="228">
        <f>SF!I960</f>
        <v>0</v>
      </c>
      <c r="D107" s="228">
        <f>D106</f>
        <v>75520</v>
      </c>
      <c r="E107" s="229" t="s">
        <v>280</v>
      </c>
      <c r="F107" s="74">
        <f>ROUND(C107*D107,0)</f>
        <v>0</v>
      </c>
    </row>
    <row r="108" spans="1:6" s="73" customFormat="1" ht="15">
      <c r="A108" s="69"/>
      <c r="B108" s="70"/>
      <c r="C108" s="228"/>
      <c r="D108" s="228"/>
      <c r="E108" s="229"/>
      <c r="F108" s="74"/>
    </row>
    <row r="109" spans="1:6" s="73" customFormat="1" ht="15">
      <c r="A109" s="69"/>
      <c r="B109" s="70"/>
      <c r="C109" s="81">
        <f>SUM(C93:C108)</f>
        <v>4.88</v>
      </c>
      <c r="D109" s="81"/>
      <c r="E109" s="72"/>
      <c r="F109" s="71">
        <f>SUM(F93:F108)</f>
        <v>238974</v>
      </c>
    </row>
    <row r="110" spans="1:6" s="68" customFormat="1" ht="15">
      <c r="A110" s="66"/>
      <c r="B110" s="66" t="s">
        <v>1464</v>
      </c>
      <c r="C110" s="67"/>
      <c r="D110" s="67"/>
      <c r="E110" s="67"/>
      <c r="F110" s="67"/>
    </row>
    <row r="111" spans="1:6" s="73" customFormat="1" ht="15">
      <c r="A111" s="69"/>
      <c r="B111" s="70" t="s">
        <v>3370</v>
      </c>
      <c r="C111" s="228">
        <v>2.2799999999999998</v>
      </c>
      <c r="D111" s="228">
        <v>48970</v>
      </c>
      <c r="E111" s="229" t="s">
        <v>280</v>
      </c>
      <c r="F111" s="74">
        <f>ROUND(C111*D111,0)</f>
        <v>111652</v>
      </c>
    </row>
    <row r="112" spans="1:6" s="73" customFormat="1" ht="15">
      <c r="A112" s="69"/>
      <c r="B112" s="70" t="s">
        <v>3370</v>
      </c>
      <c r="C112" s="228">
        <v>2.08</v>
      </c>
      <c r="D112" s="228">
        <v>48380</v>
      </c>
      <c r="E112" s="229" t="s">
        <v>280</v>
      </c>
      <c r="F112" s="74">
        <f t="shared" ref="F112:F116" si="4">ROUND(C112*D112,0)</f>
        <v>100630</v>
      </c>
    </row>
    <row r="113" spans="1:6" s="73" customFormat="1" ht="15">
      <c r="A113" s="69"/>
      <c r="B113" s="70" t="s">
        <v>3370</v>
      </c>
      <c r="C113" s="228">
        <v>0.3</v>
      </c>
      <c r="D113" s="228">
        <v>62540</v>
      </c>
      <c r="E113" s="229" t="s">
        <v>280</v>
      </c>
      <c r="F113" s="74">
        <f t="shared" si="4"/>
        <v>18762</v>
      </c>
    </row>
    <row r="114" spans="1:6" s="73" customFormat="1" ht="15">
      <c r="A114" s="69"/>
      <c r="B114" s="70" t="s">
        <v>3370</v>
      </c>
      <c r="C114" s="228">
        <v>0.22</v>
      </c>
      <c r="D114" s="228">
        <v>71980</v>
      </c>
      <c r="E114" s="229" t="s">
        <v>280</v>
      </c>
      <c r="F114" s="74">
        <f t="shared" si="4"/>
        <v>15836</v>
      </c>
    </row>
    <row r="115" spans="1:6" s="73" customFormat="1" ht="15" hidden="1">
      <c r="A115" s="69"/>
      <c r="B115" s="70" t="s">
        <v>3370</v>
      </c>
      <c r="C115" s="228"/>
      <c r="D115" s="228">
        <v>75520</v>
      </c>
      <c r="E115" s="229" t="s">
        <v>280</v>
      </c>
      <c r="F115" s="74">
        <f t="shared" si="4"/>
        <v>0</v>
      </c>
    </row>
    <row r="116" spans="1:6" s="73" customFormat="1" ht="15" hidden="1">
      <c r="A116" s="69"/>
      <c r="B116" s="70" t="s">
        <v>1478</v>
      </c>
      <c r="C116" s="228"/>
      <c r="D116" s="228">
        <v>35000</v>
      </c>
      <c r="E116" s="229" t="s">
        <v>280</v>
      </c>
      <c r="F116" s="74">
        <f t="shared" si="4"/>
        <v>0</v>
      </c>
    </row>
    <row r="117" spans="1:6" s="73" customFormat="1" ht="15">
      <c r="A117" s="69"/>
      <c r="B117" s="70"/>
      <c r="C117" s="228"/>
      <c r="D117" s="228"/>
      <c r="E117" s="229"/>
      <c r="F117" s="74"/>
    </row>
    <row r="118" spans="1:6" s="73" customFormat="1" ht="15">
      <c r="A118" s="69"/>
      <c r="B118" s="70"/>
      <c r="C118" s="81">
        <f>SUM(C111:C117)</f>
        <v>4.879999999999999</v>
      </c>
      <c r="D118" s="81"/>
      <c r="E118" s="72"/>
      <c r="F118" s="71">
        <f>SUM(F111:F117)</f>
        <v>246880</v>
      </c>
    </row>
    <row r="119" spans="1:6" s="73" customFormat="1" ht="15">
      <c r="A119" s="69"/>
      <c r="B119" s="70" t="s">
        <v>1478</v>
      </c>
      <c r="C119" s="72"/>
      <c r="D119" s="72"/>
      <c r="E119" s="72"/>
      <c r="F119" s="71">
        <f>F118-F109</f>
        <v>7906</v>
      </c>
    </row>
    <row r="120" spans="1:6" s="73" customFormat="1" ht="22.5" customHeight="1">
      <c r="A120" s="75"/>
      <c r="B120" s="76"/>
      <c r="C120" s="78"/>
      <c r="D120" s="78"/>
      <c r="E120" s="75"/>
      <c r="F120" s="77"/>
    </row>
    <row r="121" spans="1:6" s="73" customFormat="1" ht="22.5" customHeight="1">
      <c r="A121" s="75"/>
      <c r="B121" s="76"/>
      <c r="C121" s="78"/>
      <c r="D121" s="78"/>
      <c r="E121" s="75"/>
      <c r="F121" s="77"/>
    </row>
    <row r="122" spans="1:6" s="73" customFormat="1" ht="15">
      <c r="C122" s="55" t="str">
        <f>'lead 19-20'!$H$31</f>
        <v>Deputy Executive Engineer</v>
      </c>
      <c r="D122" s="79"/>
      <c r="E122" s="226" t="str">
        <f>'lead 19-20'!$K$31</f>
        <v>Assistant  Engineer</v>
      </c>
    </row>
    <row r="123" spans="1:6" s="73" customFormat="1" ht="15">
      <c r="C123" s="55" t="str">
        <f>'lead 19-20'!$H$32</f>
        <v>PRI Sub Division</v>
      </c>
      <c r="D123" s="79"/>
      <c r="E123" s="226" t="str">
        <f>'lead 19-20'!$K$32</f>
        <v>Mandal Praja parishad</v>
      </c>
    </row>
    <row r="124" spans="1:6" s="73" customFormat="1" ht="15">
      <c r="C124" s="55" t="str">
        <f>'lead 19-20'!$H$33</f>
        <v>Kanigiri</v>
      </c>
      <c r="D124" s="79"/>
      <c r="E124" s="226" t="str">
        <f>'lead 19-20'!$K$33</f>
        <v>Kanigiri</v>
      </c>
    </row>
    <row r="125" spans="1:6" s="73" customFormat="1" ht="15">
      <c r="C125" s="79"/>
      <c r="D125" s="79"/>
    </row>
    <row r="126" spans="1:6" s="73" customFormat="1" ht="15">
      <c r="C126" s="79"/>
      <c r="D126" s="79"/>
    </row>
    <row r="127" spans="1:6" s="73" customFormat="1" ht="15">
      <c r="C127" s="79"/>
      <c r="D127" s="79"/>
    </row>
    <row r="128" spans="1:6" s="73" customFormat="1" ht="15">
      <c r="C128" s="79"/>
      <c r="D128" s="79"/>
    </row>
    <row r="129" spans="3:4" s="73" customFormat="1" ht="15">
      <c r="C129" s="79"/>
      <c r="D129" s="79"/>
    </row>
    <row r="130" spans="3:4" s="73" customFormat="1" ht="15">
      <c r="C130" s="79"/>
      <c r="D130" s="79"/>
    </row>
    <row r="131" spans="3:4" s="73" customFormat="1" ht="15">
      <c r="C131" s="79"/>
      <c r="D131" s="79"/>
    </row>
    <row r="132" spans="3:4" s="73" customFormat="1" ht="15">
      <c r="C132" s="79"/>
      <c r="D132" s="79"/>
    </row>
    <row r="133" spans="3:4" s="73" customFormat="1" ht="15">
      <c r="C133" s="79"/>
      <c r="D133" s="79"/>
    </row>
    <row r="134" spans="3:4" s="73" customFormat="1" ht="15">
      <c r="C134" s="79"/>
      <c r="D134" s="79"/>
    </row>
    <row r="135" spans="3:4" s="73" customFormat="1" ht="15">
      <c r="C135" s="79"/>
      <c r="D135" s="79"/>
    </row>
    <row r="136" spans="3:4" s="73" customFormat="1" ht="15">
      <c r="C136" s="79"/>
      <c r="D136" s="79"/>
    </row>
    <row r="137" spans="3:4" s="73" customFormat="1" ht="15">
      <c r="C137" s="79"/>
      <c r="D137" s="79"/>
    </row>
    <row r="138" spans="3:4" s="73" customFormat="1" ht="15">
      <c r="C138" s="79"/>
      <c r="D138" s="79"/>
    </row>
    <row r="139" spans="3:4" s="73" customFormat="1" ht="15">
      <c r="C139" s="79"/>
      <c r="D139" s="79"/>
    </row>
    <row r="140" spans="3:4" s="73" customFormat="1" ht="15">
      <c r="C140" s="79"/>
      <c r="D140" s="79"/>
    </row>
    <row r="141" spans="3:4" s="73" customFormat="1" ht="15">
      <c r="C141" s="79"/>
      <c r="D141" s="79"/>
    </row>
    <row r="142" spans="3:4" s="73" customFormat="1" ht="15">
      <c r="C142" s="79"/>
      <c r="D142" s="79"/>
    </row>
    <row r="143" spans="3:4" s="73" customFormat="1" ht="15">
      <c r="C143" s="79"/>
      <c r="D143" s="79"/>
    </row>
    <row r="144" spans="3:4" s="73" customFormat="1" ht="15">
      <c r="C144" s="79"/>
      <c r="D144" s="79"/>
    </row>
    <row r="145" spans="3:4" s="73" customFormat="1" ht="15">
      <c r="C145" s="79"/>
      <c r="D145" s="79"/>
    </row>
    <row r="146" spans="3:4" s="73" customFormat="1" ht="15">
      <c r="C146" s="79"/>
      <c r="D146" s="79"/>
    </row>
    <row r="147" spans="3:4" s="73" customFormat="1" ht="15">
      <c r="C147" s="79"/>
      <c r="D147" s="79"/>
    </row>
    <row r="148" spans="3:4" s="73" customFormat="1" ht="15">
      <c r="C148" s="79"/>
      <c r="D148" s="79"/>
    </row>
    <row r="149" spans="3:4" s="73" customFormat="1" ht="15">
      <c r="C149" s="79"/>
      <c r="D149" s="79"/>
    </row>
    <row r="150" spans="3:4" s="73" customFormat="1" ht="15">
      <c r="C150" s="79"/>
      <c r="D150" s="79"/>
    </row>
    <row r="151" spans="3:4" s="73" customFormat="1" ht="15">
      <c r="C151" s="79"/>
      <c r="D151" s="79"/>
    </row>
    <row r="152" spans="3:4" s="73" customFormat="1" ht="15">
      <c r="C152" s="79"/>
      <c r="D152" s="79"/>
    </row>
    <row r="153" spans="3:4" s="73" customFormat="1" ht="15">
      <c r="C153" s="79"/>
      <c r="D153" s="79"/>
    </row>
    <row r="154" spans="3:4" s="73" customFormat="1" ht="15">
      <c r="C154" s="79"/>
      <c r="D154" s="79"/>
    </row>
    <row r="155" spans="3:4" s="73" customFormat="1" ht="15">
      <c r="C155" s="79"/>
      <c r="D155" s="79"/>
    </row>
    <row r="156" spans="3:4" s="73" customFormat="1" ht="15">
      <c r="C156" s="79"/>
      <c r="D156" s="79"/>
    </row>
    <row r="157" spans="3:4" s="73" customFormat="1" ht="15">
      <c r="C157" s="79"/>
      <c r="D157" s="79"/>
    </row>
    <row r="158" spans="3:4" s="73" customFormat="1" ht="15">
      <c r="C158" s="79"/>
      <c r="D158" s="79"/>
    </row>
    <row r="159" spans="3:4" s="73" customFormat="1" ht="15">
      <c r="C159" s="79"/>
      <c r="D159" s="79"/>
    </row>
    <row r="160" spans="3:4" s="73" customFormat="1" ht="15">
      <c r="C160" s="79"/>
      <c r="D160" s="79"/>
    </row>
    <row r="161" spans="3:4" s="73" customFormat="1" ht="15">
      <c r="C161" s="79"/>
      <c r="D161" s="79"/>
    </row>
    <row r="162" spans="3:4" s="73" customFormat="1" ht="15">
      <c r="C162" s="79"/>
      <c r="D162" s="79"/>
    </row>
    <row r="163" spans="3:4" s="73" customFormat="1" ht="15">
      <c r="C163" s="79"/>
      <c r="D163" s="79"/>
    </row>
    <row r="164" spans="3:4" s="73" customFormat="1" ht="15">
      <c r="C164" s="79"/>
      <c r="D164" s="79"/>
    </row>
    <row r="165" spans="3:4" s="73" customFormat="1" ht="15">
      <c r="C165" s="79"/>
      <c r="D165" s="79"/>
    </row>
    <row r="166" spans="3:4" s="73" customFormat="1" ht="15">
      <c r="C166" s="79"/>
      <c r="D166" s="79"/>
    </row>
    <row r="167" spans="3:4" s="73" customFormat="1" ht="15">
      <c r="C167" s="79"/>
      <c r="D167" s="79"/>
    </row>
    <row r="168" spans="3:4" s="73" customFormat="1" ht="15">
      <c r="C168" s="79"/>
      <c r="D168" s="79"/>
    </row>
    <row r="169" spans="3:4" s="73" customFormat="1" ht="15">
      <c r="C169" s="79"/>
      <c r="D169" s="79"/>
    </row>
    <row r="170" spans="3:4" s="73" customFormat="1" ht="15">
      <c r="C170" s="79"/>
      <c r="D170" s="79"/>
    </row>
    <row r="171" spans="3:4" s="73" customFormat="1" ht="15">
      <c r="C171" s="79"/>
      <c r="D171" s="79"/>
    </row>
    <row r="172" spans="3:4" s="73" customFormat="1" ht="15">
      <c r="C172" s="79"/>
      <c r="D172" s="79"/>
    </row>
    <row r="173" spans="3:4" s="73" customFormat="1" ht="15">
      <c r="C173" s="79"/>
      <c r="D173" s="79"/>
    </row>
    <row r="174" spans="3:4" s="73" customFormat="1" ht="15">
      <c r="C174" s="79"/>
      <c r="D174" s="79"/>
    </row>
    <row r="175" spans="3:4" s="73" customFormat="1" ht="15">
      <c r="C175" s="79"/>
      <c r="D175" s="79"/>
    </row>
    <row r="176" spans="3:4" s="73" customFormat="1" ht="15">
      <c r="C176" s="79"/>
      <c r="D176" s="79"/>
    </row>
    <row r="177" spans="3:4" s="73" customFormat="1" ht="15">
      <c r="C177" s="79"/>
      <c r="D177" s="79"/>
    </row>
    <row r="178" spans="3:4" s="73" customFormat="1" ht="15">
      <c r="C178" s="79"/>
      <c r="D178" s="79"/>
    </row>
    <row r="179" spans="3:4" s="73" customFormat="1" ht="15">
      <c r="C179" s="79"/>
      <c r="D179" s="79"/>
    </row>
    <row r="180" spans="3:4" s="73" customFormat="1" ht="15">
      <c r="C180" s="79"/>
      <c r="D180" s="79"/>
    </row>
    <row r="181" spans="3:4" s="73" customFormat="1" ht="15">
      <c r="C181" s="79"/>
      <c r="D181" s="79"/>
    </row>
    <row r="182" spans="3:4" s="73" customFormat="1" ht="15">
      <c r="C182" s="79"/>
      <c r="D182" s="79"/>
    </row>
    <row r="183" spans="3:4" s="73" customFormat="1" ht="15">
      <c r="C183" s="79"/>
      <c r="D183" s="79"/>
    </row>
    <row r="184" spans="3:4" s="73" customFormat="1" ht="15">
      <c r="C184" s="79"/>
      <c r="D184" s="79"/>
    </row>
    <row r="185" spans="3:4" s="73" customFormat="1" ht="15">
      <c r="C185" s="79"/>
      <c r="D185" s="79"/>
    </row>
    <row r="186" spans="3:4" s="73" customFormat="1" ht="15">
      <c r="C186" s="79"/>
      <c r="D186" s="79"/>
    </row>
    <row r="187" spans="3:4" s="73" customFormat="1" ht="15">
      <c r="C187" s="79"/>
      <c r="D187" s="79"/>
    </row>
    <row r="188" spans="3:4" s="73" customFormat="1" ht="15">
      <c r="C188" s="79"/>
      <c r="D188" s="79"/>
    </row>
    <row r="189" spans="3:4" s="73" customFormat="1" ht="15">
      <c r="C189" s="79"/>
      <c r="D189" s="79"/>
    </row>
    <row r="190" spans="3:4" s="73" customFormat="1" ht="15">
      <c r="C190" s="79"/>
      <c r="D190" s="79"/>
    </row>
    <row r="191" spans="3:4" s="73" customFormat="1" ht="15">
      <c r="C191" s="79"/>
      <c r="D191" s="79"/>
    </row>
    <row r="192" spans="3:4" s="73" customFormat="1" ht="15">
      <c r="C192" s="79"/>
      <c r="D192" s="79"/>
    </row>
    <row r="193" spans="3:4" s="73" customFormat="1" ht="15">
      <c r="C193" s="79"/>
      <c r="D193" s="79"/>
    </row>
    <row r="194" spans="3:4" s="73" customFormat="1" ht="15">
      <c r="C194" s="79"/>
      <c r="D194" s="79"/>
    </row>
    <row r="195" spans="3:4" s="73" customFormat="1" ht="15">
      <c r="C195" s="79"/>
      <c r="D195" s="79"/>
    </row>
    <row r="196" spans="3:4" s="73" customFormat="1" ht="15">
      <c r="C196" s="79"/>
      <c r="D196" s="79"/>
    </row>
    <row r="197" spans="3:4" s="73" customFormat="1" ht="15">
      <c r="C197" s="79"/>
      <c r="D197" s="79"/>
    </row>
    <row r="198" spans="3:4" s="73" customFormat="1" ht="15">
      <c r="C198" s="79"/>
      <c r="D198" s="79"/>
    </row>
    <row r="199" spans="3:4" s="73" customFormat="1" ht="15">
      <c r="C199" s="79"/>
      <c r="D199" s="79"/>
    </row>
    <row r="200" spans="3:4" s="73" customFormat="1" ht="15">
      <c r="C200" s="79"/>
      <c r="D200" s="79"/>
    </row>
    <row r="201" spans="3:4" s="73" customFormat="1" ht="15">
      <c r="C201" s="79"/>
      <c r="D201" s="79"/>
    </row>
    <row r="202" spans="3:4" s="73" customFormat="1" ht="15">
      <c r="C202" s="79"/>
      <c r="D202" s="79"/>
    </row>
    <row r="203" spans="3:4" s="73" customFormat="1" ht="15">
      <c r="C203" s="79"/>
      <c r="D203" s="79"/>
    </row>
    <row r="204" spans="3:4" s="73" customFormat="1" ht="15">
      <c r="C204" s="79"/>
      <c r="D204" s="79"/>
    </row>
    <row r="205" spans="3:4" s="73" customFormat="1" ht="15">
      <c r="C205" s="79"/>
      <c r="D205" s="79"/>
    </row>
    <row r="206" spans="3:4" s="73" customFormat="1" ht="15">
      <c r="C206" s="79"/>
      <c r="D206" s="79"/>
    </row>
    <row r="207" spans="3:4" s="73" customFormat="1" ht="15">
      <c r="C207" s="79"/>
      <c r="D207" s="79"/>
    </row>
    <row r="208" spans="3:4" s="73" customFormat="1" ht="15">
      <c r="C208" s="79"/>
      <c r="D208" s="79"/>
    </row>
    <row r="209" spans="3:4" s="73" customFormat="1" ht="15">
      <c r="C209" s="79"/>
      <c r="D209" s="79"/>
    </row>
    <row r="210" spans="3:4" s="73" customFormat="1" ht="15">
      <c r="C210" s="79"/>
      <c r="D210" s="79"/>
    </row>
    <row r="211" spans="3:4" s="73" customFormat="1" ht="15">
      <c r="C211" s="79"/>
      <c r="D211" s="79"/>
    </row>
    <row r="212" spans="3:4" s="73" customFormat="1" ht="15">
      <c r="C212" s="79"/>
      <c r="D212" s="79"/>
    </row>
    <row r="213" spans="3:4" s="73" customFormat="1" ht="15">
      <c r="C213" s="79"/>
      <c r="D213" s="79"/>
    </row>
    <row r="214" spans="3:4" s="73" customFormat="1" ht="15">
      <c r="C214" s="79"/>
      <c r="D214" s="79"/>
    </row>
    <row r="215" spans="3:4" s="73" customFormat="1" ht="15">
      <c r="C215" s="79"/>
      <c r="D215" s="79"/>
    </row>
  </sheetData>
  <mergeCells count="11">
    <mergeCell ref="A50:F50"/>
    <mergeCell ref="A63:F63"/>
    <mergeCell ref="A76:F76"/>
    <mergeCell ref="A90:F90"/>
    <mergeCell ref="A1:F1"/>
    <mergeCell ref="A2:F2"/>
    <mergeCell ref="A6:F6"/>
    <mergeCell ref="A19:F19"/>
    <mergeCell ref="A37:F37"/>
    <mergeCell ref="A31:F31"/>
    <mergeCell ref="A89:F89"/>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17.xml><?xml version="1.0" encoding="utf-8"?>
<worksheet xmlns="http://schemas.openxmlformats.org/spreadsheetml/2006/main" xmlns:r="http://schemas.openxmlformats.org/officeDocument/2006/relationships">
  <sheetPr>
    <tabColor rgb="FF00B050"/>
  </sheetPr>
  <dimension ref="A1:O35"/>
  <sheetViews>
    <sheetView view="pageBreakPreview" zoomScale="115" zoomScaleNormal="130" zoomScaleSheetLayoutView="115" workbookViewId="0">
      <selection activeCell="C4" sqref="C4"/>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6" width="7.85546875" style="215" customWidth="1"/>
    <col min="7"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888" t="s">
        <v>903</v>
      </c>
      <c r="B1" s="1889"/>
      <c r="C1" s="1889"/>
      <c r="D1" s="1889"/>
      <c r="E1" s="1889"/>
      <c r="F1" s="1889"/>
      <c r="G1" s="1889"/>
      <c r="H1" s="1889"/>
      <c r="I1" s="1889"/>
      <c r="J1" s="1889"/>
      <c r="K1" s="1889"/>
      <c r="L1" s="1889"/>
    </row>
    <row r="2" spans="1:15" s="214" customFormat="1" ht="27.75" customHeight="1">
      <c r="A2" s="370"/>
      <c r="B2" s="57" t="s">
        <v>836</v>
      </c>
      <c r="C2" s="1890" t="s">
        <v>3773</v>
      </c>
      <c r="D2" s="1890"/>
      <c r="E2" s="1890"/>
      <c r="F2" s="1890"/>
      <c r="G2" s="1890"/>
      <c r="H2" s="1890"/>
      <c r="I2" s="1890"/>
      <c r="J2" s="1890"/>
      <c r="K2" s="1890"/>
      <c r="L2" s="1890"/>
    </row>
    <row r="3" spans="1:15" s="214" customFormat="1" ht="20.100000000000001" customHeight="1">
      <c r="A3" s="371"/>
      <c r="B3" s="372"/>
      <c r="C3" s="373" t="s">
        <v>2312</v>
      </c>
      <c r="D3" s="371"/>
      <c r="E3" s="374"/>
      <c r="F3" s="374"/>
      <c r="G3" s="374"/>
      <c r="H3" s="374"/>
      <c r="I3" s="374"/>
      <c r="J3" s="372"/>
      <c r="K3" s="372"/>
      <c r="L3" s="374"/>
      <c r="M3" s="214" t="s">
        <v>837</v>
      </c>
      <c r="N3" s="214">
        <v>85</v>
      </c>
    </row>
    <row r="4" spans="1:15" ht="15" customHeight="1">
      <c r="A4" s="375"/>
      <c r="B4" s="218" t="s">
        <v>838</v>
      </c>
      <c r="C4" s="1148" t="s">
        <v>3774</v>
      </c>
      <c r="D4" s="375"/>
      <c r="E4" s="376"/>
      <c r="F4" s="375"/>
      <c r="G4" s="376"/>
      <c r="H4" s="376"/>
      <c r="I4" s="376"/>
      <c r="J4" s="377" t="s">
        <v>839</v>
      </c>
      <c r="K4" s="378" t="s">
        <v>3534</v>
      </c>
      <c r="L4" s="375"/>
      <c r="M4" s="215" t="s">
        <v>139</v>
      </c>
      <c r="N4" s="215">
        <v>50</v>
      </c>
    </row>
    <row r="5" spans="1:15" s="216" customFormat="1" ht="31.5" customHeight="1">
      <c r="A5" s="1886" t="s">
        <v>840</v>
      </c>
      <c r="B5" s="1886" t="s">
        <v>322</v>
      </c>
      <c r="C5" s="1886" t="s">
        <v>841</v>
      </c>
      <c r="D5" s="1886" t="s">
        <v>842</v>
      </c>
      <c r="E5" s="1886" t="s">
        <v>253</v>
      </c>
      <c r="F5" s="1886" t="s">
        <v>843</v>
      </c>
      <c r="G5" s="1886" t="s">
        <v>844</v>
      </c>
      <c r="H5" s="1886" t="s">
        <v>17</v>
      </c>
      <c r="I5" s="1886" t="s">
        <v>845</v>
      </c>
      <c r="J5" s="1886" t="s">
        <v>1321</v>
      </c>
      <c r="K5" s="1887" t="s">
        <v>1323</v>
      </c>
      <c r="L5" s="1887" t="s">
        <v>117</v>
      </c>
      <c r="M5" s="216" t="s">
        <v>846</v>
      </c>
      <c r="N5" s="216">
        <v>48</v>
      </c>
    </row>
    <row r="6" spans="1:15" s="216" customFormat="1" ht="18" customHeight="1">
      <c r="A6" s="1886"/>
      <c r="B6" s="1886"/>
      <c r="C6" s="1886"/>
      <c r="D6" s="1886"/>
      <c r="E6" s="1886"/>
      <c r="F6" s="1886"/>
      <c r="G6" s="1886"/>
      <c r="H6" s="1886"/>
      <c r="I6" s="1886"/>
      <c r="J6" s="1886"/>
      <c r="K6" s="1887"/>
      <c r="L6" s="1887"/>
      <c r="M6" s="216" t="s">
        <v>1523</v>
      </c>
      <c r="N6" s="216">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19-20'!C4</f>
        <v>4700</v>
      </c>
      <c r="H8" s="386"/>
      <c r="I8" s="386"/>
      <c r="J8" s="386"/>
      <c r="K8" s="386"/>
      <c r="L8" s="387">
        <f t="shared" ref="L8:L25" si="0">SUM(F8:K8)</f>
        <v>4700</v>
      </c>
    </row>
    <row r="9" spans="1:15" s="388" customFormat="1">
      <c r="A9" s="382">
        <v>2</v>
      </c>
      <c r="B9" s="383" t="s">
        <v>1706</v>
      </c>
      <c r="C9" s="384" t="s">
        <v>29</v>
      </c>
      <c r="D9" s="385" t="s">
        <v>3</v>
      </c>
      <c r="E9" s="386" t="s">
        <v>15</v>
      </c>
      <c r="F9" s="386">
        <v>0</v>
      </c>
      <c r="G9" s="386">
        <f>'MINI SSR 19-20'!C5</f>
        <v>41500</v>
      </c>
      <c r="H9" s="386"/>
      <c r="I9" s="386">
        <f>G9*18%</f>
        <v>7470</v>
      </c>
      <c r="J9" s="386"/>
      <c r="K9" s="386"/>
      <c r="L9" s="387">
        <f t="shared" si="0"/>
        <v>48970</v>
      </c>
    </row>
    <row r="10" spans="1:15" s="388" customFormat="1">
      <c r="A10" s="382">
        <v>3</v>
      </c>
      <c r="B10" s="389" t="s">
        <v>848</v>
      </c>
      <c r="C10" s="384" t="s">
        <v>29</v>
      </c>
      <c r="D10" s="385" t="s">
        <v>3</v>
      </c>
      <c r="E10" s="386"/>
      <c r="F10" s="386"/>
      <c r="G10" s="386">
        <f>'MINI SSR 19-20'!C7</f>
        <v>43000</v>
      </c>
      <c r="H10" s="386"/>
      <c r="I10" s="386">
        <f>G10*18%</f>
        <v>7740</v>
      </c>
      <c r="J10" s="386"/>
      <c r="K10" s="386"/>
      <c r="L10" s="387">
        <f t="shared" si="0"/>
        <v>50740</v>
      </c>
    </row>
    <row r="11" spans="1:15" s="388" customFormat="1">
      <c r="A11" s="382">
        <v>4</v>
      </c>
      <c r="B11" s="389" t="s">
        <v>849</v>
      </c>
      <c r="C11" s="384" t="s">
        <v>29</v>
      </c>
      <c r="D11" s="385" t="s">
        <v>3</v>
      </c>
      <c r="E11" s="386"/>
      <c r="F11" s="386"/>
      <c r="G11" s="386">
        <f>'MINI SSR 19-20'!C8</f>
        <v>39000</v>
      </c>
      <c r="H11" s="386"/>
      <c r="I11" s="386"/>
      <c r="J11" s="386"/>
      <c r="K11" s="386"/>
      <c r="L11" s="387">
        <f t="shared" si="0"/>
        <v>39000</v>
      </c>
    </row>
    <row r="12" spans="1:15" s="388" customFormat="1">
      <c r="A12" s="382">
        <v>5</v>
      </c>
      <c r="B12" s="389" t="s">
        <v>850</v>
      </c>
      <c r="C12" s="384" t="s">
        <v>5</v>
      </c>
      <c r="D12" s="390" t="s">
        <v>2023</v>
      </c>
      <c r="E12" s="391">
        <f>N3</f>
        <v>85</v>
      </c>
      <c r="F12" s="391">
        <f>VLOOKUP(E12,'con 2019-20'!$A$6:$F$287,2,FALSE)</f>
        <v>874.79999999999893</v>
      </c>
      <c r="G12" s="386">
        <f>'MINI SSR 19-20'!C9</f>
        <v>590</v>
      </c>
      <c r="H12" s="386"/>
      <c r="I12" s="386"/>
      <c r="J12" s="386"/>
      <c r="K12" s="386"/>
      <c r="L12" s="387">
        <f t="shared" si="0"/>
        <v>1464.7999999999988</v>
      </c>
    </row>
    <row r="13" spans="1:15" s="388" customFormat="1">
      <c r="A13" s="382">
        <v>5</v>
      </c>
      <c r="B13" s="389" t="s">
        <v>851</v>
      </c>
      <c r="C13" s="384" t="s">
        <v>5</v>
      </c>
      <c r="D13" s="390" t="str">
        <f>D12</f>
        <v>K.Bitrgunta</v>
      </c>
      <c r="E13" s="391">
        <f>E12</f>
        <v>85</v>
      </c>
      <c r="F13" s="391">
        <f>VLOOKUP(E13,'con 2019-20'!$A$6:$F$287,2,FALSE)</f>
        <v>874.79999999999893</v>
      </c>
      <c r="G13" s="386">
        <f>'MINI SSR 19-20'!C10</f>
        <v>510</v>
      </c>
      <c r="H13" s="386"/>
      <c r="I13" s="386"/>
      <c r="J13" s="386"/>
      <c r="K13" s="386"/>
      <c r="L13" s="387">
        <f t="shared" si="0"/>
        <v>1384.7999999999988</v>
      </c>
    </row>
    <row r="14" spans="1:15" s="388" customFormat="1">
      <c r="A14" s="382">
        <v>6</v>
      </c>
      <c r="B14" s="389" t="s">
        <v>768</v>
      </c>
      <c r="C14" s="384" t="s">
        <v>5</v>
      </c>
      <c r="D14" s="390" t="str">
        <f>D13</f>
        <v>K.Bitrgunta</v>
      </c>
      <c r="E14" s="391">
        <f>E13</f>
        <v>85</v>
      </c>
      <c r="F14" s="391">
        <f>VLOOKUP(E14,'con 2019-20'!A8:F287,2,FALSE)</f>
        <v>874.79999999999893</v>
      </c>
      <c r="G14" s="386">
        <f>'MINI SSR 19-20'!C11</f>
        <v>375</v>
      </c>
      <c r="H14" s="386"/>
      <c r="I14" s="386"/>
      <c r="J14" s="386"/>
      <c r="K14" s="386"/>
      <c r="L14" s="387">
        <f t="shared" si="0"/>
        <v>1249.7999999999988</v>
      </c>
    </row>
    <row r="15" spans="1:15" s="388" customFormat="1">
      <c r="A15" s="382">
        <v>7</v>
      </c>
      <c r="B15" s="389" t="s">
        <v>1320</v>
      </c>
      <c r="C15" s="384" t="s">
        <v>852</v>
      </c>
      <c r="D15" s="390" t="s">
        <v>1524</v>
      </c>
      <c r="E15" s="391">
        <f>N5</f>
        <v>48</v>
      </c>
      <c r="F15" s="391">
        <f>VLOOKUP(E15,'con 2019-20'!$A$5:$F$287,4,FALSE)</f>
        <v>853.00000000000091</v>
      </c>
      <c r="G15" s="386">
        <f>'MINI SSR 19-20'!C12</f>
        <v>6000</v>
      </c>
      <c r="H15" s="386"/>
      <c r="I15" s="386"/>
      <c r="J15" s="386">
        <f>'MINI SSR 19-20'!D12</f>
        <v>54.8</v>
      </c>
      <c r="K15" s="386">
        <f>'MINI SSR 19-20'!E12</f>
        <v>54.8</v>
      </c>
      <c r="L15" s="387">
        <f t="shared" si="0"/>
        <v>6962.6000000000013</v>
      </c>
    </row>
    <row r="16" spans="1:15" s="388" customFormat="1">
      <c r="A16" s="382">
        <v>8</v>
      </c>
      <c r="B16" s="389" t="s">
        <v>853</v>
      </c>
      <c r="C16" s="384" t="s">
        <v>5</v>
      </c>
      <c r="D16" s="390" t="s">
        <v>2024</v>
      </c>
      <c r="E16" s="391">
        <f>N4</f>
        <v>50</v>
      </c>
      <c r="F16" s="391">
        <f>VLOOKUP(E16,'con 2019-20'!$A$5:$F$287,3,FALSE)</f>
        <v>545.79999999999973</v>
      </c>
      <c r="G16" s="386">
        <f>'MINI SSR 19-20'!C13</f>
        <v>608</v>
      </c>
      <c r="H16" s="386">
        <v>70</v>
      </c>
      <c r="I16" s="386">
        <f>ROUND(G16*0.25,2)</f>
        <v>152</v>
      </c>
      <c r="J16" s="386"/>
      <c r="K16" s="386"/>
      <c r="L16" s="387">
        <f t="shared" si="0"/>
        <v>1375.7999999999997</v>
      </c>
    </row>
    <row r="17" spans="1:12" s="392" customFormat="1">
      <c r="A17" s="382">
        <v>9</v>
      </c>
      <c r="B17" s="389" t="s">
        <v>854</v>
      </c>
      <c r="C17" s="384" t="s">
        <v>5</v>
      </c>
      <c r="D17" s="390" t="str">
        <f t="shared" ref="D17:E20" si="1">D16</f>
        <v>Ramatherdham</v>
      </c>
      <c r="E17" s="391">
        <f t="shared" si="1"/>
        <v>50</v>
      </c>
      <c r="F17" s="391">
        <f>VLOOKUP(E17,'con 2019-20'!$A$5:$F$287,3,FALSE)</f>
        <v>545.79999999999973</v>
      </c>
      <c r="G17" s="386">
        <f>'MINI SSR 19-20'!C14</f>
        <v>1016</v>
      </c>
      <c r="H17" s="386">
        <v>70</v>
      </c>
      <c r="I17" s="386">
        <f>ROUND(G17*0.25,2)</f>
        <v>254</v>
      </c>
      <c r="J17" s="386"/>
      <c r="K17" s="386"/>
      <c r="L17" s="387">
        <f t="shared" si="0"/>
        <v>1885.7999999999997</v>
      </c>
    </row>
    <row r="18" spans="1:12" s="392" customFormat="1">
      <c r="A18" s="382">
        <v>10</v>
      </c>
      <c r="B18" s="389" t="s">
        <v>855</v>
      </c>
      <c r="C18" s="384" t="s">
        <v>5</v>
      </c>
      <c r="D18" s="390" t="str">
        <f t="shared" si="1"/>
        <v>Ramatherdham</v>
      </c>
      <c r="E18" s="391">
        <f t="shared" si="1"/>
        <v>50</v>
      </c>
      <c r="F18" s="391">
        <f>VLOOKUP(E18,'con 2019-20'!$A$5:$F$287,3,FALSE)</f>
        <v>545.79999999999973</v>
      </c>
      <c r="G18" s="386">
        <f>'MINI SSR 19-20'!C15</f>
        <v>808</v>
      </c>
      <c r="H18" s="386">
        <v>70</v>
      </c>
      <c r="I18" s="386">
        <f>ROUND(G18*0.25,2)</f>
        <v>202</v>
      </c>
      <c r="J18" s="386"/>
      <c r="K18" s="386"/>
      <c r="L18" s="387">
        <f t="shared" si="0"/>
        <v>1625.7999999999997</v>
      </c>
    </row>
    <row r="19" spans="1:12" s="392" customFormat="1">
      <c r="A19" s="382">
        <v>11</v>
      </c>
      <c r="B19" s="389" t="s">
        <v>856</v>
      </c>
      <c r="C19" s="384" t="s">
        <v>5</v>
      </c>
      <c r="D19" s="390" t="str">
        <f t="shared" si="1"/>
        <v>Ramatherdham</v>
      </c>
      <c r="E19" s="391">
        <f t="shared" si="1"/>
        <v>50</v>
      </c>
      <c r="F19" s="391">
        <f>VLOOKUP(E19,'con 2019-20'!$A$5:$F$287,3,FALSE)</f>
        <v>545.79999999999973</v>
      </c>
      <c r="G19" s="386">
        <f>'MINI SSR 19-20'!C16</f>
        <v>680</v>
      </c>
      <c r="H19" s="386">
        <v>70</v>
      </c>
      <c r="I19" s="386">
        <f>ROUND(G19*0.25,2)</f>
        <v>170</v>
      </c>
      <c r="J19" s="386"/>
      <c r="K19" s="386"/>
      <c r="L19" s="387">
        <f t="shared" si="0"/>
        <v>1465.7999999999997</v>
      </c>
    </row>
    <row r="20" spans="1:12" s="392" customFormat="1">
      <c r="A20" s="382">
        <v>12</v>
      </c>
      <c r="B20" s="389" t="s">
        <v>857</v>
      </c>
      <c r="C20" s="384" t="s">
        <v>5</v>
      </c>
      <c r="D20" s="390" t="str">
        <f t="shared" si="1"/>
        <v>Ramatherdham</v>
      </c>
      <c r="E20" s="391">
        <f t="shared" si="1"/>
        <v>50</v>
      </c>
      <c r="F20" s="391">
        <f>VLOOKUP(E20,'con 2019-20'!$A$5:$F$287,3,FALSE)</f>
        <v>545.79999999999973</v>
      </c>
      <c r="G20" s="386">
        <f>'MINI SSR 19-20'!C17</f>
        <v>524</v>
      </c>
      <c r="H20" s="386">
        <v>70</v>
      </c>
      <c r="I20" s="386">
        <f>ROUND(G20*0.25,2)</f>
        <v>131</v>
      </c>
      <c r="J20" s="386"/>
      <c r="K20" s="386"/>
      <c r="L20" s="387">
        <f t="shared" si="0"/>
        <v>1270.7999999999997</v>
      </c>
    </row>
    <row r="21" spans="1:12" s="392" customFormat="1">
      <c r="A21" s="382">
        <v>13</v>
      </c>
      <c r="B21" s="389" t="s">
        <v>1194</v>
      </c>
      <c r="C21" s="384" t="s">
        <v>5</v>
      </c>
      <c r="D21" s="390" t="str">
        <f>D20</f>
        <v>Ramatherdham</v>
      </c>
      <c r="E21" s="391">
        <f>E20</f>
        <v>50</v>
      </c>
      <c r="F21" s="391">
        <f>VLOOKUP(E21,'con 2019-20'!$A$5:$F$287,3,FALSE)</f>
        <v>545.79999999999973</v>
      </c>
      <c r="G21" s="386">
        <f>'MINI SSR 19-20'!C18</f>
        <v>250</v>
      </c>
      <c r="H21" s="386">
        <v>70</v>
      </c>
      <c r="I21" s="386"/>
      <c r="J21" s="386"/>
      <c r="K21" s="386"/>
      <c r="L21" s="387">
        <f t="shared" si="0"/>
        <v>865.79999999999973</v>
      </c>
    </row>
    <row r="22" spans="1:12" s="388" customFormat="1">
      <c r="A22" s="382">
        <v>14</v>
      </c>
      <c r="B22" s="393" t="s">
        <v>1322</v>
      </c>
      <c r="C22" s="384" t="s">
        <v>102</v>
      </c>
      <c r="D22" s="390" t="str">
        <f>D21</f>
        <v>Ramatherdham</v>
      </c>
      <c r="E22" s="391">
        <f>E20</f>
        <v>50</v>
      </c>
      <c r="F22" s="391">
        <f>VLOOKUP(E22,'con 2019-20'!$A$5:$F$287,5,FALSE)*0.16</f>
        <v>128.60799999999998</v>
      </c>
      <c r="G22" s="386">
        <f>'MINI SSR 19-20'!C19</f>
        <v>1991</v>
      </c>
      <c r="H22" s="386"/>
      <c r="I22" s="386"/>
      <c r="J22" s="386"/>
      <c r="K22" s="386"/>
      <c r="L22" s="387">
        <f t="shared" si="0"/>
        <v>2119.6080000000002</v>
      </c>
    </row>
    <row r="23" spans="1:12" s="388" customFormat="1">
      <c r="A23" s="382">
        <v>15</v>
      </c>
      <c r="B23" s="389" t="s">
        <v>3258</v>
      </c>
      <c r="C23" s="384"/>
      <c r="D23" s="390" t="s">
        <v>1210</v>
      </c>
      <c r="E23" s="391">
        <f>N6</f>
        <v>72</v>
      </c>
      <c r="F23" s="391">
        <f>VLOOKUP(E23,'con 2019-20'!$A$5:$F$287,4,FALSE)</f>
        <v>1217.800000000002</v>
      </c>
      <c r="G23" s="386">
        <f>'MINI SSR 19-20'!C24</f>
        <v>18000</v>
      </c>
      <c r="H23" s="386"/>
      <c r="I23" s="386"/>
      <c r="J23" s="386"/>
      <c r="K23" s="386"/>
      <c r="L23" s="387">
        <f t="shared" si="0"/>
        <v>19217.800000000003</v>
      </c>
    </row>
    <row r="24" spans="1:12" s="388" customFormat="1">
      <c r="A24" s="382">
        <v>16</v>
      </c>
      <c r="B24" s="389" t="s">
        <v>860</v>
      </c>
      <c r="C24" s="384" t="s">
        <v>5</v>
      </c>
      <c r="D24" s="390" t="s">
        <v>3</v>
      </c>
      <c r="E24" s="391">
        <v>5</v>
      </c>
      <c r="F24" s="391">
        <f>VLOOKUP(E24,'con 2019-20'!$A$6:$F$287,2,FALSE)</f>
        <v>75.3</v>
      </c>
      <c r="G24" s="386">
        <f>'MINI SSR 19-20'!C25</f>
        <v>86</v>
      </c>
      <c r="H24" s="386"/>
      <c r="I24" s="386"/>
      <c r="J24" s="386"/>
      <c r="K24" s="386"/>
      <c r="L24" s="387">
        <f t="shared" si="0"/>
        <v>161.30000000000001</v>
      </c>
    </row>
    <row r="25" spans="1:12" s="388" customFormat="1">
      <c r="A25" s="382">
        <v>17</v>
      </c>
      <c r="B25" s="389" t="s">
        <v>664</v>
      </c>
      <c r="C25" s="384" t="s">
        <v>5</v>
      </c>
      <c r="D25" s="390" t="s">
        <v>3</v>
      </c>
      <c r="E25" s="391">
        <v>5</v>
      </c>
      <c r="F25" s="391">
        <f>VLOOKUP(E25,'con 2019-20'!$A$6:$F$287,2,FALSE)</f>
        <v>75.3</v>
      </c>
      <c r="G25" s="386">
        <f>'MINI SSR 19-20'!C26</f>
        <v>113</v>
      </c>
      <c r="H25" s="386"/>
      <c r="I25" s="386"/>
      <c r="J25" s="386"/>
      <c r="K25" s="386"/>
      <c r="L25" s="387">
        <f t="shared" si="0"/>
        <v>188.3</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1458</v>
      </c>
      <c r="B28" s="227" t="s">
        <v>1457</v>
      </c>
      <c r="C28" s="388"/>
    </row>
    <row r="29" spans="1:12" s="396" customFormat="1">
      <c r="A29" s="388" t="s">
        <v>1459</v>
      </c>
      <c r="B29" s="227" t="s">
        <v>1460</v>
      </c>
      <c r="C29" s="388"/>
    </row>
    <row r="30" spans="1:12" s="396" customFormat="1">
      <c r="A30" s="388"/>
      <c r="B30" s="227"/>
      <c r="C30" s="388"/>
    </row>
    <row r="31" spans="1:12" s="58" customFormat="1">
      <c r="B31" s="396"/>
      <c r="C31" s="388"/>
      <c r="D31" s="388"/>
      <c r="E31" s="396"/>
      <c r="F31" s="59"/>
      <c r="H31" s="217" t="s">
        <v>149</v>
      </c>
      <c r="J31" s="59"/>
      <c r="K31" s="217" t="s">
        <v>3535</v>
      </c>
      <c r="L31" s="59"/>
    </row>
    <row r="32" spans="1:12" s="58" customFormat="1">
      <c r="B32" s="396"/>
      <c r="C32" s="388"/>
      <c r="D32" s="388"/>
      <c r="E32" s="396"/>
      <c r="H32" s="217" t="s">
        <v>858</v>
      </c>
      <c r="J32" s="59"/>
      <c r="K32" s="217" t="s">
        <v>859</v>
      </c>
      <c r="L32" s="59"/>
    </row>
    <row r="33" spans="1:11" s="396" customFormat="1">
      <c r="A33" s="388"/>
      <c r="C33" s="388"/>
      <c r="D33" s="388"/>
      <c r="H33" s="217" t="s">
        <v>1525</v>
      </c>
      <c r="K33" s="217" t="s">
        <v>1525</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A5:A6"/>
    <mergeCell ref="B5:B6"/>
    <mergeCell ref="C5:C6"/>
    <mergeCell ref="D5:D6"/>
    <mergeCell ref="E5:E6"/>
    <mergeCell ref="F5:F6"/>
    <mergeCell ref="G5:G6"/>
    <mergeCell ref="H5:H6"/>
    <mergeCell ref="C2:L2"/>
  </mergeCells>
  <pageMargins left="0.71" right="0.2" top="0.25" bottom="0.25" header="0.3" footer="0.3"/>
  <pageSetup paperSize="9" orientation="landscape" verticalDpi="300" r:id="rId1"/>
  <rowBreaks count="1" manualBreakCount="1">
    <brk id="34" max="16383" man="1"/>
  </rowBreaks>
</worksheet>
</file>

<file path=xl/worksheets/sheet18.xml><?xml version="1.0" encoding="utf-8"?>
<worksheet xmlns="http://schemas.openxmlformats.org/spreadsheetml/2006/main" xmlns:r="http://schemas.openxmlformats.org/officeDocument/2006/relationships">
  <sheetPr>
    <tabColor rgb="FF7030A0"/>
  </sheetPr>
  <dimension ref="A1:O35"/>
  <sheetViews>
    <sheetView view="pageBreakPreview" topLeftCell="A10" zoomScale="115" zoomScaleNormal="130" zoomScaleSheetLayoutView="115" workbookViewId="0">
      <selection sqref="A1:L1"/>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6" width="7.140625" style="215" customWidth="1"/>
    <col min="7"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888" t="s">
        <v>2307</v>
      </c>
      <c r="B1" s="1889"/>
      <c r="C1" s="1889"/>
      <c r="D1" s="1889"/>
      <c r="E1" s="1889"/>
      <c r="F1" s="1889"/>
      <c r="G1" s="1889"/>
      <c r="H1" s="1889"/>
      <c r="I1" s="1889"/>
      <c r="J1" s="1889"/>
      <c r="K1" s="1889"/>
      <c r="L1" s="1889"/>
    </row>
    <row r="2" spans="1:15" s="214" customFormat="1" ht="27.75" customHeight="1">
      <c r="A2" s="370"/>
      <c r="B2" s="57" t="s">
        <v>836</v>
      </c>
      <c r="C2" s="1890" t="str">
        <f>'lead 19-20'!C2:L2</f>
        <v>Providing Additional Space for Agriculture Staff in  Baduguleru GP of Kanigiri Mandal</v>
      </c>
      <c r="D2" s="1890"/>
      <c r="E2" s="1890"/>
      <c r="F2" s="1890"/>
      <c r="G2" s="1890"/>
      <c r="H2" s="1890"/>
      <c r="I2" s="1890"/>
      <c r="J2" s="1890"/>
      <c r="K2" s="1890"/>
      <c r="L2" s="1890"/>
    </row>
    <row r="3" spans="1:15" s="214" customFormat="1" ht="20.100000000000001" customHeight="1">
      <c r="A3" s="371"/>
      <c r="B3" s="372"/>
      <c r="C3" s="373" t="s">
        <v>1640</v>
      </c>
      <c r="D3" s="371"/>
      <c r="E3" s="374"/>
      <c r="F3" s="374"/>
      <c r="G3" s="374"/>
      <c r="H3" s="374"/>
      <c r="I3" s="374"/>
      <c r="J3" s="372"/>
      <c r="K3" s="372"/>
      <c r="L3" s="374"/>
      <c r="M3" s="214" t="s">
        <v>837</v>
      </c>
      <c r="N3" s="214">
        <f>'lead 19-20'!N3</f>
        <v>85</v>
      </c>
    </row>
    <row r="4" spans="1:15" ht="15" customHeight="1">
      <c r="A4" s="375"/>
      <c r="B4" s="218" t="s">
        <v>838</v>
      </c>
      <c r="C4" s="454" t="str">
        <f>'lead 19-20'!C4</f>
        <v>No: 087043102002090039</v>
      </c>
      <c r="D4" s="375"/>
      <c r="E4" s="376"/>
      <c r="F4" s="375"/>
      <c r="G4" s="376"/>
      <c r="H4" s="376"/>
      <c r="I4" s="376"/>
      <c r="J4" s="377" t="s">
        <v>839</v>
      </c>
      <c r="K4" s="378" t="str">
        <f>'lead 19-20'!K4</f>
        <v>21.80 Lakhs</v>
      </c>
      <c r="L4" s="375"/>
      <c r="M4" s="215" t="s">
        <v>139</v>
      </c>
      <c r="N4" s="214">
        <f>'lead 19-20'!N4</f>
        <v>50</v>
      </c>
    </row>
    <row r="5" spans="1:15" s="216" customFormat="1" ht="31.5" customHeight="1">
      <c r="A5" s="1886" t="s">
        <v>840</v>
      </c>
      <c r="B5" s="1886" t="s">
        <v>322</v>
      </c>
      <c r="C5" s="1886" t="s">
        <v>841</v>
      </c>
      <c r="D5" s="1886" t="s">
        <v>842</v>
      </c>
      <c r="E5" s="1886" t="s">
        <v>253</v>
      </c>
      <c r="F5" s="1886" t="s">
        <v>843</v>
      </c>
      <c r="G5" s="1886" t="s">
        <v>844</v>
      </c>
      <c r="H5" s="1886" t="s">
        <v>17</v>
      </c>
      <c r="I5" s="1886" t="s">
        <v>845</v>
      </c>
      <c r="J5" s="1886" t="s">
        <v>1321</v>
      </c>
      <c r="K5" s="1887" t="s">
        <v>1323</v>
      </c>
      <c r="L5" s="1887" t="s">
        <v>117</v>
      </c>
      <c r="M5" s="216" t="s">
        <v>846</v>
      </c>
      <c r="N5" s="214">
        <f>'lead 19-20'!N5</f>
        <v>48</v>
      </c>
    </row>
    <row r="6" spans="1:15" s="216" customFormat="1" ht="18" customHeight="1">
      <c r="A6" s="1886"/>
      <c r="B6" s="1886"/>
      <c r="C6" s="1886"/>
      <c r="D6" s="1886"/>
      <c r="E6" s="1886"/>
      <c r="F6" s="1886"/>
      <c r="G6" s="1886"/>
      <c r="H6" s="1886"/>
      <c r="I6" s="1886"/>
      <c r="J6" s="1886"/>
      <c r="K6" s="1887"/>
      <c r="L6" s="1887"/>
      <c r="M6" s="216" t="s">
        <v>1523</v>
      </c>
      <c r="N6" s="214">
        <f>'lead 19-20'!N6</f>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2020-21'!C4</f>
        <v>4700</v>
      </c>
      <c r="H8" s="386"/>
      <c r="I8" s="386"/>
      <c r="J8" s="386"/>
      <c r="K8" s="386"/>
      <c r="L8" s="387">
        <f t="shared" ref="L8:L25" si="0">SUM(F8:K8)</f>
        <v>4700</v>
      </c>
    </row>
    <row r="9" spans="1:15" s="388" customFormat="1">
      <c r="A9" s="382">
        <v>2</v>
      </c>
      <c r="B9" s="383" t="s">
        <v>1706</v>
      </c>
      <c r="C9" s="384" t="s">
        <v>29</v>
      </c>
      <c r="D9" s="385" t="s">
        <v>3</v>
      </c>
      <c r="E9" s="386" t="s">
        <v>15</v>
      </c>
      <c r="F9" s="386">
        <v>0</v>
      </c>
      <c r="G9" s="386">
        <f>'MINI SSR 2020-21'!C5</f>
        <v>41000</v>
      </c>
      <c r="H9" s="386"/>
      <c r="I9" s="386">
        <f>G9*18%</f>
        <v>7380</v>
      </c>
      <c r="J9" s="386"/>
      <c r="K9" s="386"/>
      <c r="L9" s="387">
        <f t="shared" si="0"/>
        <v>48380</v>
      </c>
    </row>
    <row r="10" spans="1:15" s="388" customFormat="1">
      <c r="A10" s="382">
        <v>3</v>
      </c>
      <c r="B10" s="389" t="s">
        <v>848</v>
      </c>
      <c r="C10" s="384" t="s">
        <v>29</v>
      </c>
      <c r="D10" s="385" t="s">
        <v>3</v>
      </c>
      <c r="E10" s="386"/>
      <c r="F10" s="386"/>
      <c r="G10" s="386">
        <f>'MINI SSR 2020-21'!C7</f>
        <v>42000</v>
      </c>
      <c r="H10" s="386"/>
      <c r="I10" s="386">
        <f>G10*18%</f>
        <v>7560</v>
      </c>
      <c r="J10" s="386"/>
      <c r="K10" s="386"/>
      <c r="L10" s="387">
        <f t="shared" si="0"/>
        <v>49560</v>
      </c>
    </row>
    <row r="11" spans="1:15" s="388" customFormat="1">
      <c r="A11" s="382">
        <v>4</v>
      </c>
      <c r="B11" s="389" t="s">
        <v>849</v>
      </c>
      <c r="C11" s="384" t="s">
        <v>29</v>
      </c>
      <c r="D11" s="385" t="s">
        <v>3</v>
      </c>
      <c r="E11" s="386"/>
      <c r="F11" s="386"/>
      <c r="G11" s="386">
        <f>'MINI SSR 2020-21'!C8</f>
        <v>39500</v>
      </c>
      <c r="H11" s="386"/>
      <c r="I11" s="386"/>
      <c r="J11" s="386"/>
      <c r="K11" s="386"/>
      <c r="L11" s="387">
        <f t="shared" si="0"/>
        <v>39500</v>
      </c>
    </row>
    <row r="12" spans="1:15" s="388" customFormat="1">
      <c r="A12" s="382">
        <v>5</v>
      </c>
      <c r="B12" s="389" t="s">
        <v>850</v>
      </c>
      <c r="C12" s="384" t="s">
        <v>5</v>
      </c>
      <c r="D12" s="390" t="s">
        <v>2740</v>
      </c>
      <c r="E12" s="391">
        <f>N3</f>
        <v>85</v>
      </c>
      <c r="F12" s="391">
        <f>VLOOKUP(E12,'con 2020-21'!$A$6:$F$305,2,FALSE)</f>
        <v>941.60000000000105</v>
      </c>
      <c r="G12" s="386">
        <f>'MINI SSR 2020-21'!C9</f>
        <v>605</v>
      </c>
      <c r="H12" s="386"/>
      <c r="I12" s="386"/>
      <c r="J12" s="386"/>
      <c r="K12" s="386"/>
      <c r="L12" s="387">
        <f t="shared" si="0"/>
        <v>1546.600000000001</v>
      </c>
    </row>
    <row r="13" spans="1:15" s="388" customFormat="1">
      <c r="A13" s="382">
        <v>5</v>
      </c>
      <c r="B13" s="389" t="s">
        <v>851</v>
      </c>
      <c r="C13" s="384" t="s">
        <v>5</v>
      </c>
      <c r="D13" s="390" t="str">
        <f>D12</f>
        <v>K.Bitragunta</v>
      </c>
      <c r="E13" s="391">
        <f>E12</f>
        <v>85</v>
      </c>
      <c r="F13" s="391">
        <f>VLOOKUP(E13,'con 2020-21'!$A$6:$F$305,2,FALSE)</f>
        <v>941.60000000000105</v>
      </c>
      <c r="G13" s="386">
        <f>'MINI SSR 2020-21'!C10</f>
        <v>510</v>
      </c>
      <c r="H13" s="386"/>
      <c r="I13" s="386"/>
      <c r="J13" s="386"/>
      <c r="K13" s="386"/>
      <c r="L13" s="387">
        <f t="shared" si="0"/>
        <v>1451.600000000001</v>
      </c>
    </row>
    <row r="14" spans="1:15" s="388" customFormat="1">
      <c r="A14" s="382">
        <v>6</v>
      </c>
      <c r="B14" s="389" t="s">
        <v>768</v>
      </c>
      <c r="C14" s="384" t="s">
        <v>5</v>
      </c>
      <c r="D14" s="390" t="str">
        <f>D13</f>
        <v>K.Bitragunta</v>
      </c>
      <c r="E14" s="391">
        <f>E13</f>
        <v>85</v>
      </c>
      <c r="F14" s="391">
        <f>VLOOKUP(E14,'con 2020-21'!A8:F307,2,FALSE)</f>
        <v>941.60000000000105</v>
      </c>
      <c r="G14" s="386">
        <f>'MINI SSR 2020-21'!C11</f>
        <v>375</v>
      </c>
      <c r="H14" s="386"/>
      <c r="I14" s="386"/>
      <c r="J14" s="386"/>
      <c r="K14" s="386"/>
      <c r="L14" s="387">
        <f t="shared" si="0"/>
        <v>1316.600000000001</v>
      </c>
    </row>
    <row r="15" spans="1:15" s="388" customFormat="1">
      <c r="A15" s="382">
        <v>7</v>
      </c>
      <c r="B15" s="389" t="s">
        <v>1320</v>
      </c>
      <c r="C15" s="384" t="s">
        <v>852</v>
      </c>
      <c r="D15" s="390" t="s">
        <v>1524</v>
      </c>
      <c r="E15" s="391">
        <f>N5</f>
        <v>48</v>
      </c>
      <c r="F15" s="391">
        <f>VLOOKUP(E15,'con 2020-21'!$A$5:$F$308,4,FALSE)</f>
        <v>913.7999999999995</v>
      </c>
      <c r="G15" s="386">
        <f>'MINI SSR 2020-21'!C12</f>
        <v>6000</v>
      </c>
      <c r="H15" s="386"/>
      <c r="I15" s="386"/>
      <c r="J15" s="386">
        <f>'MINI SSR 2020-21'!D12</f>
        <v>60</v>
      </c>
      <c r="K15" s="386">
        <f>'MINI SSR 2020-21'!E12</f>
        <v>60</v>
      </c>
      <c r="L15" s="387">
        <f t="shared" si="0"/>
        <v>7033.7999999999993</v>
      </c>
    </row>
    <row r="16" spans="1:15" s="388" customFormat="1">
      <c r="A16" s="382">
        <v>8</v>
      </c>
      <c r="B16" s="389" t="s">
        <v>853</v>
      </c>
      <c r="C16" s="384" t="s">
        <v>5</v>
      </c>
      <c r="D16" s="390" t="s">
        <v>2024</v>
      </c>
      <c r="E16" s="391">
        <f>N4</f>
        <v>50</v>
      </c>
      <c r="F16" s="391">
        <f>VLOOKUP(E16,'con 2020-21'!$A$5:$F$309,3,FALSE)</f>
        <v>566.79999999999973</v>
      </c>
      <c r="G16" s="386">
        <f>'MINI SSR 2020-21'!C13</f>
        <v>640</v>
      </c>
      <c r="H16" s="386">
        <v>70</v>
      </c>
      <c r="I16" s="386">
        <f>ROUND(G16*0.25,2)</f>
        <v>160</v>
      </c>
      <c r="J16" s="386"/>
      <c r="K16" s="386"/>
      <c r="L16" s="387">
        <f t="shared" si="0"/>
        <v>1436.7999999999997</v>
      </c>
    </row>
    <row r="17" spans="1:12" s="392" customFormat="1">
      <c r="A17" s="382">
        <v>9</v>
      </c>
      <c r="B17" s="389" t="s">
        <v>854</v>
      </c>
      <c r="C17" s="384" t="s">
        <v>5</v>
      </c>
      <c r="D17" s="390" t="str">
        <f t="shared" ref="D17:E20" si="1">D16</f>
        <v>Ramatherdham</v>
      </c>
      <c r="E17" s="391">
        <f t="shared" si="1"/>
        <v>50</v>
      </c>
      <c r="F17" s="391">
        <f>VLOOKUP(E17,'con 2020-21'!$A$5:$F$309,3,FALSE)</f>
        <v>566.79999999999973</v>
      </c>
      <c r="G17" s="386">
        <f>'MINI SSR 2020-21'!C14</f>
        <v>1064</v>
      </c>
      <c r="H17" s="386">
        <v>70</v>
      </c>
      <c r="I17" s="386">
        <f>ROUND(G17*0.25,2)</f>
        <v>266</v>
      </c>
      <c r="J17" s="386"/>
      <c r="K17" s="386"/>
      <c r="L17" s="387">
        <f t="shared" si="0"/>
        <v>1966.7999999999997</v>
      </c>
    </row>
    <row r="18" spans="1:12" s="392" customFormat="1">
      <c r="A18" s="382">
        <v>10</v>
      </c>
      <c r="B18" s="389" t="s">
        <v>855</v>
      </c>
      <c r="C18" s="384" t="s">
        <v>5</v>
      </c>
      <c r="D18" s="390" t="str">
        <f t="shared" si="1"/>
        <v>Ramatherdham</v>
      </c>
      <c r="E18" s="391">
        <f t="shared" si="1"/>
        <v>50</v>
      </c>
      <c r="F18" s="391">
        <f>VLOOKUP(E18,'con 2020-21'!$A$5:$F$309,3,FALSE)</f>
        <v>566.79999999999973</v>
      </c>
      <c r="G18" s="386">
        <f>'MINI SSR 2020-21'!C15</f>
        <v>848</v>
      </c>
      <c r="H18" s="386">
        <v>70</v>
      </c>
      <c r="I18" s="386">
        <f>ROUND(G18*0.25,2)</f>
        <v>212</v>
      </c>
      <c r="J18" s="386"/>
      <c r="K18" s="386"/>
      <c r="L18" s="387">
        <f t="shared" si="0"/>
        <v>1696.7999999999997</v>
      </c>
    </row>
    <row r="19" spans="1:12" s="392" customFormat="1">
      <c r="A19" s="382">
        <v>11</v>
      </c>
      <c r="B19" s="389" t="s">
        <v>856</v>
      </c>
      <c r="C19" s="384" t="s">
        <v>5</v>
      </c>
      <c r="D19" s="390" t="str">
        <f t="shared" si="1"/>
        <v>Ramatherdham</v>
      </c>
      <c r="E19" s="391">
        <f t="shared" si="1"/>
        <v>50</v>
      </c>
      <c r="F19" s="391">
        <f>VLOOKUP(E19,'con 2020-21'!$A$5:$F$309,3,FALSE)</f>
        <v>566.79999999999973</v>
      </c>
      <c r="G19" s="386">
        <f>'MINI SSR 2020-21'!C16</f>
        <v>716</v>
      </c>
      <c r="H19" s="386">
        <v>70</v>
      </c>
      <c r="I19" s="386">
        <f>ROUND(G19*0.25,2)</f>
        <v>179</v>
      </c>
      <c r="J19" s="386"/>
      <c r="K19" s="386"/>
      <c r="L19" s="387">
        <f t="shared" si="0"/>
        <v>1531.7999999999997</v>
      </c>
    </row>
    <row r="20" spans="1:12" s="392" customFormat="1">
      <c r="A20" s="382">
        <v>12</v>
      </c>
      <c r="B20" s="389" t="s">
        <v>857</v>
      </c>
      <c r="C20" s="384" t="s">
        <v>5</v>
      </c>
      <c r="D20" s="390" t="str">
        <f t="shared" si="1"/>
        <v>Ramatherdham</v>
      </c>
      <c r="E20" s="391">
        <f t="shared" si="1"/>
        <v>50</v>
      </c>
      <c r="F20" s="391">
        <f>VLOOKUP(E20,'con 2020-21'!$A$5:$F$309,3,FALSE)</f>
        <v>566.79999999999973</v>
      </c>
      <c r="G20" s="386">
        <f>'MINI SSR 2020-21'!C17</f>
        <v>568</v>
      </c>
      <c r="H20" s="386">
        <v>70</v>
      </c>
      <c r="I20" s="386">
        <f>ROUND(G20*0.25,2)</f>
        <v>142</v>
      </c>
      <c r="J20" s="386"/>
      <c r="K20" s="386"/>
      <c r="L20" s="387">
        <f t="shared" si="0"/>
        <v>1346.7999999999997</v>
      </c>
    </row>
    <row r="21" spans="1:12" s="392" customFormat="1">
      <c r="A21" s="382">
        <v>13</v>
      </c>
      <c r="B21" s="389" t="s">
        <v>1194</v>
      </c>
      <c r="C21" s="384" t="s">
        <v>5</v>
      </c>
      <c r="D21" s="390" t="str">
        <f>D20</f>
        <v>Ramatherdham</v>
      </c>
      <c r="E21" s="391">
        <f>E20</f>
        <v>50</v>
      </c>
      <c r="F21" s="391">
        <f>VLOOKUP(E21,'con 2020-21'!$A$5:$F$309,3,FALSE)</f>
        <v>566.79999999999973</v>
      </c>
      <c r="G21" s="386">
        <f>'MINI SSR 2020-21'!C18</f>
        <v>255</v>
      </c>
      <c r="H21" s="386">
        <v>70</v>
      </c>
      <c r="I21" s="386"/>
      <c r="J21" s="386"/>
      <c r="K21" s="386"/>
      <c r="L21" s="387">
        <f t="shared" si="0"/>
        <v>891.79999999999973</v>
      </c>
    </row>
    <row r="22" spans="1:12" s="388" customFormat="1">
      <c r="A22" s="382">
        <v>14</v>
      </c>
      <c r="B22" s="393" t="s">
        <v>1322</v>
      </c>
      <c r="C22" s="384" t="s">
        <v>102</v>
      </c>
      <c r="D22" s="390" t="str">
        <f>D21</f>
        <v>Ramatherdham</v>
      </c>
      <c r="E22" s="391">
        <f>E20</f>
        <v>50</v>
      </c>
      <c r="F22" s="391">
        <f>VLOOKUP(E22,'con 2020-21'!$A$5:$F$309,5,FALSE)*0.16</f>
        <v>133.69599999999994</v>
      </c>
      <c r="G22" s="386">
        <f>'MINI SSR 2020-21'!C19</f>
        <v>1991</v>
      </c>
      <c r="H22" s="386"/>
      <c r="I22" s="386"/>
      <c r="J22" s="386"/>
      <c r="K22" s="386"/>
      <c r="L22" s="387">
        <f t="shared" si="0"/>
        <v>2124.6959999999999</v>
      </c>
    </row>
    <row r="23" spans="1:12" s="388" customFormat="1">
      <c r="A23" s="382">
        <v>15</v>
      </c>
      <c r="B23" s="389" t="s">
        <v>3399</v>
      </c>
      <c r="C23" s="384"/>
      <c r="D23" s="390" t="s">
        <v>1210</v>
      </c>
      <c r="E23" s="391">
        <f>N6</f>
        <v>72</v>
      </c>
      <c r="F23" s="391">
        <f>VLOOKUP(E23,'con 2020-21'!$A$5:$F$308,4,FALSE)</f>
        <v>1304.9999999999984</v>
      </c>
      <c r="G23" s="386">
        <f>'MINI SSR 2020-21'!C24</f>
        <v>18000</v>
      </c>
      <c r="H23" s="386"/>
      <c r="I23" s="386"/>
      <c r="J23" s="386"/>
      <c r="K23" s="386"/>
      <c r="L23" s="387">
        <f t="shared" si="0"/>
        <v>19305</v>
      </c>
    </row>
    <row r="24" spans="1:12" s="388" customFormat="1">
      <c r="A24" s="382">
        <v>16</v>
      </c>
      <c r="B24" s="389" t="s">
        <v>860</v>
      </c>
      <c r="C24" s="384" t="s">
        <v>5</v>
      </c>
      <c r="D24" s="390" t="s">
        <v>3</v>
      </c>
      <c r="E24" s="391">
        <v>5</v>
      </c>
      <c r="F24" s="391">
        <f>VLOOKUP(E24,'con 2020-21'!$A$6:$F$305,2,FALSE)</f>
        <v>81.099999999999994</v>
      </c>
      <c r="G24" s="386">
        <f>'MINI SSR 2020-21'!C25</f>
        <v>101</v>
      </c>
      <c r="H24" s="386"/>
      <c r="I24" s="386"/>
      <c r="J24" s="386"/>
      <c r="K24" s="386"/>
      <c r="L24" s="387">
        <f t="shared" si="0"/>
        <v>182.1</v>
      </c>
    </row>
    <row r="25" spans="1:12" s="388" customFormat="1">
      <c r="A25" s="382">
        <v>17</v>
      </c>
      <c r="B25" s="389" t="s">
        <v>664</v>
      </c>
      <c r="C25" s="384" t="s">
        <v>5</v>
      </c>
      <c r="D25" s="390" t="s">
        <v>3</v>
      </c>
      <c r="E25" s="391">
        <v>6</v>
      </c>
      <c r="F25" s="391">
        <f>VLOOKUP(E25,'con 2020-21'!$A$6:$F$305,2,FALSE)</f>
        <v>93.3</v>
      </c>
      <c r="G25" s="386">
        <f>'MINI SSR 2020-21'!C26</f>
        <v>130</v>
      </c>
      <c r="H25" s="386"/>
      <c r="I25" s="386"/>
      <c r="J25" s="386"/>
      <c r="K25" s="386"/>
      <c r="L25" s="387">
        <f t="shared" si="0"/>
        <v>223.3</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1458</v>
      </c>
      <c r="B28" s="227" t="s">
        <v>1457</v>
      </c>
      <c r="C28" s="388"/>
    </row>
    <row r="29" spans="1:12" s="396" customFormat="1">
      <c r="A29" s="388" t="s">
        <v>1459</v>
      </c>
      <c r="B29" s="227" t="s">
        <v>2388</v>
      </c>
      <c r="C29" s="388"/>
    </row>
    <row r="30" spans="1:12" s="396" customFormat="1">
      <c r="A30" s="388"/>
      <c r="B30" s="227"/>
      <c r="C30" s="388"/>
    </row>
    <row r="31" spans="1:12" s="58" customFormat="1">
      <c r="B31" s="396"/>
      <c r="C31" s="388"/>
      <c r="D31" s="388"/>
      <c r="E31" s="396"/>
      <c r="F31" s="59"/>
      <c r="H31" s="217" t="s">
        <v>149</v>
      </c>
      <c r="J31" s="59"/>
      <c r="K31" s="217" t="str">
        <f>'lead 19-20'!K31</f>
        <v>Assistant  Engineer</v>
      </c>
      <c r="L31" s="59"/>
    </row>
    <row r="32" spans="1:12" s="58" customFormat="1">
      <c r="B32" s="396"/>
      <c r="C32" s="388"/>
      <c r="D32" s="388"/>
      <c r="E32" s="396"/>
      <c r="H32" s="217" t="s">
        <v>858</v>
      </c>
      <c r="J32" s="59"/>
      <c r="K32" s="217" t="str">
        <f>'lead 19-20'!K32</f>
        <v>Mandal Praja parishad</v>
      </c>
      <c r="L32" s="59"/>
    </row>
    <row r="33" spans="1:11" s="396" customFormat="1">
      <c r="A33" s="388"/>
      <c r="C33" s="388"/>
      <c r="D33" s="388"/>
      <c r="H33" s="217" t="s">
        <v>1525</v>
      </c>
      <c r="K33" s="217" t="str">
        <f>'lead 19-20'!K33</f>
        <v>Kanigiri</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C2:L2"/>
    <mergeCell ref="A5:A6"/>
    <mergeCell ref="B5:B6"/>
    <mergeCell ref="C5:C6"/>
    <mergeCell ref="D5:D6"/>
    <mergeCell ref="E5:E6"/>
    <mergeCell ref="F5:F6"/>
    <mergeCell ref="G5:G6"/>
    <mergeCell ref="H5:H6"/>
  </mergeCells>
  <pageMargins left="0.71" right="0.2" top="0.25" bottom="0.25" header="0.3" footer="0.3"/>
  <pageSetup paperSize="9" orientation="landscape" verticalDpi="300" r:id="rId1"/>
  <rowBreaks count="1" manualBreakCount="1">
    <brk id="34" max="16383" man="1"/>
  </rowBreaks>
</worksheet>
</file>

<file path=xl/worksheets/sheet19.xml><?xml version="1.0" encoding="utf-8"?>
<worksheet xmlns="http://schemas.openxmlformats.org/spreadsheetml/2006/main" xmlns:r="http://schemas.openxmlformats.org/officeDocument/2006/relationships">
  <sheetPr>
    <tabColor rgb="FF00B050"/>
  </sheetPr>
  <dimension ref="A1:O35"/>
  <sheetViews>
    <sheetView view="pageBreakPreview" topLeftCell="A10" zoomScale="115" zoomScaleNormal="130" zoomScaleSheetLayoutView="115" workbookViewId="0">
      <selection activeCell="G32" sqref="G32"/>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6" width="7.140625" style="215" customWidth="1"/>
    <col min="7"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888" t="s">
        <v>2310</v>
      </c>
      <c r="B1" s="1889"/>
      <c r="C1" s="1889"/>
      <c r="D1" s="1889"/>
      <c r="E1" s="1889"/>
      <c r="F1" s="1889"/>
      <c r="G1" s="1889"/>
      <c r="H1" s="1889"/>
      <c r="I1" s="1889"/>
      <c r="J1" s="1889"/>
      <c r="K1" s="1889"/>
      <c r="L1" s="1889"/>
    </row>
    <row r="2" spans="1:15" s="214" customFormat="1" ht="27.75" customHeight="1">
      <c r="A2" s="370"/>
      <c r="B2" s="57" t="s">
        <v>836</v>
      </c>
      <c r="C2" s="1890" t="str">
        <f>'lead 19-20'!C2:L2</f>
        <v>Providing Additional Space for Agriculture Staff in  Baduguleru GP of Kanigiri Mandal</v>
      </c>
      <c r="D2" s="1890"/>
      <c r="E2" s="1890"/>
      <c r="F2" s="1890"/>
      <c r="G2" s="1890"/>
      <c r="H2" s="1890"/>
      <c r="I2" s="1890"/>
      <c r="J2" s="1890"/>
      <c r="K2" s="1890"/>
      <c r="L2" s="1890"/>
    </row>
    <row r="3" spans="1:15" s="214" customFormat="1" ht="20.100000000000001" customHeight="1">
      <c r="A3" s="371"/>
      <c r="B3" s="372"/>
      <c r="C3" s="373" t="s">
        <v>2311</v>
      </c>
      <c r="D3" s="371"/>
      <c r="E3" s="374"/>
      <c r="F3" s="374"/>
      <c r="G3" s="374"/>
      <c r="H3" s="374"/>
      <c r="I3" s="374"/>
      <c r="J3" s="372"/>
      <c r="K3" s="372"/>
      <c r="L3" s="374"/>
      <c r="M3" s="214" t="s">
        <v>837</v>
      </c>
      <c r="N3" s="214">
        <f>'lead 19-20'!N3</f>
        <v>85</v>
      </c>
    </row>
    <row r="4" spans="1:15" ht="15" customHeight="1">
      <c r="A4" s="375"/>
      <c r="B4" s="218" t="s">
        <v>838</v>
      </c>
      <c r="C4" s="454" t="str">
        <f>'lead 19-20'!C4</f>
        <v>No: 087043102002090039</v>
      </c>
      <c r="D4" s="375"/>
      <c r="E4" s="376"/>
      <c r="F4" s="375"/>
      <c r="G4" s="376"/>
      <c r="H4" s="376"/>
      <c r="I4" s="376"/>
      <c r="J4" s="377" t="s">
        <v>839</v>
      </c>
      <c r="K4" s="378" t="str">
        <f>'lead 19-20'!K4</f>
        <v>21.80 Lakhs</v>
      </c>
      <c r="L4" s="375"/>
      <c r="M4" s="215" t="s">
        <v>139</v>
      </c>
      <c r="N4" s="214">
        <f>'lead 19-20'!N4</f>
        <v>50</v>
      </c>
    </row>
    <row r="5" spans="1:15" s="216" customFormat="1" ht="31.5" customHeight="1">
      <c r="A5" s="1886" t="s">
        <v>840</v>
      </c>
      <c r="B5" s="1886" t="s">
        <v>322</v>
      </c>
      <c r="C5" s="1886" t="s">
        <v>841</v>
      </c>
      <c r="D5" s="1886" t="s">
        <v>842</v>
      </c>
      <c r="E5" s="1886" t="s">
        <v>253</v>
      </c>
      <c r="F5" s="1886" t="s">
        <v>843</v>
      </c>
      <c r="G5" s="1886" t="s">
        <v>844</v>
      </c>
      <c r="H5" s="1886" t="s">
        <v>17</v>
      </c>
      <c r="I5" s="1886" t="s">
        <v>845</v>
      </c>
      <c r="J5" s="1886" t="s">
        <v>1321</v>
      </c>
      <c r="K5" s="1887" t="s">
        <v>1323</v>
      </c>
      <c r="L5" s="1887" t="s">
        <v>117</v>
      </c>
      <c r="M5" s="216" t="s">
        <v>846</v>
      </c>
      <c r="N5" s="214">
        <f>'lead 19-20'!N5</f>
        <v>48</v>
      </c>
    </row>
    <row r="6" spans="1:15" s="216" customFormat="1" ht="18" customHeight="1">
      <c r="A6" s="1886"/>
      <c r="B6" s="1886"/>
      <c r="C6" s="1886"/>
      <c r="D6" s="1886"/>
      <c r="E6" s="1886"/>
      <c r="F6" s="1886"/>
      <c r="G6" s="1886"/>
      <c r="H6" s="1886"/>
      <c r="I6" s="1886"/>
      <c r="J6" s="1886"/>
      <c r="K6" s="1887"/>
      <c r="L6" s="1887"/>
      <c r="M6" s="216" t="s">
        <v>1523</v>
      </c>
      <c r="N6" s="214">
        <f>'lead 19-20'!N6</f>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21-22'!C4</f>
        <v>4700</v>
      </c>
      <c r="H8" s="386"/>
      <c r="I8" s="386"/>
      <c r="J8" s="386"/>
      <c r="K8" s="386"/>
      <c r="L8" s="387">
        <f t="shared" ref="L8:L25" si="0">SUM(F8:K8)</f>
        <v>4700</v>
      </c>
    </row>
    <row r="9" spans="1:15" s="388" customFormat="1">
      <c r="A9" s="382">
        <v>2</v>
      </c>
      <c r="B9" s="383" t="s">
        <v>1706</v>
      </c>
      <c r="C9" s="384" t="s">
        <v>29</v>
      </c>
      <c r="D9" s="385" t="s">
        <v>3</v>
      </c>
      <c r="E9" s="386" t="s">
        <v>15</v>
      </c>
      <c r="F9" s="386">
        <v>0</v>
      </c>
      <c r="G9" s="386">
        <f>'MINI SSR 21-22'!C5</f>
        <v>54500</v>
      </c>
      <c r="H9" s="386"/>
      <c r="I9" s="386">
        <f>G9*18%</f>
        <v>9810</v>
      </c>
      <c r="J9" s="386"/>
      <c r="K9" s="386"/>
      <c r="L9" s="387">
        <f t="shared" si="0"/>
        <v>64310</v>
      </c>
    </row>
    <row r="10" spans="1:15" s="388" customFormat="1">
      <c r="A10" s="382">
        <v>3</v>
      </c>
      <c r="B10" s="389" t="s">
        <v>848</v>
      </c>
      <c r="C10" s="384" t="s">
        <v>29</v>
      </c>
      <c r="D10" s="385" t="s">
        <v>3</v>
      </c>
      <c r="E10" s="386"/>
      <c r="F10" s="386"/>
      <c r="G10" s="386">
        <f>'MINI SSR 21-22'!C7</f>
        <v>52000</v>
      </c>
      <c r="H10" s="386"/>
      <c r="I10" s="386">
        <f>G10*18%</f>
        <v>9360</v>
      </c>
      <c r="J10" s="386"/>
      <c r="K10" s="386"/>
      <c r="L10" s="387">
        <f t="shared" si="0"/>
        <v>61360</v>
      </c>
    </row>
    <row r="11" spans="1:15" s="388" customFormat="1">
      <c r="A11" s="382">
        <v>4</v>
      </c>
      <c r="B11" s="389" t="s">
        <v>849</v>
      </c>
      <c r="C11" s="384" t="s">
        <v>29</v>
      </c>
      <c r="D11" s="385" t="s">
        <v>3</v>
      </c>
      <c r="E11" s="386"/>
      <c r="F11" s="386"/>
      <c r="G11" s="386">
        <f>'MINI SSR 21-22'!C8</f>
        <v>54000</v>
      </c>
      <c r="H11" s="386"/>
      <c r="I11" s="386"/>
      <c r="J11" s="386"/>
      <c r="K11" s="386"/>
      <c r="L11" s="387">
        <f t="shared" si="0"/>
        <v>54000</v>
      </c>
    </row>
    <row r="12" spans="1:15" s="388" customFormat="1">
      <c r="A12" s="382">
        <v>5</v>
      </c>
      <c r="B12" s="389" t="s">
        <v>850</v>
      </c>
      <c r="C12" s="384" t="s">
        <v>5</v>
      </c>
      <c r="D12" s="390" t="s">
        <v>2442</v>
      </c>
      <c r="E12" s="391">
        <f>N3</f>
        <v>85</v>
      </c>
      <c r="F12" s="391">
        <f>VLOOKUP(E12,'con 2021-22'!$A$6:$F$287,2,FALSE)</f>
        <v>1043.4000000000019</v>
      </c>
      <c r="G12" s="386">
        <f>'MINI SSR 21-22'!C9</f>
        <v>700</v>
      </c>
      <c r="H12" s="386"/>
      <c r="I12" s="386"/>
      <c r="J12" s="386"/>
      <c r="K12" s="386"/>
      <c r="L12" s="387">
        <f t="shared" si="0"/>
        <v>1743.4000000000019</v>
      </c>
    </row>
    <row r="13" spans="1:15" s="388" customFormat="1">
      <c r="A13" s="382">
        <v>5</v>
      </c>
      <c r="B13" s="389" t="s">
        <v>851</v>
      </c>
      <c r="C13" s="384" t="s">
        <v>5</v>
      </c>
      <c r="D13" s="390" t="str">
        <f>D12</f>
        <v>Local vagu</v>
      </c>
      <c r="E13" s="391">
        <f>E12</f>
        <v>85</v>
      </c>
      <c r="F13" s="391">
        <f>VLOOKUP(E13,'con 2021-22'!$A$6:$F$287,2,FALSE)</f>
        <v>1043.4000000000019</v>
      </c>
      <c r="G13" s="386">
        <f>'MINI SSR 21-22'!C10</f>
        <v>605</v>
      </c>
      <c r="H13" s="386"/>
      <c r="I13" s="386"/>
      <c r="J13" s="386"/>
      <c r="K13" s="386"/>
      <c r="L13" s="387">
        <f t="shared" si="0"/>
        <v>1648.4000000000019</v>
      </c>
    </row>
    <row r="14" spans="1:15" s="388" customFormat="1">
      <c r="A14" s="382">
        <v>6</v>
      </c>
      <c r="B14" s="389" t="s">
        <v>768</v>
      </c>
      <c r="C14" s="384" t="s">
        <v>5</v>
      </c>
      <c r="D14" s="390" t="str">
        <f>D13</f>
        <v>Local vagu</v>
      </c>
      <c r="E14" s="391">
        <f>E13</f>
        <v>85</v>
      </c>
      <c r="F14" s="391">
        <f>VLOOKUP(E14,'con 2021-22'!A8:F287,2,FALSE)</f>
        <v>1043.4000000000019</v>
      </c>
      <c r="G14" s="386">
        <f>'MINI SSR 21-22'!C11</f>
        <v>460</v>
      </c>
      <c r="H14" s="386"/>
      <c r="I14" s="386"/>
      <c r="J14" s="386"/>
      <c r="K14" s="386"/>
      <c r="L14" s="387">
        <f t="shared" si="0"/>
        <v>1503.4000000000019</v>
      </c>
    </row>
    <row r="15" spans="1:15" s="388" customFormat="1">
      <c r="A15" s="382">
        <v>7</v>
      </c>
      <c r="B15" s="389" t="s">
        <v>1320</v>
      </c>
      <c r="C15" s="384" t="s">
        <v>852</v>
      </c>
      <c r="D15" s="390" t="s">
        <v>1524</v>
      </c>
      <c r="E15" s="391">
        <f>N5</f>
        <v>48</v>
      </c>
      <c r="F15" s="391">
        <f>VLOOKUP(E15,'con 2021-22'!$A$5:$F$287,4,FALSE)</f>
        <v>1012.7000000000006</v>
      </c>
      <c r="G15" s="386">
        <f>'MINI SSR 21-22'!C12</f>
        <v>6400</v>
      </c>
      <c r="H15" s="386"/>
      <c r="I15" s="386"/>
      <c r="J15" s="386">
        <f>'MINI SSR 21-22'!D12</f>
        <v>63.9</v>
      </c>
      <c r="K15" s="386">
        <f>'MINI SSR 21-22'!E12</f>
        <v>63.9</v>
      </c>
      <c r="L15" s="387">
        <f t="shared" si="0"/>
        <v>7540.5</v>
      </c>
    </row>
    <row r="16" spans="1:15" s="388" customFormat="1">
      <c r="A16" s="382">
        <v>8</v>
      </c>
      <c r="B16" s="389" t="s">
        <v>853</v>
      </c>
      <c r="C16" s="384" t="s">
        <v>5</v>
      </c>
      <c r="D16" s="390" t="s">
        <v>2024</v>
      </c>
      <c r="E16" s="391">
        <f>N4</f>
        <v>50</v>
      </c>
      <c r="F16" s="391">
        <f>VLOOKUP(E16,'con 2021-22'!$A$5:$F$287,3,FALSE)</f>
        <v>627.59999999999968</v>
      </c>
      <c r="G16" s="386">
        <f>'MINI SSR 21-22'!C13</f>
        <v>649</v>
      </c>
      <c r="H16" s="386">
        <v>70</v>
      </c>
      <c r="I16" s="386">
        <f>ROUND(G16*0.25,2)</f>
        <v>162.25</v>
      </c>
      <c r="J16" s="386"/>
      <c r="K16" s="386"/>
      <c r="L16" s="387">
        <f t="shared" si="0"/>
        <v>1508.8499999999997</v>
      </c>
    </row>
    <row r="17" spans="1:12" s="392" customFormat="1">
      <c r="A17" s="382">
        <v>9</v>
      </c>
      <c r="B17" s="389" t="s">
        <v>854</v>
      </c>
      <c r="C17" s="384" t="s">
        <v>5</v>
      </c>
      <c r="D17" s="390" t="str">
        <f t="shared" ref="D17:E20" si="1">D16</f>
        <v>Ramatherdham</v>
      </c>
      <c r="E17" s="391">
        <f t="shared" si="1"/>
        <v>50</v>
      </c>
      <c r="F17" s="391">
        <f>VLOOKUP(E17,'con 2021-22'!$A$5:$F$287,3,FALSE)</f>
        <v>627.59999999999968</v>
      </c>
      <c r="G17" s="386">
        <f>'MINI SSR 21-22'!C14</f>
        <v>1079</v>
      </c>
      <c r="H17" s="386">
        <v>70</v>
      </c>
      <c r="I17" s="386">
        <f>ROUND(G17*0.25,2)</f>
        <v>269.75</v>
      </c>
      <c r="J17" s="386"/>
      <c r="K17" s="386"/>
      <c r="L17" s="387">
        <f t="shared" si="0"/>
        <v>2046.3499999999997</v>
      </c>
    </row>
    <row r="18" spans="1:12" s="392" customFormat="1">
      <c r="A18" s="382">
        <v>10</v>
      </c>
      <c r="B18" s="389" t="s">
        <v>855</v>
      </c>
      <c r="C18" s="384" t="s">
        <v>5</v>
      </c>
      <c r="D18" s="390" t="str">
        <f t="shared" si="1"/>
        <v>Ramatherdham</v>
      </c>
      <c r="E18" s="391">
        <f t="shared" si="1"/>
        <v>50</v>
      </c>
      <c r="F18" s="391">
        <f>VLOOKUP(E18,'con 2021-22'!$A$5:$F$287,3,FALSE)</f>
        <v>627.59999999999968</v>
      </c>
      <c r="G18" s="386">
        <f>'MINI SSR 21-22'!C15</f>
        <v>860</v>
      </c>
      <c r="H18" s="386">
        <v>70</v>
      </c>
      <c r="I18" s="386">
        <f>ROUND(G18*0.25,2)</f>
        <v>215</v>
      </c>
      <c r="J18" s="386"/>
      <c r="K18" s="386"/>
      <c r="L18" s="387">
        <f t="shared" si="0"/>
        <v>1772.5999999999997</v>
      </c>
    </row>
    <row r="19" spans="1:12" s="392" customFormat="1">
      <c r="A19" s="382">
        <v>11</v>
      </c>
      <c r="B19" s="389" t="s">
        <v>856</v>
      </c>
      <c r="C19" s="384" t="s">
        <v>5</v>
      </c>
      <c r="D19" s="390" t="str">
        <f t="shared" si="1"/>
        <v>Ramatherdham</v>
      </c>
      <c r="E19" s="391">
        <f t="shared" si="1"/>
        <v>50</v>
      </c>
      <c r="F19" s="391">
        <f>VLOOKUP(E19,'con 2021-22'!$A$5:$F$287,3,FALSE)</f>
        <v>627.59999999999968</v>
      </c>
      <c r="G19" s="386">
        <f>'MINI SSR 21-22'!C16</f>
        <v>726</v>
      </c>
      <c r="H19" s="386">
        <v>70</v>
      </c>
      <c r="I19" s="386">
        <f>ROUND(G19*0.25,2)</f>
        <v>181.5</v>
      </c>
      <c r="J19" s="386"/>
      <c r="K19" s="386"/>
      <c r="L19" s="387">
        <f t="shared" si="0"/>
        <v>1605.0999999999997</v>
      </c>
    </row>
    <row r="20" spans="1:12" s="392" customFormat="1">
      <c r="A20" s="382">
        <v>12</v>
      </c>
      <c r="B20" s="389" t="s">
        <v>857</v>
      </c>
      <c r="C20" s="384" t="s">
        <v>5</v>
      </c>
      <c r="D20" s="390" t="str">
        <f t="shared" si="1"/>
        <v>Ramatherdham</v>
      </c>
      <c r="E20" s="391">
        <f t="shared" si="1"/>
        <v>50</v>
      </c>
      <c r="F20" s="391">
        <f>VLOOKUP(E20,'con 2021-22'!$A$5:$F$287,3,FALSE)</f>
        <v>627.59999999999968</v>
      </c>
      <c r="G20" s="386">
        <f>'MINI SSR 21-22'!C17</f>
        <v>576</v>
      </c>
      <c r="H20" s="386">
        <v>70</v>
      </c>
      <c r="I20" s="386">
        <f>ROUND(G20*0.25,2)</f>
        <v>144</v>
      </c>
      <c r="J20" s="386"/>
      <c r="K20" s="386"/>
      <c r="L20" s="387">
        <f t="shared" si="0"/>
        <v>1417.5999999999997</v>
      </c>
    </row>
    <row r="21" spans="1:12" s="392" customFormat="1">
      <c r="A21" s="382">
        <v>13</v>
      </c>
      <c r="B21" s="389" t="s">
        <v>1194</v>
      </c>
      <c r="C21" s="384" t="s">
        <v>5</v>
      </c>
      <c r="D21" s="390" t="str">
        <f>D20</f>
        <v>Ramatherdham</v>
      </c>
      <c r="E21" s="391">
        <f>E20</f>
        <v>50</v>
      </c>
      <c r="F21" s="391">
        <f>VLOOKUP(E21,'con 2021-22'!$A$5:$F$287,3,FALSE)</f>
        <v>627.59999999999968</v>
      </c>
      <c r="G21" s="386">
        <f>'MINI SSR 21-22'!C18</f>
        <v>283</v>
      </c>
      <c r="H21" s="386">
        <v>70</v>
      </c>
      <c r="I21" s="386"/>
      <c r="J21" s="386"/>
      <c r="K21" s="386"/>
      <c r="L21" s="387">
        <f t="shared" si="0"/>
        <v>980.59999999999968</v>
      </c>
    </row>
    <row r="22" spans="1:12" s="388" customFormat="1">
      <c r="A22" s="382">
        <v>14</v>
      </c>
      <c r="B22" s="393" t="s">
        <v>1322</v>
      </c>
      <c r="C22" s="384" t="s">
        <v>102</v>
      </c>
      <c r="D22" s="390" t="str">
        <f>D21</f>
        <v>Ramatherdham</v>
      </c>
      <c r="E22" s="391">
        <f>E20</f>
        <v>50</v>
      </c>
      <c r="F22" s="391">
        <f>VLOOKUP(E22,'con 2021-22'!$A$5:$F$287,5,FALSE)*0.16</f>
        <v>147.66399999999999</v>
      </c>
      <c r="G22" s="386">
        <f>'MINI SSR 21-22'!C19</f>
        <v>1991</v>
      </c>
      <c r="H22" s="386"/>
      <c r="I22" s="386"/>
      <c r="J22" s="386"/>
      <c r="K22" s="386"/>
      <c r="L22" s="387">
        <f t="shared" si="0"/>
        <v>2138.6639999999998</v>
      </c>
    </row>
    <row r="23" spans="1:12" s="388" customFormat="1">
      <c r="A23" s="382">
        <v>15</v>
      </c>
      <c r="B23" s="389" t="s">
        <v>3399</v>
      </c>
      <c r="C23" s="384"/>
      <c r="D23" s="390" t="s">
        <v>1210</v>
      </c>
      <c r="E23" s="391">
        <f>N6</f>
        <v>72</v>
      </c>
      <c r="F23" s="391">
        <f>VLOOKUP(E23,'con 2021-22'!$A$5:$F$287,4,FALSE)</f>
        <v>1447.0999999999985</v>
      </c>
      <c r="G23" s="386">
        <f>'MINI SSR 21-22'!C24</f>
        <v>18000</v>
      </c>
      <c r="H23" s="386"/>
      <c r="I23" s="386"/>
      <c r="J23" s="386"/>
      <c r="K23" s="386"/>
      <c r="L23" s="387">
        <f t="shared" si="0"/>
        <v>19447.099999999999</v>
      </c>
    </row>
    <row r="24" spans="1:12" s="388" customFormat="1">
      <c r="A24" s="382">
        <v>16</v>
      </c>
      <c r="B24" s="389" t="s">
        <v>860</v>
      </c>
      <c r="C24" s="384" t="s">
        <v>5</v>
      </c>
      <c r="D24" s="390" t="s">
        <v>3</v>
      </c>
      <c r="E24" s="391">
        <v>5</v>
      </c>
      <c r="F24" s="391">
        <f>VLOOKUP(E24,'con 2021-22'!$A$6:$F$287,2,FALSE)</f>
        <v>89.9</v>
      </c>
      <c r="G24" s="386">
        <f>'MINI SSR 21-22'!C25</f>
        <v>84.75</v>
      </c>
      <c r="H24" s="386"/>
      <c r="I24" s="386"/>
      <c r="J24" s="386"/>
      <c r="K24" s="386"/>
      <c r="L24" s="387">
        <f t="shared" si="0"/>
        <v>174.65</v>
      </c>
    </row>
    <row r="25" spans="1:12" s="388" customFormat="1">
      <c r="A25" s="382">
        <v>17</v>
      </c>
      <c r="B25" s="389" t="s">
        <v>664</v>
      </c>
      <c r="C25" s="384" t="s">
        <v>5</v>
      </c>
      <c r="D25" s="390" t="s">
        <v>3</v>
      </c>
      <c r="E25" s="391">
        <v>6</v>
      </c>
      <c r="F25" s="391">
        <f>VLOOKUP(E25,'con 2021-22'!$A$6:$F$287,2,FALSE)</f>
        <v>103.4</v>
      </c>
      <c r="G25" s="386">
        <f>'MINI SSR 21-22'!C26</f>
        <v>138</v>
      </c>
      <c r="H25" s="386"/>
      <c r="I25" s="386"/>
      <c r="J25" s="386"/>
      <c r="K25" s="386"/>
      <c r="L25" s="387">
        <f t="shared" si="0"/>
        <v>241.4</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1458</v>
      </c>
      <c r="B28" s="227" t="s">
        <v>1457</v>
      </c>
      <c r="C28" s="388"/>
    </row>
    <row r="29" spans="1:12" s="396" customFormat="1">
      <c r="A29" s="388" t="s">
        <v>1459</v>
      </c>
      <c r="B29" s="227" t="s">
        <v>2389</v>
      </c>
      <c r="C29" s="388"/>
    </row>
    <row r="30" spans="1:12" s="396" customFormat="1">
      <c r="A30" s="388"/>
      <c r="B30" s="227"/>
      <c r="C30" s="388"/>
    </row>
    <row r="31" spans="1:12" s="58" customFormat="1">
      <c r="B31" s="396"/>
      <c r="C31" s="388"/>
      <c r="D31" s="388"/>
      <c r="E31" s="396"/>
      <c r="F31" s="59"/>
      <c r="H31" s="217" t="s">
        <v>149</v>
      </c>
      <c r="J31" s="59"/>
      <c r="K31" s="217" t="str">
        <f>'lead 19-20'!K31</f>
        <v>Assistant  Engineer</v>
      </c>
      <c r="L31" s="59"/>
    </row>
    <row r="32" spans="1:12" s="58" customFormat="1">
      <c r="B32" s="396"/>
      <c r="C32" s="388"/>
      <c r="D32" s="388"/>
      <c r="E32" s="396"/>
      <c r="H32" s="217" t="s">
        <v>858</v>
      </c>
      <c r="J32" s="59"/>
      <c r="K32" s="217" t="str">
        <f>'lead 19-20'!K32</f>
        <v>Mandal Praja parishad</v>
      </c>
      <c r="L32" s="59"/>
    </row>
    <row r="33" spans="1:11" s="396" customFormat="1">
      <c r="A33" s="388"/>
      <c r="C33" s="388"/>
      <c r="D33" s="388"/>
      <c r="H33" s="217" t="s">
        <v>1525</v>
      </c>
      <c r="K33" s="217" t="str">
        <f>'lead 19-20'!K33</f>
        <v>Kanigiri</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C2:L2"/>
    <mergeCell ref="A5:A6"/>
    <mergeCell ref="B5:B6"/>
    <mergeCell ref="C5:C6"/>
    <mergeCell ref="D5:D6"/>
    <mergeCell ref="E5:E6"/>
    <mergeCell ref="F5:F6"/>
    <mergeCell ref="G5:G6"/>
    <mergeCell ref="H5:H6"/>
  </mergeCells>
  <pageMargins left="0.71" right="0.2" top="0.25" bottom="0.25" header="0.3" footer="0.3"/>
  <pageSetup paperSize="9" orientation="landscape" verticalDpi="300" r:id="rId1"/>
  <rowBreaks count="1" manualBreakCount="1">
    <brk id="34" max="16383" man="1"/>
  </rowBreaks>
</worksheet>
</file>

<file path=xl/worksheets/sheet20.xml><?xml version="1.0" encoding="utf-8"?>
<worksheet xmlns="http://schemas.openxmlformats.org/spreadsheetml/2006/main" xmlns:r="http://schemas.openxmlformats.org/officeDocument/2006/relationships">
  <sheetPr>
    <tabColor rgb="FF7030A0"/>
  </sheetPr>
  <dimension ref="A1:O35"/>
  <sheetViews>
    <sheetView view="pageBreakPreview" topLeftCell="A7" zoomScale="115" zoomScaleNormal="130" zoomScaleSheetLayoutView="115" workbookViewId="0">
      <selection activeCell="H20" sqref="H20"/>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6" width="7.140625" style="215" customWidth="1"/>
    <col min="7"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888" t="s">
        <v>2386</v>
      </c>
      <c r="B1" s="1889"/>
      <c r="C1" s="1889"/>
      <c r="D1" s="1889"/>
      <c r="E1" s="1889"/>
      <c r="F1" s="1889"/>
      <c r="G1" s="1889"/>
      <c r="H1" s="1889"/>
      <c r="I1" s="1889"/>
      <c r="J1" s="1889"/>
      <c r="K1" s="1889"/>
      <c r="L1" s="1889"/>
    </row>
    <row r="2" spans="1:15" s="214" customFormat="1" ht="27.75" customHeight="1">
      <c r="A2" s="370"/>
      <c r="B2" s="57" t="s">
        <v>836</v>
      </c>
      <c r="C2" s="1890" t="str">
        <f>'lead 19-20'!C2</f>
        <v>Providing Additional Space for Agriculture Staff in  Baduguleru GP of Kanigiri Mandal</v>
      </c>
      <c r="D2" s="1890"/>
      <c r="E2" s="1890"/>
      <c r="F2" s="1890"/>
      <c r="G2" s="1890"/>
      <c r="H2" s="1890"/>
      <c r="I2" s="1890"/>
      <c r="J2" s="1890"/>
      <c r="K2" s="1890"/>
      <c r="L2" s="1890"/>
    </row>
    <row r="3" spans="1:15" s="214" customFormat="1" ht="20.100000000000001" customHeight="1">
      <c r="A3" s="371"/>
      <c r="B3" s="372"/>
      <c r="C3" s="373" t="s">
        <v>2387</v>
      </c>
      <c r="D3" s="371"/>
      <c r="E3" s="374"/>
      <c r="F3" s="374"/>
      <c r="G3" s="374"/>
      <c r="H3" s="374"/>
      <c r="I3" s="374"/>
      <c r="J3" s="372"/>
      <c r="K3" s="372"/>
      <c r="L3" s="374"/>
      <c r="M3" s="214" t="s">
        <v>837</v>
      </c>
      <c r="N3" s="214">
        <f>'lead 19-20'!N3</f>
        <v>85</v>
      </c>
    </row>
    <row r="4" spans="1:15" ht="15" customHeight="1">
      <c r="A4" s="375"/>
      <c r="B4" s="218" t="s">
        <v>838</v>
      </c>
      <c r="C4" s="454" t="str">
        <f>'lead 19-20'!C4</f>
        <v>No: 087043102002090039</v>
      </c>
      <c r="D4" s="375"/>
      <c r="E4" s="376"/>
      <c r="F4" s="375"/>
      <c r="G4" s="376"/>
      <c r="H4" s="376"/>
      <c r="I4" s="376"/>
      <c r="J4" s="377" t="s">
        <v>839</v>
      </c>
      <c r="K4" s="378" t="str">
        <f>'lead 19-20'!K4</f>
        <v>21.80 Lakhs</v>
      </c>
      <c r="L4" s="375"/>
      <c r="M4" s="215" t="s">
        <v>139</v>
      </c>
      <c r="N4" s="214">
        <f>'lead 19-20'!N4</f>
        <v>50</v>
      </c>
    </row>
    <row r="5" spans="1:15" s="216" customFormat="1" ht="31.5" customHeight="1">
      <c r="A5" s="1886" t="s">
        <v>840</v>
      </c>
      <c r="B5" s="1886" t="s">
        <v>322</v>
      </c>
      <c r="C5" s="1886" t="s">
        <v>841</v>
      </c>
      <c r="D5" s="1886" t="s">
        <v>842</v>
      </c>
      <c r="E5" s="1886" t="s">
        <v>253</v>
      </c>
      <c r="F5" s="1886" t="s">
        <v>843</v>
      </c>
      <c r="G5" s="1886" t="s">
        <v>844</v>
      </c>
      <c r="H5" s="1886" t="s">
        <v>17</v>
      </c>
      <c r="I5" s="1886" t="s">
        <v>845</v>
      </c>
      <c r="J5" s="1886" t="s">
        <v>1321</v>
      </c>
      <c r="K5" s="1887" t="s">
        <v>1323</v>
      </c>
      <c r="L5" s="1887" t="s">
        <v>117</v>
      </c>
      <c r="M5" s="216" t="s">
        <v>846</v>
      </c>
      <c r="N5" s="214">
        <f>'lead 19-20'!N5</f>
        <v>48</v>
      </c>
    </row>
    <row r="6" spans="1:15" s="216" customFormat="1" ht="18" customHeight="1">
      <c r="A6" s="1886"/>
      <c r="B6" s="1886"/>
      <c r="C6" s="1886"/>
      <c r="D6" s="1886"/>
      <c r="E6" s="1886"/>
      <c r="F6" s="1886"/>
      <c r="G6" s="1886"/>
      <c r="H6" s="1886"/>
      <c r="I6" s="1886"/>
      <c r="J6" s="1886"/>
      <c r="K6" s="1887"/>
      <c r="L6" s="1887"/>
      <c r="M6" s="216" t="s">
        <v>1523</v>
      </c>
      <c r="N6" s="214">
        <f>'lead 19-20'!N6</f>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2022-23'!C4</f>
        <v>4700</v>
      </c>
      <c r="H8" s="386"/>
      <c r="I8" s="386"/>
      <c r="J8" s="386"/>
      <c r="K8" s="386"/>
      <c r="L8" s="387">
        <f t="shared" ref="L8:L25" si="0">SUM(F8:K8)</f>
        <v>4700</v>
      </c>
    </row>
    <row r="9" spans="1:15" s="388" customFormat="1">
      <c r="A9" s="382">
        <v>2</v>
      </c>
      <c r="B9" s="383" t="s">
        <v>1706</v>
      </c>
      <c r="C9" s="384" t="s">
        <v>29</v>
      </c>
      <c r="D9" s="385" t="s">
        <v>3</v>
      </c>
      <c r="E9" s="386" t="s">
        <v>15</v>
      </c>
      <c r="F9" s="386">
        <v>0</v>
      </c>
      <c r="G9" s="386">
        <f>'MINI SSR 2022-23'!C5</f>
        <v>64000</v>
      </c>
      <c r="H9" s="386"/>
      <c r="I9" s="386">
        <f>G9*18%</f>
        <v>11520</v>
      </c>
      <c r="J9" s="386"/>
      <c r="K9" s="386"/>
      <c r="L9" s="387">
        <f t="shared" si="0"/>
        <v>75520</v>
      </c>
    </row>
    <row r="10" spans="1:15" s="388" customFormat="1">
      <c r="A10" s="382">
        <v>3</v>
      </c>
      <c r="B10" s="389" t="s">
        <v>848</v>
      </c>
      <c r="C10" s="384" t="s">
        <v>29</v>
      </c>
      <c r="D10" s="385" t="s">
        <v>3</v>
      </c>
      <c r="E10" s="386"/>
      <c r="F10" s="386"/>
      <c r="G10" s="386">
        <f>'MINI SSR 2022-23'!C7</f>
        <v>62000</v>
      </c>
      <c r="H10" s="386"/>
      <c r="I10" s="386">
        <f>G10*18%</f>
        <v>11160</v>
      </c>
      <c r="J10" s="386"/>
      <c r="K10" s="386"/>
      <c r="L10" s="387">
        <f t="shared" si="0"/>
        <v>73160</v>
      </c>
    </row>
    <row r="11" spans="1:15" s="388" customFormat="1">
      <c r="A11" s="382">
        <v>4</v>
      </c>
      <c r="B11" s="389" t="s">
        <v>849</v>
      </c>
      <c r="C11" s="384" t="s">
        <v>29</v>
      </c>
      <c r="D11" s="385" t="s">
        <v>3</v>
      </c>
      <c r="E11" s="386"/>
      <c r="F11" s="386"/>
      <c r="G11" s="386">
        <f>'MINI SSR 2022-23'!C8</f>
        <v>62000</v>
      </c>
      <c r="H11" s="386"/>
      <c r="I11" s="386"/>
      <c r="J11" s="386"/>
      <c r="K11" s="386"/>
      <c r="L11" s="387">
        <f t="shared" si="0"/>
        <v>62000</v>
      </c>
    </row>
    <row r="12" spans="1:15" s="388" customFormat="1">
      <c r="A12" s="382">
        <v>5</v>
      </c>
      <c r="B12" s="389" t="s">
        <v>850</v>
      </c>
      <c r="C12" s="384" t="s">
        <v>5</v>
      </c>
      <c r="D12" s="390" t="s">
        <v>2740</v>
      </c>
      <c r="E12" s="391">
        <f>N3</f>
        <v>85</v>
      </c>
      <c r="F12" s="391">
        <f>VLOOKUP(E12,'con 2022-23'!$A$6:$F$305,2,FALSE)</f>
        <v>1115.9999999999998</v>
      </c>
      <c r="G12" s="386">
        <f>'MINI SSR 2022-23'!C9</f>
        <v>700</v>
      </c>
      <c r="H12" s="386"/>
      <c r="I12" s="386"/>
      <c r="J12" s="386"/>
      <c r="K12" s="386"/>
      <c r="L12" s="387">
        <f t="shared" si="0"/>
        <v>1815.9999999999998</v>
      </c>
    </row>
    <row r="13" spans="1:15" s="388" customFormat="1">
      <c r="A13" s="382">
        <v>5</v>
      </c>
      <c r="B13" s="389" t="s">
        <v>851</v>
      </c>
      <c r="C13" s="384" t="s">
        <v>5</v>
      </c>
      <c r="D13" s="390" t="str">
        <f>D12</f>
        <v>K.Bitragunta</v>
      </c>
      <c r="E13" s="391">
        <f>E12</f>
        <v>85</v>
      </c>
      <c r="F13" s="391">
        <f>VLOOKUP(E13,'con 2022-23'!$A$6:$F$305,2,FALSE)</f>
        <v>1115.9999999999998</v>
      </c>
      <c r="G13" s="386">
        <f>'MINI SSR 2022-23'!C10</f>
        <v>605</v>
      </c>
      <c r="H13" s="386"/>
      <c r="I13" s="386"/>
      <c r="J13" s="386"/>
      <c r="K13" s="386"/>
      <c r="L13" s="387">
        <f t="shared" si="0"/>
        <v>1720.9999999999998</v>
      </c>
    </row>
    <row r="14" spans="1:15" s="388" customFormat="1">
      <c r="A14" s="382">
        <v>6</v>
      </c>
      <c r="B14" s="389" t="s">
        <v>768</v>
      </c>
      <c r="C14" s="384" t="s">
        <v>5</v>
      </c>
      <c r="D14" s="390" t="str">
        <f>D13</f>
        <v>K.Bitragunta</v>
      </c>
      <c r="E14" s="391">
        <f>E13</f>
        <v>85</v>
      </c>
      <c r="F14" s="391">
        <f>VLOOKUP(E14,'con 2022-23'!A8:F307,2,FALSE)</f>
        <v>1115.9999999999998</v>
      </c>
      <c r="G14" s="386">
        <f>'MINI SSR 2022-23'!C11</f>
        <v>460</v>
      </c>
      <c r="H14" s="386"/>
      <c r="I14" s="386"/>
      <c r="J14" s="386"/>
      <c r="K14" s="386"/>
      <c r="L14" s="387">
        <f t="shared" si="0"/>
        <v>1575.9999999999998</v>
      </c>
    </row>
    <row r="15" spans="1:15" s="388" customFormat="1">
      <c r="A15" s="382">
        <v>7</v>
      </c>
      <c r="B15" s="389" t="s">
        <v>1320</v>
      </c>
      <c r="C15" s="384" t="s">
        <v>852</v>
      </c>
      <c r="D15" s="390" t="s">
        <v>1524</v>
      </c>
      <c r="E15" s="391">
        <f>N5</f>
        <v>48</v>
      </c>
      <c r="F15" s="391">
        <f>VLOOKUP(E15,'con 2022-23'!$A$5:$F$308,4,FALSE)</f>
        <v>1078.9999999999995</v>
      </c>
      <c r="G15" s="386">
        <f>'MINI SSR 2022-23'!C12</f>
        <v>7500</v>
      </c>
      <c r="H15" s="386"/>
      <c r="I15" s="386"/>
      <c r="J15" s="386">
        <f>'MINI SSR 2022-23'!D12</f>
        <v>68.5</v>
      </c>
      <c r="K15" s="386">
        <f>'MINI SSR 2022-23'!E12</f>
        <v>68.5</v>
      </c>
      <c r="L15" s="387">
        <f t="shared" si="0"/>
        <v>8716</v>
      </c>
    </row>
    <row r="16" spans="1:15" s="388" customFormat="1">
      <c r="A16" s="382">
        <v>8</v>
      </c>
      <c r="B16" s="389" t="s">
        <v>853</v>
      </c>
      <c r="C16" s="384" t="s">
        <v>5</v>
      </c>
      <c r="D16" s="390" t="s">
        <v>2024</v>
      </c>
      <c r="E16" s="391">
        <f>N4</f>
        <v>50</v>
      </c>
      <c r="F16" s="391">
        <f>VLOOKUP(E16,'con 2022-23'!$A$5:$F$309,3,FALSE)</f>
        <v>671.9000000000002</v>
      </c>
      <c r="G16" s="386">
        <f>'MINI SSR 2022-23'!C13</f>
        <v>716</v>
      </c>
      <c r="H16" s="386">
        <v>70</v>
      </c>
      <c r="I16" s="386">
        <f>ROUND(G16*0.25,2)</f>
        <v>179</v>
      </c>
      <c r="J16" s="386"/>
      <c r="K16" s="386"/>
      <c r="L16" s="387">
        <f t="shared" si="0"/>
        <v>1636.9</v>
      </c>
    </row>
    <row r="17" spans="1:12" s="392" customFormat="1">
      <c r="A17" s="382">
        <v>9</v>
      </c>
      <c r="B17" s="389" t="s">
        <v>854</v>
      </c>
      <c r="C17" s="384" t="s">
        <v>5</v>
      </c>
      <c r="D17" s="390" t="str">
        <f t="shared" ref="D17:E20" si="1">D16</f>
        <v>Ramatherdham</v>
      </c>
      <c r="E17" s="391">
        <f t="shared" si="1"/>
        <v>50</v>
      </c>
      <c r="F17" s="391">
        <f>VLOOKUP(E17,'con 2022-23'!$A$5:$F$309,3,FALSE)</f>
        <v>671.9000000000002</v>
      </c>
      <c r="G17" s="386">
        <f>'MINI SSR 2022-23'!C14</f>
        <v>1196</v>
      </c>
      <c r="H17" s="386">
        <v>70</v>
      </c>
      <c r="I17" s="386">
        <f>ROUND(G17*0.25,2)</f>
        <v>299</v>
      </c>
      <c r="J17" s="386"/>
      <c r="K17" s="386"/>
      <c r="L17" s="387">
        <f t="shared" si="0"/>
        <v>2236.9</v>
      </c>
    </row>
    <row r="18" spans="1:12" s="392" customFormat="1">
      <c r="A18" s="382">
        <v>10</v>
      </c>
      <c r="B18" s="389" t="s">
        <v>855</v>
      </c>
      <c r="C18" s="384" t="s">
        <v>5</v>
      </c>
      <c r="D18" s="390" t="str">
        <f t="shared" si="1"/>
        <v>Ramatherdham</v>
      </c>
      <c r="E18" s="391">
        <f t="shared" si="1"/>
        <v>50</v>
      </c>
      <c r="F18" s="391">
        <f>VLOOKUP(E18,'con 2022-23'!$A$5:$F$309,3,FALSE)</f>
        <v>671.9000000000002</v>
      </c>
      <c r="G18" s="386">
        <f>'MINI SSR 2022-23'!C15</f>
        <v>952</v>
      </c>
      <c r="H18" s="386">
        <v>70</v>
      </c>
      <c r="I18" s="386">
        <f>ROUND(G18*0.25,2)</f>
        <v>238</v>
      </c>
      <c r="J18" s="386"/>
      <c r="K18" s="386"/>
      <c r="L18" s="387">
        <f t="shared" si="0"/>
        <v>1931.9</v>
      </c>
    </row>
    <row r="19" spans="1:12" s="392" customFormat="1">
      <c r="A19" s="382">
        <v>11</v>
      </c>
      <c r="B19" s="389" t="s">
        <v>856</v>
      </c>
      <c r="C19" s="384" t="s">
        <v>5</v>
      </c>
      <c r="D19" s="390" t="str">
        <f t="shared" si="1"/>
        <v>Ramatherdham</v>
      </c>
      <c r="E19" s="391">
        <f t="shared" si="1"/>
        <v>50</v>
      </c>
      <c r="F19" s="391">
        <f>VLOOKUP(E19,'con 2022-23'!$A$5:$F$309,3,FALSE)</f>
        <v>671.9000000000002</v>
      </c>
      <c r="G19" s="386">
        <f>'MINI SSR 2022-23'!C16</f>
        <v>800</v>
      </c>
      <c r="H19" s="386">
        <v>70</v>
      </c>
      <c r="I19" s="386">
        <f>ROUND(G19*0.25,2)</f>
        <v>200</v>
      </c>
      <c r="J19" s="386"/>
      <c r="K19" s="386"/>
      <c r="L19" s="387">
        <f t="shared" si="0"/>
        <v>1741.9</v>
      </c>
    </row>
    <row r="20" spans="1:12" s="392" customFormat="1">
      <c r="A20" s="382">
        <v>12</v>
      </c>
      <c r="B20" s="389" t="s">
        <v>857</v>
      </c>
      <c r="C20" s="384" t="s">
        <v>5</v>
      </c>
      <c r="D20" s="390" t="str">
        <f t="shared" si="1"/>
        <v>Ramatherdham</v>
      </c>
      <c r="E20" s="391">
        <f t="shared" si="1"/>
        <v>50</v>
      </c>
      <c r="F20" s="391">
        <f>VLOOKUP(E20,'con 2022-23'!$A$5:$F$309,3,FALSE)</f>
        <v>671.9000000000002</v>
      </c>
      <c r="G20" s="386">
        <f>'MINI SSR 2022-23'!C17</f>
        <v>636</v>
      </c>
      <c r="H20" s="386">
        <v>70</v>
      </c>
      <c r="I20" s="386">
        <f>ROUND(G20*0.25,2)</f>
        <v>159</v>
      </c>
      <c r="J20" s="386"/>
      <c r="K20" s="386"/>
      <c r="L20" s="387">
        <f t="shared" si="0"/>
        <v>1536.9</v>
      </c>
    </row>
    <row r="21" spans="1:12" s="392" customFormat="1">
      <c r="A21" s="382">
        <v>13</v>
      </c>
      <c r="B21" s="389" t="s">
        <v>1194</v>
      </c>
      <c r="C21" s="384" t="s">
        <v>5</v>
      </c>
      <c r="D21" s="390" t="str">
        <f>D20</f>
        <v>Ramatherdham</v>
      </c>
      <c r="E21" s="391">
        <f>E20</f>
        <v>50</v>
      </c>
      <c r="F21" s="391">
        <f>VLOOKUP(E21,'con 2022-23'!$A$5:$F$309,3,FALSE)</f>
        <v>671.9000000000002</v>
      </c>
      <c r="G21" s="386">
        <f>'MINI SSR 2022-23'!C18</f>
        <v>298</v>
      </c>
      <c r="H21" s="386">
        <v>70</v>
      </c>
      <c r="I21" s="386"/>
      <c r="J21" s="386"/>
      <c r="K21" s="386"/>
      <c r="L21" s="387">
        <f t="shared" si="0"/>
        <v>1039.9000000000001</v>
      </c>
    </row>
    <row r="22" spans="1:12" s="388" customFormat="1">
      <c r="A22" s="382">
        <v>14</v>
      </c>
      <c r="B22" s="393" t="s">
        <v>1322</v>
      </c>
      <c r="C22" s="384" t="s">
        <v>102</v>
      </c>
      <c r="D22" s="390" t="str">
        <f>D21</f>
        <v>Ramatherdham</v>
      </c>
      <c r="E22" s="391">
        <f>E20</f>
        <v>50</v>
      </c>
      <c r="F22" s="391">
        <f>VLOOKUP(E22,'con 2022-23'!$A$5:$F$309,5,FALSE)*0.16</f>
        <v>157.74399999999994</v>
      </c>
      <c r="G22" s="386">
        <f>'MINI SSR 2022-23'!C19</f>
        <v>2100</v>
      </c>
      <c r="H22" s="386"/>
      <c r="I22" s="386"/>
      <c r="J22" s="386"/>
      <c r="K22" s="386"/>
      <c r="L22" s="387">
        <f t="shared" si="0"/>
        <v>2257.7440000000001</v>
      </c>
    </row>
    <row r="23" spans="1:12" s="388" customFormat="1" ht="25.5">
      <c r="A23" s="382">
        <v>15</v>
      </c>
      <c r="B23" s="389" t="s">
        <v>3257</v>
      </c>
      <c r="C23" s="384"/>
      <c r="D23" s="390" t="s">
        <v>1210</v>
      </c>
      <c r="E23" s="391">
        <f>N6</f>
        <v>72</v>
      </c>
      <c r="F23" s="391">
        <f>VLOOKUP(E23,'con 2022-23'!$A$5:$F$308,4,FALSE)</f>
        <v>1542.1999999999985</v>
      </c>
      <c r="G23" s="386">
        <f>'MINI SSR 2022-23'!C24</f>
        <v>18000</v>
      </c>
      <c r="H23" s="386"/>
      <c r="I23" s="386"/>
      <c r="J23" s="386"/>
      <c r="K23" s="386"/>
      <c r="L23" s="387">
        <f t="shared" si="0"/>
        <v>19542.199999999997</v>
      </c>
    </row>
    <row r="24" spans="1:12" s="388" customFormat="1">
      <c r="A24" s="382">
        <v>16</v>
      </c>
      <c r="B24" s="389" t="s">
        <v>860</v>
      </c>
      <c r="C24" s="384" t="s">
        <v>5</v>
      </c>
      <c r="D24" s="390" t="s">
        <v>3</v>
      </c>
      <c r="E24" s="391">
        <v>5</v>
      </c>
      <c r="F24" s="391">
        <f>VLOOKUP(E24,'con 2022-23'!$A$6:$F$305,2,FALSE)</f>
        <v>96</v>
      </c>
      <c r="G24" s="386">
        <f>'MINI SSR 2022-23'!C25</f>
        <v>93</v>
      </c>
      <c r="H24" s="386"/>
      <c r="I24" s="386"/>
      <c r="J24" s="386"/>
      <c r="K24" s="386"/>
      <c r="L24" s="387">
        <f t="shared" si="0"/>
        <v>189</v>
      </c>
    </row>
    <row r="25" spans="1:12" s="388" customFormat="1">
      <c r="A25" s="382">
        <v>17</v>
      </c>
      <c r="B25" s="389" t="s">
        <v>664</v>
      </c>
      <c r="C25" s="384" t="s">
        <v>5</v>
      </c>
      <c r="D25" s="390" t="s">
        <v>3</v>
      </c>
      <c r="E25" s="391">
        <v>5</v>
      </c>
      <c r="F25" s="391">
        <f>VLOOKUP(E25,'con 2022-23'!$A$6:$F$305,2,FALSE)</f>
        <v>96</v>
      </c>
      <c r="G25" s="386">
        <f>'MINI SSR 2022-23'!C26</f>
        <v>149</v>
      </c>
      <c r="H25" s="386"/>
      <c r="I25" s="386"/>
      <c r="J25" s="386"/>
      <c r="K25" s="386"/>
      <c r="L25" s="387">
        <f t="shared" si="0"/>
        <v>245</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1458</v>
      </c>
      <c r="B28" s="227" t="s">
        <v>1457</v>
      </c>
      <c r="C28" s="388"/>
    </row>
    <row r="29" spans="1:12" s="396" customFormat="1">
      <c r="A29" s="388" t="s">
        <v>1459</v>
      </c>
      <c r="B29" s="227" t="s">
        <v>2390</v>
      </c>
      <c r="C29" s="388"/>
    </row>
    <row r="30" spans="1:12" s="396" customFormat="1">
      <c r="A30" s="388"/>
      <c r="B30" s="227"/>
      <c r="C30" s="388"/>
    </row>
    <row r="31" spans="1:12" s="58" customFormat="1">
      <c r="B31" s="396"/>
      <c r="C31" s="388"/>
      <c r="D31" s="388"/>
      <c r="E31" s="396"/>
      <c r="F31" s="59"/>
      <c r="H31" s="217" t="s">
        <v>149</v>
      </c>
      <c r="J31" s="59"/>
      <c r="K31" s="217" t="str">
        <f>'lead 19-20'!K31</f>
        <v>Assistant  Engineer</v>
      </c>
      <c r="L31" s="59"/>
    </row>
    <row r="32" spans="1:12" s="58" customFormat="1">
      <c r="B32" s="396"/>
      <c r="C32" s="388"/>
      <c r="D32" s="388"/>
      <c r="E32" s="396"/>
      <c r="H32" s="217" t="s">
        <v>858</v>
      </c>
      <c r="J32" s="59"/>
      <c r="K32" s="217" t="str">
        <f>'lead 19-20'!K32</f>
        <v>Mandal Praja parishad</v>
      </c>
      <c r="L32" s="59"/>
    </row>
    <row r="33" spans="1:11" s="396" customFormat="1">
      <c r="A33" s="388"/>
      <c r="C33" s="388"/>
      <c r="D33" s="388"/>
      <c r="H33" s="217" t="s">
        <v>1525</v>
      </c>
      <c r="K33" s="217" t="str">
        <f>'lead 19-20'!K33</f>
        <v>Kanigiri</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C2:L2"/>
    <mergeCell ref="A5:A6"/>
    <mergeCell ref="B5:B6"/>
    <mergeCell ref="C5:C6"/>
    <mergeCell ref="D5:D6"/>
    <mergeCell ref="E5:E6"/>
    <mergeCell ref="F5:F6"/>
    <mergeCell ref="G5:G6"/>
    <mergeCell ref="H5:H6"/>
  </mergeCells>
  <pageMargins left="0.71" right="0.2" top="0.25" bottom="0.25" header="0.3" footer="0.3"/>
  <pageSetup paperSize="9" orientation="landscape" verticalDpi="300" r:id="rId1"/>
  <rowBreaks count="1" manualBreakCount="1">
    <brk id="34" max="16383" man="1"/>
  </rowBreaks>
</worksheet>
</file>

<file path=xl/worksheets/sheet21.xml><?xml version="1.0" encoding="utf-8"?>
<worksheet xmlns="http://schemas.openxmlformats.org/spreadsheetml/2006/main" xmlns:r="http://schemas.openxmlformats.org/officeDocument/2006/relationships">
  <sheetPr filterMode="1">
    <tabColor rgb="FF00B050"/>
  </sheetPr>
  <dimension ref="A1:H3678"/>
  <sheetViews>
    <sheetView view="pageBreakPreview" topLeftCell="A848" zoomScale="145" zoomScaleSheetLayoutView="145" workbookViewId="0">
      <selection activeCell="A848" sqref="A848"/>
    </sheetView>
  </sheetViews>
  <sheetFormatPr defaultColWidth="9.140625" defaultRowHeight="12.75"/>
  <cols>
    <col min="1" max="1" width="4.5703125" style="1162" customWidth="1"/>
    <col min="2" max="2" width="10.42578125" style="1162" customWidth="1"/>
    <col min="3" max="3" width="40.42578125" style="1206" customWidth="1"/>
    <col min="4" max="4" width="6.5703125" style="1205" bestFit="1" customWidth="1"/>
    <col min="5" max="5" width="8.5703125" style="1205" customWidth="1"/>
    <col min="6" max="6" width="9.5703125" style="1205" bestFit="1" customWidth="1"/>
    <col min="7" max="7" width="10.5703125" style="1162" customWidth="1"/>
    <col min="8" max="8" width="7.5703125" style="1205" customWidth="1"/>
    <col min="9" max="9" width="3" style="1162" bestFit="1" customWidth="1"/>
    <col min="10" max="16384" width="9.140625" style="1162"/>
  </cols>
  <sheetData>
    <row r="1" spans="1:8">
      <c r="A1" s="1891" t="s">
        <v>2478</v>
      </c>
      <c r="B1" s="1891"/>
      <c r="C1" s="1891"/>
      <c r="D1" s="1891"/>
      <c r="E1" s="1891"/>
      <c r="F1" s="1891"/>
      <c r="G1" s="1891"/>
    </row>
    <row r="2" spans="1:8" ht="33.75" customHeight="1">
      <c r="A2" s="1892" t="str">
        <f>'lead 19-20'!B2&amp;'lead 19-20'!C2</f>
        <v>Name of the Work: Providing Additional Space for Agriculture Staff in  Baduguleru GP of Kanigiri Mandal</v>
      </c>
      <c r="B2" s="1892"/>
      <c r="C2" s="1892"/>
      <c r="D2" s="1892"/>
      <c r="E2" s="1892"/>
      <c r="F2" s="1892"/>
      <c r="G2" s="1892"/>
    </row>
    <row r="3" spans="1:8" ht="5.25" customHeight="1"/>
    <row r="4" spans="1:8">
      <c r="A4" s="1207"/>
      <c r="E4" s="1205" t="s">
        <v>270</v>
      </c>
      <c r="F4" s="1208" t="str">
        <f>'lead 19-20'!K4</f>
        <v>21.80 Lakhs</v>
      </c>
    </row>
    <row r="5" spans="1:8" ht="3" customHeight="1"/>
    <row r="6" spans="1:8" s="1211" customFormat="1" ht="19.5" customHeight="1">
      <c r="A6" s="1764" t="s">
        <v>23</v>
      </c>
      <c r="B6" s="1764" t="s">
        <v>24</v>
      </c>
      <c r="C6" s="1209" t="s">
        <v>25</v>
      </c>
      <c r="D6" s="1764" t="s">
        <v>16</v>
      </c>
      <c r="E6" s="1764" t="s">
        <v>6</v>
      </c>
      <c r="F6" s="1764" t="s">
        <v>8</v>
      </c>
      <c r="G6" s="1764" t="s">
        <v>10</v>
      </c>
      <c r="H6" s="1210"/>
    </row>
    <row r="7" spans="1:8" s="1655" customFormat="1" ht="19.5" customHeight="1">
      <c r="A7" s="1650"/>
      <c r="B7" s="1651"/>
      <c r="C7" s="1652" t="s">
        <v>2021</v>
      </c>
      <c r="D7" s="1653"/>
      <c r="E7" s="1650"/>
      <c r="F7" s="1650"/>
      <c r="G7" s="1650"/>
      <c r="H7" s="1654"/>
    </row>
    <row r="8" spans="1:8" s="1575" customFormat="1" ht="25.5">
      <c r="A8" s="1656">
        <v>1</v>
      </c>
      <c r="B8" s="1656" t="s">
        <v>46</v>
      </c>
      <c r="C8" s="1657" t="s">
        <v>43</v>
      </c>
      <c r="D8" s="1656"/>
      <c r="E8" s="1656"/>
      <c r="F8" s="1656"/>
      <c r="G8" s="1656"/>
      <c r="H8" s="1658" t="s">
        <v>2226</v>
      </c>
    </row>
    <row r="9" spans="1:8" s="1575" customFormat="1">
      <c r="A9" s="1656"/>
      <c r="B9" s="1656"/>
      <c r="C9" s="1753" t="s">
        <v>44</v>
      </c>
      <c r="D9" s="1656" t="s">
        <v>4</v>
      </c>
      <c r="E9" s="1659">
        <f>1440/3</f>
        <v>480</v>
      </c>
      <c r="F9" s="1659">
        <f>'lead 19-20'!$L$8</f>
        <v>4700</v>
      </c>
      <c r="G9" s="1660">
        <f>ROUND(E9*F9/1000,2)</f>
        <v>2256</v>
      </c>
      <c r="H9" s="1658" t="s">
        <v>2226</v>
      </c>
    </row>
    <row r="10" spans="1:8" s="1575" customFormat="1">
      <c r="A10" s="1656"/>
      <c r="B10" s="1656"/>
      <c r="C10" s="1753" t="s">
        <v>44</v>
      </c>
      <c r="D10" s="1656" t="s">
        <v>35</v>
      </c>
      <c r="E10" s="1659">
        <v>1.05</v>
      </c>
      <c r="F10" s="1659">
        <f>'lead 19-20'!$L$12</f>
        <v>1464.7999999999988</v>
      </c>
      <c r="G10" s="1660">
        <f>ROUND(E10*F10,2)</f>
        <v>1538.04</v>
      </c>
      <c r="H10" s="1658" t="s">
        <v>2226</v>
      </c>
    </row>
    <row r="11" spans="1:8" s="1575" customFormat="1">
      <c r="A11" s="1656"/>
      <c r="B11" s="1656"/>
      <c r="C11" s="1753" t="s">
        <v>45</v>
      </c>
      <c r="D11" s="1656" t="s">
        <v>27</v>
      </c>
      <c r="E11" s="1659">
        <v>0.2</v>
      </c>
      <c r="F11" s="1659">
        <f>'MINI SSR 19-20'!H$5</f>
        <v>420</v>
      </c>
      <c r="G11" s="1660">
        <f>ROUND(E11*F11,2)</f>
        <v>84</v>
      </c>
      <c r="H11" s="1658" t="s">
        <v>2226</v>
      </c>
    </row>
    <row r="12" spans="1:8" s="1575" customFormat="1">
      <c r="A12" s="1656"/>
      <c r="B12" s="1656"/>
      <c r="C12" s="1753"/>
      <c r="D12" s="1656"/>
      <c r="E12" s="1656"/>
      <c r="F12" s="1656"/>
      <c r="G12" s="1661">
        <f>SUM(G9:G11)</f>
        <v>3878.04</v>
      </c>
      <c r="H12" s="1658" t="s">
        <v>2226</v>
      </c>
    </row>
    <row r="13" spans="1:8" ht="25.5" hidden="1">
      <c r="A13" s="1212">
        <v>2</v>
      </c>
      <c r="B13" s="1212" t="s">
        <v>51</v>
      </c>
      <c r="C13" s="1754" t="s">
        <v>47</v>
      </c>
      <c r="D13" s="1212"/>
      <c r="E13" s="1212"/>
      <c r="F13" s="1212"/>
      <c r="G13" s="1212"/>
      <c r="H13" s="1205" t="s">
        <v>2226</v>
      </c>
    </row>
    <row r="14" spans="1:8" hidden="1">
      <c r="A14" s="1212"/>
      <c r="B14" s="1212"/>
      <c r="C14" s="1752" t="s">
        <v>44</v>
      </c>
      <c r="D14" s="1212" t="s">
        <v>4</v>
      </c>
      <c r="E14" s="1213">
        <f>1440/4</f>
        <v>360</v>
      </c>
      <c r="F14" s="1213">
        <f>'lead 19-20'!$L$8</f>
        <v>4700</v>
      </c>
      <c r="G14" s="1214">
        <f>ROUND(E14*F14/1000,2)</f>
        <v>1692</v>
      </c>
      <c r="H14" s="1205" t="s">
        <v>2226</v>
      </c>
    </row>
    <row r="15" spans="1:8" hidden="1">
      <c r="A15" s="1212"/>
      <c r="B15" s="1212"/>
      <c r="C15" s="1752" t="s">
        <v>110</v>
      </c>
      <c r="D15" s="1212" t="s">
        <v>35</v>
      </c>
      <c r="E15" s="1213">
        <v>1.05</v>
      </c>
      <c r="F15" s="1213">
        <f>'lead 19-20'!$L$12</f>
        <v>1464.7999999999988</v>
      </c>
      <c r="G15" s="1214">
        <f>ROUND(E15*F15,2)</f>
        <v>1538.04</v>
      </c>
      <c r="H15" s="1205" t="s">
        <v>2226</v>
      </c>
    </row>
    <row r="16" spans="1:8" hidden="1">
      <c r="A16" s="1212"/>
      <c r="B16" s="1212"/>
      <c r="C16" s="1752" t="s">
        <v>45</v>
      </c>
      <c r="D16" s="1212" t="s">
        <v>27</v>
      </c>
      <c r="E16" s="1213">
        <v>0.2</v>
      </c>
      <c r="F16" s="1213">
        <f>'MINI SSR 19-20'!H$5</f>
        <v>420</v>
      </c>
      <c r="G16" s="1214">
        <f>ROUND(E16*F16,2)</f>
        <v>84</v>
      </c>
      <c r="H16" s="1205" t="s">
        <v>2226</v>
      </c>
    </row>
    <row r="17" spans="1:8" hidden="1">
      <c r="A17" s="1212"/>
      <c r="B17" s="1212"/>
      <c r="C17" s="1752"/>
      <c r="D17" s="1212"/>
      <c r="E17" s="1212"/>
      <c r="F17" s="1212"/>
      <c r="G17" s="1215">
        <f>SUM(G14:G16)</f>
        <v>3314.04</v>
      </c>
      <c r="H17" s="1205" t="s">
        <v>2226</v>
      </c>
    </row>
    <row r="18" spans="1:8" ht="25.5" hidden="1">
      <c r="A18" s="1212">
        <v>2</v>
      </c>
      <c r="B18" s="1212" t="s">
        <v>52</v>
      </c>
      <c r="C18" s="1754" t="s">
        <v>48</v>
      </c>
      <c r="D18" s="1212"/>
      <c r="E18" s="1212"/>
      <c r="F18" s="1212"/>
      <c r="G18" s="1212"/>
      <c r="H18" s="1205" t="s">
        <v>2226</v>
      </c>
    </row>
    <row r="19" spans="1:8" hidden="1">
      <c r="A19" s="1212"/>
      <c r="B19" s="1212"/>
      <c r="C19" s="1752" t="s">
        <v>44</v>
      </c>
      <c r="D19" s="1212" t="s">
        <v>4</v>
      </c>
      <c r="E19" s="1213">
        <f>1440/5</f>
        <v>288</v>
      </c>
      <c r="F19" s="1213">
        <f>'lead 19-20'!$L$8</f>
        <v>4700</v>
      </c>
      <c r="G19" s="1214">
        <f>ROUND(E19*F19/1000,2)</f>
        <v>1353.6</v>
      </c>
      <c r="H19" s="1205" t="s">
        <v>2226</v>
      </c>
    </row>
    <row r="20" spans="1:8" hidden="1">
      <c r="A20" s="1212"/>
      <c r="B20" s="1212"/>
      <c r="C20" s="1752" t="s">
        <v>110</v>
      </c>
      <c r="D20" s="1212" t="s">
        <v>35</v>
      </c>
      <c r="E20" s="1213">
        <v>1.05</v>
      </c>
      <c r="F20" s="1213">
        <f>'lead 19-20'!$L$12</f>
        <v>1464.7999999999988</v>
      </c>
      <c r="G20" s="1214">
        <f>ROUND(E20*F20,2)</f>
        <v>1538.04</v>
      </c>
      <c r="H20" s="1205" t="s">
        <v>2226</v>
      </c>
    </row>
    <row r="21" spans="1:8" hidden="1">
      <c r="A21" s="1212"/>
      <c r="B21" s="1212"/>
      <c r="C21" s="1752" t="s">
        <v>45</v>
      </c>
      <c r="D21" s="1212" t="s">
        <v>27</v>
      </c>
      <c r="E21" s="1213">
        <v>0.2</v>
      </c>
      <c r="F21" s="1213">
        <f>'MINI SSR 19-20'!H$5</f>
        <v>420</v>
      </c>
      <c r="G21" s="1214">
        <f>ROUND(E21*F21,2)</f>
        <v>84</v>
      </c>
      <c r="H21" s="1205" t="s">
        <v>2226</v>
      </c>
    </row>
    <row r="22" spans="1:8" hidden="1">
      <c r="A22" s="1212"/>
      <c r="B22" s="1212"/>
      <c r="C22" s="1752"/>
      <c r="D22" s="1212"/>
      <c r="E22" s="1212"/>
      <c r="F22" s="1212"/>
      <c r="G22" s="1215">
        <f>SUM(G19:G21)</f>
        <v>2975.64</v>
      </c>
      <c r="H22" s="1205" t="s">
        <v>2226</v>
      </c>
    </row>
    <row r="23" spans="1:8" ht="25.5" hidden="1">
      <c r="A23" s="1212">
        <v>4</v>
      </c>
      <c r="B23" s="1212" t="s">
        <v>53</v>
      </c>
      <c r="C23" s="1754" t="s">
        <v>49</v>
      </c>
      <c r="D23" s="1212"/>
      <c r="E23" s="1212"/>
      <c r="F23" s="1212"/>
      <c r="G23" s="1212"/>
      <c r="H23" s="1205" t="s">
        <v>2226</v>
      </c>
    </row>
    <row r="24" spans="1:8" hidden="1">
      <c r="A24" s="1212"/>
      <c r="B24" s="1212"/>
      <c r="C24" s="1752" t="s">
        <v>44</v>
      </c>
      <c r="D24" s="1212" t="s">
        <v>4</v>
      </c>
      <c r="E24" s="1213">
        <f>1440/6</f>
        <v>240</v>
      </c>
      <c r="F24" s="1213">
        <f>'lead 19-20'!$L$8</f>
        <v>4700</v>
      </c>
      <c r="G24" s="1214">
        <f>ROUND(E24*F24/1000,2)</f>
        <v>1128</v>
      </c>
      <c r="H24" s="1205" t="s">
        <v>2226</v>
      </c>
    </row>
    <row r="25" spans="1:8" hidden="1">
      <c r="A25" s="1212"/>
      <c r="B25" s="1212"/>
      <c r="C25" s="1752" t="s">
        <v>111</v>
      </c>
      <c r="D25" s="1212" t="s">
        <v>35</v>
      </c>
      <c r="E25" s="1213">
        <v>1.05</v>
      </c>
      <c r="F25" s="1213">
        <f>'lead 19-20'!$L$12</f>
        <v>1464.7999999999988</v>
      </c>
      <c r="G25" s="1214">
        <f>ROUND(E25*F25,2)</f>
        <v>1538.04</v>
      </c>
      <c r="H25" s="1205" t="s">
        <v>2226</v>
      </c>
    </row>
    <row r="26" spans="1:8" hidden="1">
      <c r="A26" s="1212"/>
      <c r="B26" s="1212"/>
      <c r="C26" s="1752" t="s">
        <v>45</v>
      </c>
      <c r="D26" s="1212" t="s">
        <v>27</v>
      </c>
      <c r="E26" s="1213">
        <v>0.2</v>
      </c>
      <c r="F26" s="1213">
        <f>'MINI SSR 19-20'!H$5</f>
        <v>420</v>
      </c>
      <c r="G26" s="1214">
        <f>ROUND(E26*F26,2)</f>
        <v>84</v>
      </c>
      <c r="H26" s="1205" t="s">
        <v>2226</v>
      </c>
    </row>
    <row r="27" spans="1:8" hidden="1">
      <c r="A27" s="1212"/>
      <c r="B27" s="1212"/>
      <c r="C27" s="1752"/>
      <c r="D27" s="1212"/>
      <c r="E27" s="1212"/>
      <c r="F27" s="1212"/>
      <c r="G27" s="1215">
        <f>SUM(G24:G26)</f>
        <v>2750.04</v>
      </c>
      <c r="H27" s="1205" t="s">
        <v>2226</v>
      </c>
    </row>
    <row r="28" spans="1:8" ht="25.5" hidden="1">
      <c r="A28" s="1212">
        <v>5</v>
      </c>
      <c r="B28" s="1212" t="s">
        <v>54</v>
      </c>
      <c r="C28" s="1754" t="s">
        <v>50</v>
      </c>
      <c r="D28" s="1212"/>
      <c r="E28" s="1212"/>
      <c r="F28" s="1212"/>
      <c r="G28" s="1212"/>
      <c r="H28" s="1205" t="s">
        <v>2226</v>
      </c>
    </row>
    <row r="29" spans="1:8" hidden="1">
      <c r="A29" s="1212"/>
      <c r="B29" s="1212"/>
      <c r="C29" s="1752" t="s">
        <v>44</v>
      </c>
      <c r="D29" s="1212" t="s">
        <v>4</v>
      </c>
      <c r="E29" s="1213">
        <f>1440/8</f>
        <v>180</v>
      </c>
      <c r="F29" s="1213">
        <f>'lead 19-20'!$L$8</f>
        <v>4700</v>
      </c>
      <c r="G29" s="1214">
        <f>ROUND(E29*F29/1000,2)</f>
        <v>846</v>
      </c>
      <c r="H29" s="1205" t="s">
        <v>2226</v>
      </c>
    </row>
    <row r="30" spans="1:8" hidden="1">
      <c r="A30" s="1212"/>
      <c r="B30" s="1212"/>
      <c r="C30" s="1752" t="s">
        <v>111</v>
      </c>
      <c r="D30" s="1212" t="s">
        <v>35</v>
      </c>
      <c r="E30" s="1213">
        <v>1.05</v>
      </c>
      <c r="F30" s="1213">
        <f>'lead 19-20'!$L$12</f>
        <v>1464.7999999999988</v>
      </c>
      <c r="G30" s="1214">
        <f>ROUND(E30*F30,2)</f>
        <v>1538.04</v>
      </c>
      <c r="H30" s="1205" t="s">
        <v>2226</v>
      </c>
    </row>
    <row r="31" spans="1:8" hidden="1">
      <c r="A31" s="1212"/>
      <c r="B31" s="1212"/>
      <c r="C31" s="1752" t="s">
        <v>45</v>
      </c>
      <c r="D31" s="1212" t="s">
        <v>27</v>
      </c>
      <c r="E31" s="1213">
        <v>0.2</v>
      </c>
      <c r="F31" s="1213">
        <f>'MINI SSR 19-20'!H$5</f>
        <v>420</v>
      </c>
      <c r="G31" s="1214">
        <f>ROUND(E31*F31,2)</f>
        <v>84</v>
      </c>
      <c r="H31" s="1205" t="s">
        <v>2226</v>
      </c>
    </row>
    <row r="32" spans="1:8" ht="18.75" hidden="1" customHeight="1">
      <c r="A32" s="1212"/>
      <c r="B32" s="1212"/>
      <c r="C32" s="1752"/>
      <c r="D32" s="1212"/>
      <c r="E32" s="1212"/>
      <c r="F32" s="1212"/>
      <c r="G32" s="1215">
        <f>SUM(G29:G31)</f>
        <v>2468.04</v>
      </c>
      <c r="H32" s="1205" t="s">
        <v>2226</v>
      </c>
    </row>
    <row r="33" spans="1:8" s="1575" customFormat="1" ht="25.5">
      <c r="A33" s="1656">
        <v>2</v>
      </c>
      <c r="B33" s="1656"/>
      <c r="C33" s="1753" t="s">
        <v>827</v>
      </c>
      <c r="D33" s="1656"/>
      <c r="E33" s="1656"/>
      <c r="F33" s="1656"/>
      <c r="G33" s="1656"/>
      <c r="H33" s="1658" t="s">
        <v>2226</v>
      </c>
    </row>
    <row r="34" spans="1:8" s="1575" customFormat="1">
      <c r="A34" s="1656"/>
      <c r="B34" s="1656"/>
      <c r="C34" s="1753" t="s">
        <v>822</v>
      </c>
      <c r="D34" s="1662">
        <v>0.6</v>
      </c>
      <c r="E34" s="1662">
        <f>'lead 19-20'!L17</f>
        <v>1885.7999999999997</v>
      </c>
      <c r="F34" s="1662">
        <f>ROUND(D34*E34,2)</f>
        <v>1131.48</v>
      </c>
      <c r="G34" s="1656"/>
      <c r="H34" s="1658" t="s">
        <v>2226</v>
      </c>
    </row>
    <row r="35" spans="1:8" s="1575" customFormat="1">
      <c r="A35" s="1656"/>
      <c r="B35" s="1656"/>
      <c r="C35" s="1753" t="s">
        <v>823</v>
      </c>
      <c r="D35" s="1662">
        <v>0.15</v>
      </c>
      <c r="E35" s="1662">
        <f>'lead 19-20'!L18</f>
        <v>1625.7999999999997</v>
      </c>
      <c r="F35" s="1662">
        <f>ROUND(D35*E35,2)</f>
        <v>243.87</v>
      </c>
      <c r="G35" s="1656"/>
      <c r="H35" s="1658" t="s">
        <v>2226</v>
      </c>
    </row>
    <row r="36" spans="1:8" s="1575" customFormat="1">
      <c r="A36" s="1656"/>
      <c r="B36" s="1656"/>
      <c r="C36" s="1753" t="s">
        <v>824</v>
      </c>
      <c r="D36" s="1662">
        <v>0.15</v>
      </c>
      <c r="E36" s="1662">
        <f>'lead 19-20'!L19</f>
        <v>1465.7999999999997</v>
      </c>
      <c r="F36" s="1662">
        <f>ROUND(D36*E36,2)</f>
        <v>219.87</v>
      </c>
      <c r="G36" s="1656"/>
      <c r="H36" s="1658" t="s">
        <v>2226</v>
      </c>
    </row>
    <row r="37" spans="1:8" s="1575" customFormat="1">
      <c r="A37" s="1656"/>
      <c r="B37" s="1656"/>
      <c r="C37" s="1753" t="s">
        <v>825</v>
      </c>
      <c r="D37" s="1662">
        <v>0.1</v>
      </c>
      <c r="E37" s="1662">
        <f>'lead 19-20'!L20</f>
        <v>1270.7999999999997</v>
      </c>
      <c r="F37" s="1662">
        <f>ROUND(D37*E37,2)</f>
        <v>127.08</v>
      </c>
      <c r="G37" s="1656"/>
      <c r="H37" s="1658" t="s">
        <v>2226</v>
      </c>
    </row>
    <row r="38" spans="1:8" s="1575" customFormat="1">
      <c r="A38" s="1656"/>
      <c r="B38" s="1656"/>
      <c r="C38" s="1755" t="s">
        <v>826</v>
      </c>
      <c r="D38" s="1656"/>
      <c r="E38" s="1656"/>
      <c r="F38" s="1663">
        <f>SUM(F34:F37)</f>
        <v>1722.2999999999997</v>
      </c>
      <c r="G38" s="1656"/>
      <c r="H38" s="1658" t="s">
        <v>2226</v>
      </c>
    </row>
    <row r="39" spans="1:8" s="1575" customFormat="1">
      <c r="A39" s="1656"/>
      <c r="B39" s="1656"/>
      <c r="C39" s="1753"/>
      <c r="D39" s="1656"/>
      <c r="E39" s="1656"/>
      <c r="F39" s="1656"/>
      <c r="G39" s="1656"/>
      <c r="H39" s="1658" t="s">
        <v>2226</v>
      </c>
    </row>
    <row r="40" spans="1:8" ht="25.5" hidden="1">
      <c r="A40" s="1156">
        <v>2</v>
      </c>
      <c r="B40" s="1218"/>
      <c r="C40" s="1752" t="s">
        <v>294</v>
      </c>
      <c r="D40" s="1212"/>
      <c r="E40" s="1212"/>
      <c r="F40" s="1212"/>
      <c r="G40" s="1169"/>
      <c r="H40" s="1205" t="s">
        <v>2226</v>
      </c>
    </row>
    <row r="41" spans="1:8" hidden="1">
      <c r="A41" s="1156"/>
      <c r="B41" s="1218"/>
      <c r="C41" s="1752" t="s">
        <v>31</v>
      </c>
      <c r="D41" s="1212"/>
      <c r="E41" s="1212"/>
      <c r="F41" s="1212"/>
      <c r="G41" s="1169"/>
      <c r="H41" s="1205" t="s">
        <v>2226</v>
      </c>
    </row>
    <row r="42" spans="1:8" hidden="1">
      <c r="A42" s="1156"/>
      <c r="B42" s="1212"/>
      <c r="C42" s="1752" t="s">
        <v>1324</v>
      </c>
      <c r="D42" s="1212"/>
      <c r="E42" s="1212"/>
      <c r="F42" s="1212"/>
      <c r="G42" s="1169"/>
      <c r="H42" s="1205" t="s">
        <v>2226</v>
      </c>
    </row>
    <row r="43" spans="1:8" hidden="1">
      <c r="A43" s="1156"/>
      <c r="B43" s="1219"/>
      <c r="C43" s="1752" t="s">
        <v>122</v>
      </c>
      <c r="D43" s="1212"/>
      <c r="E43" s="1212"/>
      <c r="F43" s="1212"/>
      <c r="G43" s="1214">
        <f>'MINI SSR 19-20'!H25</f>
        <v>5.22</v>
      </c>
      <c r="H43" s="1205" t="s">
        <v>2226</v>
      </c>
    </row>
    <row r="44" spans="1:8" hidden="1">
      <c r="A44" s="1169"/>
      <c r="B44" s="1169"/>
      <c r="C44" s="1754" t="s">
        <v>119</v>
      </c>
      <c r="D44" s="1156"/>
      <c r="E44" s="1156"/>
      <c r="F44" s="1156"/>
      <c r="G44" s="1220">
        <f>SUM(G43)</f>
        <v>5.22</v>
      </c>
      <c r="H44" s="1205" t="s">
        <v>2226</v>
      </c>
    </row>
    <row r="45" spans="1:8" s="1575" customFormat="1" ht="63.75">
      <c r="A45" s="1570">
        <v>3</v>
      </c>
      <c r="B45" s="1664"/>
      <c r="C45" s="1753" t="s">
        <v>1278</v>
      </c>
      <c r="D45" s="1656"/>
      <c r="E45" s="1656"/>
      <c r="F45" s="1656"/>
      <c r="G45" s="1585"/>
      <c r="H45" s="1658" t="s">
        <v>2226</v>
      </c>
    </row>
    <row r="46" spans="1:8" s="1575" customFormat="1">
      <c r="A46" s="1570"/>
      <c r="B46" s="1664"/>
      <c r="C46" s="1753" t="s">
        <v>31</v>
      </c>
      <c r="D46" s="1656"/>
      <c r="E46" s="1656"/>
      <c r="F46" s="1656"/>
      <c r="G46" s="1585"/>
      <c r="H46" s="1658" t="s">
        <v>2226</v>
      </c>
    </row>
    <row r="47" spans="1:8" s="1575" customFormat="1">
      <c r="A47" s="1570"/>
      <c r="B47" s="1656"/>
      <c r="C47" s="1753" t="s">
        <v>1324</v>
      </c>
      <c r="D47" s="1656"/>
      <c r="E47" s="1656"/>
      <c r="F47" s="1656"/>
      <c r="G47" s="1585"/>
      <c r="H47" s="1658" t="s">
        <v>2226</v>
      </c>
    </row>
    <row r="48" spans="1:8" s="1575" customFormat="1">
      <c r="A48" s="1570"/>
      <c r="B48" s="1665"/>
      <c r="C48" s="1753" t="s">
        <v>122</v>
      </c>
      <c r="D48" s="1656"/>
      <c r="E48" s="1656"/>
      <c r="F48" s="1656"/>
      <c r="G48" s="1660">
        <f>'MINI SSR 19-20'!H26</f>
        <v>124.24</v>
      </c>
      <c r="H48" s="1658" t="s">
        <v>2226</v>
      </c>
    </row>
    <row r="49" spans="1:8" s="1575" customFormat="1">
      <c r="A49" s="1585"/>
      <c r="B49" s="1585"/>
      <c r="C49" s="1755" t="s">
        <v>119</v>
      </c>
      <c r="D49" s="1570"/>
      <c r="E49" s="1570"/>
      <c r="F49" s="1570"/>
      <c r="G49" s="1666">
        <f>SUM(G48)</f>
        <v>124.24</v>
      </c>
      <c r="H49" s="1658" t="s">
        <v>2226</v>
      </c>
    </row>
    <row r="50" spans="1:8" s="1575" customFormat="1" ht="89.25">
      <c r="A50" s="1570">
        <v>4</v>
      </c>
      <c r="B50" s="1664" t="s">
        <v>1327</v>
      </c>
      <c r="C50" s="1753" t="s">
        <v>55</v>
      </c>
      <c r="D50" s="1656"/>
      <c r="E50" s="1656"/>
      <c r="F50" s="1656"/>
      <c r="G50" s="1664"/>
      <c r="H50" s="1658" t="s">
        <v>2226</v>
      </c>
    </row>
    <row r="51" spans="1:8" s="1575" customFormat="1">
      <c r="A51" s="1570"/>
      <c r="B51" s="1656"/>
      <c r="C51" s="1755" t="s">
        <v>31</v>
      </c>
      <c r="D51" s="1656"/>
      <c r="E51" s="1656"/>
      <c r="F51" s="1656"/>
      <c r="G51" s="1585"/>
      <c r="H51" s="1658" t="s">
        <v>2226</v>
      </c>
    </row>
    <row r="52" spans="1:8" s="1575" customFormat="1">
      <c r="A52" s="1570"/>
      <c r="B52" s="1656"/>
      <c r="C52" s="1755" t="s">
        <v>2423</v>
      </c>
      <c r="D52" s="1656"/>
      <c r="E52" s="1656"/>
      <c r="F52" s="1656"/>
      <c r="G52" s="1585"/>
      <c r="H52" s="1658" t="s">
        <v>2226</v>
      </c>
    </row>
    <row r="53" spans="1:8" s="1575" customFormat="1">
      <c r="A53" s="1570"/>
      <c r="B53" s="1665" t="s">
        <v>18</v>
      </c>
      <c r="C53" s="1755" t="s">
        <v>26</v>
      </c>
      <c r="D53" s="1656"/>
      <c r="E53" s="1656"/>
      <c r="F53" s="1656"/>
      <c r="G53" s="1585"/>
      <c r="H53" s="1658" t="s">
        <v>2226</v>
      </c>
    </row>
    <row r="54" spans="1:8" s="1575" customFormat="1">
      <c r="A54" s="1585"/>
      <c r="B54" s="1585"/>
      <c r="C54" s="1753" t="s">
        <v>118</v>
      </c>
      <c r="D54" s="1570" t="s">
        <v>27</v>
      </c>
      <c r="E54" s="1608">
        <v>0.31</v>
      </c>
      <c r="F54" s="1659">
        <f>'MINI SSR 19-20'!H$5</f>
        <v>420</v>
      </c>
      <c r="G54" s="1660">
        <f>ROUND(E54*F54,2)</f>
        <v>130.19999999999999</v>
      </c>
      <c r="H54" s="1658" t="s">
        <v>2226</v>
      </c>
    </row>
    <row r="55" spans="1:8" s="1575" customFormat="1">
      <c r="A55" s="1585"/>
      <c r="B55" s="1665" t="s">
        <v>20</v>
      </c>
      <c r="C55" s="1755" t="s">
        <v>22</v>
      </c>
      <c r="D55" s="1570"/>
      <c r="E55" s="1570"/>
      <c r="F55" s="1570"/>
      <c r="G55" s="1585"/>
      <c r="H55" s="1658" t="s">
        <v>2226</v>
      </c>
    </row>
    <row r="56" spans="1:8" s="1575" customFormat="1">
      <c r="A56" s="1585"/>
      <c r="B56" s="1585"/>
      <c r="C56" s="1753" t="s">
        <v>32</v>
      </c>
      <c r="D56" s="1570" t="s">
        <v>5</v>
      </c>
      <c r="E56" s="1608">
        <v>6</v>
      </c>
      <c r="F56" s="1608">
        <f>'lead 19-20'!L14</f>
        <v>1249.7999999999988</v>
      </c>
      <c r="G56" s="1660">
        <f>ROUND(E56*F56,2)</f>
        <v>7498.8</v>
      </c>
      <c r="H56" s="1658" t="s">
        <v>2226</v>
      </c>
    </row>
    <row r="57" spans="1:8" s="1575" customFormat="1">
      <c r="A57" s="1585"/>
      <c r="B57" s="1585"/>
      <c r="C57" s="1755" t="s">
        <v>2424</v>
      </c>
      <c r="D57" s="1570"/>
      <c r="E57" s="1608"/>
      <c r="F57" s="1608"/>
      <c r="G57" s="1660">
        <f>SUM(G54:G56)</f>
        <v>7629</v>
      </c>
      <c r="H57" s="1658"/>
    </row>
    <row r="58" spans="1:8" s="1575" customFormat="1">
      <c r="A58" s="1585"/>
      <c r="B58" s="1585"/>
      <c r="C58" s="1755" t="s">
        <v>28</v>
      </c>
      <c r="D58" s="1570"/>
      <c r="E58" s="1570"/>
      <c r="F58" s="1570"/>
      <c r="G58" s="1666">
        <f>ROUND(G57/6,2)</f>
        <v>1271.5</v>
      </c>
      <c r="H58" s="1658" t="s">
        <v>2226</v>
      </c>
    </row>
    <row r="59" spans="1:8" s="1575" customFormat="1" ht="102">
      <c r="A59" s="1570">
        <v>5</v>
      </c>
      <c r="B59" s="1664" t="s">
        <v>1326</v>
      </c>
      <c r="C59" s="1753" t="s">
        <v>1190</v>
      </c>
      <c r="D59" s="1656"/>
      <c r="E59" s="1656"/>
      <c r="F59" s="1656"/>
      <c r="G59" s="1664"/>
      <c r="H59" s="1658" t="s">
        <v>2226</v>
      </c>
    </row>
    <row r="60" spans="1:8" s="1575" customFormat="1">
      <c r="A60" s="1570"/>
      <c r="B60" s="1656"/>
      <c r="C60" s="1755" t="s">
        <v>2425</v>
      </c>
      <c r="D60" s="1656"/>
      <c r="E60" s="1656"/>
      <c r="F60" s="1656"/>
      <c r="G60" s="1585"/>
      <c r="H60" s="1658" t="s">
        <v>2226</v>
      </c>
    </row>
    <row r="61" spans="1:8" s="1575" customFormat="1">
      <c r="A61" s="1570"/>
      <c r="B61" s="1665" t="s">
        <v>18</v>
      </c>
      <c r="C61" s="1755" t="s">
        <v>26</v>
      </c>
      <c r="D61" s="1656"/>
      <c r="E61" s="1656"/>
      <c r="F61" s="1656"/>
      <c r="G61" s="1585"/>
      <c r="H61" s="1658" t="s">
        <v>2226</v>
      </c>
    </row>
    <row r="62" spans="1:8" s="1575" customFormat="1">
      <c r="A62" s="1585"/>
      <c r="B62" s="1585"/>
      <c r="C62" s="1753" t="s">
        <v>118</v>
      </c>
      <c r="D62" s="1570" t="s">
        <v>27</v>
      </c>
      <c r="E62" s="1608">
        <v>0.31</v>
      </c>
      <c r="F62" s="1659">
        <f>'MINI SSR 19-20'!H$5</f>
        <v>420</v>
      </c>
      <c r="G62" s="1660">
        <f>ROUND(E62*F62,2)</f>
        <v>130.19999999999999</v>
      </c>
      <c r="H62" s="1658" t="s">
        <v>2226</v>
      </c>
    </row>
    <row r="63" spans="1:8" s="1575" customFormat="1">
      <c r="A63" s="1585"/>
      <c r="B63" s="1665" t="s">
        <v>20</v>
      </c>
      <c r="C63" s="1755" t="s">
        <v>22</v>
      </c>
      <c r="D63" s="1570"/>
      <c r="E63" s="1570"/>
      <c r="F63" s="1570"/>
      <c r="G63" s="1585"/>
      <c r="H63" s="1658" t="s">
        <v>2226</v>
      </c>
    </row>
    <row r="64" spans="1:8" s="1575" customFormat="1">
      <c r="A64" s="1585"/>
      <c r="B64" s="1585"/>
      <c r="C64" s="1753" t="s">
        <v>860</v>
      </c>
      <c r="D64" s="1570" t="s">
        <v>5</v>
      </c>
      <c r="E64" s="1608">
        <v>6</v>
      </c>
      <c r="F64" s="1608">
        <f>'lead 19-20'!L24</f>
        <v>161.30000000000001</v>
      </c>
      <c r="G64" s="1660">
        <f>ROUND(E64*F64,2)</f>
        <v>967.8</v>
      </c>
      <c r="H64" s="1658" t="s">
        <v>2226</v>
      </c>
    </row>
    <row r="65" spans="1:8" s="1575" customFormat="1">
      <c r="A65" s="1585"/>
      <c r="B65" s="1585"/>
      <c r="C65" s="1755" t="s">
        <v>2424</v>
      </c>
      <c r="D65" s="1570"/>
      <c r="E65" s="1608"/>
      <c r="F65" s="1608"/>
      <c r="G65" s="1660">
        <f>SUM(G62:G64)</f>
        <v>1098</v>
      </c>
      <c r="H65" s="1658" t="s">
        <v>2226</v>
      </c>
    </row>
    <row r="66" spans="1:8" s="1575" customFormat="1">
      <c r="A66" s="1585"/>
      <c r="B66" s="1585"/>
      <c r="C66" s="1755" t="s">
        <v>28</v>
      </c>
      <c r="D66" s="1570"/>
      <c r="E66" s="1570"/>
      <c r="F66" s="1570"/>
      <c r="G66" s="1666">
        <f>ROUND(G65/6,2)</f>
        <v>183</v>
      </c>
      <c r="H66" s="1658" t="s">
        <v>2226</v>
      </c>
    </row>
    <row r="67" spans="1:8" ht="89.25" hidden="1">
      <c r="A67" s="1156">
        <v>10</v>
      </c>
      <c r="B67" s="1218" t="s">
        <v>1326</v>
      </c>
      <c r="C67" s="1752" t="s">
        <v>662</v>
      </c>
      <c r="D67" s="1212"/>
      <c r="E67" s="1212"/>
      <c r="F67" s="1212"/>
      <c r="G67" s="1218"/>
      <c r="H67" s="1205" t="s">
        <v>2226</v>
      </c>
    </row>
    <row r="68" spans="1:8" hidden="1">
      <c r="A68" s="1156"/>
      <c r="B68" s="1212"/>
      <c r="C68" s="1754" t="s">
        <v>2425</v>
      </c>
      <c r="D68" s="1212"/>
      <c r="E68" s="1212"/>
      <c r="F68" s="1212"/>
      <c r="G68" s="1169"/>
      <c r="H68" s="1205" t="s">
        <v>2226</v>
      </c>
    </row>
    <row r="69" spans="1:8" hidden="1">
      <c r="A69" s="1156"/>
      <c r="B69" s="1219" t="s">
        <v>18</v>
      </c>
      <c r="C69" s="1754" t="s">
        <v>26</v>
      </c>
      <c r="D69" s="1212"/>
      <c r="E69" s="1212"/>
      <c r="F69" s="1212"/>
      <c r="G69" s="1169"/>
      <c r="H69" s="1205" t="s">
        <v>2226</v>
      </c>
    </row>
    <row r="70" spans="1:8" hidden="1">
      <c r="A70" s="1169"/>
      <c r="B70" s="1169"/>
      <c r="C70" s="1752" t="s">
        <v>118</v>
      </c>
      <c r="D70" s="1156" t="s">
        <v>27</v>
      </c>
      <c r="E70" s="1221">
        <v>0.31</v>
      </c>
      <c r="F70" s="1213">
        <f>'MINI SSR 19-20'!H$5</f>
        <v>420</v>
      </c>
      <c r="G70" s="1214">
        <f>ROUND(E70*F70,2)</f>
        <v>130.19999999999999</v>
      </c>
      <c r="H70" s="1205" t="s">
        <v>2226</v>
      </c>
    </row>
    <row r="71" spans="1:8" hidden="1">
      <c r="A71" s="1169"/>
      <c r="B71" s="1219" t="s">
        <v>20</v>
      </c>
      <c r="C71" s="1754" t="s">
        <v>22</v>
      </c>
      <c r="D71" s="1156"/>
      <c r="E71" s="1156"/>
      <c r="F71" s="1156"/>
      <c r="G71" s="1169"/>
      <c r="H71" s="1205" t="s">
        <v>2226</v>
      </c>
    </row>
    <row r="72" spans="1:8" hidden="1">
      <c r="A72" s="1169"/>
      <c r="B72" s="1169"/>
      <c r="C72" s="1752" t="s">
        <v>663</v>
      </c>
      <c r="D72" s="1156" t="s">
        <v>5</v>
      </c>
      <c r="E72" s="1221">
        <v>6</v>
      </c>
      <c r="F72" s="1221">
        <f>'lead 19-20'!L25</f>
        <v>188.3</v>
      </c>
      <c r="G72" s="1214">
        <f>ROUND(E72*F72,2)</f>
        <v>1129.8</v>
      </c>
      <c r="H72" s="1205" t="s">
        <v>2226</v>
      </c>
    </row>
    <row r="73" spans="1:8" hidden="1">
      <c r="A73" s="1169"/>
      <c r="B73" s="1169"/>
      <c r="C73" s="1754" t="s">
        <v>2424</v>
      </c>
      <c r="D73" s="1156"/>
      <c r="E73" s="1221"/>
      <c r="F73" s="1221"/>
      <c r="G73" s="1214">
        <f>SUM(G70:G72)</f>
        <v>1260</v>
      </c>
      <c r="H73" s="1205" t="s">
        <v>2226</v>
      </c>
    </row>
    <row r="74" spans="1:8" hidden="1">
      <c r="A74" s="1169"/>
      <c r="B74" s="1169"/>
      <c r="C74" s="1754" t="s">
        <v>28</v>
      </c>
      <c r="D74" s="1156"/>
      <c r="E74" s="1156"/>
      <c r="F74" s="1156"/>
      <c r="G74" s="1220">
        <f>ROUND(G73/6,2)</f>
        <v>210</v>
      </c>
      <c r="H74" s="1205" t="s">
        <v>2226</v>
      </c>
    </row>
    <row r="75" spans="1:8" s="1575" customFormat="1" ht="63.75">
      <c r="A75" s="1570">
        <v>6</v>
      </c>
      <c r="B75" s="1664" t="s">
        <v>1325</v>
      </c>
      <c r="C75" s="1753" t="s">
        <v>282</v>
      </c>
      <c r="D75" s="1656"/>
      <c r="E75" s="1656"/>
      <c r="F75" s="1656"/>
      <c r="G75" s="1664"/>
      <c r="H75" s="1658" t="s">
        <v>2226</v>
      </c>
    </row>
    <row r="76" spans="1:8" s="1575" customFormat="1">
      <c r="A76" s="1656"/>
      <c r="B76" s="1656"/>
      <c r="C76" s="1753" t="s">
        <v>312</v>
      </c>
      <c r="D76" s="1656"/>
      <c r="E76" s="1659"/>
      <c r="F76" s="1659"/>
      <c r="G76" s="1660"/>
      <c r="H76" s="1658" t="s">
        <v>2226</v>
      </c>
    </row>
    <row r="77" spans="1:8" s="1575" customFormat="1">
      <c r="A77" s="1656"/>
      <c r="B77" s="1656"/>
      <c r="C77" s="1753" t="s">
        <v>311</v>
      </c>
      <c r="D77" s="1656" t="s">
        <v>27</v>
      </c>
      <c r="E77" s="1659">
        <v>3.12</v>
      </c>
      <c r="F77" s="1659">
        <f>'MINI SSR 19-20'!H$5</f>
        <v>420</v>
      </c>
      <c r="G77" s="1660">
        <f>ROUND(E77*F77,2)</f>
        <v>1310.4000000000001</v>
      </c>
      <c r="H77" s="1658" t="s">
        <v>2226</v>
      </c>
    </row>
    <row r="78" spans="1:8" s="1575" customFormat="1">
      <c r="A78" s="1656"/>
      <c r="B78" s="1656"/>
      <c r="C78" s="1753" t="s">
        <v>57</v>
      </c>
      <c r="D78" s="1656" t="s">
        <v>59</v>
      </c>
      <c r="E78" s="1659">
        <v>0.72</v>
      </c>
      <c r="F78" s="1608">
        <f>'MINI SSR 19-20'!$C$29</f>
        <v>80</v>
      </c>
      <c r="G78" s="1660">
        <f>ROUND(E78*F78,2)</f>
        <v>57.6</v>
      </c>
      <c r="H78" s="1658" t="s">
        <v>2226</v>
      </c>
    </row>
    <row r="79" spans="1:8" s="1575" customFormat="1">
      <c r="A79" s="1656"/>
      <c r="B79" s="1656"/>
      <c r="C79" s="1753" t="s">
        <v>313</v>
      </c>
      <c r="D79" s="1656"/>
      <c r="E79" s="1659"/>
      <c r="F79" s="1659"/>
      <c r="G79" s="1660">
        <f>SUM(G77:G78)</f>
        <v>1368</v>
      </c>
      <c r="H79" s="1658" t="s">
        <v>2226</v>
      </c>
    </row>
    <row r="80" spans="1:8" s="1575" customFormat="1">
      <c r="A80" s="1656"/>
      <c r="B80" s="1656"/>
      <c r="C80" s="1753" t="s">
        <v>313</v>
      </c>
      <c r="D80" s="1656"/>
      <c r="E80" s="1656"/>
      <c r="F80" s="1656"/>
      <c r="G80" s="1667">
        <f>ROUND(G79/6,2)</f>
        <v>228</v>
      </c>
      <c r="H80" s="1658" t="s">
        <v>2226</v>
      </c>
    </row>
    <row r="81" spans="1:8" s="1575" customFormat="1" ht="89.25">
      <c r="A81" s="1570">
        <v>7</v>
      </c>
      <c r="B81" s="1664" t="s">
        <v>158</v>
      </c>
      <c r="C81" s="1753" t="s">
        <v>159</v>
      </c>
      <c r="D81" s="1656"/>
      <c r="E81" s="1656"/>
      <c r="F81" s="1656"/>
      <c r="G81" s="1664"/>
      <c r="H81" s="1658" t="s">
        <v>2226</v>
      </c>
    </row>
    <row r="82" spans="1:8" s="1575" customFormat="1">
      <c r="A82" s="1570"/>
      <c r="B82" s="1664"/>
      <c r="C82" s="1755" t="s">
        <v>60</v>
      </c>
      <c r="D82" s="1656"/>
      <c r="E82" s="1656"/>
      <c r="F82" s="1656"/>
      <c r="G82" s="1661"/>
      <c r="H82" s="1658" t="s">
        <v>2226</v>
      </c>
    </row>
    <row r="83" spans="1:8" s="1575" customFormat="1">
      <c r="A83" s="1656"/>
      <c r="B83" s="1656"/>
      <c r="C83" s="1753" t="s">
        <v>44</v>
      </c>
      <c r="D83" s="1656" t="s">
        <v>4</v>
      </c>
      <c r="E83" s="1659">
        <v>162</v>
      </c>
      <c r="F83" s="1659">
        <f>'lead 19-20'!L8</f>
        <v>4700</v>
      </c>
      <c r="G83" s="1660">
        <f>ROUND(E83*F83/1000,2)</f>
        <v>761.4</v>
      </c>
      <c r="H83" s="1658" t="s">
        <v>2226</v>
      </c>
    </row>
    <row r="84" spans="1:8" s="1575" customFormat="1">
      <c r="A84" s="1656"/>
      <c r="B84" s="1656"/>
      <c r="C84" s="1753" t="s">
        <v>56</v>
      </c>
      <c r="D84" s="1656" t="s">
        <v>35</v>
      </c>
      <c r="E84" s="1659">
        <v>0.9</v>
      </c>
      <c r="F84" s="1659">
        <f>'lead 19-20'!L16</f>
        <v>1375.7999999999997</v>
      </c>
      <c r="G84" s="1660">
        <f>ROUND(E84*F84,2)</f>
        <v>1238.22</v>
      </c>
      <c r="H84" s="1658" t="s">
        <v>2226</v>
      </c>
    </row>
    <row r="85" spans="1:8" s="1575" customFormat="1">
      <c r="A85" s="1656"/>
      <c r="B85" s="1656"/>
      <c r="C85" s="1753" t="s">
        <v>112</v>
      </c>
      <c r="D85" s="1656" t="s">
        <v>35</v>
      </c>
      <c r="E85" s="1659">
        <v>0.45</v>
      </c>
      <c r="F85" s="1659">
        <f>'lead 19-20'!L13</f>
        <v>1384.7999999999988</v>
      </c>
      <c r="G85" s="1660">
        <f>ROUND(E85*F85,2)</f>
        <v>623.16</v>
      </c>
      <c r="H85" s="1658" t="s">
        <v>2226</v>
      </c>
    </row>
    <row r="86" spans="1:8" s="1575" customFormat="1">
      <c r="A86" s="1656"/>
      <c r="B86" s="1656"/>
      <c r="C86" s="1753" t="s">
        <v>57</v>
      </c>
      <c r="D86" s="1656" t="s">
        <v>58</v>
      </c>
      <c r="E86" s="1659">
        <v>1.2</v>
      </c>
      <c r="F86" s="1608">
        <f>'MINI SSR 19-20'!$C$29</f>
        <v>80</v>
      </c>
      <c r="G86" s="1660">
        <f>ROUND(E86*F86,2)</f>
        <v>96</v>
      </c>
      <c r="H86" s="1658" t="s">
        <v>2226</v>
      </c>
    </row>
    <row r="87" spans="1:8" s="1575" customFormat="1">
      <c r="A87" s="1656"/>
      <c r="B87" s="1656"/>
      <c r="C87" s="1755" t="s">
        <v>61</v>
      </c>
      <c r="D87" s="1656"/>
      <c r="E87" s="1659"/>
      <c r="F87" s="1659"/>
      <c r="G87" s="1660"/>
      <c r="H87" s="1658" t="s">
        <v>2226</v>
      </c>
    </row>
    <row r="88" spans="1:8" s="1575" customFormat="1">
      <c r="A88" s="1656"/>
      <c r="B88" s="1656"/>
      <c r="C88" s="1753" t="s">
        <v>62</v>
      </c>
      <c r="D88" s="1656" t="s">
        <v>21</v>
      </c>
      <c r="E88" s="1659">
        <v>1</v>
      </c>
      <c r="F88" s="1659">
        <f>'MINI SSR 19-20'!$C$30</f>
        <v>524.70000000000005</v>
      </c>
      <c r="G88" s="1660">
        <f>ROUND(E88*F88,2)</f>
        <v>524.70000000000005</v>
      </c>
      <c r="H88" s="1658" t="s">
        <v>2226</v>
      </c>
    </row>
    <row r="89" spans="1:8" s="1575" customFormat="1">
      <c r="A89" s="1656"/>
      <c r="B89" s="1656"/>
      <c r="C89" s="1755" t="s">
        <v>63</v>
      </c>
      <c r="D89" s="1656"/>
      <c r="E89" s="1659"/>
      <c r="F89" s="1659"/>
      <c r="G89" s="1660"/>
      <c r="H89" s="1658" t="s">
        <v>2226</v>
      </c>
    </row>
    <row r="90" spans="1:8" s="1575" customFormat="1">
      <c r="A90" s="1656"/>
      <c r="B90" s="1656"/>
      <c r="C90" s="1753" t="s">
        <v>64</v>
      </c>
      <c r="D90" s="1656" t="s">
        <v>27</v>
      </c>
      <c r="E90" s="1659">
        <v>0.1</v>
      </c>
      <c r="F90" s="1659">
        <f>'MINI SSR 19-20'!$H$3</f>
        <v>500</v>
      </c>
      <c r="G90" s="1660">
        <f>ROUND(E90*F90,2)</f>
        <v>50</v>
      </c>
      <c r="H90" s="1658" t="s">
        <v>2226</v>
      </c>
    </row>
    <row r="91" spans="1:8" s="1575" customFormat="1">
      <c r="A91" s="1656"/>
      <c r="B91" s="1656"/>
      <c r="C91" s="1753" t="s">
        <v>19</v>
      </c>
      <c r="D91" s="1656" t="s">
        <v>27</v>
      </c>
      <c r="E91" s="1659">
        <v>1.39</v>
      </c>
      <c r="F91" s="1659">
        <f>'MINI SSR 19-20'!H$5</f>
        <v>420</v>
      </c>
      <c r="G91" s="1660">
        <f>ROUND(E91*F91,2)</f>
        <v>583.79999999999995</v>
      </c>
      <c r="H91" s="1658" t="s">
        <v>2226</v>
      </c>
    </row>
    <row r="92" spans="1:8" s="1575" customFormat="1">
      <c r="A92" s="1656"/>
      <c r="B92" s="1656"/>
      <c r="C92" s="1753"/>
      <c r="D92" s="1656"/>
      <c r="E92" s="1656"/>
      <c r="F92" s="1656"/>
      <c r="G92" s="1667">
        <f>SUM(G83:G91)</f>
        <v>3877.2799999999997</v>
      </c>
      <c r="H92" s="1658" t="s">
        <v>2226</v>
      </c>
    </row>
    <row r="93" spans="1:8" ht="89.25" hidden="1">
      <c r="A93" s="1156">
        <v>13</v>
      </c>
      <c r="B93" s="1218" t="s">
        <v>65</v>
      </c>
      <c r="C93" s="1752" t="s">
        <v>67</v>
      </c>
      <c r="D93" s="1212"/>
      <c r="E93" s="1212"/>
      <c r="F93" s="1212"/>
      <c r="G93" s="1218"/>
      <c r="H93" s="1205" t="s">
        <v>2226</v>
      </c>
    </row>
    <row r="94" spans="1:8" hidden="1">
      <c r="A94" s="1156"/>
      <c r="B94" s="1218"/>
      <c r="C94" s="1754" t="s">
        <v>60</v>
      </c>
      <c r="D94" s="1212"/>
      <c r="E94" s="1212"/>
      <c r="F94" s="1212"/>
      <c r="G94" s="1215"/>
      <c r="H94" s="1205" t="s">
        <v>2226</v>
      </c>
    </row>
    <row r="95" spans="1:8" hidden="1">
      <c r="A95" s="1212"/>
      <c r="B95" s="1212"/>
      <c r="C95" s="1752" t="s">
        <v>44</v>
      </c>
      <c r="D95" s="1212" t="s">
        <v>4</v>
      </c>
      <c r="E95" s="1213">
        <v>129.6</v>
      </c>
      <c r="F95" s="1213">
        <f>F83</f>
        <v>4700</v>
      </c>
      <c r="G95" s="1214">
        <f>ROUND(E95*F95/1000,2)</f>
        <v>609.12</v>
      </c>
      <c r="H95" s="1205" t="s">
        <v>2226</v>
      </c>
    </row>
    <row r="96" spans="1:8" hidden="1">
      <c r="A96" s="1212"/>
      <c r="B96" s="1212"/>
      <c r="C96" s="1752" t="s">
        <v>56</v>
      </c>
      <c r="D96" s="1212" t="s">
        <v>35</v>
      </c>
      <c r="E96" s="1213">
        <v>0.9</v>
      </c>
      <c r="F96" s="1213">
        <f>F84</f>
        <v>1375.7999999999997</v>
      </c>
      <c r="G96" s="1214">
        <f>ROUND(E96*F96,2)</f>
        <v>1238.22</v>
      </c>
      <c r="H96" s="1205" t="s">
        <v>2226</v>
      </c>
    </row>
    <row r="97" spans="1:8" hidden="1">
      <c r="A97" s="1212"/>
      <c r="B97" s="1212"/>
      <c r="C97" s="1752" t="s">
        <v>112</v>
      </c>
      <c r="D97" s="1212" t="s">
        <v>35</v>
      </c>
      <c r="E97" s="1213">
        <v>0.45</v>
      </c>
      <c r="F97" s="1213">
        <f>F85</f>
        <v>1384.7999999999988</v>
      </c>
      <c r="G97" s="1214">
        <f>ROUND(E97*F97,2)</f>
        <v>623.16</v>
      </c>
      <c r="H97" s="1205" t="s">
        <v>2226</v>
      </c>
    </row>
    <row r="98" spans="1:8" hidden="1">
      <c r="A98" s="1212"/>
      <c r="B98" s="1212"/>
      <c r="C98" s="1752" t="s">
        <v>57</v>
      </c>
      <c r="D98" s="1212" t="s">
        <v>58</v>
      </c>
      <c r="E98" s="1213">
        <v>1.2</v>
      </c>
      <c r="F98" s="1221">
        <f>'MINI SSR 19-20'!$C$29</f>
        <v>80</v>
      </c>
      <c r="G98" s="1214">
        <f>ROUND(E98*F98,2)</f>
        <v>96</v>
      </c>
      <c r="H98" s="1205" t="s">
        <v>2226</v>
      </c>
    </row>
    <row r="99" spans="1:8" hidden="1">
      <c r="A99" s="1212"/>
      <c r="B99" s="1212"/>
      <c r="C99" s="1754" t="s">
        <v>61</v>
      </c>
      <c r="D99" s="1212"/>
      <c r="E99" s="1213"/>
      <c r="F99" s="1213"/>
      <c r="G99" s="1214"/>
      <c r="H99" s="1205" t="s">
        <v>2226</v>
      </c>
    </row>
    <row r="100" spans="1:8" hidden="1">
      <c r="A100" s="1212"/>
      <c r="B100" s="1212"/>
      <c r="C100" s="1752" t="s">
        <v>62</v>
      </c>
      <c r="D100" s="1212" t="s">
        <v>21</v>
      </c>
      <c r="E100" s="1213">
        <v>1</v>
      </c>
      <c r="F100" s="1213">
        <f>'MINI SSR 19-20'!$C$30</f>
        <v>524.70000000000005</v>
      </c>
      <c r="G100" s="1214">
        <f>ROUND(E100*F100,2)</f>
        <v>524.70000000000005</v>
      </c>
      <c r="H100" s="1205" t="s">
        <v>2226</v>
      </c>
    </row>
    <row r="101" spans="1:8" hidden="1">
      <c r="A101" s="1212"/>
      <c r="B101" s="1212"/>
      <c r="C101" s="1754" t="s">
        <v>63</v>
      </c>
      <c r="D101" s="1212"/>
      <c r="E101" s="1213"/>
      <c r="F101" s="1213"/>
      <c r="G101" s="1214"/>
      <c r="H101" s="1205" t="s">
        <v>2226</v>
      </c>
    </row>
    <row r="102" spans="1:8" hidden="1">
      <c r="A102" s="1212"/>
      <c r="B102" s="1212"/>
      <c r="C102" s="1752" t="s">
        <v>64</v>
      </c>
      <c r="D102" s="1212" t="s">
        <v>27</v>
      </c>
      <c r="E102" s="1213">
        <v>0.1</v>
      </c>
      <c r="F102" s="1213">
        <f>'MINI SSR 19-20'!$H$3</f>
        <v>500</v>
      </c>
      <c r="G102" s="1214">
        <f>ROUND(E102*F102,2)</f>
        <v>50</v>
      </c>
      <c r="H102" s="1205" t="s">
        <v>2226</v>
      </c>
    </row>
    <row r="103" spans="1:8" hidden="1">
      <c r="A103" s="1212"/>
      <c r="B103" s="1212"/>
      <c r="C103" s="1752" t="s">
        <v>19</v>
      </c>
      <c r="D103" s="1212" t="s">
        <v>27</v>
      </c>
      <c r="E103" s="1213">
        <v>1.39</v>
      </c>
      <c r="F103" s="1213">
        <f>'MINI SSR 19-20'!H$5</f>
        <v>420</v>
      </c>
      <c r="G103" s="1214">
        <f>ROUND(E103*F103,2)</f>
        <v>583.79999999999995</v>
      </c>
      <c r="H103" s="1205" t="s">
        <v>2226</v>
      </c>
    </row>
    <row r="104" spans="1:8" hidden="1">
      <c r="A104" s="1212"/>
      <c r="B104" s="1212"/>
      <c r="C104" s="1752"/>
      <c r="D104" s="1212"/>
      <c r="E104" s="1212"/>
      <c r="F104" s="1212"/>
      <c r="G104" s="1222">
        <f>SUM(G95:G103)</f>
        <v>3725</v>
      </c>
      <c r="H104" s="1205" t="s">
        <v>2226</v>
      </c>
    </row>
    <row r="105" spans="1:8" s="1575" customFormat="1" ht="178.5">
      <c r="A105" s="1570">
        <v>8</v>
      </c>
      <c r="B105" s="1664" t="s">
        <v>66</v>
      </c>
      <c r="C105" s="1753" t="s">
        <v>225</v>
      </c>
      <c r="D105" s="1656"/>
      <c r="E105" s="1656"/>
      <c r="F105" s="1656"/>
      <c r="G105" s="1664"/>
      <c r="H105" s="1658" t="s">
        <v>2226</v>
      </c>
    </row>
    <row r="106" spans="1:8" s="1575" customFormat="1">
      <c r="A106" s="1570"/>
      <c r="B106" s="1664"/>
      <c r="C106" s="1755" t="s">
        <v>81</v>
      </c>
      <c r="D106" s="1656"/>
      <c r="E106" s="1656"/>
      <c r="F106" s="1656"/>
      <c r="G106" s="1661"/>
      <c r="H106" s="1658" t="s">
        <v>2226</v>
      </c>
    </row>
    <row r="107" spans="1:8" s="1575" customFormat="1">
      <c r="A107" s="1570"/>
      <c r="B107" s="1664"/>
      <c r="C107" s="1755" t="s">
        <v>60</v>
      </c>
      <c r="D107" s="1656"/>
      <c r="E107" s="1656"/>
      <c r="F107" s="1656"/>
      <c r="G107" s="1661"/>
      <c r="H107" s="1658" t="s">
        <v>2226</v>
      </c>
    </row>
    <row r="108" spans="1:8" s="1575" customFormat="1">
      <c r="A108" s="1570"/>
      <c r="B108" s="1664"/>
      <c r="C108" s="1753" t="s">
        <v>154</v>
      </c>
      <c r="D108" s="1656" t="s">
        <v>35</v>
      </c>
      <c r="E108" s="1659">
        <v>0.8</v>
      </c>
      <c r="F108" s="1659">
        <f>F38</f>
        <v>1722.2999999999997</v>
      </c>
      <c r="G108" s="1660">
        <f>ROUND(E108*F108,2)</f>
        <v>1377.84</v>
      </c>
      <c r="H108" s="1658" t="s">
        <v>2226</v>
      </c>
    </row>
    <row r="109" spans="1:8" s="1575" customFormat="1">
      <c r="A109" s="1570"/>
      <c r="B109" s="1664"/>
      <c r="C109" s="1753" t="s">
        <v>112</v>
      </c>
      <c r="D109" s="1656" t="s">
        <v>35</v>
      </c>
      <c r="E109" s="1659">
        <v>0.4</v>
      </c>
      <c r="F109" s="1659">
        <f>'lead 19-20'!L13</f>
        <v>1384.7999999999988</v>
      </c>
      <c r="G109" s="1660">
        <f>ROUND(E109*F109,2)</f>
        <v>553.91999999999996</v>
      </c>
      <c r="H109" s="1658" t="s">
        <v>2226</v>
      </c>
    </row>
    <row r="110" spans="1:8" s="1575" customFormat="1">
      <c r="A110" s="1656"/>
      <c r="B110" s="1656"/>
      <c r="C110" s="1753" t="s">
        <v>33</v>
      </c>
      <c r="D110" s="1656" t="s">
        <v>4</v>
      </c>
      <c r="E110" s="1659">
        <v>340</v>
      </c>
      <c r="F110" s="1659">
        <f>'lead 19-20'!L8</f>
        <v>4700</v>
      </c>
      <c r="G110" s="1660">
        <f>ROUND(E110*F110/1000,2)</f>
        <v>1598</v>
      </c>
      <c r="H110" s="1658" t="s">
        <v>2226</v>
      </c>
    </row>
    <row r="111" spans="1:8" s="1575" customFormat="1">
      <c r="A111" s="1656"/>
      <c r="B111" s="1656"/>
      <c r="C111" s="1755" t="s">
        <v>68</v>
      </c>
      <c r="D111" s="1656"/>
      <c r="E111" s="1659"/>
      <c r="F111" s="1659"/>
      <c r="G111" s="1660"/>
      <c r="H111" s="1658" t="s">
        <v>2226</v>
      </c>
    </row>
    <row r="112" spans="1:8" s="1575" customFormat="1">
      <c r="A112" s="1656"/>
      <c r="B112" s="1656"/>
      <c r="C112" s="1753" t="s">
        <v>64</v>
      </c>
      <c r="D112" s="1656" t="s">
        <v>27</v>
      </c>
      <c r="E112" s="1668">
        <v>0.13300000000000001</v>
      </c>
      <c r="F112" s="1659">
        <f>'MINI SSR 19-20'!$H$3</f>
        <v>500</v>
      </c>
      <c r="G112" s="1660">
        <f>ROUND(E112*F112,2)</f>
        <v>66.5</v>
      </c>
      <c r="H112" s="1658" t="s">
        <v>2226</v>
      </c>
    </row>
    <row r="113" spans="1:8" s="1575" customFormat="1">
      <c r="A113" s="1656"/>
      <c r="B113" s="1656"/>
      <c r="C113" s="1753" t="s">
        <v>69</v>
      </c>
      <c r="D113" s="1656" t="s">
        <v>27</v>
      </c>
      <c r="E113" s="1668">
        <v>0.26700000000000002</v>
      </c>
      <c r="F113" s="1659">
        <f>'MINI SSR 19-20'!$H$4</f>
        <v>460</v>
      </c>
      <c r="G113" s="1660">
        <f>ROUND(E113*F113,2)</f>
        <v>122.82</v>
      </c>
      <c r="H113" s="1658" t="s">
        <v>2226</v>
      </c>
    </row>
    <row r="114" spans="1:8" s="1575" customFormat="1">
      <c r="A114" s="1656"/>
      <c r="B114" s="1656"/>
      <c r="C114" s="1753" t="s">
        <v>70</v>
      </c>
      <c r="D114" s="1656" t="s">
        <v>27</v>
      </c>
      <c r="E114" s="1668">
        <v>3.6</v>
      </c>
      <c r="F114" s="1659">
        <f>'MINI SSR 19-20'!H$5</f>
        <v>420</v>
      </c>
      <c r="G114" s="1660">
        <f>ROUND(E114*F114,2)</f>
        <v>1512</v>
      </c>
      <c r="H114" s="1658" t="s">
        <v>2226</v>
      </c>
    </row>
    <row r="115" spans="1:8" s="1575" customFormat="1">
      <c r="A115" s="1656"/>
      <c r="B115" s="1656"/>
      <c r="C115" s="1755" t="s">
        <v>61</v>
      </c>
      <c r="D115" s="1656"/>
      <c r="E115" s="1659"/>
      <c r="F115" s="1659"/>
      <c r="G115" s="1660"/>
      <c r="H115" s="1658" t="s">
        <v>2226</v>
      </c>
    </row>
    <row r="116" spans="1:8" s="1575" customFormat="1">
      <c r="A116" s="1656"/>
      <c r="B116" s="1656"/>
      <c r="C116" s="1753" t="s">
        <v>62</v>
      </c>
      <c r="D116" s="1656" t="s">
        <v>21</v>
      </c>
      <c r="E116" s="1659">
        <v>1</v>
      </c>
      <c r="F116" s="1659">
        <f>'MINI SSR 19-20'!$C$30</f>
        <v>524.70000000000005</v>
      </c>
      <c r="G116" s="1660">
        <f>ROUND(E116*F116,2)</f>
        <v>524.70000000000005</v>
      </c>
      <c r="H116" s="1658" t="s">
        <v>2226</v>
      </c>
    </row>
    <row r="117" spans="1:8" s="1575" customFormat="1">
      <c r="A117" s="1656"/>
      <c r="B117" s="1656"/>
      <c r="C117" s="1753" t="s">
        <v>160</v>
      </c>
      <c r="D117" s="1656" t="s">
        <v>21</v>
      </c>
      <c r="E117" s="1659">
        <v>1</v>
      </c>
      <c r="F117" s="1659">
        <f>'MINI SSR 19-20'!$C$31</f>
        <v>209.1</v>
      </c>
      <c r="G117" s="1660">
        <f>ROUND(E117*F117,2)</f>
        <v>209.1</v>
      </c>
      <c r="H117" s="1658" t="s">
        <v>2226</v>
      </c>
    </row>
    <row r="118" spans="1:8" s="1575" customFormat="1">
      <c r="A118" s="1656"/>
      <c r="B118" s="1656"/>
      <c r="C118" s="1753" t="s">
        <v>57</v>
      </c>
      <c r="D118" s="1656" t="s">
        <v>58</v>
      </c>
      <c r="E118" s="1659">
        <v>1.2</v>
      </c>
      <c r="F118" s="1608">
        <f>'MINI SSR 19-20'!$C$29</f>
        <v>80</v>
      </c>
      <c r="G118" s="1660">
        <f>ROUND(E118*F118,2)</f>
        <v>96</v>
      </c>
      <c r="H118" s="1658" t="s">
        <v>2226</v>
      </c>
    </row>
    <row r="119" spans="1:8" s="1575" customFormat="1">
      <c r="A119" s="1656"/>
      <c r="B119" s="1656"/>
      <c r="C119" s="1755" t="s">
        <v>71</v>
      </c>
      <c r="D119" s="1656"/>
      <c r="E119" s="1656"/>
      <c r="F119" s="1656"/>
      <c r="G119" s="1667">
        <f>SUM(G108:G118)</f>
        <v>6060.88</v>
      </c>
      <c r="H119" s="1658" t="s">
        <v>2226</v>
      </c>
    </row>
    <row r="120" spans="1:8" s="1575" customFormat="1">
      <c r="A120" s="1656"/>
      <c r="B120" s="1656"/>
      <c r="C120" s="1755" t="s">
        <v>72</v>
      </c>
      <c r="D120" s="1656"/>
      <c r="E120" s="1656"/>
      <c r="F120" s="1656"/>
      <c r="G120" s="1661"/>
      <c r="H120" s="1658" t="s">
        <v>2226</v>
      </c>
    </row>
    <row r="121" spans="1:8" s="1575" customFormat="1">
      <c r="A121" s="1656"/>
      <c r="B121" s="1656"/>
      <c r="C121" s="1753" t="s">
        <v>73</v>
      </c>
      <c r="D121" s="1656" t="s">
        <v>35</v>
      </c>
      <c r="E121" s="1659">
        <v>1</v>
      </c>
      <c r="F121" s="1659">
        <f>G119</f>
        <v>6060.88</v>
      </c>
      <c r="G121" s="1660">
        <f>ROUND(E121*F121,2)</f>
        <v>6060.88</v>
      </c>
      <c r="H121" s="1658" t="s">
        <v>2226</v>
      </c>
    </row>
    <row r="122" spans="1:8" s="1575" customFormat="1" ht="25.5">
      <c r="A122" s="1656"/>
      <c r="B122" s="1656"/>
      <c r="C122" s="1753" t="s">
        <v>1279</v>
      </c>
      <c r="D122" s="1656" t="s">
        <v>35</v>
      </c>
      <c r="E122" s="1659">
        <v>1</v>
      </c>
      <c r="F122" s="1659">
        <f>'MINI SSR 19-20'!C52</f>
        <v>288</v>
      </c>
      <c r="G122" s="1660">
        <f>ROUND(E122*F122,2)</f>
        <v>288</v>
      </c>
      <c r="H122" s="1658" t="s">
        <v>2226</v>
      </c>
    </row>
    <row r="123" spans="1:8" s="1575" customFormat="1">
      <c r="A123" s="1656"/>
      <c r="B123" s="1656"/>
      <c r="C123" s="1753" t="s">
        <v>1280</v>
      </c>
      <c r="D123" s="1656" t="s">
        <v>35</v>
      </c>
      <c r="E123" s="1659">
        <v>1</v>
      </c>
      <c r="F123" s="1659">
        <f>'MINI SSR 19-20'!D52</f>
        <v>631</v>
      </c>
      <c r="G123" s="1660">
        <f>ROUND(E123*F123,2)</f>
        <v>631</v>
      </c>
      <c r="H123" s="1658" t="s">
        <v>2226</v>
      </c>
    </row>
    <row r="124" spans="1:8" s="1575" customFormat="1">
      <c r="A124" s="1656"/>
      <c r="B124" s="1656"/>
      <c r="C124" s="1753"/>
      <c r="D124" s="1656"/>
      <c r="E124" s="1656"/>
      <c r="F124" s="1656"/>
      <c r="G124" s="1667">
        <f>SUM(G121:G123)</f>
        <v>6979.88</v>
      </c>
      <c r="H124" s="1658" t="s">
        <v>2226</v>
      </c>
    </row>
    <row r="125" spans="1:8" s="1575" customFormat="1">
      <c r="A125" s="1656"/>
      <c r="B125" s="1656"/>
      <c r="C125" s="1755" t="s">
        <v>74</v>
      </c>
      <c r="D125" s="1656"/>
      <c r="E125" s="1656"/>
      <c r="F125" s="1656"/>
      <c r="G125" s="1661"/>
      <c r="H125" s="1658" t="s">
        <v>2226</v>
      </c>
    </row>
    <row r="126" spans="1:8" s="1575" customFormat="1">
      <c r="A126" s="1656"/>
      <c r="B126" s="1656"/>
      <c r="C126" s="1753" t="s">
        <v>73</v>
      </c>
      <c r="D126" s="1656" t="s">
        <v>35</v>
      </c>
      <c r="E126" s="1659">
        <v>1</v>
      </c>
      <c r="F126" s="1659">
        <f>G119</f>
        <v>6060.88</v>
      </c>
      <c r="G126" s="1660">
        <f>ROUND(E126*F126,2)</f>
        <v>6060.88</v>
      </c>
      <c r="H126" s="1658" t="s">
        <v>2226</v>
      </c>
    </row>
    <row r="127" spans="1:8" s="1575" customFormat="1" ht="25.5">
      <c r="A127" s="1656"/>
      <c r="B127" s="1656"/>
      <c r="C127" s="1753" t="s">
        <v>1281</v>
      </c>
      <c r="D127" s="1656" t="s">
        <v>35</v>
      </c>
      <c r="E127" s="1659">
        <v>1</v>
      </c>
      <c r="F127" s="1659">
        <f>'MINI SSR 19-20'!C54</f>
        <v>328</v>
      </c>
      <c r="G127" s="1660">
        <f>ROUND(E127*F127,2)</f>
        <v>328</v>
      </c>
      <c r="H127" s="1658" t="s">
        <v>2226</v>
      </c>
    </row>
    <row r="128" spans="1:8" s="1575" customFormat="1">
      <c r="A128" s="1656"/>
      <c r="B128" s="1656"/>
      <c r="C128" s="1753" t="s">
        <v>1282</v>
      </c>
      <c r="D128" s="1656" t="s">
        <v>35</v>
      </c>
      <c r="E128" s="1659">
        <v>1</v>
      </c>
      <c r="F128" s="1659">
        <f>'MINI SSR 19-20'!D54</f>
        <v>1004</v>
      </c>
      <c r="G128" s="1660">
        <f>ROUND(E128*F128,2)</f>
        <v>1004</v>
      </c>
      <c r="H128" s="1658" t="s">
        <v>2226</v>
      </c>
    </row>
    <row r="129" spans="1:8" s="1575" customFormat="1">
      <c r="A129" s="1656"/>
      <c r="B129" s="1656"/>
      <c r="C129" s="1753"/>
      <c r="D129" s="1656"/>
      <c r="E129" s="1656"/>
      <c r="F129" s="1656"/>
      <c r="G129" s="1667">
        <f>SUM(G126:G128)</f>
        <v>7392.88</v>
      </c>
      <c r="H129" s="1658" t="s">
        <v>2226</v>
      </c>
    </row>
    <row r="130" spans="1:8" s="1575" customFormat="1">
      <c r="A130" s="1656"/>
      <c r="B130" s="1656"/>
      <c r="C130" s="1755" t="s">
        <v>75</v>
      </c>
      <c r="D130" s="1656"/>
      <c r="E130" s="1656"/>
      <c r="F130" s="1656"/>
      <c r="G130" s="1661"/>
      <c r="H130" s="1658" t="s">
        <v>2226</v>
      </c>
    </row>
    <row r="131" spans="1:8" s="1575" customFormat="1">
      <c r="A131" s="1656"/>
      <c r="B131" s="1656"/>
      <c r="C131" s="1753" t="s">
        <v>73</v>
      </c>
      <c r="D131" s="1656" t="s">
        <v>35</v>
      </c>
      <c r="E131" s="1659">
        <v>1</v>
      </c>
      <c r="F131" s="1659">
        <f>G119</f>
        <v>6060.88</v>
      </c>
      <c r="G131" s="1660">
        <f>ROUND(E131*F131,2)</f>
        <v>6060.88</v>
      </c>
      <c r="H131" s="1658" t="s">
        <v>2226</v>
      </c>
    </row>
    <row r="132" spans="1:8" s="1575" customFormat="1">
      <c r="A132" s="1656"/>
      <c r="B132" s="1656"/>
      <c r="C132" s="1753" t="s">
        <v>1283</v>
      </c>
      <c r="D132" s="1656" t="s">
        <v>35</v>
      </c>
      <c r="E132" s="1659">
        <v>1</v>
      </c>
      <c r="F132" s="1659">
        <f>'MINI SSR 19-20'!C55</f>
        <v>1390</v>
      </c>
      <c r="G132" s="1660">
        <f>ROUND(E132*F132,2)</f>
        <v>1390</v>
      </c>
      <c r="H132" s="1658" t="s">
        <v>2226</v>
      </c>
    </row>
    <row r="133" spans="1:8" s="1575" customFormat="1">
      <c r="A133" s="1656"/>
      <c r="B133" s="1656"/>
      <c r="C133" s="1753" t="s">
        <v>1284</v>
      </c>
      <c r="D133" s="1656" t="s">
        <v>35</v>
      </c>
      <c r="E133" s="1659">
        <v>1</v>
      </c>
      <c r="F133" s="1659">
        <f>'MINI SSR 19-20'!D55</f>
        <v>1521</v>
      </c>
      <c r="G133" s="1660">
        <f>ROUND(E133*F133,2)</f>
        <v>1521</v>
      </c>
      <c r="H133" s="1658" t="s">
        <v>2226</v>
      </c>
    </row>
    <row r="134" spans="1:8" s="1575" customFormat="1">
      <c r="A134" s="1656"/>
      <c r="B134" s="1656"/>
      <c r="C134" s="1753"/>
      <c r="D134" s="1656"/>
      <c r="E134" s="1656"/>
      <c r="F134" s="1656"/>
      <c r="G134" s="1667">
        <f>SUM(G131:G133)</f>
        <v>8971.880000000001</v>
      </c>
      <c r="H134" s="1658" t="s">
        <v>2226</v>
      </c>
    </row>
    <row r="135" spans="1:8" s="1575" customFormat="1" ht="178.5">
      <c r="A135" s="1570">
        <v>9</v>
      </c>
      <c r="B135" s="1664" t="s">
        <v>76</v>
      </c>
      <c r="C135" s="1753" t="s">
        <v>226</v>
      </c>
      <c r="D135" s="1656"/>
      <c r="E135" s="1656"/>
      <c r="F135" s="1656"/>
      <c r="G135" s="1664"/>
      <c r="H135" s="1658" t="s">
        <v>2226</v>
      </c>
    </row>
    <row r="136" spans="1:8" s="1575" customFormat="1">
      <c r="A136" s="1570"/>
      <c r="B136" s="1664"/>
      <c r="C136" s="1755" t="s">
        <v>80</v>
      </c>
      <c r="D136" s="1656"/>
      <c r="E136" s="1656"/>
      <c r="F136" s="1656"/>
      <c r="G136" s="1661"/>
      <c r="H136" s="1658" t="s">
        <v>2226</v>
      </c>
    </row>
    <row r="137" spans="1:8" s="1575" customFormat="1">
      <c r="A137" s="1570"/>
      <c r="B137" s="1664"/>
      <c r="C137" s="1755" t="s">
        <v>60</v>
      </c>
      <c r="D137" s="1656"/>
      <c r="E137" s="1656"/>
      <c r="F137" s="1656"/>
      <c r="G137" s="1661"/>
      <c r="H137" s="1658" t="s">
        <v>2226</v>
      </c>
    </row>
    <row r="138" spans="1:8" s="1575" customFormat="1">
      <c r="A138" s="1570"/>
      <c r="B138" s="1664"/>
      <c r="C138" s="1753" t="s">
        <v>154</v>
      </c>
      <c r="D138" s="1656" t="s">
        <v>35</v>
      </c>
      <c r="E138" s="1659">
        <v>0.8</v>
      </c>
      <c r="F138" s="1659">
        <f>F108</f>
        <v>1722.2999999999997</v>
      </c>
      <c r="G138" s="1660">
        <f>ROUND(E138*F138,2)</f>
        <v>1377.84</v>
      </c>
      <c r="H138" s="1658" t="s">
        <v>2226</v>
      </c>
    </row>
    <row r="139" spans="1:8" s="1575" customFormat="1">
      <c r="A139" s="1570"/>
      <c r="B139" s="1664"/>
      <c r="C139" s="1753" t="s">
        <v>112</v>
      </c>
      <c r="D139" s="1656" t="s">
        <v>35</v>
      </c>
      <c r="E139" s="1659">
        <v>0.4</v>
      </c>
      <c r="F139" s="1659">
        <f>'lead 19-20'!L13</f>
        <v>1384.7999999999988</v>
      </c>
      <c r="G139" s="1660">
        <f>ROUND(E139*F139,2)</f>
        <v>553.91999999999996</v>
      </c>
      <c r="H139" s="1658" t="s">
        <v>2226</v>
      </c>
    </row>
    <row r="140" spans="1:8" s="1575" customFormat="1">
      <c r="A140" s="1656"/>
      <c r="B140" s="1656"/>
      <c r="C140" s="1753" t="s">
        <v>33</v>
      </c>
      <c r="D140" s="1656" t="s">
        <v>4</v>
      </c>
      <c r="E140" s="1659">
        <f>E110</f>
        <v>340</v>
      </c>
      <c r="F140" s="1659">
        <f>'lead 19-20'!L8</f>
        <v>4700</v>
      </c>
      <c r="G140" s="1660">
        <f>ROUND(E140*F140/1000,2)</f>
        <v>1598</v>
      </c>
      <c r="H140" s="1658" t="s">
        <v>2226</v>
      </c>
    </row>
    <row r="141" spans="1:8" s="1575" customFormat="1">
      <c r="A141" s="1656"/>
      <c r="B141" s="1656"/>
      <c r="C141" s="1755" t="s">
        <v>68</v>
      </c>
      <c r="D141" s="1656"/>
      <c r="E141" s="1659"/>
      <c r="F141" s="1659"/>
      <c r="G141" s="1660"/>
      <c r="H141" s="1658" t="s">
        <v>2226</v>
      </c>
    </row>
    <row r="142" spans="1:8" s="1575" customFormat="1">
      <c r="A142" s="1656"/>
      <c r="B142" s="1656"/>
      <c r="C142" s="1753" t="s">
        <v>64</v>
      </c>
      <c r="D142" s="1656" t="s">
        <v>27</v>
      </c>
      <c r="E142" s="1668">
        <v>0.16700000000000001</v>
      </c>
      <c r="F142" s="1659">
        <f>'MINI SSR 19-20'!$H$3</f>
        <v>500</v>
      </c>
      <c r="G142" s="1660">
        <f>ROUND(E142*F142,2)</f>
        <v>83.5</v>
      </c>
      <c r="H142" s="1658" t="s">
        <v>2226</v>
      </c>
    </row>
    <row r="143" spans="1:8" s="1575" customFormat="1">
      <c r="A143" s="1656"/>
      <c r="B143" s="1656"/>
      <c r="C143" s="1753" t="s">
        <v>69</v>
      </c>
      <c r="D143" s="1656" t="s">
        <v>27</v>
      </c>
      <c r="E143" s="1668">
        <v>0.16700000000000001</v>
      </c>
      <c r="F143" s="1659">
        <f>'MINI SSR 19-20'!$H$4</f>
        <v>460</v>
      </c>
      <c r="G143" s="1660">
        <f>ROUND(E143*F143,2)</f>
        <v>76.819999999999993</v>
      </c>
      <c r="H143" s="1658" t="s">
        <v>2226</v>
      </c>
    </row>
    <row r="144" spans="1:8" s="1575" customFormat="1">
      <c r="A144" s="1656"/>
      <c r="B144" s="1656"/>
      <c r="C144" s="1753" t="s">
        <v>70</v>
      </c>
      <c r="D144" s="1656" t="s">
        <v>27</v>
      </c>
      <c r="E144" s="1668">
        <v>4.7</v>
      </c>
      <c r="F144" s="1659">
        <f>'MINI SSR 19-20'!H$5</f>
        <v>420</v>
      </c>
      <c r="G144" s="1660">
        <f>ROUND(E144*F144,2)</f>
        <v>1974</v>
      </c>
      <c r="H144" s="1658" t="s">
        <v>2226</v>
      </c>
    </row>
    <row r="145" spans="1:8" s="1575" customFormat="1">
      <c r="A145" s="1656"/>
      <c r="B145" s="1656"/>
      <c r="C145" s="1755" t="s">
        <v>61</v>
      </c>
      <c r="D145" s="1656"/>
      <c r="E145" s="1659"/>
      <c r="F145" s="1659"/>
      <c r="G145" s="1660"/>
      <c r="H145" s="1658" t="s">
        <v>2226</v>
      </c>
    </row>
    <row r="146" spans="1:8" s="1575" customFormat="1">
      <c r="A146" s="1656"/>
      <c r="B146" s="1656"/>
      <c r="C146" s="1753" t="s">
        <v>62</v>
      </c>
      <c r="D146" s="1656" t="s">
        <v>21</v>
      </c>
      <c r="E146" s="1659">
        <v>1</v>
      </c>
      <c r="F146" s="1659">
        <f>'MINI SSR 19-20'!$C$30</f>
        <v>524.70000000000005</v>
      </c>
      <c r="G146" s="1660">
        <f>ROUND(E146*F146,2)</f>
        <v>524.70000000000005</v>
      </c>
      <c r="H146" s="1658" t="s">
        <v>2226</v>
      </c>
    </row>
    <row r="147" spans="1:8" s="1575" customFormat="1">
      <c r="A147" s="1656"/>
      <c r="B147" s="1656"/>
      <c r="C147" s="1753" t="s">
        <v>160</v>
      </c>
      <c r="D147" s="1656" t="s">
        <v>21</v>
      </c>
      <c r="E147" s="1659">
        <v>1</v>
      </c>
      <c r="F147" s="1659">
        <f>'MINI SSR 19-20'!$C$31</f>
        <v>209.1</v>
      </c>
      <c r="G147" s="1660">
        <f>ROUND(E147*F147,2)</f>
        <v>209.1</v>
      </c>
      <c r="H147" s="1658" t="s">
        <v>2226</v>
      </c>
    </row>
    <row r="148" spans="1:8" s="1575" customFormat="1">
      <c r="A148" s="1656"/>
      <c r="B148" s="1656"/>
      <c r="C148" s="1753" t="s">
        <v>57</v>
      </c>
      <c r="D148" s="1656" t="s">
        <v>58</v>
      </c>
      <c r="E148" s="1659">
        <v>1.2</v>
      </c>
      <c r="F148" s="1608">
        <f>'MINI SSR 19-20'!$C$29</f>
        <v>80</v>
      </c>
      <c r="G148" s="1660">
        <f>ROUND(E148*F148,2)</f>
        <v>96</v>
      </c>
      <c r="H148" s="1658" t="s">
        <v>2226</v>
      </c>
    </row>
    <row r="149" spans="1:8" s="1575" customFormat="1">
      <c r="A149" s="1656"/>
      <c r="B149" s="1656"/>
      <c r="C149" s="1755" t="s">
        <v>71</v>
      </c>
      <c r="D149" s="1656"/>
      <c r="E149" s="1656"/>
      <c r="F149" s="1656"/>
      <c r="G149" s="1667">
        <f>SUM(G138:G148)</f>
        <v>6493.88</v>
      </c>
      <c r="H149" s="1658" t="s">
        <v>2226</v>
      </c>
    </row>
    <row r="150" spans="1:8" s="1575" customFormat="1">
      <c r="A150" s="1656"/>
      <c r="B150" s="1656"/>
      <c r="C150" s="1755"/>
      <c r="D150" s="1656"/>
      <c r="E150" s="1664" t="s">
        <v>161</v>
      </c>
      <c r="F150" s="1664" t="s">
        <v>162</v>
      </c>
      <c r="G150" s="1663" t="s">
        <v>163</v>
      </c>
      <c r="H150" s="1658" t="s">
        <v>2226</v>
      </c>
    </row>
    <row r="151" spans="1:8" s="1575" customFormat="1">
      <c r="A151" s="1656"/>
      <c r="B151" s="1656"/>
      <c r="C151" s="1755" t="s">
        <v>1285</v>
      </c>
      <c r="D151" s="1656"/>
      <c r="E151" s="1659">
        <f>G149</f>
        <v>6493.88</v>
      </c>
      <c r="F151" s="1659">
        <f>G149</f>
        <v>6493.88</v>
      </c>
      <c r="G151" s="1661">
        <f>G149</f>
        <v>6493.88</v>
      </c>
      <c r="H151" s="1658" t="s">
        <v>2226</v>
      </c>
    </row>
    <row r="152" spans="1:8" s="1575" customFormat="1" ht="25.5">
      <c r="A152" s="1656"/>
      <c r="B152" s="1656"/>
      <c r="C152" s="1753" t="s">
        <v>164</v>
      </c>
      <c r="D152" s="1656"/>
      <c r="E152" s="1659">
        <f>'MINI SSR 19-20'!C57</f>
        <v>355</v>
      </c>
      <c r="F152" s="1659">
        <f>E152</f>
        <v>355</v>
      </c>
      <c r="G152" s="1609">
        <f>E152</f>
        <v>355</v>
      </c>
      <c r="H152" s="1658" t="s">
        <v>2226</v>
      </c>
    </row>
    <row r="153" spans="1:8" s="1575" customFormat="1">
      <c r="A153" s="1656"/>
      <c r="B153" s="1656"/>
      <c r="C153" s="1753" t="s">
        <v>165</v>
      </c>
      <c r="D153" s="1656"/>
      <c r="E153" s="1659">
        <f>'MINI SSR 19-20'!D57</f>
        <v>2268</v>
      </c>
      <c r="F153" s="1659">
        <f>'MINI SSR 19-20'!E57</f>
        <v>2495</v>
      </c>
      <c r="G153" s="1659">
        <f>'MINI SSR 19-20'!F57</f>
        <v>2722</v>
      </c>
      <c r="H153" s="1658" t="s">
        <v>2226</v>
      </c>
    </row>
    <row r="154" spans="1:8" s="1575" customFormat="1" ht="25.5">
      <c r="A154" s="1656"/>
      <c r="B154" s="1656"/>
      <c r="C154" s="1753" t="s">
        <v>1286</v>
      </c>
      <c r="D154" s="1656"/>
      <c r="E154" s="1656"/>
      <c r="F154" s="1656">
        <f>ROUND((G142+G143+G144+F153)*0.1,2)</f>
        <v>462.93</v>
      </c>
      <c r="G154" s="1669">
        <f>ROUND((G142+G143+G144+G153)*0.2,2)</f>
        <v>971.26</v>
      </c>
      <c r="H154" s="1658" t="s">
        <v>2226</v>
      </c>
    </row>
    <row r="155" spans="1:8" s="1575" customFormat="1">
      <c r="A155" s="1656"/>
      <c r="B155" s="1656"/>
      <c r="C155" s="1753"/>
      <c r="D155" s="1656"/>
      <c r="E155" s="1663">
        <f>SUM(E151:E154)</f>
        <v>9116.880000000001</v>
      </c>
      <c r="F155" s="1663">
        <f>SUM(F151:F154)</f>
        <v>9806.8100000000013</v>
      </c>
      <c r="G155" s="1667">
        <f>SUM(G151:G154)</f>
        <v>10542.140000000001</v>
      </c>
      <c r="H155" s="1658" t="s">
        <v>2226</v>
      </c>
    </row>
    <row r="156" spans="1:8" s="1575" customFormat="1">
      <c r="A156" s="1656"/>
      <c r="B156" s="1656"/>
      <c r="C156" s="1755"/>
      <c r="D156" s="1656"/>
      <c r="E156" s="1664" t="s">
        <v>161</v>
      </c>
      <c r="F156" s="1664" t="s">
        <v>162</v>
      </c>
      <c r="G156" s="1663" t="s">
        <v>163</v>
      </c>
      <c r="H156" s="1658" t="s">
        <v>2226</v>
      </c>
    </row>
    <row r="157" spans="1:8" s="1575" customFormat="1">
      <c r="A157" s="1656"/>
      <c r="B157" s="1656"/>
      <c r="C157" s="1755" t="s">
        <v>1287</v>
      </c>
      <c r="D157" s="1656"/>
      <c r="E157" s="1659">
        <f>G149</f>
        <v>6493.88</v>
      </c>
      <c r="F157" s="1659">
        <f>G149</f>
        <v>6493.88</v>
      </c>
      <c r="G157" s="1661">
        <f>G149</f>
        <v>6493.88</v>
      </c>
      <c r="H157" s="1658" t="s">
        <v>2226</v>
      </c>
    </row>
    <row r="158" spans="1:8" s="1575" customFormat="1" ht="25.5">
      <c r="A158" s="1656"/>
      <c r="B158" s="1656"/>
      <c r="C158" s="1753" t="s">
        <v>166</v>
      </c>
      <c r="D158" s="1656"/>
      <c r="E158" s="1659">
        <f>'MINI SSR 19-20'!C58</f>
        <v>1180</v>
      </c>
      <c r="F158" s="1659">
        <f>E158</f>
        <v>1180</v>
      </c>
      <c r="G158" s="1609">
        <f>E158</f>
        <v>1180</v>
      </c>
      <c r="H158" s="1658" t="s">
        <v>2226</v>
      </c>
    </row>
    <row r="159" spans="1:8" s="1575" customFormat="1">
      <c r="A159" s="1656"/>
      <c r="B159" s="1656"/>
      <c r="C159" s="1753" t="s">
        <v>167</v>
      </c>
      <c r="D159" s="1656"/>
      <c r="E159" s="1659">
        <f>'MINI SSR 19-20'!D58</f>
        <v>1615</v>
      </c>
      <c r="F159" s="1659">
        <f>'MINI SSR 19-20'!E58</f>
        <v>1777</v>
      </c>
      <c r="G159" s="1659">
        <f>'MINI SSR 19-20'!F58</f>
        <v>1938</v>
      </c>
      <c r="H159" s="1658" t="s">
        <v>2226</v>
      </c>
    </row>
    <row r="160" spans="1:8" s="1575" customFormat="1" ht="25.5">
      <c r="A160" s="1656"/>
      <c r="B160" s="1656"/>
      <c r="C160" s="1753" t="s">
        <v>1286</v>
      </c>
      <c r="D160" s="1656"/>
      <c r="E160" s="1656"/>
      <c r="F160" s="1656">
        <f>ROUND((G142+G143+G144+F159)*0.1,2)</f>
        <v>391.13</v>
      </c>
      <c r="G160" s="1669">
        <f>ROUND((G142+G143+G144+G159)*0.2,2)</f>
        <v>814.46</v>
      </c>
      <c r="H160" s="1658" t="s">
        <v>2226</v>
      </c>
    </row>
    <row r="161" spans="1:8" s="1575" customFormat="1">
      <c r="A161" s="1656"/>
      <c r="B161" s="1656"/>
      <c r="C161" s="1753"/>
      <c r="D161" s="1656"/>
      <c r="E161" s="1663">
        <f>SUM(E157:E160)</f>
        <v>9288.880000000001</v>
      </c>
      <c r="F161" s="1663">
        <f>SUM(F157:F160)</f>
        <v>9842.01</v>
      </c>
      <c r="G161" s="1667">
        <f>SUM(G157:G160)</f>
        <v>10426.34</v>
      </c>
      <c r="H161" s="1658" t="s">
        <v>2226</v>
      </c>
    </row>
    <row r="162" spans="1:8" s="1575" customFormat="1" ht="178.5">
      <c r="A162" s="1570">
        <v>10</v>
      </c>
      <c r="B162" s="1664" t="s">
        <v>78</v>
      </c>
      <c r="C162" s="1753" t="s">
        <v>226</v>
      </c>
      <c r="D162" s="1656"/>
      <c r="E162" s="1656"/>
      <c r="F162" s="1656"/>
      <c r="G162" s="1664"/>
      <c r="H162" s="1658" t="s">
        <v>2226</v>
      </c>
    </row>
    <row r="163" spans="1:8" s="1575" customFormat="1">
      <c r="A163" s="1570"/>
      <c r="B163" s="1664"/>
      <c r="C163" s="1755" t="s">
        <v>79</v>
      </c>
      <c r="D163" s="1656"/>
      <c r="E163" s="1656"/>
      <c r="F163" s="1656"/>
      <c r="G163" s="1661"/>
      <c r="H163" s="1658" t="s">
        <v>2226</v>
      </c>
    </row>
    <row r="164" spans="1:8" s="1575" customFormat="1">
      <c r="A164" s="1570"/>
      <c r="B164" s="1664"/>
      <c r="C164" s="1755" t="s">
        <v>60</v>
      </c>
      <c r="D164" s="1664"/>
      <c r="E164" s="1664"/>
      <c r="F164" s="1664"/>
      <c r="G164" s="1661"/>
      <c r="H164" s="1658" t="s">
        <v>2226</v>
      </c>
    </row>
    <row r="165" spans="1:8" s="1575" customFormat="1">
      <c r="A165" s="1570"/>
      <c r="B165" s="1664"/>
      <c r="C165" s="1753" t="s">
        <v>154</v>
      </c>
      <c r="D165" s="1656" t="s">
        <v>35</v>
      </c>
      <c r="E165" s="1659">
        <v>0.8</v>
      </c>
      <c r="F165" s="1659">
        <f>F38</f>
        <v>1722.2999999999997</v>
      </c>
      <c r="G165" s="1660">
        <f>ROUND(E165*F165,2)</f>
        <v>1377.84</v>
      </c>
      <c r="H165" s="1658" t="s">
        <v>2226</v>
      </c>
    </row>
    <row r="166" spans="1:8" s="1575" customFormat="1">
      <c r="A166" s="1570"/>
      <c r="B166" s="1664"/>
      <c r="C166" s="1753" t="s">
        <v>112</v>
      </c>
      <c r="D166" s="1656" t="s">
        <v>35</v>
      </c>
      <c r="E166" s="1659">
        <v>0.4</v>
      </c>
      <c r="F166" s="1659">
        <f>'lead 19-20'!L13</f>
        <v>1384.7999999999988</v>
      </c>
      <c r="G166" s="1660">
        <f>ROUND(E166*F166,2)</f>
        <v>553.91999999999996</v>
      </c>
      <c r="H166" s="1658" t="s">
        <v>2226</v>
      </c>
    </row>
    <row r="167" spans="1:8" s="1575" customFormat="1">
      <c r="A167" s="1656"/>
      <c r="B167" s="1656"/>
      <c r="C167" s="1753" t="s">
        <v>33</v>
      </c>
      <c r="D167" s="1656" t="s">
        <v>4</v>
      </c>
      <c r="E167" s="1659">
        <f>E140</f>
        <v>340</v>
      </c>
      <c r="F167" s="1659">
        <f>'lead 19-20'!L8</f>
        <v>4700</v>
      </c>
      <c r="G167" s="1660">
        <f>ROUND(E167*F167/1000,2)</f>
        <v>1598</v>
      </c>
      <c r="H167" s="1658" t="s">
        <v>2226</v>
      </c>
    </row>
    <row r="168" spans="1:8" s="1575" customFormat="1">
      <c r="A168" s="1656"/>
      <c r="B168" s="1656"/>
      <c r="C168" s="1755" t="s">
        <v>68</v>
      </c>
      <c r="D168" s="1656"/>
      <c r="E168" s="1659"/>
      <c r="F168" s="1659"/>
      <c r="G168" s="1660"/>
      <c r="H168" s="1658" t="s">
        <v>2226</v>
      </c>
    </row>
    <row r="169" spans="1:8" s="1575" customFormat="1">
      <c r="A169" s="1656"/>
      <c r="B169" s="1656"/>
      <c r="C169" s="1753" t="s">
        <v>64</v>
      </c>
      <c r="D169" s="1656" t="s">
        <v>27</v>
      </c>
      <c r="E169" s="1668">
        <v>6.7000000000000004E-2</v>
      </c>
      <c r="F169" s="1659">
        <f>'MINI SSR 19-20'!$H$3</f>
        <v>500</v>
      </c>
      <c r="G169" s="1660">
        <f>ROUND(E169*F169,2)</f>
        <v>33.5</v>
      </c>
      <c r="H169" s="1658" t="s">
        <v>2226</v>
      </c>
    </row>
    <row r="170" spans="1:8" s="1575" customFormat="1">
      <c r="A170" s="1656"/>
      <c r="B170" s="1656"/>
      <c r="C170" s="1753" t="s">
        <v>69</v>
      </c>
      <c r="D170" s="1656" t="s">
        <v>27</v>
      </c>
      <c r="E170" s="1668">
        <v>0.13300000000000001</v>
      </c>
      <c r="F170" s="1659">
        <f>'MINI SSR 19-20'!$H$4</f>
        <v>460</v>
      </c>
      <c r="G170" s="1660">
        <f>ROUND(E170*F170,2)</f>
        <v>61.18</v>
      </c>
      <c r="H170" s="1658" t="s">
        <v>2226</v>
      </c>
    </row>
    <row r="171" spans="1:8" s="1575" customFormat="1">
      <c r="A171" s="1656"/>
      <c r="B171" s="1656"/>
      <c r="C171" s="1753" t="s">
        <v>70</v>
      </c>
      <c r="D171" s="1656" t="s">
        <v>27</v>
      </c>
      <c r="E171" s="1668">
        <v>2.5</v>
      </c>
      <c r="F171" s="1659">
        <f>'MINI SSR 19-20'!H$5</f>
        <v>420</v>
      </c>
      <c r="G171" s="1660">
        <f>ROUND(E171*F171,2)</f>
        <v>1050</v>
      </c>
      <c r="H171" s="1658" t="s">
        <v>2226</v>
      </c>
    </row>
    <row r="172" spans="1:8" s="1575" customFormat="1">
      <c r="A172" s="1656"/>
      <c r="B172" s="1656"/>
      <c r="C172" s="1755" t="s">
        <v>61</v>
      </c>
      <c r="D172" s="1656"/>
      <c r="E172" s="1659"/>
      <c r="F172" s="1659"/>
      <c r="G172" s="1660"/>
      <c r="H172" s="1658" t="s">
        <v>2226</v>
      </c>
    </row>
    <row r="173" spans="1:8" s="1575" customFormat="1">
      <c r="A173" s="1656"/>
      <c r="B173" s="1656"/>
      <c r="C173" s="1753" t="s">
        <v>62</v>
      </c>
      <c r="D173" s="1656" t="s">
        <v>21</v>
      </c>
      <c r="E173" s="1668">
        <v>0.26700000000000002</v>
      </c>
      <c r="F173" s="1659">
        <f>'MINI SSR 19-20'!$C$30</f>
        <v>524.70000000000005</v>
      </c>
      <c r="G173" s="1660">
        <f>ROUND(E173*F173,2)</f>
        <v>140.09</v>
      </c>
      <c r="H173" s="1658" t="s">
        <v>2226</v>
      </c>
    </row>
    <row r="174" spans="1:8" s="1575" customFormat="1">
      <c r="A174" s="1656"/>
      <c r="B174" s="1656"/>
      <c r="C174" s="1753" t="s">
        <v>160</v>
      </c>
      <c r="D174" s="1656" t="s">
        <v>21</v>
      </c>
      <c r="E174" s="1668">
        <v>0.26700000000000002</v>
      </c>
      <c r="F174" s="1659">
        <f>'MINI SSR 19-20'!$C$31</f>
        <v>209.1</v>
      </c>
      <c r="G174" s="1660">
        <f>ROUND(E174*F174,2)</f>
        <v>55.83</v>
      </c>
      <c r="H174" s="1658" t="s">
        <v>2226</v>
      </c>
    </row>
    <row r="175" spans="1:8" s="1575" customFormat="1">
      <c r="A175" s="1656"/>
      <c r="B175" s="1656"/>
      <c r="C175" s="1753" t="s">
        <v>57</v>
      </c>
      <c r="D175" s="1656" t="s">
        <v>58</v>
      </c>
      <c r="E175" s="1659">
        <v>1.2</v>
      </c>
      <c r="F175" s="1608">
        <f>'MINI SSR 19-20'!$C$29</f>
        <v>80</v>
      </c>
      <c r="G175" s="1660">
        <f>ROUND(E175*F175,2)</f>
        <v>96</v>
      </c>
      <c r="H175" s="1658" t="s">
        <v>2226</v>
      </c>
    </row>
    <row r="176" spans="1:8" s="1575" customFormat="1">
      <c r="A176" s="1656"/>
      <c r="B176" s="1656"/>
      <c r="C176" s="1755" t="s">
        <v>71</v>
      </c>
      <c r="D176" s="1656"/>
      <c r="E176" s="1656"/>
      <c r="F176" s="1656"/>
      <c r="G176" s="1667">
        <f>SUM(G165:G175)</f>
        <v>4966.3599999999997</v>
      </c>
      <c r="H176" s="1658" t="s">
        <v>2226</v>
      </c>
    </row>
    <row r="177" spans="1:8" s="1575" customFormat="1">
      <c r="A177" s="1656"/>
      <c r="B177" s="1656"/>
      <c r="C177" s="1755"/>
      <c r="D177" s="1656"/>
      <c r="E177" s="1664" t="s">
        <v>161</v>
      </c>
      <c r="F177" s="1664" t="s">
        <v>162</v>
      </c>
      <c r="G177" s="1663" t="s">
        <v>163</v>
      </c>
      <c r="H177" s="1658" t="s">
        <v>2226</v>
      </c>
    </row>
    <row r="178" spans="1:8" s="1575" customFormat="1">
      <c r="A178" s="1656"/>
      <c r="B178" s="1656"/>
      <c r="C178" s="1755" t="s">
        <v>1288</v>
      </c>
      <c r="D178" s="1656"/>
      <c r="E178" s="1659">
        <f>G176</f>
        <v>4966.3599999999997</v>
      </c>
      <c r="F178" s="1659">
        <f>G176</f>
        <v>4966.3599999999997</v>
      </c>
      <c r="G178" s="1661">
        <f>G176</f>
        <v>4966.3599999999997</v>
      </c>
      <c r="H178" s="1658" t="s">
        <v>2226</v>
      </c>
    </row>
    <row r="179" spans="1:8" s="1575" customFormat="1" ht="25.5">
      <c r="A179" s="1656"/>
      <c r="B179" s="1656"/>
      <c r="C179" s="1753" t="s">
        <v>177</v>
      </c>
      <c r="D179" s="1656"/>
      <c r="E179" s="1659">
        <f>'MINI SSR 19-20'!C60</f>
        <v>2085</v>
      </c>
      <c r="F179" s="1659">
        <f>E179</f>
        <v>2085</v>
      </c>
      <c r="G179" s="1609">
        <f>E179</f>
        <v>2085</v>
      </c>
      <c r="H179" s="1658" t="s">
        <v>2226</v>
      </c>
    </row>
    <row r="180" spans="1:8" s="1575" customFormat="1">
      <c r="A180" s="1656"/>
      <c r="B180" s="1656"/>
      <c r="C180" s="1753" t="s">
        <v>178</v>
      </c>
      <c r="D180" s="1656"/>
      <c r="E180" s="1659">
        <f>'MINI SSR 19-20'!D60</f>
        <v>1903</v>
      </c>
      <c r="F180" s="1659">
        <f>'MINI SSR 19-20'!E60</f>
        <v>2093</v>
      </c>
      <c r="G180" s="1659">
        <f>'MINI SSR 19-20'!F60</f>
        <v>2284</v>
      </c>
      <c r="H180" s="1658" t="s">
        <v>2226</v>
      </c>
    </row>
    <row r="181" spans="1:8" s="1575" customFormat="1" ht="25.5">
      <c r="A181" s="1656"/>
      <c r="B181" s="1656"/>
      <c r="C181" s="1753" t="s">
        <v>1286</v>
      </c>
      <c r="D181" s="1656"/>
      <c r="E181" s="1656"/>
      <c r="F181" s="1659">
        <f>ROUND((G169+G170+G171+F180)*0.1,2)</f>
        <v>323.77</v>
      </c>
      <c r="G181" s="1661">
        <f>ROUND((G169+G170+G171+G180)*0.2,2)</f>
        <v>685.74</v>
      </c>
      <c r="H181" s="1658" t="s">
        <v>2226</v>
      </c>
    </row>
    <row r="182" spans="1:8" s="1575" customFormat="1">
      <c r="A182" s="1656"/>
      <c r="B182" s="1656"/>
      <c r="C182" s="1755" t="s">
        <v>182</v>
      </c>
      <c r="D182" s="1656"/>
      <c r="E182" s="1663">
        <f>SUM(E178:E181)</f>
        <v>8954.36</v>
      </c>
      <c r="F182" s="1663">
        <f>SUM(F178:F181)</f>
        <v>9468.130000000001</v>
      </c>
      <c r="G182" s="1667">
        <f>SUM(G178:G181)</f>
        <v>10021.1</v>
      </c>
      <c r="H182" s="1658" t="s">
        <v>2226</v>
      </c>
    </row>
    <row r="183" spans="1:8" hidden="1">
      <c r="A183" s="1212"/>
      <c r="B183" s="1212"/>
      <c r="C183" s="1754"/>
      <c r="D183" s="1212"/>
      <c r="E183" s="1218" t="s">
        <v>161</v>
      </c>
      <c r="F183" s="1218" t="s">
        <v>162</v>
      </c>
      <c r="G183" s="1217" t="s">
        <v>163</v>
      </c>
      <c r="H183" s="1205" t="s">
        <v>2226</v>
      </c>
    </row>
    <row r="184" spans="1:8" hidden="1">
      <c r="A184" s="1212"/>
      <c r="B184" s="1212"/>
      <c r="C184" s="1754" t="s">
        <v>1289</v>
      </c>
      <c r="D184" s="1212"/>
      <c r="E184" s="1213">
        <f>G176</f>
        <v>4966.3599999999997</v>
      </c>
      <c r="F184" s="1213">
        <f>G176</f>
        <v>4966.3599999999997</v>
      </c>
      <c r="G184" s="1215">
        <f>G176</f>
        <v>4966.3599999999997</v>
      </c>
      <c r="H184" s="1205" t="s">
        <v>2226</v>
      </c>
    </row>
    <row r="185" spans="1:8" hidden="1">
      <c r="A185" s="1212"/>
      <c r="B185" s="1212"/>
      <c r="C185" s="1754" t="s">
        <v>1269</v>
      </c>
      <c r="D185" s="1213">
        <v>0.1</v>
      </c>
      <c r="E185" s="1213">
        <f>ROUND(E184*0.1,2)</f>
        <v>496.64</v>
      </c>
      <c r="F185" s="1213">
        <f>ROUND(F184*0.1,2)</f>
        <v>496.64</v>
      </c>
      <c r="G185" s="1215">
        <f>ROUND(G184*0.1,2)</f>
        <v>496.64</v>
      </c>
      <c r="H185" s="1205" t="s">
        <v>2226</v>
      </c>
    </row>
    <row r="186" spans="1:8" ht="25.5" hidden="1">
      <c r="A186" s="1212"/>
      <c r="B186" s="1212"/>
      <c r="C186" s="1752" t="s">
        <v>179</v>
      </c>
      <c r="D186" s="1212"/>
      <c r="E186" s="1213">
        <f>'MINI SSR 19-20'!C61</f>
        <v>236</v>
      </c>
      <c r="F186" s="1213">
        <f>E186</f>
        <v>236</v>
      </c>
      <c r="G186" s="1224">
        <f>E186</f>
        <v>236</v>
      </c>
      <c r="H186" s="1205" t="s">
        <v>2226</v>
      </c>
    </row>
    <row r="187" spans="1:8" hidden="1">
      <c r="A187" s="1212"/>
      <c r="B187" s="1212"/>
      <c r="C187" s="1752" t="s">
        <v>180</v>
      </c>
      <c r="D187" s="1212"/>
      <c r="E187" s="1213">
        <f>'MINI SSR 19-20'!D61</f>
        <v>215</v>
      </c>
      <c r="F187" s="1213">
        <f>'MINI SSR 19-20'!E61</f>
        <v>237</v>
      </c>
      <c r="G187" s="1213">
        <f>'MINI SSR 19-20'!F61</f>
        <v>258</v>
      </c>
      <c r="H187" s="1205" t="s">
        <v>2226</v>
      </c>
    </row>
    <row r="188" spans="1:8" ht="25.5" hidden="1">
      <c r="A188" s="1212"/>
      <c r="B188" s="1212"/>
      <c r="C188" s="1752" t="s">
        <v>1290</v>
      </c>
      <c r="D188" s="1212"/>
      <c r="E188" s="1212"/>
      <c r="F188" s="1213">
        <f>ROUND(((G169+G170+G171+F187)*0.1),2)</f>
        <v>138.16999999999999</v>
      </c>
      <c r="G188" s="1215">
        <f>ROUND(((G169+G170+G171+G187)*0.2),2)</f>
        <v>280.54000000000002</v>
      </c>
      <c r="H188" s="1205" t="s">
        <v>2226</v>
      </c>
    </row>
    <row r="189" spans="1:8" hidden="1">
      <c r="A189" s="1212"/>
      <c r="B189" s="1212"/>
      <c r="C189" s="1754" t="s">
        <v>181</v>
      </c>
      <c r="D189" s="1212"/>
      <c r="E189" s="1217">
        <f>SUM(E185:E188)</f>
        <v>947.64</v>
      </c>
      <c r="F189" s="1217">
        <f>SUM(F185:F188)</f>
        <v>1107.81</v>
      </c>
      <c r="G189" s="1222">
        <f>SUM(G185:G188)</f>
        <v>1271.18</v>
      </c>
      <c r="H189" s="1205" t="s">
        <v>2226</v>
      </c>
    </row>
    <row r="190" spans="1:8" s="1575" customFormat="1">
      <c r="A190" s="1656"/>
      <c r="B190" s="1656"/>
      <c r="C190" s="1755"/>
      <c r="D190" s="1656"/>
      <c r="E190" s="1664" t="s">
        <v>161</v>
      </c>
      <c r="F190" s="1664" t="s">
        <v>162</v>
      </c>
      <c r="G190" s="1663" t="s">
        <v>163</v>
      </c>
      <c r="H190" s="1658" t="s">
        <v>2226</v>
      </c>
    </row>
    <row r="191" spans="1:8" s="1575" customFormat="1">
      <c r="A191" s="1656"/>
      <c r="B191" s="1656"/>
      <c r="C191" s="1755" t="s">
        <v>1291</v>
      </c>
      <c r="D191" s="1656"/>
      <c r="E191" s="1659">
        <f>G176</f>
        <v>4966.3599999999997</v>
      </c>
      <c r="F191" s="1659">
        <f>G176</f>
        <v>4966.3599999999997</v>
      </c>
      <c r="G191" s="1661">
        <f>G176</f>
        <v>4966.3599999999997</v>
      </c>
      <c r="H191" s="1658" t="s">
        <v>2226</v>
      </c>
    </row>
    <row r="192" spans="1:8" s="1575" customFormat="1">
      <c r="A192" s="1656"/>
      <c r="B192" s="1656"/>
      <c r="C192" s="1755" t="s">
        <v>1270</v>
      </c>
      <c r="D192" s="1656">
        <v>0.125</v>
      </c>
      <c r="E192" s="1659">
        <f>ROUND(E191*0.125,2)</f>
        <v>620.79999999999995</v>
      </c>
      <c r="F192" s="1659">
        <f>ROUND(F191*0.125,2)</f>
        <v>620.79999999999995</v>
      </c>
      <c r="G192" s="1661">
        <f>ROUND(G191*0.125,2)</f>
        <v>620.79999999999995</v>
      </c>
      <c r="H192" s="1658" t="s">
        <v>2226</v>
      </c>
    </row>
    <row r="193" spans="1:8" s="1575" customFormat="1" ht="25.5">
      <c r="A193" s="1656"/>
      <c r="B193" s="1656"/>
      <c r="C193" s="1753" t="s">
        <v>179</v>
      </c>
      <c r="D193" s="1656"/>
      <c r="E193" s="1659">
        <f>'MINI SSR 19-20'!C61</f>
        <v>236</v>
      </c>
      <c r="F193" s="1659">
        <f>E193</f>
        <v>236</v>
      </c>
      <c r="G193" s="1609">
        <f>E193</f>
        <v>236</v>
      </c>
      <c r="H193" s="1658" t="s">
        <v>2226</v>
      </c>
    </row>
    <row r="194" spans="1:8" s="1575" customFormat="1">
      <c r="A194" s="1656"/>
      <c r="B194" s="1656"/>
      <c r="C194" s="1753" t="s">
        <v>180</v>
      </c>
      <c r="D194" s="1656"/>
      <c r="E194" s="1659">
        <f>'MINI SSR 19-20'!D61</f>
        <v>215</v>
      </c>
      <c r="F194" s="1659">
        <f>'MINI SSR 19-20'!E61</f>
        <v>237</v>
      </c>
      <c r="G194" s="1659">
        <f>'MINI SSR 19-20'!F61</f>
        <v>258</v>
      </c>
      <c r="H194" s="1658" t="s">
        <v>2226</v>
      </c>
    </row>
    <row r="195" spans="1:8" s="1575" customFormat="1" ht="25.5">
      <c r="A195" s="1656"/>
      <c r="B195" s="1656"/>
      <c r="C195" s="1753" t="s">
        <v>1290</v>
      </c>
      <c r="D195" s="1656"/>
      <c r="E195" s="1656"/>
      <c r="F195" s="1659">
        <f>ROUND(((G169+G170+G171+F194)*0.1),2)</f>
        <v>138.16999999999999</v>
      </c>
      <c r="G195" s="1661">
        <f>ROUND(((G169+G170+G171+G194)*0.2),2)</f>
        <v>280.54000000000002</v>
      </c>
      <c r="H195" s="1658" t="s">
        <v>2226</v>
      </c>
    </row>
    <row r="196" spans="1:8" s="1575" customFormat="1">
      <c r="A196" s="1656"/>
      <c r="B196" s="1656"/>
      <c r="C196" s="1755" t="s">
        <v>181</v>
      </c>
      <c r="D196" s="1656"/>
      <c r="E196" s="1663">
        <f>SUM(E192:E195)</f>
        <v>1071.8</v>
      </c>
      <c r="F196" s="1663">
        <f>SUM(F192:F195)</f>
        <v>1231.97</v>
      </c>
      <c r="G196" s="1667">
        <f>SUM(G192:G195)</f>
        <v>1395.34</v>
      </c>
      <c r="H196" s="1658" t="s">
        <v>2226</v>
      </c>
    </row>
    <row r="197" spans="1:8" hidden="1">
      <c r="A197" s="1212"/>
      <c r="B197" s="1212"/>
      <c r="C197" s="1754"/>
      <c r="D197" s="1212"/>
      <c r="E197" s="1218" t="s">
        <v>161</v>
      </c>
      <c r="F197" s="1218" t="s">
        <v>162</v>
      </c>
      <c r="G197" s="1217" t="s">
        <v>163</v>
      </c>
      <c r="H197" s="1205" t="s">
        <v>2226</v>
      </c>
    </row>
    <row r="198" spans="1:8" hidden="1">
      <c r="A198" s="1212"/>
      <c r="B198" s="1212"/>
      <c r="C198" s="1754" t="s">
        <v>1292</v>
      </c>
      <c r="D198" s="1212"/>
      <c r="E198" s="1213">
        <f>G176</f>
        <v>4966.3599999999997</v>
      </c>
      <c r="F198" s="1213">
        <f>G176</f>
        <v>4966.3599999999997</v>
      </c>
      <c r="G198" s="1215">
        <f>G176</f>
        <v>4966.3599999999997</v>
      </c>
      <c r="H198" s="1205" t="s">
        <v>2226</v>
      </c>
    </row>
    <row r="199" spans="1:8" hidden="1">
      <c r="A199" s="1212"/>
      <c r="B199" s="1212"/>
      <c r="C199" s="1754" t="s">
        <v>1270</v>
      </c>
      <c r="D199" s="1212">
        <v>0.15</v>
      </c>
      <c r="E199" s="1213">
        <f>ROUND(E198*0.15,2)</f>
        <v>744.95</v>
      </c>
      <c r="F199" s="1213">
        <f>ROUND(F198*0.15,2)</f>
        <v>744.95</v>
      </c>
      <c r="G199" s="1215">
        <f>ROUND(G198*0.15,2)</f>
        <v>744.95</v>
      </c>
      <c r="H199" s="1205" t="s">
        <v>2226</v>
      </c>
    </row>
    <row r="200" spans="1:8" ht="25.5" hidden="1">
      <c r="A200" s="1212"/>
      <c r="B200" s="1212"/>
      <c r="C200" s="1752" t="s">
        <v>179</v>
      </c>
      <c r="D200" s="1212"/>
      <c r="E200" s="1213">
        <f>E193</f>
        <v>236</v>
      </c>
      <c r="F200" s="1213">
        <f>E200</f>
        <v>236</v>
      </c>
      <c r="G200" s="1224">
        <f>E200</f>
        <v>236</v>
      </c>
      <c r="H200" s="1205" t="s">
        <v>2226</v>
      </c>
    </row>
    <row r="201" spans="1:8" hidden="1">
      <c r="A201" s="1212"/>
      <c r="B201" s="1212"/>
      <c r="C201" s="1752" t="s">
        <v>180</v>
      </c>
      <c r="D201" s="1212"/>
      <c r="E201" s="1213">
        <f>E194</f>
        <v>215</v>
      </c>
      <c r="F201" s="1213">
        <f>F194</f>
        <v>237</v>
      </c>
      <c r="G201" s="1224">
        <f>G194</f>
        <v>258</v>
      </c>
      <c r="H201" s="1205" t="s">
        <v>2226</v>
      </c>
    </row>
    <row r="202" spans="1:8" ht="25.5" hidden="1">
      <c r="A202" s="1212"/>
      <c r="B202" s="1212"/>
      <c r="C202" s="1752" t="s">
        <v>1290</v>
      </c>
      <c r="D202" s="1212"/>
      <c r="E202" s="1212"/>
      <c r="F202" s="1213">
        <f>ROUND(((G169+G170+G171+F201))*0.1,2)</f>
        <v>138.16999999999999</v>
      </c>
      <c r="G202" s="1215">
        <f>ROUND(((G169+G170+G171+G201)*1)*0.2,2)</f>
        <v>280.54000000000002</v>
      </c>
      <c r="H202" s="1205" t="s">
        <v>2226</v>
      </c>
    </row>
    <row r="203" spans="1:8" hidden="1">
      <c r="A203" s="1212"/>
      <c r="B203" s="1212"/>
      <c r="C203" s="1754" t="s">
        <v>181</v>
      </c>
      <c r="D203" s="1212"/>
      <c r="E203" s="1217">
        <f>SUM(E199:E202)</f>
        <v>1195.95</v>
      </c>
      <c r="F203" s="1217">
        <f>SUM(F199:F202)</f>
        <v>1356.1200000000001</v>
      </c>
      <c r="G203" s="1222">
        <f>SUM(G199:G202)</f>
        <v>1519.49</v>
      </c>
      <c r="H203" s="1205" t="s">
        <v>2226</v>
      </c>
    </row>
    <row r="204" spans="1:8" hidden="1">
      <c r="A204" s="1212"/>
      <c r="B204" s="1212"/>
      <c r="C204" s="1754" t="s">
        <v>1293</v>
      </c>
      <c r="D204" s="1212"/>
      <c r="E204" s="1213">
        <f>G176</f>
        <v>4966.3599999999997</v>
      </c>
      <c r="F204" s="1213">
        <f>G176</f>
        <v>4966.3599999999997</v>
      </c>
      <c r="G204" s="1215">
        <f>G176</f>
        <v>4966.3599999999997</v>
      </c>
      <c r="H204" s="1205" t="s">
        <v>2226</v>
      </c>
    </row>
    <row r="205" spans="1:8" hidden="1">
      <c r="A205" s="1212"/>
      <c r="B205" s="1212"/>
      <c r="C205" s="1754" t="s">
        <v>1270</v>
      </c>
      <c r="D205" s="1223">
        <v>0.17499999999999999</v>
      </c>
      <c r="E205" s="1213">
        <f>ROUND(E204*0.175,2)</f>
        <v>869.11</v>
      </c>
      <c r="F205" s="1213">
        <f>ROUND(F204*0.175,2)</f>
        <v>869.11</v>
      </c>
      <c r="G205" s="1215">
        <f>ROUND(G204*0.175,2)</f>
        <v>869.11</v>
      </c>
      <c r="H205" s="1205" t="s">
        <v>2226</v>
      </c>
    </row>
    <row r="206" spans="1:8" ht="25.5" hidden="1">
      <c r="A206" s="1212"/>
      <c r="B206" s="1212"/>
      <c r="C206" s="1752" t="s">
        <v>183</v>
      </c>
      <c r="D206" s="1212"/>
      <c r="E206" s="1213">
        <f>'MINI SSR 19-20'!C62</f>
        <v>243</v>
      </c>
      <c r="F206" s="1213">
        <f>E206</f>
        <v>243</v>
      </c>
      <c r="G206" s="1224">
        <f>E206</f>
        <v>243</v>
      </c>
      <c r="H206" s="1205" t="s">
        <v>2226</v>
      </c>
    </row>
    <row r="207" spans="1:8" hidden="1">
      <c r="A207" s="1212"/>
      <c r="B207" s="1212"/>
      <c r="C207" s="1752" t="s">
        <v>184</v>
      </c>
      <c r="D207" s="1212"/>
      <c r="E207" s="1213">
        <f>'MINI SSR 19-20'!D62</f>
        <v>222</v>
      </c>
      <c r="F207" s="1213">
        <f>'MINI SSR 19-20'!E62</f>
        <v>244</v>
      </c>
      <c r="G207" s="1213">
        <f>'MINI SSR 19-20'!F62</f>
        <v>266</v>
      </c>
      <c r="H207" s="1205" t="s">
        <v>2226</v>
      </c>
    </row>
    <row r="208" spans="1:8" ht="25.5" hidden="1">
      <c r="A208" s="1212"/>
      <c r="B208" s="1212"/>
      <c r="C208" s="1752" t="s">
        <v>1290</v>
      </c>
      <c r="D208" s="1212"/>
      <c r="E208" s="1212"/>
      <c r="F208" s="1213">
        <f>ROUND(((G169+G170+G171+F207)*1)*0.1,2)</f>
        <v>138.87</v>
      </c>
      <c r="G208" s="1215">
        <f>ROUND(((G169+G170+G171+G207)*1)*0.2,2)</f>
        <v>282.14</v>
      </c>
      <c r="H208" s="1205" t="s">
        <v>2226</v>
      </c>
    </row>
    <row r="209" spans="1:8" hidden="1">
      <c r="A209" s="1212"/>
      <c r="B209" s="1212"/>
      <c r="C209" s="1754" t="s">
        <v>181</v>
      </c>
      <c r="D209" s="1212"/>
      <c r="E209" s="1217">
        <f>SUM(E205:E208)</f>
        <v>1334.1100000000001</v>
      </c>
      <c r="F209" s="1217">
        <f>SUM(F205:F208)</f>
        <v>1494.98</v>
      </c>
      <c r="G209" s="1222">
        <f>SUM(G205:G208)</f>
        <v>1660.25</v>
      </c>
      <c r="H209" s="1205" t="s">
        <v>2226</v>
      </c>
    </row>
    <row r="210" spans="1:8" hidden="1">
      <c r="A210" s="1212"/>
      <c r="B210" s="1212"/>
      <c r="C210" s="1754" t="s">
        <v>1294</v>
      </c>
      <c r="D210" s="1212"/>
      <c r="E210" s="1218" t="s">
        <v>161</v>
      </c>
      <c r="F210" s="1218" t="s">
        <v>162</v>
      </c>
      <c r="G210" s="1217" t="s">
        <v>163</v>
      </c>
      <c r="H210" s="1205" t="s">
        <v>2226</v>
      </c>
    </row>
    <row r="211" spans="1:8" hidden="1">
      <c r="A211" s="1212"/>
      <c r="B211" s="1212"/>
      <c r="C211" s="1752" t="s">
        <v>168</v>
      </c>
      <c r="D211" s="1212"/>
      <c r="E211" s="1213">
        <f>G176</f>
        <v>4966.3599999999997</v>
      </c>
      <c r="F211" s="1213">
        <f>E211</f>
        <v>4966.3599999999997</v>
      </c>
      <c r="G211" s="1214">
        <f>F211</f>
        <v>4966.3599999999997</v>
      </c>
      <c r="H211" s="1205" t="s">
        <v>2226</v>
      </c>
    </row>
    <row r="212" spans="1:8" hidden="1">
      <c r="A212" s="1212"/>
      <c r="B212" s="1212"/>
      <c r="C212" s="1752" t="s">
        <v>169</v>
      </c>
      <c r="D212" s="1226">
        <v>0.05</v>
      </c>
      <c r="E212" s="1213">
        <f>ROUND(E211*D212,2)</f>
        <v>248.32</v>
      </c>
      <c r="F212" s="1213">
        <f>ROUND(F211*D212,2)</f>
        <v>248.32</v>
      </c>
      <c r="G212" s="1214">
        <f>ROUND(G211*D212,2)</f>
        <v>248.32</v>
      </c>
      <c r="H212" s="1205" t="s">
        <v>2226</v>
      </c>
    </row>
    <row r="213" spans="1:8" ht="25.5" hidden="1">
      <c r="A213" s="1212"/>
      <c r="B213" s="1212"/>
      <c r="C213" s="1752" t="s">
        <v>171</v>
      </c>
      <c r="D213" s="1213" t="s">
        <v>77</v>
      </c>
      <c r="E213" s="1213">
        <f>'MINI SSR 19-20'!$C$59</f>
        <v>233</v>
      </c>
      <c r="F213" s="1213">
        <f>E213</f>
        <v>233</v>
      </c>
      <c r="G213" s="1215">
        <f>F213</f>
        <v>233</v>
      </c>
      <c r="H213" s="1205" t="s">
        <v>2226</v>
      </c>
    </row>
    <row r="214" spans="1:8" hidden="1">
      <c r="A214" s="1212"/>
      <c r="B214" s="1212"/>
      <c r="C214" s="1752" t="s">
        <v>172</v>
      </c>
      <c r="D214" s="1213" t="s">
        <v>77</v>
      </c>
      <c r="E214" s="1213">
        <f>'MINI SSR 19-20'!$D$59</f>
        <v>248</v>
      </c>
      <c r="F214" s="1213">
        <f>'MINI SSR 19-20'!$E$59</f>
        <v>273</v>
      </c>
      <c r="G214" s="1213">
        <f>'MINI SSR 19-20'!$F$59</f>
        <v>298</v>
      </c>
      <c r="H214" s="1205" t="s">
        <v>2226</v>
      </c>
    </row>
    <row r="215" spans="1:8" ht="25.5" hidden="1">
      <c r="A215" s="1212"/>
      <c r="B215" s="1212"/>
      <c r="C215" s="1752" t="s">
        <v>170</v>
      </c>
      <c r="D215" s="1212"/>
      <c r="E215" s="1212"/>
      <c r="F215" s="1213">
        <f>ROUND(((G169+G170+G171+F214))*0.1,2)</f>
        <v>141.77000000000001</v>
      </c>
      <c r="G215" s="1215">
        <f>ROUND(((G169+G170+G171+G214))*0.1,2)</f>
        <v>144.27000000000001</v>
      </c>
      <c r="H215" s="1205" t="s">
        <v>2226</v>
      </c>
    </row>
    <row r="216" spans="1:8" hidden="1">
      <c r="A216" s="1212"/>
      <c r="B216" s="1212"/>
      <c r="C216" s="1754" t="s">
        <v>175</v>
      </c>
      <c r="D216" s="1212"/>
      <c r="E216" s="1217">
        <f>SUM(E212:E215)</f>
        <v>729.31999999999994</v>
      </c>
      <c r="F216" s="1217">
        <f>SUM(F212:F215)</f>
        <v>896.08999999999992</v>
      </c>
      <c r="G216" s="1222">
        <f>SUM(G212:G215)</f>
        <v>923.58999999999992</v>
      </c>
      <c r="H216" s="1205" t="s">
        <v>2226</v>
      </c>
    </row>
    <row r="217" spans="1:8" s="1575" customFormat="1">
      <c r="A217" s="1570"/>
      <c r="B217" s="1664"/>
      <c r="C217" s="1755" t="s">
        <v>173</v>
      </c>
      <c r="D217" s="1656"/>
      <c r="E217" s="1656"/>
      <c r="F217" s="1656"/>
      <c r="G217" s="1661"/>
      <c r="H217" s="1658" t="s">
        <v>2226</v>
      </c>
    </row>
    <row r="218" spans="1:8" s="1575" customFormat="1">
      <c r="A218" s="1656"/>
      <c r="B218" s="1656"/>
      <c r="C218" s="1755"/>
      <c r="D218" s="1656"/>
      <c r="E218" s="1664" t="s">
        <v>161</v>
      </c>
      <c r="F218" s="1664" t="s">
        <v>162</v>
      </c>
      <c r="G218" s="1663" t="s">
        <v>163</v>
      </c>
      <c r="H218" s="1658" t="s">
        <v>2226</v>
      </c>
    </row>
    <row r="219" spans="1:8" s="1575" customFormat="1">
      <c r="A219" s="1656"/>
      <c r="B219" s="1656"/>
      <c r="C219" s="1753" t="s">
        <v>174</v>
      </c>
      <c r="D219" s="1674"/>
      <c r="E219" s="1659">
        <f>E211</f>
        <v>4966.3599999999997</v>
      </c>
      <c r="F219" s="1659">
        <f>F211</f>
        <v>4966.3599999999997</v>
      </c>
      <c r="G219" s="1661">
        <f>G211</f>
        <v>4966.3599999999997</v>
      </c>
      <c r="H219" s="1658" t="s">
        <v>2226</v>
      </c>
    </row>
    <row r="220" spans="1:8" s="1575" customFormat="1">
      <c r="A220" s="1656"/>
      <c r="B220" s="1656"/>
      <c r="C220" s="1753" t="s">
        <v>1271</v>
      </c>
      <c r="D220" s="1674">
        <v>3.7499999999999999E-2</v>
      </c>
      <c r="E220" s="1659">
        <f>ROUND(E219*0.0375,2)</f>
        <v>186.24</v>
      </c>
      <c r="F220" s="1659">
        <f>ROUND(F219*0.0375,2)</f>
        <v>186.24</v>
      </c>
      <c r="G220" s="1661">
        <f>ROUND(G219*0.0375,2)</f>
        <v>186.24</v>
      </c>
      <c r="H220" s="1658" t="s">
        <v>2226</v>
      </c>
    </row>
    <row r="221" spans="1:8" s="1575" customFormat="1">
      <c r="A221" s="1656"/>
      <c r="B221" s="1656"/>
      <c r="C221" s="1753" t="s">
        <v>834</v>
      </c>
      <c r="D221" s="1659">
        <v>0.6</v>
      </c>
      <c r="E221" s="1659">
        <f>'MINI SSR 19-20'!C$59*D$221</f>
        <v>139.79999999999998</v>
      </c>
      <c r="F221" s="1659">
        <f>'MINI SSR 19-20'!$C$59*D221</f>
        <v>139.79999999999998</v>
      </c>
      <c r="G221" s="1659">
        <f>'MINI SSR 19-20'!$C$59*D221</f>
        <v>139.79999999999998</v>
      </c>
      <c r="H221" s="1658" t="s">
        <v>2226</v>
      </c>
    </row>
    <row r="222" spans="1:8" s="1575" customFormat="1">
      <c r="A222" s="1656"/>
      <c r="B222" s="1656"/>
      <c r="C222" s="1753" t="s">
        <v>835</v>
      </c>
      <c r="D222" s="1659">
        <v>0.6</v>
      </c>
      <c r="E222" s="1659">
        <f>'MINI SSR 19-20'!$D$59*D222</f>
        <v>148.79999999999998</v>
      </c>
      <c r="F222" s="1659">
        <f>'MINI SSR 19-20'!$E$59*D222</f>
        <v>163.79999999999998</v>
      </c>
      <c r="G222" s="1659">
        <f>'MINI SSR 19-20'!$F$59*D222</f>
        <v>178.79999999999998</v>
      </c>
      <c r="H222" s="1658" t="s">
        <v>2226</v>
      </c>
    </row>
    <row r="223" spans="1:8" s="1575" customFormat="1" ht="25.5">
      <c r="A223" s="1656"/>
      <c r="B223" s="1656"/>
      <c r="C223" s="1753" t="s">
        <v>170</v>
      </c>
      <c r="D223" s="1659">
        <v>0.6</v>
      </c>
      <c r="E223" s="1656"/>
      <c r="F223" s="1661">
        <f>ROUND(((G169+G170+G171+F222)*D223)*0.1,2)</f>
        <v>78.510000000000005</v>
      </c>
      <c r="G223" s="1661">
        <f>ROUND(((G169+G170+G171+G222)*D223)*0.2,2)</f>
        <v>158.82</v>
      </c>
      <c r="H223" s="1658" t="s">
        <v>2226</v>
      </c>
    </row>
    <row r="224" spans="1:8" s="1575" customFormat="1">
      <c r="A224" s="1656"/>
      <c r="B224" s="1656"/>
      <c r="C224" s="1755" t="s">
        <v>176</v>
      </c>
      <c r="D224" s="1656"/>
      <c r="E224" s="1663">
        <f>SUM(E220:E223)</f>
        <v>474.83999999999992</v>
      </c>
      <c r="F224" s="1663">
        <f>SUM(F220:F223)</f>
        <v>568.34999999999991</v>
      </c>
      <c r="G224" s="1667">
        <f>SUM(G220:G223)</f>
        <v>663.65999999999985</v>
      </c>
      <c r="H224" s="1658" t="s">
        <v>2226</v>
      </c>
    </row>
    <row r="225" spans="1:8" ht="191.25" hidden="1">
      <c r="A225" s="1156">
        <v>17</v>
      </c>
      <c r="B225" s="1218" t="s">
        <v>78</v>
      </c>
      <c r="C225" s="1752" t="s">
        <v>1316</v>
      </c>
      <c r="D225" s="1212"/>
      <c r="E225" s="1212"/>
      <c r="F225" s="1212"/>
      <c r="G225" s="1218"/>
      <c r="H225" s="1205" t="s">
        <v>2226</v>
      </c>
    </row>
    <row r="226" spans="1:8" hidden="1">
      <c r="A226" s="1156"/>
      <c r="B226" s="1218"/>
      <c r="C226" s="1754" t="s">
        <v>1211</v>
      </c>
      <c r="D226" s="1212"/>
      <c r="E226" s="1212"/>
      <c r="F226" s="1212"/>
      <c r="G226" s="1215"/>
      <c r="H226" s="1205" t="s">
        <v>2226</v>
      </c>
    </row>
    <row r="227" spans="1:8" hidden="1">
      <c r="A227" s="1156"/>
      <c r="B227" s="1218"/>
      <c r="C227" s="1754" t="s">
        <v>60</v>
      </c>
      <c r="D227" s="1218"/>
      <c r="E227" s="1218"/>
      <c r="F227" s="1218"/>
      <c r="G227" s="1215"/>
      <c r="H227" s="1205" t="s">
        <v>2226</v>
      </c>
    </row>
    <row r="228" spans="1:8" hidden="1">
      <c r="A228" s="1156"/>
      <c r="B228" s="1218"/>
      <c r="C228" s="1752" t="s">
        <v>154</v>
      </c>
      <c r="D228" s="1212" t="s">
        <v>35</v>
      </c>
      <c r="E228" s="1213">
        <v>0.8</v>
      </c>
      <c r="F228" s="1213">
        <f>F38</f>
        <v>1722.2999999999997</v>
      </c>
      <c r="G228" s="1214">
        <f>ROUND(E228*F228,2)</f>
        <v>1377.84</v>
      </c>
      <c r="H228" s="1205" t="s">
        <v>2226</v>
      </c>
    </row>
    <row r="229" spans="1:8" hidden="1">
      <c r="A229" s="1156"/>
      <c r="B229" s="1218"/>
      <c r="C229" s="1752" t="s">
        <v>112</v>
      </c>
      <c r="D229" s="1212" t="s">
        <v>35</v>
      </c>
      <c r="E229" s="1213">
        <v>0.4</v>
      </c>
      <c r="F229" s="1213">
        <f>'lead 19-20'!L13</f>
        <v>1384.7999999999988</v>
      </c>
      <c r="G229" s="1214">
        <f>ROUND(E229*F229,2)</f>
        <v>553.91999999999996</v>
      </c>
      <c r="H229" s="1205" t="s">
        <v>2226</v>
      </c>
    </row>
    <row r="230" spans="1:8" hidden="1">
      <c r="A230" s="1212"/>
      <c r="B230" s="1212"/>
      <c r="C230" s="1752" t="s">
        <v>33</v>
      </c>
      <c r="D230" s="1212" t="s">
        <v>4</v>
      </c>
      <c r="E230" s="1213">
        <f>E167</f>
        <v>340</v>
      </c>
      <c r="F230" s="1213">
        <f>'lead 19-20'!L8</f>
        <v>4700</v>
      </c>
      <c r="G230" s="1214">
        <f>ROUND(E230*F230/1000,2)</f>
        <v>1598</v>
      </c>
      <c r="H230" s="1205" t="s">
        <v>2226</v>
      </c>
    </row>
    <row r="231" spans="1:8" hidden="1">
      <c r="A231" s="1212"/>
      <c r="B231" s="1212"/>
      <c r="C231" s="1754" t="s">
        <v>68</v>
      </c>
      <c r="D231" s="1212"/>
      <c r="E231" s="1213"/>
      <c r="F231" s="1213"/>
      <c r="G231" s="1214"/>
      <c r="H231" s="1205" t="s">
        <v>2226</v>
      </c>
    </row>
    <row r="232" spans="1:8" hidden="1">
      <c r="A232" s="1212"/>
      <c r="B232" s="1212"/>
      <c r="C232" s="1752" t="s">
        <v>64</v>
      </c>
      <c r="D232" s="1212" t="s">
        <v>27</v>
      </c>
      <c r="E232" s="1223">
        <v>6.7000000000000004E-2</v>
      </c>
      <c r="F232" s="1213">
        <f>'MINI SSR 19-20'!$H$3</f>
        <v>500</v>
      </c>
      <c r="G232" s="1214">
        <f>ROUND(E232*F232,2)</f>
        <v>33.5</v>
      </c>
      <c r="H232" s="1205" t="s">
        <v>2226</v>
      </c>
    </row>
    <row r="233" spans="1:8" hidden="1">
      <c r="A233" s="1212"/>
      <c r="B233" s="1212"/>
      <c r="C233" s="1752" t="s">
        <v>69</v>
      </c>
      <c r="D233" s="1212" t="s">
        <v>27</v>
      </c>
      <c r="E233" s="1223">
        <v>0.13300000000000001</v>
      </c>
      <c r="F233" s="1213">
        <f>'MINI SSR 19-20'!$H$4</f>
        <v>460</v>
      </c>
      <c r="G233" s="1214">
        <f>ROUND(E233*F233,2)</f>
        <v>61.18</v>
      </c>
      <c r="H233" s="1205" t="s">
        <v>2226</v>
      </c>
    </row>
    <row r="234" spans="1:8" hidden="1">
      <c r="A234" s="1212"/>
      <c r="B234" s="1212"/>
      <c r="C234" s="1752" t="s">
        <v>70</v>
      </c>
      <c r="D234" s="1212" t="s">
        <v>27</v>
      </c>
      <c r="E234" s="1223">
        <v>2.5</v>
      </c>
      <c r="F234" s="1213">
        <f>'MINI SSR 19-20'!H$5</f>
        <v>420</v>
      </c>
      <c r="G234" s="1214">
        <f>ROUND(E234*F234,2)</f>
        <v>1050</v>
      </c>
      <c r="H234" s="1205" t="s">
        <v>2226</v>
      </c>
    </row>
    <row r="235" spans="1:8" hidden="1">
      <c r="A235" s="1212"/>
      <c r="B235" s="1212"/>
      <c r="C235" s="1754" t="s">
        <v>61</v>
      </c>
      <c r="D235" s="1212"/>
      <c r="E235" s="1213"/>
      <c r="F235" s="1213"/>
      <c r="G235" s="1214"/>
      <c r="H235" s="1205" t="s">
        <v>2226</v>
      </c>
    </row>
    <row r="236" spans="1:8" hidden="1">
      <c r="A236" s="1212"/>
      <c r="B236" s="1212"/>
      <c r="C236" s="1752" t="s">
        <v>62</v>
      </c>
      <c r="D236" s="1212" t="s">
        <v>21</v>
      </c>
      <c r="E236" s="1223">
        <v>0.26700000000000002</v>
      </c>
      <c r="F236" s="1213">
        <f>'MINI SSR 19-20'!$C$30</f>
        <v>524.70000000000005</v>
      </c>
      <c r="G236" s="1214">
        <f>ROUND(E236*F236,2)</f>
        <v>140.09</v>
      </c>
      <c r="H236" s="1205" t="s">
        <v>2226</v>
      </c>
    </row>
    <row r="237" spans="1:8" hidden="1">
      <c r="A237" s="1212"/>
      <c r="B237" s="1212"/>
      <c r="C237" s="1752" t="s">
        <v>57</v>
      </c>
      <c r="D237" s="1212" t="s">
        <v>58</v>
      </c>
      <c r="E237" s="1213">
        <v>1.2</v>
      </c>
      <c r="F237" s="1221">
        <f>'MINI SSR 19-20'!$C$29</f>
        <v>80</v>
      </c>
      <c r="G237" s="1214">
        <f>ROUND(E237*F237,2)</f>
        <v>96</v>
      </c>
      <c r="H237" s="1205" t="s">
        <v>2226</v>
      </c>
    </row>
    <row r="238" spans="1:8" hidden="1">
      <c r="A238" s="1212"/>
      <c r="B238" s="1212"/>
      <c r="C238" s="1754" t="s">
        <v>71</v>
      </c>
      <c r="D238" s="1212"/>
      <c r="E238" s="1212"/>
      <c r="F238" s="1212"/>
      <c r="G238" s="1222">
        <f>SUM(G228:G237)+0.01</f>
        <v>4910.54</v>
      </c>
      <c r="H238" s="1205" t="s">
        <v>2226</v>
      </c>
    </row>
    <row r="239" spans="1:8" hidden="1">
      <c r="A239" s="1212"/>
      <c r="B239" s="1212"/>
      <c r="C239" s="1754"/>
      <c r="D239" s="1212"/>
      <c r="E239" s="1218" t="s">
        <v>161</v>
      </c>
      <c r="F239" s="1218" t="s">
        <v>162</v>
      </c>
      <c r="G239" s="1217" t="s">
        <v>163</v>
      </c>
      <c r="H239" s="1205" t="s">
        <v>2226</v>
      </c>
    </row>
    <row r="240" spans="1:8" hidden="1">
      <c r="A240" s="1212"/>
      <c r="B240" s="1212"/>
      <c r="C240" s="1754" t="s">
        <v>1295</v>
      </c>
      <c r="D240" s="1212"/>
      <c r="E240" s="1213">
        <f>G238</f>
        <v>4910.54</v>
      </c>
      <c r="F240" s="1213">
        <f>G238</f>
        <v>4910.54</v>
      </c>
      <c r="G240" s="1215">
        <f>G238</f>
        <v>4910.54</v>
      </c>
      <c r="H240" s="1205" t="s">
        <v>2226</v>
      </c>
    </row>
    <row r="241" spans="1:8" hidden="1">
      <c r="A241" s="1212"/>
      <c r="B241" s="1212"/>
      <c r="C241" s="1754" t="s">
        <v>1272</v>
      </c>
      <c r="D241" s="1213">
        <v>0.05</v>
      </c>
      <c r="E241" s="1213">
        <f>ROUND(E240*D241,2)</f>
        <v>245.53</v>
      </c>
      <c r="F241" s="1213">
        <f>ROUND(F240*D241,2)</f>
        <v>245.53</v>
      </c>
      <c r="G241" s="1215">
        <f>ROUND(G240*D241,2)</f>
        <v>245.53</v>
      </c>
      <c r="H241" s="1205" t="s">
        <v>2226</v>
      </c>
    </row>
    <row r="242" spans="1:8" ht="25.5" hidden="1">
      <c r="A242" s="1212"/>
      <c r="B242" s="1212"/>
      <c r="C242" s="1752" t="s">
        <v>1212</v>
      </c>
      <c r="D242" s="1212"/>
      <c r="E242" s="1213">
        <f>E186*50%</f>
        <v>118</v>
      </c>
      <c r="F242" s="1213">
        <f>E242</f>
        <v>118</v>
      </c>
      <c r="G242" s="1224">
        <f>E242</f>
        <v>118</v>
      </c>
      <c r="H242" s="1205" t="s">
        <v>2226</v>
      </c>
    </row>
    <row r="243" spans="1:8" ht="25.5" hidden="1">
      <c r="A243" s="1212"/>
      <c r="B243" s="1212"/>
      <c r="C243" s="1752" t="s">
        <v>1213</v>
      </c>
      <c r="D243" s="1212"/>
      <c r="E243" s="1213">
        <f>E187*50%</f>
        <v>107.5</v>
      </c>
      <c r="F243" s="1213">
        <f>F187*50%</f>
        <v>118.5</v>
      </c>
      <c r="G243" s="1215">
        <f>G187*50%</f>
        <v>129</v>
      </c>
      <c r="H243" s="1205" t="s">
        <v>2226</v>
      </c>
    </row>
    <row r="244" spans="1:8" ht="25.5" hidden="1">
      <c r="A244" s="1212"/>
      <c r="B244" s="1212"/>
      <c r="C244" s="1752" t="s">
        <v>1290</v>
      </c>
      <c r="D244" s="1212"/>
      <c r="E244" s="1212"/>
      <c r="F244" s="1213">
        <f>ROUND(((G232+G233+G234+F243)*0.1),2)</f>
        <v>126.32</v>
      </c>
      <c r="G244" s="1213">
        <f>ROUND(((G232+G233+G234+G243)*0.2),2)</f>
        <v>254.74</v>
      </c>
      <c r="H244" s="1205" t="s">
        <v>2226</v>
      </c>
    </row>
    <row r="245" spans="1:8" hidden="1">
      <c r="A245" s="1212"/>
      <c r="B245" s="1212"/>
      <c r="C245" s="1754" t="s">
        <v>181</v>
      </c>
      <c r="D245" s="1212"/>
      <c r="E245" s="1217">
        <f>SUM(E241:E244)</f>
        <v>471.03</v>
      </c>
      <c r="F245" s="1217">
        <f>SUM(F241:F244)</f>
        <v>608.34999999999991</v>
      </c>
      <c r="G245" s="1222">
        <f>SUM(G241:G244)</f>
        <v>747.27</v>
      </c>
      <c r="H245" s="1205" t="s">
        <v>2226</v>
      </c>
    </row>
    <row r="246" spans="1:8" hidden="1">
      <c r="A246" s="1212"/>
      <c r="B246" s="1212"/>
      <c r="C246" s="1754"/>
      <c r="D246" s="1212"/>
      <c r="E246" s="1218" t="s">
        <v>161</v>
      </c>
      <c r="F246" s="1218" t="s">
        <v>162</v>
      </c>
      <c r="G246" s="1217" t="s">
        <v>163</v>
      </c>
      <c r="H246" s="1205" t="s">
        <v>2226</v>
      </c>
    </row>
    <row r="247" spans="1:8" hidden="1">
      <c r="A247" s="1212"/>
      <c r="B247" s="1212"/>
      <c r="C247" s="1754" t="s">
        <v>1296</v>
      </c>
      <c r="D247" s="1212"/>
      <c r="E247" s="1213">
        <f>G238</f>
        <v>4910.54</v>
      </c>
      <c r="F247" s="1213">
        <f>E247</f>
        <v>4910.54</v>
      </c>
      <c r="G247" s="1215">
        <f>F247</f>
        <v>4910.54</v>
      </c>
      <c r="H247" s="1205" t="s">
        <v>2226</v>
      </c>
    </row>
    <row r="248" spans="1:8" hidden="1">
      <c r="A248" s="1212"/>
      <c r="B248" s="1212"/>
      <c r="C248" s="1754" t="s">
        <v>1272</v>
      </c>
      <c r="D248" s="1223">
        <v>2.5000000000000001E-2</v>
      </c>
      <c r="E248" s="1213">
        <f>ROUND(E247*D248,2)</f>
        <v>122.76</v>
      </c>
      <c r="F248" s="1213">
        <f>ROUND(F247*D248,2)</f>
        <v>122.76</v>
      </c>
      <c r="G248" s="1215">
        <f>ROUND(G247*D248,2)</f>
        <v>122.76</v>
      </c>
      <c r="H248" s="1205" t="s">
        <v>2226</v>
      </c>
    </row>
    <row r="249" spans="1:8" ht="25.5" hidden="1">
      <c r="A249" s="1212"/>
      <c r="B249" s="1212"/>
      <c r="C249" s="1752" t="s">
        <v>1212</v>
      </c>
      <c r="D249" s="1212"/>
      <c r="E249" s="1213">
        <f>E193*50%</f>
        <v>118</v>
      </c>
      <c r="F249" s="1213">
        <f>E249</f>
        <v>118</v>
      </c>
      <c r="G249" s="1224">
        <f>E249</f>
        <v>118</v>
      </c>
      <c r="H249" s="1205" t="s">
        <v>2226</v>
      </c>
    </row>
    <row r="250" spans="1:8" ht="25.5" hidden="1">
      <c r="A250" s="1212"/>
      <c r="B250" s="1212"/>
      <c r="C250" s="1752" t="s">
        <v>1213</v>
      </c>
      <c r="D250" s="1212"/>
      <c r="E250" s="1213">
        <f>E194*50%</f>
        <v>107.5</v>
      </c>
      <c r="F250" s="1213">
        <f>F194*50%</f>
        <v>118.5</v>
      </c>
      <c r="G250" s="1215">
        <f>G194*50%</f>
        <v>129</v>
      </c>
      <c r="H250" s="1205" t="s">
        <v>2226</v>
      </c>
    </row>
    <row r="251" spans="1:8" ht="25.5" hidden="1">
      <c r="A251" s="1212"/>
      <c r="B251" s="1212"/>
      <c r="C251" s="1752" t="s">
        <v>1290</v>
      </c>
      <c r="D251" s="1212"/>
      <c r="E251" s="1212"/>
      <c r="F251" s="1213">
        <f>ROUND(((G232+G233+G234+F250)*0.1),2)</f>
        <v>126.32</v>
      </c>
      <c r="G251" s="1213">
        <f>ROUND(((G232+G233+G234+G250)*0.2),2)</f>
        <v>254.74</v>
      </c>
      <c r="H251" s="1205" t="s">
        <v>2226</v>
      </c>
    </row>
    <row r="252" spans="1:8" hidden="1">
      <c r="A252" s="1212"/>
      <c r="B252" s="1212"/>
      <c r="C252" s="1754" t="s">
        <v>181</v>
      </c>
      <c r="D252" s="1212"/>
      <c r="E252" s="1217">
        <f>SUM(E248:E251)</f>
        <v>348.26</v>
      </c>
      <c r="F252" s="1217">
        <f>SUM(F248:F251)</f>
        <v>485.58</v>
      </c>
      <c r="G252" s="1222">
        <f>SUM(G248:G251)</f>
        <v>624.5</v>
      </c>
      <c r="H252" s="1205" t="s">
        <v>2226</v>
      </c>
    </row>
    <row r="253" spans="1:8" ht="127.5" hidden="1">
      <c r="A253" s="1156">
        <v>10</v>
      </c>
      <c r="B253" s="1218"/>
      <c r="C253" s="1752" t="s">
        <v>315</v>
      </c>
      <c r="D253" s="1212"/>
      <c r="E253" s="1212"/>
      <c r="F253" s="1212"/>
      <c r="G253" s="1218"/>
      <c r="H253" s="1205" t="s">
        <v>2226</v>
      </c>
    </row>
    <row r="254" spans="1:8" hidden="1">
      <c r="A254" s="1156"/>
      <c r="B254" s="1218"/>
      <c r="C254" s="1754" t="s">
        <v>314</v>
      </c>
      <c r="D254" s="1212"/>
      <c r="E254" s="1212"/>
      <c r="F254" s="1212"/>
      <c r="G254" s="1215"/>
      <c r="H254" s="1205" t="s">
        <v>2226</v>
      </c>
    </row>
    <row r="255" spans="1:8" hidden="1">
      <c r="A255" s="1156"/>
      <c r="B255" s="1218"/>
      <c r="C255" s="1754" t="s">
        <v>60</v>
      </c>
      <c r="D255" s="1218"/>
      <c r="E255" s="1218"/>
      <c r="F255" s="1218"/>
      <c r="G255" s="1215"/>
      <c r="H255" s="1205" t="s">
        <v>2226</v>
      </c>
    </row>
    <row r="256" spans="1:8" hidden="1">
      <c r="A256" s="1156"/>
      <c r="B256" s="1218"/>
      <c r="C256" s="1752" t="s">
        <v>154</v>
      </c>
      <c r="D256" s="1212" t="s">
        <v>35</v>
      </c>
      <c r="E256" s="1213">
        <v>0.8</v>
      </c>
      <c r="F256" s="1213">
        <f>F165</f>
        <v>1722.2999999999997</v>
      </c>
      <c r="G256" s="1214">
        <f>ROUND(E256*F256,2)</f>
        <v>1377.84</v>
      </c>
      <c r="H256" s="1205" t="s">
        <v>2226</v>
      </c>
    </row>
    <row r="257" spans="1:8" hidden="1">
      <c r="A257" s="1156"/>
      <c r="B257" s="1218"/>
      <c r="C257" s="1752" t="s">
        <v>112</v>
      </c>
      <c r="D257" s="1212" t="s">
        <v>35</v>
      </c>
      <c r="E257" s="1213">
        <v>0.4</v>
      </c>
      <c r="F257" s="1213">
        <f>F166</f>
        <v>1384.7999999999988</v>
      </c>
      <c r="G257" s="1214">
        <f>ROUND(E257*F257,2)</f>
        <v>553.91999999999996</v>
      </c>
      <c r="H257" s="1205" t="s">
        <v>2226</v>
      </c>
    </row>
    <row r="258" spans="1:8" hidden="1">
      <c r="A258" s="1212"/>
      <c r="B258" s="1212"/>
      <c r="C258" s="1752" t="s">
        <v>33</v>
      </c>
      <c r="D258" s="1212" t="s">
        <v>4</v>
      </c>
      <c r="E258" s="1213">
        <f>E230</f>
        <v>340</v>
      </c>
      <c r="F258" s="1213">
        <f>F167</f>
        <v>4700</v>
      </c>
      <c r="G258" s="1214">
        <f>ROUND(E258*F258/1000,2)</f>
        <v>1598</v>
      </c>
      <c r="H258" s="1205" t="s">
        <v>2226</v>
      </c>
    </row>
    <row r="259" spans="1:8" hidden="1">
      <c r="A259" s="1212"/>
      <c r="B259" s="1212"/>
      <c r="C259" s="1754" t="s">
        <v>68</v>
      </c>
      <c r="D259" s="1212"/>
      <c r="E259" s="1213"/>
      <c r="F259" s="1213"/>
      <c r="G259" s="1214"/>
      <c r="H259" s="1205" t="s">
        <v>2226</v>
      </c>
    </row>
    <row r="260" spans="1:8" hidden="1">
      <c r="A260" s="1212"/>
      <c r="B260" s="1212"/>
      <c r="C260" s="1752" t="s">
        <v>64</v>
      </c>
      <c r="D260" s="1212" t="s">
        <v>27</v>
      </c>
      <c r="E260" s="1223">
        <v>0.1</v>
      </c>
      <c r="F260" s="1213">
        <f>'MINI SSR 19-20'!$H$3</f>
        <v>500</v>
      </c>
      <c r="G260" s="1214">
        <f>ROUND(E260*F260,2)</f>
        <v>50</v>
      </c>
      <c r="H260" s="1205" t="s">
        <v>2226</v>
      </c>
    </row>
    <row r="261" spans="1:8" hidden="1">
      <c r="A261" s="1212"/>
      <c r="B261" s="1212"/>
      <c r="C261" s="1752" t="s">
        <v>69</v>
      </c>
      <c r="D261" s="1212" t="s">
        <v>27</v>
      </c>
      <c r="E261" s="1223">
        <v>1.39</v>
      </c>
      <c r="F261" s="1213">
        <f>'MINI SSR 19-20'!$H$4</f>
        <v>460</v>
      </c>
      <c r="G261" s="1214">
        <f>ROUND(E261*F261,2)</f>
        <v>639.4</v>
      </c>
      <c r="H261" s="1205" t="s">
        <v>2226</v>
      </c>
    </row>
    <row r="262" spans="1:8" hidden="1">
      <c r="A262" s="1212"/>
      <c r="B262" s="1212"/>
      <c r="C262" s="1754" t="s">
        <v>61</v>
      </c>
      <c r="D262" s="1212"/>
      <c r="E262" s="1213"/>
      <c r="F262" s="1213"/>
      <c r="G262" s="1214"/>
      <c r="H262" s="1205" t="s">
        <v>2226</v>
      </c>
    </row>
    <row r="263" spans="1:8" hidden="1">
      <c r="A263" s="1212"/>
      <c r="B263" s="1212"/>
      <c r="C263" s="1752" t="s">
        <v>62</v>
      </c>
      <c r="D263" s="1212" t="s">
        <v>21</v>
      </c>
      <c r="E263" s="1223">
        <v>0.308</v>
      </c>
      <c r="F263" s="1213">
        <f>'MINI SSR 19-20'!$C$30</f>
        <v>524.70000000000005</v>
      </c>
      <c r="G263" s="1214">
        <f>ROUND(E263*F263,2)</f>
        <v>161.61000000000001</v>
      </c>
      <c r="H263" s="1205" t="s">
        <v>2226</v>
      </c>
    </row>
    <row r="264" spans="1:8" hidden="1">
      <c r="A264" s="1212"/>
      <c r="B264" s="1212"/>
      <c r="C264" s="1752" t="s">
        <v>160</v>
      </c>
      <c r="D264" s="1212" t="s">
        <v>21</v>
      </c>
      <c r="E264" s="1223">
        <v>0.308</v>
      </c>
      <c r="F264" s="1213">
        <f>'MINI SSR 19-20'!$C$31</f>
        <v>209.1</v>
      </c>
      <c r="G264" s="1214">
        <f>ROUND(E264*F264,2)</f>
        <v>64.400000000000006</v>
      </c>
      <c r="H264" s="1205" t="s">
        <v>2226</v>
      </c>
    </row>
    <row r="265" spans="1:8" hidden="1">
      <c r="A265" s="1212"/>
      <c r="B265" s="1212"/>
      <c r="C265" s="1752" t="s">
        <v>57</v>
      </c>
      <c r="D265" s="1212" t="s">
        <v>58</v>
      </c>
      <c r="E265" s="1213">
        <v>1.2</v>
      </c>
      <c r="F265" s="1221">
        <f>'MINI SSR 19-20'!$C$29</f>
        <v>80</v>
      </c>
      <c r="G265" s="1214">
        <f>ROUND(E265*F265,2)</f>
        <v>96</v>
      </c>
      <c r="H265" s="1205" t="s">
        <v>2226</v>
      </c>
    </row>
    <row r="266" spans="1:8" hidden="1">
      <c r="A266" s="1212"/>
      <c r="B266" s="1212"/>
      <c r="C266" s="1754" t="s">
        <v>71</v>
      </c>
      <c r="D266" s="1212"/>
      <c r="E266" s="1212"/>
      <c r="F266" s="1212"/>
      <c r="G266" s="1222">
        <f>SUM(G256:G265)</f>
        <v>4541.1699999999992</v>
      </c>
      <c r="H266" s="1205" t="s">
        <v>2226</v>
      </c>
    </row>
    <row r="267" spans="1:8" hidden="1">
      <c r="A267" s="1212"/>
      <c r="B267" s="1212"/>
      <c r="C267" s="1754"/>
      <c r="D267" s="1212"/>
      <c r="E267" s="1218" t="s">
        <v>161</v>
      </c>
      <c r="F267" s="1218" t="s">
        <v>162</v>
      </c>
      <c r="G267" s="1218" t="s">
        <v>162</v>
      </c>
      <c r="H267" s="1205" t="s">
        <v>2226</v>
      </c>
    </row>
    <row r="268" spans="1:8" hidden="1">
      <c r="A268" s="1212"/>
      <c r="B268" s="1212"/>
      <c r="C268" s="1754" t="s">
        <v>1297</v>
      </c>
      <c r="D268" s="1212"/>
      <c r="E268" s="1213">
        <f>G266</f>
        <v>4541.1699999999992</v>
      </c>
      <c r="F268" s="1213">
        <f>G266</f>
        <v>4541.1699999999992</v>
      </c>
      <c r="G268" s="1213">
        <f>F268</f>
        <v>4541.1699999999992</v>
      </c>
      <c r="H268" s="1205" t="s">
        <v>2226</v>
      </c>
    </row>
    <row r="269" spans="1:8" ht="25.5" hidden="1">
      <c r="A269" s="1212"/>
      <c r="B269" s="1212"/>
      <c r="C269" s="1752" t="s">
        <v>177</v>
      </c>
      <c r="D269" s="1212"/>
      <c r="E269" s="1213">
        <f>'MINI SSR 19-20'!C53</f>
        <v>64</v>
      </c>
      <c r="F269" s="1213">
        <f>E269</f>
        <v>64</v>
      </c>
      <c r="G269" s="1213">
        <f>F269</f>
        <v>64</v>
      </c>
      <c r="H269" s="1205" t="s">
        <v>2226</v>
      </c>
    </row>
    <row r="270" spans="1:8" hidden="1">
      <c r="A270" s="1212"/>
      <c r="B270" s="1212"/>
      <c r="C270" s="1752" t="s">
        <v>178</v>
      </c>
      <c r="D270" s="1212"/>
      <c r="E270" s="1213">
        <f>'MINI SSR 19-20'!D53</f>
        <v>341</v>
      </c>
      <c r="F270" s="1213">
        <f>E270</f>
        <v>341</v>
      </c>
      <c r="G270" s="1213">
        <f>F270</f>
        <v>341</v>
      </c>
      <c r="H270" s="1205" t="s">
        <v>2226</v>
      </c>
    </row>
    <row r="271" spans="1:8" ht="25.5" hidden="1">
      <c r="A271" s="1212"/>
      <c r="B271" s="1212"/>
      <c r="C271" s="1752" t="s">
        <v>1286</v>
      </c>
      <c r="D271" s="1212"/>
      <c r="E271" s="1212"/>
      <c r="F271" s="1213">
        <f>ROUND((G260+G261+F270)*0.1,2)</f>
        <v>103.04</v>
      </c>
      <c r="G271" s="1213">
        <f>ROUND((G260+G261+G270)*0.2,2)</f>
        <v>206.08</v>
      </c>
      <c r="H271" s="1205" t="s">
        <v>2226</v>
      </c>
    </row>
    <row r="272" spans="1:8" hidden="1">
      <c r="A272" s="1212"/>
      <c r="B272" s="1212"/>
      <c r="C272" s="1754" t="s">
        <v>182</v>
      </c>
      <c r="D272" s="1212"/>
      <c r="E272" s="1217">
        <f>SUM(E268:E271)</f>
        <v>4946.1699999999992</v>
      </c>
      <c r="F272" s="1217">
        <f>SUM(F268:F271)</f>
        <v>5049.2099999999991</v>
      </c>
      <c r="G272" s="1217">
        <f>SUM(G268:G271)</f>
        <v>5152.2499999999991</v>
      </c>
      <c r="H272" s="1205" t="s">
        <v>2226</v>
      </c>
    </row>
    <row r="273" spans="1:8" s="1575" customFormat="1" ht="127.5">
      <c r="A273" s="1570">
        <v>11</v>
      </c>
      <c r="B273" s="1664" t="s">
        <v>1328</v>
      </c>
      <c r="C273" s="1753" t="s">
        <v>1329</v>
      </c>
      <c r="D273" s="1656"/>
      <c r="E273" s="1656"/>
      <c r="F273" s="1656"/>
      <c r="G273" s="1664"/>
      <c r="H273" s="1658" t="s">
        <v>2226</v>
      </c>
    </row>
    <row r="274" spans="1:8" s="1575" customFormat="1">
      <c r="A274" s="1570"/>
      <c r="B274" s="1664"/>
      <c r="C274" s="1755" t="s">
        <v>36</v>
      </c>
      <c r="D274" s="1656"/>
      <c r="E274" s="1656"/>
      <c r="F274" s="1656"/>
      <c r="G274" s="1585"/>
      <c r="H274" s="1658" t="s">
        <v>2226</v>
      </c>
    </row>
    <row r="275" spans="1:8" s="1575" customFormat="1">
      <c r="A275" s="1570"/>
      <c r="B275" s="1656"/>
      <c r="C275" s="1755" t="s">
        <v>40</v>
      </c>
      <c r="D275" s="1656"/>
      <c r="E275" s="1656"/>
      <c r="F275" s="1656"/>
      <c r="G275" s="1585"/>
      <c r="H275" s="1658" t="s">
        <v>2226</v>
      </c>
    </row>
    <row r="276" spans="1:8" s="1575" customFormat="1">
      <c r="A276" s="1570"/>
      <c r="B276" s="1665" t="s">
        <v>18</v>
      </c>
      <c r="C276" s="1755" t="s">
        <v>22</v>
      </c>
      <c r="D276" s="1656"/>
      <c r="E276" s="1656"/>
      <c r="F276" s="1656"/>
      <c r="G276" s="1585"/>
      <c r="H276" s="1658" t="s">
        <v>2226</v>
      </c>
    </row>
    <row r="277" spans="1:8" s="1575" customFormat="1">
      <c r="A277" s="1585"/>
      <c r="B277" s="1585"/>
      <c r="C277" s="1753" t="s">
        <v>37</v>
      </c>
      <c r="D277" s="1608" t="s">
        <v>34</v>
      </c>
      <c r="E277" s="1671">
        <v>1.05</v>
      </c>
      <c r="F277" s="1608">
        <f>'lead 19-20'!L9</f>
        <v>48970</v>
      </c>
      <c r="G277" s="1660">
        <f>ROUND(E277*F277,2)</f>
        <v>51418.5</v>
      </c>
      <c r="H277" s="1658" t="s">
        <v>2226</v>
      </c>
    </row>
    <row r="278" spans="1:8" s="1575" customFormat="1">
      <c r="A278" s="1585"/>
      <c r="B278" s="1585"/>
      <c r="C278" s="1753" t="s">
        <v>38</v>
      </c>
      <c r="D278" s="1570" t="s">
        <v>4</v>
      </c>
      <c r="E278" s="1608">
        <v>6</v>
      </c>
      <c r="F278" s="1608">
        <f>'MINI SSR 19-20'!C32</f>
        <v>55</v>
      </c>
      <c r="G278" s="1660">
        <f>ROUND(E278*F278,2)</f>
        <v>330</v>
      </c>
      <c r="H278" s="1658" t="s">
        <v>2226</v>
      </c>
    </row>
    <row r="279" spans="1:8" s="1575" customFormat="1" ht="25.5">
      <c r="A279" s="1585"/>
      <c r="B279" s="1665" t="s">
        <v>20</v>
      </c>
      <c r="C279" s="1755" t="s">
        <v>1273</v>
      </c>
      <c r="D279" s="1570"/>
      <c r="E279" s="1570"/>
      <c r="F279" s="1570"/>
      <c r="G279" s="1585"/>
      <c r="H279" s="1658" t="s">
        <v>2226</v>
      </c>
    </row>
    <row r="280" spans="1:8" s="1575" customFormat="1">
      <c r="A280" s="1585"/>
      <c r="B280" s="1585"/>
      <c r="C280" s="1753" t="s">
        <v>120</v>
      </c>
      <c r="D280" s="1570" t="s">
        <v>27</v>
      </c>
      <c r="E280" s="1608">
        <v>10</v>
      </c>
      <c r="F280" s="1608">
        <f>'MINI SSR 19-20'!H6</f>
        <v>625</v>
      </c>
      <c r="G280" s="1660">
        <f>ROUND(E280*F280,2)</f>
        <v>6250</v>
      </c>
      <c r="H280" s="1658" t="s">
        <v>2226</v>
      </c>
    </row>
    <row r="281" spans="1:8" s="1575" customFormat="1">
      <c r="A281" s="1585"/>
      <c r="B281" s="1585"/>
      <c r="C281" s="1753" t="s">
        <v>19</v>
      </c>
      <c r="D281" s="1570" t="s">
        <v>27</v>
      </c>
      <c r="E281" s="1608">
        <v>10</v>
      </c>
      <c r="F281" s="1608">
        <f>'MINI SSR 19-20'!$H$5</f>
        <v>420</v>
      </c>
      <c r="G281" s="1660">
        <f>ROUND(E281*F281,2)</f>
        <v>4200</v>
      </c>
      <c r="H281" s="1658" t="s">
        <v>2226</v>
      </c>
    </row>
    <row r="282" spans="1:8" s="1575" customFormat="1">
      <c r="A282" s="1585"/>
      <c r="B282" s="1585"/>
      <c r="C282" s="1755" t="s">
        <v>39</v>
      </c>
      <c r="D282" s="1570"/>
      <c r="E282" s="1608"/>
      <c r="F282" s="1608"/>
      <c r="G282" s="1666">
        <f>SUM(G277:G281)</f>
        <v>62198.5</v>
      </c>
      <c r="H282" s="1658" t="s">
        <v>2226</v>
      </c>
    </row>
    <row r="283" spans="1:8" s="1575" customFormat="1">
      <c r="A283" s="1656"/>
      <c r="B283" s="1656"/>
      <c r="C283" s="1755"/>
      <c r="D283" s="1656"/>
      <c r="E283" s="1664" t="s">
        <v>161</v>
      </c>
      <c r="F283" s="1663" t="s">
        <v>162</v>
      </c>
      <c r="G283" s="1663" t="s">
        <v>163</v>
      </c>
      <c r="H283" s="1658" t="s">
        <v>2226</v>
      </c>
    </row>
    <row r="284" spans="1:8" s="1575" customFormat="1">
      <c r="A284" s="1656"/>
      <c r="B284" s="1656"/>
      <c r="C284" s="1755" t="s">
        <v>867</v>
      </c>
      <c r="D284" s="1656"/>
      <c r="E284" s="1659">
        <f>G282</f>
        <v>62198.5</v>
      </c>
      <c r="F284" s="1661">
        <f>E284</f>
        <v>62198.5</v>
      </c>
      <c r="G284" s="1661">
        <f>F284</f>
        <v>62198.5</v>
      </c>
      <c r="H284" s="1658" t="s">
        <v>2226</v>
      </c>
    </row>
    <row r="285" spans="1:8" s="1575" customFormat="1" ht="25.5">
      <c r="A285" s="1656"/>
      <c r="B285" s="1656"/>
      <c r="C285" s="1753" t="s">
        <v>1286</v>
      </c>
      <c r="D285" s="1656"/>
      <c r="E285" s="1656"/>
      <c r="F285" s="1661">
        <f>ROUND((G280+G281)*10%,2)</f>
        <v>1045</v>
      </c>
      <c r="G285" s="1661">
        <f>ROUND((G280+G281)*20%,2)</f>
        <v>2090</v>
      </c>
      <c r="H285" s="1658" t="s">
        <v>2226</v>
      </c>
    </row>
    <row r="286" spans="1:8" s="1575" customFormat="1">
      <c r="A286" s="1656"/>
      <c r="B286" s="1656"/>
      <c r="C286" s="1755" t="s">
        <v>894</v>
      </c>
      <c r="D286" s="1656"/>
      <c r="E286" s="1663">
        <f>SUM(E284:E285)</f>
        <v>62198.5</v>
      </c>
      <c r="F286" s="1667">
        <f>SUM(F284:F285)</f>
        <v>63243.5</v>
      </c>
      <c r="G286" s="1667">
        <f>SUM(G284:G285)</f>
        <v>64288.5</v>
      </c>
      <c r="H286" s="1658" t="s">
        <v>2226</v>
      </c>
    </row>
    <row r="287" spans="1:8" s="1232" customFormat="1" ht="204" hidden="1">
      <c r="A287" s="1228">
        <v>20</v>
      </c>
      <c r="B287" s="1229" t="s">
        <v>1330</v>
      </c>
      <c r="C287" s="1229" t="s">
        <v>1331</v>
      </c>
      <c r="D287" s="1230"/>
      <c r="E287" s="1230"/>
      <c r="F287" s="1230"/>
      <c r="G287" s="1231"/>
      <c r="H287" s="1205" t="s">
        <v>2226</v>
      </c>
    </row>
    <row r="288" spans="1:8" s="1232" customFormat="1" hidden="1">
      <c r="A288" s="1228"/>
      <c r="B288" s="1233"/>
      <c r="C288" s="1229" t="s">
        <v>1332</v>
      </c>
      <c r="D288" s="1228"/>
      <c r="E288" s="1234"/>
      <c r="F288" s="1235"/>
      <c r="G288" s="1231"/>
      <c r="H288" s="1205" t="s">
        <v>2226</v>
      </c>
    </row>
    <row r="289" spans="1:8" s="1232" customFormat="1" hidden="1">
      <c r="A289" s="1228"/>
      <c r="B289" s="1229"/>
      <c r="C289" s="1229" t="s">
        <v>1333</v>
      </c>
      <c r="D289" s="1228"/>
      <c r="E289" s="1234"/>
      <c r="F289" s="1235"/>
      <c r="G289" s="1231"/>
      <c r="H289" s="1205" t="s">
        <v>2226</v>
      </c>
    </row>
    <row r="290" spans="1:8" s="1232" customFormat="1" ht="25.5" hidden="1">
      <c r="A290" s="1228"/>
      <c r="B290" s="1229"/>
      <c r="C290" s="1229" t="s">
        <v>1334</v>
      </c>
      <c r="D290" s="1228" t="s">
        <v>34</v>
      </c>
      <c r="E290" s="1234">
        <v>1.0249999999999999</v>
      </c>
      <c r="F290" s="1235">
        <f>'lead 19-20'!L10</f>
        <v>50740</v>
      </c>
      <c r="G290" s="1231">
        <f t="shared" ref="G290:G292" si="0">ROUND(F290*E290,2)</f>
        <v>52008.5</v>
      </c>
      <c r="H290" s="1205" t="s">
        <v>2226</v>
      </c>
    </row>
    <row r="291" spans="1:8" s="1232" customFormat="1" ht="25.5" hidden="1">
      <c r="A291" s="1228"/>
      <c r="B291" s="1229"/>
      <c r="C291" s="1229" t="s">
        <v>1335</v>
      </c>
      <c r="D291" s="1228" t="s">
        <v>1336</v>
      </c>
      <c r="E291" s="1234">
        <v>70</v>
      </c>
      <c r="F291" s="1235">
        <f>'MINI SSR 19-20'!C33</f>
        <v>12</v>
      </c>
      <c r="G291" s="1231">
        <f t="shared" si="0"/>
        <v>840</v>
      </c>
      <c r="H291" s="1205" t="s">
        <v>2226</v>
      </c>
    </row>
    <row r="292" spans="1:8" s="1232" customFormat="1" ht="25.5" hidden="1">
      <c r="A292" s="1228"/>
      <c r="B292" s="1229"/>
      <c r="C292" s="1229" t="s">
        <v>1337</v>
      </c>
      <c r="D292" s="1228" t="s">
        <v>90</v>
      </c>
      <c r="E292" s="1234">
        <v>3</v>
      </c>
      <c r="F292" s="1235">
        <f>'MINI SSR 19-20'!C32</f>
        <v>55</v>
      </c>
      <c r="G292" s="1231">
        <f t="shared" si="0"/>
        <v>165</v>
      </c>
      <c r="H292" s="1205" t="s">
        <v>2226</v>
      </c>
    </row>
    <row r="293" spans="1:8" s="1232" customFormat="1" ht="25.5" hidden="1">
      <c r="A293" s="1228"/>
      <c r="B293" s="1229"/>
      <c r="C293" s="1229" t="s">
        <v>1338</v>
      </c>
      <c r="D293" s="1228"/>
      <c r="E293" s="1234"/>
      <c r="F293" s="1235"/>
      <c r="G293" s="1231"/>
      <c r="H293" s="1205" t="s">
        <v>2226</v>
      </c>
    </row>
    <row r="294" spans="1:8" s="1232" customFormat="1" hidden="1">
      <c r="A294" s="1228"/>
      <c r="B294" s="1229"/>
      <c r="C294" s="1229" t="s">
        <v>1339</v>
      </c>
      <c r="D294" s="1228" t="s">
        <v>27</v>
      </c>
      <c r="E294" s="1234">
        <v>2.5</v>
      </c>
      <c r="F294" s="1236">
        <f>'MINI SSR 19-20'!H10</f>
        <v>510</v>
      </c>
      <c r="G294" s="1231">
        <f t="shared" ref="G294:G297" si="1">ROUND(F294*E294,2)</f>
        <v>1275</v>
      </c>
      <c r="H294" s="1205" t="s">
        <v>2226</v>
      </c>
    </row>
    <row r="295" spans="1:8" s="1232" customFormat="1" hidden="1">
      <c r="A295" s="1228"/>
      <c r="B295" s="1229"/>
      <c r="C295" s="1229" t="s">
        <v>1340</v>
      </c>
      <c r="D295" s="1228" t="s">
        <v>27</v>
      </c>
      <c r="E295" s="1234">
        <v>10</v>
      </c>
      <c r="F295" s="1236">
        <f>'MINI SSR 19-20'!H11</f>
        <v>495</v>
      </c>
      <c r="G295" s="1231">
        <f t="shared" si="1"/>
        <v>4950</v>
      </c>
      <c r="H295" s="1205" t="s">
        <v>2226</v>
      </c>
    </row>
    <row r="296" spans="1:8" s="1232" customFormat="1" hidden="1">
      <c r="A296" s="1228"/>
      <c r="B296" s="1229"/>
      <c r="C296" s="1229" t="s">
        <v>1341</v>
      </c>
      <c r="D296" s="1228" t="s">
        <v>27</v>
      </c>
      <c r="E296" s="1234">
        <v>10</v>
      </c>
      <c r="F296" s="1236">
        <f>'MINI SSR 19-20'!H5</f>
        <v>420</v>
      </c>
      <c r="G296" s="1231">
        <f t="shared" si="1"/>
        <v>4200</v>
      </c>
      <c r="H296" s="1205" t="s">
        <v>2226</v>
      </c>
    </row>
    <row r="297" spans="1:8" s="1232" customFormat="1" ht="25.5" hidden="1">
      <c r="A297" s="1228"/>
      <c r="B297" s="1229"/>
      <c r="C297" s="1229" t="s">
        <v>1342</v>
      </c>
      <c r="D297" s="1228" t="s">
        <v>1343</v>
      </c>
      <c r="E297" s="1234">
        <v>10</v>
      </c>
      <c r="F297" s="1236">
        <f>'MINI SSR 19-20'!C34</f>
        <v>116.5</v>
      </c>
      <c r="G297" s="1231">
        <f t="shared" si="1"/>
        <v>1165</v>
      </c>
      <c r="H297" s="1205" t="s">
        <v>2226</v>
      </c>
    </row>
    <row r="298" spans="1:8" s="1232" customFormat="1" hidden="1">
      <c r="A298" s="1228"/>
      <c r="B298" s="1229"/>
      <c r="C298" s="1229" t="s">
        <v>1344</v>
      </c>
      <c r="D298" s="1228"/>
      <c r="E298" s="1234"/>
      <c r="F298" s="1235"/>
      <c r="G298" s="1237">
        <f>SUM(G290:G297)</f>
        <v>64603.5</v>
      </c>
      <c r="H298" s="1205" t="s">
        <v>2226</v>
      </c>
    </row>
    <row r="299" spans="1:8" s="1232" customFormat="1" hidden="1">
      <c r="A299" s="1228"/>
      <c r="B299" s="1229"/>
      <c r="C299" s="1229" t="s">
        <v>1345</v>
      </c>
      <c r="D299" s="1228"/>
      <c r="E299" s="1234"/>
      <c r="F299" s="1235"/>
      <c r="G299" s="1237">
        <f>ROUND(G298/1000,2)</f>
        <v>64.599999999999994</v>
      </c>
      <c r="H299" s="1205" t="s">
        <v>2226</v>
      </c>
    </row>
    <row r="300" spans="1:8" s="1575" customFormat="1" ht="63.75">
      <c r="A300" s="1570">
        <v>12</v>
      </c>
      <c r="B300" s="1664"/>
      <c r="C300" s="1753" t="s">
        <v>185</v>
      </c>
      <c r="D300" s="1656"/>
      <c r="E300" s="1656"/>
      <c r="F300" s="1656"/>
      <c r="G300" s="1585"/>
      <c r="H300" s="1658" t="s">
        <v>2226</v>
      </c>
    </row>
    <row r="301" spans="1:8" s="1575" customFormat="1">
      <c r="A301" s="1570"/>
      <c r="B301" s="1664"/>
      <c r="C301" s="1755" t="s">
        <v>186</v>
      </c>
      <c r="D301" s="1656"/>
      <c r="E301" s="1656"/>
      <c r="F301" s="1656"/>
      <c r="G301" s="1585"/>
      <c r="H301" s="1658" t="s">
        <v>2226</v>
      </c>
    </row>
    <row r="302" spans="1:8" s="1575" customFormat="1">
      <c r="A302" s="1570"/>
      <c r="B302" s="1665" t="s">
        <v>18</v>
      </c>
      <c r="C302" s="1755" t="s">
        <v>22</v>
      </c>
      <c r="D302" s="1656"/>
      <c r="E302" s="1656"/>
      <c r="F302" s="1656"/>
      <c r="G302" s="1585"/>
      <c r="H302" s="1658" t="s">
        <v>2226</v>
      </c>
    </row>
    <row r="303" spans="1:8" s="1575" customFormat="1" ht="25.5">
      <c r="A303" s="1585"/>
      <c r="B303" s="1585"/>
      <c r="C303" s="1753" t="s">
        <v>187</v>
      </c>
      <c r="D303" s="1570" t="s">
        <v>4</v>
      </c>
      <c r="E303" s="1589">
        <v>1.0249999999999999</v>
      </c>
      <c r="F303" s="1608">
        <f>'lead 19-20'!L10/1000</f>
        <v>50.74</v>
      </c>
      <c r="G303" s="1660">
        <f>ROUND(E303*F303,2)</f>
        <v>52.01</v>
      </c>
      <c r="H303" s="1658" t="s">
        <v>2226</v>
      </c>
    </row>
    <row r="304" spans="1:8" s="1575" customFormat="1">
      <c r="A304" s="1585"/>
      <c r="B304" s="1665" t="s">
        <v>20</v>
      </c>
      <c r="C304" s="1753" t="s">
        <v>188</v>
      </c>
      <c r="D304" s="1570" t="s">
        <v>4</v>
      </c>
      <c r="E304" s="1608">
        <v>1</v>
      </c>
      <c r="F304" s="1608">
        <f>'MINI SSR 19-20'!C35</f>
        <v>27</v>
      </c>
      <c r="G304" s="1660">
        <f>ROUND(E304*F304,2)</f>
        <v>27</v>
      </c>
      <c r="H304" s="1658" t="s">
        <v>2226</v>
      </c>
    </row>
    <row r="305" spans="1:8" s="1575" customFormat="1">
      <c r="A305" s="1585"/>
      <c r="B305" s="1585"/>
      <c r="C305" s="1753" t="s">
        <v>189</v>
      </c>
      <c r="D305" s="1570" t="s">
        <v>27</v>
      </c>
      <c r="E305" s="1608">
        <v>1</v>
      </c>
      <c r="F305" s="1608">
        <f>'MINI SSR 19-20'!C36</f>
        <v>5</v>
      </c>
      <c r="G305" s="1660">
        <f>ROUND(E305*F305,2)</f>
        <v>5</v>
      </c>
      <c r="H305" s="1658" t="s">
        <v>2226</v>
      </c>
    </row>
    <row r="306" spans="1:8" s="1575" customFormat="1">
      <c r="A306" s="1585"/>
      <c r="B306" s="1585"/>
      <c r="C306" s="1755" t="s">
        <v>190</v>
      </c>
      <c r="D306" s="1570"/>
      <c r="E306" s="1608"/>
      <c r="F306" s="1608"/>
      <c r="G306" s="1666">
        <f>SUM(G303:G305)</f>
        <v>84.009999999999991</v>
      </c>
      <c r="H306" s="1658" t="s">
        <v>2226</v>
      </c>
    </row>
    <row r="307" spans="1:8" ht="114.75" hidden="1">
      <c r="A307" s="1156">
        <v>5</v>
      </c>
      <c r="B307" s="1218"/>
      <c r="C307" s="1752" t="s">
        <v>969</v>
      </c>
      <c r="D307" s="1212"/>
      <c r="E307" s="1212"/>
      <c r="F307" s="1212"/>
      <c r="G307" s="1169"/>
      <c r="H307" s="1205" t="s">
        <v>2226</v>
      </c>
    </row>
    <row r="308" spans="1:8" hidden="1">
      <c r="A308" s="1169"/>
      <c r="B308" s="1169"/>
      <c r="C308" s="1752" t="s">
        <v>934</v>
      </c>
      <c r="D308" s="1156" t="s">
        <v>4</v>
      </c>
      <c r="E308" s="1166">
        <v>43.51</v>
      </c>
      <c r="F308" s="1221">
        <f>'lead 19-20'!L10/1000</f>
        <v>50.74</v>
      </c>
      <c r="G308" s="1214">
        <f>ROUND(E308*F308,2)</f>
        <v>2207.6999999999998</v>
      </c>
      <c r="H308" s="1205" t="s">
        <v>2226</v>
      </c>
    </row>
    <row r="309" spans="1:8" hidden="1">
      <c r="A309" s="1169"/>
      <c r="B309" s="1169"/>
      <c r="C309" s="1752" t="s">
        <v>935</v>
      </c>
      <c r="D309" s="1156" t="s">
        <v>4</v>
      </c>
      <c r="E309" s="1166">
        <v>14.4</v>
      </c>
      <c r="F309" s="1221">
        <f>'lead 19-20'!L9/1000</f>
        <v>48.97</v>
      </c>
      <c r="G309" s="1214">
        <f>ROUND(E309*F309,2)</f>
        <v>705.17</v>
      </c>
      <c r="H309" s="1205" t="s">
        <v>2226</v>
      </c>
    </row>
    <row r="310" spans="1:8" hidden="1">
      <c r="A310" s="1169"/>
      <c r="B310" s="1219" t="s">
        <v>20</v>
      </c>
      <c r="C310" s="1752" t="s">
        <v>188</v>
      </c>
      <c r="D310" s="1156" t="s">
        <v>4</v>
      </c>
      <c r="E310" s="1221">
        <f>SUM(E308:E309)</f>
        <v>57.91</v>
      </c>
      <c r="F310" s="1221">
        <f>'MINI SSR 19-20'!C35</f>
        <v>27</v>
      </c>
      <c r="G310" s="1214">
        <f>ROUND(E310*F310,2)</f>
        <v>1563.57</v>
      </c>
      <c r="H310" s="1205" t="s">
        <v>2226</v>
      </c>
    </row>
    <row r="311" spans="1:8" hidden="1">
      <c r="A311" s="1169"/>
      <c r="B311" s="1169"/>
      <c r="C311" s="1752" t="s">
        <v>189</v>
      </c>
      <c r="D311" s="1156" t="s">
        <v>27</v>
      </c>
      <c r="E311" s="1221">
        <f>E310</f>
        <v>57.91</v>
      </c>
      <c r="F311" s="1221">
        <f>'MINI SSR 19-20'!C36</f>
        <v>5</v>
      </c>
      <c r="G311" s="1214">
        <f>ROUND(E311*F311,2)</f>
        <v>289.55</v>
      </c>
      <c r="H311" s="1205" t="s">
        <v>2226</v>
      </c>
    </row>
    <row r="312" spans="1:8" hidden="1">
      <c r="A312" s="1169"/>
      <c r="B312" s="1169"/>
      <c r="C312" s="1754" t="s">
        <v>936</v>
      </c>
      <c r="D312" s="1156"/>
      <c r="E312" s="1221"/>
      <c r="F312" s="1221"/>
      <c r="G312" s="1220">
        <f>SUM(G308:G311)</f>
        <v>4765.99</v>
      </c>
      <c r="H312" s="1205" t="s">
        <v>2226</v>
      </c>
    </row>
    <row r="313" spans="1:8" hidden="1">
      <c r="A313" s="1169"/>
      <c r="B313" s="1169"/>
      <c r="C313" s="1754" t="s">
        <v>121</v>
      </c>
      <c r="D313" s="1156"/>
      <c r="E313" s="1221"/>
      <c r="F313" s="1221"/>
      <c r="G313" s="1220">
        <f>ROUND(G312/2.025,2)</f>
        <v>2353.58</v>
      </c>
      <c r="H313" s="1205" t="s">
        <v>2226</v>
      </c>
    </row>
    <row r="314" spans="1:8" ht="51" hidden="1">
      <c r="A314" s="1156">
        <v>23</v>
      </c>
      <c r="B314" s="1218"/>
      <c r="C314" s="1752" t="s">
        <v>627</v>
      </c>
      <c r="D314" s="1212"/>
      <c r="E314" s="1212"/>
      <c r="F314" s="1212"/>
      <c r="G314" s="1169"/>
      <c r="H314" s="1205" t="s">
        <v>2226</v>
      </c>
    </row>
    <row r="315" spans="1:8" hidden="1">
      <c r="A315" s="1156"/>
      <c r="B315" s="1218"/>
      <c r="C315" s="1754" t="s">
        <v>186</v>
      </c>
      <c r="D315" s="1212"/>
      <c r="E315" s="1212"/>
      <c r="F315" s="1212"/>
      <c r="G315" s="1169"/>
      <c r="H315" s="1205" t="s">
        <v>2226</v>
      </c>
    </row>
    <row r="316" spans="1:8" hidden="1">
      <c r="A316" s="1156"/>
      <c r="B316" s="1219" t="s">
        <v>18</v>
      </c>
      <c r="C316" s="1754" t="s">
        <v>22</v>
      </c>
      <c r="D316" s="1212"/>
      <c r="E316" s="1212"/>
      <c r="F316" s="1212"/>
      <c r="G316" s="1169"/>
      <c r="H316" s="1205" t="s">
        <v>2226</v>
      </c>
    </row>
    <row r="317" spans="1:8" hidden="1">
      <c r="A317" s="1169"/>
      <c r="B317" s="1169"/>
      <c r="C317" s="1752" t="s">
        <v>628</v>
      </c>
      <c r="D317" s="1156" t="s">
        <v>4</v>
      </c>
      <c r="E317" s="1166">
        <v>1.0249999999999999</v>
      </c>
      <c r="F317" s="1221">
        <f>'MINI SSR 19-20'!C37</f>
        <v>60</v>
      </c>
      <c r="G317" s="1214">
        <f>ROUND(E317*F317,2)</f>
        <v>61.5</v>
      </c>
      <c r="H317" s="1205" t="s">
        <v>2226</v>
      </c>
    </row>
    <row r="318" spans="1:8" hidden="1">
      <c r="A318" s="1169"/>
      <c r="B318" s="1219" t="s">
        <v>20</v>
      </c>
      <c r="C318" s="1752" t="s">
        <v>629</v>
      </c>
      <c r="D318" s="1156" t="s">
        <v>4</v>
      </c>
      <c r="E318" s="1221">
        <v>1</v>
      </c>
      <c r="F318" s="1221">
        <f>'MINI SSR 19-20'!C38</f>
        <v>24</v>
      </c>
      <c r="G318" s="1214">
        <f>ROUND(E318*F318,2)</f>
        <v>24</v>
      </c>
      <c r="H318" s="1205" t="s">
        <v>2226</v>
      </c>
    </row>
    <row r="319" spans="1:8" hidden="1">
      <c r="A319" s="1169"/>
      <c r="B319" s="1169"/>
      <c r="C319" s="1752" t="s">
        <v>630</v>
      </c>
      <c r="D319" s="1156" t="s">
        <v>27</v>
      </c>
      <c r="E319" s="1221">
        <v>1</v>
      </c>
      <c r="F319" s="1221">
        <f>'MINI SSR 19-20'!C39</f>
        <v>21</v>
      </c>
      <c r="G319" s="1214">
        <f>ROUND(E319*F319,2)</f>
        <v>21</v>
      </c>
      <c r="H319" s="1205" t="s">
        <v>2226</v>
      </c>
    </row>
    <row r="320" spans="1:8" hidden="1">
      <c r="A320" s="1169"/>
      <c r="B320" s="1169"/>
      <c r="C320" s="1754" t="s">
        <v>190</v>
      </c>
      <c r="D320" s="1156"/>
      <c r="E320" s="1221"/>
      <c r="F320" s="1221"/>
      <c r="G320" s="1220">
        <f>SUM(G317:G319)</f>
        <v>106.5</v>
      </c>
      <c r="H320" s="1205" t="s">
        <v>2226</v>
      </c>
    </row>
    <row r="321" spans="1:8" s="1575" customFormat="1" ht="191.25">
      <c r="A321" s="1570">
        <v>13</v>
      </c>
      <c r="B321" s="1664"/>
      <c r="C321" s="1753" t="s">
        <v>1298</v>
      </c>
      <c r="D321" s="1656"/>
      <c r="E321" s="1656"/>
      <c r="F321" s="1656"/>
      <c r="G321" s="1585"/>
      <c r="H321" s="1658" t="s">
        <v>2226</v>
      </c>
    </row>
    <row r="322" spans="1:8" s="1575" customFormat="1">
      <c r="A322" s="1570"/>
      <c r="B322" s="1664"/>
      <c r="C322" s="1755" t="s">
        <v>919</v>
      </c>
      <c r="D322" s="1656"/>
      <c r="E322" s="1656"/>
      <c r="F322" s="1656"/>
      <c r="G322" s="1661"/>
      <c r="H322" s="1658" t="s">
        <v>2226</v>
      </c>
    </row>
    <row r="323" spans="1:8" s="1575" customFormat="1">
      <c r="A323" s="1585"/>
      <c r="B323" s="1585"/>
      <c r="C323" s="1753" t="s">
        <v>913</v>
      </c>
      <c r="D323" s="1608">
        <v>4.5999999999999996</v>
      </c>
      <c r="E323" s="1589">
        <v>2.39</v>
      </c>
      <c r="F323" s="1608">
        <f>ROUND(D323*E323,2)</f>
        <v>10.99</v>
      </c>
      <c r="G323" s="1660"/>
      <c r="H323" s="1658" t="s">
        <v>2226</v>
      </c>
    </row>
    <row r="324" spans="1:8" s="1575" customFormat="1">
      <c r="A324" s="1585"/>
      <c r="B324" s="1585"/>
      <c r="C324" s="1753" t="s">
        <v>914</v>
      </c>
      <c r="D324" s="1608">
        <v>11.7</v>
      </c>
      <c r="E324" s="1589">
        <v>0.89</v>
      </c>
      <c r="F324" s="1608">
        <f>ROUND(D324*E324,2)</f>
        <v>10.41</v>
      </c>
      <c r="G324" s="1660"/>
      <c r="H324" s="1658" t="s">
        <v>2226</v>
      </c>
    </row>
    <row r="325" spans="1:8" s="1575" customFormat="1">
      <c r="A325" s="1585"/>
      <c r="B325" s="1585"/>
      <c r="C325" s="1753"/>
      <c r="D325" s="1570"/>
      <c r="E325" s="1589"/>
      <c r="F325" s="1688">
        <f>SUM(F323:F324)</f>
        <v>21.4</v>
      </c>
      <c r="G325" s="1660"/>
      <c r="H325" s="1658" t="s">
        <v>2226</v>
      </c>
    </row>
    <row r="326" spans="1:8" s="1575" customFormat="1">
      <c r="A326" s="1585"/>
      <c r="B326" s="1585"/>
      <c r="C326" s="1753" t="s">
        <v>696</v>
      </c>
      <c r="D326" s="1570" t="s">
        <v>4</v>
      </c>
      <c r="E326" s="1589">
        <f>F325</f>
        <v>21.4</v>
      </c>
      <c r="F326" s="1608">
        <f>'MINI SSR 19-20'!C40</f>
        <v>331</v>
      </c>
      <c r="G326" s="1660">
        <f t="shared" ref="G326:G331" si="2">ROUND(E326*F326,2)</f>
        <v>7083.4</v>
      </c>
      <c r="H326" s="1658" t="s">
        <v>2226</v>
      </c>
    </row>
    <row r="327" spans="1:8" s="1575" customFormat="1" ht="25.5">
      <c r="A327" s="1585"/>
      <c r="B327" s="1665"/>
      <c r="C327" s="1753" t="s">
        <v>697</v>
      </c>
      <c r="D327" s="1570" t="s">
        <v>4</v>
      </c>
      <c r="E327" s="1608">
        <f>E326</f>
        <v>21.4</v>
      </c>
      <c r="F327" s="1608">
        <f>'MINI SSR 19-20'!C41</f>
        <v>131</v>
      </c>
      <c r="G327" s="1660">
        <f t="shared" si="2"/>
        <v>2803.4</v>
      </c>
      <c r="H327" s="1658" t="s">
        <v>2226</v>
      </c>
    </row>
    <row r="328" spans="1:8" s="1575" customFormat="1">
      <c r="A328" s="1585"/>
      <c r="B328" s="1665"/>
      <c r="C328" s="1753" t="s">
        <v>915</v>
      </c>
      <c r="D328" s="1570" t="s">
        <v>277</v>
      </c>
      <c r="E328" s="1608">
        <v>1.3</v>
      </c>
      <c r="F328" s="1608">
        <f>'MINI SSR 19-20'!C42</f>
        <v>187</v>
      </c>
      <c r="G328" s="1660">
        <f t="shared" si="2"/>
        <v>243.1</v>
      </c>
      <c r="H328" s="1658" t="s">
        <v>2226</v>
      </c>
    </row>
    <row r="329" spans="1:8" s="1575" customFormat="1">
      <c r="A329" s="1585"/>
      <c r="B329" s="1665"/>
      <c r="C329" s="1753" t="s">
        <v>916</v>
      </c>
      <c r="D329" s="1570" t="s">
        <v>115</v>
      </c>
      <c r="E329" s="1608">
        <v>13</v>
      </c>
      <c r="F329" s="1608">
        <v>80</v>
      </c>
      <c r="G329" s="1660">
        <f t="shared" si="2"/>
        <v>1040</v>
      </c>
      <c r="H329" s="1658" t="s">
        <v>2226</v>
      </c>
    </row>
    <row r="330" spans="1:8" s="1575" customFormat="1">
      <c r="A330" s="1585"/>
      <c r="B330" s="1665"/>
      <c r="C330" s="1753" t="s">
        <v>917</v>
      </c>
      <c r="D330" s="1570" t="s">
        <v>115</v>
      </c>
      <c r="E330" s="1608">
        <v>13</v>
      </c>
      <c r="F330" s="1608">
        <v>30</v>
      </c>
      <c r="G330" s="1660">
        <f t="shared" si="2"/>
        <v>390</v>
      </c>
      <c r="H330" s="1658" t="s">
        <v>2226</v>
      </c>
    </row>
    <row r="331" spans="1:8" s="1575" customFormat="1">
      <c r="A331" s="1585"/>
      <c r="B331" s="1665"/>
      <c r="C331" s="1753" t="s">
        <v>918</v>
      </c>
      <c r="D331" s="1570" t="s">
        <v>115</v>
      </c>
      <c r="E331" s="1608">
        <v>13</v>
      </c>
      <c r="F331" s="1608">
        <v>15</v>
      </c>
      <c r="G331" s="1660">
        <f t="shared" si="2"/>
        <v>195</v>
      </c>
      <c r="H331" s="1658" t="s">
        <v>2226</v>
      </c>
    </row>
    <row r="332" spans="1:8" s="1575" customFormat="1">
      <c r="A332" s="1585"/>
      <c r="B332" s="1665"/>
      <c r="C332" s="1753" t="s">
        <v>920</v>
      </c>
      <c r="D332" s="1570"/>
      <c r="E332" s="1608"/>
      <c r="F332" s="1608"/>
      <c r="G332" s="1660">
        <f>SUM(G326:G331)</f>
        <v>11754.9</v>
      </c>
      <c r="H332" s="1658" t="s">
        <v>2226</v>
      </c>
    </row>
    <row r="333" spans="1:8" s="1575" customFormat="1">
      <c r="A333" s="1585"/>
      <c r="B333" s="1665"/>
      <c r="C333" s="1753" t="s">
        <v>377</v>
      </c>
      <c r="D333" s="1570"/>
      <c r="E333" s="1608"/>
      <c r="F333" s="1608"/>
      <c r="G333" s="1660">
        <f>ROUND(G332/4.6,2)</f>
        <v>2555.41</v>
      </c>
      <c r="H333" s="1658" t="s">
        <v>2226</v>
      </c>
    </row>
    <row r="334" spans="1:8" s="1575" customFormat="1">
      <c r="A334" s="1585"/>
      <c r="B334" s="1585"/>
      <c r="C334" s="1753" t="s">
        <v>921</v>
      </c>
      <c r="D334" s="1570"/>
      <c r="E334" s="1608"/>
      <c r="F334" s="1608"/>
      <c r="G334" s="1666">
        <f>ROUND(G333/0.9,2)</f>
        <v>2839.34</v>
      </c>
      <c r="H334" s="1658" t="s">
        <v>2226</v>
      </c>
    </row>
    <row r="335" spans="1:8" ht="153" hidden="1">
      <c r="A335" s="1156">
        <v>25</v>
      </c>
      <c r="B335" s="1218"/>
      <c r="C335" s="1752" t="s">
        <v>1299</v>
      </c>
      <c r="D335" s="1212"/>
      <c r="E335" s="1212"/>
      <c r="F335" s="1212"/>
      <c r="G335" s="1169"/>
      <c r="H335" s="1205" t="s">
        <v>2226</v>
      </c>
    </row>
    <row r="336" spans="1:8" hidden="1">
      <c r="A336" s="1156"/>
      <c r="B336" s="1218"/>
      <c r="C336" s="1754" t="s">
        <v>924</v>
      </c>
      <c r="D336" s="1212"/>
      <c r="E336" s="1212"/>
      <c r="F336" s="1212"/>
      <c r="G336" s="1215"/>
      <c r="H336" s="1205" t="s">
        <v>2226</v>
      </c>
    </row>
    <row r="337" spans="1:8" hidden="1">
      <c r="A337" s="1169"/>
      <c r="B337" s="1169"/>
      <c r="C337" s="1752" t="s">
        <v>922</v>
      </c>
      <c r="D337" s="1221">
        <v>10</v>
      </c>
      <c r="E337" s="1166">
        <v>2.39</v>
      </c>
      <c r="F337" s="1221">
        <f>ROUND(D337*E337,2)</f>
        <v>23.9</v>
      </c>
      <c r="G337" s="1214"/>
      <c r="H337" s="1205" t="s">
        <v>2226</v>
      </c>
    </row>
    <row r="338" spans="1:8" hidden="1">
      <c r="A338" s="1169"/>
      <c r="B338" s="1169"/>
      <c r="C338" s="1752" t="s">
        <v>923</v>
      </c>
      <c r="D338" s="1221">
        <v>2.7</v>
      </c>
      <c r="E338" s="1166">
        <v>0.89</v>
      </c>
      <c r="F338" s="1221">
        <f>ROUND(D338*E338,2)</f>
        <v>2.4</v>
      </c>
      <c r="G338" s="1214"/>
      <c r="H338" s="1205" t="s">
        <v>2226</v>
      </c>
    </row>
    <row r="339" spans="1:8" hidden="1">
      <c r="A339" s="1169"/>
      <c r="B339" s="1169"/>
      <c r="C339" s="1752"/>
      <c r="D339" s="1156"/>
      <c r="E339" s="1166"/>
      <c r="F339" s="1238">
        <f>SUM(F337:F338)</f>
        <v>26.299999999999997</v>
      </c>
      <c r="G339" s="1214"/>
      <c r="H339" s="1205" t="s">
        <v>2226</v>
      </c>
    </row>
    <row r="340" spans="1:8" hidden="1">
      <c r="A340" s="1169"/>
      <c r="B340" s="1169"/>
      <c r="C340" s="1752" t="s">
        <v>696</v>
      </c>
      <c r="D340" s="1156" t="s">
        <v>4</v>
      </c>
      <c r="E340" s="1166">
        <f>F339</f>
        <v>26.299999999999997</v>
      </c>
      <c r="F340" s="1221">
        <f>'MINI SSR 19-20'!$C$40</f>
        <v>331</v>
      </c>
      <c r="G340" s="1214">
        <f>ROUND(E340*F340,2)</f>
        <v>8705.2999999999993</v>
      </c>
      <c r="H340" s="1205" t="s">
        <v>2226</v>
      </c>
    </row>
    <row r="341" spans="1:8" ht="25.5" hidden="1">
      <c r="A341" s="1169"/>
      <c r="B341" s="1219"/>
      <c r="C341" s="1752" t="s">
        <v>697</v>
      </c>
      <c r="D341" s="1156" t="s">
        <v>4</v>
      </c>
      <c r="E341" s="1221">
        <f>E340</f>
        <v>26.299999999999997</v>
      </c>
      <c r="F341" s="1221">
        <f>'MINI SSR 19-20'!$C$41</f>
        <v>131</v>
      </c>
      <c r="G341" s="1214">
        <f>ROUND(E341*F341,2)</f>
        <v>3445.3</v>
      </c>
      <c r="H341" s="1205" t="s">
        <v>2226</v>
      </c>
    </row>
    <row r="342" spans="1:8" hidden="1">
      <c r="A342" s="1169"/>
      <c r="B342" s="1219"/>
      <c r="C342" s="1752" t="s">
        <v>927</v>
      </c>
      <c r="D342" s="1156" t="s">
        <v>277</v>
      </c>
      <c r="E342" s="1221">
        <v>0.9</v>
      </c>
      <c r="F342" s="1221">
        <f>'MINI SSR 19-20'!C42</f>
        <v>187</v>
      </c>
      <c r="G342" s="1214">
        <f>ROUND(E342*F342,2)</f>
        <v>168.3</v>
      </c>
      <c r="H342" s="1205" t="s">
        <v>2226</v>
      </c>
    </row>
    <row r="343" spans="1:8" hidden="1">
      <c r="A343" s="1169"/>
      <c r="B343" s="1219"/>
      <c r="C343" s="1752" t="s">
        <v>925</v>
      </c>
      <c r="D343" s="1156" t="s">
        <v>115</v>
      </c>
      <c r="E343" s="1221">
        <v>9</v>
      </c>
      <c r="F343" s="1221">
        <v>30</v>
      </c>
      <c r="G343" s="1214">
        <f>ROUND(E343*F343,2)</f>
        <v>270</v>
      </c>
      <c r="H343" s="1205" t="s">
        <v>2226</v>
      </c>
    </row>
    <row r="344" spans="1:8" hidden="1">
      <c r="A344" s="1169"/>
      <c r="B344" s="1219"/>
      <c r="C344" s="1752" t="s">
        <v>926</v>
      </c>
      <c r="D344" s="1156"/>
      <c r="E344" s="1221"/>
      <c r="F344" s="1221"/>
      <c r="G344" s="1214">
        <f>SUM(G340:G343)</f>
        <v>12588.899999999998</v>
      </c>
      <c r="H344" s="1205" t="s">
        <v>2226</v>
      </c>
    </row>
    <row r="345" spans="1:8" hidden="1">
      <c r="A345" s="1169"/>
      <c r="B345" s="1219"/>
      <c r="C345" s="1752" t="s">
        <v>377</v>
      </c>
      <c r="D345" s="1156"/>
      <c r="E345" s="1221"/>
      <c r="F345" s="1221"/>
      <c r="G345" s="1220">
        <f>ROUND(G344/10,2)</f>
        <v>1258.8900000000001</v>
      </c>
      <c r="H345" s="1205" t="s">
        <v>2226</v>
      </c>
    </row>
    <row r="346" spans="1:8" ht="51" hidden="1">
      <c r="A346" s="1156">
        <v>25</v>
      </c>
      <c r="B346" s="1218"/>
      <c r="C346" s="1752" t="s">
        <v>2295</v>
      </c>
      <c r="D346" s="1212"/>
      <c r="E346" s="1212"/>
      <c r="F346" s="1212"/>
      <c r="G346" s="1169"/>
      <c r="H346" s="1205" t="s">
        <v>2226</v>
      </c>
    </row>
    <row r="347" spans="1:8" hidden="1">
      <c r="A347" s="1169"/>
      <c r="B347" s="1169"/>
      <c r="C347" s="1752" t="s">
        <v>696</v>
      </c>
      <c r="D347" s="1156" t="s">
        <v>4</v>
      </c>
      <c r="E347" s="1166">
        <v>1.0249999999999999</v>
      </c>
      <c r="F347" s="1221">
        <f>'MINI SSR 19-20'!$C$40</f>
        <v>331</v>
      </c>
      <c r="G347" s="1214">
        <f>ROUND(E347*F347,2)</f>
        <v>339.28</v>
      </c>
      <c r="H347" s="1205" t="s">
        <v>2226</v>
      </c>
    </row>
    <row r="348" spans="1:8" ht="25.5" hidden="1">
      <c r="A348" s="1169"/>
      <c r="B348" s="1219"/>
      <c r="C348" s="1752" t="s">
        <v>697</v>
      </c>
      <c r="D348" s="1156" t="s">
        <v>4</v>
      </c>
      <c r="E348" s="1221">
        <v>1</v>
      </c>
      <c r="F348" s="1221">
        <f>'MINI SSR 19-20'!$C$41</f>
        <v>131</v>
      </c>
      <c r="G348" s="1214">
        <f>ROUND(E348*F348,2)</f>
        <v>131</v>
      </c>
      <c r="H348" s="1205" t="s">
        <v>2226</v>
      </c>
    </row>
    <row r="349" spans="1:8" hidden="1">
      <c r="A349" s="1169"/>
      <c r="B349" s="1219"/>
      <c r="C349" s="1752" t="s">
        <v>2296</v>
      </c>
      <c r="D349" s="1156"/>
      <c r="E349" s="1221"/>
      <c r="F349" s="1221"/>
      <c r="G349" s="1220">
        <f>SUM(G347:G348)</f>
        <v>470.28</v>
      </c>
      <c r="H349" s="1205" t="s">
        <v>2226</v>
      </c>
    </row>
    <row r="350" spans="1:8" ht="51" hidden="1">
      <c r="A350" s="1156">
        <v>26</v>
      </c>
      <c r="B350" s="1218" t="s">
        <v>1346</v>
      </c>
      <c r="C350" s="1752" t="s">
        <v>1186</v>
      </c>
      <c r="D350" s="1212"/>
      <c r="E350" s="1212"/>
      <c r="F350" s="1212"/>
      <c r="G350" s="1218"/>
      <c r="H350" s="1205" t="s">
        <v>2226</v>
      </c>
    </row>
    <row r="351" spans="1:8" hidden="1">
      <c r="A351" s="1156"/>
      <c r="B351" s="1218"/>
      <c r="C351" s="1754" t="s">
        <v>84</v>
      </c>
      <c r="D351" s="1212"/>
      <c r="E351" s="1212"/>
      <c r="F351" s="1212"/>
      <c r="G351" s="1215"/>
      <c r="H351" s="1205" t="s">
        <v>2226</v>
      </c>
    </row>
    <row r="352" spans="1:8" hidden="1">
      <c r="A352" s="1156"/>
      <c r="B352" s="1218"/>
      <c r="C352" s="1754" t="s">
        <v>60</v>
      </c>
      <c r="D352" s="1212"/>
      <c r="E352" s="1212"/>
      <c r="F352" s="1212"/>
      <c r="G352" s="1215"/>
      <c r="H352" s="1205" t="s">
        <v>2226</v>
      </c>
    </row>
    <row r="353" spans="1:8" hidden="1">
      <c r="A353" s="1156"/>
      <c r="B353" s="1218"/>
      <c r="C353" s="1752" t="s">
        <v>33</v>
      </c>
      <c r="D353" s="1212" t="s">
        <v>4</v>
      </c>
      <c r="E353" s="1213">
        <v>59.4</v>
      </c>
      <c r="F353" s="1213">
        <f>'lead 19-20'!L8</f>
        <v>4700</v>
      </c>
      <c r="G353" s="1214">
        <f>ROUND(E353*F353/1000,2)</f>
        <v>279.18</v>
      </c>
      <c r="H353" s="1205" t="s">
        <v>2226</v>
      </c>
    </row>
    <row r="354" spans="1:8" hidden="1">
      <c r="A354" s="1156"/>
      <c r="B354" s="1218"/>
      <c r="C354" s="1752" t="s">
        <v>1194</v>
      </c>
      <c r="D354" s="1212" t="s">
        <v>35</v>
      </c>
      <c r="E354" s="1239">
        <v>1.1000000000000001</v>
      </c>
      <c r="F354" s="1213">
        <f>'lead 19-20'!L21</f>
        <v>865.79999999999973</v>
      </c>
      <c r="G354" s="1214">
        <f>ROUND(E354*F354,2)</f>
        <v>952.38</v>
      </c>
      <c r="H354" s="1205" t="s">
        <v>2226</v>
      </c>
    </row>
    <row r="355" spans="1:8" hidden="1">
      <c r="A355" s="1156"/>
      <c r="B355" s="1218"/>
      <c r="C355" s="1752" t="s">
        <v>1218</v>
      </c>
      <c r="D355" s="1212" t="s">
        <v>35</v>
      </c>
      <c r="E355" s="1213">
        <v>0.33</v>
      </c>
      <c r="F355" s="1213">
        <f>'lead 19-20'!L12</f>
        <v>1464.7999999999988</v>
      </c>
      <c r="G355" s="1214">
        <f>ROUND(E355*F355,2)</f>
        <v>483.38</v>
      </c>
      <c r="H355" s="1205" t="s">
        <v>2226</v>
      </c>
    </row>
    <row r="356" spans="1:8" hidden="1">
      <c r="A356" s="1212"/>
      <c r="B356" s="1212"/>
      <c r="C356" s="1754" t="s">
        <v>68</v>
      </c>
      <c r="D356" s="1212"/>
      <c r="E356" s="1213"/>
      <c r="F356" s="1213"/>
      <c r="G356" s="1214"/>
      <c r="H356" s="1205" t="s">
        <v>2226</v>
      </c>
    </row>
    <row r="357" spans="1:8" hidden="1">
      <c r="A357" s="1212"/>
      <c r="B357" s="1212"/>
      <c r="C357" s="1752" t="s">
        <v>64</v>
      </c>
      <c r="D357" s="1212" t="s">
        <v>27</v>
      </c>
      <c r="E357" s="1213">
        <v>1.2</v>
      </c>
      <c r="F357" s="1213">
        <f>'MINI SSR 19-20'!$H$3</f>
        <v>500</v>
      </c>
      <c r="G357" s="1214">
        <f>ROUND(E357*F357,2)</f>
        <v>600</v>
      </c>
      <c r="H357" s="1205" t="s">
        <v>2226</v>
      </c>
    </row>
    <row r="358" spans="1:8" hidden="1">
      <c r="A358" s="1212"/>
      <c r="B358" s="1212"/>
      <c r="C358" s="1752" t="s">
        <v>85</v>
      </c>
      <c r="D358" s="1212" t="s">
        <v>27</v>
      </c>
      <c r="E358" s="1213">
        <v>2</v>
      </c>
      <c r="F358" s="1213">
        <f>'MINI SSR 19-20'!$H$5</f>
        <v>420</v>
      </c>
      <c r="G358" s="1214">
        <f>ROUND(E358*F358,2)</f>
        <v>840</v>
      </c>
      <c r="H358" s="1205" t="s">
        <v>2226</v>
      </c>
    </row>
    <row r="359" spans="1:8" hidden="1">
      <c r="A359" s="1212"/>
      <c r="B359" s="1212"/>
      <c r="C359" s="1754" t="s">
        <v>86</v>
      </c>
      <c r="D359" s="1212"/>
      <c r="E359" s="1212"/>
      <c r="F359" s="1212"/>
      <c r="G359" s="1222">
        <f>SUM(G353:G358)</f>
        <v>3154.94</v>
      </c>
      <c r="H359" s="1205" t="s">
        <v>2226</v>
      </c>
    </row>
    <row r="360" spans="1:8" s="1575" customFormat="1" ht="142.5">
      <c r="A360" s="1570">
        <v>14</v>
      </c>
      <c r="B360" s="1664" t="s">
        <v>83</v>
      </c>
      <c r="C360" s="1753" t="s">
        <v>1300</v>
      </c>
      <c r="D360" s="1656"/>
      <c r="E360" s="1656"/>
      <c r="F360" s="1656"/>
      <c r="G360" s="1664"/>
      <c r="H360" s="1658" t="s">
        <v>2226</v>
      </c>
    </row>
    <row r="361" spans="1:8" s="1575" customFormat="1">
      <c r="A361" s="1570"/>
      <c r="B361" s="1664"/>
      <c r="C361" s="1755" t="s">
        <v>84</v>
      </c>
      <c r="D361" s="1656"/>
      <c r="E361" s="1656"/>
      <c r="F361" s="1656"/>
      <c r="G361" s="1661"/>
      <c r="H361" s="1658" t="s">
        <v>2226</v>
      </c>
    </row>
    <row r="362" spans="1:8" s="1575" customFormat="1">
      <c r="A362" s="1570"/>
      <c r="B362" s="1664"/>
      <c r="C362" s="1755" t="s">
        <v>60</v>
      </c>
      <c r="D362" s="1656"/>
      <c r="E362" s="1656"/>
      <c r="F362" s="1656"/>
      <c r="G362" s="1661"/>
      <c r="H362" s="1658" t="s">
        <v>2226</v>
      </c>
    </row>
    <row r="363" spans="1:8" s="1575" customFormat="1">
      <c r="A363" s="1570"/>
      <c r="B363" s="1664"/>
      <c r="C363" s="1753" t="s">
        <v>33</v>
      </c>
      <c r="D363" s="1656" t="s">
        <v>4</v>
      </c>
      <c r="E363" s="1659">
        <v>48</v>
      </c>
      <c r="F363" s="1659">
        <f>'lead 19-20'!L8</f>
        <v>4700</v>
      </c>
      <c r="G363" s="1660">
        <f>ROUND(E363*F363/1000,2)</f>
        <v>225.6</v>
      </c>
      <c r="H363" s="1658" t="s">
        <v>2226</v>
      </c>
    </row>
    <row r="364" spans="1:8" s="1575" customFormat="1">
      <c r="A364" s="1570"/>
      <c r="B364" s="1664"/>
      <c r="C364" s="1753" t="s">
        <v>1301</v>
      </c>
      <c r="D364" s="1656" t="s">
        <v>11</v>
      </c>
      <c r="E364" s="1670">
        <v>512</v>
      </c>
      <c r="F364" s="1659">
        <f>'lead 19-20'!L15</f>
        <v>6962.6000000000013</v>
      </c>
      <c r="G364" s="1660">
        <f>ROUND(E364*F364/1000,2)</f>
        <v>3564.85</v>
      </c>
      <c r="H364" s="1658" t="s">
        <v>2226</v>
      </c>
    </row>
    <row r="365" spans="1:8" s="1575" customFormat="1">
      <c r="A365" s="1570"/>
      <c r="B365" s="1664"/>
      <c r="C365" s="1753" t="s">
        <v>113</v>
      </c>
      <c r="D365" s="1656" t="s">
        <v>35</v>
      </c>
      <c r="E365" s="1659">
        <v>0.2</v>
      </c>
      <c r="F365" s="1659">
        <f>'lead 19-20'!L12</f>
        <v>1464.7999999999988</v>
      </c>
      <c r="G365" s="1660">
        <f>ROUND(E365*F365,2)</f>
        <v>292.95999999999998</v>
      </c>
      <c r="H365" s="1658" t="s">
        <v>2226</v>
      </c>
    </row>
    <row r="366" spans="1:8" s="1575" customFormat="1">
      <c r="A366" s="1656"/>
      <c r="B366" s="1656"/>
      <c r="C366" s="1755" t="s">
        <v>68</v>
      </c>
      <c r="D366" s="1656"/>
      <c r="E366" s="1659"/>
      <c r="F366" s="1659"/>
      <c r="G366" s="1660"/>
      <c r="H366" s="1658" t="s">
        <v>2226</v>
      </c>
    </row>
    <row r="367" spans="1:8" s="1575" customFormat="1">
      <c r="A367" s="1656"/>
      <c r="B367" s="1656"/>
      <c r="C367" s="1753" t="s">
        <v>64</v>
      </c>
      <c r="D367" s="1656" t="s">
        <v>27</v>
      </c>
      <c r="E367" s="1659">
        <v>0.24</v>
      </c>
      <c r="F367" s="1659">
        <f>'MINI SSR 19-20'!$H$3</f>
        <v>500</v>
      </c>
      <c r="G367" s="1660">
        <f>ROUND(E367*F367,2)</f>
        <v>120</v>
      </c>
      <c r="H367" s="1658" t="s">
        <v>2226</v>
      </c>
    </row>
    <row r="368" spans="1:8" s="1575" customFormat="1">
      <c r="A368" s="1656"/>
      <c r="B368" s="1656"/>
      <c r="C368" s="1753" t="s">
        <v>69</v>
      </c>
      <c r="D368" s="1656" t="s">
        <v>27</v>
      </c>
      <c r="E368" s="1659">
        <v>0.56000000000000005</v>
      </c>
      <c r="F368" s="1659">
        <f>'MINI SSR 19-20'!$H$4</f>
        <v>460</v>
      </c>
      <c r="G368" s="1660">
        <f>ROUND(E368*F368,2)</f>
        <v>257.60000000000002</v>
      </c>
      <c r="H368" s="1658" t="s">
        <v>2226</v>
      </c>
    </row>
    <row r="369" spans="1:8" s="1575" customFormat="1">
      <c r="A369" s="1656"/>
      <c r="B369" s="1656"/>
      <c r="C369" s="1753" t="s">
        <v>85</v>
      </c>
      <c r="D369" s="1656" t="s">
        <v>27</v>
      </c>
      <c r="E369" s="1659">
        <v>1.89</v>
      </c>
      <c r="F369" s="1659">
        <f>'MINI SSR 19-20'!$H$5</f>
        <v>420</v>
      </c>
      <c r="G369" s="1660">
        <f>ROUND(E369*F369,2)</f>
        <v>793.8</v>
      </c>
      <c r="H369" s="1658" t="s">
        <v>2226</v>
      </c>
    </row>
    <row r="370" spans="1:8" s="1575" customFormat="1">
      <c r="A370" s="1656"/>
      <c r="B370" s="1656"/>
      <c r="C370" s="1755" t="s">
        <v>86</v>
      </c>
      <c r="D370" s="1656"/>
      <c r="E370" s="1656"/>
      <c r="F370" s="1656"/>
      <c r="G370" s="1667">
        <f>SUM(G363:G369)</f>
        <v>5254.81</v>
      </c>
      <c r="H370" s="1658" t="s">
        <v>2226</v>
      </c>
    </row>
    <row r="371" spans="1:8" s="1575" customFormat="1">
      <c r="A371" s="1656"/>
      <c r="B371" s="1656"/>
      <c r="C371" s="1755"/>
      <c r="D371" s="1656"/>
      <c r="E371" s="1664" t="s">
        <v>161</v>
      </c>
      <c r="F371" s="1664" t="s">
        <v>162</v>
      </c>
      <c r="G371" s="1663" t="s">
        <v>163</v>
      </c>
      <c r="H371" s="1658" t="s">
        <v>2226</v>
      </c>
    </row>
    <row r="372" spans="1:8" s="1575" customFormat="1">
      <c r="A372" s="1656"/>
      <c r="B372" s="1656"/>
      <c r="C372" s="1755" t="s">
        <v>192</v>
      </c>
      <c r="D372" s="1656"/>
      <c r="E372" s="1659">
        <f>G370</f>
        <v>5254.81</v>
      </c>
      <c r="F372" s="1659">
        <f>E372</f>
        <v>5254.81</v>
      </c>
      <c r="G372" s="1661">
        <f>F372</f>
        <v>5254.81</v>
      </c>
      <c r="H372" s="1658" t="s">
        <v>2226</v>
      </c>
    </row>
    <row r="373" spans="1:8" s="1575" customFormat="1">
      <c r="A373" s="1656"/>
      <c r="B373" s="1656"/>
      <c r="C373" s="1753" t="s">
        <v>191</v>
      </c>
      <c r="D373" s="1668">
        <v>4.3499999999999996</v>
      </c>
      <c r="E373" s="1656">
        <f>ROUND(D373*'MINI SSR 19-20'!E30,2)</f>
        <v>44.89</v>
      </c>
      <c r="F373" s="1656">
        <f>E373</f>
        <v>44.89</v>
      </c>
      <c r="G373" s="1656">
        <f>E373</f>
        <v>44.89</v>
      </c>
      <c r="H373" s="1658" t="s">
        <v>2226</v>
      </c>
    </row>
    <row r="374" spans="1:8" s="1575" customFormat="1">
      <c r="A374" s="1656"/>
      <c r="B374" s="1656"/>
      <c r="C374" s="1753" t="s">
        <v>193</v>
      </c>
      <c r="D374" s="1668">
        <v>4.3499999999999996</v>
      </c>
      <c r="E374" s="1656">
        <f>ROUND(D374*'MINI SSR 19-20'!F30,2)</f>
        <v>345.65</v>
      </c>
      <c r="F374" s="1656">
        <f>ROUND(D374*'MINI SSR 19-20'!G30,2)</f>
        <v>494.94</v>
      </c>
      <c r="G374" s="1656">
        <f>ROUND(D374*'MINI SSR 19-20'!H30,2)</f>
        <v>644.19000000000005</v>
      </c>
      <c r="H374" s="1658" t="s">
        <v>2226</v>
      </c>
    </row>
    <row r="375" spans="1:8" s="1575" customFormat="1" ht="25.5">
      <c r="A375" s="1656"/>
      <c r="B375" s="1656"/>
      <c r="C375" s="1753" t="s">
        <v>1286</v>
      </c>
      <c r="D375" s="1656"/>
      <c r="E375" s="1656"/>
      <c r="F375" s="1659">
        <f>ROUND((G367+G368+G369+F374)*0.1,2)</f>
        <v>166.63</v>
      </c>
      <c r="G375" s="1659">
        <f>ROUND((G367+G368+G369+G374)*0.2,2)</f>
        <v>363.12</v>
      </c>
      <c r="H375" s="1658" t="s">
        <v>2226</v>
      </c>
    </row>
    <row r="376" spans="1:8" s="1575" customFormat="1">
      <c r="A376" s="1656"/>
      <c r="B376" s="1656"/>
      <c r="C376" s="1755" t="s">
        <v>86</v>
      </c>
      <c r="D376" s="1656"/>
      <c r="E376" s="1663">
        <f>SUM(E372:E375)</f>
        <v>5645.35</v>
      </c>
      <c r="F376" s="1663">
        <f>SUM(F372:F375)</f>
        <v>5961.27</v>
      </c>
      <c r="G376" s="1667">
        <f>SUM(G372:G375)</f>
        <v>6307.0100000000011</v>
      </c>
      <c r="H376" s="1658" t="s">
        <v>2226</v>
      </c>
    </row>
    <row r="377" spans="1:8" s="1575" customFormat="1" ht="142.5">
      <c r="A377" s="1570">
        <v>15</v>
      </c>
      <c r="B377" s="1664" t="s">
        <v>1347</v>
      </c>
      <c r="C377" s="1753" t="s">
        <v>1302</v>
      </c>
      <c r="D377" s="1656"/>
      <c r="E377" s="1656"/>
      <c r="F377" s="1656"/>
      <c r="G377" s="1664"/>
      <c r="H377" s="1658" t="s">
        <v>2226</v>
      </c>
    </row>
    <row r="378" spans="1:8" s="1575" customFormat="1">
      <c r="A378" s="1570"/>
      <c r="B378" s="1664"/>
      <c r="C378" s="1755" t="s">
        <v>84</v>
      </c>
      <c r="D378" s="1656"/>
      <c r="E378" s="1656"/>
      <c r="F378" s="1656"/>
      <c r="G378" s="1661"/>
      <c r="H378" s="1658" t="s">
        <v>2226</v>
      </c>
    </row>
    <row r="379" spans="1:8" s="1575" customFormat="1">
      <c r="A379" s="1570"/>
      <c r="B379" s="1664"/>
      <c r="C379" s="1755" t="s">
        <v>60</v>
      </c>
      <c r="D379" s="1656"/>
      <c r="E379" s="1656"/>
      <c r="F379" s="1656"/>
      <c r="G379" s="1661"/>
      <c r="H379" s="1658" t="s">
        <v>2226</v>
      </c>
    </row>
    <row r="380" spans="1:8" s="1575" customFormat="1">
      <c r="A380" s="1570"/>
      <c r="B380" s="1664"/>
      <c r="C380" s="1753" t="s">
        <v>33</v>
      </c>
      <c r="D380" s="1656" t="s">
        <v>4</v>
      </c>
      <c r="E380" s="1659">
        <v>36</v>
      </c>
      <c r="F380" s="1659">
        <f>'lead 19-20'!L8</f>
        <v>4700</v>
      </c>
      <c r="G380" s="1660">
        <f>ROUND(E380*F380/1000,2)</f>
        <v>169.2</v>
      </c>
      <c r="H380" s="1658" t="s">
        <v>2226</v>
      </c>
    </row>
    <row r="381" spans="1:8" s="1575" customFormat="1">
      <c r="A381" s="1570"/>
      <c r="B381" s="1664"/>
      <c r="C381" s="1753" t="s">
        <v>1301</v>
      </c>
      <c r="D381" s="1656" t="s">
        <v>11</v>
      </c>
      <c r="E381" s="1670">
        <v>512</v>
      </c>
      <c r="F381" s="1659">
        <f>'lead 19-20'!L15</f>
        <v>6962.6000000000013</v>
      </c>
      <c r="G381" s="1660">
        <f>ROUND(E381*F381/1000,2)</f>
        <v>3564.85</v>
      </c>
      <c r="H381" s="1658" t="s">
        <v>2226</v>
      </c>
    </row>
    <row r="382" spans="1:8" s="1575" customFormat="1">
      <c r="A382" s="1570"/>
      <c r="B382" s="1664"/>
      <c r="C382" s="1753" t="s">
        <v>113</v>
      </c>
      <c r="D382" s="1656" t="s">
        <v>35</v>
      </c>
      <c r="E382" s="1659">
        <v>0.2</v>
      </c>
      <c r="F382" s="1659">
        <f>'lead 19-20'!L12</f>
        <v>1464.7999999999988</v>
      </c>
      <c r="G382" s="1660">
        <f>ROUND(E382*F382,2)</f>
        <v>292.95999999999998</v>
      </c>
      <c r="H382" s="1658" t="s">
        <v>2226</v>
      </c>
    </row>
    <row r="383" spans="1:8" s="1575" customFormat="1">
      <c r="A383" s="1656"/>
      <c r="B383" s="1656"/>
      <c r="C383" s="1755" t="s">
        <v>68</v>
      </c>
      <c r="D383" s="1656"/>
      <c r="E383" s="1659"/>
      <c r="F383" s="1659"/>
      <c r="G383" s="1660"/>
      <c r="H383" s="1658" t="s">
        <v>2226</v>
      </c>
    </row>
    <row r="384" spans="1:8" s="1575" customFormat="1">
      <c r="A384" s="1656"/>
      <c r="B384" s="1656"/>
      <c r="C384" s="1753" t="s">
        <v>64</v>
      </c>
      <c r="D384" s="1656" t="s">
        <v>27</v>
      </c>
      <c r="E384" s="1659">
        <v>0.24</v>
      </c>
      <c r="F384" s="1659">
        <f>'MINI SSR 19-20'!$H$3</f>
        <v>500</v>
      </c>
      <c r="G384" s="1660">
        <f>ROUND(E384*F384,2)</f>
        <v>120</v>
      </c>
      <c r="H384" s="1658" t="s">
        <v>2226</v>
      </c>
    </row>
    <row r="385" spans="1:8" s="1575" customFormat="1">
      <c r="A385" s="1656"/>
      <c r="B385" s="1656"/>
      <c r="C385" s="1753" t="s">
        <v>69</v>
      </c>
      <c r="D385" s="1656" t="s">
        <v>27</v>
      </c>
      <c r="E385" s="1659">
        <v>0.56000000000000005</v>
      </c>
      <c r="F385" s="1659">
        <f>'MINI SSR 19-20'!$H$4</f>
        <v>460</v>
      </c>
      <c r="G385" s="1660">
        <f>ROUND(E385*F385,2)</f>
        <v>257.60000000000002</v>
      </c>
      <c r="H385" s="1658" t="s">
        <v>2226</v>
      </c>
    </row>
    <row r="386" spans="1:8" s="1575" customFormat="1">
      <c r="A386" s="1656"/>
      <c r="B386" s="1656"/>
      <c r="C386" s="1753" t="s">
        <v>85</v>
      </c>
      <c r="D386" s="1656" t="s">
        <v>27</v>
      </c>
      <c r="E386" s="1659">
        <v>1.89</v>
      </c>
      <c r="F386" s="1659">
        <f>'MINI SSR 19-20'!$H$5</f>
        <v>420</v>
      </c>
      <c r="G386" s="1660">
        <f>ROUND(E386*F386,2)</f>
        <v>793.8</v>
      </c>
      <c r="H386" s="1658" t="s">
        <v>2226</v>
      </c>
    </row>
    <row r="387" spans="1:8" s="1575" customFormat="1">
      <c r="A387" s="1656"/>
      <c r="B387" s="1656"/>
      <c r="C387" s="1755" t="s">
        <v>86</v>
      </c>
      <c r="D387" s="1656"/>
      <c r="E387" s="1656"/>
      <c r="F387" s="1656"/>
      <c r="G387" s="1667">
        <f>SUM(G380:G386)</f>
        <v>5198.4100000000008</v>
      </c>
      <c r="H387" s="1658" t="s">
        <v>2226</v>
      </c>
    </row>
    <row r="388" spans="1:8" s="1575" customFormat="1">
      <c r="A388" s="1656"/>
      <c r="B388" s="1656"/>
      <c r="C388" s="1755"/>
      <c r="D388" s="1656"/>
      <c r="E388" s="1664" t="s">
        <v>161</v>
      </c>
      <c r="F388" s="1664" t="s">
        <v>162</v>
      </c>
      <c r="G388" s="1663" t="s">
        <v>163</v>
      </c>
      <c r="H388" s="1658" t="s">
        <v>2226</v>
      </c>
    </row>
    <row r="389" spans="1:8" s="1575" customFormat="1">
      <c r="A389" s="1656"/>
      <c r="B389" s="1656"/>
      <c r="C389" s="1755" t="s">
        <v>192</v>
      </c>
      <c r="D389" s="1656"/>
      <c r="E389" s="1659">
        <f>G387</f>
        <v>5198.4100000000008</v>
      </c>
      <c r="F389" s="1659">
        <f>E389</f>
        <v>5198.4100000000008</v>
      </c>
      <c r="G389" s="1661">
        <f>F389</f>
        <v>5198.4100000000008</v>
      </c>
      <c r="H389" s="1658" t="s">
        <v>2226</v>
      </c>
    </row>
    <row r="390" spans="1:8" s="1575" customFormat="1">
      <c r="A390" s="1656"/>
      <c r="B390" s="1656"/>
      <c r="C390" s="1753" t="s">
        <v>191</v>
      </c>
      <c r="D390" s="1668">
        <v>4.3499999999999996</v>
      </c>
      <c r="E390" s="1656">
        <f>ROUND(D390*'MINI SSR 19-20'!E30,2)</f>
        <v>44.89</v>
      </c>
      <c r="F390" s="1656">
        <f>E390</f>
        <v>44.89</v>
      </c>
      <c r="G390" s="1656">
        <f>F390</f>
        <v>44.89</v>
      </c>
      <c r="H390" s="1658" t="s">
        <v>2226</v>
      </c>
    </row>
    <row r="391" spans="1:8" s="1575" customFormat="1">
      <c r="A391" s="1656"/>
      <c r="B391" s="1656"/>
      <c r="C391" s="1753" t="s">
        <v>193</v>
      </c>
      <c r="D391" s="1668">
        <v>4.3499999999999996</v>
      </c>
      <c r="E391" s="1656">
        <f>ROUND(D391*'MINI SSR 19-20'!F30,2)</f>
        <v>345.65</v>
      </c>
      <c r="F391" s="1656">
        <f>ROUND(D391*'MINI SSR 19-20'!G30,2)</f>
        <v>494.94</v>
      </c>
      <c r="G391" s="1656">
        <f>ROUND(D391*'MINI SSR 19-20'!H30,2)</f>
        <v>644.19000000000005</v>
      </c>
      <c r="H391" s="1658" t="s">
        <v>2226</v>
      </c>
    </row>
    <row r="392" spans="1:8" s="1575" customFormat="1" ht="25.5">
      <c r="A392" s="1656"/>
      <c r="B392" s="1656"/>
      <c r="C392" s="1753" t="s">
        <v>1286</v>
      </c>
      <c r="D392" s="1656"/>
      <c r="E392" s="1656"/>
      <c r="F392" s="1659">
        <f>ROUND((G384+G385+G386+F391)*0.1,2)</f>
        <v>166.63</v>
      </c>
      <c r="G392" s="1659">
        <f>ROUND((G384+G385+G386+G391)*0.2,2)</f>
        <v>363.12</v>
      </c>
      <c r="H392" s="1658" t="s">
        <v>2226</v>
      </c>
    </row>
    <row r="393" spans="1:8" s="1575" customFormat="1">
      <c r="A393" s="1656"/>
      <c r="B393" s="1656"/>
      <c r="C393" s="1755" t="s">
        <v>86</v>
      </c>
      <c r="D393" s="1656"/>
      <c r="E393" s="1663">
        <f>SUM(E389:E392)</f>
        <v>5588.9500000000007</v>
      </c>
      <c r="F393" s="1663">
        <f>SUM(F389:F392)</f>
        <v>5904.8700000000008</v>
      </c>
      <c r="G393" s="1667">
        <f>SUM(G389:G392)</f>
        <v>6250.6100000000015</v>
      </c>
      <c r="H393" s="1658" t="s">
        <v>2226</v>
      </c>
    </row>
    <row r="394" spans="1:8" s="1575" customFormat="1" ht="102">
      <c r="A394" s="1570">
        <v>16</v>
      </c>
      <c r="B394" s="1664" t="s">
        <v>221</v>
      </c>
      <c r="C394" s="1753" t="s">
        <v>3636</v>
      </c>
      <c r="D394" s="1656"/>
      <c r="E394" s="1656"/>
      <c r="F394" s="1656"/>
      <c r="G394" s="1664"/>
      <c r="H394" s="1658" t="s">
        <v>2226</v>
      </c>
    </row>
    <row r="395" spans="1:8" s="1575" customFormat="1">
      <c r="A395" s="1570"/>
      <c r="B395" s="1664"/>
      <c r="C395" s="1755" t="s">
        <v>222</v>
      </c>
      <c r="D395" s="1656"/>
      <c r="E395" s="1656"/>
      <c r="F395" s="1656"/>
      <c r="G395" s="1661"/>
      <c r="H395" s="1658" t="s">
        <v>2226</v>
      </c>
    </row>
    <row r="396" spans="1:8" s="1575" customFormat="1">
      <c r="A396" s="1570"/>
      <c r="B396" s="1664"/>
      <c r="C396" s="1755" t="s">
        <v>60</v>
      </c>
      <c r="D396" s="1656"/>
      <c r="E396" s="1656"/>
      <c r="F396" s="1656"/>
      <c r="G396" s="1661"/>
      <c r="H396" s="1658" t="s">
        <v>2226</v>
      </c>
    </row>
    <row r="397" spans="1:8" s="1575" customFormat="1">
      <c r="A397" s="1570"/>
      <c r="B397" s="1664"/>
      <c r="C397" s="1753" t="s">
        <v>33</v>
      </c>
      <c r="D397" s="1656" t="s">
        <v>4</v>
      </c>
      <c r="E397" s="1659">
        <v>72</v>
      </c>
      <c r="F397" s="1659">
        <f>'lead 19-20'!L8</f>
        <v>4700</v>
      </c>
      <c r="G397" s="1660">
        <f>ROUND(E397*F397/1000,2)</f>
        <v>338.4</v>
      </c>
      <c r="H397" s="1658" t="s">
        <v>2226</v>
      </c>
    </row>
    <row r="398" spans="1:8" s="1575" customFormat="1">
      <c r="A398" s="1570"/>
      <c r="B398" s="1664"/>
      <c r="C398" s="1753" t="s">
        <v>1303</v>
      </c>
      <c r="D398" s="1656" t="s">
        <v>11</v>
      </c>
      <c r="E398" s="1670">
        <v>565</v>
      </c>
      <c r="F398" s="1659">
        <f>'lead 19-20'!L15</f>
        <v>6962.6000000000013</v>
      </c>
      <c r="G398" s="1660">
        <f>ROUND(E398*F398/1000,2)</f>
        <v>3933.87</v>
      </c>
      <c r="H398" s="1658" t="s">
        <v>2226</v>
      </c>
    </row>
    <row r="399" spans="1:8" s="1575" customFormat="1">
      <c r="A399" s="1570"/>
      <c r="B399" s="1664"/>
      <c r="C399" s="1753" t="s">
        <v>113</v>
      </c>
      <c r="D399" s="1656" t="s">
        <v>35</v>
      </c>
      <c r="E399" s="1659">
        <v>0.22</v>
      </c>
      <c r="F399" s="1659">
        <f>'lead 19-20'!L12</f>
        <v>1464.7999999999988</v>
      </c>
      <c r="G399" s="1660">
        <f>ROUND(E399*F399,2)</f>
        <v>322.26</v>
      </c>
      <c r="H399" s="1658" t="s">
        <v>2226</v>
      </c>
    </row>
    <row r="400" spans="1:8" s="1575" customFormat="1">
      <c r="A400" s="1656"/>
      <c r="B400" s="1656"/>
      <c r="C400" s="1755" t="s">
        <v>68</v>
      </c>
      <c r="D400" s="1656"/>
      <c r="E400" s="1659"/>
      <c r="F400" s="1659"/>
      <c r="G400" s="1660"/>
      <c r="H400" s="1658" t="s">
        <v>2226</v>
      </c>
    </row>
    <row r="401" spans="1:8" s="1575" customFormat="1">
      <c r="A401" s="1656"/>
      <c r="B401" s="1656"/>
      <c r="C401" s="1753" t="s">
        <v>64</v>
      </c>
      <c r="D401" s="1656" t="s">
        <v>27</v>
      </c>
      <c r="E401" s="1659">
        <v>0.6</v>
      </c>
      <c r="F401" s="1659">
        <f>'MINI SSR 19-20'!$H$3</f>
        <v>500</v>
      </c>
      <c r="G401" s="1660">
        <f>ROUND(E401*F401,2)</f>
        <v>300</v>
      </c>
      <c r="H401" s="1658" t="s">
        <v>2226</v>
      </c>
    </row>
    <row r="402" spans="1:8" s="1575" customFormat="1">
      <c r="A402" s="1656"/>
      <c r="B402" s="1656"/>
      <c r="C402" s="1753" t="s">
        <v>69</v>
      </c>
      <c r="D402" s="1656" t="s">
        <v>27</v>
      </c>
      <c r="E402" s="1659">
        <v>0.6</v>
      </c>
      <c r="F402" s="1659">
        <f>'MINI SSR 19-20'!$H$4</f>
        <v>460</v>
      </c>
      <c r="G402" s="1660">
        <f>ROUND(E402*F402,2)</f>
        <v>276</v>
      </c>
      <c r="H402" s="1658" t="s">
        <v>2226</v>
      </c>
    </row>
    <row r="403" spans="1:8" s="1575" customFormat="1">
      <c r="A403" s="1656"/>
      <c r="B403" s="1656"/>
      <c r="C403" s="1753" t="s">
        <v>85</v>
      </c>
      <c r="D403" s="1656" t="s">
        <v>27</v>
      </c>
      <c r="E403" s="1659">
        <v>2.75</v>
      </c>
      <c r="F403" s="1659">
        <f>'MINI SSR 19-20'!$H$5</f>
        <v>420</v>
      </c>
      <c r="G403" s="1660">
        <f>ROUND(E403*F403,2)</f>
        <v>1155</v>
      </c>
      <c r="H403" s="1658" t="s">
        <v>2226</v>
      </c>
    </row>
    <row r="404" spans="1:8" s="1575" customFormat="1">
      <c r="A404" s="1656"/>
      <c r="B404" s="1656"/>
      <c r="C404" s="1755" t="s">
        <v>88</v>
      </c>
      <c r="D404" s="1656"/>
      <c r="E404" s="1659"/>
      <c r="F404" s="1659"/>
      <c r="G404" s="1660">
        <f>SUM(G397:G403)</f>
        <v>6325.53</v>
      </c>
      <c r="H404" s="1658" t="s">
        <v>2226</v>
      </c>
    </row>
    <row r="405" spans="1:8" s="1575" customFormat="1">
      <c r="A405" s="1656"/>
      <c r="B405" s="1656"/>
      <c r="C405" s="1755"/>
      <c r="D405" s="1656"/>
      <c r="E405" s="1664" t="s">
        <v>161</v>
      </c>
      <c r="F405" s="1663" t="s">
        <v>162</v>
      </c>
      <c r="G405" s="1663" t="s">
        <v>163</v>
      </c>
      <c r="H405" s="1658" t="s">
        <v>2226</v>
      </c>
    </row>
    <row r="406" spans="1:8" s="1575" customFormat="1">
      <c r="A406" s="1656"/>
      <c r="B406" s="1656"/>
      <c r="C406" s="1755" t="s">
        <v>192</v>
      </c>
      <c r="D406" s="1656"/>
      <c r="E406" s="1659">
        <f>G404</f>
        <v>6325.53</v>
      </c>
      <c r="F406" s="1661">
        <f>G404</f>
        <v>6325.53</v>
      </c>
      <c r="G406" s="1661">
        <f>G404</f>
        <v>6325.53</v>
      </c>
      <c r="H406" s="1658" t="s">
        <v>2226</v>
      </c>
    </row>
    <row r="407" spans="1:8" s="1575" customFormat="1">
      <c r="A407" s="1656"/>
      <c r="B407" s="1656"/>
      <c r="C407" s="1753" t="s">
        <v>1649</v>
      </c>
      <c r="D407" s="1668">
        <v>8.6999999999999993</v>
      </c>
      <c r="E407" s="1656">
        <f>ROUND(D407*'MINI SSR 19-20'!E30,2)</f>
        <v>89.78</v>
      </c>
      <c r="F407" s="1669">
        <f>E407</f>
        <v>89.78</v>
      </c>
      <c r="G407" s="1669">
        <f>F407</f>
        <v>89.78</v>
      </c>
      <c r="H407" s="1658" t="s">
        <v>2226</v>
      </c>
    </row>
    <row r="408" spans="1:8" s="1575" customFormat="1">
      <c r="A408" s="1656"/>
      <c r="B408" s="1656"/>
      <c r="C408" s="1753" t="s">
        <v>1650</v>
      </c>
      <c r="D408" s="1668">
        <v>8.6999999999999993</v>
      </c>
      <c r="E408" s="1659">
        <f>8.7*'MINI SSR 19-20'!F30</f>
        <v>691.30199999999991</v>
      </c>
      <c r="F408" s="1659">
        <f>8.7*'MINI SSR 19-20'!G30</f>
        <v>989.88599999999997</v>
      </c>
      <c r="G408" s="1659">
        <f>8.7*'MINI SSR 19-20'!H30</f>
        <v>1288.3829999999998</v>
      </c>
      <c r="H408" s="1658" t="s">
        <v>2226</v>
      </c>
    </row>
    <row r="409" spans="1:8" s="1575" customFormat="1" ht="25.5">
      <c r="A409" s="1656"/>
      <c r="B409" s="1656"/>
      <c r="C409" s="1753" t="s">
        <v>1286</v>
      </c>
      <c r="D409" s="1656"/>
      <c r="E409" s="1656"/>
      <c r="F409" s="1675">
        <f>(SUM(G401:G403)+F408)*10%</f>
        <v>272.08859999999999</v>
      </c>
      <c r="G409" s="1675">
        <f>(SUM(G401:G403)+G408)*20%</f>
        <v>603.87659999999994</v>
      </c>
      <c r="H409" s="1658" t="s">
        <v>2226</v>
      </c>
    </row>
    <row r="410" spans="1:8" s="1575" customFormat="1">
      <c r="A410" s="1656"/>
      <c r="B410" s="1656"/>
      <c r="C410" s="1755" t="s">
        <v>900</v>
      </c>
      <c r="D410" s="1656"/>
      <c r="E410" s="1663">
        <f>SUM(E406:E409)</f>
        <v>7106.6119999999992</v>
      </c>
      <c r="F410" s="1667">
        <f>SUM(F406:F409)</f>
        <v>7677.2846</v>
      </c>
      <c r="G410" s="1667">
        <f>SUM(G406:G409)</f>
        <v>8307.5695999999989</v>
      </c>
      <c r="H410" s="1658" t="s">
        <v>2226</v>
      </c>
    </row>
    <row r="411" spans="1:8" s="1575" customFormat="1">
      <c r="A411" s="1656"/>
      <c r="B411" s="1656"/>
      <c r="C411" s="1755" t="s">
        <v>121</v>
      </c>
      <c r="D411" s="1656"/>
      <c r="E411" s="1663">
        <f>ROUND(E410/10,2)</f>
        <v>710.66</v>
      </c>
      <c r="F411" s="1667">
        <f>ROUND(F410/10,2)</f>
        <v>767.73</v>
      </c>
      <c r="G411" s="1667">
        <f>ROUND(G410/10,2)</f>
        <v>830.76</v>
      </c>
      <c r="H411" s="1658" t="s">
        <v>2226</v>
      </c>
    </row>
    <row r="412" spans="1:8" ht="127.5" hidden="1">
      <c r="A412" s="1156">
        <v>30</v>
      </c>
      <c r="B412" s="1218" t="s">
        <v>1319</v>
      </c>
      <c r="C412" s="1752" t="s">
        <v>1195</v>
      </c>
      <c r="D412" s="1212"/>
      <c r="E412" s="1212"/>
      <c r="F412" s="1212"/>
      <c r="G412" s="1218"/>
      <c r="H412" s="1205" t="s">
        <v>2226</v>
      </c>
    </row>
    <row r="413" spans="1:8" hidden="1">
      <c r="A413" s="1156"/>
      <c r="B413" s="1218"/>
      <c r="C413" s="1754" t="s">
        <v>84</v>
      </c>
      <c r="D413" s="1212"/>
      <c r="E413" s="1212"/>
      <c r="F413" s="1212"/>
      <c r="G413" s="1215"/>
      <c r="H413" s="1205" t="s">
        <v>2226</v>
      </c>
    </row>
    <row r="414" spans="1:8" hidden="1">
      <c r="A414" s="1156"/>
      <c r="B414" s="1218"/>
      <c r="C414" s="1754" t="s">
        <v>60</v>
      </c>
      <c r="D414" s="1212"/>
      <c r="E414" s="1212"/>
      <c r="F414" s="1212"/>
      <c r="G414" s="1215"/>
      <c r="H414" s="1205" t="s">
        <v>2226</v>
      </c>
    </row>
    <row r="415" spans="1:8" ht="25.5" hidden="1">
      <c r="A415" s="1156"/>
      <c r="B415" s="1218"/>
      <c r="C415" s="1752" t="s">
        <v>1198</v>
      </c>
      <c r="D415" s="1212" t="s">
        <v>11</v>
      </c>
      <c r="E415" s="1240">
        <v>110</v>
      </c>
      <c r="F415" s="1213">
        <f>'MINI SSR 19-20'!C27</f>
        <v>25</v>
      </c>
      <c r="G415" s="1214">
        <f>ROUND(E415*F415,2)</f>
        <v>2750</v>
      </c>
      <c r="H415" s="1205" t="s">
        <v>2226</v>
      </c>
    </row>
    <row r="416" spans="1:8" hidden="1">
      <c r="A416" s="1156"/>
      <c r="B416" s="1218"/>
      <c r="C416" s="1752" t="s">
        <v>1196</v>
      </c>
      <c r="D416" s="1212" t="s">
        <v>35</v>
      </c>
      <c r="E416" s="1213">
        <v>0.1</v>
      </c>
      <c r="F416" s="1213">
        <f>G27</f>
        <v>2750.04</v>
      </c>
      <c r="G416" s="1214">
        <f>ROUND(E416*F416,2)</f>
        <v>275</v>
      </c>
      <c r="H416" s="1205" t="s">
        <v>2226</v>
      </c>
    </row>
    <row r="417" spans="1:8" hidden="1">
      <c r="A417" s="1212"/>
      <c r="B417" s="1212"/>
      <c r="C417" s="1754" t="s">
        <v>68</v>
      </c>
      <c r="D417" s="1212"/>
      <c r="E417" s="1213"/>
      <c r="F417" s="1213"/>
      <c r="G417" s="1214"/>
      <c r="H417" s="1205" t="s">
        <v>2226</v>
      </c>
    </row>
    <row r="418" spans="1:8" hidden="1">
      <c r="A418" s="1212"/>
      <c r="B418" s="1212"/>
      <c r="C418" s="1752" t="s">
        <v>64</v>
      </c>
      <c r="D418" s="1212" t="s">
        <v>27</v>
      </c>
      <c r="E418" s="1213">
        <v>0.42</v>
      </c>
      <c r="F418" s="1213">
        <f>'MINI SSR 19-20'!$H$3</f>
        <v>500</v>
      </c>
      <c r="G418" s="1214">
        <f>ROUND(E418*F418,2)</f>
        <v>210</v>
      </c>
      <c r="H418" s="1205" t="s">
        <v>2226</v>
      </c>
    </row>
    <row r="419" spans="1:8" hidden="1">
      <c r="A419" s="1212"/>
      <c r="B419" s="1212"/>
      <c r="C419" s="1752" t="s">
        <v>69</v>
      </c>
      <c r="D419" s="1212" t="s">
        <v>27</v>
      </c>
      <c r="E419" s="1213">
        <v>0.92</v>
      </c>
      <c r="F419" s="1213">
        <f>'MINI SSR 19-20'!$H$4</f>
        <v>460</v>
      </c>
      <c r="G419" s="1214">
        <f>ROUND(E419*F419,2)</f>
        <v>423.2</v>
      </c>
      <c r="H419" s="1205" t="s">
        <v>2226</v>
      </c>
    </row>
    <row r="420" spans="1:8" hidden="1">
      <c r="A420" s="1212"/>
      <c r="B420" s="1212"/>
      <c r="C420" s="1752" t="s">
        <v>375</v>
      </c>
      <c r="D420" s="1212" t="s">
        <v>27</v>
      </c>
      <c r="E420" s="1213">
        <v>0.7</v>
      </c>
      <c r="F420" s="1213">
        <f>'MINI SSR 19-20'!$H$5</f>
        <v>420</v>
      </c>
      <c r="G420" s="1214">
        <f>ROUND(E420*F420,2)</f>
        <v>294</v>
      </c>
      <c r="H420" s="1205" t="s">
        <v>2226</v>
      </c>
    </row>
    <row r="421" spans="1:8" hidden="1">
      <c r="A421" s="1212"/>
      <c r="B421" s="1212"/>
      <c r="C421" s="1752" t="s">
        <v>1197</v>
      </c>
      <c r="D421" s="1212" t="s">
        <v>27</v>
      </c>
      <c r="E421" s="1213">
        <v>2.1</v>
      </c>
      <c r="F421" s="1213">
        <f>'MINI SSR 19-20'!$H$5</f>
        <v>420</v>
      </c>
      <c r="G421" s="1214">
        <f>ROUND(E421*F421,2)</f>
        <v>882</v>
      </c>
      <c r="H421" s="1205" t="s">
        <v>2226</v>
      </c>
    </row>
    <row r="422" spans="1:8" hidden="1">
      <c r="A422" s="1212"/>
      <c r="B422" s="1212"/>
      <c r="C422" s="1754" t="s">
        <v>86</v>
      </c>
      <c r="D422" s="1212"/>
      <c r="E422" s="1212"/>
      <c r="F422" s="1212"/>
      <c r="G422" s="1222">
        <f>SUM(G415:G421)</f>
        <v>4834.2</v>
      </c>
      <c r="H422" s="1205" t="s">
        <v>2226</v>
      </c>
    </row>
    <row r="423" spans="1:8" hidden="1">
      <c r="A423" s="1212"/>
      <c r="B423" s="1212"/>
      <c r="C423" s="1754"/>
      <c r="D423" s="1212"/>
      <c r="E423" s="1218" t="s">
        <v>161</v>
      </c>
      <c r="F423" s="1217" t="s">
        <v>162</v>
      </c>
      <c r="G423" s="1217" t="s">
        <v>163</v>
      </c>
      <c r="H423" s="1205" t="s">
        <v>2226</v>
      </c>
    </row>
    <row r="424" spans="1:8" hidden="1">
      <c r="A424" s="1212"/>
      <c r="B424" s="1212"/>
      <c r="C424" s="1754" t="s">
        <v>192</v>
      </c>
      <c r="D424" s="1212"/>
      <c r="E424" s="1213">
        <f>G422</f>
        <v>4834.2</v>
      </c>
      <c r="F424" s="1215">
        <f>G422</f>
        <v>4834.2</v>
      </c>
      <c r="G424" s="1215">
        <f>G422*1</f>
        <v>4834.2</v>
      </c>
      <c r="H424" s="1205" t="s">
        <v>2226</v>
      </c>
    </row>
    <row r="425" spans="1:8" hidden="1">
      <c r="A425" s="1212"/>
      <c r="B425" s="1212"/>
      <c r="C425" s="1752" t="s">
        <v>1651</v>
      </c>
      <c r="D425" s="1223">
        <v>4.3499999999999996</v>
      </c>
      <c r="E425" s="1212">
        <f>ROUND(10.32*D425,2)</f>
        <v>44.89</v>
      </c>
      <c r="F425" s="1225">
        <f>E425</f>
        <v>44.89</v>
      </c>
      <c r="G425" s="1225">
        <f>F425</f>
        <v>44.89</v>
      </c>
      <c r="H425" s="1205" t="s">
        <v>2226</v>
      </c>
    </row>
    <row r="426" spans="1:8" hidden="1">
      <c r="A426" s="1212"/>
      <c r="B426" s="1212"/>
      <c r="C426" s="1752" t="s">
        <v>1652</v>
      </c>
      <c r="D426" s="1223">
        <v>4.3499999999999996</v>
      </c>
      <c r="E426" s="1212">
        <f>ROUND('MINI SSR 19-20'!F30*$D$426,2)</f>
        <v>345.65</v>
      </c>
      <c r="F426" s="1212">
        <f>ROUND('MINI SSR 19-20'!G30*$D$426,2)</f>
        <v>494.94</v>
      </c>
      <c r="G426" s="1212">
        <f>ROUND('MINI SSR 19-20'!H30*$D$426,2)</f>
        <v>644.19000000000005</v>
      </c>
      <c r="H426" s="1205" t="s">
        <v>2226</v>
      </c>
    </row>
    <row r="427" spans="1:8" ht="25.5" hidden="1">
      <c r="A427" s="1212"/>
      <c r="B427" s="1212"/>
      <c r="C427" s="1752" t="s">
        <v>1286</v>
      </c>
      <c r="D427" s="1212"/>
      <c r="E427" s="1212"/>
      <c r="F427" s="1225">
        <f>ROUND((G418+G419+G421+G420+F426)*0.1,2)</f>
        <v>230.41</v>
      </c>
      <c r="G427" s="1225">
        <f>ROUND((G418+G419+G421+G420+G426)*0.2,2)</f>
        <v>490.68</v>
      </c>
      <c r="H427" s="1205" t="s">
        <v>2226</v>
      </c>
    </row>
    <row r="428" spans="1:8" hidden="1">
      <c r="A428" s="1212"/>
      <c r="B428" s="1212"/>
      <c r="C428" s="1754" t="s">
        <v>86</v>
      </c>
      <c r="D428" s="1212"/>
      <c r="E428" s="1217">
        <f>SUM(E424:E427)</f>
        <v>5224.74</v>
      </c>
      <c r="F428" s="1222">
        <f>SUM(F424:F427)</f>
        <v>5604.44</v>
      </c>
      <c r="G428" s="1222">
        <f>SUM(G424:G427)</f>
        <v>6013.9600000000009</v>
      </c>
      <c r="H428" s="1205" t="s">
        <v>2226</v>
      </c>
    </row>
    <row r="429" spans="1:8" s="1575" customFormat="1" ht="89.25">
      <c r="A429" s="1570">
        <v>17</v>
      </c>
      <c r="B429" s="1664" t="s">
        <v>87</v>
      </c>
      <c r="C429" s="1753" t="s">
        <v>1304</v>
      </c>
      <c r="D429" s="1656"/>
      <c r="E429" s="1656"/>
      <c r="F429" s="1656"/>
      <c r="G429" s="1664"/>
      <c r="H429" s="1658" t="s">
        <v>2226</v>
      </c>
    </row>
    <row r="430" spans="1:8" s="1575" customFormat="1">
      <c r="A430" s="1570"/>
      <c r="B430" s="1664"/>
      <c r="C430" s="1755" t="s">
        <v>42</v>
      </c>
      <c r="D430" s="1656"/>
      <c r="E430" s="1656"/>
      <c r="F430" s="1656"/>
      <c r="G430" s="1661"/>
      <c r="H430" s="1658" t="s">
        <v>2226</v>
      </c>
    </row>
    <row r="431" spans="1:8" s="1575" customFormat="1">
      <c r="A431" s="1570"/>
      <c r="B431" s="1664"/>
      <c r="C431" s="1755" t="s">
        <v>60</v>
      </c>
      <c r="D431" s="1664"/>
      <c r="E431" s="1664"/>
      <c r="F431" s="1664"/>
      <c r="G431" s="1661"/>
      <c r="H431" s="1658" t="s">
        <v>2226</v>
      </c>
    </row>
    <row r="432" spans="1:8" s="1575" customFormat="1">
      <c r="A432" s="1570"/>
      <c r="B432" s="1664"/>
      <c r="C432" s="1753" t="s">
        <v>43</v>
      </c>
      <c r="D432" s="1656" t="s">
        <v>35</v>
      </c>
      <c r="E432" s="1659">
        <v>0.15</v>
      </c>
      <c r="F432" s="1659">
        <f>G12</f>
        <v>3878.04</v>
      </c>
      <c r="G432" s="1660">
        <f>ROUND(E432*F432,2)</f>
        <v>581.71</v>
      </c>
      <c r="H432" s="1658" t="s">
        <v>2226</v>
      </c>
    </row>
    <row r="433" spans="1:8" s="1575" customFormat="1">
      <c r="A433" s="1656"/>
      <c r="B433" s="1656"/>
      <c r="C433" s="1755" t="s">
        <v>68</v>
      </c>
      <c r="D433" s="1656"/>
      <c r="E433" s="1659"/>
      <c r="F433" s="1659"/>
      <c r="G433" s="1660"/>
      <c r="H433" s="1658" t="s">
        <v>2226</v>
      </c>
    </row>
    <row r="434" spans="1:8" s="1575" customFormat="1">
      <c r="A434" s="1656"/>
      <c r="B434" s="1656"/>
      <c r="C434" s="1753" t="s">
        <v>64</v>
      </c>
      <c r="D434" s="1656" t="s">
        <v>27</v>
      </c>
      <c r="E434" s="1659">
        <v>0.45</v>
      </c>
      <c r="F434" s="1659">
        <f>'MINI SSR 19-20'!$H$3</f>
        <v>500</v>
      </c>
      <c r="G434" s="1660">
        <f>ROUND(E434*F434,2)</f>
        <v>225</v>
      </c>
      <c r="H434" s="1658" t="s">
        <v>2226</v>
      </c>
    </row>
    <row r="435" spans="1:8" s="1575" customFormat="1">
      <c r="A435" s="1656"/>
      <c r="B435" s="1656"/>
      <c r="C435" s="1753" t="s">
        <v>69</v>
      </c>
      <c r="D435" s="1656" t="s">
        <v>27</v>
      </c>
      <c r="E435" s="1659">
        <v>1.05</v>
      </c>
      <c r="F435" s="1659">
        <f>'MINI SSR 19-20'!$H$4</f>
        <v>460</v>
      </c>
      <c r="G435" s="1660">
        <f>ROUND(E435*F435,2)</f>
        <v>483</v>
      </c>
      <c r="H435" s="1658" t="s">
        <v>2226</v>
      </c>
    </row>
    <row r="436" spans="1:8" s="1575" customFormat="1">
      <c r="A436" s="1656"/>
      <c r="B436" s="1656"/>
      <c r="C436" s="1753" t="s">
        <v>85</v>
      </c>
      <c r="D436" s="1656" t="s">
        <v>27</v>
      </c>
      <c r="E436" s="1659">
        <v>2.8</v>
      </c>
      <c r="F436" s="1659">
        <f>'MINI SSR 19-20'!$H$5</f>
        <v>420</v>
      </c>
      <c r="G436" s="1660">
        <f>ROUND(E436*F436,2)</f>
        <v>1176</v>
      </c>
      <c r="H436" s="1658" t="s">
        <v>2226</v>
      </c>
    </row>
    <row r="437" spans="1:8" s="1575" customFormat="1">
      <c r="A437" s="1656"/>
      <c r="B437" s="1656"/>
      <c r="C437" s="1755" t="s">
        <v>88</v>
      </c>
      <c r="D437" s="1656"/>
      <c r="E437" s="1656"/>
      <c r="F437" s="1656"/>
      <c r="G437" s="1666">
        <f>SUM(G432:G436)</f>
        <v>2465.71</v>
      </c>
      <c r="H437" s="1658" t="s">
        <v>2226</v>
      </c>
    </row>
    <row r="438" spans="1:8" s="1575" customFormat="1">
      <c r="A438" s="1656"/>
      <c r="B438" s="1656"/>
      <c r="C438" s="1755"/>
      <c r="D438" s="1656"/>
      <c r="E438" s="1664" t="s">
        <v>161</v>
      </c>
      <c r="F438" s="1664" t="s">
        <v>162</v>
      </c>
      <c r="G438" s="1663" t="s">
        <v>163</v>
      </c>
      <c r="H438" s="1658" t="s">
        <v>2226</v>
      </c>
    </row>
    <row r="439" spans="1:8" s="1575" customFormat="1">
      <c r="A439" s="1656"/>
      <c r="B439" s="1656"/>
      <c r="C439" s="1755" t="s">
        <v>1274</v>
      </c>
      <c r="D439" s="1656"/>
      <c r="E439" s="1659">
        <f>G437</f>
        <v>2465.71</v>
      </c>
      <c r="F439" s="1659">
        <f>G437</f>
        <v>2465.71</v>
      </c>
      <c r="G439" s="1661">
        <f>G437</f>
        <v>2465.71</v>
      </c>
      <c r="H439" s="1658" t="s">
        <v>2226</v>
      </c>
    </row>
    <row r="440" spans="1:8" s="1575" customFormat="1">
      <c r="A440" s="1656"/>
      <c r="B440" s="1656"/>
      <c r="C440" s="1753" t="s">
        <v>1653</v>
      </c>
      <c r="D440" s="1659">
        <v>10</v>
      </c>
      <c r="E440" s="1659">
        <f>ROUND(D440*'MINI SSR 19-20'!E33,2)</f>
        <v>24.6</v>
      </c>
      <c r="F440" s="1659">
        <f>E440</f>
        <v>24.6</v>
      </c>
      <c r="G440" s="1661">
        <f>E440</f>
        <v>24.6</v>
      </c>
      <c r="H440" s="1658" t="s">
        <v>2226</v>
      </c>
    </row>
    <row r="441" spans="1:8" s="1575" customFormat="1">
      <c r="A441" s="1656"/>
      <c r="B441" s="1656"/>
      <c r="C441" s="1753" t="s">
        <v>1654</v>
      </c>
      <c r="D441" s="1659">
        <v>10</v>
      </c>
      <c r="E441" s="1659">
        <f>ROUND(D441*'MINI SSR 19-20'!F33,2)</f>
        <v>159.1</v>
      </c>
      <c r="F441" s="1659">
        <f>ROUND(D441*'MINI SSR 19-20'!G33,2)</f>
        <v>225.7</v>
      </c>
      <c r="G441" s="1661">
        <f>ROUND(D441*'MINI SSR 19-20'!H33,2)</f>
        <v>292.3</v>
      </c>
      <c r="H441" s="1658" t="s">
        <v>2226</v>
      </c>
    </row>
    <row r="442" spans="1:8" s="1575" customFormat="1" ht="25.5">
      <c r="A442" s="1656"/>
      <c r="B442" s="1656"/>
      <c r="C442" s="1753" t="s">
        <v>1286</v>
      </c>
      <c r="D442" s="1656"/>
      <c r="E442" s="1656"/>
      <c r="F442" s="1659">
        <f>ROUND((G434+G435+G436+F441)*0.1,2)</f>
        <v>210.97</v>
      </c>
      <c r="G442" s="1661">
        <f>ROUND((G434+G435+G436+G441)*0.2,2)</f>
        <v>435.26</v>
      </c>
      <c r="H442" s="1658" t="s">
        <v>2226</v>
      </c>
    </row>
    <row r="443" spans="1:8" s="1575" customFormat="1">
      <c r="A443" s="1656"/>
      <c r="B443" s="1656"/>
      <c r="C443" s="1755" t="s">
        <v>88</v>
      </c>
      <c r="D443" s="1656"/>
      <c r="E443" s="1659">
        <f>SUM(E439:E442)</f>
        <v>2649.41</v>
      </c>
      <c r="F443" s="1659">
        <f>SUM(F439:F442)</f>
        <v>2926.9799999999996</v>
      </c>
      <c r="G443" s="1661">
        <f>SUM(G439:G442)</f>
        <v>3217.87</v>
      </c>
      <c r="H443" s="1658" t="s">
        <v>2226</v>
      </c>
    </row>
    <row r="444" spans="1:8" s="1575" customFormat="1">
      <c r="A444" s="1656"/>
      <c r="B444" s="1656"/>
      <c r="C444" s="1755" t="s">
        <v>121</v>
      </c>
      <c r="D444" s="1656"/>
      <c r="E444" s="1663">
        <f>ROUND(E443/10,2)</f>
        <v>264.94</v>
      </c>
      <c r="F444" s="1663">
        <f>ROUND(F443/10,2)</f>
        <v>292.7</v>
      </c>
      <c r="G444" s="1667">
        <f>ROUND(G443/10,2)</f>
        <v>321.79000000000002</v>
      </c>
      <c r="H444" s="1658" t="s">
        <v>2226</v>
      </c>
    </row>
    <row r="445" spans="1:8" ht="89.25" hidden="1">
      <c r="A445" s="1156">
        <v>5</v>
      </c>
      <c r="B445" s="1218" t="s">
        <v>89</v>
      </c>
      <c r="C445" s="1752" t="s">
        <v>1305</v>
      </c>
      <c r="D445" s="1212"/>
      <c r="E445" s="1212"/>
      <c r="F445" s="1212"/>
      <c r="G445" s="1218"/>
      <c r="H445" s="1205" t="s">
        <v>2226</v>
      </c>
    </row>
    <row r="446" spans="1:8" hidden="1">
      <c r="A446" s="1156"/>
      <c r="B446" s="1218"/>
      <c r="C446" s="1754" t="s">
        <v>42</v>
      </c>
      <c r="D446" s="1212"/>
      <c r="E446" s="1212"/>
      <c r="F446" s="1212"/>
      <c r="G446" s="1215"/>
      <c r="H446" s="1205" t="s">
        <v>2226</v>
      </c>
    </row>
    <row r="447" spans="1:8" hidden="1">
      <c r="A447" s="1156"/>
      <c r="B447" s="1218"/>
      <c r="C447" s="1754" t="s">
        <v>60</v>
      </c>
      <c r="D447" s="1218"/>
      <c r="E447" s="1218"/>
      <c r="F447" s="1218"/>
      <c r="G447" s="1215"/>
      <c r="H447" s="1205" t="s">
        <v>2226</v>
      </c>
    </row>
    <row r="448" spans="1:8" hidden="1">
      <c r="A448" s="1156"/>
      <c r="B448" s="1218"/>
      <c r="C448" s="1752" t="s">
        <v>48</v>
      </c>
      <c r="D448" s="1212" t="s">
        <v>35</v>
      </c>
      <c r="E448" s="1213">
        <v>0.15</v>
      </c>
      <c r="F448" s="1213">
        <f>G22</f>
        <v>2975.64</v>
      </c>
      <c r="G448" s="1214">
        <f>ROUND(E448*F448,2)</f>
        <v>446.35</v>
      </c>
      <c r="H448" s="1205" t="s">
        <v>2226</v>
      </c>
    </row>
    <row r="449" spans="1:8" hidden="1">
      <c r="A449" s="1212"/>
      <c r="B449" s="1212"/>
      <c r="C449" s="1754" t="s">
        <v>68</v>
      </c>
      <c r="D449" s="1212"/>
      <c r="E449" s="1213"/>
      <c r="F449" s="1213"/>
      <c r="G449" s="1214"/>
      <c r="H449" s="1205" t="s">
        <v>2226</v>
      </c>
    </row>
    <row r="450" spans="1:8" hidden="1">
      <c r="A450" s="1212"/>
      <c r="B450" s="1212"/>
      <c r="C450" s="1752" t="s">
        <v>64</v>
      </c>
      <c r="D450" s="1212" t="s">
        <v>27</v>
      </c>
      <c r="E450" s="1213">
        <v>0.45</v>
      </c>
      <c r="F450" s="1213">
        <f>'MINI SSR 19-20'!$H$3</f>
        <v>500</v>
      </c>
      <c r="G450" s="1214">
        <f>ROUND(E450*F450,2)</f>
        <v>225</v>
      </c>
      <c r="H450" s="1205" t="s">
        <v>2226</v>
      </c>
    </row>
    <row r="451" spans="1:8" hidden="1">
      <c r="A451" s="1212"/>
      <c r="B451" s="1212"/>
      <c r="C451" s="1752" t="s">
        <v>69</v>
      </c>
      <c r="D451" s="1212" t="s">
        <v>27</v>
      </c>
      <c r="E451" s="1213">
        <v>1.05</v>
      </c>
      <c r="F451" s="1213">
        <f>'MINI SSR 19-20'!$H$4</f>
        <v>460</v>
      </c>
      <c r="G451" s="1214">
        <f>ROUND(E451*F451,2)</f>
        <v>483</v>
      </c>
      <c r="H451" s="1205" t="s">
        <v>2226</v>
      </c>
    </row>
    <row r="452" spans="1:8" hidden="1">
      <c r="A452" s="1212"/>
      <c r="B452" s="1212"/>
      <c r="C452" s="1752" t="s">
        <v>85</v>
      </c>
      <c r="D452" s="1212" t="s">
        <v>27</v>
      </c>
      <c r="E452" s="1213">
        <v>2.8</v>
      </c>
      <c r="F452" s="1213">
        <f>'MINI SSR 19-20'!$H$5</f>
        <v>420</v>
      </c>
      <c r="G452" s="1214">
        <f>ROUND(E452*F452,2)</f>
        <v>1176</v>
      </c>
      <c r="H452" s="1205" t="s">
        <v>2226</v>
      </c>
    </row>
    <row r="453" spans="1:8" hidden="1">
      <c r="A453" s="1212"/>
      <c r="B453" s="1212"/>
      <c r="C453" s="1754" t="s">
        <v>88</v>
      </c>
      <c r="D453" s="1212"/>
      <c r="E453" s="1212"/>
      <c r="F453" s="1212"/>
      <c r="G453" s="1222">
        <f>SUM(G448:G452)</f>
        <v>2330.35</v>
      </c>
      <c r="H453" s="1205" t="s">
        <v>2226</v>
      </c>
    </row>
    <row r="454" spans="1:8" hidden="1">
      <c r="A454" s="1212"/>
      <c r="B454" s="1212"/>
      <c r="C454" s="1754"/>
      <c r="D454" s="1212"/>
      <c r="E454" s="1218" t="s">
        <v>161</v>
      </c>
      <c r="F454" s="1218" t="s">
        <v>162</v>
      </c>
      <c r="G454" s="1217" t="s">
        <v>163</v>
      </c>
      <c r="H454" s="1205" t="s">
        <v>2226</v>
      </c>
    </row>
    <row r="455" spans="1:8" hidden="1">
      <c r="A455" s="1212"/>
      <c r="B455" s="1212"/>
      <c r="C455" s="1754" t="s">
        <v>1274</v>
      </c>
      <c r="D455" s="1212"/>
      <c r="E455" s="1213">
        <f>G453</f>
        <v>2330.35</v>
      </c>
      <c r="F455" s="1213">
        <f>G453</f>
        <v>2330.35</v>
      </c>
      <c r="G455" s="1215">
        <f>G453</f>
        <v>2330.35</v>
      </c>
      <c r="H455" s="1205" t="s">
        <v>2226</v>
      </c>
    </row>
    <row r="456" spans="1:8" hidden="1">
      <c r="A456" s="1212"/>
      <c r="B456" s="1212"/>
      <c r="C456" s="1752" t="s">
        <v>1653</v>
      </c>
      <c r="D456" s="1213">
        <v>10</v>
      </c>
      <c r="E456" s="1213">
        <f>D456*'MINI SSR 19-20'!E36</f>
        <v>10.3</v>
      </c>
      <c r="F456" s="1213">
        <f>E456</f>
        <v>10.3</v>
      </c>
      <c r="G456" s="1215">
        <f>E456</f>
        <v>10.3</v>
      </c>
      <c r="H456" s="1205" t="s">
        <v>2226</v>
      </c>
    </row>
    <row r="457" spans="1:8" hidden="1">
      <c r="A457" s="1212"/>
      <c r="B457" s="1212"/>
      <c r="C457" s="1752" t="s">
        <v>1655</v>
      </c>
      <c r="D457" s="1213">
        <v>10</v>
      </c>
      <c r="E457" s="1213">
        <f>ROUND(D457*'MINI SSR 19-20'!F36,2)</f>
        <v>79.5</v>
      </c>
      <c r="F457" s="1213">
        <f>ROUND(D457*'MINI SSR 19-20'!G36,2)</f>
        <v>113.8</v>
      </c>
      <c r="G457" s="1215">
        <f>ROUND(D457*'MINI SSR 19-20'!H36,2)</f>
        <v>148.1</v>
      </c>
      <c r="H457" s="1205" t="s">
        <v>2226</v>
      </c>
    </row>
    <row r="458" spans="1:8" ht="25.5" hidden="1">
      <c r="A458" s="1212"/>
      <c r="B458" s="1212"/>
      <c r="C458" s="1752" t="s">
        <v>1286</v>
      </c>
      <c r="D458" s="1212"/>
      <c r="E458" s="1212"/>
      <c r="F458" s="1213">
        <f>ROUND((G450+G451+G452+F457)*0.1,2)</f>
        <v>199.78</v>
      </c>
      <c r="G458" s="1215">
        <f>ROUND((G450+G451+G452+G457)*0.2,2)</f>
        <v>406.42</v>
      </c>
      <c r="H458" s="1205" t="s">
        <v>2226</v>
      </c>
    </row>
    <row r="459" spans="1:8" hidden="1">
      <c r="A459" s="1212"/>
      <c r="B459" s="1212"/>
      <c r="C459" s="1754" t="s">
        <v>88</v>
      </c>
      <c r="D459" s="1212"/>
      <c r="E459" s="1213">
        <f>SUM(E455:E458)</f>
        <v>2420.15</v>
      </c>
      <c r="F459" s="1213">
        <f>SUM(F455:F458)</f>
        <v>2654.2300000000005</v>
      </c>
      <c r="G459" s="1215">
        <f>SUM(G455:G458)</f>
        <v>2895.17</v>
      </c>
      <c r="H459" s="1205" t="s">
        <v>2226</v>
      </c>
    </row>
    <row r="460" spans="1:8" hidden="1">
      <c r="A460" s="1212"/>
      <c r="B460" s="1212"/>
      <c r="C460" s="1754" t="s">
        <v>121</v>
      </c>
      <c r="D460" s="1212"/>
      <c r="E460" s="1217">
        <f>ROUND(E459/10,2)</f>
        <v>242.02</v>
      </c>
      <c r="F460" s="1217">
        <f>ROUND(F459/10,2)</f>
        <v>265.42</v>
      </c>
      <c r="G460" s="1222">
        <f>ROUND(G459/10,2)</f>
        <v>289.52</v>
      </c>
      <c r="H460" s="1205" t="s">
        <v>2226</v>
      </c>
    </row>
    <row r="461" spans="1:8" ht="89.25" hidden="1">
      <c r="A461" s="1156">
        <v>17</v>
      </c>
      <c r="B461" s="1218" t="s">
        <v>89</v>
      </c>
      <c r="C461" s="1752" t="s">
        <v>1306</v>
      </c>
      <c r="D461" s="1212"/>
      <c r="E461" s="1212"/>
      <c r="F461" s="1212"/>
      <c r="G461" s="1218"/>
      <c r="H461" s="1205" t="s">
        <v>2226</v>
      </c>
    </row>
    <row r="462" spans="1:8" hidden="1">
      <c r="A462" s="1156"/>
      <c r="B462" s="1218"/>
      <c r="C462" s="1754" t="s">
        <v>42</v>
      </c>
      <c r="D462" s="1212"/>
      <c r="E462" s="1212"/>
      <c r="F462" s="1212"/>
      <c r="G462" s="1215"/>
      <c r="H462" s="1205" t="s">
        <v>2226</v>
      </c>
    </row>
    <row r="463" spans="1:8" hidden="1">
      <c r="A463" s="1156"/>
      <c r="B463" s="1218"/>
      <c r="C463" s="1754" t="s">
        <v>60</v>
      </c>
      <c r="D463" s="1212"/>
      <c r="E463" s="1212"/>
      <c r="F463" s="1212"/>
      <c r="G463" s="1215"/>
      <c r="H463" s="1205" t="s">
        <v>2226</v>
      </c>
    </row>
    <row r="464" spans="1:8" hidden="1">
      <c r="A464" s="1156"/>
      <c r="B464" s="1218"/>
      <c r="C464" s="1752" t="s">
        <v>48</v>
      </c>
      <c r="D464" s="1212" t="s">
        <v>35</v>
      </c>
      <c r="E464" s="1213">
        <v>0.21</v>
      </c>
      <c r="F464" s="1213">
        <f>G22</f>
        <v>2975.64</v>
      </c>
      <c r="G464" s="1214">
        <f>ROUND(E464*F464,2)</f>
        <v>624.88</v>
      </c>
      <c r="H464" s="1205" t="s">
        <v>2226</v>
      </c>
    </row>
    <row r="465" spans="1:8" hidden="1">
      <c r="A465" s="1212"/>
      <c r="B465" s="1212"/>
      <c r="C465" s="1754" t="s">
        <v>68</v>
      </c>
      <c r="D465" s="1212"/>
      <c r="E465" s="1213"/>
      <c r="F465" s="1213"/>
      <c r="G465" s="1214"/>
      <c r="H465" s="1205" t="s">
        <v>2226</v>
      </c>
    </row>
    <row r="466" spans="1:8" hidden="1">
      <c r="A466" s="1212"/>
      <c r="B466" s="1212"/>
      <c r="C466" s="1752" t="s">
        <v>64</v>
      </c>
      <c r="D466" s="1212" t="s">
        <v>27</v>
      </c>
      <c r="E466" s="1213">
        <v>0.45</v>
      </c>
      <c r="F466" s="1213">
        <f>'MINI SSR 19-20'!$H$3</f>
        <v>500</v>
      </c>
      <c r="G466" s="1214">
        <f>ROUND(E466*F466,2)</f>
        <v>225</v>
      </c>
      <c r="H466" s="1205" t="s">
        <v>2226</v>
      </c>
    </row>
    <row r="467" spans="1:8" hidden="1">
      <c r="A467" s="1212"/>
      <c r="B467" s="1212"/>
      <c r="C467" s="1752" t="s">
        <v>69</v>
      </c>
      <c r="D467" s="1212" t="s">
        <v>27</v>
      </c>
      <c r="E467" s="1213">
        <v>1.05</v>
      </c>
      <c r="F467" s="1213">
        <f>'MINI SSR 19-20'!$H$4</f>
        <v>460</v>
      </c>
      <c r="G467" s="1214">
        <f>ROUND(E467*F467,2)</f>
        <v>483</v>
      </c>
      <c r="H467" s="1205" t="s">
        <v>2226</v>
      </c>
    </row>
    <row r="468" spans="1:8" hidden="1">
      <c r="A468" s="1212"/>
      <c r="B468" s="1212"/>
      <c r="C468" s="1752" t="s">
        <v>85</v>
      </c>
      <c r="D468" s="1212" t="s">
        <v>27</v>
      </c>
      <c r="E468" s="1213">
        <v>2.8</v>
      </c>
      <c r="F468" s="1213">
        <f>'MINI SSR 19-20'!$H$5</f>
        <v>420</v>
      </c>
      <c r="G468" s="1214">
        <f>ROUND(E468*F468,2)</f>
        <v>1176</v>
      </c>
      <c r="H468" s="1205" t="s">
        <v>2226</v>
      </c>
    </row>
    <row r="469" spans="1:8" hidden="1">
      <c r="A469" s="1212"/>
      <c r="B469" s="1212"/>
      <c r="C469" s="1754" t="s">
        <v>88</v>
      </c>
      <c r="D469" s="1212"/>
      <c r="E469" s="1212"/>
      <c r="F469" s="1212"/>
      <c r="G469" s="1222">
        <f>SUM(G464:G468)</f>
        <v>2508.88</v>
      </c>
      <c r="H469" s="1205" t="s">
        <v>2226</v>
      </c>
    </row>
    <row r="470" spans="1:8" hidden="1">
      <c r="A470" s="1212"/>
      <c r="B470" s="1212"/>
      <c r="C470" s="1754"/>
      <c r="D470" s="1212"/>
      <c r="E470" s="1218" t="s">
        <v>161</v>
      </c>
      <c r="F470" s="1218" t="s">
        <v>162</v>
      </c>
      <c r="G470" s="1217" t="s">
        <v>163</v>
      </c>
      <c r="H470" s="1205" t="s">
        <v>2226</v>
      </c>
    </row>
    <row r="471" spans="1:8" hidden="1">
      <c r="A471" s="1212"/>
      <c r="B471" s="1212"/>
      <c r="C471" s="1754" t="s">
        <v>1274</v>
      </c>
      <c r="D471" s="1212"/>
      <c r="E471" s="1213">
        <f>G469</f>
        <v>2508.88</v>
      </c>
      <c r="F471" s="1213">
        <f>G469</f>
        <v>2508.88</v>
      </c>
      <c r="G471" s="1215">
        <f>G469</f>
        <v>2508.88</v>
      </c>
      <c r="H471" s="1205" t="s">
        <v>2226</v>
      </c>
    </row>
    <row r="472" spans="1:8" hidden="1">
      <c r="A472" s="1212"/>
      <c r="B472" s="1212"/>
      <c r="C472" s="1752" t="s">
        <v>1653</v>
      </c>
      <c r="D472" s="1213">
        <v>10</v>
      </c>
      <c r="E472" s="1213">
        <f>D472*'MINI SSR 19-20'!$E$36</f>
        <v>10.3</v>
      </c>
      <c r="F472" s="1213">
        <f>E472</f>
        <v>10.3</v>
      </c>
      <c r="G472" s="1215">
        <f>E472</f>
        <v>10.3</v>
      </c>
      <c r="H472" s="1205" t="s">
        <v>2226</v>
      </c>
    </row>
    <row r="473" spans="1:8" hidden="1">
      <c r="A473" s="1212"/>
      <c r="B473" s="1212"/>
      <c r="C473" s="1752" t="s">
        <v>1656</v>
      </c>
      <c r="D473" s="1213">
        <v>10</v>
      </c>
      <c r="E473" s="1213">
        <f>ROUND(D473*'MINI SSR 19-20'!F36,2)</f>
        <v>79.5</v>
      </c>
      <c r="F473" s="1213">
        <f>ROUND(D473*'MINI SSR 19-20'!G36,2)</f>
        <v>113.8</v>
      </c>
      <c r="G473" s="1215">
        <f>ROUND(D473*'MINI SSR 19-20'!H36,2)</f>
        <v>148.1</v>
      </c>
      <c r="H473" s="1205" t="s">
        <v>2226</v>
      </c>
    </row>
    <row r="474" spans="1:8" ht="25.5" hidden="1">
      <c r="A474" s="1212"/>
      <c r="B474" s="1212"/>
      <c r="C474" s="1752" t="s">
        <v>1286</v>
      </c>
      <c r="D474" s="1212"/>
      <c r="E474" s="1212"/>
      <c r="F474" s="1213">
        <f>ROUND((G466+G467+G468+F473)*0.1,2)</f>
        <v>199.78</v>
      </c>
      <c r="G474" s="1215">
        <f>ROUND((G466+G467+G468+G473)*0.2,2)</f>
        <v>406.42</v>
      </c>
      <c r="H474" s="1205" t="s">
        <v>2226</v>
      </c>
    </row>
    <row r="475" spans="1:8" hidden="1">
      <c r="A475" s="1212"/>
      <c r="B475" s="1212"/>
      <c r="C475" s="1754" t="s">
        <v>88</v>
      </c>
      <c r="D475" s="1212"/>
      <c r="E475" s="1213">
        <f>SUM(E471:E474)</f>
        <v>2598.6800000000003</v>
      </c>
      <c r="F475" s="1213">
        <f>SUM(F471:F474)</f>
        <v>2832.7600000000007</v>
      </c>
      <c r="G475" s="1215">
        <f>SUM(G471:G474)</f>
        <v>3073.7000000000003</v>
      </c>
      <c r="H475" s="1205" t="s">
        <v>2226</v>
      </c>
    </row>
    <row r="476" spans="1:8" hidden="1">
      <c r="A476" s="1212"/>
      <c r="B476" s="1212"/>
      <c r="C476" s="1754" t="s">
        <v>121</v>
      </c>
      <c r="D476" s="1212"/>
      <c r="E476" s="1217">
        <f>ROUND(E475/10,2)</f>
        <v>259.87</v>
      </c>
      <c r="F476" s="1217">
        <f>ROUND(F475/10,2)</f>
        <v>283.27999999999997</v>
      </c>
      <c r="G476" s="1222">
        <f>ROUND(G475/10,2)</f>
        <v>307.37</v>
      </c>
      <c r="H476" s="1205" t="s">
        <v>2226</v>
      </c>
    </row>
    <row r="477" spans="1:8" ht="89.25" hidden="1">
      <c r="A477" s="1156">
        <v>34</v>
      </c>
      <c r="B477" s="1218" t="s">
        <v>89</v>
      </c>
      <c r="C477" s="1752" t="s">
        <v>1307</v>
      </c>
      <c r="D477" s="1212"/>
      <c r="E477" s="1212"/>
      <c r="F477" s="1212"/>
      <c r="G477" s="1218" t="s">
        <v>89</v>
      </c>
      <c r="H477" s="1205" t="s">
        <v>2226</v>
      </c>
    </row>
    <row r="478" spans="1:8" hidden="1">
      <c r="A478" s="1156"/>
      <c r="B478" s="1218"/>
      <c r="C478" s="1754" t="s">
        <v>42</v>
      </c>
      <c r="D478" s="1212"/>
      <c r="E478" s="1212"/>
      <c r="F478" s="1212"/>
      <c r="G478" s="1215"/>
      <c r="H478" s="1205" t="s">
        <v>2226</v>
      </c>
    </row>
    <row r="479" spans="1:8" hidden="1">
      <c r="A479" s="1156"/>
      <c r="B479" s="1218"/>
      <c r="C479" s="1754" t="s">
        <v>60</v>
      </c>
      <c r="D479" s="1212"/>
      <c r="E479" s="1212"/>
      <c r="F479" s="1212"/>
      <c r="G479" s="1215"/>
      <c r="H479" s="1205" t="s">
        <v>2226</v>
      </c>
    </row>
    <row r="480" spans="1:8" hidden="1">
      <c r="A480" s="1156"/>
      <c r="B480" s="1218"/>
      <c r="C480" s="1752" t="s">
        <v>43</v>
      </c>
      <c r="D480" s="1212" t="s">
        <v>35</v>
      </c>
      <c r="E480" s="1213">
        <v>0.21</v>
      </c>
      <c r="F480" s="1213">
        <f>G12</f>
        <v>3878.04</v>
      </c>
      <c r="G480" s="1214">
        <f>ROUND(E480*F480,2)</f>
        <v>814.39</v>
      </c>
      <c r="H480" s="1205" t="s">
        <v>2226</v>
      </c>
    </row>
    <row r="481" spans="1:8" hidden="1">
      <c r="A481" s="1212"/>
      <c r="B481" s="1212"/>
      <c r="C481" s="1754" t="s">
        <v>68</v>
      </c>
      <c r="D481" s="1212"/>
      <c r="E481" s="1213"/>
      <c r="F481" s="1213"/>
      <c r="G481" s="1214"/>
      <c r="H481" s="1205" t="s">
        <v>2226</v>
      </c>
    </row>
    <row r="482" spans="1:8" hidden="1">
      <c r="A482" s="1212"/>
      <c r="B482" s="1212"/>
      <c r="C482" s="1752" t="s">
        <v>64</v>
      </c>
      <c r="D482" s="1212" t="s">
        <v>27</v>
      </c>
      <c r="E482" s="1213">
        <v>0.45</v>
      </c>
      <c r="F482" s="1213">
        <f>'MINI SSR 19-20'!$H$3</f>
        <v>500</v>
      </c>
      <c r="G482" s="1214">
        <f>ROUND(E482*F482,2)</f>
        <v>225</v>
      </c>
      <c r="H482" s="1205" t="s">
        <v>2226</v>
      </c>
    </row>
    <row r="483" spans="1:8" hidden="1">
      <c r="A483" s="1212"/>
      <c r="B483" s="1212"/>
      <c r="C483" s="1752" t="s">
        <v>69</v>
      </c>
      <c r="D483" s="1212" t="s">
        <v>27</v>
      </c>
      <c r="E483" s="1213">
        <v>1.05</v>
      </c>
      <c r="F483" s="1213">
        <f>'MINI SSR 19-20'!$H$4</f>
        <v>460</v>
      </c>
      <c r="G483" s="1214">
        <f>ROUND(E483*F483,2)</f>
        <v>483</v>
      </c>
      <c r="H483" s="1205" t="s">
        <v>2226</v>
      </c>
    </row>
    <row r="484" spans="1:8" hidden="1">
      <c r="A484" s="1212"/>
      <c r="B484" s="1212"/>
      <c r="C484" s="1752" t="s">
        <v>85</v>
      </c>
      <c r="D484" s="1212" t="s">
        <v>27</v>
      </c>
      <c r="E484" s="1213">
        <v>2.8</v>
      </c>
      <c r="F484" s="1213">
        <f>'MINI SSR 19-20'!$H$5</f>
        <v>420</v>
      </c>
      <c r="G484" s="1214">
        <f>ROUND(E484*F484,2)</f>
        <v>1176</v>
      </c>
      <c r="H484" s="1205" t="s">
        <v>2226</v>
      </c>
    </row>
    <row r="485" spans="1:8" hidden="1">
      <c r="A485" s="1212"/>
      <c r="B485" s="1212"/>
      <c r="C485" s="1754" t="s">
        <v>88</v>
      </c>
      <c r="D485" s="1212"/>
      <c r="E485" s="1212"/>
      <c r="F485" s="1212"/>
      <c r="G485" s="1222">
        <f>SUM(G480:G484)</f>
        <v>2698.39</v>
      </c>
      <c r="H485" s="1205" t="s">
        <v>2226</v>
      </c>
    </row>
    <row r="486" spans="1:8" hidden="1">
      <c r="A486" s="1212"/>
      <c r="B486" s="1212"/>
      <c r="C486" s="1754"/>
      <c r="D486" s="1212"/>
      <c r="E486" s="1218" t="s">
        <v>161</v>
      </c>
      <c r="F486" s="1218" t="s">
        <v>162</v>
      </c>
      <c r="G486" s="1217" t="s">
        <v>163</v>
      </c>
      <c r="H486" s="1205" t="s">
        <v>2226</v>
      </c>
    </row>
    <row r="487" spans="1:8" hidden="1">
      <c r="A487" s="1212"/>
      <c r="B487" s="1212"/>
      <c r="C487" s="1754" t="s">
        <v>1274</v>
      </c>
      <c r="D487" s="1212"/>
      <c r="E487" s="1213">
        <f>G485</f>
        <v>2698.39</v>
      </c>
      <c r="F487" s="1213">
        <f>G485</f>
        <v>2698.39</v>
      </c>
      <c r="G487" s="1215">
        <f>G485</f>
        <v>2698.39</v>
      </c>
      <c r="H487" s="1205" t="s">
        <v>2226</v>
      </c>
    </row>
    <row r="488" spans="1:8" hidden="1">
      <c r="A488" s="1212"/>
      <c r="B488" s="1212"/>
      <c r="C488" s="1752" t="s">
        <v>1653</v>
      </c>
      <c r="D488" s="1213">
        <v>10</v>
      </c>
      <c r="E488" s="1213">
        <f>D488*'MINI SSR 19-20'!$E$36</f>
        <v>10.3</v>
      </c>
      <c r="F488" s="1213">
        <f>E488</f>
        <v>10.3</v>
      </c>
      <c r="G488" s="1215">
        <f>E488</f>
        <v>10.3</v>
      </c>
      <c r="H488" s="1205" t="s">
        <v>2226</v>
      </c>
    </row>
    <row r="489" spans="1:8" hidden="1">
      <c r="A489" s="1212"/>
      <c r="B489" s="1212"/>
      <c r="C489" s="1752" t="s">
        <v>1656</v>
      </c>
      <c r="D489" s="1213">
        <v>10</v>
      </c>
      <c r="E489" s="1213">
        <f>ROUND(D489*'MINI SSR 19-20'!F36,2)</f>
        <v>79.5</v>
      </c>
      <c r="F489" s="1213">
        <f>ROUND(D489*'MINI SSR 19-20'!G36,2)</f>
        <v>113.8</v>
      </c>
      <c r="G489" s="1215">
        <f>ROUND(D489*'MINI SSR 19-20'!H36,2)</f>
        <v>148.1</v>
      </c>
      <c r="H489" s="1205" t="s">
        <v>2226</v>
      </c>
    </row>
    <row r="490" spans="1:8" ht="25.5" hidden="1">
      <c r="A490" s="1212"/>
      <c r="B490" s="1212"/>
      <c r="C490" s="1752" t="s">
        <v>1286</v>
      </c>
      <c r="D490" s="1212"/>
      <c r="E490" s="1212"/>
      <c r="F490" s="1213">
        <f>ROUND((G482+G483+G484+F489)*0.1,2)</f>
        <v>199.78</v>
      </c>
      <c r="G490" s="1215">
        <f>ROUND((G482+G483+G484+G489)*0.2,2)</f>
        <v>406.42</v>
      </c>
      <c r="H490" s="1205" t="s">
        <v>2226</v>
      </c>
    </row>
    <row r="491" spans="1:8" hidden="1">
      <c r="A491" s="1212"/>
      <c r="B491" s="1212"/>
      <c r="C491" s="1754" t="s">
        <v>88</v>
      </c>
      <c r="D491" s="1212"/>
      <c r="E491" s="1213">
        <f>SUM(E487:E490)</f>
        <v>2788.19</v>
      </c>
      <c r="F491" s="1213">
        <f>SUM(F487:F490)</f>
        <v>3022.2700000000004</v>
      </c>
      <c r="G491" s="1215">
        <f>SUM(G487:G490)</f>
        <v>3263.21</v>
      </c>
      <c r="H491" s="1205" t="s">
        <v>2226</v>
      </c>
    </row>
    <row r="492" spans="1:8" hidden="1">
      <c r="A492" s="1212"/>
      <c r="B492" s="1212"/>
      <c r="C492" s="1754" t="s">
        <v>121</v>
      </c>
      <c r="D492" s="1212"/>
      <c r="E492" s="1217">
        <f>ROUND(E491/10,2)</f>
        <v>278.82</v>
      </c>
      <c r="F492" s="1217">
        <f>ROUND(F491/10,2)</f>
        <v>302.23</v>
      </c>
      <c r="G492" s="1222">
        <f>ROUND(G491/10,2)</f>
        <v>326.32</v>
      </c>
      <c r="H492" s="1205" t="s">
        <v>2226</v>
      </c>
    </row>
    <row r="493" spans="1:8" s="1575" customFormat="1" ht="102">
      <c r="A493" s="1570">
        <v>18</v>
      </c>
      <c r="B493" s="1664" t="s">
        <v>1348</v>
      </c>
      <c r="C493" s="1753" t="s">
        <v>808</v>
      </c>
      <c r="D493" s="1656"/>
      <c r="E493" s="1656"/>
      <c r="F493" s="1656"/>
      <c r="G493" s="1664"/>
      <c r="H493" s="1658" t="s">
        <v>2226</v>
      </c>
    </row>
    <row r="494" spans="1:8" s="1575" customFormat="1">
      <c r="A494" s="1570"/>
      <c r="B494" s="1664"/>
      <c r="C494" s="1755" t="s">
        <v>42</v>
      </c>
      <c r="D494" s="1656"/>
      <c r="E494" s="1656"/>
      <c r="F494" s="1656"/>
      <c r="G494" s="1661"/>
      <c r="H494" s="1658" t="s">
        <v>2226</v>
      </c>
    </row>
    <row r="495" spans="1:8" s="1575" customFormat="1">
      <c r="A495" s="1570"/>
      <c r="B495" s="1664"/>
      <c r="C495" s="1755" t="s">
        <v>317</v>
      </c>
      <c r="D495" s="1656"/>
      <c r="E495" s="1656"/>
      <c r="F495" s="1656"/>
      <c r="G495" s="1661"/>
      <c r="H495" s="1658" t="s">
        <v>2226</v>
      </c>
    </row>
    <row r="496" spans="1:8" s="1575" customFormat="1">
      <c r="A496" s="1570"/>
      <c r="B496" s="1664"/>
      <c r="C496" s="1753" t="s">
        <v>107</v>
      </c>
      <c r="D496" s="1656" t="s">
        <v>4</v>
      </c>
      <c r="E496" s="1659">
        <v>31.7</v>
      </c>
      <c r="F496" s="1659">
        <f>'lead 19-20'!L8</f>
        <v>4700</v>
      </c>
      <c r="G496" s="1660">
        <f>ROUND(E496*F496/1000,2)</f>
        <v>148.99</v>
      </c>
      <c r="H496" s="1658" t="s">
        <v>2226</v>
      </c>
    </row>
    <row r="497" spans="1:8" s="1575" customFormat="1">
      <c r="A497" s="1570"/>
      <c r="B497" s="1664"/>
      <c r="C497" s="1753" t="s">
        <v>318</v>
      </c>
      <c r="D497" s="1656" t="s">
        <v>35</v>
      </c>
      <c r="E497" s="1659">
        <v>0.11</v>
      </c>
      <c r="F497" s="1659">
        <f>'lead 19-20'!L12</f>
        <v>1464.7999999999988</v>
      </c>
      <c r="G497" s="1660">
        <f>ROUND(E497*F497,2)</f>
        <v>161.13</v>
      </c>
      <c r="H497" s="1658" t="s">
        <v>2226</v>
      </c>
    </row>
    <row r="498" spans="1:8" s="1575" customFormat="1">
      <c r="A498" s="1570"/>
      <c r="B498" s="1664"/>
      <c r="C498" s="1755" t="s">
        <v>319</v>
      </c>
      <c r="D498" s="1656"/>
      <c r="E498" s="1656"/>
      <c r="F498" s="1656"/>
      <c r="G498" s="1661"/>
      <c r="H498" s="1658" t="s">
        <v>2226</v>
      </c>
    </row>
    <row r="499" spans="1:8" s="1575" customFormat="1">
      <c r="A499" s="1570"/>
      <c r="B499" s="1664"/>
      <c r="C499" s="1753" t="s">
        <v>107</v>
      </c>
      <c r="D499" s="1656" t="s">
        <v>4</v>
      </c>
      <c r="E499" s="1659">
        <v>19.2</v>
      </c>
      <c r="F499" s="1659">
        <f>F496</f>
        <v>4700</v>
      </c>
      <c r="G499" s="1660">
        <f>ROUND(E499*F499/1000,2)</f>
        <v>90.24</v>
      </c>
      <c r="H499" s="1658" t="s">
        <v>2226</v>
      </c>
    </row>
    <row r="500" spans="1:8" s="1575" customFormat="1">
      <c r="A500" s="1570"/>
      <c r="B500" s="1664"/>
      <c r="C500" s="1753" t="s">
        <v>318</v>
      </c>
      <c r="D500" s="1656" t="s">
        <v>35</v>
      </c>
      <c r="E500" s="1659">
        <v>0.04</v>
      </c>
      <c r="F500" s="1659">
        <f>F497</f>
        <v>1464.7999999999988</v>
      </c>
      <c r="G500" s="1660">
        <f>ROUND(E500*F500,2)</f>
        <v>58.59</v>
      </c>
      <c r="H500" s="1658" t="s">
        <v>2226</v>
      </c>
    </row>
    <row r="501" spans="1:8" s="1575" customFormat="1">
      <c r="A501" s="1656"/>
      <c r="B501" s="1656"/>
      <c r="C501" s="1755" t="s">
        <v>68</v>
      </c>
      <c r="D501" s="1656"/>
      <c r="E501" s="1659"/>
      <c r="F501" s="1659"/>
      <c r="G501" s="1660"/>
      <c r="H501" s="1658" t="s">
        <v>2226</v>
      </c>
    </row>
    <row r="502" spans="1:8" s="1575" customFormat="1">
      <c r="A502" s="1656"/>
      <c r="B502" s="1656"/>
      <c r="C502" s="1753" t="s">
        <v>64</v>
      </c>
      <c r="D502" s="1656" t="s">
        <v>27</v>
      </c>
      <c r="E502" s="1659">
        <v>0.63</v>
      </c>
      <c r="F502" s="1659">
        <f>'MINI SSR 19-20'!$H$3</f>
        <v>500</v>
      </c>
      <c r="G502" s="1660">
        <f>ROUND(E502*F502,2)</f>
        <v>315</v>
      </c>
      <c r="H502" s="1658" t="s">
        <v>2226</v>
      </c>
    </row>
    <row r="503" spans="1:8" s="1575" customFormat="1">
      <c r="A503" s="1656"/>
      <c r="B503" s="1656"/>
      <c r="C503" s="1753" t="s">
        <v>69</v>
      </c>
      <c r="D503" s="1656" t="s">
        <v>27</v>
      </c>
      <c r="E503" s="1659">
        <v>1.47</v>
      </c>
      <c r="F503" s="1659">
        <f>'MINI SSR 19-20'!$H$4</f>
        <v>460</v>
      </c>
      <c r="G503" s="1660">
        <f>ROUND(E503*F503,2)</f>
        <v>676.2</v>
      </c>
      <c r="H503" s="1658" t="s">
        <v>2226</v>
      </c>
    </row>
    <row r="504" spans="1:8" s="1575" customFormat="1">
      <c r="A504" s="1656"/>
      <c r="B504" s="1656"/>
      <c r="C504" s="1753" t="s">
        <v>85</v>
      </c>
      <c r="D504" s="1656" t="s">
        <v>27</v>
      </c>
      <c r="E504" s="1659">
        <v>3.9</v>
      </c>
      <c r="F504" s="1659">
        <f>'MINI SSR 19-20'!$H$5</f>
        <v>420</v>
      </c>
      <c r="G504" s="1660">
        <f>ROUND(E504*F504,2)</f>
        <v>1638</v>
      </c>
      <c r="H504" s="1658" t="s">
        <v>2226</v>
      </c>
    </row>
    <row r="505" spans="1:8" s="1575" customFormat="1">
      <c r="A505" s="1656"/>
      <c r="B505" s="1656"/>
      <c r="C505" s="1755" t="s">
        <v>88</v>
      </c>
      <c r="D505" s="1656"/>
      <c r="E505" s="1656"/>
      <c r="F505" s="1656"/>
      <c r="G505" s="1667">
        <f>SUM(G496:G504)</f>
        <v>3088.15</v>
      </c>
      <c r="H505" s="1658" t="s">
        <v>2226</v>
      </c>
    </row>
    <row r="506" spans="1:8" s="1575" customFormat="1">
      <c r="A506" s="1656"/>
      <c r="B506" s="1656"/>
      <c r="C506" s="1755"/>
      <c r="D506" s="1656"/>
      <c r="E506" s="1664" t="s">
        <v>161</v>
      </c>
      <c r="F506" s="1664" t="s">
        <v>162</v>
      </c>
      <c r="G506" s="1663" t="s">
        <v>163</v>
      </c>
      <c r="H506" s="1658" t="s">
        <v>2226</v>
      </c>
    </row>
    <row r="507" spans="1:8" s="1575" customFormat="1">
      <c r="A507" s="1656"/>
      <c r="B507" s="1656"/>
      <c r="C507" s="1755" t="s">
        <v>1274</v>
      </c>
      <c r="D507" s="1656"/>
      <c r="E507" s="1659">
        <f>G505</f>
        <v>3088.15</v>
      </c>
      <c r="F507" s="1659">
        <f>G505</f>
        <v>3088.15</v>
      </c>
      <c r="G507" s="1661">
        <f>F507</f>
        <v>3088.15</v>
      </c>
      <c r="H507" s="1658" t="s">
        <v>2226</v>
      </c>
    </row>
    <row r="508" spans="1:8" s="1575" customFormat="1">
      <c r="A508" s="1656"/>
      <c r="B508" s="1656"/>
      <c r="C508" s="1753" t="s">
        <v>1653</v>
      </c>
      <c r="D508" s="1659">
        <v>10</v>
      </c>
      <c r="E508" s="1659">
        <f>D508*'MINI SSR 19-20'!$E$36</f>
        <v>10.3</v>
      </c>
      <c r="F508" s="1659">
        <f>E508</f>
        <v>10.3</v>
      </c>
      <c r="G508" s="1661">
        <f>F508</f>
        <v>10.3</v>
      </c>
      <c r="H508" s="1658" t="s">
        <v>2226</v>
      </c>
    </row>
    <row r="509" spans="1:8" s="1575" customFormat="1">
      <c r="A509" s="1656"/>
      <c r="B509" s="1656"/>
      <c r="C509" s="1753" t="s">
        <v>1654</v>
      </c>
      <c r="D509" s="1659">
        <v>10</v>
      </c>
      <c r="E509" s="1659">
        <f>ROUND(D509*'MINI SSR 19-20'!F36,2)</f>
        <v>79.5</v>
      </c>
      <c r="F509" s="1659">
        <f>ROUND(D509*'MINI SSR 19-20'!G36,2)</f>
        <v>113.8</v>
      </c>
      <c r="G509" s="1661">
        <f>ROUND(D509*'MINI SSR 19-20'!H36,2)</f>
        <v>148.1</v>
      </c>
      <c r="H509" s="1658" t="s">
        <v>2226</v>
      </c>
    </row>
    <row r="510" spans="1:8" s="1575" customFormat="1" ht="25.5">
      <c r="A510" s="1656"/>
      <c r="B510" s="1656"/>
      <c r="C510" s="1753" t="s">
        <v>1286</v>
      </c>
      <c r="D510" s="1656"/>
      <c r="E510" s="1656"/>
      <c r="F510" s="1659">
        <f>ROUND((G502+G503+G504+F509)*0.1,2)</f>
        <v>274.3</v>
      </c>
      <c r="G510" s="1661">
        <f>ROUND((G502+G503+G504+G509)*0.2,2)</f>
        <v>555.46</v>
      </c>
      <c r="H510" s="1658" t="s">
        <v>2226</v>
      </c>
    </row>
    <row r="511" spans="1:8" s="1575" customFormat="1">
      <c r="A511" s="1656"/>
      <c r="B511" s="1656"/>
      <c r="C511" s="1755" t="s">
        <v>88</v>
      </c>
      <c r="D511" s="1656"/>
      <c r="E511" s="1659">
        <f>SUM(E507:E510)</f>
        <v>3177.9500000000003</v>
      </c>
      <c r="F511" s="1659">
        <f>SUM(F507:F510)</f>
        <v>3486.5500000000006</v>
      </c>
      <c r="G511" s="1661">
        <f>SUM(G507:G510)</f>
        <v>3802.01</v>
      </c>
      <c r="H511" s="1658" t="s">
        <v>2226</v>
      </c>
    </row>
    <row r="512" spans="1:8" s="1575" customFormat="1">
      <c r="A512" s="1656"/>
      <c r="B512" s="1656"/>
      <c r="C512" s="1755" t="s">
        <v>121</v>
      </c>
      <c r="D512" s="1656"/>
      <c r="E512" s="1663">
        <f>ROUND(E511/10,2)</f>
        <v>317.8</v>
      </c>
      <c r="F512" s="1663">
        <f>ROUND(F511/10,2)</f>
        <v>348.66</v>
      </c>
      <c r="G512" s="1667">
        <f>ROUND(G511/10,2)</f>
        <v>380.2</v>
      </c>
      <c r="H512" s="1658" t="s">
        <v>2226</v>
      </c>
    </row>
    <row r="513" spans="1:8" s="1575" customFormat="1" ht="102">
      <c r="A513" s="1570">
        <v>19</v>
      </c>
      <c r="B513" s="1664" t="s">
        <v>1349</v>
      </c>
      <c r="C513" s="1753" t="s">
        <v>316</v>
      </c>
      <c r="D513" s="1656"/>
      <c r="E513" s="1656"/>
      <c r="F513" s="1656"/>
      <c r="G513" s="1664"/>
      <c r="H513" s="1658" t="s">
        <v>2226</v>
      </c>
    </row>
    <row r="514" spans="1:8" s="1575" customFormat="1">
      <c r="A514" s="1570"/>
      <c r="B514" s="1664"/>
      <c r="C514" s="1755" t="s">
        <v>42</v>
      </c>
      <c r="D514" s="1656"/>
      <c r="E514" s="1656"/>
      <c r="F514" s="1656"/>
      <c r="G514" s="1661"/>
      <c r="H514" s="1658" t="s">
        <v>2226</v>
      </c>
    </row>
    <row r="515" spans="1:8" s="1575" customFormat="1">
      <c r="A515" s="1570"/>
      <c r="B515" s="1664"/>
      <c r="C515" s="1755" t="s">
        <v>317</v>
      </c>
      <c r="D515" s="1656"/>
      <c r="E515" s="1656"/>
      <c r="F515" s="1656"/>
      <c r="G515" s="1661"/>
      <c r="H515" s="1658" t="s">
        <v>2226</v>
      </c>
    </row>
    <row r="516" spans="1:8" s="1575" customFormat="1">
      <c r="A516" s="1570"/>
      <c r="B516" s="1664"/>
      <c r="C516" s="1753" t="s">
        <v>107</v>
      </c>
      <c r="D516" s="1656" t="s">
        <v>4</v>
      </c>
      <c r="E516" s="1659">
        <v>43</v>
      </c>
      <c r="F516" s="1659">
        <f>F496</f>
        <v>4700</v>
      </c>
      <c r="G516" s="1660">
        <f>ROUND(E516*F516/1000,2)</f>
        <v>202.1</v>
      </c>
      <c r="H516" s="1658" t="s">
        <v>2226</v>
      </c>
    </row>
    <row r="517" spans="1:8" s="1575" customFormat="1">
      <c r="A517" s="1570"/>
      <c r="B517" s="1664"/>
      <c r="C517" s="1753" t="s">
        <v>318</v>
      </c>
      <c r="D517" s="1656" t="s">
        <v>35</v>
      </c>
      <c r="E517" s="1659">
        <v>0.18</v>
      </c>
      <c r="F517" s="1659">
        <f>F497</f>
        <v>1464.7999999999988</v>
      </c>
      <c r="G517" s="1660">
        <f>ROUND(E517*F517,2)</f>
        <v>263.66000000000003</v>
      </c>
      <c r="H517" s="1658" t="s">
        <v>2226</v>
      </c>
    </row>
    <row r="518" spans="1:8" s="1575" customFormat="1">
      <c r="A518" s="1570"/>
      <c r="B518" s="1664"/>
      <c r="C518" s="1755" t="s">
        <v>319</v>
      </c>
      <c r="D518" s="1656"/>
      <c r="E518" s="1656"/>
      <c r="F518" s="1656"/>
      <c r="G518" s="1661"/>
      <c r="H518" s="1658" t="s">
        <v>2226</v>
      </c>
    </row>
    <row r="519" spans="1:8" s="1575" customFormat="1">
      <c r="A519" s="1570"/>
      <c r="B519" s="1664"/>
      <c r="C519" s="1753" t="s">
        <v>107</v>
      </c>
      <c r="D519" s="1656" t="s">
        <v>4</v>
      </c>
      <c r="E519" s="1659">
        <v>14.5</v>
      </c>
      <c r="F519" s="1659">
        <f>F516</f>
        <v>4700</v>
      </c>
      <c r="G519" s="1660">
        <f>ROUND(E519*F519/1000,2)</f>
        <v>68.150000000000006</v>
      </c>
      <c r="H519" s="1658" t="s">
        <v>2226</v>
      </c>
    </row>
    <row r="520" spans="1:8" s="1575" customFormat="1">
      <c r="A520" s="1570"/>
      <c r="B520" s="1664"/>
      <c r="C520" s="1753" t="s">
        <v>318</v>
      </c>
      <c r="D520" s="1656" t="s">
        <v>35</v>
      </c>
      <c r="E520" s="1659">
        <v>0.04</v>
      </c>
      <c r="F520" s="1659">
        <f>F517</f>
        <v>1464.7999999999988</v>
      </c>
      <c r="G520" s="1660">
        <f>ROUND(E520*F520,2)</f>
        <v>58.59</v>
      </c>
      <c r="H520" s="1658" t="s">
        <v>2226</v>
      </c>
    </row>
    <row r="521" spans="1:8" s="1575" customFormat="1">
      <c r="A521" s="1656"/>
      <c r="B521" s="1656"/>
      <c r="C521" s="1755" t="s">
        <v>68</v>
      </c>
      <c r="D521" s="1656"/>
      <c r="E521" s="1659"/>
      <c r="F521" s="1659"/>
      <c r="G521" s="1660"/>
      <c r="H521" s="1658" t="s">
        <v>2226</v>
      </c>
    </row>
    <row r="522" spans="1:8" s="1575" customFormat="1">
      <c r="A522" s="1656"/>
      <c r="B522" s="1656"/>
      <c r="C522" s="1753" t="s">
        <v>64</v>
      </c>
      <c r="D522" s="1656" t="s">
        <v>27</v>
      </c>
      <c r="E522" s="1659">
        <v>0.63</v>
      </c>
      <c r="F522" s="1659">
        <f>'MINI SSR 19-20'!$H$3</f>
        <v>500</v>
      </c>
      <c r="G522" s="1660">
        <f>ROUND(E522*F522,2)</f>
        <v>315</v>
      </c>
      <c r="H522" s="1658" t="s">
        <v>2226</v>
      </c>
    </row>
    <row r="523" spans="1:8" s="1575" customFormat="1">
      <c r="A523" s="1656"/>
      <c r="B523" s="1656"/>
      <c r="C523" s="1753" t="s">
        <v>69</v>
      </c>
      <c r="D523" s="1656" t="s">
        <v>27</v>
      </c>
      <c r="E523" s="1659">
        <v>1.47</v>
      </c>
      <c r="F523" s="1659">
        <f>'MINI SSR 19-20'!$H$4</f>
        <v>460</v>
      </c>
      <c r="G523" s="1660">
        <f>ROUND(E523*F523,2)</f>
        <v>676.2</v>
      </c>
      <c r="H523" s="1658" t="s">
        <v>2226</v>
      </c>
    </row>
    <row r="524" spans="1:8" s="1575" customFormat="1">
      <c r="A524" s="1656"/>
      <c r="B524" s="1656"/>
      <c r="C524" s="1753" t="s">
        <v>85</v>
      </c>
      <c r="D524" s="1656" t="s">
        <v>27</v>
      </c>
      <c r="E524" s="1659">
        <v>3.9</v>
      </c>
      <c r="F524" s="1659">
        <f>'MINI SSR 19-20'!$H$5</f>
        <v>420</v>
      </c>
      <c r="G524" s="1660">
        <f>ROUND(E524*F524,2)</f>
        <v>1638</v>
      </c>
      <c r="H524" s="1658" t="s">
        <v>2226</v>
      </c>
    </row>
    <row r="525" spans="1:8" s="1575" customFormat="1">
      <c r="A525" s="1656"/>
      <c r="B525" s="1656"/>
      <c r="C525" s="1755" t="s">
        <v>88</v>
      </c>
      <c r="D525" s="1656"/>
      <c r="E525" s="1656"/>
      <c r="F525" s="1656"/>
      <c r="G525" s="1667">
        <f>SUM(G516:G524)</f>
        <v>3221.7</v>
      </c>
      <c r="H525" s="1658" t="s">
        <v>2226</v>
      </c>
    </row>
    <row r="526" spans="1:8" s="1575" customFormat="1">
      <c r="A526" s="1656"/>
      <c r="B526" s="1656"/>
      <c r="C526" s="1755"/>
      <c r="D526" s="1656"/>
      <c r="E526" s="1664" t="s">
        <v>161</v>
      </c>
      <c r="F526" s="1664" t="s">
        <v>162</v>
      </c>
      <c r="G526" s="1663" t="s">
        <v>163</v>
      </c>
      <c r="H526" s="1658" t="s">
        <v>2226</v>
      </c>
    </row>
    <row r="527" spans="1:8" s="1575" customFormat="1">
      <c r="A527" s="1656"/>
      <c r="B527" s="1656"/>
      <c r="C527" s="1755" t="s">
        <v>1274</v>
      </c>
      <c r="D527" s="1656"/>
      <c r="E527" s="1659">
        <f>G525</f>
        <v>3221.7</v>
      </c>
      <c r="F527" s="1659">
        <f>G525</f>
        <v>3221.7</v>
      </c>
      <c r="G527" s="1661">
        <f>F527</f>
        <v>3221.7</v>
      </c>
      <c r="H527" s="1658" t="s">
        <v>2226</v>
      </c>
    </row>
    <row r="528" spans="1:8" s="1575" customFormat="1">
      <c r="A528" s="1656"/>
      <c r="B528" s="1656"/>
      <c r="C528" s="1753" t="s">
        <v>1653</v>
      </c>
      <c r="D528" s="1659">
        <v>10</v>
      </c>
      <c r="E528" s="1659">
        <f>D528*'MINI SSR 19-20'!$E$36</f>
        <v>10.3</v>
      </c>
      <c r="F528" s="1659">
        <f>E528</f>
        <v>10.3</v>
      </c>
      <c r="G528" s="1661">
        <f>F528</f>
        <v>10.3</v>
      </c>
      <c r="H528" s="1658" t="s">
        <v>2226</v>
      </c>
    </row>
    <row r="529" spans="1:8" s="1575" customFormat="1">
      <c r="A529" s="1656"/>
      <c r="B529" s="1656"/>
      <c r="C529" s="1753" t="s">
        <v>1656</v>
      </c>
      <c r="D529" s="1659">
        <v>10</v>
      </c>
      <c r="E529" s="1659">
        <f>ROUND(D529*'MINI SSR 19-20'!F36,2)</f>
        <v>79.5</v>
      </c>
      <c r="F529" s="1659">
        <f>ROUND(D529*'MINI SSR 19-20'!G36,2)</f>
        <v>113.8</v>
      </c>
      <c r="G529" s="1661">
        <f>ROUND(D529*'MINI SSR 19-20'!H36,2)</f>
        <v>148.1</v>
      </c>
      <c r="H529" s="1658" t="s">
        <v>2226</v>
      </c>
    </row>
    <row r="530" spans="1:8" s="1575" customFormat="1" ht="25.5">
      <c r="A530" s="1656"/>
      <c r="B530" s="1656"/>
      <c r="C530" s="1753" t="s">
        <v>1286</v>
      </c>
      <c r="D530" s="1656"/>
      <c r="E530" s="1656"/>
      <c r="F530" s="1659">
        <f>ROUND((G522+G523+G524+F529)*0.1,2)</f>
        <v>274.3</v>
      </c>
      <c r="G530" s="1661">
        <f>ROUND((G522+G523+G524+G529)*0.2,2)</f>
        <v>555.46</v>
      </c>
      <c r="H530" s="1658" t="s">
        <v>2226</v>
      </c>
    </row>
    <row r="531" spans="1:8" s="1575" customFormat="1">
      <c r="A531" s="1656"/>
      <c r="B531" s="1656"/>
      <c r="C531" s="1755" t="s">
        <v>88</v>
      </c>
      <c r="D531" s="1656"/>
      <c r="E531" s="1659">
        <f>SUM(E527:E530)</f>
        <v>3311.5</v>
      </c>
      <c r="F531" s="1659">
        <f>SUM(F527:F530)</f>
        <v>3620.1000000000004</v>
      </c>
      <c r="G531" s="1661">
        <f>SUM(G527:G530)</f>
        <v>3935.56</v>
      </c>
      <c r="H531" s="1658" t="s">
        <v>2226</v>
      </c>
    </row>
    <row r="532" spans="1:8" s="1575" customFormat="1">
      <c r="A532" s="1656"/>
      <c r="B532" s="1656"/>
      <c r="C532" s="1755" t="s">
        <v>121</v>
      </c>
      <c r="D532" s="1656"/>
      <c r="E532" s="1663">
        <f>ROUND(E531/10,2)</f>
        <v>331.15</v>
      </c>
      <c r="F532" s="1663">
        <f>ROUND(F531/10,2)</f>
        <v>362.01</v>
      </c>
      <c r="G532" s="1667">
        <f>ROUND(G531/10,2)</f>
        <v>393.56</v>
      </c>
      <c r="H532" s="1658" t="s">
        <v>2226</v>
      </c>
    </row>
    <row r="533" spans="1:8" s="1575" customFormat="1" ht="165.75">
      <c r="A533" s="1570">
        <v>20</v>
      </c>
      <c r="B533" s="1664"/>
      <c r="C533" s="1753" t="s">
        <v>1171</v>
      </c>
      <c r="D533" s="1656"/>
      <c r="E533" s="1656"/>
      <c r="F533" s="1656"/>
      <c r="G533" s="1661"/>
      <c r="H533" s="1658" t="s">
        <v>2226</v>
      </c>
    </row>
    <row r="534" spans="1:8" s="1575" customFormat="1">
      <c r="A534" s="1656"/>
      <c r="B534" s="1656"/>
      <c r="C534" s="1753" t="s">
        <v>868</v>
      </c>
      <c r="D534" s="1656"/>
      <c r="E534" s="1659"/>
      <c r="F534" s="1659"/>
      <c r="G534" s="1660"/>
      <c r="H534" s="1658" t="s">
        <v>2226</v>
      </c>
    </row>
    <row r="535" spans="1:8" s="1575" customFormat="1">
      <c r="A535" s="1656"/>
      <c r="B535" s="1656"/>
      <c r="C535" s="1753" t="s">
        <v>863</v>
      </c>
      <c r="D535" s="1656"/>
      <c r="E535" s="1659"/>
      <c r="F535" s="1659"/>
      <c r="G535" s="1660"/>
      <c r="H535" s="1658" t="s">
        <v>2226</v>
      </c>
    </row>
    <row r="536" spans="1:8" s="1575" customFormat="1">
      <c r="A536" s="1656"/>
      <c r="B536" s="1656"/>
      <c r="C536" s="1753" t="s">
        <v>1172</v>
      </c>
      <c r="D536" s="1659" t="s">
        <v>77</v>
      </c>
      <c r="E536" s="1659">
        <v>13.3</v>
      </c>
      <c r="F536" s="1662">
        <f>'MINI SSR 19-20'!C43</f>
        <v>17</v>
      </c>
      <c r="G536" s="1660">
        <f>ROUND(E536*F536,2)</f>
        <v>226.1</v>
      </c>
      <c r="H536" s="1658" t="s">
        <v>2226</v>
      </c>
    </row>
    <row r="537" spans="1:8" s="1575" customFormat="1">
      <c r="A537" s="1570"/>
      <c r="B537" s="1664"/>
      <c r="C537" s="1753" t="s">
        <v>1173</v>
      </c>
      <c r="D537" s="1659" t="s">
        <v>35</v>
      </c>
      <c r="E537" s="1659">
        <v>0.25</v>
      </c>
      <c r="F537" s="1662">
        <f>G12</f>
        <v>3878.04</v>
      </c>
      <c r="G537" s="1660">
        <f t="shared" ref="G537:G539" si="3">ROUND(E537*F537,2)</f>
        <v>969.51</v>
      </c>
      <c r="H537" s="1658" t="s">
        <v>2226</v>
      </c>
    </row>
    <row r="538" spans="1:8" s="1575" customFormat="1">
      <c r="A538" s="1570"/>
      <c r="B538" s="1664"/>
      <c r="C538" s="1753" t="s">
        <v>1174</v>
      </c>
      <c r="D538" s="1659" t="s">
        <v>90</v>
      </c>
      <c r="E538" s="1659">
        <v>50</v>
      </c>
      <c r="F538" s="1662">
        <f>'lead 19-20'!L8</f>
        <v>4700</v>
      </c>
      <c r="G538" s="1660">
        <f>ROUND(E538*F538/1000,2)</f>
        <v>235</v>
      </c>
      <c r="H538" s="1658" t="s">
        <v>2226</v>
      </c>
    </row>
    <row r="539" spans="1:8" s="1575" customFormat="1" ht="25.5">
      <c r="A539" s="1570"/>
      <c r="B539" s="1664"/>
      <c r="C539" s="1753" t="s">
        <v>1175</v>
      </c>
      <c r="D539" s="1659" t="s">
        <v>77</v>
      </c>
      <c r="E539" s="1659">
        <v>21.8</v>
      </c>
      <c r="F539" s="1662">
        <f>E512</f>
        <v>317.8</v>
      </c>
      <c r="G539" s="1660">
        <f t="shared" si="3"/>
        <v>6928.04</v>
      </c>
      <c r="H539" s="1658" t="s">
        <v>2226</v>
      </c>
    </row>
    <row r="540" spans="1:8" s="1575" customFormat="1">
      <c r="A540" s="1570"/>
      <c r="B540" s="1664"/>
      <c r="C540" s="1755" t="s">
        <v>1176</v>
      </c>
      <c r="D540" s="1656"/>
      <c r="E540" s="1656"/>
      <c r="F540" s="1662"/>
      <c r="G540" s="1660"/>
      <c r="H540" s="1658" t="s">
        <v>2226</v>
      </c>
    </row>
    <row r="541" spans="1:8" s="1575" customFormat="1">
      <c r="A541" s="1570"/>
      <c r="B541" s="1664"/>
      <c r="C541" s="1753" t="s">
        <v>865</v>
      </c>
      <c r="D541" s="1659" t="s">
        <v>27</v>
      </c>
      <c r="E541" s="1659">
        <v>8</v>
      </c>
      <c r="F541" s="1662">
        <f>'MINI SSR 19-20'!$H$3</f>
        <v>500</v>
      </c>
      <c r="G541" s="1660">
        <f t="shared" ref="G541:G543" si="4">ROUND(E541*F541,2)</f>
        <v>4000</v>
      </c>
      <c r="H541" s="1658" t="s">
        <v>2226</v>
      </c>
    </row>
    <row r="542" spans="1:8" s="1575" customFormat="1">
      <c r="A542" s="1570"/>
      <c r="B542" s="1664"/>
      <c r="C542" s="1753" t="s">
        <v>1177</v>
      </c>
      <c r="D542" s="1659" t="s">
        <v>27</v>
      </c>
      <c r="E542" s="1659">
        <v>1</v>
      </c>
      <c r="F542" s="1662">
        <f>'MINI SSR 19-20'!$H$4</f>
        <v>460</v>
      </c>
      <c r="G542" s="1660">
        <f t="shared" si="4"/>
        <v>460</v>
      </c>
      <c r="H542" s="1658" t="s">
        <v>2226</v>
      </c>
    </row>
    <row r="543" spans="1:8" s="1575" customFormat="1">
      <c r="A543" s="1570"/>
      <c r="B543" s="1664"/>
      <c r="C543" s="1753" t="s">
        <v>864</v>
      </c>
      <c r="D543" s="1659" t="s">
        <v>27</v>
      </c>
      <c r="E543" s="1659">
        <v>10</v>
      </c>
      <c r="F543" s="1662">
        <f>'MINI SSR 19-20'!$H$5</f>
        <v>420</v>
      </c>
      <c r="G543" s="1660">
        <f t="shared" si="4"/>
        <v>4200</v>
      </c>
      <c r="H543" s="1658" t="s">
        <v>2226</v>
      </c>
    </row>
    <row r="544" spans="1:8" s="1575" customFormat="1">
      <c r="A544" s="1570"/>
      <c r="B544" s="1664"/>
      <c r="C544" s="1755" t="s">
        <v>1178</v>
      </c>
      <c r="D544" s="1659"/>
      <c r="E544" s="1659"/>
      <c r="F544" s="1662"/>
      <c r="G544" s="1660"/>
      <c r="H544" s="1658" t="s">
        <v>2226</v>
      </c>
    </row>
    <row r="545" spans="1:8" s="1575" customFormat="1" ht="25.5">
      <c r="A545" s="1570"/>
      <c r="B545" s="1664"/>
      <c r="C545" s="1753" t="s">
        <v>1179</v>
      </c>
      <c r="D545" s="1659" t="s">
        <v>1180</v>
      </c>
      <c r="E545" s="1659">
        <v>2</v>
      </c>
      <c r="F545" s="1662">
        <f>'MINI SSR 19-20'!$C$30</f>
        <v>524.70000000000005</v>
      </c>
      <c r="G545" s="1660">
        <f t="shared" ref="G545" si="5">ROUND(E545*F545,2)</f>
        <v>1049.4000000000001</v>
      </c>
      <c r="H545" s="1658" t="s">
        <v>2226</v>
      </c>
    </row>
    <row r="546" spans="1:8" s="1575" customFormat="1">
      <c r="A546" s="1570"/>
      <c r="B546" s="1664"/>
      <c r="C546" s="1755" t="s">
        <v>869</v>
      </c>
      <c r="D546" s="1676"/>
      <c r="E546" s="1676"/>
      <c r="F546" s="1676" t="s">
        <v>104</v>
      </c>
      <c r="G546" s="1660">
        <f>SUM(G536:G545)</f>
        <v>18068.050000000003</v>
      </c>
      <c r="H546" s="1658" t="s">
        <v>2226</v>
      </c>
    </row>
    <row r="547" spans="1:8" s="1575" customFormat="1">
      <c r="A547" s="1570"/>
      <c r="B547" s="1664"/>
      <c r="C547" s="1753"/>
      <c r="D547" s="1662"/>
      <c r="E547" s="1676" t="s">
        <v>161</v>
      </c>
      <c r="F547" s="1676" t="s">
        <v>162</v>
      </c>
      <c r="G547" s="1660"/>
      <c r="H547" s="1658" t="s">
        <v>2226</v>
      </c>
    </row>
    <row r="548" spans="1:8" s="1575" customFormat="1">
      <c r="A548" s="1570"/>
      <c r="B548" s="1664"/>
      <c r="C548" s="1753" t="s">
        <v>867</v>
      </c>
      <c r="D548" s="1662"/>
      <c r="E548" s="1662">
        <f>G546</f>
        <v>18068.050000000003</v>
      </c>
      <c r="F548" s="1662">
        <f>G546</f>
        <v>18068.050000000003</v>
      </c>
      <c r="G548" s="1660"/>
      <c r="H548" s="1658" t="s">
        <v>2226</v>
      </c>
    </row>
    <row r="549" spans="1:8" s="1575" customFormat="1">
      <c r="A549" s="1570"/>
      <c r="B549" s="1664"/>
      <c r="C549" s="1753" t="s">
        <v>1657</v>
      </c>
      <c r="D549" s="1677" t="s">
        <v>326</v>
      </c>
      <c r="E549" s="1662">
        <f>ROUND(D549*'MINI SSR 19-20'!E36,2)</f>
        <v>10.3</v>
      </c>
      <c r="F549" s="1662">
        <f>ROUND(D549*1.03,2)</f>
        <v>10.3</v>
      </c>
      <c r="G549" s="1660"/>
      <c r="H549" s="1658" t="s">
        <v>2226</v>
      </c>
    </row>
    <row r="550" spans="1:8" s="1575" customFormat="1">
      <c r="A550" s="1570"/>
      <c r="B550" s="1664"/>
      <c r="C550" s="1753" t="s">
        <v>1658</v>
      </c>
      <c r="D550" s="1677" t="s">
        <v>326</v>
      </c>
      <c r="E550" s="1662">
        <f>ROUND(D550*'MINI SSR 19-20'!F36,2)</f>
        <v>79.5</v>
      </c>
      <c r="F550" s="1662">
        <f>ROUND(D550*'MINI SSR 19-20'!G36,2)</f>
        <v>113.8</v>
      </c>
      <c r="G550" s="1660"/>
      <c r="H550" s="1658" t="s">
        <v>2226</v>
      </c>
    </row>
    <row r="551" spans="1:8" s="1575" customFormat="1">
      <c r="A551" s="1570"/>
      <c r="B551" s="1664"/>
      <c r="C551" s="1753" t="s">
        <v>870</v>
      </c>
      <c r="D551" s="1678" t="s">
        <v>326</v>
      </c>
      <c r="E551" s="1679">
        <v>0</v>
      </c>
      <c r="F551" s="1679">
        <f>ROUND(((SUM(G541:G543)+F550)*D551/100),2)</f>
        <v>877.38</v>
      </c>
      <c r="G551" s="1660"/>
      <c r="H551" s="1658" t="s">
        <v>2226</v>
      </c>
    </row>
    <row r="552" spans="1:8" s="1575" customFormat="1">
      <c r="A552" s="1570"/>
      <c r="B552" s="1664"/>
      <c r="C552" s="1755" t="s">
        <v>869</v>
      </c>
      <c r="D552" s="1678"/>
      <c r="E552" s="1662">
        <f>SUM(E548:E551)</f>
        <v>18157.850000000002</v>
      </c>
      <c r="F552" s="1662">
        <f>SUM(F548:F551)</f>
        <v>19069.530000000002</v>
      </c>
      <c r="G552" s="1660"/>
      <c r="H552" s="1658" t="s">
        <v>2226</v>
      </c>
    </row>
    <row r="553" spans="1:8" s="1575" customFormat="1">
      <c r="A553" s="1570"/>
      <c r="B553" s="1664"/>
      <c r="C553" s="1755" t="s">
        <v>871</v>
      </c>
      <c r="D553" s="1659"/>
      <c r="E553" s="1676">
        <f>ROUND(E552/10,2)</f>
        <v>1815.79</v>
      </c>
      <c r="F553" s="1676">
        <f>ROUND(F552/10,2)</f>
        <v>1906.95</v>
      </c>
      <c r="G553" s="1660"/>
      <c r="H553" s="1658" t="s">
        <v>2226</v>
      </c>
    </row>
    <row r="554" spans="1:8" s="1575" customFormat="1" ht="102">
      <c r="A554" s="1570">
        <v>21</v>
      </c>
      <c r="B554" s="1664" t="s">
        <v>1313</v>
      </c>
      <c r="C554" s="1753" t="s">
        <v>1312</v>
      </c>
      <c r="D554" s="1656"/>
      <c r="E554" s="1656"/>
      <c r="F554" s="1656"/>
      <c r="G554" s="1664"/>
      <c r="H554" s="1658" t="s">
        <v>2226</v>
      </c>
    </row>
    <row r="555" spans="1:8" s="1575" customFormat="1">
      <c r="A555" s="1570"/>
      <c r="B555" s="1664"/>
      <c r="C555" s="1755" t="s">
        <v>42</v>
      </c>
      <c r="D555" s="1656"/>
      <c r="E555" s="1656"/>
      <c r="F555" s="1656"/>
      <c r="G555" s="1661"/>
      <c r="H555" s="1658" t="s">
        <v>2226</v>
      </c>
    </row>
    <row r="556" spans="1:8" s="1575" customFormat="1">
      <c r="A556" s="1570"/>
      <c r="B556" s="1664"/>
      <c r="C556" s="1755" t="s">
        <v>60</v>
      </c>
      <c r="D556" s="1656"/>
      <c r="E556" s="1656"/>
      <c r="F556" s="1656"/>
      <c r="G556" s="1661"/>
      <c r="H556" s="1658" t="s">
        <v>2226</v>
      </c>
    </row>
    <row r="557" spans="1:8" s="1575" customFormat="1">
      <c r="A557" s="1570"/>
      <c r="B557" s="1664"/>
      <c r="C557" s="1753" t="s">
        <v>43</v>
      </c>
      <c r="D557" s="1656" t="s">
        <v>35</v>
      </c>
      <c r="E557" s="1659">
        <v>0.15</v>
      </c>
      <c r="F557" s="1659">
        <f>G12</f>
        <v>3878.04</v>
      </c>
      <c r="G557" s="1660">
        <f>ROUND(E557*F557,2)</f>
        <v>581.71</v>
      </c>
      <c r="H557" s="1658" t="s">
        <v>2226</v>
      </c>
    </row>
    <row r="558" spans="1:8" s="1575" customFormat="1" ht="25.5">
      <c r="A558" s="1570"/>
      <c r="B558" s="1664"/>
      <c r="C558" s="1753" t="s">
        <v>3460</v>
      </c>
      <c r="D558" s="1656" t="s">
        <v>4</v>
      </c>
      <c r="E558" s="1659">
        <v>2</v>
      </c>
      <c r="F558" s="1659">
        <f>'MINI SSR 19-20'!$C$44</f>
        <v>67</v>
      </c>
      <c r="G558" s="1660">
        <f>ROUND(E558*F558,2)</f>
        <v>134</v>
      </c>
      <c r="H558" s="1658" t="s">
        <v>2226</v>
      </c>
    </row>
    <row r="559" spans="1:8" s="1575" customFormat="1">
      <c r="A559" s="1656"/>
      <c r="B559" s="1656"/>
      <c r="C559" s="1755" t="s">
        <v>68</v>
      </c>
      <c r="D559" s="1656"/>
      <c r="E559" s="1659"/>
      <c r="F559" s="1659"/>
      <c r="G559" s="1660"/>
      <c r="H559" s="1658" t="s">
        <v>2226</v>
      </c>
    </row>
    <row r="560" spans="1:8" s="1575" customFormat="1">
      <c r="A560" s="1656"/>
      <c r="B560" s="1656"/>
      <c r="C560" s="1753" t="s">
        <v>64</v>
      </c>
      <c r="D560" s="1656" t="s">
        <v>27</v>
      </c>
      <c r="E560" s="1659">
        <v>0.45</v>
      </c>
      <c r="F560" s="1662">
        <f>'MINI SSR 19-20'!$H$3</f>
        <v>500</v>
      </c>
      <c r="G560" s="1660">
        <f>ROUND(E560*F560,2)</f>
        <v>225</v>
      </c>
      <c r="H560" s="1658" t="s">
        <v>2226</v>
      </c>
    </row>
    <row r="561" spans="1:8" s="1575" customFormat="1">
      <c r="A561" s="1656"/>
      <c r="B561" s="1656"/>
      <c r="C561" s="1753" t="s">
        <v>69</v>
      </c>
      <c r="D561" s="1656" t="s">
        <v>27</v>
      </c>
      <c r="E561" s="1659">
        <v>1.05</v>
      </c>
      <c r="F561" s="1662">
        <f>'MINI SSR 19-20'!$H$4</f>
        <v>460</v>
      </c>
      <c r="G561" s="1660">
        <f>ROUND(E561*F561,2)</f>
        <v>483</v>
      </c>
      <c r="H561" s="1658" t="s">
        <v>2226</v>
      </c>
    </row>
    <row r="562" spans="1:8" s="1575" customFormat="1">
      <c r="A562" s="1656"/>
      <c r="B562" s="1656"/>
      <c r="C562" s="1753" t="s">
        <v>85</v>
      </c>
      <c r="D562" s="1656" t="s">
        <v>27</v>
      </c>
      <c r="E562" s="1659">
        <v>2.8</v>
      </c>
      <c r="F562" s="1662">
        <f>'MINI SSR 19-20'!$H$5</f>
        <v>420</v>
      </c>
      <c r="G562" s="1660">
        <f>ROUND(E562*F562,2)</f>
        <v>1176</v>
      </c>
      <c r="H562" s="1658" t="s">
        <v>2226</v>
      </c>
    </row>
    <row r="563" spans="1:8" s="1575" customFormat="1">
      <c r="A563" s="1656"/>
      <c r="B563" s="1656"/>
      <c r="C563" s="1755" t="s">
        <v>88</v>
      </c>
      <c r="D563" s="1656"/>
      <c r="E563" s="1656"/>
      <c r="F563" s="1656"/>
      <c r="G563" s="1667">
        <f>SUM(G557:G562)</f>
        <v>2599.71</v>
      </c>
      <c r="H563" s="1658" t="s">
        <v>2226</v>
      </c>
    </row>
    <row r="564" spans="1:8" s="1575" customFormat="1">
      <c r="A564" s="1656"/>
      <c r="B564" s="1656"/>
      <c r="C564" s="1755"/>
      <c r="D564" s="1656"/>
      <c r="E564" s="1664" t="s">
        <v>161</v>
      </c>
      <c r="F564" s="1664" t="s">
        <v>162</v>
      </c>
      <c r="G564" s="1663" t="s">
        <v>162</v>
      </c>
      <c r="H564" s="1658" t="s">
        <v>2226</v>
      </c>
    </row>
    <row r="565" spans="1:8" s="1575" customFormat="1">
      <c r="A565" s="1656"/>
      <c r="B565" s="1656"/>
      <c r="C565" s="1755" t="s">
        <v>1274</v>
      </c>
      <c r="D565" s="1656"/>
      <c r="E565" s="1659">
        <f>G563</f>
        <v>2599.71</v>
      </c>
      <c r="F565" s="1659">
        <f>G563</f>
        <v>2599.71</v>
      </c>
      <c r="G565" s="1661">
        <f>G563</f>
        <v>2599.71</v>
      </c>
      <c r="H565" s="1658" t="s">
        <v>2226</v>
      </c>
    </row>
    <row r="566" spans="1:8" s="1575" customFormat="1" ht="25.5">
      <c r="A566" s="1656"/>
      <c r="B566" s="1656"/>
      <c r="C566" s="1753" t="s">
        <v>1286</v>
      </c>
      <c r="D566" s="1656"/>
      <c r="E566" s="1656"/>
      <c r="F566" s="1661">
        <f>(SUM(G560:G562)*10%)</f>
        <v>188.4</v>
      </c>
      <c r="G566" s="1661">
        <f>(SUM(G560:G562)*20%)</f>
        <v>376.8</v>
      </c>
      <c r="H566" s="1658" t="s">
        <v>2226</v>
      </c>
    </row>
    <row r="567" spans="1:8" s="1575" customFormat="1">
      <c r="A567" s="1656"/>
      <c r="B567" s="1656"/>
      <c r="C567" s="1755" t="s">
        <v>88</v>
      </c>
      <c r="D567" s="1656"/>
      <c r="E567" s="1659">
        <f>SUM(E565:E566)</f>
        <v>2599.71</v>
      </c>
      <c r="F567" s="1659">
        <f>SUM(F565:F566)</f>
        <v>2788.11</v>
      </c>
      <c r="G567" s="1661">
        <f>SUM(G565:G566)</f>
        <v>2976.51</v>
      </c>
      <c r="H567" s="1658" t="s">
        <v>2226</v>
      </c>
    </row>
    <row r="568" spans="1:8" s="1575" customFormat="1">
      <c r="A568" s="1656"/>
      <c r="B568" s="1656"/>
      <c r="C568" s="1755" t="s">
        <v>121</v>
      </c>
      <c r="D568" s="1656"/>
      <c r="E568" s="1663">
        <f>ROUND(E567/10,2)</f>
        <v>259.97000000000003</v>
      </c>
      <c r="F568" s="1663">
        <f>ROUND(F567/10,2)</f>
        <v>278.81</v>
      </c>
      <c r="G568" s="1667">
        <f>ROUND(G567/10,2)</f>
        <v>297.64999999999998</v>
      </c>
      <c r="H568" s="1658" t="s">
        <v>2226</v>
      </c>
    </row>
    <row r="569" spans="1:8" ht="102" hidden="1">
      <c r="A569" s="1156">
        <v>14</v>
      </c>
      <c r="B569" s="1218" t="s">
        <v>1313</v>
      </c>
      <c r="C569" s="1752" t="s">
        <v>899</v>
      </c>
      <c r="D569" s="1212"/>
      <c r="E569" s="1212"/>
      <c r="F569" s="1212"/>
      <c r="G569" s="1218" t="s">
        <v>148</v>
      </c>
      <c r="H569" s="1205" t="s">
        <v>2226</v>
      </c>
    </row>
    <row r="570" spans="1:8" hidden="1">
      <c r="A570" s="1156"/>
      <c r="B570" s="1218"/>
      <c r="C570" s="1754" t="s">
        <v>42</v>
      </c>
      <c r="D570" s="1212"/>
      <c r="E570" s="1212"/>
      <c r="F570" s="1212"/>
      <c r="G570" s="1215"/>
      <c r="H570" s="1205" t="s">
        <v>2226</v>
      </c>
    </row>
    <row r="571" spans="1:8" hidden="1">
      <c r="A571" s="1156"/>
      <c r="B571" s="1218"/>
      <c r="C571" s="1754" t="s">
        <v>60</v>
      </c>
      <c r="D571" s="1212"/>
      <c r="E571" s="1212"/>
      <c r="F571" s="1212"/>
      <c r="G571" s="1215"/>
      <c r="H571" s="1205" t="s">
        <v>2226</v>
      </c>
    </row>
    <row r="572" spans="1:8" hidden="1">
      <c r="A572" s="1156"/>
      <c r="B572" s="1218"/>
      <c r="C572" s="1752" t="s">
        <v>43</v>
      </c>
      <c r="D572" s="1212" t="s">
        <v>35</v>
      </c>
      <c r="E572" s="1213">
        <v>0.21</v>
      </c>
      <c r="F572" s="1213">
        <f>G27</f>
        <v>2750.04</v>
      </c>
      <c r="G572" s="1214">
        <f>ROUND(E572*F572,2)</f>
        <v>577.51</v>
      </c>
      <c r="H572" s="1205" t="s">
        <v>2226</v>
      </c>
    </row>
    <row r="573" spans="1:8" ht="25.5" hidden="1">
      <c r="A573" s="1156"/>
      <c r="B573" s="1218"/>
      <c r="C573" s="1752" t="s">
        <v>3460</v>
      </c>
      <c r="D573" s="1212" t="s">
        <v>4</v>
      </c>
      <c r="E573" s="1213">
        <v>2</v>
      </c>
      <c r="F573" s="1213">
        <f>'MINI SSR 19-20'!$C$44</f>
        <v>67</v>
      </c>
      <c r="G573" s="1214">
        <f>ROUND(E573*F573,2)</f>
        <v>134</v>
      </c>
      <c r="H573" s="1205" t="s">
        <v>2226</v>
      </c>
    </row>
    <row r="574" spans="1:8" hidden="1">
      <c r="A574" s="1212"/>
      <c r="B574" s="1212"/>
      <c r="C574" s="1754" t="s">
        <v>68</v>
      </c>
      <c r="D574" s="1212"/>
      <c r="E574" s="1213"/>
      <c r="F574" s="1213"/>
      <c r="G574" s="1214"/>
      <c r="H574" s="1205" t="s">
        <v>2226</v>
      </c>
    </row>
    <row r="575" spans="1:8" hidden="1">
      <c r="A575" s="1212"/>
      <c r="B575" s="1212"/>
      <c r="C575" s="1752" t="s">
        <v>64</v>
      </c>
      <c r="D575" s="1212" t="s">
        <v>27</v>
      </c>
      <c r="E575" s="1213">
        <v>0.66</v>
      </c>
      <c r="F575" s="1216">
        <f>'MINI SSR 19-20'!$H$3</f>
        <v>500</v>
      </c>
      <c r="G575" s="1214">
        <f>ROUND(E575*F575,2)</f>
        <v>330</v>
      </c>
      <c r="H575" s="1205" t="s">
        <v>2226</v>
      </c>
    </row>
    <row r="576" spans="1:8" hidden="1">
      <c r="A576" s="1212"/>
      <c r="B576" s="1212"/>
      <c r="C576" s="1752" t="s">
        <v>69</v>
      </c>
      <c r="D576" s="1212" t="s">
        <v>27</v>
      </c>
      <c r="E576" s="1213">
        <v>1.54</v>
      </c>
      <c r="F576" s="1216">
        <f>'MINI SSR 19-20'!$H$4</f>
        <v>460</v>
      </c>
      <c r="G576" s="1214">
        <f>ROUND(E576*F576,2)</f>
        <v>708.4</v>
      </c>
      <c r="H576" s="1205" t="s">
        <v>2226</v>
      </c>
    </row>
    <row r="577" spans="1:8" hidden="1">
      <c r="A577" s="1212"/>
      <c r="B577" s="1212"/>
      <c r="C577" s="1752" t="s">
        <v>85</v>
      </c>
      <c r="D577" s="1212" t="s">
        <v>27</v>
      </c>
      <c r="E577" s="1213">
        <v>3.7</v>
      </c>
      <c r="F577" s="1216">
        <f>'MINI SSR 19-20'!$H$5</f>
        <v>420</v>
      </c>
      <c r="G577" s="1214">
        <f>ROUND(E577*F577,2)</f>
        <v>1554</v>
      </c>
      <c r="H577" s="1205" t="s">
        <v>2226</v>
      </c>
    </row>
    <row r="578" spans="1:8" hidden="1">
      <c r="A578" s="1212"/>
      <c r="B578" s="1212"/>
      <c r="C578" s="1754" t="s">
        <v>88</v>
      </c>
      <c r="D578" s="1212"/>
      <c r="E578" s="1212"/>
      <c r="F578" s="1212"/>
      <c r="G578" s="1222">
        <f>SUM(G572:G577)</f>
        <v>3303.91</v>
      </c>
      <c r="H578" s="1205" t="s">
        <v>2226</v>
      </c>
    </row>
    <row r="579" spans="1:8" hidden="1">
      <c r="A579" s="1212"/>
      <c r="B579" s="1212"/>
      <c r="C579" s="1754"/>
      <c r="D579" s="1212"/>
      <c r="E579" s="1218" t="s">
        <v>161</v>
      </c>
      <c r="F579" s="1218" t="s">
        <v>162</v>
      </c>
      <c r="G579" s="1217" t="s">
        <v>163</v>
      </c>
      <c r="H579" s="1205" t="s">
        <v>2226</v>
      </c>
    </row>
    <row r="580" spans="1:8" hidden="1">
      <c r="A580" s="1212"/>
      <c r="B580" s="1212"/>
      <c r="C580" s="1754" t="s">
        <v>1274</v>
      </c>
      <c r="D580" s="1212"/>
      <c r="E580" s="1213">
        <f>G578</f>
        <v>3303.91</v>
      </c>
      <c r="F580" s="1213">
        <f>G578</f>
        <v>3303.91</v>
      </c>
      <c r="G580" s="1215">
        <f>G578</f>
        <v>3303.91</v>
      </c>
      <c r="H580" s="1205" t="s">
        <v>2226</v>
      </c>
    </row>
    <row r="581" spans="1:8" ht="25.5" hidden="1">
      <c r="A581" s="1212"/>
      <c r="B581" s="1212"/>
      <c r="C581" s="1752" t="s">
        <v>1286</v>
      </c>
      <c r="D581" s="1212"/>
      <c r="E581" s="1212"/>
      <c r="F581" s="1215">
        <f>(SUM(G575:G577)*10%)</f>
        <v>259.24</v>
      </c>
      <c r="G581" s="1215">
        <f>(SUM(G575:G577)*20%)</f>
        <v>518.48</v>
      </c>
      <c r="H581" s="1205" t="s">
        <v>2226</v>
      </c>
    </row>
    <row r="582" spans="1:8" hidden="1">
      <c r="A582" s="1212"/>
      <c r="B582" s="1212"/>
      <c r="C582" s="1754" t="s">
        <v>88</v>
      </c>
      <c r="D582" s="1212"/>
      <c r="E582" s="1213">
        <f>SUM(E580:E581)</f>
        <v>3303.91</v>
      </c>
      <c r="F582" s="1213">
        <f>SUM(F580:F581)</f>
        <v>3563.1499999999996</v>
      </c>
      <c r="G582" s="1215">
        <f>SUM(G580:G581)</f>
        <v>3822.39</v>
      </c>
      <c r="H582" s="1205" t="s">
        <v>2226</v>
      </c>
    </row>
    <row r="583" spans="1:8" hidden="1">
      <c r="A583" s="1212"/>
      <c r="B583" s="1212"/>
      <c r="C583" s="1754" t="s">
        <v>121</v>
      </c>
      <c r="D583" s="1212"/>
      <c r="E583" s="1217">
        <f>ROUND(E582/10,2)</f>
        <v>330.39</v>
      </c>
      <c r="F583" s="1217">
        <f>ROUND(F582/10,2)</f>
        <v>356.32</v>
      </c>
      <c r="G583" s="1222">
        <f>ROUND(G582/10,2)</f>
        <v>382.24</v>
      </c>
      <c r="H583" s="1205" t="s">
        <v>2226</v>
      </c>
    </row>
    <row r="584" spans="1:8" s="1575" customFormat="1" ht="165.75">
      <c r="A584" s="1570">
        <v>22</v>
      </c>
      <c r="B584" s="1664" t="s">
        <v>666</v>
      </c>
      <c r="C584" s="1753" t="s">
        <v>665</v>
      </c>
      <c r="D584" s="1656"/>
      <c r="E584" s="1656"/>
      <c r="F584" s="1656"/>
      <c r="G584" s="1664"/>
      <c r="H584" s="1658" t="s">
        <v>2226</v>
      </c>
    </row>
    <row r="585" spans="1:8" s="1575" customFormat="1">
      <c r="A585" s="1570"/>
      <c r="B585" s="1664"/>
      <c r="C585" s="1755" t="s">
        <v>42</v>
      </c>
      <c r="D585" s="1656"/>
      <c r="E585" s="1656"/>
      <c r="F585" s="1656"/>
      <c r="G585" s="1661"/>
      <c r="H585" s="1658" t="s">
        <v>2226</v>
      </c>
    </row>
    <row r="586" spans="1:8" s="1575" customFormat="1">
      <c r="A586" s="1570"/>
      <c r="B586" s="1664"/>
      <c r="C586" s="1755" t="s">
        <v>60</v>
      </c>
      <c r="D586" s="1656"/>
      <c r="E586" s="1656"/>
      <c r="F586" s="1656"/>
      <c r="G586" s="1661"/>
      <c r="H586" s="1658" t="s">
        <v>2226</v>
      </c>
    </row>
    <row r="587" spans="1:8" s="1575" customFormat="1" ht="25.5">
      <c r="A587" s="1570"/>
      <c r="B587" s="1664"/>
      <c r="C587" s="1753" t="s">
        <v>667</v>
      </c>
      <c r="D587" s="1656" t="s">
        <v>77</v>
      </c>
      <c r="E587" s="1659">
        <v>10.5</v>
      </c>
      <c r="F587" s="1659">
        <f>'lead 19-20'!L22</f>
        <v>2119.6080000000002</v>
      </c>
      <c r="G587" s="1660">
        <f>ROUND(E587*F587/1,2)</f>
        <v>22255.88</v>
      </c>
      <c r="H587" s="1658" t="s">
        <v>2226</v>
      </c>
    </row>
    <row r="588" spans="1:8" s="1575" customFormat="1">
      <c r="A588" s="1570"/>
      <c r="B588" s="1664"/>
      <c r="C588" s="1753" t="s">
        <v>91</v>
      </c>
      <c r="D588" s="1656" t="s">
        <v>4</v>
      </c>
      <c r="E588" s="1659">
        <v>36</v>
      </c>
      <c r="F588" s="1659">
        <f>'lead 19-20'!L8</f>
        <v>4700</v>
      </c>
      <c r="G588" s="1660">
        <f>ROUND(E588*F588/1000,2)</f>
        <v>169.2</v>
      </c>
      <c r="H588" s="1658" t="s">
        <v>2226</v>
      </c>
    </row>
    <row r="589" spans="1:8" s="1575" customFormat="1">
      <c r="A589" s="1570"/>
      <c r="B589" s="1664"/>
      <c r="C589" s="1753" t="s">
        <v>92</v>
      </c>
      <c r="D589" s="1656" t="s">
        <v>4</v>
      </c>
      <c r="E589" s="1659">
        <v>33</v>
      </c>
      <c r="F589" s="1659">
        <f>F588</f>
        <v>4700</v>
      </c>
      <c r="G589" s="1660">
        <f>ROUND(E589*F589/1000,2)</f>
        <v>155.1</v>
      </c>
      <c r="H589" s="1658" t="s">
        <v>2226</v>
      </c>
    </row>
    <row r="590" spans="1:8" s="1575" customFormat="1">
      <c r="A590" s="1570"/>
      <c r="B590" s="1664"/>
      <c r="C590" s="1753" t="s">
        <v>93</v>
      </c>
      <c r="D590" s="1656" t="s">
        <v>4</v>
      </c>
      <c r="E590" s="1659">
        <v>6</v>
      </c>
      <c r="F590" s="1659">
        <f>F589</f>
        <v>4700</v>
      </c>
      <c r="G590" s="1660">
        <f>ROUND(E590*F590/1000,2)</f>
        <v>28.2</v>
      </c>
      <c r="H590" s="1658" t="s">
        <v>2226</v>
      </c>
    </row>
    <row r="591" spans="1:8" s="1575" customFormat="1">
      <c r="A591" s="1570"/>
      <c r="B591" s="1664"/>
      <c r="C591" s="1753" t="s">
        <v>114</v>
      </c>
      <c r="D591" s="1656" t="s">
        <v>35</v>
      </c>
      <c r="E591" s="1659">
        <v>0.2</v>
      </c>
      <c r="F591" s="1659">
        <f>'lead 19-20'!L12</f>
        <v>1464.7999999999988</v>
      </c>
      <c r="G591" s="1660">
        <f>ROUND(E591*F591,2)</f>
        <v>292.95999999999998</v>
      </c>
      <c r="H591" s="1658" t="s">
        <v>2226</v>
      </c>
    </row>
    <row r="592" spans="1:8" s="1575" customFormat="1">
      <c r="A592" s="1656"/>
      <c r="B592" s="1656"/>
      <c r="C592" s="1755" t="s">
        <v>68</v>
      </c>
      <c r="D592" s="1656"/>
      <c r="E592" s="1659"/>
      <c r="F592" s="1659"/>
      <c r="G592" s="1660"/>
      <c r="H592" s="1658" t="s">
        <v>2226</v>
      </c>
    </row>
    <row r="593" spans="1:8" s="1575" customFormat="1">
      <c r="A593" s="1656"/>
      <c r="B593" s="1656"/>
      <c r="C593" s="1753" t="s">
        <v>64</v>
      </c>
      <c r="D593" s="1656" t="s">
        <v>27</v>
      </c>
      <c r="E593" s="1659">
        <v>3</v>
      </c>
      <c r="F593" s="1662">
        <f>'MINI SSR 19-20'!$H$3</f>
        <v>500</v>
      </c>
      <c r="G593" s="1660">
        <f>ROUND(E593*F593,2)</f>
        <v>1500</v>
      </c>
      <c r="H593" s="1658" t="s">
        <v>2226</v>
      </c>
    </row>
    <row r="594" spans="1:8" s="1575" customFormat="1">
      <c r="A594" s="1656"/>
      <c r="B594" s="1656"/>
      <c r="C594" s="1753" t="s">
        <v>69</v>
      </c>
      <c r="D594" s="1656" t="s">
        <v>27</v>
      </c>
      <c r="E594" s="1659">
        <v>1</v>
      </c>
      <c r="F594" s="1662">
        <f>'MINI SSR 19-20'!$H$4</f>
        <v>460</v>
      </c>
      <c r="G594" s="1660">
        <f>ROUND(E594*F594,2)</f>
        <v>460</v>
      </c>
      <c r="H594" s="1658" t="s">
        <v>2226</v>
      </c>
    </row>
    <row r="595" spans="1:8" s="1575" customFormat="1">
      <c r="A595" s="1656"/>
      <c r="B595" s="1656"/>
      <c r="C595" s="1753" t="s">
        <v>85</v>
      </c>
      <c r="D595" s="1656" t="s">
        <v>27</v>
      </c>
      <c r="E595" s="1659">
        <v>8</v>
      </c>
      <c r="F595" s="1662">
        <f>'MINI SSR 19-20'!$H$5</f>
        <v>420</v>
      </c>
      <c r="G595" s="1660">
        <f>ROUND(E595*F595,2)</f>
        <v>3360</v>
      </c>
      <c r="H595" s="1658" t="s">
        <v>2226</v>
      </c>
    </row>
    <row r="596" spans="1:8" s="1575" customFormat="1">
      <c r="A596" s="1656"/>
      <c r="B596" s="1656"/>
      <c r="C596" s="1753" t="s">
        <v>895</v>
      </c>
      <c r="D596" s="1656"/>
      <c r="E596" s="1659">
        <v>0.01</v>
      </c>
      <c r="F596" s="1659">
        <f>SUM(G588:G595)</f>
        <v>5965.46</v>
      </c>
      <c r="G596" s="1660">
        <f>ROUND(E596*F596,2)</f>
        <v>59.65</v>
      </c>
      <c r="H596" s="1658" t="s">
        <v>2226</v>
      </c>
    </row>
    <row r="597" spans="1:8" s="1575" customFormat="1">
      <c r="A597" s="1656"/>
      <c r="B597" s="1656"/>
      <c r="C597" s="1755" t="s">
        <v>88</v>
      </c>
      <c r="D597" s="1656"/>
      <c r="E597" s="1656"/>
      <c r="F597" s="1656"/>
      <c r="G597" s="1667">
        <f>SUM(G587:G596)</f>
        <v>28280.99</v>
      </c>
      <c r="H597" s="1658" t="s">
        <v>2226</v>
      </c>
    </row>
    <row r="598" spans="1:8" s="1575" customFormat="1">
      <c r="A598" s="1656"/>
      <c r="B598" s="1656"/>
      <c r="C598" s="1755"/>
      <c r="D598" s="1656"/>
      <c r="E598" s="1664" t="s">
        <v>161</v>
      </c>
      <c r="F598" s="1664" t="s">
        <v>162</v>
      </c>
      <c r="G598" s="1663" t="s">
        <v>163</v>
      </c>
      <c r="H598" s="1658" t="s">
        <v>2226</v>
      </c>
    </row>
    <row r="599" spans="1:8" s="1575" customFormat="1">
      <c r="A599" s="1656"/>
      <c r="B599" s="1656"/>
      <c r="C599" s="1755" t="s">
        <v>1274</v>
      </c>
      <c r="D599" s="1656"/>
      <c r="E599" s="1659">
        <f>G597</f>
        <v>28280.99</v>
      </c>
      <c r="F599" s="1659">
        <f>G597</f>
        <v>28280.99</v>
      </c>
      <c r="G599" s="1661">
        <f>G597</f>
        <v>28280.99</v>
      </c>
      <c r="H599" s="1658" t="s">
        <v>2226</v>
      </c>
    </row>
    <row r="600" spans="1:8" s="1575" customFormat="1" ht="25.5">
      <c r="A600" s="1656"/>
      <c r="B600" s="1656"/>
      <c r="C600" s="1753" t="s">
        <v>1286</v>
      </c>
      <c r="D600" s="1656"/>
      <c r="E600" s="1659"/>
      <c r="F600" s="1661">
        <f>ROUND((G593+G594+G595)*0.1,2)</f>
        <v>532</v>
      </c>
      <c r="G600" s="1661">
        <f>ROUND((G593+G594+G595)*0.2,2)</f>
        <v>1064</v>
      </c>
      <c r="H600" s="1658" t="s">
        <v>2226</v>
      </c>
    </row>
    <row r="601" spans="1:8" s="1575" customFormat="1">
      <c r="A601" s="1656"/>
      <c r="B601" s="1656"/>
      <c r="C601" s="1755" t="s">
        <v>88</v>
      </c>
      <c r="D601" s="1656"/>
      <c r="E601" s="1659">
        <f>SUM(E599:E600)</f>
        <v>28280.99</v>
      </c>
      <c r="F601" s="1661">
        <f>SUM(F599:F600)</f>
        <v>28812.99</v>
      </c>
      <c r="G601" s="1661">
        <f>SUM(G599:G600)</f>
        <v>29344.99</v>
      </c>
      <c r="H601" s="1658" t="s">
        <v>2226</v>
      </c>
    </row>
    <row r="602" spans="1:8" s="1575" customFormat="1">
      <c r="A602" s="1656"/>
      <c r="B602" s="1656"/>
      <c r="C602" s="1755" t="s">
        <v>121</v>
      </c>
      <c r="D602" s="1656"/>
      <c r="E602" s="1663">
        <f>ROUND(E601/10,2)</f>
        <v>2828.1</v>
      </c>
      <c r="F602" s="1663">
        <f>ROUND(F601/10,2)</f>
        <v>2881.3</v>
      </c>
      <c r="G602" s="1667">
        <f>ROUND(G601/10,2)</f>
        <v>2934.5</v>
      </c>
      <c r="H602" s="1658" t="s">
        <v>2226</v>
      </c>
    </row>
    <row r="603" spans="1:8" s="1575" customFormat="1" ht="153">
      <c r="A603" s="1570">
        <v>23</v>
      </c>
      <c r="B603" s="1664" t="s">
        <v>668</v>
      </c>
      <c r="C603" s="1753" t="s">
        <v>671</v>
      </c>
      <c r="D603" s="1656"/>
      <c r="E603" s="1656"/>
      <c r="F603" s="1656"/>
      <c r="G603" s="1664"/>
      <c r="H603" s="1658" t="s">
        <v>2226</v>
      </c>
    </row>
    <row r="604" spans="1:8" s="1575" customFormat="1">
      <c r="A604" s="1570"/>
      <c r="B604" s="1664"/>
      <c r="C604" s="1755" t="s">
        <v>42</v>
      </c>
      <c r="D604" s="1656"/>
      <c r="E604" s="1656"/>
      <c r="F604" s="1656"/>
      <c r="G604" s="1661"/>
      <c r="H604" s="1658" t="s">
        <v>2226</v>
      </c>
    </row>
    <row r="605" spans="1:8" s="1575" customFormat="1">
      <c r="A605" s="1570"/>
      <c r="B605" s="1664"/>
      <c r="C605" s="1755" t="s">
        <v>60</v>
      </c>
      <c r="D605" s="1656"/>
      <c r="E605" s="1656"/>
      <c r="F605" s="1656"/>
      <c r="G605" s="1661"/>
      <c r="H605" s="1658" t="s">
        <v>2226</v>
      </c>
    </row>
    <row r="606" spans="1:8" s="1575" customFormat="1" ht="25.5">
      <c r="A606" s="1570"/>
      <c r="B606" s="1664"/>
      <c r="C606" s="1753" t="s">
        <v>667</v>
      </c>
      <c r="D606" s="1656" t="s">
        <v>77</v>
      </c>
      <c r="E606" s="1659">
        <v>10.5</v>
      </c>
      <c r="F606" s="1659">
        <f>F587</f>
        <v>2119.6080000000002</v>
      </c>
      <c r="G606" s="1660">
        <f>ROUND(E606*F606/1,2)</f>
        <v>22255.88</v>
      </c>
      <c r="H606" s="1658" t="s">
        <v>2226</v>
      </c>
    </row>
    <row r="607" spans="1:8" s="1575" customFormat="1">
      <c r="A607" s="1570"/>
      <c r="B607" s="1664"/>
      <c r="C607" s="1753" t="s">
        <v>669</v>
      </c>
      <c r="D607" s="1656" t="s">
        <v>35</v>
      </c>
      <c r="E607" s="1659">
        <v>0.12</v>
      </c>
      <c r="F607" s="1659">
        <f>F591</f>
        <v>1464.7999999999988</v>
      </c>
      <c r="G607" s="1660">
        <f>ROUND(E607*F607,2)</f>
        <v>175.78</v>
      </c>
      <c r="H607" s="1658" t="s">
        <v>2226</v>
      </c>
    </row>
    <row r="608" spans="1:8" s="1575" customFormat="1">
      <c r="A608" s="1570"/>
      <c r="B608" s="1664"/>
      <c r="C608" s="1753" t="s">
        <v>105</v>
      </c>
      <c r="D608" s="1656" t="s">
        <v>4</v>
      </c>
      <c r="E608" s="1659">
        <v>57.6</v>
      </c>
      <c r="F608" s="1659">
        <f>F588</f>
        <v>4700</v>
      </c>
      <c r="G608" s="1660">
        <f>ROUND(E608*F608/1000,2)</f>
        <v>270.72000000000003</v>
      </c>
      <c r="H608" s="1658" t="s">
        <v>2226</v>
      </c>
    </row>
    <row r="609" spans="1:8" s="1575" customFormat="1">
      <c r="A609" s="1570"/>
      <c r="B609" s="1664"/>
      <c r="C609" s="1753" t="s">
        <v>92</v>
      </c>
      <c r="D609" s="1656" t="s">
        <v>4</v>
      </c>
      <c r="E609" s="1659">
        <v>33</v>
      </c>
      <c r="F609" s="1659">
        <f>F589</f>
        <v>4700</v>
      </c>
      <c r="G609" s="1660">
        <f>ROUND(E609*F609/1000,2)</f>
        <v>155.1</v>
      </c>
      <c r="H609" s="1658" t="s">
        <v>2226</v>
      </c>
    </row>
    <row r="610" spans="1:8" s="1575" customFormat="1">
      <c r="A610" s="1570"/>
      <c r="B610" s="1664"/>
      <c r="C610" s="1753" t="s">
        <v>670</v>
      </c>
      <c r="D610" s="1656" t="s">
        <v>4</v>
      </c>
      <c r="E610" s="1659">
        <v>5</v>
      </c>
      <c r="F610" s="1659">
        <f>'MINI SSR 19-20'!C45</f>
        <v>27</v>
      </c>
      <c r="G610" s="1660">
        <f>ROUND(E610*F610,2)</f>
        <v>135</v>
      </c>
      <c r="H610" s="1658" t="s">
        <v>2226</v>
      </c>
    </row>
    <row r="611" spans="1:8" s="1575" customFormat="1">
      <c r="A611" s="1656"/>
      <c r="B611" s="1656"/>
      <c r="C611" s="1755" t="s">
        <v>68</v>
      </c>
      <c r="D611" s="1656"/>
      <c r="E611" s="1659"/>
      <c r="F611" s="1659"/>
      <c r="G611" s="1660"/>
      <c r="H611" s="1658" t="s">
        <v>2226</v>
      </c>
    </row>
    <row r="612" spans="1:8" s="1575" customFormat="1">
      <c r="A612" s="1656"/>
      <c r="B612" s="1656"/>
      <c r="C612" s="1753" t="s">
        <v>64</v>
      </c>
      <c r="D612" s="1656" t="s">
        <v>27</v>
      </c>
      <c r="E612" s="1659">
        <v>2.1</v>
      </c>
      <c r="F612" s="1662">
        <f>'MINI SSR 19-20'!$H$3</f>
        <v>500</v>
      </c>
      <c r="G612" s="1660">
        <f>ROUND(E612*F612,2)</f>
        <v>1050</v>
      </c>
      <c r="H612" s="1658" t="s">
        <v>2226</v>
      </c>
    </row>
    <row r="613" spans="1:8" s="1575" customFormat="1">
      <c r="A613" s="1656"/>
      <c r="B613" s="1656"/>
      <c r="C613" s="1753" t="s">
        <v>69</v>
      </c>
      <c r="D613" s="1656" t="s">
        <v>27</v>
      </c>
      <c r="E613" s="1659">
        <v>4.9000000000000004</v>
      </c>
      <c r="F613" s="1662">
        <f>'MINI SSR 19-20'!$H$4</f>
        <v>460</v>
      </c>
      <c r="G613" s="1660">
        <f>ROUND(E613*F613,2)</f>
        <v>2254</v>
      </c>
      <c r="H613" s="1658" t="s">
        <v>2226</v>
      </c>
    </row>
    <row r="614" spans="1:8" s="1575" customFormat="1">
      <c r="A614" s="1656"/>
      <c r="B614" s="1656"/>
      <c r="C614" s="1753" t="s">
        <v>85</v>
      </c>
      <c r="D614" s="1656" t="s">
        <v>27</v>
      </c>
      <c r="E614" s="1659">
        <v>0.8</v>
      </c>
      <c r="F614" s="1662">
        <f>'MINI SSR 19-20'!$H$5</f>
        <v>420</v>
      </c>
      <c r="G614" s="1660">
        <f>ROUND(E614*F614,2)</f>
        <v>336</v>
      </c>
      <c r="H614" s="1658" t="s">
        <v>2226</v>
      </c>
    </row>
    <row r="615" spans="1:8" s="1575" customFormat="1">
      <c r="A615" s="1656"/>
      <c r="B615" s="1656"/>
      <c r="C615" s="1753" t="s">
        <v>895</v>
      </c>
      <c r="D615" s="1656"/>
      <c r="E615" s="1659">
        <v>0.01</v>
      </c>
      <c r="F615" s="1659">
        <f>SUM(G607:G614)</f>
        <v>4376.6000000000004</v>
      </c>
      <c r="G615" s="1660">
        <f>ROUND(E615*F615,2)</f>
        <v>43.77</v>
      </c>
      <c r="H615" s="1658" t="s">
        <v>2226</v>
      </c>
    </row>
    <row r="616" spans="1:8" s="1575" customFormat="1">
      <c r="A616" s="1656"/>
      <c r="B616" s="1656"/>
      <c r="C616" s="1755" t="s">
        <v>88</v>
      </c>
      <c r="D616" s="1656"/>
      <c r="E616" s="1656"/>
      <c r="F616" s="1656"/>
      <c r="G616" s="1667">
        <f>SUM(G606:G615)</f>
        <v>26676.25</v>
      </c>
      <c r="H616" s="1658" t="s">
        <v>2226</v>
      </c>
    </row>
    <row r="617" spans="1:8" s="1575" customFormat="1">
      <c r="A617" s="1656"/>
      <c r="B617" s="1656"/>
      <c r="C617" s="1755"/>
      <c r="D617" s="1656"/>
      <c r="E617" s="1664" t="s">
        <v>161</v>
      </c>
      <c r="F617" s="1664" t="s">
        <v>161</v>
      </c>
      <c r="G617" s="1663" t="s">
        <v>162</v>
      </c>
      <c r="H617" s="1658" t="s">
        <v>2226</v>
      </c>
    </row>
    <row r="618" spans="1:8" s="1575" customFormat="1">
      <c r="A618" s="1656"/>
      <c r="B618" s="1656"/>
      <c r="C618" s="1755" t="s">
        <v>1274</v>
      </c>
      <c r="D618" s="1656"/>
      <c r="E618" s="1659">
        <f>G616</f>
        <v>26676.25</v>
      </c>
      <c r="F618" s="1659">
        <f>G616</f>
        <v>26676.25</v>
      </c>
      <c r="G618" s="1661">
        <f>G616</f>
        <v>26676.25</v>
      </c>
      <c r="H618" s="1658" t="s">
        <v>2226</v>
      </c>
    </row>
    <row r="619" spans="1:8" s="1575" customFormat="1">
      <c r="A619" s="1656"/>
      <c r="B619" s="1656"/>
      <c r="C619" s="1753" t="s">
        <v>1350</v>
      </c>
      <c r="D619" s="1656"/>
      <c r="E619" s="1659"/>
      <c r="F619" s="1661">
        <f>ROUND((G612+G613+G614)*0.1,2)</f>
        <v>364</v>
      </c>
      <c r="G619" s="1661">
        <f>ROUND((G612+G613+G614)*0.2,2)</f>
        <v>728</v>
      </c>
      <c r="H619" s="1658" t="s">
        <v>2226</v>
      </c>
    </row>
    <row r="620" spans="1:8" s="1575" customFormat="1">
      <c r="A620" s="1656"/>
      <c r="B620" s="1656"/>
      <c r="C620" s="1755" t="s">
        <v>88</v>
      </c>
      <c r="D620" s="1656"/>
      <c r="E620" s="1659">
        <f>SUM(E618:E619)</f>
        <v>26676.25</v>
      </c>
      <c r="F620" s="1659">
        <f>SUM(F618:F619)</f>
        <v>27040.25</v>
      </c>
      <c r="G620" s="1661">
        <f>SUM(G618:G619)</f>
        <v>27404.25</v>
      </c>
      <c r="H620" s="1658" t="s">
        <v>2226</v>
      </c>
    </row>
    <row r="621" spans="1:8" s="1575" customFormat="1">
      <c r="A621" s="1656"/>
      <c r="B621" s="1656"/>
      <c r="C621" s="1755" t="s">
        <v>121</v>
      </c>
      <c r="D621" s="1656"/>
      <c r="E621" s="1663">
        <f>ROUND(E620/10,2)</f>
        <v>2667.63</v>
      </c>
      <c r="F621" s="1663">
        <f>ROUND(F620/10,2)</f>
        <v>2704.03</v>
      </c>
      <c r="G621" s="1667">
        <f>ROUND(G620/10,2)</f>
        <v>2740.43</v>
      </c>
      <c r="H621" s="1658" t="s">
        <v>2226</v>
      </c>
    </row>
    <row r="622" spans="1:8" s="1575" customFormat="1" ht="38.25">
      <c r="A622" s="1570">
        <v>24</v>
      </c>
      <c r="B622" s="1664"/>
      <c r="C622" s="1753" t="s">
        <v>937</v>
      </c>
      <c r="D622" s="1656"/>
      <c r="E622" s="1656"/>
      <c r="F622" s="1656"/>
      <c r="G622" s="1585"/>
      <c r="H622" s="1658" t="s">
        <v>2226</v>
      </c>
    </row>
    <row r="623" spans="1:8" s="1575" customFormat="1">
      <c r="A623" s="1585"/>
      <c r="B623" s="1585"/>
      <c r="C623" s="1753" t="s">
        <v>938</v>
      </c>
      <c r="D623" s="1570" t="s">
        <v>277</v>
      </c>
      <c r="E623" s="1589">
        <v>1</v>
      </c>
      <c r="F623" s="1608">
        <f>'MINI SSR 19-20'!C46</f>
        <v>412</v>
      </c>
      <c r="G623" s="1660">
        <f>ROUND(E623*F623,2)</f>
        <v>412</v>
      </c>
      <c r="H623" s="1658" t="s">
        <v>2226</v>
      </c>
    </row>
    <row r="624" spans="1:8" s="1575" customFormat="1">
      <c r="A624" s="1585"/>
      <c r="B624" s="1585"/>
      <c r="C624" s="1755" t="s">
        <v>377</v>
      </c>
      <c r="D624" s="1570"/>
      <c r="E624" s="1608"/>
      <c r="F624" s="1608"/>
      <c r="G624" s="1666">
        <f>SUM(G623:G623)</f>
        <v>412</v>
      </c>
      <c r="H624" s="1658" t="s">
        <v>2226</v>
      </c>
    </row>
    <row r="625" spans="1:8" ht="140.25" hidden="1">
      <c r="A625" s="1156">
        <v>43</v>
      </c>
      <c r="B625" s="1218" t="s">
        <v>674</v>
      </c>
      <c r="C625" s="1752" t="s">
        <v>673</v>
      </c>
      <c r="D625" s="1212"/>
      <c r="E625" s="1212"/>
      <c r="F625" s="1212"/>
      <c r="G625" s="1218"/>
      <c r="H625" s="1205" t="s">
        <v>2226</v>
      </c>
    </row>
    <row r="626" spans="1:8" hidden="1">
      <c r="A626" s="1156"/>
      <c r="B626" s="1218"/>
      <c r="C626" s="1754" t="s">
        <v>42</v>
      </c>
      <c r="D626" s="1212"/>
      <c r="E626" s="1212"/>
      <c r="F626" s="1212"/>
      <c r="G626" s="1215"/>
      <c r="H626" s="1205" t="s">
        <v>2226</v>
      </c>
    </row>
    <row r="627" spans="1:8" hidden="1">
      <c r="A627" s="1156"/>
      <c r="B627" s="1218"/>
      <c r="C627" s="1754" t="s">
        <v>60</v>
      </c>
      <c r="D627" s="1212"/>
      <c r="E627" s="1212"/>
      <c r="F627" s="1212"/>
      <c r="G627" s="1215"/>
      <c r="H627" s="1205" t="s">
        <v>2226</v>
      </c>
    </row>
    <row r="628" spans="1:8" ht="25.5" hidden="1">
      <c r="A628" s="1156"/>
      <c r="B628" s="1218"/>
      <c r="C628" s="1752" t="s">
        <v>677</v>
      </c>
      <c r="D628" s="1212" t="s">
        <v>77</v>
      </c>
      <c r="E628" s="1213">
        <v>10.5</v>
      </c>
      <c r="F628" s="1213">
        <f>'MINI SSR 19-20'!C20</f>
        <v>266</v>
      </c>
      <c r="G628" s="1214">
        <f>ROUND(E628*F628/1,2)</f>
        <v>2793</v>
      </c>
      <c r="H628" s="1205" t="s">
        <v>2226</v>
      </c>
    </row>
    <row r="629" spans="1:8" hidden="1">
      <c r="A629" s="1156"/>
      <c r="B629" s="1218"/>
      <c r="C629" s="1752" t="s">
        <v>675</v>
      </c>
      <c r="D629" s="1212" t="s">
        <v>4</v>
      </c>
      <c r="E629" s="1213">
        <v>28.8</v>
      </c>
      <c r="F629" s="1213">
        <f>F608</f>
        <v>4700</v>
      </c>
      <c r="G629" s="1214">
        <f>ROUND(E629*F629/1000,2)</f>
        <v>135.36000000000001</v>
      </c>
      <c r="H629" s="1205" t="s">
        <v>2226</v>
      </c>
    </row>
    <row r="630" spans="1:8" hidden="1">
      <c r="A630" s="1156"/>
      <c r="B630" s="1218"/>
      <c r="C630" s="1752" t="s">
        <v>92</v>
      </c>
      <c r="D630" s="1212" t="s">
        <v>4</v>
      </c>
      <c r="E630" s="1213">
        <v>33</v>
      </c>
      <c r="F630" s="1213">
        <f>F629</f>
        <v>4700</v>
      </c>
      <c r="G630" s="1214">
        <f>ROUND(E630*F630/1000,2)</f>
        <v>155.1</v>
      </c>
      <c r="H630" s="1205" t="s">
        <v>2226</v>
      </c>
    </row>
    <row r="631" spans="1:8" hidden="1">
      <c r="A631" s="1156"/>
      <c r="B631" s="1218"/>
      <c r="C631" s="1752" t="s">
        <v>93</v>
      </c>
      <c r="D631" s="1212" t="s">
        <v>4</v>
      </c>
      <c r="E631" s="1213">
        <v>6</v>
      </c>
      <c r="F631" s="1213">
        <f>F630</f>
        <v>4700</v>
      </c>
      <c r="G631" s="1214">
        <f>ROUND(E631*F631/1000,2)</f>
        <v>28.2</v>
      </c>
      <c r="H631" s="1205" t="s">
        <v>2226</v>
      </c>
    </row>
    <row r="632" spans="1:8" hidden="1">
      <c r="A632" s="1156"/>
      <c r="B632" s="1218"/>
      <c r="C632" s="1752" t="s">
        <v>676</v>
      </c>
      <c r="D632" s="1212" t="s">
        <v>35</v>
      </c>
      <c r="E632" s="1213">
        <v>0.12</v>
      </c>
      <c r="F632" s="1213">
        <f>'lead 19-20'!L12</f>
        <v>1464.7999999999988</v>
      </c>
      <c r="G632" s="1214">
        <f>ROUND(E632*F632,2)</f>
        <v>175.78</v>
      </c>
      <c r="H632" s="1205" t="s">
        <v>2226</v>
      </c>
    </row>
    <row r="633" spans="1:8" hidden="1">
      <c r="A633" s="1212"/>
      <c r="B633" s="1212"/>
      <c r="C633" s="1754" t="s">
        <v>68</v>
      </c>
      <c r="D633" s="1212"/>
      <c r="E633" s="1213"/>
      <c r="F633" s="1213"/>
      <c r="G633" s="1214"/>
      <c r="H633" s="1205" t="s">
        <v>2226</v>
      </c>
    </row>
    <row r="634" spans="1:8" hidden="1">
      <c r="A634" s="1212"/>
      <c r="B634" s="1212"/>
      <c r="C634" s="1752" t="s">
        <v>69</v>
      </c>
      <c r="D634" s="1212" t="s">
        <v>27</v>
      </c>
      <c r="E634" s="1213">
        <v>0.96</v>
      </c>
      <c r="F634" s="1216">
        <f>'MINI SSR 19-20'!$H$4</f>
        <v>460</v>
      </c>
      <c r="G634" s="1214">
        <f>ROUND(E634*F634,2)</f>
        <v>441.6</v>
      </c>
      <c r="H634" s="1205" t="s">
        <v>2226</v>
      </c>
    </row>
    <row r="635" spans="1:8" hidden="1">
      <c r="A635" s="1212"/>
      <c r="B635" s="1212"/>
      <c r="C635" s="1752" t="s">
        <v>218</v>
      </c>
      <c r="D635" s="1212" t="s">
        <v>27</v>
      </c>
      <c r="E635" s="1213">
        <v>2.2400000000000002</v>
      </c>
      <c r="F635" s="1216">
        <f>'MINI SSR 19-20'!$H$5</f>
        <v>420</v>
      </c>
      <c r="G635" s="1214">
        <f>ROUND(E635*F635,2)</f>
        <v>940.8</v>
      </c>
      <c r="H635" s="1205" t="s">
        <v>2226</v>
      </c>
    </row>
    <row r="636" spans="1:8" hidden="1">
      <c r="A636" s="1212"/>
      <c r="B636" s="1212"/>
      <c r="C636" s="1752" t="s">
        <v>85</v>
      </c>
      <c r="D636" s="1212" t="s">
        <v>27</v>
      </c>
      <c r="E636" s="1213">
        <v>3.3</v>
      </c>
      <c r="F636" s="1216">
        <f>'MINI SSR 19-20'!$H$5</f>
        <v>420</v>
      </c>
      <c r="G636" s="1214">
        <f>ROUND(E636*F636,2)</f>
        <v>1386</v>
      </c>
      <c r="H636" s="1205" t="s">
        <v>2226</v>
      </c>
    </row>
    <row r="637" spans="1:8" hidden="1">
      <c r="A637" s="1212"/>
      <c r="B637" s="1212"/>
      <c r="C637" s="1754" t="s">
        <v>88</v>
      </c>
      <c r="D637" s="1212"/>
      <c r="E637" s="1212"/>
      <c r="F637" s="1212"/>
      <c r="G637" s="1222">
        <f>SUM(G628:G636)</f>
        <v>6055.84</v>
      </c>
      <c r="H637" s="1205" t="s">
        <v>2226</v>
      </c>
    </row>
    <row r="638" spans="1:8" hidden="1">
      <c r="A638" s="1212"/>
      <c r="B638" s="1212"/>
      <c r="C638" s="1754"/>
      <c r="D638" s="1212"/>
      <c r="E638" s="1218" t="s">
        <v>161</v>
      </c>
      <c r="F638" s="1218" t="s">
        <v>162</v>
      </c>
      <c r="G638" s="1217" t="s">
        <v>163</v>
      </c>
      <c r="H638" s="1205" t="s">
        <v>2226</v>
      </c>
    </row>
    <row r="639" spans="1:8" hidden="1">
      <c r="A639" s="1212"/>
      <c r="B639" s="1212"/>
      <c r="C639" s="1754" t="s">
        <v>1274</v>
      </c>
      <c r="D639" s="1212"/>
      <c r="E639" s="1213">
        <f>G637</f>
        <v>6055.84</v>
      </c>
      <c r="F639" s="1213">
        <f>G637</f>
        <v>6055.84</v>
      </c>
      <c r="G639" s="1215">
        <f>G637</f>
        <v>6055.84</v>
      </c>
      <c r="H639" s="1205" t="s">
        <v>2226</v>
      </c>
    </row>
    <row r="640" spans="1:8" ht="25.5" hidden="1">
      <c r="A640" s="1212"/>
      <c r="B640" s="1212"/>
      <c r="C640" s="1752" t="s">
        <v>1286</v>
      </c>
      <c r="D640" s="1212"/>
      <c r="E640" s="1213"/>
      <c r="F640" s="1215">
        <f>ROUND((G635+G634+G636)*0.1,2)</f>
        <v>276.83999999999997</v>
      </c>
      <c r="G640" s="1215">
        <f>ROUND((G636+G634+G635)*0.2,2)</f>
        <v>553.67999999999995</v>
      </c>
      <c r="H640" s="1205" t="s">
        <v>2226</v>
      </c>
    </row>
    <row r="641" spans="1:8" hidden="1">
      <c r="A641" s="1212"/>
      <c r="B641" s="1212"/>
      <c r="C641" s="1754" t="s">
        <v>88</v>
      </c>
      <c r="D641" s="1212"/>
      <c r="E641" s="1213">
        <f>SUM(E639:E640)</f>
        <v>6055.84</v>
      </c>
      <c r="F641" s="1213">
        <f>SUM(F639:F640)</f>
        <v>6332.68</v>
      </c>
      <c r="G641" s="1215">
        <f>SUM(G639:G640)</f>
        <v>6609.52</v>
      </c>
      <c r="H641" s="1205" t="s">
        <v>2226</v>
      </c>
    </row>
    <row r="642" spans="1:8" hidden="1">
      <c r="A642" s="1212"/>
      <c r="B642" s="1212"/>
      <c r="C642" s="1754" t="s">
        <v>121</v>
      </c>
      <c r="D642" s="1212"/>
      <c r="E642" s="1217">
        <f>ROUND(E641/10,2)</f>
        <v>605.58000000000004</v>
      </c>
      <c r="F642" s="1217">
        <f>ROUND(F641/10,2)</f>
        <v>633.27</v>
      </c>
      <c r="G642" s="1222">
        <f>ROUND(G641/10,2)</f>
        <v>660.95</v>
      </c>
      <c r="H642" s="1205" t="s">
        <v>2226</v>
      </c>
    </row>
    <row r="643" spans="1:8" ht="127.5" hidden="1">
      <c r="A643" s="1156">
        <v>44</v>
      </c>
      <c r="B643" s="1218" t="s">
        <v>199</v>
      </c>
      <c r="C643" s="1752" t="s">
        <v>679</v>
      </c>
      <c r="D643" s="1212"/>
      <c r="E643" s="1212"/>
      <c r="F643" s="1212"/>
      <c r="G643" s="1218"/>
      <c r="H643" s="1205" t="s">
        <v>2226</v>
      </c>
    </row>
    <row r="644" spans="1:8" hidden="1">
      <c r="A644" s="1156"/>
      <c r="B644" s="1218"/>
      <c r="C644" s="1754" t="s">
        <v>42</v>
      </c>
      <c r="D644" s="1212"/>
      <c r="E644" s="1212"/>
      <c r="F644" s="1212"/>
      <c r="G644" s="1215"/>
      <c r="H644" s="1205" t="s">
        <v>2226</v>
      </c>
    </row>
    <row r="645" spans="1:8" hidden="1">
      <c r="A645" s="1156"/>
      <c r="B645" s="1218"/>
      <c r="C645" s="1754" t="s">
        <v>60</v>
      </c>
      <c r="D645" s="1212"/>
      <c r="E645" s="1212"/>
      <c r="F645" s="1212"/>
      <c r="G645" s="1215"/>
      <c r="H645" s="1205" t="s">
        <v>2226</v>
      </c>
    </row>
    <row r="646" spans="1:8" ht="25.5" hidden="1">
      <c r="A646" s="1156"/>
      <c r="B646" s="1218"/>
      <c r="C646" s="1752" t="s">
        <v>677</v>
      </c>
      <c r="D646" s="1212" t="s">
        <v>77</v>
      </c>
      <c r="E646" s="1213">
        <v>10.5</v>
      </c>
      <c r="F646" s="1213">
        <f>'MINI SSR 19-20'!C20</f>
        <v>266</v>
      </c>
      <c r="G646" s="1214">
        <f>ROUND(E646*F646/1,2)</f>
        <v>2793</v>
      </c>
      <c r="H646" s="1205" t="s">
        <v>2226</v>
      </c>
    </row>
    <row r="647" spans="1:8" hidden="1">
      <c r="A647" s="1156"/>
      <c r="B647" s="1218"/>
      <c r="C647" s="1752" t="s">
        <v>200</v>
      </c>
      <c r="D647" s="1212" t="s">
        <v>35</v>
      </c>
      <c r="E647" s="1213">
        <v>0.12</v>
      </c>
      <c r="F647" s="1213">
        <f>F632</f>
        <v>1464.7999999999988</v>
      </c>
      <c r="G647" s="1214">
        <f>ROUND(E647*F647,2)</f>
        <v>175.78</v>
      </c>
      <c r="H647" s="1205" t="s">
        <v>2226</v>
      </c>
    </row>
    <row r="648" spans="1:8" hidden="1">
      <c r="A648" s="1156"/>
      <c r="B648" s="1218"/>
      <c r="C648" s="1752" t="s">
        <v>201</v>
      </c>
      <c r="D648" s="1212" t="s">
        <v>4</v>
      </c>
      <c r="E648" s="1213">
        <v>34.56</v>
      </c>
      <c r="F648" s="1213">
        <f>F629</f>
        <v>4700</v>
      </c>
      <c r="G648" s="1214">
        <f>ROUND(E648*F648/1000,2)</f>
        <v>162.43</v>
      </c>
      <c r="H648" s="1205" t="s">
        <v>2226</v>
      </c>
    </row>
    <row r="649" spans="1:8" hidden="1">
      <c r="A649" s="1156"/>
      <c r="B649" s="1218"/>
      <c r="C649" s="1752" t="s">
        <v>202</v>
      </c>
      <c r="D649" s="1212" t="s">
        <v>4</v>
      </c>
      <c r="E649" s="1213">
        <v>33</v>
      </c>
      <c r="F649" s="1213">
        <f>F648</f>
        <v>4700</v>
      </c>
      <c r="G649" s="1214">
        <f>ROUND(E649*F649/1000,2)</f>
        <v>155.1</v>
      </c>
      <c r="H649" s="1205" t="s">
        <v>2226</v>
      </c>
    </row>
    <row r="650" spans="1:8" hidden="1">
      <c r="A650" s="1156"/>
      <c r="B650" s="1218"/>
      <c r="C650" s="1752" t="s">
        <v>204</v>
      </c>
      <c r="D650" s="1212" t="s">
        <v>4</v>
      </c>
      <c r="E650" s="1213">
        <v>2</v>
      </c>
      <c r="F650" s="1213">
        <f>'MINI SSR 19-20'!C45</f>
        <v>27</v>
      </c>
      <c r="G650" s="1214">
        <f>ROUND(E650*F650,2)</f>
        <v>54</v>
      </c>
      <c r="H650" s="1205" t="s">
        <v>2226</v>
      </c>
    </row>
    <row r="651" spans="1:8" hidden="1">
      <c r="A651" s="1212"/>
      <c r="B651" s="1212"/>
      <c r="C651" s="1754" t="s">
        <v>68</v>
      </c>
      <c r="D651" s="1212"/>
      <c r="E651" s="1213"/>
      <c r="F651" s="1213"/>
      <c r="G651" s="1214"/>
      <c r="H651" s="1205" t="s">
        <v>2226</v>
      </c>
    </row>
    <row r="652" spans="1:8" hidden="1">
      <c r="A652" s="1212"/>
      <c r="B652" s="1212"/>
      <c r="C652" s="1752" t="s">
        <v>64</v>
      </c>
      <c r="D652" s="1212" t="s">
        <v>27</v>
      </c>
      <c r="E652" s="1213">
        <v>0.96</v>
      </c>
      <c r="F652" s="1216">
        <f>'MINI SSR 19-20'!$H$3</f>
        <v>500</v>
      </c>
      <c r="G652" s="1214">
        <f>ROUND(E652*F652,2)</f>
        <v>480</v>
      </c>
      <c r="H652" s="1205" t="s">
        <v>2226</v>
      </c>
    </row>
    <row r="653" spans="1:8" hidden="1">
      <c r="A653" s="1212"/>
      <c r="B653" s="1212"/>
      <c r="C653" s="1752" t="s">
        <v>69</v>
      </c>
      <c r="D653" s="1212" t="s">
        <v>27</v>
      </c>
      <c r="E653" s="1213">
        <v>2.2400000000000002</v>
      </c>
      <c r="F653" s="1216">
        <f>'MINI SSR 19-20'!$H$4</f>
        <v>460</v>
      </c>
      <c r="G653" s="1214">
        <f>ROUND(E653*F653,2)</f>
        <v>1030.4000000000001</v>
      </c>
      <c r="H653" s="1205" t="s">
        <v>2226</v>
      </c>
    </row>
    <row r="654" spans="1:8" hidden="1">
      <c r="A654" s="1212"/>
      <c r="B654" s="1212"/>
      <c r="C654" s="1752" t="s">
        <v>85</v>
      </c>
      <c r="D654" s="1212" t="s">
        <v>27</v>
      </c>
      <c r="E654" s="1213">
        <v>3.3</v>
      </c>
      <c r="F654" s="1216">
        <f>'MINI SSR 19-20'!$H$5</f>
        <v>420</v>
      </c>
      <c r="G654" s="1214">
        <f>ROUND(E654*F654,2)</f>
        <v>1386</v>
      </c>
      <c r="H654" s="1205" t="s">
        <v>2226</v>
      </c>
    </row>
    <row r="655" spans="1:8" hidden="1">
      <c r="A655" s="1212"/>
      <c r="B655" s="1212"/>
      <c r="C655" s="1754" t="s">
        <v>88</v>
      </c>
      <c r="D655" s="1212"/>
      <c r="E655" s="1212"/>
      <c r="F655" s="1212"/>
      <c r="G655" s="1222">
        <f>SUM(G646:G654)</f>
        <v>6236.71</v>
      </c>
      <c r="H655" s="1205" t="s">
        <v>2226</v>
      </c>
    </row>
    <row r="656" spans="1:8" hidden="1">
      <c r="A656" s="1212"/>
      <c r="B656" s="1212"/>
      <c r="C656" s="1754"/>
      <c r="D656" s="1212"/>
      <c r="E656" s="1218" t="s">
        <v>161</v>
      </c>
      <c r="F656" s="1218" t="s">
        <v>162</v>
      </c>
      <c r="G656" s="1217" t="s">
        <v>163</v>
      </c>
      <c r="H656" s="1205" t="s">
        <v>2226</v>
      </c>
    </row>
    <row r="657" spans="1:8" hidden="1">
      <c r="A657" s="1212"/>
      <c r="B657" s="1212"/>
      <c r="C657" s="1754" t="s">
        <v>1275</v>
      </c>
      <c r="D657" s="1212"/>
      <c r="E657" s="1213">
        <f>G655</f>
        <v>6236.71</v>
      </c>
      <c r="F657" s="1213">
        <f>G655</f>
        <v>6236.71</v>
      </c>
      <c r="G657" s="1215">
        <f>G655</f>
        <v>6236.71</v>
      </c>
      <c r="H657" s="1205" t="s">
        <v>2226</v>
      </c>
    </row>
    <row r="658" spans="1:8" ht="25.5" hidden="1">
      <c r="A658" s="1212"/>
      <c r="B658" s="1212"/>
      <c r="C658" s="1752" t="s">
        <v>170</v>
      </c>
      <c r="D658" s="1212"/>
      <c r="E658" s="1213"/>
      <c r="F658" s="1215">
        <f>ROUND((G653+G652+G654)*0.1,2)</f>
        <v>289.64</v>
      </c>
      <c r="G658" s="1215">
        <f>ROUND((G654+G652+G653)*0.2,2)</f>
        <v>579.28</v>
      </c>
      <c r="H658" s="1205" t="s">
        <v>2226</v>
      </c>
    </row>
    <row r="659" spans="1:8" hidden="1">
      <c r="A659" s="1212"/>
      <c r="B659" s="1212"/>
      <c r="C659" s="1754" t="s">
        <v>194</v>
      </c>
      <c r="D659" s="1212"/>
      <c r="E659" s="1213">
        <f>SUM(E657:E658)</f>
        <v>6236.71</v>
      </c>
      <c r="F659" s="1213">
        <f>SUM(F657:F658)</f>
        <v>6526.35</v>
      </c>
      <c r="G659" s="1215">
        <f>SUM(G657:G658)</f>
        <v>6815.99</v>
      </c>
      <c r="H659" s="1205" t="s">
        <v>2226</v>
      </c>
    </row>
    <row r="660" spans="1:8" hidden="1">
      <c r="A660" s="1212"/>
      <c r="B660" s="1212"/>
      <c r="C660" s="1754" t="s">
        <v>181</v>
      </c>
      <c r="D660" s="1212"/>
      <c r="E660" s="1217">
        <f>ROUND(E659/10,2)</f>
        <v>623.66999999999996</v>
      </c>
      <c r="F660" s="1217">
        <f>ROUND(F659/10,2)</f>
        <v>652.64</v>
      </c>
      <c r="G660" s="1222">
        <f>ROUND(G659/10,2)</f>
        <v>681.6</v>
      </c>
      <c r="H660" s="1205" t="s">
        <v>2226</v>
      </c>
    </row>
    <row r="661" spans="1:8" ht="165.75" hidden="1">
      <c r="A661" s="1156">
        <v>15</v>
      </c>
      <c r="B661" s="1218" t="s">
        <v>195</v>
      </c>
      <c r="C661" s="1752" t="s">
        <v>212</v>
      </c>
      <c r="D661" s="1212"/>
      <c r="E661" s="1212"/>
      <c r="F661" s="1212"/>
      <c r="G661" s="1218"/>
      <c r="H661" s="1205" t="s">
        <v>2226</v>
      </c>
    </row>
    <row r="662" spans="1:8" hidden="1">
      <c r="A662" s="1156"/>
      <c r="B662" s="1218"/>
      <c r="C662" s="1754" t="s">
        <v>42</v>
      </c>
      <c r="D662" s="1212"/>
      <c r="E662" s="1212"/>
      <c r="F662" s="1212"/>
      <c r="G662" s="1215"/>
      <c r="H662" s="1205" t="s">
        <v>2226</v>
      </c>
    </row>
    <row r="663" spans="1:8" hidden="1">
      <c r="A663" s="1156"/>
      <c r="B663" s="1218"/>
      <c r="C663" s="1754" t="s">
        <v>60</v>
      </c>
      <c r="D663" s="1212"/>
      <c r="E663" s="1212"/>
      <c r="F663" s="1212"/>
      <c r="G663" s="1215"/>
      <c r="H663" s="1205" t="s">
        <v>2226</v>
      </c>
    </row>
    <row r="664" spans="1:8" hidden="1">
      <c r="A664" s="1156"/>
      <c r="B664" s="1218"/>
      <c r="C664" s="1752" t="s">
        <v>203</v>
      </c>
      <c r="D664" s="1212" t="s">
        <v>77</v>
      </c>
      <c r="E664" s="1213">
        <v>10.5</v>
      </c>
      <c r="F664" s="1213">
        <f>'MINI SSR 19-20'!C21</f>
        <v>612</v>
      </c>
      <c r="G664" s="1214">
        <f>ROUND(E664*F664,2)</f>
        <v>6426</v>
      </c>
      <c r="H664" s="1205" t="s">
        <v>2226</v>
      </c>
    </row>
    <row r="665" spans="1:8" hidden="1">
      <c r="A665" s="1156"/>
      <c r="B665" s="1218"/>
      <c r="C665" s="1752" t="s">
        <v>91</v>
      </c>
      <c r="D665" s="1212" t="s">
        <v>4</v>
      </c>
      <c r="E665" s="1213">
        <v>21.6</v>
      </c>
      <c r="F665" s="1213">
        <f>'lead 19-20'!L8</f>
        <v>4700</v>
      </c>
      <c r="G665" s="1214">
        <f>ROUND(E665*F665/1000,2)</f>
        <v>101.52</v>
      </c>
      <c r="H665" s="1205" t="s">
        <v>2226</v>
      </c>
    </row>
    <row r="666" spans="1:8" hidden="1">
      <c r="A666" s="1156"/>
      <c r="B666" s="1218"/>
      <c r="C666" s="1752" t="s">
        <v>92</v>
      </c>
      <c r="D666" s="1212" t="s">
        <v>4</v>
      </c>
      <c r="E666" s="1213">
        <v>33</v>
      </c>
      <c r="F666" s="1213">
        <f>F665</f>
        <v>4700</v>
      </c>
      <c r="G666" s="1214">
        <f>ROUND(E666*F666/1000,2)</f>
        <v>155.1</v>
      </c>
      <c r="H666" s="1205" t="s">
        <v>2226</v>
      </c>
    </row>
    <row r="667" spans="1:8" hidden="1">
      <c r="A667" s="1156"/>
      <c r="B667" s="1218"/>
      <c r="C667" s="1752" t="s">
        <v>196</v>
      </c>
      <c r="D667" s="1212" t="s">
        <v>4</v>
      </c>
      <c r="E667" s="1213">
        <v>6</v>
      </c>
      <c r="F667" s="1213">
        <f>F666</f>
        <v>4700</v>
      </c>
      <c r="G667" s="1214">
        <f>ROUND(E667*F667/1000,2)</f>
        <v>28.2</v>
      </c>
      <c r="H667" s="1205" t="s">
        <v>2226</v>
      </c>
    </row>
    <row r="668" spans="1:8" hidden="1">
      <c r="A668" s="1156"/>
      <c r="B668" s="1218"/>
      <c r="C668" s="1752" t="s">
        <v>197</v>
      </c>
      <c r="D668" s="1212" t="s">
        <v>35</v>
      </c>
      <c r="E668" s="1213">
        <v>0.12</v>
      </c>
      <c r="F668" s="1213">
        <f>'lead 19-20'!L12</f>
        <v>1464.7999999999988</v>
      </c>
      <c r="G668" s="1214">
        <f>ROUND(E668*F668,2)</f>
        <v>175.78</v>
      </c>
      <c r="H668" s="1205" t="s">
        <v>2226</v>
      </c>
    </row>
    <row r="669" spans="1:8" hidden="1">
      <c r="A669" s="1156"/>
      <c r="B669" s="1218"/>
      <c r="C669" s="1752" t="s">
        <v>198</v>
      </c>
      <c r="D669" s="1212" t="s">
        <v>35</v>
      </c>
      <c r="E669" s="1213">
        <v>0.02</v>
      </c>
      <c r="F669" s="1213">
        <f>F668</f>
        <v>1464.7999999999988</v>
      </c>
      <c r="G669" s="1214">
        <f>ROUND(E669*F669,2)</f>
        <v>29.3</v>
      </c>
      <c r="H669" s="1205" t="s">
        <v>2226</v>
      </c>
    </row>
    <row r="670" spans="1:8" hidden="1">
      <c r="A670" s="1212"/>
      <c r="B670" s="1212"/>
      <c r="C670" s="1754" t="s">
        <v>68</v>
      </c>
      <c r="D670" s="1212"/>
      <c r="E670" s="1213"/>
      <c r="F670" s="1213"/>
      <c r="G670" s="1214"/>
      <c r="H670" s="1205" t="s">
        <v>2226</v>
      </c>
    </row>
    <row r="671" spans="1:8" hidden="1">
      <c r="A671" s="1212"/>
      <c r="B671" s="1212"/>
      <c r="C671" s="1752" t="s">
        <v>64</v>
      </c>
      <c r="D671" s="1212" t="s">
        <v>27</v>
      </c>
      <c r="E671" s="1213">
        <v>0.96</v>
      </c>
      <c r="F671" s="1216">
        <f>'MINI SSR 19-20'!$H$3</f>
        <v>500</v>
      </c>
      <c r="G671" s="1214">
        <f>ROUND(E671*F671,2)</f>
        <v>480</v>
      </c>
      <c r="H671" s="1205" t="s">
        <v>2226</v>
      </c>
    </row>
    <row r="672" spans="1:8" hidden="1">
      <c r="A672" s="1212"/>
      <c r="B672" s="1212"/>
      <c r="C672" s="1752" t="s">
        <v>69</v>
      </c>
      <c r="D672" s="1212" t="s">
        <v>27</v>
      </c>
      <c r="E672" s="1213">
        <v>2.2400000000000002</v>
      </c>
      <c r="F672" s="1216">
        <f>'MINI SSR 19-20'!$H$4</f>
        <v>460</v>
      </c>
      <c r="G672" s="1214">
        <f>ROUND(E672*F672,2)</f>
        <v>1030.4000000000001</v>
      </c>
      <c r="H672" s="1205" t="s">
        <v>2226</v>
      </c>
    </row>
    <row r="673" spans="1:8" hidden="1">
      <c r="A673" s="1212"/>
      <c r="B673" s="1212"/>
      <c r="C673" s="1752" t="s">
        <v>85</v>
      </c>
      <c r="D673" s="1212" t="s">
        <v>27</v>
      </c>
      <c r="E673" s="1213">
        <v>3.3</v>
      </c>
      <c r="F673" s="1216">
        <f>'MINI SSR 19-20'!$H$5</f>
        <v>420</v>
      </c>
      <c r="G673" s="1214">
        <f>ROUND(E673*F673,2)</f>
        <v>1386</v>
      </c>
      <c r="H673" s="1205" t="s">
        <v>2226</v>
      </c>
    </row>
    <row r="674" spans="1:8" hidden="1">
      <c r="A674" s="1212"/>
      <c r="B674" s="1212"/>
      <c r="C674" s="1752" t="s">
        <v>1221</v>
      </c>
      <c r="D674" s="1212"/>
      <c r="E674" s="1213">
        <v>0.01</v>
      </c>
      <c r="F674" s="1213">
        <f>SUM(G664:G673)</f>
        <v>9812.3000000000011</v>
      </c>
      <c r="G674" s="1214">
        <f>ROUND(E674*F674,2)</f>
        <v>98.12</v>
      </c>
      <c r="H674" s="1205" t="s">
        <v>2226</v>
      </c>
    </row>
    <row r="675" spans="1:8" hidden="1">
      <c r="A675" s="1212"/>
      <c r="B675" s="1212"/>
      <c r="C675" s="1754" t="s">
        <v>88</v>
      </c>
      <c r="D675" s="1212"/>
      <c r="E675" s="1212"/>
      <c r="F675" s="1212"/>
      <c r="G675" s="1222">
        <f>SUM(G664:G674)</f>
        <v>9910.4200000000019</v>
      </c>
      <c r="H675" s="1205" t="s">
        <v>2226</v>
      </c>
    </row>
    <row r="676" spans="1:8" hidden="1">
      <c r="A676" s="1212"/>
      <c r="B676" s="1212"/>
      <c r="C676" s="1754"/>
      <c r="D676" s="1212"/>
      <c r="E676" s="1218" t="s">
        <v>161</v>
      </c>
      <c r="F676" s="1218" t="s">
        <v>162</v>
      </c>
      <c r="G676" s="1217" t="s">
        <v>163</v>
      </c>
      <c r="H676" s="1205" t="s">
        <v>2226</v>
      </c>
    </row>
    <row r="677" spans="1:8" hidden="1">
      <c r="A677" s="1212"/>
      <c r="B677" s="1212"/>
      <c r="C677" s="1754" t="s">
        <v>1275</v>
      </c>
      <c r="D677" s="1212"/>
      <c r="E677" s="1213">
        <f>G675</f>
        <v>9910.4200000000019</v>
      </c>
      <c r="F677" s="1213">
        <f>G675</f>
        <v>9910.4200000000019</v>
      </c>
      <c r="G677" s="1215">
        <f>G675</f>
        <v>9910.4200000000019</v>
      </c>
      <c r="H677" s="1205" t="s">
        <v>2226</v>
      </c>
    </row>
    <row r="678" spans="1:8" ht="25.5" hidden="1">
      <c r="A678" s="1212"/>
      <c r="B678" s="1212"/>
      <c r="C678" s="1752" t="s">
        <v>170</v>
      </c>
      <c r="D678" s="1212"/>
      <c r="E678" s="1212"/>
      <c r="F678" s="1213">
        <f>ROUND((G671+G672+G673)*0.1,2)</f>
        <v>289.64</v>
      </c>
      <c r="G678" s="1225">
        <f>ROUND((G671+G672+G673)*0.2,2)</f>
        <v>579.28</v>
      </c>
      <c r="H678" s="1205" t="s">
        <v>2226</v>
      </c>
    </row>
    <row r="679" spans="1:8" hidden="1">
      <c r="A679" s="1212"/>
      <c r="B679" s="1212"/>
      <c r="C679" s="1754" t="s">
        <v>194</v>
      </c>
      <c r="D679" s="1212"/>
      <c r="E679" s="1217">
        <f>SUM(E677:E678)</f>
        <v>9910.4200000000019</v>
      </c>
      <c r="F679" s="1217">
        <f>SUM(F677:F678)</f>
        <v>10200.060000000001</v>
      </c>
      <c r="G679" s="1222">
        <f>SUM(G677:G678)</f>
        <v>10489.700000000003</v>
      </c>
      <c r="H679" s="1205" t="s">
        <v>2226</v>
      </c>
    </row>
    <row r="680" spans="1:8" hidden="1">
      <c r="A680" s="1212"/>
      <c r="B680" s="1212"/>
      <c r="C680" s="1754" t="s">
        <v>181</v>
      </c>
      <c r="D680" s="1212"/>
      <c r="E680" s="1217">
        <f>ROUND(E679/10,2)</f>
        <v>991.04</v>
      </c>
      <c r="F680" s="1217">
        <f>ROUND(F679/10,2)</f>
        <v>1020.01</v>
      </c>
      <c r="G680" s="1222">
        <f>ROUND(G679/10,2)</f>
        <v>1048.97</v>
      </c>
      <c r="H680" s="1205" t="s">
        <v>2226</v>
      </c>
    </row>
    <row r="681" spans="1:8" ht="127.5" hidden="1">
      <c r="A681" s="1156">
        <v>16</v>
      </c>
      <c r="B681" s="1218" t="s">
        <v>199</v>
      </c>
      <c r="C681" s="1752" t="s">
        <v>213</v>
      </c>
      <c r="D681" s="1212"/>
      <c r="E681" s="1212"/>
      <c r="F681" s="1212"/>
      <c r="G681" s="1218"/>
      <c r="H681" s="1205" t="s">
        <v>2226</v>
      </c>
    </row>
    <row r="682" spans="1:8" hidden="1">
      <c r="A682" s="1156"/>
      <c r="B682" s="1218"/>
      <c r="C682" s="1754" t="s">
        <v>42</v>
      </c>
      <c r="D682" s="1212"/>
      <c r="E682" s="1212"/>
      <c r="F682" s="1212"/>
      <c r="G682" s="1215"/>
      <c r="H682" s="1205" t="s">
        <v>2226</v>
      </c>
    </row>
    <row r="683" spans="1:8" hidden="1">
      <c r="A683" s="1156"/>
      <c r="B683" s="1218"/>
      <c r="C683" s="1754" t="s">
        <v>60</v>
      </c>
      <c r="D683" s="1212"/>
      <c r="E683" s="1212"/>
      <c r="F683" s="1212"/>
      <c r="G683" s="1215"/>
      <c r="H683" s="1205" t="s">
        <v>2226</v>
      </c>
    </row>
    <row r="684" spans="1:8" hidden="1">
      <c r="A684" s="1156"/>
      <c r="B684" s="1218"/>
      <c r="C684" s="1752" t="s">
        <v>203</v>
      </c>
      <c r="D684" s="1212" t="s">
        <v>77</v>
      </c>
      <c r="E684" s="1213">
        <v>10.5</v>
      </c>
      <c r="F684" s="1213">
        <f>'MINI SSR 19-20'!C21</f>
        <v>612</v>
      </c>
      <c r="G684" s="1214">
        <f>ROUND(E684*F684,2)</f>
        <v>6426</v>
      </c>
      <c r="H684" s="1205" t="s">
        <v>2226</v>
      </c>
    </row>
    <row r="685" spans="1:8" hidden="1">
      <c r="A685" s="1156"/>
      <c r="B685" s="1218"/>
      <c r="C685" s="1752" t="s">
        <v>200</v>
      </c>
      <c r="D685" s="1212" t="s">
        <v>35</v>
      </c>
      <c r="E685" s="1213">
        <v>0.12</v>
      </c>
      <c r="F685" s="1213">
        <f>'lead 19-20'!L12</f>
        <v>1464.7999999999988</v>
      </c>
      <c r="G685" s="1214">
        <f>ROUND(E685*F685,2)</f>
        <v>175.78</v>
      </c>
      <c r="H685" s="1205" t="s">
        <v>2226</v>
      </c>
    </row>
    <row r="686" spans="1:8" hidden="1">
      <c r="A686" s="1156"/>
      <c r="B686" s="1218"/>
      <c r="C686" s="1752" t="s">
        <v>201</v>
      </c>
      <c r="D686" s="1212" t="s">
        <v>4</v>
      </c>
      <c r="E686" s="1213">
        <v>34.56</v>
      </c>
      <c r="F686" s="1213">
        <f>'lead 19-20'!L8</f>
        <v>4700</v>
      </c>
      <c r="G686" s="1214">
        <f>ROUND(E686*F686/1000,2)</f>
        <v>162.43</v>
      </c>
      <c r="H686" s="1205" t="s">
        <v>2226</v>
      </c>
    </row>
    <row r="687" spans="1:8" hidden="1">
      <c r="A687" s="1156"/>
      <c r="B687" s="1218"/>
      <c r="C687" s="1752" t="s">
        <v>202</v>
      </c>
      <c r="D687" s="1212" t="s">
        <v>4</v>
      </c>
      <c r="E687" s="1213">
        <v>33</v>
      </c>
      <c r="F687" s="1213">
        <f>F686</f>
        <v>4700</v>
      </c>
      <c r="G687" s="1214">
        <f>ROUND(E687*F687/1000,2)</f>
        <v>155.1</v>
      </c>
      <c r="H687" s="1205" t="s">
        <v>2226</v>
      </c>
    </row>
    <row r="688" spans="1:8" hidden="1">
      <c r="A688" s="1156"/>
      <c r="B688" s="1218"/>
      <c r="C688" s="1752" t="s">
        <v>204</v>
      </c>
      <c r="D688" s="1212" t="s">
        <v>4</v>
      </c>
      <c r="E688" s="1213">
        <v>2</v>
      </c>
      <c r="F688" s="1213">
        <f>'MINI SSR 19-20'!C45</f>
        <v>27</v>
      </c>
      <c r="G688" s="1214">
        <f>ROUND(E688*F688,2)</f>
        <v>54</v>
      </c>
      <c r="H688" s="1205" t="s">
        <v>2226</v>
      </c>
    </row>
    <row r="689" spans="1:8" hidden="1">
      <c r="A689" s="1212"/>
      <c r="B689" s="1212"/>
      <c r="C689" s="1754" t="s">
        <v>68</v>
      </c>
      <c r="D689" s="1212"/>
      <c r="E689" s="1213"/>
      <c r="F689" s="1213"/>
      <c r="G689" s="1214"/>
      <c r="H689" s="1205" t="s">
        <v>2226</v>
      </c>
    </row>
    <row r="690" spans="1:8" hidden="1">
      <c r="A690" s="1212"/>
      <c r="B690" s="1212"/>
      <c r="C690" s="1752" t="s">
        <v>64</v>
      </c>
      <c r="D690" s="1212" t="s">
        <v>27</v>
      </c>
      <c r="E690" s="1213">
        <v>0.96</v>
      </c>
      <c r="F690" s="1216">
        <f>'MINI SSR 19-20'!$H$3</f>
        <v>500</v>
      </c>
      <c r="G690" s="1214">
        <f>ROUND(E690*F690,2)</f>
        <v>480</v>
      </c>
      <c r="H690" s="1205" t="s">
        <v>2226</v>
      </c>
    </row>
    <row r="691" spans="1:8" hidden="1">
      <c r="A691" s="1212"/>
      <c r="B691" s="1212"/>
      <c r="C691" s="1752" t="s">
        <v>69</v>
      </c>
      <c r="D691" s="1212" t="s">
        <v>27</v>
      </c>
      <c r="E691" s="1213">
        <v>2.2400000000000002</v>
      </c>
      <c r="F691" s="1216">
        <f>'MINI SSR 19-20'!$H$4</f>
        <v>460</v>
      </c>
      <c r="G691" s="1214">
        <f>ROUND(E691*F691,2)</f>
        <v>1030.4000000000001</v>
      </c>
      <c r="H691" s="1205" t="s">
        <v>2226</v>
      </c>
    </row>
    <row r="692" spans="1:8" hidden="1">
      <c r="A692" s="1212"/>
      <c r="B692" s="1212"/>
      <c r="C692" s="1752" t="s">
        <v>85</v>
      </c>
      <c r="D692" s="1212" t="s">
        <v>27</v>
      </c>
      <c r="E692" s="1213">
        <v>3.3</v>
      </c>
      <c r="F692" s="1216">
        <f>'MINI SSR 19-20'!$H$5</f>
        <v>420</v>
      </c>
      <c r="G692" s="1214">
        <f>ROUND(E692*F692,2)</f>
        <v>1386</v>
      </c>
      <c r="H692" s="1205" t="s">
        <v>2226</v>
      </c>
    </row>
    <row r="693" spans="1:8" hidden="1">
      <c r="A693" s="1212"/>
      <c r="B693" s="1212"/>
      <c r="C693" s="1754" t="s">
        <v>88</v>
      </c>
      <c r="D693" s="1212"/>
      <c r="E693" s="1212"/>
      <c r="F693" s="1212"/>
      <c r="G693" s="1222">
        <f>SUM(G684:G692)</f>
        <v>9869.7100000000009</v>
      </c>
      <c r="H693" s="1205" t="s">
        <v>2226</v>
      </c>
    </row>
    <row r="694" spans="1:8" hidden="1">
      <c r="A694" s="1212"/>
      <c r="B694" s="1212"/>
      <c r="C694" s="1754"/>
      <c r="D694" s="1212"/>
      <c r="E694" s="1218" t="s">
        <v>161</v>
      </c>
      <c r="F694" s="1218" t="s">
        <v>162</v>
      </c>
      <c r="G694" s="1217" t="s">
        <v>163</v>
      </c>
      <c r="H694" s="1205" t="s">
        <v>2226</v>
      </c>
    </row>
    <row r="695" spans="1:8" hidden="1">
      <c r="A695" s="1212"/>
      <c r="B695" s="1212"/>
      <c r="C695" s="1754" t="s">
        <v>1275</v>
      </c>
      <c r="D695" s="1212"/>
      <c r="E695" s="1213">
        <f>G693</f>
        <v>9869.7100000000009</v>
      </c>
      <c r="F695" s="1213">
        <f>G693</f>
        <v>9869.7100000000009</v>
      </c>
      <c r="G695" s="1215">
        <f>G693</f>
        <v>9869.7100000000009</v>
      </c>
      <c r="H695" s="1205" t="s">
        <v>2226</v>
      </c>
    </row>
    <row r="696" spans="1:8" ht="25.5" hidden="1">
      <c r="A696" s="1212"/>
      <c r="B696" s="1212"/>
      <c r="C696" s="1752" t="s">
        <v>170</v>
      </c>
      <c r="D696" s="1212"/>
      <c r="E696" s="1212"/>
      <c r="F696" s="1213">
        <f>ROUND((G690+G691+G692)*0.1,2)</f>
        <v>289.64</v>
      </c>
      <c r="G696" s="1225">
        <f>ROUND((G690+G691+G692)*0.2,2)</f>
        <v>579.28</v>
      </c>
      <c r="H696" s="1205" t="s">
        <v>2226</v>
      </c>
    </row>
    <row r="697" spans="1:8" hidden="1">
      <c r="A697" s="1212"/>
      <c r="B697" s="1212"/>
      <c r="C697" s="1754" t="s">
        <v>194</v>
      </c>
      <c r="D697" s="1212"/>
      <c r="E697" s="1217">
        <f>SUM(E695:E696)</f>
        <v>9869.7100000000009</v>
      </c>
      <c r="F697" s="1217">
        <f>SUM(F695:F696)</f>
        <v>10159.35</v>
      </c>
      <c r="G697" s="1222">
        <f>SUM(G695:G696)</f>
        <v>10448.990000000002</v>
      </c>
      <c r="H697" s="1205" t="s">
        <v>2226</v>
      </c>
    </row>
    <row r="698" spans="1:8" hidden="1">
      <c r="A698" s="1212"/>
      <c r="B698" s="1212"/>
      <c r="C698" s="1754" t="s">
        <v>181</v>
      </c>
      <c r="D698" s="1212"/>
      <c r="E698" s="1217">
        <f>ROUND(E697/10,2)</f>
        <v>986.97</v>
      </c>
      <c r="F698" s="1217">
        <f>ROUND(F697/10,2)</f>
        <v>1015.94</v>
      </c>
      <c r="G698" s="1222">
        <f>ROUND(G697/10,2)</f>
        <v>1044.9000000000001</v>
      </c>
      <c r="H698" s="1205" t="s">
        <v>2226</v>
      </c>
    </row>
    <row r="699" spans="1:8" ht="140.25" hidden="1">
      <c r="A699" s="1156">
        <v>17</v>
      </c>
      <c r="B699" s="1218" t="s">
        <v>205</v>
      </c>
      <c r="C699" s="1752" t="s">
        <v>211</v>
      </c>
      <c r="D699" s="1212"/>
      <c r="E699" s="1212"/>
      <c r="F699" s="1212"/>
      <c r="G699" s="1218"/>
      <c r="H699" s="1205" t="s">
        <v>2226</v>
      </c>
    </row>
    <row r="700" spans="1:8" hidden="1">
      <c r="A700" s="1156"/>
      <c r="B700" s="1218"/>
      <c r="C700" s="1754" t="s">
        <v>42</v>
      </c>
      <c r="D700" s="1212"/>
      <c r="E700" s="1212"/>
      <c r="F700" s="1212"/>
      <c r="G700" s="1215"/>
      <c r="H700" s="1205" t="s">
        <v>2226</v>
      </c>
    </row>
    <row r="701" spans="1:8" hidden="1">
      <c r="A701" s="1156"/>
      <c r="B701" s="1218"/>
      <c r="C701" s="1754" t="s">
        <v>60</v>
      </c>
      <c r="D701" s="1212"/>
      <c r="E701" s="1212"/>
      <c r="F701" s="1212"/>
      <c r="G701" s="1215"/>
      <c r="H701" s="1205" t="s">
        <v>2226</v>
      </c>
    </row>
    <row r="702" spans="1:8" hidden="1">
      <c r="A702" s="1156"/>
      <c r="B702" s="1218"/>
      <c r="C702" s="1752" t="s">
        <v>206</v>
      </c>
      <c r="D702" s="1212" t="s">
        <v>77</v>
      </c>
      <c r="E702" s="1213">
        <v>10.5</v>
      </c>
      <c r="F702" s="1213">
        <f>'MINI SSR 19-20'!C22</f>
        <v>370</v>
      </c>
      <c r="G702" s="1214">
        <f>ROUND(E702*F702,2)</f>
        <v>3885</v>
      </c>
      <c r="H702" s="1205" t="s">
        <v>2226</v>
      </c>
    </row>
    <row r="703" spans="1:8" hidden="1">
      <c r="A703" s="1156"/>
      <c r="B703" s="1218"/>
      <c r="C703" s="1752" t="s">
        <v>91</v>
      </c>
      <c r="D703" s="1212" t="s">
        <v>4</v>
      </c>
      <c r="E703" s="1213">
        <v>21.6</v>
      </c>
      <c r="F703" s="1213">
        <f>'lead 19-20'!L8</f>
        <v>4700</v>
      </c>
      <c r="G703" s="1214">
        <f>ROUND(E703*F703/1000,2)</f>
        <v>101.52</v>
      </c>
      <c r="H703" s="1205" t="s">
        <v>2226</v>
      </c>
    </row>
    <row r="704" spans="1:8" hidden="1">
      <c r="A704" s="1156"/>
      <c r="B704" s="1218"/>
      <c r="C704" s="1752" t="s">
        <v>92</v>
      </c>
      <c r="D704" s="1212" t="s">
        <v>4</v>
      </c>
      <c r="E704" s="1213">
        <v>33</v>
      </c>
      <c r="F704" s="1213">
        <f>F703</f>
        <v>4700</v>
      </c>
      <c r="G704" s="1214">
        <f>ROUND(E704*F704/1000,2)</f>
        <v>155.1</v>
      </c>
      <c r="H704" s="1205" t="s">
        <v>2226</v>
      </c>
    </row>
    <row r="705" spans="1:8" hidden="1">
      <c r="A705" s="1156"/>
      <c r="B705" s="1218"/>
      <c r="C705" s="1752" t="s">
        <v>204</v>
      </c>
      <c r="D705" s="1212" t="s">
        <v>4</v>
      </c>
      <c r="E705" s="1213">
        <v>2</v>
      </c>
      <c r="F705" s="1213">
        <f>F688</f>
        <v>27</v>
      </c>
      <c r="G705" s="1214">
        <f>ROUND(E705*F705,2)</f>
        <v>54</v>
      </c>
      <c r="H705" s="1205" t="s">
        <v>2226</v>
      </c>
    </row>
    <row r="706" spans="1:8" hidden="1">
      <c r="A706" s="1156"/>
      <c r="B706" s="1218"/>
      <c r="C706" s="1752" t="s">
        <v>114</v>
      </c>
      <c r="D706" s="1212" t="s">
        <v>35</v>
      </c>
      <c r="E706" s="1213">
        <v>0.12</v>
      </c>
      <c r="F706" s="1213">
        <f>'lead 19-20'!L12</f>
        <v>1464.7999999999988</v>
      </c>
      <c r="G706" s="1214">
        <f>ROUND(E706*F706,2)</f>
        <v>175.78</v>
      </c>
      <c r="H706" s="1205" t="s">
        <v>2226</v>
      </c>
    </row>
    <row r="707" spans="1:8" hidden="1">
      <c r="A707" s="1212"/>
      <c r="B707" s="1212"/>
      <c r="C707" s="1754" t="s">
        <v>68</v>
      </c>
      <c r="D707" s="1212"/>
      <c r="E707" s="1213"/>
      <c r="F707" s="1213"/>
      <c r="G707" s="1214"/>
      <c r="H707" s="1205" t="s">
        <v>2226</v>
      </c>
    </row>
    <row r="708" spans="1:8" hidden="1">
      <c r="A708" s="1212"/>
      <c r="B708" s="1212"/>
      <c r="C708" s="1752" t="s">
        <v>64</v>
      </c>
      <c r="D708" s="1212" t="s">
        <v>27</v>
      </c>
      <c r="E708" s="1213">
        <v>0.96</v>
      </c>
      <c r="F708" s="1216">
        <f>'MINI SSR 19-20'!$H$3</f>
        <v>500</v>
      </c>
      <c r="G708" s="1214">
        <f>ROUND(E708*F708,2)</f>
        <v>480</v>
      </c>
      <c r="H708" s="1205" t="s">
        <v>2226</v>
      </c>
    </row>
    <row r="709" spans="1:8" hidden="1">
      <c r="A709" s="1212"/>
      <c r="B709" s="1212"/>
      <c r="C709" s="1752" t="s">
        <v>69</v>
      </c>
      <c r="D709" s="1212" t="s">
        <v>27</v>
      </c>
      <c r="E709" s="1213">
        <v>2.2400000000000002</v>
      </c>
      <c r="F709" s="1216">
        <f>'MINI SSR 19-20'!$H$4</f>
        <v>460</v>
      </c>
      <c r="G709" s="1214">
        <f>ROUND(E709*F709,2)</f>
        <v>1030.4000000000001</v>
      </c>
      <c r="H709" s="1205" t="s">
        <v>2226</v>
      </c>
    </row>
    <row r="710" spans="1:8" hidden="1">
      <c r="A710" s="1212"/>
      <c r="B710" s="1212"/>
      <c r="C710" s="1752" t="s">
        <v>85</v>
      </c>
      <c r="D710" s="1212" t="s">
        <v>27</v>
      </c>
      <c r="E710" s="1213">
        <v>3.3</v>
      </c>
      <c r="F710" s="1216">
        <f>'MINI SSR 19-20'!$H$5</f>
        <v>420</v>
      </c>
      <c r="G710" s="1214">
        <f>ROUND(E710*F710,2)</f>
        <v>1386</v>
      </c>
      <c r="H710" s="1205" t="s">
        <v>2226</v>
      </c>
    </row>
    <row r="711" spans="1:8" hidden="1">
      <c r="A711" s="1212"/>
      <c r="B711" s="1212"/>
      <c r="C711" s="1754" t="s">
        <v>88</v>
      </c>
      <c r="D711" s="1212"/>
      <c r="E711" s="1212"/>
      <c r="F711" s="1212"/>
      <c r="G711" s="1222">
        <f>SUM(G702:G710)</f>
        <v>7267.7999999999993</v>
      </c>
      <c r="H711" s="1205" t="s">
        <v>2226</v>
      </c>
    </row>
    <row r="712" spans="1:8" hidden="1">
      <c r="A712" s="1212"/>
      <c r="B712" s="1212"/>
      <c r="C712" s="1754"/>
      <c r="D712" s="1212"/>
      <c r="E712" s="1218" t="s">
        <v>161</v>
      </c>
      <c r="F712" s="1218" t="s">
        <v>162</v>
      </c>
      <c r="G712" s="1217" t="s">
        <v>163</v>
      </c>
      <c r="H712" s="1205" t="s">
        <v>2226</v>
      </c>
    </row>
    <row r="713" spans="1:8" hidden="1">
      <c r="A713" s="1212"/>
      <c r="B713" s="1212"/>
      <c r="C713" s="1754" t="s">
        <v>1275</v>
      </c>
      <c r="D713" s="1212"/>
      <c r="E713" s="1213">
        <f>G711</f>
        <v>7267.7999999999993</v>
      </c>
      <c r="F713" s="1213">
        <f>G711</f>
        <v>7267.7999999999993</v>
      </c>
      <c r="G713" s="1215">
        <f>G711</f>
        <v>7267.7999999999993</v>
      </c>
      <c r="H713" s="1205" t="s">
        <v>2226</v>
      </c>
    </row>
    <row r="714" spans="1:8" ht="25.5" hidden="1">
      <c r="A714" s="1212"/>
      <c r="B714" s="1212"/>
      <c r="C714" s="1752" t="s">
        <v>170</v>
      </c>
      <c r="D714" s="1212"/>
      <c r="E714" s="1212"/>
      <c r="F714" s="1213">
        <f>ROUND((G708+G709+G710)*0.1,2)</f>
        <v>289.64</v>
      </c>
      <c r="G714" s="1225">
        <f>ROUND((G708+G709+G710)*0.2,2)</f>
        <v>579.28</v>
      </c>
      <c r="H714" s="1205" t="s">
        <v>2226</v>
      </c>
    </row>
    <row r="715" spans="1:8" hidden="1">
      <c r="A715" s="1212"/>
      <c r="B715" s="1212"/>
      <c r="C715" s="1754" t="s">
        <v>194</v>
      </c>
      <c r="D715" s="1212"/>
      <c r="E715" s="1217">
        <f>SUM(E713:E714)</f>
        <v>7267.7999999999993</v>
      </c>
      <c r="F715" s="1217">
        <f>SUM(F713:F714)</f>
        <v>7557.44</v>
      </c>
      <c r="G715" s="1222">
        <f>SUM(G713:G714)</f>
        <v>7847.079999999999</v>
      </c>
      <c r="H715" s="1205" t="s">
        <v>2226</v>
      </c>
    </row>
    <row r="716" spans="1:8" hidden="1">
      <c r="A716" s="1212"/>
      <c r="B716" s="1212"/>
      <c r="C716" s="1754" t="s">
        <v>181</v>
      </c>
      <c r="D716" s="1212"/>
      <c r="E716" s="1217">
        <f>ROUND(E715/10,2)</f>
        <v>726.78</v>
      </c>
      <c r="F716" s="1217">
        <f>ROUND(F715/10,2)</f>
        <v>755.74</v>
      </c>
      <c r="G716" s="1222">
        <f>ROUND(G715/10,2)</f>
        <v>784.71</v>
      </c>
      <c r="H716" s="1205" t="s">
        <v>2226</v>
      </c>
    </row>
    <row r="717" spans="1:8" ht="127.5" hidden="1">
      <c r="A717" s="1156">
        <v>18</v>
      </c>
      <c r="B717" s="1218" t="s">
        <v>207</v>
      </c>
      <c r="C717" s="1752" t="s">
        <v>214</v>
      </c>
      <c r="D717" s="1212"/>
      <c r="E717" s="1212"/>
      <c r="F717" s="1212"/>
      <c r="G717" s="1218"/>
      <c r="H717" s="1205" t="s">
        <v>2226</v>
      </c>
    </row>
    <row r="718" spans="1:8" hidden="1">
      <c r="A718" s="1156"/>
      <c r="B718" s="1218"/>
      <c r="C718" s="1754" t="s">
        <v>42</v>
      </c>
      <c r="D718" s="1212"/>
      <c r="E718" s="1212"/>
      <c r="F718" s="1212"/>
      <c r="G718" s="1215"/>
      <c r="H718" s="1205" t="s">
        <v>2226</v>
      </c>
    </row>
    <row r="719" spans="1:8" hidden="1">
      <c r="A719" s="1156"/>
      <c r="B719" s="1218"/>
      <c r="C719" s="1754" t="s">
        <v>60</v>
      </c>
      <c r="D719" s="1218"/>
      <c r="E719" s="1218"/>
      <c r="F719" s="1218"/>
      <c r="G719" s="1215"/>
      <c r="H719" s="1205" t="s">
        <v>2226</v>
      </c>
    </row>
    <row r="720" spans="1:8" hidden="1">
      <c r="A720" s="1156"/>
      <c r="B720" s="1218"/>
      <c r="C720" s="1752" t="s">
        <v>208</v>
      </c>
      <c r="D720" s="1212" t="s">
        <v>77</v>
      </c>
      <c r="E720" s="1213">
        <v>10.5</v>
      </c>
      <c r="F720" s="1213">
        <f>'MINI SSR 19-20'!C23</f>
        <v>323</v>
      </c>
      <c r="G720" s="1214">
        <f>ROUND(E720*F720,2)</f>
        <v>3391.5</v>
      </c>
      <c r="H720" s="1205" t="s">
        <v>2226</v>
      </c>
    </row>
    <row r="721" spans="1:8" hidden="1">
      <c r="A721" s="1156"/>
      <c r="B721" s="1218"/>
      <c r="C721" s="1752" t="s">
        <v>209</v>
      </c>
      <c r="D721" s="1212" t="s">
        <v>35</v>
      </c>
      <c r="E721" s="1213">
        <v>0.12</v>
      </c>
      <c r="F721" s="1213">
        <f>'lead 19-20'!L12</f>
        <v>1464.7999999999988</v>
      </c>
      <c r="G721" s="1224">
        <f>ROUND(E721*F721,2)</f>
        <v>175.78</v>
      </c>
      <c r="H721" s="1205" t="s">
        <v>2226</v>
      </c>
    </row>
    <row r="722" spans="1:8" hidden="1">
      <c r="A722" s="1156"/>
      <c r="B722" s="1218"/>
      <c r="C722" s="1752" t="s">
        <v>210</v>
      </c>
      <c r="D722" s="1212" t="s">
        <v>4</v>
      </c>
      <c r="E722" s="1213">
        <v>57.6</v>
      </c>
      <c r="F722" s="1213">
        <f>'lead 19-20'!L8</f>
        <v>4700</v>
      </c>
      <c r="G722" s="1224">
        <f>ROUND(E722*F722/1000,2)</f>
        <v>270.72000000000003</v>
      </c>
      <c r="H722" s="1205" t="s">
        <v>2226</v>
      </c>
    </row>
    <row r="723" spans="1:8" hidden="1">
      <c r="A723" s="1156"/>
      <c r="B723" s="1218"/>
      <c r="C723" s="1752" t="s">
        <v>202</v>
      </c>
      <c r="D723" s="1212" t="s">
        <v>4</v>
      </c>
      <c r="E723" s="1213">
        <v>33</v>
      </c>
      <c r="F723" s="1213">
        <f>F722</f>
        <v>4700</v>
      </c>
      <c r="G723" s="1224">
        <f>ROUND(E723*F723/1000,2)</f>
        <v>155.1</v>
      </c>
      <c r="H723" s="1205" t="s">
        <v>2226</v>
      </c>
    </row>
    <row r="724" spans="1:8" hidden="1">
      <c r="A724" s="1156"/>
      <c r="B724" s="1218"/>
      <c r="C724" s="1752" t="s">
        <v>215</v>
      </c>
      <c r="D724" s="1212" t="s">
        <v>4</v>
      </c>
      <c r="E724" s="1213">
        <v>6</v>
      </c>
      <c r="F724" s="1213">
        <f>F688</f>
        <v>27</v>
      </c>
      <c r="G724" s="1224">
        <f>ROUND(E724*F724,2)</f>
        <v>162</v>
      </c>
      <c r="H724" s="1205" t="s">
        <v>2226</v>
      </c>
    </row>
    <row r="725" spans="1:8" hidden="1">
      <c r="A725" s="1212"/>
      <c r="B725" s="1212"/>
      <c r="C725" s="1754" t="s">
        <v>68</v>
      </c>
      <c r="D725" s="1212"/>
      <c r="E725" s="1213"/>
      <c r="F725" s="1213"/>
      <c r="G725" s="1224"/>
      <c r="H725" s="1205" t="s">
        <v>2226</v>
      </c>
    </row>
    <row r="726" spans="1:8" hidden="1">
      <c r="A726" s="1212"/>
      <c r="B726" s="1212"/>
      <c r="C726" s="1752" t="s">
        <v>64</v>
      </c>
      <c r="D726" s="1212" t="s">
        <v>27</v>
      </c>
      <c r="E726" s="1213">
        <v>0.77</v>
      </c>
      <c r="F726" s="1216">
        <f>'MINI SSR 19-20'!$H$3</f>
        <v>500</v>
      </c>
      <c r="G726" s="1224">
        <f>ROUND(E726*F726,2)</f>
        <v>385</v>
      </c>
      <c r="H726" s="1205" t="s">
        <v>2226</v>
      </c>
    </row>
    <row r="727" spans="1:8" hidden="1">
      <c r="A727" s="1212"/>
      <c r="B727" s="1212"/>
      <c r="C727" s="1752" t="s">
        <v>85</v>
      </c>
      <c r="D727" s="1212" t="s">
        <v>27</v>
      </c>
      <c r="E727" s="1213">
        <v>0.8</v>
      </c>
      <c r="F727" s="1216">
        <f>'MINI SSR 19-20'!$H$5</f>
        <v>420</v>
      </c>
      <c r="G727" s="1224">
        <f>ROUND(E727*F727,2)</f>
        <v>336</v>
      </c>
      <c r="H727" s="1205" t="s">
        <v>2226</v>
      </c>
    </row>
    <row r="728" spans="1:8" hidden="1">
      <c r="A728" s="1212"/>
      <c r="B728" s="1212"/>
      <c r="C728" s="1754" t="s">
        <v>88</v>
      </c>
      <c r="D728" s="1212"/>
      <c r="E728" s="1212"/>
      <c r="F728" s="1212"/>
      <c r="G728" s="1222">
        <f>SUM(G720:G727)</f>
        <v>4876.1000000000004</v>
      </c>
      <c r="H728" s="1205" t="s">
        <v>2226</v>
      </c>
    </row>
    <row r="729" spans="1:8" hidden="1">
      <c r="A729" s="1212"/>
      <c r="B729" s="1212"/>
      <c r="C729" s="1754"/>
      <c r="D729" s="1212"/>
      <c r="E729" s="1218" t="s">
        <v>161</v>
      </c>
      <c r="F729" s="1218" t="s">
        <v>162</v>
      </c>
      <c r="G729" s="1217" t="s">
        <v>163</v>
      </c>
      <c r="H729" s="1205" t="s">
        <v>2226</v>
      </c>
    </row>
    <row r="730" spans="1:8" hidden="1">
      <c r="A730" s="1212"/>
      <c r="B730" s="1212"/>
      <c r="C730" s="1754" t="s">
        <v>1275</v>
      </c>
      <c r="D730" s="1212"/>
      <c r="E730" s="1213">
        <f>G728</f>
        <v>4876.1000000000004</v>
      </c>
      <c r="F730" s="1213">
        <f>G728</f>
        <v>4876.1000000000004</v>
      </c>
      <c r="G730" s="1215">
        <f>G728</f>
        <v>4876.1000000000004</v>
      </c>
      <c r="H730" s="1205" t="s">
        <v>2226</v>
      </c>
    </row>
    <row r="731" spans="1:8" ht="25.5" hidden="1">
      <c r="A731" s="1212"/>
      <c r="B731" s="1212"/>
      <c r="C731" s="1752" t="s">
        <v>170</v>
      </c>
      <c r="D731" s="1212"/>
      <c r="E731" s="1212"/>
      <c r="F731" s="1213">
        <f>ROUND((G726+G727)*0.1,2)</f>
        <v>72.099999999999994</v>
      </c>
      <c r="G731" s="1215">
        <f>ROUND((G726+G727)*0.2,2)</f>
        <v>144.19999999999999</v>
      </c>
      <c r="H731" s="1205" t="s">
        <v>2226</v>
      </c>
    </row>
    <row r="732" spans="1:8" hidden="1">
      <c r="A732" s="1212"/>
      <c r="B732" s="1212"/>
      <c r="C732" s="1754" t="s">
        <v>194</v>
      </c>
      <c r="D732" s="1212"/>
      <c r="E732" s="1217">
        <f>SUM(E730:E731)</f>
        <v>4876.1000000000004</v>
      </c>
      <c r="F732" s="1217">
        <f>SUM(F730:F731)</f>
        <v>4948.2000000000007</v>
      </c>
      <c r="G732" s="1222">
        <f>SUM(G730:G731)</f>
        <v>5020.3</v>
      </c>
      <c r="H732" s="1205" t="s">
        <v>2226</v>
      </c>
    </row>
    <row r="733" spans="1:8" hidden="1">
      <c r="A733" s="1212"/>
      <c r="B733" s="1212"/>
      <c r="C733" s="1754" t="s">
        <v>181</v>
      </c>
      <c r="D733" s="1212"/>
      <c r="E733" s="1217">
        <f>ROUND(E732/10,2)</f>
        <v>487.61</v>
      </c>
      <c r="F733" s="1217">
        <f>ROUND(F732/10,2)</f>
        <v>494.82</v>
      </c>
      <c r="G733" s="1222">
        <f>ROUND(G732/10,2)</f>
        <v>502.03</v>
      </c>
      <c r="H733" s="1205" t="s">
        <v>2226</v>
      </c>
    </row>
    <row r="734" spans="1:8" s="1575" customFormat="1" ht="25.5">
      <c r="A734" s="1570">
        <v>25</v>
      </c>
      <c r="B734" s="1664" t="s">
        <v>1351</v>
      </c>
      <c r="C734" s="1753" t="s">
        <v>1202</v>
      </c>
      <c r="D734" s="1656"/>
      <c r="E734" s="1656"/>
      <c r="F734" s="1656"/>
      <c r="G734" s="1664"/>
      <c r="H734" s="1658" t="s">
        <v>2226</v>
      </c>
    </row>
    <row r="735" spans="1:8" s="1575" customFormat="1">
      <c r="A735" s="1570"/>
      <c r="B735" s="1664"/>
      <c r="C735" s="1755" t="s">
        <v>868</v>
      </c>
      <c r="D735" s="1656"/>
      <c r="E735" s="1656"/>
      <c r="F735" s="1656"/>
      <c r="G735" s="1661"/>
      <c r="H735" s="1658" t="s">
        <v>2226</v>
      </c>
    </row>
    <row r="736" spans="1:8" s="1575" customFormat="1">
      <c r="A736" s="1570"/>
      <c r="B736" s="1664"/>
      <c r="C736" s="1755" t="s">
        <v>60</v>
      </c>
      <c r="D736" s="1656"/>
      <c r="E736" s="1656"/>
      <c r="F736" s="1656"/>
      <c r="G736" s="1661"/>
      <c r="H736" s="1658" t="s">
        <v>2226</v>
      </c>
    </row>
    <row r="737" spans="1:8" s="1575" customFormat="1">
      <c r="A737" s="1570"/>
      <c r="B737" s="1664"/>
      <c r="C737" s="1753" t="s">
        <v>33</v>
      </c>
      <c r="D737" s="1656" t="s">
        <v>4</v>
      </c>
      <c r="E737" s="1659">
        <v>14.4</v>
      </c>
      <c r="F737" s="1659">
        <f>'lead 19-20'!L8</f>
        <v>4700</v>
      </c>
      <c r="G737" s="1660">
        <f>ROUND(E737*F737/1000,2)</f>
        <v>67.680000000000007</v>
      </c>
      <c r="H737" s="1658" t="s">
        <v>2226</v>
      </c>
    </row>
    <row r="738" spans="1:8" s="1575" customFormat="1">
      <c r="A738" s="1570"/>
      <c r="B738" s="1664"/>
      <c r="C738" s="1753" t="s">
        <v>113</v>
      </c>
      <c r="D738" s="1656" t="s">
        <v>35</v>
      </c>
      <c r="E738" s="1659">
        <v>0.03</v>
      </c>
      <c r="F738" s="1659">
        <f>'lead 19-20'!L12</f>
        <v>1464.7999999999988</v>
      </c>
      <c r="G738" s="1660">
        <f>ROUND(E738*F738,2)</f>
        <v>43.94</v>
      </c>
      <c r="H738" s="1658" t="s">
        <v>2226</v>
      </c>
    </row>
    <row r="739" spans="1:8" s="1575" customFormat="1">
      <c r="A739" s="1656"/>
      <c r="B739" s="1656"/>
      <c r="C739" s="1755" t="s">
        <v>68</v>
      </c>
      <c r="D739" s="1656"/>
      <c r="E739" s="1659"/>
      <c r="F739" s="1659"/>
      <c r="G739" s="1660"/>
      <c r="H739" s="1658" t="s">
        <v>2226</v>
      </c>
    </row>
    <row r="740" spans="1:8" s="1575" customFormat="1">
      <c r="A740" s="1656"/>
      <c r="B740" s="1656"/>
      <c r="C740" s="1753" t="s">
        <v>69</v>
      </c>
      <c r="D740" s="1656" t="s">
        <v>27</v>
      </c>
      <c r="E740" s="1659">
        <v>0.5</v>
      </c>
      <c r="F740" s="1662">
        <f>'MINI SSR 19-20'!$H$4</f>
        <v>460</v>
      </c>
      <c r="G740" s="1660">
        <f>ROUND(E740*F740,2)</f>
        <v>230</v>
      </c>
      <c r="H740" s="1658" t="s">
        <v>2226</v>
      </c>
    </row>
    <row r="741" spans="1:8" s="1575" customFormat="1">
      <c r="A741" s="1656"/>
      <c r="B741" s="1656"/>
      <c r="C741" s="1753" t="s">
        <v>85</v>
      </c>
      <c r="D741" s="1656" t="s">
        <v>27</v>
      </c>
      <c r="E741" s="1659">
        <v>0.74</v>
      </c>
      <c r="F741" s="1662">
        <f>'MINI SSR 19-20'!$H$5</f>
        <v>420</v>
      </c>
      <c r="G741" s="1660">
        <f>ROUND(E741*F741,2)</f>
        <v>310.8</v>
      </c>
      <c r="H741" s="1658" t="s">
        <v>2226</v>
      </c>
    </row>
    <row r="742" spans="1:8" s="1575" customFormat="1">
      <c r="A742" s="1656"/>
      <c r="B742" s="1656"/>
      <c r="C742" s="1755" t="s">
        <v>88</v>
      </c>
      <c r="D742" s="1656"/>
      <c r="E742" s="1659"/>
      <c r="F742" s="1659"/>
      <c r="G742" s="1660">
        <f>SUM(G737:G741)</f>
        <v>652.42000000000007</v>
      </c>
      <c r="H742" s="1658" t="s">
        <v>2226</v>
      </c>
    </row>
    <row r="743" spans="1:8" s="1575" customFormat="1" ht="114.75">
      <c r="A743" s="1570">
        <v>26</v>
      </c>
      <c r="B743" s="1664" t="s">
        <v>1352</v>
      </c>
      <c r="C743" s="1753" t="s">
        <v>1203</v>
      </c>
      <c r="D743" s="1656"/>
      <c r="E743" s="1656"/>
      <c r="F743" s="1656"/>
      <c r="G743" s="1664"/>
      <c r="H743" s="1658" t="s">
        <v>2226</v>
      </c>
    </row>
    <row r="744" spans="1:8" s="1575" customFormat="1">
      <c r="A744" s="1570"/>
      <c r="B744" s="1664"/>
      <c r="C744" s="1755" t="s">
        <v>868</v>
      </c>
      <c r="D744" s="1656"/>
      <c r="E744" s="1656"/>
      <c r="F744" s="1656"/>
      <c r="G744" s="1661"/>
      <c r="H744" s="1658" t="s">
        <v>2226</v>
      </c>
    </row>
    <row r="745" spans="1:8" s="1575" customFormat="1">
      <c r="A745" s="1570"/>
      <c r="B745" s="1664"/>
      <c r="C745" s="1755" t="s">
        <v>60</v>
      </c>
      <c r="D745" s="1656"/>
      <c r="E745" s="1656"/>
      <c r="F745" s="1656"/>
      <c r="G745" s="1661"/>
      <c r="H745" s="1658" t="s">
        <v>2226</v>
      </c>
    </row>
    <row r="746" spans="1:8" s="1575" customFormat="1">
      <c r="A746" s="1570"/>
      <c r="B746" s="1664"/>
      <c r="C746" s="1753" t="s">
        <v>3249</v>
      </c>
      <c r="D746" s="1656" t="s">
        <v>11</v>
      </c>
      <c r="E746" s="1668">
        <v>0.255</v>
      </c>
      <c r="F746" s="1659">
        <f>'lead 19-20'!L23</f>
        <v>19217.800000000003</v>
      </c>
      <c r="G746" s="1660">
        <f>ROUND(E746*F746/1,2)</f>
        <v>4900.54</v>
      </c>
      <c r="H746" s="1658" t="s">
        <v>2226</v>
      </c>
    </row>
    <row r="747" spans="1:8" s="1575" customFormat="1">
      <c r="A747" s="1570"/>
      <c r="B747" s="1664"/>
      <c r="C747" s="1753" t="s">
        <v>873</v>
      </c>
      <c r="D747" s="1656" t="s">
        <v>141</v>
      </c>
      <c r="E747" s="1659">
        <v>21.6</v>
      </c>
      <c r="F747" s="1659">
        <f>'lead 19-20'!L8</f>
        <v>4700</v>
      </c>
      <c r="G747" s="1660">
        <f>ROUND(E747*F747/1000,2)</f>
        <v>101.52</v>
      </c>
      <c r="H747" s="1658" t="s">
        <v>2226</v>
      </c>
    </row>
    <row r="748" spans="1:8" s="1575" customFormat="1">
      <c r="A748" s="1570"/>
      <c r="B748" s="1664"/>
      <c r="C748" s="1753" t="s">
        <v>1205</v>
      </c>
      <c r="D748" s="1656" t="s">
        <v>141</v>
      </c>
      <c r="E748" s="1659">
        <v>6</v>
      </c>
      <c r="F748" s="1659">
        <f>F747</f>
        <v>4700</v>
      </c>
      <c r="G748" s="1660">
        <f>ROUND(E748*F748/1000,2)</f>
        <v>28.2</v>
      </c>
      <c r="H748" s="1658" t="s">
        <v>2226</v>
      </c>
    </row>
    <row r="749" spans="1:8" s="1575" customFormat="1">
      <c r="A749" s="1570"/>
      <c r="B749" s="1664"/>
      <c r="C749" s="1753" t="s">
        <v>1206</v>
      </c>
      <c r="D749" s="1656" t="s">
        <v>102</v>
      </c>
      <c r="E749" s="1659">
        <v>1</v>
      </c>
      <c r="F749" s="1659">
        <f>G742</f>
        <v>652.42000000000007</v>
      </c>
      <c r="G749" s="1660">
        <f>ROUND(E749*F749/1,2)</f>
        <v>652.41999999999996</v>
      </c>
      <c r="H749" s="1658" t="s">
        <v>2226</v>
      </c>
    </row>
    <row r="750" spans="1:8" s="1575" customFormat="1">
      <c r="A750" s="1570"/>
      <c r="B750" s="1664"/>
      <c r="C750" s="1753" t="s">
        <v>1207</v>
      </c>
      <c r="D750" s="1656" t="s">
        <v>35</v>
      </c>
      <c r="E750" s="1659">
        <v>0.04</v>
      </c>
      <c r="F750" s="1659">
        <f>'lead 19-20'!L12</f>
        <v>1464.7999999999988</v>
      </c>
      <c r="G750" s="1660">
        <f>-ROUND(E750*F750,2)</f>
        <v>-58.59</v>
      </c>
      <c r="H750" s="1658" t="s">
        <v>2226</v>
      </c>
    </row>
    <row r="751" spans="1:8" s="1575" customFormat="1">
      <c r="A751" s="1570"/>
      <c r="B751" s="1664"/>
      <c r="C751" s="1753" t="s">
        <v>1208</v>
      </c>
      <c r="D751" s="1656" t="s">
        <v>35</v>
      </c>
      <c r="E751" s="1659">
        <v>0.12</v>
      </c>
      <c r="F751" s="1659">
        <f>F750</f>
        <v>1464.7999999999988</v>
      </c>
      <c r="G751" s="1660">
        <f>ROUND(E751*F751,2)</f>
        <v>175.78</v>
      </c>
      <c r="H751" s="1658" t="s">
        <v>2226</v>
      </c>
    </row>
    <row r="752" spans="1:8" s="1575" customFormat="1">
      <c r="A752" s="1656"/>
      <c r="B752" s="1656"/>
      <c r="C752" s="1755" t="s">
        <v>68</v>
      </c>
      <c r="D752" s="1656"/>
      <c r="E752" s="1659"/>
      <c r="F752" s="1659"/>
      <c r="G752" s="1660"/>
      <c r="H752" s="1658" t="s">
        <v>2226</v>
      </c>
    </row>
    <row r="753" spans="1:8" s="1575" customFormat="1">
      <c r="A753" s="1656"/>
      <c r="B753" s="1656"/>
      <c r="C753" s="1753" t="s">
        <v>64</v>
      </c>
      <c r="D753" s="1656" t="s">
        <v>27</v>
      </c>
      <c r="E753" s="1659">
        <v>0.96</v>
      </c>
      <c r="F753" s="1662">
        <f>'MINI SSR 19-20'!$H$3</f>
        <v>500</v>
      </c>
      <c r="G753" s="1660">
        <f>ROUND(E753*F753,2)</f>
        <v>480</v>
      </c>
      <c r="H753" s="1658" t="s">
        <v>2226</v>
      </c>
    </row>
    <row r="754" spans="1:8" s="1575" customFormat="1">
      <c r="A754" s="1656"/>
      <c r="B754" s="1656"/>
      <c r="C754" s="1753" t="s">
        <v>69</v>
      </c>
      <c r="D754" s="1656" t="s">
        <v>27</v>
      </c>
      <c r="E754" s="1659">
        <v>2.2400000000000002</v>
      </c>
      <c r="F754" s="1662">
        <f>'MINI SSR 19-20'!$H$4</f>
        <v>460</v>
      </c>
      <c r="G754" s="1660">
        <f>ROUND(E754*F754,2)</f>
        <v>1030.4000000000001</v>
      </c>
      <c r="H754" s="1658" t="s">
        <v>2226</v>
      </c>
    </row>
    <row r="755" spans="1:8" s="1575" customFormat="1">
      <c r="A755" s="1656"/>
      <c r="B755" s="1656"/>
      <c r="C755" s="1753" t="s">
        <v>85</v>
      </c>
      <c r="D755" s="1656" t="s">
        <v>27</v>
      </c>
      <c r="E755" s="1659">
        <v>4.3</v>
      </c>
      <c r="F755" s="1662">
        <f>'MINI SSR 19-20'!$H$5</f>
        <v>420</v>
      </c>
      <c r="G755" s="1660">
        <f>ROUND(E755*F755,2)</f>
        <v>1806</v>
      </c>
      <c r="H755" s="1658" t="s">
        <v>2226</v>
      </c>
    </row>
    <row r="756" spans="1:8" s="1575" customFormat="1">
      <c r="A756" s="1656"/>
      <c r="B756" s="1656"/>
      <c r="C756" s="1755" t="s">
        <v>88</v>
      </c>
      <c r="D756" s="1656"/>
      <c r="E756" s="1659"/>
      <c r="F756" s="1659"/>
      <c r="G756" s="1660">
        <f>SUM(G746:G755)</f>
        <v>9116.27</v>
      </c>
      <c r="H756" s="1658" t="s">
        <v>2226</v>
      </c>
    </row>
    <row r="757" spans="1:8" s="1575" customFormat="1">
      <c r="A757" s="1656"/>
      <c r="B757" s="1656"/>
      <c r="C757" s="1755"/>
      <c r="D757" s="1656"/>
      <c r="E757" s="1659" t="s">
        <v>161</v>
      </c>
      <c r="F757" s="1659" t="s">
        <v>162</v>
      </c>
      <c r="G757" s="1608" t="s">
        <v>163</v>
      </c>
      <c r="H757" s="1658" t="s">
        <v>2226</v>
      </c>
    </row>
    <row r="758" spans="1:8" s="1575" customFormat="1">
      <c r="A758" s="1656"/>
      <c r="B758" s="1656"/>
      <c r="C758" s="1755" t="s">
        <v>1275</v>
      </c>
      <c r="D758" s="1656"/>
      <c r="E758" s="1659">
        <f>G756</f>
        <v>9116.27</v>
      </c>
      <c r="F758" s="1659">
        <f>G756</f>
        <v>9116.27</v>
      </c>
      <c r="G758" s="1661">
        <f>G756</f>
        <v>9116.27</v>
      </c>
      <c r="H758" s="1658" t="s">
        <v>2226</v>
      </c>
    </row>
    <row r="759" spans="1:8" s="1575" customFormat="1" ht="25.5">
      <c r="A759" s="1656"/>
      <c r="B759" s="1656"/>
      <c r="C759" s="1753" t="s">
        <v>170</v>
      </c>
      <c r="D759" s="1656"/>
      <c r="E759" s="1656"/>
      <c r="F759" s="1659">
        <f>ROUND((G754+G755+G753)*0.1,2)</f>
        <v>331.64</v>
      </c>
      <c r="G759" s="1661">
        <f>ROUND((G754+G755+G753)*0.2,2)</f>
        <v>663.28</v>
      </c>
      <c r="H759" s="1658" t="s">
        <v>2226</v>
      </c>
    </row>
    <row r="760" spans="1:8" s="1575" customFormat="1">
      <c r="A760" s="1656"/>
      <c r="B760" s="1656"/>
      <c r="C760" s="1755" t="s">
        <v>194</v>
      </c>
      <c r="D760" s="1656"/>
      <c r="E760" s="1663">
        <f>SUM(E758:E759)</f>
        <v>9116.27</v>
      </c>
      <c r="F760" s="1663">
        <f>SUM(F758:F759)</f>
        <v>9447.91</v>
      </c>
      <c r="G760" s="1667">
        <f>SUM(G758:G759)</f>
        <v>9779.5500000000011</v>
      </c>
      <c r="H760" s="1658" t="s">
        <v>2226</v>
      </c>
    </row>
    <row r="761" spans="1:8" s="1575" customFormat="1">
      <c r="A761" s="1656"/>
      <c r="B761" s="1656"/>
      <c r="C761" s="1755" t="s">
        <v>181</v>
      </c>
      <c r="D761" s="1656"/>
      <c r="E761" s="1663">
        <f>ROUND(E760/10,2)</f>
        <v>911.63</v>
      </c>
      <c r="F761" s="1663">
        <f>ROUND(F760/10,2)</f>
        <v>944.79</v>
      </c>
      <c r="G761" s="1667">
        <f>ROUND(G760/10,2)</f>
        <v>977.96</v>
      </c>
      <c r="H761" s="1658" t="s">
        <v>2226</v>
      </c>
    </row>
    <row r="762" spans="1:8" ht="114.75" hidden="1">
      <c r="A762" s="1156">
        <v>26</v>
      </c>
      <c r="B762" s="1218"/>
      <c r="C762" s="1752" t="s">
        <v>2255</v>
      </c>
      <c r="D762" s="1212"/>
      <c r="E762" s="1212"/>
      <c r="F762" s="1212"/>
      <c r="G762" s="1218"/>
      <c r="H762" s="1205" t="s">
        <v>2226</v>
      </c>
    </row>
    <row r="763" spans="1:8" hidden="1">
      <c r="A763" s="1156"/>
      <c r="B763" s="1218"/>
      <c r="C763" s="1754" t="s">
        <v>60</v>
      </c>
      <c r="D763" s="1212"/>
      <c r="E763" s="1212"/>
      <c r="F763" s="1212"/>
      <c r="G763" s="1215"/>
      <c r="H763" s="1205" t="s">
        <v>2226</v>
      </c>
    </row>
    <row r="764" spans="1:8" hidden="1">
      <c r="A764" s="1156"/>
      <c r="B764" s="1218"/>
      <c r="C764" s="1752" t="s">
        <v>2256</v>
      </c>
      <c r="D764" s="1212" t="s">
        <v>102</v>
      </c>
      <c r="E764" s="1223">
        <v>1</v>
      </c>
      <c r="F764" s="1213">
        <f>'MINI SSR 19-20'!H79</f>
        <v>311</v>
      </c>
      <c r="G764" s="1214">
        <f>ROUND(E764*F764/1,2)</f>
        <v>311</v>
      </c>
      <c r="H764" s="1205" t="s">
        <v>2226</v>
      </c>
    </row>
    <row r="765" spans="1:8" hidden="1">
      <c r="A765" s="1156"/>
      <c r="B765" s="1218"/>
      <c r="C765" s="1752" t="s">
        <v>2257</v>
      </c>
      <c r="D765" s="1212" t="s">
        <v>102</v>
      </c>
      <c r="E765" s="1223">
        <v>1</v>
      </c>
      <c r="F765" s="1213">
        <f>'MINI SSR 19-20'!H80</f>
        <v>178</v>
      </c>
      <c r="G765" s="1214">
        <f>ROUND(E765*F765/1,2)</f>
        <v>178</v>
      </c>
      <c r="H765" s="1205" t="s">
        <v>2226</v>
      </c>
    </row>
    <row r="766" spans="1:8" hidden="1">
      <c r="A766" s="1212"/>
      <c r="B766" s="1212"/>
      <c r="C766" s="1754" t="s">
        <v>181</v>
      </c>
      <c r="D766" s="1212"/>
      <c r="E766" s="1217"/>
      <c r="F766" s="1217"/>
      <c r="G766" s="1222">
        <f>SUM(G764:G765)</f>
        <v>489</v>
      </c>
      <c r="H766" s="1205" t="s">
        <v>2226</v>
      </c>
    </row>
    <row r="767" spans="1:8" ht="140.25" hidden="1">
      <c r="A767" s="1156">
        <v>28</v>
      </c>
      <c r="B767" s="1218" t="s">
        <v>2258</v>
      </c>
      <c r="C767" s="1752" t="s">
        <v>2259</v>
      </c>
      <c r="D767" s="1212"/>
      <c r="E767" s="1212"/>
      <c r="F767" s="1212"/>
      <c r="G767" s="1218"/>
      <c r="H767" s="1205" t="s">
        <v>2226</v>
      </c>
    </row>
    <row r="768" spans="1:8" hidden="1">
      <c r="A768" s="1156"/>
      <c r="B768" s="1218"/>
      <c r="C768" s="1754" t="s">
        <v>42</v>
      </c>
      <c r="D768" s="1212"/>
      <c r="E768" s="1212"/>
      <c r="F768" s="1212"/>
      <c r="G768" s="1215"/>
      <c r="H768" s="1205" t="s">
        <v>2226</v>
      </c>
    </row>
    <row r="769" spans="1:8" hidden="1">
      <c r="A769" s="1156"/>
      <c r="B769" s="1218"/>
      <c r="C769" s="1754" t="s">
        <v>60</v>
      </c>
      <c r="D769" s="1212"/>
      <c r="E769" s="1212"/>
      <c r="F769" s="1212"/>
      <c r="G769" s="1215"/>
      <c r="H769" s="1205" t="s">
        <v>2226</v>
      </c>
    </row>
    <row r="770" spans="1:8" hidden="1">
      <c r="A770" s="1156"/>
      <c r="B770" s="1218"/>
      <c r="C770" s="1752" t="s">
        <v>2260</v>
      </c>
      <c r="D770" s="1212" t="s">
        <v>35</v>
      </c>
      <c r="E770" s="1213">
        <v>0.17</v>
      </c>
      <c r="F770" s="1213">
        <f>F38</f>
        <v>1722.2999999999997</v>
      </c>
      <c r="G770" s="1214">
        <f>ROUND(E770*F770,2)</f>
        <v>292.79000000000002</v>
      </c>
      <c r="H770" s="1205" t="s">
        <v>2226</v>
      </c>
    </row>
    <row r="771" spans="1:8" hidden="1">
      <c r="A771" s="1156"/>
      <c r="B771" s="1218"/>
      <c r="C771" s="1752" t="s">
        <v>847</v>
      </c>
      <c r="D771" s="1212" t="s">
        <v>4</v>
      </c>
      <c r="E771" s="1213">
        <v>120</v>
      </c>
      <c r="F771" s="1213">
        <f>'lead 19-20'!L8</f>
        <v>4700</v>
      </c>
      <c r="G771" s="1214">
        <f>ROUND(E771*F771/1000,2)</f>
        <v>564</v>
      </c>
      <c r="H771" s="1205" t="s">
        <v>2226</v>
      </c>
    </row>
    <row r="772" spans="1:8" hidden="1">
      <c r="A772" s="1156"/>
      <c r="B772" s="1218"/>
      <c r="C772" s="1752" t="s">
        <v>837</v>
      </c>
      <c r="D772" s="1212" t="s">
        <v>35</v>
      </c>
      <c r="E772" s="1213">
        <v>8.5000000000000006E-2</v>
      </c>
      <c r="F772" s="1213">
        <f>'lead 19-20'!L13</f>
        <v>1384.7999999999988</v>
      </c>
      <c r="G772" s="1214">
        <f>ROUND(E772*F772,2)</f>
        <v>117.71</v>
      </c>
      <c r="H772" s="1205" t="s">
        <v>2226</v>
      </c>
    </row>
    <row r="773" spans="1:8" hidden="1">
      <c r="A773" s="1212"/>
      <c r="B773" s="1212"/>
      <c r="C773" s="1754" t="s">
        <v>68</v>
      </c>
      <c r="D773" s="1212"/>
      <c r="E773" s="1213"/>
      <c r="F773" s="1213"/>
      <c r="G773" s="1214"/>
      <c r="H773" s="1205" t="s">
        <v>2226</v>
      </c>
    </row>
    <row r="774" spans="1:8" hidden="1">
      <c r="A774" s="1212"/>
      <c r="B774" s="1212"/>
      <c r="C774" s="1752" t="s">
        <v>64</v>
      </c>
      <c r="D774" s="1212" t="s">
        <v>27</v>
      </c>
      <c r="E774" s="1213">
        <v>1.25</v>
      </c>
      <c r="F774" s="1216">
        <f>'MINI SSR 19-20'!H3</f>
        <v>500</v>
      </c>
      <c r="G774" s="1214">
        <f>ROUND(E774*F774,2)</f>
        <v>625</v>
      </c>
      <c r="H774" s="1205" t="s">
        <v>2226</v>
      </c>
    </row>
    <row r="775" spans="1:8" hidden="1">
      <c r="A775" s="1212"/>
      <c r="B775" s="1212"/>
      <c r="C775" s="1752" t="s">
        <v>69</v>
      </c>
      <c r="D775" s="1212" t="s">
        <v>27</v>
      </c>
      <c r="E775" s="1213">
        <v>0.06</v>
      </c>
      <c r="F775" s="1216">
        <f>'MINI SSR 19-20'!H4</f>
        <v>460</v>
      </c>
      <c r="G775" s="1214">
        <f>ROUND(E775*F775,2)</f>
        <v>27.6</v>
      </c>
      <c r="H775" s="1205" t="s">
        <v>2226</v>
      </c>
    </row>
    <row r="776" spans="1:8" hidden="1">
      <c r="A776" s="1212"/>
      <c r="B776" s="1212"/>
      <c r="C776" s="1752" t="s">
        <v>85</v>
      </c>
      <c r="D776" s="1212" t="s">
        <v>27</v>
      </c>
      <c r="E776" s="1213">
        <v>3</v>
      </c>
      <c r="F776" s="1216">
        <f>'MINI SSR 19-20'!H5</f>
        <v>420</v>
      </c>
      <c r="G776" s="1214">
        <f>ROUND(E776*F776,2)</f>
        <v>1260</v>
      </c>
      <c r="H776" s="1205" t="s">
        <v>2226</v>
      </c>
    </row>
    <row r="777" spans="1:8" hidden="1">
      <c r="A777" s="1212"/>
      <c r="B777" s="1212"/>
      <c r="C777" s="1754" t="s">
        <v>88</v>
      </c>
      <c r="D777" s="1212"/>
      <c r="E777" s="1212"/>
      <c r="F777" s="1212"/>
      <c r="G777" s="1222">
        <f>SUM(G770:G776)</f>
        <v>2887.1</v>
      </c>
      <c r="H777" s="1205" t="s">
        <v>2226</v>
      </c>
    </row>
    <row r="778" spans="1:8" hidden="1">
      <c r="A778" s="1212"/>
      <c r="B778" s="1212"/>
      <c r="C778" s="1754"/>
      <c r="D778" s="1212"/>
      <c r="E778" s="1218" t="s">
        <v>161</v>
      </c>
      <c r="F778" s="1218" t="s">
        <v>162</v>
      </c>
      <c r="G778" s="1217" t="s">
        <v>163</v>
      </c>
      <c r="H778" s="1205" t="s">
        <v>2226</v>
      </c>
    </row>
    <row r="779" spans="1:8" hidden="1">
      <c r="A779" s="1212"/>
      <c r="B779" s="1212"/>
      <c r="C779" s="1754" t="s">
        <v>1275</v>
      </c>
      <c r="D779" s="1212"/>
      <c r="E779" s="1213">
        <f>G777</f>
        <v>2887.1</v>
      </c>
      <c r="F779" s="1213">
        <f>G777</f>
        <v>2887.1</v>
      </c>
      <c r="G779" s="1215">
        <f>G777</f>
        <v>2887.1</v>
      </c>
      <c r="H779" s="1205" t="s">
        <v>2226</v>
      </c>
    </row>
    <row r="780" spans="1:8" ht="25.5" hidden="1">
      <c r="A780" s="1212"/>
      <c r="B780" s="1212"/>
      <c r="C780" s="1752" t="s">
        <v>170</v>
      </c>
      <c r="D780" s="1212"/>
      <c r="E780" s="1212"/>
      <c r="F780" s="1213">
        <f>ROUND((G774+G775+G776)*0.1,2)</f>
        <v>191.26</v>
      </c>
      <c r="G780" s="1225">
        <f>ROUND((G774+G775+G776)*0.2,2)</f>
        <v>382.52</v>
      </c>
      <c r="H780" s="1205" t="s">
        <v>2226</v>
      </c>
    </row>
    <row r="781" spans="1:8" hidden="1">
      <c r="A781" s="1212"/>
      <c r="B781" s="1212"/>
      <c r="C781" s="1754" t="s">
        <v>194</v>
      </c>
      <c r="D781" s="1212"/>
      <c r="E781" s="1217">
        <f>SUM(E779:E780)</f>
        <v>2887.1</v>
      </c>
      <c r="F781" s="1217">
        <f>SUM(F779:F780)</f>
        <v>3078.3599999999997</v>
      </c>
      <c r="G781" s="1222">
        <f>SUM(G779:G780)</f>
        <v>3269.62</v>
      </c>
      <c r="H781" s="1205" t="s">
        <v>2226</v>
      </c>
    </row>
    <row r="782" spans="1:8" hidden="1">
      <c r="A782" s="1212"/>
      <c r="B782" s="1212"/>
      <c r="C782" s="1754" t="s">
        <v>181</v>
      </c>
      <c r="D782" s="1212"/>
      <c r="E782" s="1217">
        <f>ROUND(E781/10,2)</f>
        <v>288.70999999999998</v>
      </c>
      <c r="F782" s="1217">
        <f>ROUND(F781/10,2)</f>
        <v>307.83999999999997</v>
      </c>
      <c r="G782" s="1222">
        <f>ROUND(G781/10,2)</f>
        <v>326.95999999999998</v>
      </c>
      <c r="H782" s="1205" t="s">
        <v>2226</v>
      </c>
    </row>
    <row r="783" spans="1:8" ht="102" hidden="1">
      <c r="A783" s="1156">
        <v>51</v>
      </c>
      <c r="B783" s="1218" t="s">
        <v>878</v>
      </c>
      <c r="C783" s="1752" t="s">
        <v>879</v>
      </c>
      <c r="D783" s="1212"/>
      <c r="E783" s="1212"/>
      <c r="F783" s="1212"/>
      <c r="G783" s="1218"/>
      <c r="H783" s="1205" t="s">
        <v>2226</v>
      </c>
    </row>
    <row r="784" spans="1:8" hidden="1">
      <c r="A784" s="1156"/>
      <c r="B784" s="1218"/>
      <c r="C784" s="1754" t="s">
        <v>42</v>
      </c>
      <c r="D784" s="1212"/>
      <c r="E784" s="1212"/>
      <c r="F784" s="1212"/>
      <c r="G784" s="1215"/>
      <c r="H784" s="1205" t="s">
        <v>2226</v>
      </c>
    </row>
    <row r="785" spans="1:8" hidden="1">
      <c r="A785" s="1156"/>
      <c r="B785" s="1218"/>
      <c r="C785" s="1754" t="s">
        <v>60</v>
      </c>
      <c r="D785" s="1212"/>
      <c r="E785" s="1212"/>
      <c r="F785" s="1212"/>
      <c r="G785" s="1215"/>
      <c r="H785" s="1205" t="s">
        <v>2226</v>
      </c>
    </row>
    <row r="786" spans="1:8" hidden="1">
      <c r="A786" s="1156"/>
      <c r="B786" s="1218"/>
      <c r="C786" s="1752" t="s">
        <v>1276</v>
      </c>
      <c r="D786" s="1212" t="s">
        <v>1353</v>
      </c>
      <c r="E786" s="1213">
        <v>1.2</v>
      </c>
      <c r="F786" s="1213">
        <f>'MINI SSR 19-20'!$G$40</f>
        <v>550</v>
      </c>
      <c r="G786" s="1214">
        <f>ROUND(F786/20*E786,2)</f>
        <v>33</v>
      </c>
      <c r="H786" s="1205" t="s">
        <v>2226</v>
      </c>
    </row>
    <row r="787" spans="1:8" hidden="1">
      <c r="A787" s="1212"/>
      <c r="B787" s="1212"/>
      <c r="C787" s="1754" t="s">
        <v>68</v>
      </c>
      <c r="D787" s="1212"/>
      <c r="E787" s="1213"/>
      <c r="F787" s="1213"/>
      <c r="G787" s="1214"/>
      <c r="H787" s="1205" t="s">
        <v>2226</v>
      </c>
    </row>
    <row r="788" spans="1:8" hidden="1">
      <c r="A788" s="1212"/>
      <c r="B788" s="1212"/>
      <c r="C788" s="1752" t="s">
        <v>150</v>
      </c>
      <c r="D788" s="1212" t="s">
        <v>27</v>
      </c>
      <c r="E788" s="1213">
        <v>0.11</v>
      </c>
      <c r="F788" s="1213">
        <f>'MINI SSR 19-20'!$H$8</f>
        <v>580</v>
      </c>
      <c r="G788" s="1214">
        <f>ROUND(E788*F788,2)</f>
        <v>63.8</v>
      </c>
      <c r="H788" s="1205" t="s">
        <v>2226</v>
      </c>
    </row>
    <row r="789" spans="1:8" hidden="1">
      <c r="A789" s="1212"/>
      <c r="B789" s="1212"/>
      <c r="C789" s="1752" t="s">
        <v>85</v>
      </c>
      <c r="D789" s="1212" t="s">
        <v>27</v>
      </c>
      <c r="E789" s="1213">
        <v>0.22</v>
      </c>
      <c r="F789" s="1213">
        <f>'MINI SSR 19-20'!$H$5</f>
        <v>420</v>
      </c>
      <c r="G789" s="1214">
        <f>ROUND(E789*F789,2)</f>
        <v>92.4</v>
      </c>
      <c r="H789" s="1205" t="s">
        <v>2226</v>
      </c>
    </row>
    <row r="790" spans="1:8" hidden="1">
      <c r="A790" s="1212"/>
      <c r="B790" s="1212"/>
      <c r="C790" s="1752" t="s">
        <v>880</v>
      </c>
      <c r="D790" s="1212"/>
      <c r="E790" s="1213">
        <v>0.05</v>
      </c>
      <c r="F790" s="1213">
        <f>SUM(G786:G789)</f>
        <v>189.2</v>
      </c>
      <c r="G790" s="1214">
        <f>ROUND(E790*F790,2)</f>
        <v>9.4600000000000009</v>
      </c>
      <c r="H790" s="1205" t="s">
        <v>2226</v>
      </c>
    </row>
    <row r="791" spans="1:8" hidden="1">
      <c r="A791" s="1212"/>
      <c r="B791" s="1212"/>
      <c r="C791" s="1754" t="s">
        <v>88</v>
      </c>
      <c r="D791" s="1212"/>
      <c r="E791" s="1212"/>
      <c r="F791" s="1212"/>
      <c r="G791" s="1222">
        <f>SUM(G786:G790)</f>
        <v>198.66</v>
      </c>
      <c r="H791" s="1205" t="s">
        <v>2226</v>
      </c>
    </row>
    <row r="792" spans="1:8" hidden="1">
      <c r="A792" s="1212"/>
      <c r="B792" s="1212"/>
      <c r="C792" s="1754"/>
      <c r="D792" s="1212"/>
      <c r="E792" s="1218" t="s">
        <v>161</v>
      </c>
      <c r="F792" s="1218" t="s">
        <v>162</v>
      </c>
      <c r="G792" s="1217" t="s">
        <v>163</v>
      </c>
      <c r="H792" s="1205" t="s">
        <v>2226</v>
      </c>
    </row>
    <row r="793" spans="1:8" hidden="1">
      <c r="A793" s="1212"/>
      <c r="B793" s="1212"/>
      <c r="C793" s="1754" t="s">
        <v>1277</v>
      </c>
      <c r="D793" s="1212"/>
      <c r="E793" s="1213">
        <f>G791</f>
        <v>198.66</v>
      </c>
      <c r="F793" s="1213">
        <f>E793</f>
        <v>198.66</v>
      </c>
      <c r="G793" s="1215">
        <f>F793</f>
        <v>198.66</v>
      </c>
      <c r="H793" s="1205" t="s">
        <v>2226</v>
      </c>
    </row>
    <row r="794" spans="1:8" ht="25.5" hidden="1">
      <c r="A794" s="1212"/>
      <c r="B794" s="1212"/>
      <c r="C794" s="1752" t="s">
        <v>170</v>
      </c>
      <c r="D794" s="1212"/>
      <c r="E794" s="1212"/>
      <c r="F794" s="1213">
        <f>ROUND((G788+G789)*0.1,2)</f>
        <v>15.62</v>
      </c>
      <c r="G794" s="1215">
        <f>ROUND((G788+G789)*0.1,2)</f>
        <v>15.62</v>
      </c>
      <c r="H794" s="1205" t="s">
        <v>2226</v>
      </c>
    </row>
    <row r="795" spans="1:8" hidden="1">
      <c r="A795" s="1212"/>
      <c r="B795" s="1212"/>
      <c r="C795" s="1754" t="s">
        <v>194</v>
      </c>
      <c r="D795" s="1212"/>
      <c r="E795" s="1217">
        <f>SUM(E793:E794)</f>
        <v>198.66</v>
      </c>
      <c r="F795" s="1217">
        <f>SUM(F793:F794)</f>
        <v>214.28</v>
      </c>
      <c r="G795" s="1222">
        <f>SUM(G793:G794)</f>
        <v>214.28</v>
      </c>
      <c r="H795" s="1205" t="s">
        <v>2226</v>
      </c>
    </row>
    <row r="796" spans="1:8" hidden="1">
      <c r="A796" s="1212"/>
      <c r="B796" s="1212"/>
      <c r="C796" s="1754" t="s">
        <v>181</v>
      </c>
      <c r="D796" s="1212"/>
      <c r="E796" s="1217">
        <f>ROUND(E795/10,2)</f>
        <v>19.87</v>
      </c>
      <c r="F796" s="1217">
        <f>ROUND(F795/10,2)</f>
        <v>21.43</v>
      </c>
      <c r="G796" s="1222">
        <f>ROUND(G795/10,2)</f>
        <v>21.43</v>
      </c>
      <c r="H796" s="1205" t="s">
        <v>2226</v>
      </c>
    </row>
    <row r="797" spans="1:8" s="1575" customFormat="1" ht="191.25">
      <c r="A797" s="1570">
        <v>27</v>
      </c>
      <c r="B797" s="1664" t="s">
        <v>1330</v>
      </c>
      <c r="C797" s="1753" t="s">
        <v>891</v>
      </c>
      <c r="D797" s="1656"/>
      <c r="E797" s="1656"/>
      <c r="F797" s="1656"/>
      <c r="G797" s="1664"/>
      <c r="H797" s="1658" t="s">
        <v>2226</v>
      </c>
    </row>
    <row r="798" spans="1:8" s="1575" customFormat="1">
      <c r="A798" s="1570"/>
      <c r="B798" s="1664"/>
      <c r="C798" s="1755" t="s">
        <v>42</v>
      </c>
      <c r="D798" s="1656"/>
      <c r="E798" s="1656"/>
      <c r="F798" s="1656"/>
      <c r="G798" s="1661"/>
      <c r="H798" s="1658" t="s">
        <v>2226</v>
      </c>
    </row>
    <row r="799" spans="1:8" s="1575" customFormat="1">
      <c r="A799" s="1570"/>
      <c r="B799" s="1664"/>
      <c r="C799" s="1755" t="s">
        <v>60</v>
      </c>
      <c r="D799" s="1656"/>
      <c r="E799" s="1656"/>
      <c r="F799" s="1656"/>
      <c r="G799" s="1661"/>
      <c r="H799" s="1658" t="s">
        <v>2226</v>
      </c>
    </row>
    <row r="800" spans="1:8" s="1575" customFormat="1">
      <c r="A800" s="1570"/>
      <c r="B800" s="1664"/>
      <c r="C800" s="1753" t="s">
        <v>892</v>
      </c>
      <c r="D800" s="1656" t="s">
        <v>1353</v>
      </c>
      <c r="E800" s="1659">
        <v>23</v>
      </c>
      <c r="F800" s="1659">
        <f>'MINI SSR 19-20'!$G$40</f>
        <v>550</v>
      </c>
      <c r="G800" s="1660">
        <f>ROUND(F800/20*E800,2)</f>
        <v>632.5</v>
      </c>
      <c r="H800" s="1658" t="s">
        <v>2226</v>
      </c>
    </row>
    <row r="801" spans="1:8" s="1575" customFormat="1">
      <c r="A801" s="1656"/>
      <c r="B801" s="1656"/>
      <c r="C801" s="1755" t="s">
        <v>68</v>
      </c>
      <c r="D801" s="1656"/>
      <c r="E801" s="1659"/>
      <c r="F801" s="1659"/>
      <c r="G801" s="1660"/>
      <c r="H801" s="1658" t="s">
        <v>2226</v>
      </c>
    </row>
    <row r="802" spans="1:8" s="1575" customFormat="1">
      <c r="A802" s="1656"/>
      <c r="B802" s="1656"/>
      <c r="C802" s="1753" t="s">
        <v>94</v>
      </c>
      <c r="D802" s="1656" t="s">
        <v>27</v>
      </c>
      <c r="E802" s="1668">
        <v>0.27300000000000002</v>
      </c>
      <c r="F802" s="1659">
        <f>'MINI SSR 19-20'!$H$8</f>
        <v>580</v>
      </c>
      <c r="G802" s="1660">
        <f>ROUND(E802*F802,2)</f>
        <v>158.34</v>
      </c>
      <c r="H802" s="1658" t="s">
        <v>2226</v>
      </c>
    </row>
    <row r="803" spans="1:8" s="1575" customFormat="1">
      <c r="A803" s="1656"/>
      <c r="B803" s="1656"/>
      <c r="C803" s="1753" t="s">
        <v>874</v>
      </c>
      <c r="D803" s="1656" t="s">
        <v>27</v>
      </c>
      <c r="E803" s="1668">
        <v>0.63700000000000001</v>
      </c>
      <c r="F803" s="1659">
        <f>'MINI SSR 19-20'!$H$9</f>
        <v>460</v>
      </c>
      <c r="G803" s="1660">
        <f>ROUND(E803*F803,2)</f>
        <v>293.02</v>
      </c>
      <c r="H803" s="1658" t="s">
        <v>2226</v>
      </c>
    </row>
    <row r="804" spans="1:8" s="1575" customFormat="1">
      <c r="A804" s="1656"/>
      <c r="B804" s="1656"/>
      <c r="C804" s="1753" t="s">
        <v>85</v>
      </c>
      <c r="D804" s="1656" t="s">
        <v>27</v>
      </c>
      <c r="E804" s="1668">
        <v>0.91</v>
      </c>
      <c r="F804" s="1659">
        <f>'MINI SSR 19-20'!$H$5</f>
        <v>420</v>
      </c>
      <c r="G804" s="1660">
        <f>ROUND(E804*F804,2)</f>
        <v>382.2</v>
      </c>
      <c r="H804" s="1658" t="s">
        <v>2226</v>
      </c>
    </row>
    <row r="805" spans="1:8" s="1575" customFormat="1">
      <c r="A805" s="1656"/>
      <c r="B805" s="1656"/>
      <c r="C805" s="1753" t="s">
        <v>893</v>
      </c>
      <c r="D805" s="1656"/>
      <c r="E805" s="1659">
        <v>0.01</v>
      </c>
      <c r="F805" s="1659">
        <f>SUM(G800:G804)</f>
        <v>1466.0600000000002</v>
      </c>
      <c r="G805" s="1660">
        <f>ROUND(E805*F805,2)</f>
        <v>14.66</v>
      </c>
      <c r="H805" s="1658" t="s">
        <v>2226</v>
      </c>
    </row>
    <row r="806" spans="1:8" s="1575" customFormat="1">
      <c r="A806" s="1656"/>
      <c r="B806" s="1656"/>
      <c r="C806" s="1755" t="s">
        <v>88</v>
      </c>
      <c r="D806" s="1656"/>
      <c r="E806" s="1656"/>
      <c r="F806" s="1656"/>
      <c r="G806" s="1667">
        <f>SUM(G800:G805)</f>
        <v>1480.7200000000003</v>
      </c>
      <c r="H806" s="1658" t="s">
        <v>2226</v>
      </c>
    </row>
    <row r="807" spans="1:8" s="1575" customFormat="1">
      <c r="A807" s="1656"/>
      <c r="B807" s="1656"/>
      <c r="C807" s="1755"/>
      <c r="D807" s="1656"/>
      <c r="E807" s="1664" t="s">
        <v>161</v>
      </c>
      <c r="F807" s="1664" t="s">
        <v>162</v>
      </c>
      <c r="G807" s="1663" t="s">
        <v>163</v>
      </c>
      <c r="H807" s="1658" t="s">
        <v>2226</v>
      </c>
    </row>
    <row r="808" spans="1:8" s="1575" customFormat="1">
      <c r="A808" s="1656"/>
      <c r="B808" s="1656"/>
      <c r="C808" s="1755" t="s">
        <v>1277</v>
      </c>
      <c r="D808" s="1656"/>
      <c r="E808" s="1659">
        <f>G806</f>
        <v>1480.7200000000003</v>
      </c>
      <c r="F808" s="1659">
        <f>E808</f>
        <v>1480.7200000000003</v>
      </c>
      <c r="G808" s="1661">
        <f>F808</f>
        <v>1480.7200000000003</v>
      </c>
      <c r="H808" s="1658" t="s">
        <v>2226</v>
      </c>
    </row>
    <row r="809" spans="1:8" s="1575" customFormat="1" ht="25.5">
      <c r="A809" s="1656"/>
      <c r="B809" s="1656"/>
      <c r="C809" s="1753" t="s">
        <v>170</v>
      </c>
      <c r="D809" s="1656"/>
      <c r="E809" s="1656"/>
      <c r="F809" s="1659">
        <f>ROUND((G802+G803+G804)*0.1,2)</f>
        <v>83.36</v>
      </c>
      <c r="G809" s="1669">
        <f>ROUND(F809*2,2)</f>
        <v>166.72</v>
      </c>
      <c r="H809" s="1658" t="s">
        <v>2226</v>
      </c>
    </row>
    <row r="810" spans="1:8" s="1575" customFormat="1">
      <c r="A810" s="1656"/>
      <c r="B810" s="1656"/>
      <c r="C810" s="1755" t="s">
        <v>194</v>
      </c>
      <c r="D810" s="1656"/>
      <c r="E810" s="1663">
        <f>SUM(E808:E809)</f>
        <v>1480.7200000000003</v>
      </c>
      <c r="F810" s="1663">
        <f>SUM(F808:F809)</f>
        <v>1564.0800000000002</v>
      </c>
      <c r="G810" s="1667">
        <f>SUM(G808:G809)</f>
        <v>1647.4400000000003</v>
      </c>
      <c r="H810" s="1658" t="s">
        <v>2226</v>
      </c>
    </row>
    <row r="811" spans="1:8" s="1575" customFormat="1">
      <c r="A811" s="1656"/>
      <c r="B811" s="1656"/>
      <c r="C811" s="1755" t="s">
        <v>181</v>
      </c>
      <c r="D811" s="1656"/>
      <c r="E811" s="1663">
        <f>ROUND(E810/10,2)</f>
        <v>148.07</v>
      </c>
      <c r="F811" s="1663">
        <f>ROUND(F810/10,2)</f>
        <v>156.41</v>
      </c>
      <c r="G811" s="1667">
        <f>ROUND(G810/10,2)</f>
        <v>164.74</v>
      </c>
      <c r="H811" s="1658" t="s">
        <v>2226</v>
      </c>
    </row>
    <row r="812" spans="1:8" s="1682" customFormat="1" ht="25.5">
      <c r="A812" s="1664">
        <v>28</v>
      </c>
      <c r="B812" s="1680" t="s">
        <v>1354</v>
      </c>
      <c r="C812" s="1753" t="s">
        <v>1355</v>
      </c>
      <c r="D812" s="1656"/>
      <c r="E812" s="1656"/>
      <c r="F812" s="1681"/>
      <c r="G812" s="1681"/>
      <c r="H812" s="1658" t="s">
        <v>2226</v>
      </c>
    </row>
    <row r="813" spans="1:8" s="1575" customFormat="1">
      <c r="A813" s="1656"/>
      <c r="B813" s="1664"/>
      <c r="C813" s="1753" t="s">
        <v>1356</v>
      </c>
      <c r="D813" s="1662"/>
      <c r="E813" s="1662"/>
      <c r="F813" s="1662"/>
      <c r="G813" s="1675"/>
      <c r="H813" s="1658" t="s">
        <v>2226</v>
      </c>
    </row>
    <row r="814" spans="1:8" s="1575" customFormat="1">
      <c r="A814" s="1656"/>
      <c r="B814" s="1664"/>
      <c r="C814" s="1753" t="s">
        <v>1357</v>
      </c>
      <c r="D814" s="1662"/>
      <c r="E814" s="1662"/>
      <c r="F814" s="1662"/>
      <c r="G814" s="1675"/>
      <c r="H814" s="1658" t="s">
        <v>2226</v>
      </c>
    </row>
    <row r="815" spans="1:8" s="1575" customFormat="1">
      <c r="A815" s="1656"/>
      <c r="B815" s="1664"/>
      <c r="C815" s="1753" t="s">
        <v>3223</v>
      </c>
      <c r="D815" s="1662" t="s">
        <v>90</v>
      </c>
      <c r="E815" s="1662">
        <v>1</v>
      </c>
      <c r="F815" s="1662">
        <f>'MINI SSR 19-20'!G41</f>
        <v>141</v>
      </c>
      <c r="G815" s="1675">
        <f>ROUND(E815*F815,2)</f>
        <v>141</v>
      </c>
      <c r="H815" s="1658" t="s">
        <v>2226</v>
      </c>
    </row>
    <row r="816" spans="1:8" s="1575" customFormat="1">
      <c r="A816" s="1656"/>
      <c r="B816" s="1664"/>
      <c r="C816" s="1753" t="s">
        <v>1358</v>
      </c>
      <c r="D816" s="1662"/>
      <c r="E816" s="1662"/>
      <c r="F816" s="1662"/>
      <c r="G816" s="1675"/>
      <c r="H816" s="1658" t="s">
        <v>2226</v>
      </c>
    </row>
    <row r="817" spans="1:8" s="1575" customFormat="1">
      <c r="A817" s="1656"/>
      <c r="B817" s="1664"/>
      <c r="C817" s="1753" t="s">
        <v>94</v>
      </c>
      <c r="D817" s="1662" t="s">
        <v>27</v>
      </c>
      <c r="E817" s="1662">
        <v>0.21</v>
      </c>
      <c r="F817" s="1659">
        <f>'MINI SSR 19-20'!$H$8</f>
        <v>580</v>
      </c>
      <c r="G817" s="1675">
        <f>ROUND(E817*F817,2)</f>
        <v>121.8</v>
      </c>
      <c r="H817" s="1658" t="s">
        <v>2226</v>
      </c>
    </row>
    <row r="818" spans="1:8" s="1575" customFormat="1">
      <c r="A818" s="1656"/>
      <c r="B818" s="1664"/>
      <c r="C818" s="1753" t="s">
        <v>874</v>
      </c>
      <c r="D818" s="1662" t="s">
        <v>27</v>
      </c>
      <c r="E818" s="1662">
        <v>0.49</v>
      </c>
      <c r="F818" s="1659">
        <f>'MINI SSR 19-20'!$H$9</f>
        <v>460</v>
      </c>
      <c r="G818" s="1675">
        <f>ROUND(E818*F818,2)</f>
        <v>225.4</v>
      </c>
      <c r="H818" s="1658" t="s">
        <v>2226</v>
      </c>
    </row>
    <row r="819" spans="1:8" s="1575" customFormat="1">
      <c r="A819" s="1656"/>
      <c r="B819" s="1664"/>
      <c r="C819" s="1753" t="s">
        <v>875</v>
      </c>
      <c r="D819" s="1662"/>
      <c r="E819" s="1683">
        <v>5.0000000000000001E-3</v>
      </c>
      <c r="F819" s="1662">
        <f>SUM(G815:G818)</f>
        <v>488.20000000000005</v>
      </c>
      <c r="G819" s="1675">
        <f>ROUND(E819*F819,2)</f>
        <v>2.44</v>
      </c>
      <c r="H819" s="1658" t="s">
        <v>2226</v>
      </c>
    </row>
    <row r="820" spans="1:8" s="1575" customFormat="1">
      <c r="A820" s="1656"/>
      <c r="B820" s="1664"/>
      <c r="C820" s="1753" t="s">
        <v>1359</v>
      </c>
      <c r="D820" s="1662"/>
      <c r="E820" s="1662"/>
      <c r="F820" s="1662"/>
      <c r="G820" s="1675">
        <f>SUM(G815:G819)</f>
        <v>490.64000000000004</v>
      </c>
      <c r="H820" s="1658" t="s">
        <v>2226</v>
      </c>
    </row>
    <row r="821" spans="1:8" s="1685" customFormat="1">
      <c r="A821" s="1680"/>
      <c r="B821" s="1680"/>
      <c r="C821" s="1755" t="s">
        <v>869</v>
      </c>
      <c r="D821" s="1676"/>
      <c r="E821" s="1676"/>
      <c r="F821" s="1676"/>
      <c r="G821" s="1684">
        <f>ROUND(SUM(G820:G820),2)</f>
        <v>490.64</v>
      </c>
      <c r="H821" s="1658" t="s">
        <v>2226</v>
      </c>
    </row>
    <row r="822" spans="1:8" s="1682" customFormat="1" ht="25.5">
      <c r="A822" s="1664">
        <v>29</v>
      </c>
      <c r="B822" s="1664" t="s">
        <v>1354</v>
      </c>
      <c r="C822" s="1753" t="s">
        <v>1360</v>
      </c>
      <c r="D822" s="1656"/>
      <c r="E822" s="1656"/>
      <c r="F822" s="1681"/>
      <c r="G822" s="1681"/>
      <c r="H822" s="1658" t="s">
        <v>2226</v>
      </c>
    </row>
    <row r="823" spans="1:8" s="1575" customFormat="1">
      <c r="A823" s="1656"/>
      <c r="B823" s="1664"/>
      <c r="C823" s="1753" t="s">
        <v>1356</v>
      </c>
      <c r="D823" s="1662"/>
      <c r="E823" s="1662"/>
      <c r="F823" s="1662"/>
      <c r="G823" s="1675"/>
      <c r="H823" s="1658" t="s">
        <v>2226</v>
      </c>
    </row>
    <row r="824" spans="1:8" s="1575" customFormat="1">
      <c r="A824" s="1656"/>
      <c r="B824" s="1664"/>
      <c r="C824" s="1753" t="s">
        <v>1357</v>
      </c>
      <c r="D824" s="1662"/>
      <c r="E824" s="1662"/>
      <c r="F824" s="1662"/>
      <c r="G824" s="1675"/>
      <c r="H824" s="1658" t="s">
        <v>2226</v>
      </c>
    </row>
    <row r="825" spans="1:8" s="1575" customFormat="1">
      <c r="A825" s="1656"/>
      <c r="B825" s="1664"/>
      <c r="C825" s="1753" t="s">
        <v>3224</v>
      </c>
      <c r="D825" s="1662" t="s">
        <v>90</v>
      </c>
      <c r="E825" s="1662">
        <v>1</v>
      </c>
      <c r="F825" s="1662">
        <f>'MINI SSR 19-20'!G42</f>
        <v>180</v>
      </c>
      <c r="G825" s="1675">
        <f>ROUND(E825*F825,2)</f>
        <v>180</v>
      </c>
      <c r="H825" s="1658" t="s">
        <v>2226</v>
      </c>
    </row>
    <row r="826" spans="1:8" s="1575" customFormat="1">
      <c r="A826" s="1656"/>
      <c r="B826" s="1664"/>
      <c r="C826" s="1753" t="s">
        <v>1358</v>
      </c>
      <c r="D826" s="1662"/>
      <c r="E826" s="1662"/>
      <c r="F826" s="1662"/>
      <c r="G826" s="1675"/>
      <c r="H826" s="1658" t="s">
        <v>2226</v>
      </c>
    </row>
    <row r="827" spans="1:8" s="1575" customFormat="1">
      <c r="A827" s="1656"/>
      <c r="B827" s="1664"/>
      <c r="C827" s="1753" t="s">
        <v>94</v>
      </c>
      <c r="D827" s="1662" t="s">
        <v>27</v>
      </c>
      <c r="E827" s="1662">
        <v>0.21</v>
      </c>
      <c r="F827" s="1659">
        <f>'MINI SSR 19-20'!$H$8</f>
        <v>580</v>
      </c>
      <c r="G827" s="1675">
        <f>ROUND(E827*F827,2)</f>
        <v>121.8</v>
      </c>
      <c r="H827" s="1658" t="s">
        <v>2226</v>
      </c>
    </row>
    <row r="828" spans="1:8" s="1575" customFormat="1">
      <c r="A828" s="1656"/>
      <c r="B828" s="1664"/>
      <c r="C828" s="1753" t="s">
        <v>874</v>
      </c>
      <c r="D828" s="1662" t="s">
        <v>27</v>
      </c>
      <c r="E828" s="1662">
        <v>0.49</v>
      </c>
      <c r="F828" s="1659">
        <f>'MINI SSR 19-20'!$H$9</f>
        <v>460</v>
      </c>
      <c r="G828" s="1675">
        <f>ROUND(E828*F828,2)</f>
        <v>225.4</v>
      </c>
      <c r="H828" s="1658" t="s">
        <v>2226</v>
      </c>
    </row>
    <row r="829" spans="1:8" s="1575" customFormat="1">
      <c r="A829" s="1656"/>
      <c r="B829" s="1664"/>
      <c r="C829" s="1753" t="s">
        <v>875</v>
      </c>
      <c r="D829" s="1662"/>
      <c r="E829" s="1683">
        <v>5.0000000000000001E-3</v>
      </c>
      <c r="F829" s="1662">
        <f>SUM(G825:G828)</f>
        <v>527.20000000000005</v>
      </c>
      <c r="G829" s="1675">
        <f>ROUND(E829*F829,2)</f>
        <v>2.64</v>
      </c>
      <c r="H829" s="1658" t="s">
        <v>2226</v>
      </c>
    </row>
    <row r="830" spans="1:8" s="1575" customFormat="1">
      <c r="A830" s="1656"/>
      <c r="B830" s="1664"/>
      <c r="C830" s="1753" t="s">
        <v>1359</v>
      </c>
      <c r="D830" s="1662"/>
      <c r="E830" s="1662"/>
      <c r="F830" s="1662"/>
      <c r="G830" s="1675">
        <f>SUM(G825:G829)</f>
        <v>529.84</v>
      </c>
      <c r="H830" s="1658" t="s">
        <v>2226</v>
      </c>
    </row>
    <row r="831" spans="1:8" s="1685" customFormat="1">
      <c r="A831" s="1680"/>
      <c r="B831" s="1680"/>
      <c r="C831" s="1755" t="s">
        <v>869</v>
      </c>
      <c r="D831" s="1676"/>
      <c r="E831" s="1676"/>
      <c r="F831" s="1676"/>
      <c r="G831" s="1684">
        <f>ROUND(SUM(G830:G830),2)</f>
        <v>529.84</v>
      </c>
      <c r="H831" s="1658" t="s">
        <v>2226</v>
      </c>
    </row>
    <row r="832" spans="1:8" s="1682" customFormat="1" ht="140.25">
      <c r="A832" s="1664">
        <v>30</v>
      </c>
      <c r="B832" s="1664" t="s">
        <v>1330</v>
      </c>
      <c r="C832" s="1753" t="s">
        <v>1167</v>
      </c>
      <c r="D832" s="1656"/>
      <c r="E832" s="1656"/>
      <c r="F832" s="1681"/>
      <c r="G832" s="1681"/>
      <c r="H832" s="1658" t="s">
        <v>2226</v>
      </c>
    </row>
    <row r="833" spans="1:8" s="1575" customFormat="1">
      <c r="A833" s="1656"/>
      <c r="B833" s="1664"/>
      <c r="C833" s="1755" t="s">
        <v>1361</v>
      </c>
      <c r="D833" s="1662"/>
      <c r="E833" s="1662"/>
      <c r="F833" s="1662"/>
      <c r="G833" s="1675"/>
      <c r="H833" s="1658" t="s">
        <v>2226</v>
      </c>
    </row>
    <row r="834" spans="1:8" s="1575" customFormat="1">
      <c r="A834" s="1656"/>
      <c r="B834" s="1664"/>
      <c r="C834" s="1753" t="s">
        <v>1371</v>
      </c>
      <c r="D834" s="1662" t="s">
        <v>1362</v>
      </c>
      <c r="E834" s="1662">
        <v>1</v>
      </c>
      <c r="F834" s="1662">
        <f>G821</f>
        <v>490.64</v>
      </c>
      <c r="G834" s="1675">
        <f t="shared" ref="G834:G840" si="6">ROUND(E834*F834,2)</f>
        <v>490.64</v>
      </c>
      <c r="H834" s="1658" t="s">
        <v>2226</v>
      </c>
    </row>
    <row r="835" spans="1:8" s="1575" customFormat="1">
      <c r="A835" s="1656"/>
      <c r="B835" s="1664"/>
      <c r="C835" s="1753"/>
      <c r="D835" s="1662"/>
      <c r="E835" s="1662"/>
      <c r="F835" s="1662"/>
      <c r="G835" s="1675"/>
      <c r="H835" s="1658" t="s">
        <v>2226</v>
      </c>
    </row>
    <row r="836" spans="1:8" s="1575" customFormat="1">
      <c r="A836" s="1656"/>
      <c r="B836" s="1664"/>
      <c r="C836" s="1686" t="s">
        <v>1363</v>
      </c>
      <c r="D836" s="1662"/>
      <c r="E836" s="1662"/>
      <c r="F836" s="1662"/>
      <c r="G836" s="1675"/>
      <c r="H836" s="1658" t="s">
        <v>2226</v>
      </c>
    </row>
    <row r="837" spans="1:8" s="1575" customFormat="1">
      <c r="A837" s="1656"/>
      <c r="B837" s="1664"/>
      <c r="C837" s="1753" t="s">
        <v>1372</v>
      </c>
      <c r="D837" s="1570" t="s">
        <v>291</v>
      </c>
      <c r="E837" s="1608">
        <v>0.8</v>
      </c>
      <c r="F837" s="1662">
        <f>'MINI SSR 19-20'!G43</f>
        <v>168</v>
      </c>
      <c r="G837" s="1675">
        <f t="shared" si="6"/>
        <v>134.4</v>
      </c>
      <c r="H837" s="1658" t="s">
        <v>2226</v>
      </c>
    </row>
    <row r="838" spans="1:8" s="1575" customFormat="1">
      <c r="A838" s="1656"/>
      <c r="B838" s="1664"/>
      <c r="C838" s="1686" t="s">
        <v>1365</v>
      </c>
      <c r="D838" s="1570"/>
      <c r="E838" s="1608"/>
      <c r="F838" s="1662"/>
      <c r="G838" s="1675"/>
      <c r="H838" s="1658" t="s">
        <v>2226</v>
      </c>
    </row>
    <row r="839" spans="1:8" s="1575" customFormat="1">
      <c r="A839" s="1656"/>
      <c r="B839" s="1664"/>
      <c r="C839" s="1753" t="s">
        <v>1366</v>
      </c>
      <c r="D839" s="1570" t="s">
        <v>27</v>
      </c>
      <c r="E839" s="1659">
        <v>0.36</v>
      </c>
      <c r="F839" s="1659">
        <f>'MINI SSR 19-20'!$H$8</f>
        <v>580</v>
      </c>
      <c r="G839" s="1675">
        <f t="shared" si="6"/>
        <v>208.8</v>
      </c>
      <c r="H839" s="1658" t="s">
        <v>2226</v>
      </c>
    </row>
    <row r="840" spans="1:8" s="1575" customFormat="1">
      <c r="A840" s="1656"/>
      <c r="B840" s="1664"/>
      <c r="C840" s="1753" t="s">
        <v>1367</v>
      </c>
      <c r="D840" s="1570" t="s">
        <v>27</v>
      </c>
      <c r="E840" s="1659">
        <v>0.84</v>
      </c>
      <c r="F840" s="1659">
        <f>'MINI SSR 19-20'!$H$9</f>
        <v>460</v>
      </c>
      <c r="G840" s="1675">
        <f t="shared" si="6"/>
        <v>386.4</v>
      </c>
      <c r="H840" s="1658" t="s">
        <v>2226</v>
      </c>
    </row>
    <row r="841" spans="1:8" s="1575" customFormat="1">
      <c r="A841" s="1656"/>
      <c r="B841" s="1664"/>
      <c r="C841" s="1753" t="s">
        <v>0</v>
      </c>
      <c r="D841" s="1662"/>
      <c r="E841" s="1662"/>
      <c r="F841" s="1662"/>
      <c r="G841" s="1675">
        <f>SUM(G834:G840)</f>
        <v>1220.2399999999998</v>
      </c>
      <c r="H841" s="1658" t="s">
        <v>2226</v>
      </c>
    </row>
    <row r="842" spans="1:8" s="1575" customFormat="1">
      <c r="A842" s="1656"/>
      <c r="B842" s="1664"/>
      <c r="C842" s="1753"/>
      <c r="D842" s="1662"/>
      <c r="E842" s="1676" t="s">
        <v>161</v>
      </c>
      <c r="F842" s="1676" t="s">
        <v>162</v>
      </c>
      <c r="G842" s="1676" t="s">
        <v>163</v>
      </c>
      <c r="H842" s="1658" t="s">
        <v>2226</v>
      </c>
    </row>
    <row r="843" spans="1:8" s="1575" customFormat="1">
      <c r="A843" s="1656"/>
      <c r="B843" s="1664"/>
      <c r="C843" s="1753" t="s">
        <v>867</v>
      </c>
      <c r="D843" s="1662"/>
      <c r="E843" s="1662">
        <f>G841</f>
        <v>1220.2399999999998</v>
      </c>
      <c r="F843" s="1687">
        <f>G841</f>
        <v>1220.2399999999998</v>
      </c>
      <c r="G843" s="1687">
        <f>G841</f>
        <v>1220.2399999999998</v>
      </c>
      <c r="H843" s="1658" t="s">
        <v>2226</v>
      </c>
    </row>
    <row r="844" spans="1:8" s="1575" customFormat="1">
      <c r="A844" s="1656"/>
      <c r="B844" s="1664"/>
      <c r="C844" s="1753" t="s">
        <v>1368</v>
      </c>
      <c r="D844" s="1662"/>
      <c r="E844" s="1662"/>
      <c r="F844" s="1675">
        <f>SUM(G817+G818+G839+G840)*10%</f>
        <v>94.240000000000009</v>
      </c>
      <c r="G844" s="1675">
        <f>SUM(G817+G818+G839+G840)*20%</f>
        <v>188.48000000000002</v>
      </c>
      <c r="H844" s="1658" t="s">
        <v>2226</v>
      </c>
    </row>
    <row r="845" spans="1:8" s="1685" customFormat="1">
      <c r="A845" s="1680"/>
      <c r="B845" s="1680"/>
      <c r="C845" s="1755" t="s">
        <v>869</v>
      </c>
      <c r="D845" s="1676"/>
      <c r="E845" s="1676">
        <f>SUM(E843:E844)</f>
        <v>1220.2399999999998</v>
      </c>
      <c r="F845" s="1684">
        <f>SUM(F843:F844)</f>
        <v>1314.4799999999998</v>
      </c>
      <c r="G845" s="1684">
        <f>SUM(G843:G844)</f>
        <v>1408.7199999999998</v>
      </c>
      <c r="H845" s="1658" t="s">
        <v>2226</v>
      </c>
    </row>
    <row r="846" spans="1:8" s="1685" customFormat="1">
      <c r="A846" s="1680"/>
      <c r="B846" s="1680"/>
      <c r="C846" s="1755" t="s">
        <v>1369</v>
      </c>
      <c r="D846" s="1676"/>
      <c r="E846" s="1676">
        <f>ROUND(E845/10,2)</f>
        <v>122.02</v>
      </c>
      <c r="F846" s="1684">
        <f>ROUND(F845/10,2)</f>
        <v>131.44999999999999</v>
      </c>
      <c r="G846" s="1684">
        <f>ROUND(G845/10,2)</f>
        <v>140.87</v>
      </c>
      <c r="H846" s="1658" t="s">
        <v>2226</v>
      </c>
    </row>
    <row r="847" spans="1:8" s="1682" customFormat="1" ht="140.25">
      <c r="A847" s="1664">
        <v>31</v>
      </c>
      <c r="B847" s="1664" t="s">
        <v>1330</v>
      </c>
      <c r="C847" s="1753" t="s">
        <v>1370</v>
      </c>
      <c r="D847" s="1656"/>
      <c r="E847" s="1656"/>
      <c r="F847" s="1681"/>
      <c r="G847" s="1681"/>
      <c r="H847" s="1658" t="s">
        <v>2226</v>
      </c>
    </row>
    <row r="848" spans="1:8" s="1575" customFormat="1">
      <c r="A848" s="1656"/>
      <c r="B848" s="1664"/>
      <c r="C848" s="1753" t="s">
        <v>1371</v>
      </c>
      <c r="D848" s="1662" t="s">
        <v>1362</v>
      </c>
      <c r="E848" s="1662">
        <v>1</v>
      </c>
      <c r="F848" s="1662">
        <f>G831</f>
        <v>529.84</v>
      </c>
      <c r="G848" s="1675">
        <f>ROUND(E848*F848,2)</f>
        <v>529.84</v>
      </c>
      <c r="H848" s="1658" t="s">
        <v>2226</v>
      </c>
    </row>
    <row r="849" spans="1:8" s="1575" customFormat="1">
      <c r="A849" s="1656"/>
      <c r="B849" s="1664"/>
      <c r="C849" s="1686" t="s">
        <v>1363</v>
      </c>
      <c r="D849" s="1662"/>
      <c r="E849" s="1662"/>
      <c r="F849" s="1662"/>
      <c r="G849" s="1675"/>
      <c r="H849" s="1658" t="s">
        <v>2226</v>
      </c>
    </row>
    <row r="850" spans="1:8" s="1575" customFormat="1" ht="25.5">
      <c r="A850" s="1656"/>
      <c r="B850" s="1664"/>
      <c r="C850" s="1753" t="s">
        <v>1364</v>
      </c>
      <c r="D850" s="1570" t="s">
        <v>291</v>
      </c>
      <c r="E850" s="1608">
        <v>0.8</v>
      </c>
      <c r="F850" s="1662">
        <f>'MINI SSR 19-20'!G44</f>
        <v>194</v>
      </c>
      <c r="G850" s="1675">
        <f>ROUND(E850*F850,2)</f>
        <v>155.19999999999999</v>
      </c>
      <c r="H850" s="1658" t="s">
        <v>2226</v>
      </c>
    </row>
    <row r="851" spans="1:8" s="1575" customFormat="1">
      <c r="A851" s="1656"/>
      <c r="B851" s="1664"/>
      <c r="C851" s="1686" t="s">
        <v>1365</v>
      </c>
      <c r="D851" s="1570"/>
      <c r="E851" s="1608"/>
      <c r="F851" s="1662"/>
      <c r="G851" s="1675"/>
      <c r="H851" s="1658" t="s">
        <v>2226</v>
      </c>
    </row>
    <row r="852" spans="1:8" s="1575" customFormat="1">
      <c r="A852" s="1656"/>
      <c r="B852" s="1664"/>
      <c r="C852" s="1753" t="s">
        <v>1366</v>
      </c>
      <c r="D852" s="1570" t="s">
        <v>27</v>
      </c>
      <c r="E852" s="1659">
        <v>0.21</v>
      </c>
      <c r="F852" s="1659">
        <f>'MINI SSR 19-20'!$H$8</f>
        <v>580</v>
      </c>
      <c r="G852" s="1675">
        <f>ROUND(E852*F852,2)</f>
        <v>121.8</v>
      </c>
      <c r="H852" s="1658" t="s">
        <v>2226</v>
      </c>
    </row>
    <row r="853" spans="1:8" s="1575" customFormat="1">
      <c r="A853" s="1656"/>
      <c r="B853" s="1664"/>
      <c r="C853" s="1753" t="s">
        <v>1367</v>
      </c>
      <c r="D853" s="1570" t="s">
        <v>27</v>
      </c>
      <c r="E853" s="1659">
        <v>0.49</v>
      </c>
      <c r="F853" s="1659">
        <f>'MINI SSR 19-20'!$H$9</f>
        <v>460</v>
      </c>
      <c r="G853" s="1675">
        <f>ROUND(E853*F853,2)</f>
        <v>225.4</v>
      </c>
      <c r="H853" s="1658" t="s">
        <v>2226</v>
      </c>
    </row>
    <row r="854" spans="1:8" s="1575" customFormat="1">
      <c r="A854" s="1656"/>
      <c r="B854" s="1664"/>
      <c r="C854" s="1753" t="s">
        <v>311</v>
      </c>
      <c r="D854" s="1570" t="s">
        <v>27</v>
      </c>
      <c r="E854" s="1659">
        <v>1.5</v>
      </c>
      <c r="F854" s="1659">
        <f>'MINI SSR 19-20'!$H$5</f>
        <v>420</v>
      </c>
      <c r="G854" s="1675">
        <f>ROUND(E854*F854,2)</f>
        <v>630</v>
      </c>
      <c r="H854" s="1658" t="s">
        <v>2226</v>
      </c>
    </row>
    <row r="855" spans="1:8" s="1575" customFormat="1">
      <c r="A855" s="1656"/>
      <c r="B855" s="1664"/>
      <c r="C855" s="1753" t="s">
        <v>0</v>
      </c>
      <c r="D855" s="1662"/>
      <c r="E855" s="1662"/>
      <c r="F855" s="1662"/>
      <c r="G855" s="1675">
        <f>SUM(G848:G854)</f>
        <v>1662.24</v>
      </c>
      <c r="H855" s="1658" t="s">
        <v>2226</v>
      </c>
    </row>
    <row r="856" spans="1:8" s="1575" customFormat="1">
      <c r="A856" s="1656"/>
      <c r="B856" s="1664"/>
      <c r="C856" s="1753"/>
      <c r="D856" s="1662"/>
      <c r="E856" s="1676" t="s">
        <v>161</v>
      </c>
      <c r="F856" s="1676" t="s">
        <v>162</v>
      </c>
      <c r="G856" s="1676" t="s">
        <v>163</v>
      </c>
      <c r="H856" s="1658" t="s">
        <v>2226</v>
      </c>
    </row>
    <row r="857" spans="1:8" s="1575" customFormat="1">
      <c r="A857" s="1656"/>
      <c r="B857" s="1664"/>
      <c r="C857" s="1753" t="s">
        <v>867</v>
      </c>
      <c r="D857" s="1662"/>
      <c r="E857" s="1662">
        <f>G855</f>
        <v>1662.24</v>
      </c>
      <c r="F857" s="1687">
        <f>G855</f>
        <v>1662.24</v>
      </c>
      <c r="G857" s="1687">
        <f>G855</f>
        <v>1662.24</v>
      </c>
      <c r="H857" s="1658" t="s">
        <v>2226</v>
      </c>
    </row>
    <row r="858" spans="1:8" s="1575" customFormat="1">
      <c r="A858" s="1656"/>
      <c r="B858" s="1664"/>
      <c r="C858" s="1753" t="s">
        <v>870</v>
      </c>
      <c r="D858" s="1662"/>
      <c r="E858" s="1662"/>
      <c r="F858" s="1675">
        <f>SUM(G827+G828+G852+G853+G854)*10%</f>
        <v>132.44000000000003</v>
      </c>
      <c r="G858" s="1675">
        <f>SUM(G827+G828+G852+G853+G854)*20%</f>
        <v>264.88000000000005</v>
      </c>
      <c r="H858" s="1658" t="s">
        <v>2226</v>
      </c>
    </row>
    <row r="859" spans="1:8" s="1685" customFormat="1">
      <c r="A859" s="1680"/>
      <c r="B859" s="1680"/>
      <c r="C859" s="1755" t="s">
        <v>869</v>
      </c>
      <c r="D859" s="1676"/>
      <c r="E859" s="1676">
        <f>SUM(E857:E858)</f>
        <v>1662.24</v>
      </c>
      <c r="F859" s="1684">
        <f>SUM(F857:F858)</f>
        <v>1794.68</v>
      </c>
      <c r="G859" s="1684">
        <f>SUM(G857:G858)</f>
        <v>1927.1200000000001</v>
      </c>
      <c r="H859" s="1658" t="s">
        <v>2226</v>
      </c>
    </row>
    <row r="860" spans="1:8" s="1685" customFormat="1">
      <c r="A860" s="1680"/>
      <c r="B860" s="1680"/>
      <c r="C860" s="1755" t="s">
        <v>1369</v>
      </c>
      <c r="D860" s="1676"/>
      <c r="E860" s="1676">
        <f>ROUND(E859/10,2)</f>
        <v>166.22</v>
      </c>
      <c r="F860" s="1684">
        <f>ROUND(F859/10,2)</f>
        <v>179.47</v>
      </c>
      <c r="G860" s="1684">
        <f>ROUND(G859/10,2)</f>
        <v>192.71</v>
      </c>
      <c r="H860" s="1658" t="s">
        <v>2226</v>
      </c>
    </row>
    <row r="861" spans="1:8" ht="140.25" hidden="1">
      <c r="A861" s="1156">
        <v>58</v>
      </c>
      <c r="B861" s="1218" t="s">
        <v>96</v>
      </c>
      <c r="C861" s="1752" t="s">
        <v>1308</v>
      </c>
      <c r="D861" s="1212"/>
      <c r="E861" s="1212"/>
      <c r="F861" s="1212"/>
      <c r="G861" s="1218"/>
      <c r="H861" s="1205" t="s">
        <v>2226</v>
      </c>
    </row>
    <row r="862" spans="1:8" hidden="1">
      <c r="A862" s="1156"/>
      <c r="B862" s="1218"/>
      <c r="C862" s="1754" t="s">
        <v>42</v>
      </c>
      <c r="D862" s="1212"/>
      <c r="E862" s="1212"/>
      <c r="F862" s="1212"/>
      <c r="G862" s="1215"/>
      <c r="H862" s="1205" t="s">
        <v>2226</v>
      </c>
    </row>
    <row r="863" spans="1:8" hidden="1">
      <c r="A863" s="1156"/>
      <c r="B863" s="1218"/>
      <c r="C863" s="1754" t="s">
        <v>97</v>
      </c>
      <c r="D863" s="1212"/>
      <c r="E863" s="1212"/>
      <c r="F863" s="1212"/>
      <c r="G863" s="1215"/>
      <c r="H863" s="1205" t="s">
        <v>2226</v>
      </c>
    </row>
    <row r="864" spans="1:8" hidden="1">
      <c r="A864" s="1156"/>
      <c r="B864" s="1218"/>
      <c r="C864" s="1754" t="s">
        <v>60</v>
      </c>
      <c r="D864" s="1212"/>
      <c r="E864" s="1212"/>
      <c r="F864" s="1212"/>
      <c r="G864" s="1215"/>
      <c r="H864" s="1205" t="s">
        <v>2226</v>
      </c>
    </row>
    <row r="865" spans="1:8" hidden="1">
      <c r="A865" s="1156"/>
      <c r="B865" s="1218"/>
      <c r="C865" s="1752" t="s">
        <v>216</v>
      </c>
      <c r="D865" s="1212" t="s">
        <v>30</v>
      </c>
      <c r="E865" s="1213">
        <v>0.7</v>
      </c>
      <c r="F865" s="1213">
        <f>'MINI SSR 19-20'!G45</f>
        <v>130</v>
      </c>
      <c r="G865" s="1214">
        <f>ROUND(E865*F865,2)</f>
        <v>91</v>
      </c>
      <c r="H865" s="1205" t="s">
        <v>2226</v>
      </c>
    </row>
    <row r="866" spans="1:8" hidden="1">
      <c r="A866" s="1212"/>
      <c r="B866" s="1218"/>
      <c r="C866" s="1754" t="s">
        <v>68</v>
      </c>
      <c r="D866" s="1212"/>
      <c r="E866" s="1213"/>
      <c r="F866" s="1213"/>
      <c r="G866" s="1214"/>
      <c r="H866" s="1205" t="s">
        <v>2226</v>
      </c>
    </row>
    <row r="867" spans="1:8" hidden="1">
      <c r="A867" s="1212"/>
      <c r="B867" s="1212"/>
      <c r="C867" s="1752" t="s">
        <v>94</v>
      </c>
      <c r="D867" s="1212" t="s">
        <v>27</v>
      </c>
      <c r="E867" s="1213">
        <v>0.21</v>
      </c>
      <c r="F867" s="1213">
        <f>'MINI SSR 19-20'!$H$8</f>
        <v>580</v>
      </c>
      <c r="G867" s="1214">
        <f>ROUND(E867*F867,2)</f>
        <v>121.8</v>
      </c>
      <c r="H867" s="1205" t="s">
        <v>2226</v>
      </c>
    </row>
    <row r="868" spans="1:8" hidden="1">
      <c r="A868" s="1212"/>
      <c r="B868" s="1212"/>
      <c r="C868" s="1752" t="s">
        <v>876</v>
      </c>
      <c r="D868" s="1212" t="s">
        <v>27</v>
      </c>
      <c r="E868" s="1213">
        <v>0.48</v>
      </c>
      <c r="F868" s="1213">
        <f>'MINI SSR 19-20'!$H$9</f>
        <v>460</v>
      </c>
      <c r="G868" s="1214">
        <f>ROUND(E868*F868,2)</f>
        <v>220.8</v>
      </c>
      <c r="H868" s="1205" t="s">
        <v>2226</v>
      </c>
    </row>
    <row r="869" spans="1:8" hidden="1">
      <c r="A869" s="1212"/>
      <c r="B869" s="1212"/>
      <c r="C869" s="1752" t="s">
        <v>95</v>
      </c>
      <c r="D869" s="1212"/>
      <c r="E869" s="1213"/>
      <c r="F869" s="1217">
        <f>SUM(G865:G868)</f>
        <v>433.6</v>
      </c>
      <c r="G869" s="1214">
        <f>ROUND(F869*0.01,2)</f>
        <v>4.34</v>
      </c>
      <c r="H869" s="1205" t="s">
        <v>2226</v>
      </c>
    </row>
    <row r="870" spans="1:8" hidden="1">
      <c r="A870" s="1212"/>
      <c r="B870" s="1212"/>
      <c r="C870" s="1754" t="s">
        <v>98</v>
      </c>
      <c r="D870" s="1212"/>
      <c r="E870" s="1212"/>
      <c r="F870" s="1212"/>
      <c r="G870" s="1222"/>
      <c r="H870" s="1205" t="s">
        <v>2226</v>
      </c>
    </row>
    <row r="871" spans="1:8" hidden="1">
      <c r="A871" s="1212"/>
      <c r="B871" s="1212"/>
      <c r="C871" s="1754" t="s">
        <v>60</v>
      </c>
      <c r="D871" s="1212"/>
      <c r="E871" s="1212"/>
      <c r="F871" s="1212"/>
      <c r="G871" s="1215"/>
      <c r="H871" s="1205" t="s">
        <v>2226</v>
      </c>
    </row>
    <row r="872" spans="1:8" hidden="1">
      <c r="A872" s="1212"/>
      <c r="B872" s="1212"/>
      <c r="C872" s="1752" t="s">
        <v>217</v>
      </c>
      <c r="D872" s="1212" t="s">
        <v>30</v>
      </c>
      <c r="E872" s="1213">
        <v>2.8</v>
      </c>
      <c r="F872" s="1213">
        <f>'MINI SSR 19-20'!G46</f>
        <v>248</v>
      </c>
      <c r="G872" s="1214">
        <f>ROUND(E872*F872,2)</f>
        <v>694.4</v>
      </c>
      <c r="H872" s="1205" t="s">
        <v>2226</v>
      </c>
    </row>
    <row r="873" spans="1:8" hidden="1">
      <c r="A873" s="1212"/>
      <c r="B873" s="1212"/>
      <c r="C873" s="1754" t="s">
        <v>68</v>
      </c>
      <c r="D873" s="1212"/>
      <c r="E873" s="1213"/>
      <c r="F873" s="1213"/>
      <c r="G873" s="1214"/>
      <c r="H873" s="1205" t="s">
        <v>2226</v>
      </c>
    </row>
    <row r="874" spans="1:8" hidden="1">
      <c r="A874" s="1212"/>
      <c r="B874" s="1212"/>
      <c r="C874" s="1752" t="s">
        <v>94</v>
      </c>
      <c r="D874" s="1212" t="s">
        <v>27</v>
      </c>
      <c r="E874" s="1213">
        <v>0.36</v>
      </c>
      <c r="F874" s="1213">
        <f>'MINI SSR 19-20'!$H$8</f>
        <v>580</v>
      </c>
      <c r="G874" s="1214">
        <f>ROUND(E874*F874,2)</f>
        <v>208.8</v>
      </c>
      <c r="H874" s="1205" t="s">
        <v>2226</v>
      </c>
    </row>
    <row r="875" spans="1:8" hidden="1">
      <c r="A875" s="1212"/>
      <c r="B875" s="1212"/>
      <c r="C875" s="1752" t="s">
        <v>876</v>
      </c>
      <c r="D875" s="1212" t="s">
        <v>27</v>
      </c>
      <c r="E875" s="1213">
        <v>0.84</v>
      </c>
      <c r="F875" s="1213">
        <f>'MINI SSR 19-20'!$H$9</f>
        <v>460</v>
      </c>
      <c r="G875" s="1214">
        <f>ROUND(E875*F875,2)</f>
        <v>386.4</v>
      </c>
      <c r="H875" s="1205" t="s">
        <v>2226</v>
      </c>
    </row>
    <row r="876" spans="1:8" hidden="1">
      <c r="A876" s="1212"/>
      <c r="B876" s="1212"/>
      <c r="C876" s="1754" t="s">
        <v>99</v>
      </c>
      <c r="D876" s="1212"/>
      <c r="E876" s="1212"/>
      <c r="F876" s="1212"/>
      <c r="G876" s="1222">
        <f>SUM(G865:G875)</f>
        <v>1727.54</v>
      </c>
      <c r="H876" s="1205" t="s">
        <v>2226</v>
      </c>
    </row>
    <row r="877" spans="1:8" hidden="1">
      <c r="A877" s="1212"/>
      <c r="B877" s="1212"/>
      <c r="C877" s="1754" t="s">
        <v>121</v>
      </c>
      <c r="D877" s="1212"/>
      <c r="E877" s="1212"/>
      <c r="F877" s="1212"/>
      <c r="G877" s="1222">
        <f>ROUND(G876/10,2)</f>
        <v>172.75</v>
      </c>
      <c r="H877" s="1205" t="s">
        <v>2226</v>
      </c>
    </row>
    <row r="878" spans="1:8" ht="63.75" hidden="1">
      <c r="A878" s="1156">
        <v>59</v>
      </c>
      <c r="B878" s="1218"/>
      <c r="C878" s="1752" t="s">
        <v>1181</v>
      </c>
      <c r="D878" s="1212"/>
      <c r="E878" s="1212"/>
      <c r="F878" s="1212"/>
      <c r="G878" s="1215"/>
      <c r="H878" s="1205" t="s">
        <v>2226</v>
      </c>
    </row>
    <row r="879" spans="1:8" hidden="1">
      <c r="A879" s="1212"/>
      <c r="B879" s="1212" t="s">
        <v>1422</v>
      </c>
      <c r="C879" s="1752" t="s">
        <v>1421</v>
      </c>
      <c r="D879" s="1212" t="s">
        <v>102</v>
      </c>
      <c r="E879" s="1213">
        <v>1</v>
      </c>
      <c r="F879" s="1213">
        <v>205</v>
      </c>
      <c r="G879" s="1214">
        <f>ROUND(E879*F879,2)</f>
        <v>205</v>
      </c>
      <c r="H879" s="1205" t="s">
        <v>2226</v>
      </c>
    </row>
    <row r="880" spans="1:8" hidden="1">
      <c r="A880" s="1212"/>
      <c r="B880" s="1212"/>
      <c r="C880" s="1754"/>
      <c r="D880" s="1212"/>
      <c r="E880" s="1212"/>
      <c r="F880" s="1212"/>
      <c r="G880" s="1222">
        <f>SUM(G879:G879)</f>
        <v>205</v>
      </c>
      <c r="H880" s="1205" t="s">
        <v>2226</v>
      </c>
    </row>
    <row r="881" spans="1:8" ht="293.25" hidden="1">
      <c r="A881" s="1156">
        <v>60</v>
      </c>
      <c r="B881" s="1218"/>
      <c r="C881" s="1752" t="s">
        <v>1183</v>
      </c>
      <c r="D881" s="1212"/>
      <c r="E881" s="1212"/>
      <c r="F881" s="1212"/>
      <c r="G881" s="1215"/>
      <c r="H881" s="1205" t="s">
        <v>2226</v>
      </c>
    </row>
    <row r="882" spans="1:8" hidden="1">
      <c r="A882" s="1212"/>
      <c r="B882" s="1212"/>
      <c r="C882" s="1752" t="s">
        <v>222</v>
      </c>
      <c r="D882" s="1212"/>
      <c r="E882" s="1213"/>
      <c r="F882" s="1213"/>
      <c r="G882" s="1214"/>
      <c r="H882" s="1205" t="s">
        <v>2226</v>
      </c>
    </row>
    <row r="883" spans="1:8" hidden="1">
      <c r="A883" s="1212"/>
      <c r="B883" s="1212" t="s">
        <v>1424</v>
      </c>
      <c r="C883" s="1752" t="s">
        <v>1423</v>
      </c>
      <c r="D883" s="1213" t="s">
        <v>291</v>
      </c>
      <c r="E883" s="1223">
        <v>6.5000000000000002E-2</v>
      </c>
      <c r="F883" s="1216">
        <f>'MINI SSR 19-20'!G47</f>
        <v>708</v>
      </c>
      <c r="G883" s="1214">
        <f>ROUND(E883*F883,2)</f>
        <v>46.02</v>
      </c>
      <c r="H883" s="1205" t="s">
        <v>2226</v>
      </c>
    </row>
    <row r="884" spans="1:8" hidden="1">
      <c r="A884" s="1212"/>
      <c r="B884" s="1212" t="s">
        <v>1424</v>
      </c>
      <c r="C884" s="1752" t="s">
        <v>1425</v>
      </c>
      <c r="D884" s="1213" t="s">
        <v>291</v>
      </c>
      <c r="E884" s="1223">
        <v>3.3000000000000002E-2</v>
      </c>
      <c r="F884" s="1216">
        <f>'MINI SSR 19-20'!G48</f>
        <v>244</v>
      </c>
      <c r="G884" s="1214">
        <f>ROUND(E884*F884,2)</f>
        <v>8.0500000000000007</v>
      </c>
      <c r="H884" s="1205" t="s">
        <v>2226</v>
      </c>
    </row>
    <row r="885" spans="1:8" hidden="1">
      <c r="A885" s="1156"/>
      <c r="B885" s="1218"/>
      <c r="C885" s="1752" t="s">
        <v>94</v>
      </c>
      <c r="D885" s="1213" t="s">
        <v>27</v>
      </c>
      <c r="E885" s="1213">
        <v>0.24</v>
      </c>
      <c r="F885" s="1213">
        <f>'MINI SSR 19-20'!$H$8</f>
        <v>580</v>
      </c>
      <c r="G885" s="1214">
        <f t="shared" ref="G885:G887" si="7">ROUND(E885*F885,2)</f>
        <v>139.19999999999999</v>
      </c>
      <c r="H885" s="1205" t="s">
        <v>2226</v>
      </c>
    </row>
    <row r="886" spans="1:8" hidden="1">
      <c r="A886" s="1156"/>
      <c r="B886" s="1218"/>
      <c r="C886" s="1752" t="s">
        <v>874</v>
      </c>
      <c r="D886" s="1213" t="s">
        <v>27</v>
      </c>
      <c r="E886" s="1213">
        <v>0.56000000000000005</v>
      </c>
      <c r="F886" s="1213">
        <f>'MINI SSR 19-20'!$H$9</f>
        <v>460</v>
      </c>
      <c r="G886" s="1214">
        <f t="shared" si="7"/>
        <v>257.60000000000002</v>
      </c>
      <c r="H886" s="1205" t="s">
        <v>2226</v>
      </c>
    </row>
    <row r="887" spans="1:8" hidden="1">
      <c r="A887" s="1156"/>
      <c r="B887" s="1218"/>
      <c r="C887" s="1752" t="s">
        <v>157</v>
      </c>
      <c r="D887" s="1213" t="s">
        <v>27</v>
      </c>
      <c r="E887" s="1213">
        <v>0.8</v>
      </c>
      <c r="F887" s="1213">
        <f>'MINI SSR 19-20'!$H$5</f>
        <v>420</v>
      </c>
      <c r="G887" s="1214">
        <f t="shared" si="7"/>
        <v>336</v>
      </c>
      <c r="H887" s="1205" t="s">
        <v>2226</v>
      </c>
    </row>
    <row r="888" spans="1:8" hidden="1">
      <c r="A888" s="1156"/>
      <c r="B888" s="1218"/>
      <c r="C888" s="1754" t="s">
        <v>1182</v>
      </c>
      <c r="D888" s="1213"/>
      <c r="E888" s="1242"/>
      <c r="F888" s="1242"/>
      <c r="G888" s="1214">
        <f>SUM(G883:G887)</f>
        <v>786.87</v>
      </c>
      <c r="H888" s="1205" t="s">
        <v>2226</v>
      </c>
    </row>
    <row r="889" spans="1:8" ht="89.25" hidden="1">
      <c r="A889" s="1156">
        <v>12</v>
      </c>
      <c r="B889" s="1218"/>
      <c r="C889" s="1752" t="s">
        <v>1184</v>
      </c>
      <c r="D889" s="1212"/>
      <c r="E889" s="1212"/>
      <c r="F889" s="1212"/>
      <c r="G889" s="1215"/>
      <c r="H889" s="1205" t="s">
        <v>2226</v>
      </c>
    </row>
    <row r="890" spans="1:8" hidden="1">
      <c r="A890" s="1212"/>
      <c r="B890" s="1212"/>
      <c r="C890" s="1752" t="s">
        <v>1185</v>
      </c>
      <c r="D890" s="1212" t="s">
        <v>102</v>
      </c>
      <c r="E890" s="1213">
        <v>1</v>
      </c>
      <c r="F890" s="1213">
        <v>630</v>
      </c>
      <c r="G890" s="1214">
        <f>ROUND(E890*F890,2)</f>
        <v>630</v>
      </c>
      <c r="H890" s="1205" t="s">
        <v>2226</v>
      </c>
    </row>
    <row r="891" spans="1:8" hidden="1">
      <c r="A891" s="1212"/>
      <c r="B891" s="1212"/>
      <c r="C891" s="1754"/>
      <c r="D891" s="1212"/>
      <c r="E891" s="1212"/>
      <c r="F891" s="1212"/>
      <c r="G891" s="1222">
        <f>SUM(G890:G890)</f>
        <v>630</v>
      </c>
      <c r="H891" s="1205" t="s">
        <v>2226</v>
      </c>
    </row>
    <row r="892" spans="1:8" ht="165.75" hidden="1">
      <c r="A892" s="1156">
        <v>24</v>
      </c>
      <c r="B892" s="1218"/>
      <c r="C892" s="1752" t="s">
        <v>680</v>
      </c>
      <c r="D892" s="1212"/>
      <c r="E892" s="1212"/>
      <c r="F892" s="1212"/>
      <c r="G892" s="1215"/>
      <c r="H892" s="1205" t="s">
        <v>2226</v>
      </c>
    </row>
    <row r="893" spans="1:8" hidden="1">
      <c r="A893" s="1212"/>
      <c r="B893" s="1212" t="s">
        <v>1373</v>
      </c>
      <c r="C893" s="1752" t="s">
        <v>379</v>
      </c>
      <c r="D893" s="1212" t="s">
        <v>102</v>
      </c>
      <c r="E893" s="1213">
        <v>1</v>
      </c>
      <c r="F893" s="1213">
        <f>'MINI SSR 19-20'!C47</f>
        <v>3198</v>
      </c>
      <c r="G893" s="1214">
        <f>ROUND(E893*F893,2)</f>
        <v>3198</v>
      </c>
      <c r="H893" s="1205" t="s">
        <v>2226</v>
      </c>
    </row>
    <row r="894" spans="1:8" hidden="1">
      <c r="A894" s="1212"/>
      <c r="B894" s="1212"/>
      <c r="C894" s="1754"/>
      <c r="D894" s="1212"/>
      <c r="E894" s="1212"/>
      <c r="F894" s="1212"/>
      <c r="G894" s="1222">
        <f>SUM(G893:G893)</f>
        <v>3198</v>
      </c>
      <c r="H894" s="1205" t="s">
        <v>2226</v>
      </c>
    </row>
    <row r="895" spans="1:8" ht="51" hidden="1">
      <c r="A895" s="1156">
        <v>63</v>
      </c>
      <c r="B895" s="1218"/>
      <c r="C895" s="1752" t="s">
        <v>951</v>
      </c>
      <c r="D895" s="1212"/>
      <c r="E895" s="1212"/>
      <c r="F895" s="1212"/>
      <c r="G895" s="1215"/>
      <c r="H895" s="1205" t="s">
        <v>2226</v>
      </c>
    </row>
    <row r="896" spans="1:8" hidden="1">
      <c r="A896" s="1212"/>
      <c r="B896" s="1212" t="s">
        <v>1427</v>
      </c>
      <c r="C896" s="1752" t="s">
        <v>1426</v>
      </c>
      <c r="D896" s="1212" t="s">
        <v>275</v>
      </c>
      <c r="E896" s="1166">
        <v>1</v>
      </c>
      <c r="F896" s="1221">
        <v>250</v>
      </c>
      <c r="G896" s="1214">
        <f>ROUND(E896*F896,2)</f>
        <v>250</v>
      </c>
      <c r="H896" s="1205" t="s">
        <v>2226</v>
      </c>
    </row>
    <row r="897" spans="1:8" hidden="1">
      <c r="A897" s="1212"/>
      <c r="B897" s="1212"/>
      <c r="C897" s="1752" t="s">
        <v>953</v>
      </c>
      <c r="D897" s="1212"/>
      <c r="E897" s="1166"/>
      <c r="F897" s="1221"/>
      <c r="G897" s="1214"/>
      <c r="H897" s="1205" t="s">
        <v>2226</v>
      </c>
    </row>
    <row r="898" spans="1:8" hidden="1">
      <c r="A898" s="1212"/>
      <c r="B898" s="1212"/>
      <c r="C898" s="1752" t="s">
        <v>954</v>
      </c>
      <c r="D898" s="1212"/>
      <c r="E898" s="1166"/>
      <c r="F898" s="1221"/>
      <c r="G898" s="1214"/>
      <c r="H898" s="1205" t="s">
        <v>2226</v>
      </c>
    </row>
    <row r="899" spans="1:8" hidden="1">
      <c r="A899" s="1212"/>
      <c r="B899" s="1212"/>
      <c r="C899" s="1752" t="s">
        <v>955</v>
      </c>
      <c r="D899" s="1212"/>
      <c r="E899" s="1166"/>
      <c r="F899" s="1221"/>
      <c r="G899" s="1214"/>
      <c r="H899" s="1205" t="s">
        <v>2226</v>
      </c>
    </row>
    <row r="900" spans="1:8" hidden="1">
      <c r="A900" s="1212"/>
      <c r="B900" s="1212"/>
      <c r="C900" s="1752" t="s">
        <v>956</v>
      </c>
      <c r="D900" s="1212"/>
      <c r="E900" s="1166"/>
      <c r="F900" s="1221"/>
      <c r="G900" s="1214"/>
      <c r="H900" s="1205" t="s">
        <v>2226</v>
      </c>
    </row>
    <row r="901" spans="1:8" hidden="1">
      <c r="A901" s="1212"/>
      <c r="B901" s="1212"/>
      <c r="C901" s="1752" t="s">
        <v>957</v>
      </c>
      <c r="D901" s="1212" t="s">
        <v>275</v>
      </c>
      <c r="E901" s="1166">
        <v>1</v>
      </c>
      <c r="F901" s="1221">
        <v>666.66</v>
      </c>
      <c r="G901" s="1214">
        <f>ROUND(E901*F901,2)</f>
        <v>666.66</v>
      </c>
      <c r="H901" s="1205" t="s">
        <v>2226</v>
      </c>
    </row>
    <row r="902" spans="1:8" hidden="1">
      <c r="A902" s="1212"/>
      <c r="B902" s="1212"/>
      <c r="C902" s="1757"/>
      <c r="D902" s="1156"/>
      <c r="E902" s="1166"/>
      <c r="F902" s="1221"/>
      <c r="G902" s="1224"/>
      <c r="H902" s="1205" t="s">
        <v>2226</v>
      </c>
    </row>
    <row r="903" spans="1:8" hidden="1">
      <c r="A903" s="1212"/>
      <c r="B903" s="1212"/>
      <c r="C903" s="1754"/>
      <c r="D903" s="1212"/>
      <c r="E903" s="1212"/>
      <c r="F903" s="1212"/>
      <c r="G903" s="1222">
        <f>SUM(G901:G902)</f>
        <v>666.66</v>
      </c>
      <c r="H903" s="1205" t="s">
        <v>2226</v>
      </c>
    </row>
    <row r="904" spans="1:8" ht="51" hidden="1">
      <c r="A904" s="1156">
        <v>64</v>
      </c>
      <c r="B904" s="1218"/>
      <c r="C904" s="1752" t="s">
        <v>1232</v>
      </c>
      <c r="D904" s="1212"/>
      <c r="E904" s="1212"/>
      <c r="F904" s="1212"/>
      <c r="G904" s="1215"/>
      <c r="H904" s="1205" t="s">
        <v>2226</v>
      </c>
    </row>
    <row r="905" spans="1:8" hidden="1">
      <c r="A905" s="1212"/>
      <c r="B905" s="1212" t="s">
        <v>1427</v>
      </c>
      <c r="C905" s="1752" t="s">
        <v>1426</v>
      </c>
      <c r="D905" s="1212" t="s">
        <v>275</v>
      </c>
      <c r="E905" s="1166">
        <v>1</v>
      </c>
      <c r="F905" s="1221">
        <v>250</v>
      </c>
      <c r="G905" s="1214">
        <f>ROUND(E905*F905,2)</f>
        <v>250</v>
      </c>
      <c r="H905" s="1205" t="s">
        <v>2226</v>
      </c>
    </row>
    <row r="906" spans="1:8" hidden="1">
      <c r="A906" s="1212"/>
      <c r="B906" s="1212"/>
      <c r="C906" s="1752" t="s">
        <v>1236</v>
      </c>
      <c r="D906" s="1212"/>
      <c r="E906" s="1166"/>
      <c r="F906" s="1221"/>
      <c r="G906" s="1214"/>
      <c r="H906" s="1205" t="s">
        <v>2226</v>
      </c>
    </row>
    <row r="907" spans="1:8" hidden="1">
      <c r="A907" s="1212"/>
      <c r="B907" s="1212"/>
      <c r="C907" s="1752" t="s">
        <v>1233</v>
      </c>
      <c r="D907" s="1212"/>
      <c r="E907" s="1166"/>
      <c r="F907" s="1221"/>
      <c r="G907" s="1214"/>
      <c r="H907" s="1205" t="s">
        <v>2226</v>
      </c>
    </row>
    <row r="908" spans="1:8" hidden="1">
      <c r="A908" s="1212"/>
      <c r="B908" s="1212"/>
      <c r="C908" s="1752" t="s">
        <v>1234</v>
      </c>
      <c r="D908" s="1212"/>
      <c r="E908" s="1166"/>
      <c r="F908" s="1221"/>
      <c r="G908" s="1214"/>
      <c r="H908" s="1205" t="s">
        <v>2226</v>
      </c>
    </row>
    <row r="909" spans="1:8" hidden="1">
      <c r="A909" s="1212"/>
      <c r="B909" s="1212"/>
      <c r="C909" s="1752" t="s">
        <v>1235</v>
      </c>
      <c r="D909" s="1212"/>
      <c r="E909" s="1166"/>
      <c r="F909" s="1221"/>
      <c r="G909" s="1214"/>
      <c r="H909" s="1205" t="s">
        <v>2226</v>
      </c>
    </row>
    <row r="910" spans="1:8" hidden="1">
      <c r="A910" s="1212"/>
      <c r="B910" s="1212"/>
      <c r="C910" s="1752" t="s">
        <v>1236</v>
      </c>
      <c r="D910" s="1212" t="s">
        <v>275</v>
      </c>
      <c r="E910" s="1166">
        <v>1</v>
      </c>
      <c r="F910" s="1221">
        <v>500</v>
      </c>
      <c r="G910" s="1214">
        <f>ROUND(E910*F910,2)</f>
        <v>500</v>
      </c>
      <c r="H910" s="1205" t="s">
        <v>2226</v>
      </c>
    </row>
    <row r="911" spans="1:8" hidden="1">
      <c r="A911" s="1212"/>
      <c r="B911" s="1212"/>
      <c r="C911" s="1757"/>
      <c r="D911" s="1156"/>
      <c r="E911" s="1166"/>
      <c r="F911" s="1221"/>
      <c r="G911" s="1224"/>
      <c r="H911" s="1205" t="s">
        <v>2226</v>
      </c>
    </row>
    <row r="912" spans="1:8" hidden="1">
      <c r="A912" s="1212"/>
      <c r="B912" s="1212"/>
      <c r="C912" s="1754"/>
      <c r="D912" s="1212"/>
      <c r="E912" s="1212"/>
      <c r="F912" s="1212"/>
      <c r="G912" s="1222">
        <f>SUM(G910:G911)</f>
        <v>500</v>
      </c>
      <c r="H912" s="1205" t="s">
        <v>2226</v>
      </c>
    </row>
    <row r="913" spans="1:8" ht="51" hidden="1">
      <c r="A913" s="1156">
        <v>65</v>
      </c>
      <c r="B913" s="1218"/>
      <c r="C913" s="1752" t="s">
        <v>952</v>
      </c>
      <c r="D913" s="1212"/>
      <c r="E913" s="1212"/>
      <c r="F913" s="1212"/>
      <c r="G913" s="1215"/>
      <c r="H913" s="1205" t="s">
        <v>2226</v>
      </c>
    </row>
    <row r="914" spans="1:8" hidden="1">
      <c r="A914" s="1212"/>
      <c r="B914" s="1212" t="s">
        <v>1429</v>
      </c>
      <c r="C914" s="1752" t="s">
        <v>1428</v>
      </c>
      <c r="D914" s="1212" t="s">
        <v>275</v>
      </c>
      <c r="E914" s="1166">
        <v>1</v>
      </c>
      <c r="F914" s="1221">
        <v>130</v>
      </c>
      <c r="G914" s="1214">
        <f>ROUND(E914*F914,2)</f>
        <v>130</v>
      </c>
      <c r="H914" s="1205" t="s">
        <v>2226</v>
      </c>
    </row>
    <row r="915" spans="1:8" hidden="1">
      <c r="A915" s="1212"/>
      <c r="B915" s="1212"/>
      <c r="C915" s="1757"/>
      <c r="D915" s="1156"/>
      <c r="E915" s="1166"/>
      <c r="F915" s="1221"/>
      <c r="G915" s="1224"/>
      <c r="H915" s="1205" t="s">
        <v>2226</v>
      </c>
    </row>
    <row r="916" spans="1:8" hidden="1">
      <c r="A916" s="1212"/>
      <c r="B916" s="1212"/>
      <c r="C916" s="1754"/>
      <c r="D916" s="1212"/>
      <c r="E916" s="1212"/>
      <c r="F916" s="1212"/>
      <c r="G916" s="1222">
        <f>SUM(G914:G915)</f>
        <v>130</v>
      </c>
      <c r="H916" s="1205" t="s">
        <v>2226</v>
      </c>
    </row>
    <row r="917" spans="1:8" hidden="1">
      <c r="A917" s="1156">
        <v>25</v>
      </c>
      <c r="B917" s="1218"/>
      <c r="C917" s="1253" t="s">
        <v>932</v>
      </c>
      <c r="D917" s="1212"/>
      <c r="E917" s="1212"/>
      <c r="F917" s="1212"/>
      <c r="G917" s="1212"/>
      <c r="H917" s="1205" t="s">
        <v>2226</v>
      </c>
    </row>
    <row r="918" spans="1:8" hidden="1">
      <c r="A918" s="1212"/>
      <c r="B918" s="1212" t="s">
        <v>1408</v>
      </c>
      <c r="C918" s="1253" t="s">
        <v>379</v>
      </c>
      <c r="D918" s="1212" t="s">
        <v>102</v>
      </c>
      <c r="E918" s="1213">
        <v>1</v>
      </c>
      <c r="F918" s="1213">
        <f>'D&amp;W data'!F202</f>
        <v>340</v>
      </c>
      <c r="G918" s="1214">
        <f>ROUND(E918*F918,2)</f>
        <v>340</v>
      </c>
      <c r="H918" s="1205" t="s">
        <v>2226</v>
      </c>
    </row>
    <row r="919" spans="1:8" hidden="1">
      <c r="A919" s="1212"/>
      <c r="B919" s="1212"/>
      <c r="C919" s="1253" t="s">
        <v>929</v>
      </c>
      <c r="D919" s="1156" t="s">
        <v>108</v>
      </c>
      <c r="E919" s="1221">
        <v>0.06</v>
      </c>
      <c r="F919" s="1213">
        <f>'D&amp;W data'!F203</f>
        <v>500</v>
      </c>
      <c r="G919" s="1224">
        <f>ROUND(E919*F919,2)</f>
        <v>30</v>
      </c>
      <c r="H919" s="1205" t="s">
        <v>2226</v>
      </c>
    </row>
    <row r="920" spans="1:8" hidden="1">
      <c r="A920" s="1212"/>
      <c r="B920" s="1212"/>
      <c r="C920" s="1253" t="s">
        <v>930</v>
      </c>
      <c r="D920" s="1156" t="s">
        <v>108</v>
      </c>
      <c r="E920" s="1221">
        <v>0.06</v>
      </c>
      <c r="F920" s="1213">
        <f>'D&amp;W data'!F204</f>
        <v>460</v>
      </c>
      <c r="G920" s="1224">
        <f>ROUND(E920*F920,2)</f>
        <v>27.6</v>
      </c>
      <c r="H920" s="1205" t="s">
        <v>2226</v>
      </c>
    </row>
    <row r="921" spans="1:8" hidden="1">
      <c r="A921" s="1212"/>
      <c r="B921" s="1212"/>
      <c r="C921" s="1254" t="s">
        <v>931</v>
      </c>
      <c r="D921" s="1156" t="s">
        <v>108</v>
      </c>
      <c r="E921" s="1166">
        <v>0.27500000000000002</v>
      </c>
      <c r="F921" s="1213">
        <f>'D&amp;W data'!F205</f>
        <v>420</v>
      </c>
      <c r="G921" s="1224">
        <f>ROUND(E921*F921,2)</f>
        <v>115.5</v>
      </c>
      <c r="H921" s="1205" t="s">
        <v>2226</v>
      </c>
    </row>
    <row r="922" spans="1:8" hidden="1">
      <c r="A922" s="1212"/>
      <c r="B922" s="1212"/>
      <c r="C922" s="1255" t="s">
        <v>1404</v>
      </c>
      <c r="D922" s="1212"/>
      <c r="E922" s="1212"/>
      <c r="F922" s="1212"/>
      <c r="G922" s="1222">
        <f>SUM(G918:G921)</f>
        <v>513.1</v>
      </c>
      <c r="H922" s="1205" t="s">
        <v>2226</v>
      </c>
    </row>
    <row r="923" spans="1:8" hidden="1">
      <c r="A923" s="1212"/>
      <c r="B923" s="1212"/>
      <c r="C923" s="1777" t="s">
        <v>2022</v>
      </c>
      <c r="D923" s="1212"/>
      <c r="E923" s="1212"/>
      <c r="F923" s="1212"/>
      <c r="G923" s="1222"/>
      <c r="H923" s="1205" t="s">
        <v>2308</v>
      </c>
    </row>
    <row r="924" spans="1:8" ht="25.5" hidden="1">
      <c r="A924" s="1212">
        <v>12</v>
      </c>
      <c r="B924" s="1212" t="s">
        <v>46</v>
      </c>
      <c r="C924" s="1754" t="s">
        <v>43</v>
      </c>
      <c r="D924" s="1212"/>
      <c r="E924" s="1212"/>
      <c r="F924" s="1212"/>
      <c r="G924" s="1212"/>
      <c r="H924" s="1205" t="s">
        <v>2308</v>
      </c>
    </row>
    <row r="925" spans="1:8" hidden="1">
      <c r="A925" s="1212"/>
      <c r="B925" s="1212"/>
      <c r="C925" s="1752" t="s">
        <v>44</v>
      </c>
      <c r="D925" s="1212" t="s">
        <v>4</v>
      </c>
      <c r="E925" s="1213">
        <f>1440/3</f>
        <v>480</v>
      </c>
      <c r="F925" s="1213">
        <f>'lead 20-21'!$L$8</f>
        <v>4700</v>
      </c>
      <c r="G925" s="1214">
        <f>ROUND(E925*F925/1000,2)</f>
        <v>2256</v>
      </c>
      <c r="H925" s="1205" t="s">
        <v>2308</v>
      </c>
    </row>
    <row r="926" spans="1:8" hidden="1">
      <c r="A926" s="1212"/>
      <c r="B926" s="1212"/>
      <c r="C926" s="1752" t="s">
        <v>110</v>
      </c>
      <c r="D926" s="1212" t="s">
        <v>35</v>
      </c>
      <c r="E926" s="1213">
        <v>1.05</v>
      </c>
      <c r="F926" s="1213">
        <f>'lead 20-21'!$L$12</f>
        <v>1546.600000000001</v>
      </c>
      <c r="G926" s="1214">
        <f>ROUND(E926*F926,2)</f>
        <v>1623.93</v>
      </c>
      <c r="H926" s="1205" t="s">
        <v>2308</v>
      </c>
    </row>
    <row r="927" spans="1:8" hidden="1">
      <c r="A927" s="1212"/>
      <c r="B927" s="1212"/>
      <c r="C927" s="1752" t="s">
        <v>45</v>
      </c>
      <c r="D927" s="1212" t="s">
        <v>27</v>
      </c>
      <c r="E927" s="1213">
        <v>0.2</v>
      </c>
      <c r="F927" s="1213">
        <f>'MINI SSR 2020-21'!H$5</f>
        <v>460</v>
      </c>
      <c r="G927" s="1214">
        <f>ROUND(E927*F927,2)</f>
        <v>92</v>
      </c>
      <c r="H927" s="1205" t="s">
        <v>2308</v>
      </c>
    </row>
    <row r="928" spans="1:8" hidden="1">
      <c r="A928" s="1212"/>
      <c r="B928" s="1212"/>
      <c r="C928" s="1752"/>
      <c r="D928" s="1212"/>
      <c r="E928" s="1212"/>
      <c r="F928" s="1212"/>
      <c r="G928" s="1215">
        <f>SUM(G925:G927)</f>
        <v>3971.9300000000003</v>
      </c>
      <c r="H928" s="1205" t="s">
        <v>2308</v>
      </c>
    </row>
    <row r="929" spans="1:8" ht="25.5" hidden="1">
      <c r="A929" s="1212">
        <v>2</v>
      </c>
      <c r="B929" s="1212" t="s">
        <v>51</v>
      </c>
      <c r="C929" s="1754" t="s">
        <v>47</v>
      </c>
      <c r="D929" s="1212"/>
      <c r="E929" s="1212"/>
      <c r="F929" s="1212"/>
      <c r="G929" s="1212"/>
      <c r="H929" s="1205" t="s">
        <v>2308</v>
      </c>
    </row>
    <row r="930" spans="1:8" hidden="1">
      <c r="A930" s="1212"/>
      <c r="B930" s="1212"/>
      <c r="C930" s="1752" t="s">
        <v>44</v>
      </c>
      <c r="D930" s="1212" t="s">
        <v>4</v>
      </c>
      <c r="E930" s="1213">
        <f>1440/4</f>
        <v>360</v>
      </c>
      <c r="F930" s="1213">
        <f>'lead 20-21'!$L$8</f>
        <v>4700</v>
      </c>
      <c r="G930" s="1214">
        <f>ROUND(E930*F930/1000,2)</f>
        <v>1692</v>
      </c>
      <c r="H930" s="1205" t="s">
        <v>2308</v>
      </c>
    </row>
    <row r="931" spans="1:8" hidden="1">
      <c r="A931" s="1212"/>
      <c r="B931" s="1212"/>
      <c r="C931" s="1752" t="s">
        <v>110</v>
      </c>
      <c r="D931" s="1212" t="s">
        <v>35</v>
      </c>
      <c r="E931" s="1213">
        <v>1.05</v>
      </c>
      <c r="F931" s="1213">
        <f>'lead 20-21'!$L$12</f>
        <v>1546.600000000001</v>
      </c>
      <c r="G931" s="1214">
        <f>ROUND(E931*F931,2)</f>
        <v>1623.93</v>
      </c>
      <c r="H931" s="1205" t="s">
        <v>2308</v>
      </c>
    </row>
    <row r="932" spans="1:8" hidden="1">
      <c r="A932" s="1212"/>
      <c r="B932" s="1212"/>
      <c r="C932" s="1752" t="s">
        <v>45</v>
      </c>
      <c r="D932" s="1212" t="s">
        <v>27</v>
      </c>
      <c r="E932" s="1213">
        <v>0.2</v>
      </c>
      <c r="F932" s="1213">
        <f>'MINI SSR 2020-21'!H$5</f>
        <v>460</v>
      </c>
      <c r="G932" s="1214">
        <f>ROUND(E932*F932,2)</f>
        <v>92</v>
      </c>
      <c r="H932" s="1205" t="s">
        <v>2308</v>
      </c>
    </row>
    <row r="933" spans="1:8" hidden="1">
      <c r="A933" s="1212"/>
      <c r="B933" s="1212"/>
      <c r="C933" s="1752"/>
      <c r="D933" s="1212"/>
      <c r="E933" s="1212"/>
      <c r="F933" s="1212"/>
      <c r="G933" s="1215">
        <f>SUM(G930:G932)</f>
        <v>3407.9300000000003</v>
      </c>
      <c r="H933" s="1205" t="s">
        <v>2308</v>
      </c>
    </row>
    <row r="934" spans="1:8" s="1256" customFormat="1" ht="25.5" hidden="1">
      <c r="A934" s="1212">
        <v>14</v>
      </c>
      <c r="B934" s="1212" t="s">
        <v>52</v>
      </c>
      <c r="C934" s="1754" t="s">
        <v>48</v>
      </c>
      <c r="D934" s="1212"/>
      <c r="E934" s="1212"/>
      <c r="F934" s="1212"/>
      <c r="G934" s="1212"/>
      <c r="H934" s="1205" t="s">
        <v>2308</v>
      </c>
    </row>
    <row r="935" spans="1:8" s="1256" customFormat="1" hidden="1">
      <c r="A935" s="1212"/>
      <c r="B935" s="1212"/>
      <c r="C935" s="1752" t="s">
        <v>44</v>
      </c>
      <c r="D935" s="1212" t="s">
        <v>4</v>
      </c>
      <c r="E935" s="1213">
        <f>1440/5</f>
        <v>288</v>
      </c>
      <c r="F935" s="1213">
        <f>'lead 20-21'!$L$8</f>
        <v>4700</v>
      </c>
      <c r="G935" s="1214">
        <f>ROUND(E935*F935/1000,2)</f>
        <v>1353.6</v>
      </c>
      <c r="H935" s="1205" t="s">
        <v>2308</v>
      </c>
    </row>
    <row r="936" spans="1:8" s="1256" customFormat="1" hidden="1">
      <c r="A936" s="1212"/>
      <c r="B936" s="1212"/>
      <c r="C936" s="1752" t="s">
        <v>110</v>
      </c>
      <c r="D936" s="1212" t="s">
        <v>35</v>
      </c>
      <c r="E936" s="1213">
        <v>1.05</v>
      </c>
      <c r="F936" s="1213">
        <f>'lead 20-21'!$L$12</f>
        <v>1546.600000000001</v>
      </c>
      <c r="G936" s="1214">
        <f>ROUND(E936*F936,2)</f>
        <v>1623.93</v>
      </c>
      <c r="H936" s="1205" t="s">
        <v>2308</v>
      </c>
    </row>
    <row r="937" spans="1:8" s="1256" customFormat="1" hidden="1">
      <c r="A937" s="1212"/>
      <c r="B937" s="1212"/>
      <c r="C937" s="1752" t="s">
        <v>45</v>
      </c>
      <c r="D937" s="1212" t="s">
        <v>27</v>
      </c>
      <c r="E937" s="1213">
        <v>0.2</v>
      </c>
      <c r="F937" s="1213">
        <f>'MINI SSR 2020-21'!H$5</f>
        <v>460</v>
      </c>
      <c r="G937" s="1214">
        <f>ROUND(E937*F937,2)</f>
        <v>92</v>
      </c>
      <c r="H937" s="1205" t="s">
        <v>2308</v>
      </c>
    </row>
    <row r="938" spans="1:8" s="1256" customFormat="1" hidden="1">
      <c r="A938" s="1212"/>
      <c r="B938" s="1212"/>
      <c r="C938" s="1752"/>
      <c r="D938" s="1212"/>
      <c r="E938" s="1212"/>
      <c r="F938" s="1212"/>
      <c r="G938" s="1215">
        <f>SUM(G935:G937)</f>
        <v>3069.5299999999997</v>
      </c>
      <c r="H938" s="1205" t="s">
        <v>2308</v>
      </c>
    </row>
    <row r="939" spans="1:8" s="1256" customFormat="1" ht="25.5" hidden="1">
      <c r="A939" s="1212">
        <v>4</v>
      </c>
      <c r="B939" s="1212" t="s">
        <v>53</v>
      </c>
      <c r="C939" s="1754" t="s">
        <v>49</v>
      </c>
      <c r="D939" s="1212"/>
      <c r="E939" s="1212"/>
      <c r="F939" s="1212"/>
      <c r="G939" s="1212"/>
      <c r="H939" s="1205" t="s">
        <v>2308</v>
      </c>
    </row>
    <row r="940" spans="1:8" s="1256" customFormat="1" hidden="1">
      <c r="A940" s="1212"/>
      <c r="B940" s="1212"/>
      <c r="C940" s="1752" t="s">
        <v>44</v>
      </c>
      <c r="D940" s="1212" t="s">
        <v>4</v>
      </c>
      <c r="E940" s="1213">
        <f>1440/6</f>
        <v>240</v>
      </c>
      <c r="F940" s="1213">
        <f>'lead 20-21'!$L$8</f>
        <v>4700</v>
      </c>
      <c r="G940" s="1214">
        <f>ROUND(E940*F940/1000,2)</f>
        <v>1128</v>
      </c>
      <c r="H940" s="1205" t="s">
        <v>2308</v>
      </c>
    </row>
    <row r="941" spans="1:8" s="1256" customFormat="1" hidden="1">
      <c r="A941" s="1212"/>
      <c r="B941" s="1212"/>
      <c r="C941" s="1752" t="s">
        <v>111</v>
      </c>
      <c r="D941" s="1212" t="s">
        <v>35</v>
      </c>
      <c r="E941" s="1213">
        <v>1.05</v>
      </c>
      <c r="F941" s="1213">
        <f>'lead 20-21'!$L$12</f>
        <v>1546.600000000001</v>
      </c>
      <c r="G941" s="1214">
        <f>ROUND(E941*F941,2)</f>
        <v>1623.93</v>
      </c>
      <c r="H941" s="1205" t="s">
        <v>2308</v>
      </c>
    </row>
    <row r="942" spans="1:8" s="1256" customFormat="1" hidden="1">
      <c r="A942" s="1212"/>
      <c r="B942" s="1212"/>
      <c r="C942" s="1752" t="s">
        <v>45</v>
      </c>
      <c r="D942" s="1212" t="s">
        <v>27</v>
      </c>
      <c r="E942" s="1213">
        <v>0.2</v>
      </c>
      <c r="F942" s="1213">
        <f>'MINI SSR 2020-21'!H$5</f>
        <v>460</v>
      </c>
      <c r="G942" s="1214">
        <f>ROUND(E942*F942,2)</f>
        <v>92</v>
      </c>
      <c r="H942" s="1205" t="s">
        <v>2308</v>
      </c>
    </row>
    <row r="943" spans="1:8" s="1256" customFormat="1" hidden="1">
      <c r="A943" s="1212"/>
      <c r="B943" s="1212"/>
      <c r="C943" s="1752"/>
      <c r="D943" s="1212"/>
      <c r="E943" s="1212"/>
      <c r="F943" s="1212"/>
      <c r="G943" s="1215">
        <f>SUM(G940:G942)</f>
        <v>2843.9300000000003</v>
      </c>
      <c r="H943" s="1205" t="s">
        <v>2308</v>
      </c>
    </row>
    <row r="944" spans="1:8" s="1256" customFormat="1" ht="25.5" hidden="1">
      <c r="A944" s="1212">
        <v>5</v>
      </c>
      <c r="B944" s="1212" t="s">
        <v>54</v>
      </c>
      <c r="C944" s="1754" t="s">
        <v>50</v>
      </c>
      <c r="D944" s="1212"/>
      <c r="E944" s="1212"/>
      <c r="F944" s="1212"/>
      <c r="G944" s="1212"/>
      <c r="H944" s="1205" t="s">
        <v>2308</v>
      </c>
    </row>
    <row r="945" spans="1:8" s="1256" customFormat="1" hidden="1">
      <c r="A945" s="1212"/>
      <c r="B945" s="1212"/>
      <c r="C945" s="1752" t="s">
        <v>44</v>
      </c>
      <c r="D945" s="1212" t="s">
        <v>4</v>
      </c>
      <c r="E945" s="1213">
        <f>1440/8</f>
        <v>180</v>
      </c>
      <c r="F945" s="1213">
        <f>'lead 20-21'!$L$8</f>
        <v>4700</v>
      </c>
      <c r="G945" s="1214">
        <f>ROUND(E945*F945/1000,2)</f>
        <v>846</v>
      </c>
      <c r="H945" s="1205" t="s">
        <v>2308</v>
      </c>
    </row>
    <row r="946" spans="1:8" s="1256" customFormat="1" hidden="1">
      <c r="A946" s="1212"/>
      <c r="B946" s="1212"/>
      <c r="C946" s="1752" t="s">
        <v>111</v>
      </c>
      <c r="D946" s="1212" t="s">
        <v>35</v>
      </c>
      <c r="E946" s="1213">
        <v>1.05</v>
      </c>
      <c r="F946" s="1213">
        <f>'lead 20-21'!$L$12</f>
        <v>1546.600000000001</v>
      </c>
      <c r="G946" s="1214">
        <f>ROUND(E946*F946,2)</f>
        <v>1623.93</v>
      </c>
      <c r="H946" s="1205" t="s">
        <v>2308</v>
      </c>
    </row>
    <row r="947" spans="1:8" s="1256" customFormat="1" hidden="1">
      <c r="A947" s="1212"/>
      <c r="B947" s="1212"/>
      <c r="C947" s="1752" t="s">
        <v>45</v>
      </c>
      <c r="D947" s="1212" t="s">
        <v>27</v>
      </c>
      <c r="E947" s="1213">
        <v>0.2</v>
      </c>
      <c r="F947" s="1213">
        <f>'MINI SSR 2020-21'!H$5</f>
        <v>460</v>
      </c>
      <c r="G947" s="1214">
        <f>ROUND(E947*F947,2)</f>
        <v>92</v>
      </c>
      <c r="H947" s="1205" t="s">
        <v>2308</v>
      </c>
    </row>
    <row r="948" spans="1:8" s="1256" customFormat="1" hidden="1">
      <c r="A948" s="1212"/>
      <c r="B948" s="1212"/>
      <c r="C948" s="1752"/>
      <c r="D948" s="1212"/>
      <c r="E948" s="1212"/>
      <c r="F948" s="1212"/>
      <c r="G948" s="1215">
        <f>SUM(G945:G947)</f>
        <v>2561.9300000000003</v>
      </c>
      <c r="H948" s="1205" t="s">
        <v>2308</v>
      </c>
    </row>
    <row r="949" spans="1:8" s="1256" customFormat="1" ht="25.5" hidden="1">
      <c r="A949" s="1212">
        <v>13</v>
      </c>
      <c r="B949" s="1212"/>
      <c r="C949" s="1752" t="s">
        <v>827</v>
      </c>
      <c r="D949" s="1212"/>
      <c r="E949" s="1212"/>
      <c r="F949" s="1212"/>
      <c r="G949" s="1212"/>
      <c r="H949" s="1205" t="s">
        <v>2308</v>
      </c>
    </row>
    <row r="950" spans="1:8" s="1256" customFormat="1" hidden="1">
      <c r="A950" s="1212"/>
      <c r="B950" s="1212"/>
      <c r="C950" s="1752" t="s">
        <v>822</v>
      </c>
      <c r="D950" s="1216">
        <v>0.6</v>
      </c>
      <c r="E950" s="1216">
        <f>'lead 20-21'!L17</f>
        <v>1966.7999999999997</v>
      </c>
      <c r="F950" s="1216">
        <f>ROUND(D950*E950,2)</f>
        <v>1180.08</v>
      </c>
      <c r="G950" s="1212"/>
      <c r="H950" s="1205" t="s">
        <v>2308</v>
      </c>
    </row>
    <row r="951" spans="1:8" s="1256" customFormat="1" hidden="1">
      <c r="A951" s="1212"/>
      <c r="B951" s="1212"/>
      <c r="C951" s="1752" t="s">
        <v>823</v>
      </c>
      <c r="D951" s="1216">
        <v>0.15</v>
      </c>
      <c r="E951" s="1216">
        <f>'lead 20-21'!L18</f>
        <v>1696.7999999999997</v>
      </c>
      <c r="F951" s="1216">
        <f>ROUND(D951*E951,2)</f>
        <v>254.52</v>
      </c>
      <c r="G951" s="1212"/>
      <c r="H951" s="1205" t="s">
        <v>2308</v>
      </c>
    </row>
    <row r="952" spans="1:8" s="1256" customFormat="1" hidden="1">
      <c r="A952" s="1212"/>
      <c r="B952" s="1212"/>
      <c r="C952" s="1752" t="s">
        <v>824</v>
      </c>
      <c r="D952" s="1216">
        <v>0.15</v>
      </c>
      <c r="E952" s="1216">
        <f>'lead 20-21'!L19</f>
        <v>1531.7999999999997</v>
      </c>
      <c r="F952" s="1216">
        <f>ROUND(D952*E952,2)</f>
        <v>229.77</v>
      </c>
      <c r="G952" s="1212"/>
      <c r="H952" s="1205" t="s">
        <v>2308</v>
      </c>
    </row>
    <row r="953" spans="1:8" s="1256" customFormat="1" hidden="1">
      <c r="A953" s="1212"/>
      <c r="B953" s="1212"/>
      <c r="C953" s="1752" t="s">
        <v>825</v>
      </c>
      <c r="D953" s="1216">
        <v>0.1</v>
      </c>
      <c r="E953" s="1216">
        <f>'lead 20-21'!L20</f>
        <v>1346.7999999999997</v>
      </c>
      <c r="F953" s="1216">
        <f>ROUND(D953*E953,2)</f>
        <v>134.68</v>
      </c>
      <c r="G953" s="1212"/>
      <c r="H953" s="1205" t="s">
        <v>2308</v>
      </c>
    </row>
    <row r="954" spans="1:8" s="1256" customFormat="1" hidden="1">
      <c r="A954" s="1212"/>
      <c r="B954" s="1212"/>
      <c r="C954" s="1754" t="s">
        <v>826</v>
      </c>
      <c r="D954" s="1212"/>
      <c r="E954" s="1212"/>
      <c r="F954" s="1217">
        <f>SUM(F950:F953)</f>
        <v>1799.05</v>
      </c>
      <c r="G954" s="1212"/>
      <c r="H954" s="1205" t="s">
        <v>2308</v>
      </c>
    </row>
    <row r="955" spans="1:8" s="1256" customFormat="1" hidden="1">
      <c r="A955" s="1212"/>
      <c r="B955" s="1212"/>
      <c r="C955" s="1752"/>
      <c r="D955" s="1212"/>
      <c r="E955" s="1212"/>
      <c r="F955" s="1212"/>
      <c r="G955" s="1212"/>
      <c r="H955" s="1205" t="s">
        <v>2308</v>
      </c>
    </row>
    <row r="956" spans="1:8" s="1256" customFormat="1" ht="25.5" hidden="1">
      <c r="A956" s="1156">
        <v>6</v>
      </c>
      <c r="B956" s="1218"/>
      <c r="C956" s="1752" t="s">
        <v>294</v>
      </c>
      <c r="D956" s="1212"/>
      <c r="E956" s="1212"/>
      <c r="F956" s="1212"/>
      <c r="G956" s="1169"/>
      <c r="H956" s="1205" t="s">
        <v>2308</v>
      </c>
    </row>
    <row r="957" spans="1:8" s="1256" customFormat="1" hidden="1">
      <c r="A957" s="1156"/>
      <c r="B957" s="1218"/>
      <c r="C957" s="1752" t="s">
        <v>31</v>
      </c>
      <c r="D957" s="1212"/>
      <c r="E957" s="1212"/>
      <c r="F957" s="1212"/>
      <c r="G957" s="1169"/>
      <c r="H957" s="1205" t="s">
        <v>2308</v>
      </c>
    </row>
    <row r="958" spans="1:8" s="1256" customFormat="1" hidden="1">
      <c r="A958" s="1156"/>
      <c r="B958" s="1212"/>
      <c r="C958" s="1752" t="s">
        <v>1324</v>
      </c>
      <c r="D958" s="1212"/>
      <c r="E958" s="1212"/>
      <c r="F958" s="1212"/>
      <c r="G958" s="1169"/>
      <c r="H958" s="1205" t="s">
        <v>2308</v>
      </c>
    </row>
    <row r="959" spans="1:8" s="1256" customFormat="1" hidden="1">
      <c r="A959" s="1156"/>
      <c r="B959" s="1219"/>
      <c r="C959" s="1752" t="s">
        <v>122</v>
      </c>
      <c r="D959" s="1212"/>
      <c r="E959" s="1212"/>
      <c r="F959" s="1212"/>
      <c r="G959" s="1214">
        <f>'MINI SSR 2020-21'!H25</f>
        <v>5.86</v>
      </c>
      <c r="H959" s="1205" t="s">
        <v>2308</v>
      </c>
    </row>
    <row r="960" spans="1:8" s="1256" customFormat="1" hidden="1">
      <c r="A960" s="1169"/>
      <c r="B960" s="1169"/>
      <c r="C960" s="1754" t="s">
        <v>119</v>
      </c>
      <c r="D960" s="1156"/>
      <c r="E960" s="1156"/>
      <c r="F960" s="1156"/>
      <c r="G960" s="1220">
        <f>SUM(G959)</f>
        <v>5.86</v>
      </c>
      <c r="H960" s="1205" t="s">
        <v>2308</v>
      </c>
    </row>
    <row r="961" spans="1:8" s="1256" customFormat="1" ht="63.75" hidden="1">
      <c r="A961" s="1156">
        <v>14</v>
      </c>
      <c r="B961" s="1218"/>
      <c r="C961" s="1752" t="s">
        <v>1278</v>
      </c>
      <c r="D961" s="1212"/>
      <c r="E961" s="1212"/>
      <c r="F961" s="1212"/>
      <c r="G961" s="1169"/>
      <c r="H961" s="1205" t="s">
        <v>2308</v>
      </c>
    </row>
    <row r="962" spans="1:8" s="1256" customFormat="1" hidden="1">
      <c r="A962" s="1156"/>
      <c r="B962" s="1218"/>
      <c r="C962" s="1752" t="s">
        <v>31</v>
      </c>
      <c r="D962" s="1212"/>
      <c r="E962" s="1212"/>
      <c r="F962" s="1212"/>
      <c r="G962" s="1169"/>
      <c r="H962" s="1205" t="s">
        <v>2308</v>
      </c>
    </row>
    <row r="963" spans="1:8" s="1256" customFormat="1" hidden="1">
      <c r="A963" s="1156"/>
      <c r="B963" s="1212"/>
      <c r="C963" s="1752" t="s">
        <v>1324</v>
      </c>
      <c r="D963" s="1212"/>
      <c r="E963" s="1212"/>
      <c r="F963" s="1212"/>
      <c r="G963" s="1169"/>
      <c r="H963" s="1205" t="s">
        <v>2308</v>
      </c>
    </row>
    <row r="964" spans="1:8" s="1256" customFormat="1" hidden="1">
      <c r="A964" s="1156"/>
      <c r="B964" s="1219"/>
      <c r="C964" s="1752" t="s">
        <v>122</v>
      </c>
      <c r="D964" s="1212"/>
      <c r="E964" s="1212"/>
      <c r="F964" s="1212"/>
      <c r="G964" s="1214">
        <f>'MINI SSR 2020-21'!H26</f>
        <v>139.55000000000001</v>
      </c>
      <c r="H964" s="1205" t="s">
        <v>2308</v>
      </c>
    </row>
    <row r="965" spans="1:8" s="1256" customFormat="1" hidden="1">
      <c r="A965" s="1169"/>
      <c r="B965" s="1169"/>
      <c r="C965" s="1754" t="s">
        <v>119</v>
      </c>
      <c r="D965" s="1156"/>
      <c r="E965" s="1156"/>
      <c r="F965" s="1156"/>
      <c r="G965" s="1220">
        <f>SUM(G964)</f>
        <v>139.55000000000001</v>
      </c>
      <c r="H965" s="1205" t="s">
        <v>2308</v>
      </c>
    </row>
    <row r="966" spans="1:8" s="1256" customFormat="1" ht="89.25" hidden="1">
      <c r="A966" s="1156">
        <v>4</v>
      </c>
      <c r="B966" s="1218" t="s">
        <v>1327</v>
      </c>
      <c r="C966" s="1752" t="s">
        <v>55</v>
      </c>
      <c r="D966" s="1212"/>
      <c r="E966" s="1212"/>
      <c r="F966" s="1212"/>
      <c r="G966" s="1218"/>
      <c r="H966" s="1205" t="s">
        <v>2308</v>
      </c>
    </row>
    <row r="967" spans="1:8" s="1256" customFormat="1" hidden="1">
      <c r="A967" s="1156"/>
      <c r="B967" s="1212"/>
      <c r="C967" s="1754" t="s">
        <v>31</v>
      </c>
      <c r="D967" s="1212"/>
      <c r="E967" s="1212"/>
      <c r="F967" s="1212"/>
      <c r="G967" s="1169"/>
      <c r="H967" s="1205" t="s">
        <v>2308</v>
      </c>
    </row>
    <row r="968" spans="1:8" s="1256" customFormat="1" hidden="1">
      <c r="A968" s="1156"/>
      <c r="B968" s="1212"/>
      <c r="C968" s="1754" t="s">
        <v>2423</v>
      </c>
      <c r="D968" s="1212"/>
      <c r="E968" s="1212"/>
      <c r="F968" s="1212"/>
      <c r="G968" s="1169"/>
      <c r="H968" s="1205" t="s">
        <v>2308</v>
      </c>
    </row>
    <row r="969" spans="1:8" s="1256" customFormat="1" hidden="1">
      <c r="A969" s="1156"/>
      <c r="B969" s="1219" t="s">
        <v>18</v>
      </c>
      <c r="C969" s="1754" t="s">
        <v>26</v>
      </c>
      <c r="D969" s="1212"/>
      <c r="E969" s="1212"/>
      <c r="F969" s="1212"/>
      <c r="G969" s="1169"/>
      <c r="H969" s="1205" t="s">
        <v>2308</v>
      </c>
    </row>
    <row r="970" spans="1:8" s="1256" customFormat="1" hidden="1">
      <c r="A970" s="1169"/>
      <c r="B970" s="1169"/>
      <c r="C970" s="1752" t="s">
        <v>118</v>
      </c>
      <c r="D970" s="1156" t="s">
        <v>27</v>
      </c>
      <c r="E970" s="1221">
        <v>0.31</v>
      </c>
      <c r="F970" s="1213">
        <f>'MINI SSR 2020-21'!H$5</f>
        <v>460</v>
      </c>
      <c r="G970" s="1214">
        <f>ROUND(E970*F970,2)</f>
        <v>142.6</v>
      </c>
      <c r="H970" s="1205" t="s">
        <v>2308</v>
      </c>
    </row>
    <row r="971" spans="1:8" s="1256" customFormat="1" hidden="1">
      <c r="A971" s="1169"/>
      <c r="B971" s="1219" t="s">
        <v>20</v>
      </c>
      <c r="C971" s="1754" t="s">
        <v>22</v>
      </c>
      <c r="D971" s="1156"/>
      <c r="E971" s="1156"/>
      <c r="F971" s="1156"/>
      <c r="G971" s="1169"/>
      <c r="H971" s="1205" t="s">
        <v>2308</v>
      </c>
    </row>
    <row r="972" spans="1:8" s="1256" customFormat="1" hidden="1">
      <c r="A972" s="1169"/>
      <c r="B972" s="1169"/>
      <c r="C972" s="1752" t="s">
        <v>32</v>
      </c>
      <c r="D972" s="1156" t="s">
        <v>5</v>
      </c>
      <c r="E972" s="1221">
        <v>6</v>
      </c>
      <c r="F972" s="1221">
        <f>'lead 20-21'!L14</f>
        <v>1316.600000000001</v>
      </c>
      <c r="G972" s="1214">
        <f>ROUND(E972*F972,2)</f>
        <v>7899.6</v>
      </c>
      <c r="H972" s="1205" t="s">
        <v>2308</v>
      </c>
    </row>
    <row r="973" spans="1:8" s="1256" customFormat="1" hidden="1">
      <c r="A973" s="1169"/>
      <c r="B973" s="1169"/>
      <c r="C973" s="1754" t="s">
        <v>2424</v>
      </c>
      <c r="D973" s="1156"/>
      <c r="E973" s="1221"/>
      <c r="F973" s="1221"/>
      <c r="G973" s="1214">
        <f>SUM(G970:G972)</f>
        <v>8042.2000000000007</v>
      </c>
      <c r="H973" s="1205" t="s">
        <v>2308</v>
      </c>
    </row>
    <row r="974" spans="1:8" s="1256" customFormat="1" hidden="1">
      <c r="A974" s="1169"/>
      <c r="B974" s="1169"/>
      <c r="C974" s="1754" t="s">
        <v>28</v>
      </c>
      <c r="D974" s="1156"/>
      <c r="E974" s="1156"/>
      <c r="F974" s="1156"/>
      <c r="G974" s="1220">
        <f>ROUND(G973/6,2)</f>
        <v>1340.37</v>
      </c>
      <c r="H974" s="1205" t="s">
        <v>2308</v>
      </c>
    </row>
    <row r="975" spans="1:8" s="1256" customFormat="1" ht="102" hidden="1">
      <c r="A975" s="1156">
        <v>16</v>
      </c>
      <c r="B975" s="1218" t="s">
        <v>1326</v>
      </c>
      <c r="C975" s="1752" t="s">
        <v>1190</v>
      </c>
      <c r="D975" s="1212"/>
      <c r="E975" s="1212"/>
      <c r="F975" s="1212"/>
      <c r="G975" s="1218"/>
      <c r="H975" s="1205" t="s">
        <v>2308</v>
      </c>
    </row>
    <row r="976" spans="1:8" s="1256" customFormat="1" hidden="1">
      <c r="A976" s="1156"/>
      <c r="B976" s="1212"/>
      <c r="C976" s="1754" t="s">
        <v>2423</v>
      </c>
      <c r="D976" s="1212"/>
      <c r="E976" s="1212"/>
      <c r="F976" s="1212"/>
      <c r="G976" s="1169"/>
      <c r="H976" s="1205" t="s">
        <v>2308</v>
      </c>
    </row>
    <row r="977" spans="1:8" s="1256" customFormat="1" hidden="1">
      <c r="A977" s="1156"/>
      <c r="B977" s="1219" t="s">
        <v>18</v>
      </c>
      <c r="C977" s="1754" t="s">
        <v>26</v>
      </c>
      <c r="D977" s="1212"/>
      <c r="E977" s="1212"/>
      <c r="F977" s="1212"/>
      <c r="G977" s="1169"/>
      <c r="H977" s="1205" t="s">
        <v>2308</v>
      </c>
    </row>
    <row r="978" spans="1:8" s="1256" customFormat="1" hidden="1">
      <c r="A978" s="1169"/>
      <c r="B978" s="1169"/>
      <c r="C978" s="1752" t="s">
        <v>118</v>
      </c>
      <c r="D978" s="1156" t="s">
        <v>27</v>
      </c>
      <c r="E978" s="1221">
        <v>0.31</v>
      </c>
      <c r="F978" s="1213">
        <f>'MINI SSR 2020-21'!H$5</f>
        <v>460</v>
      </c>
      <c r="G978" s="1214">
        <f>ROUND(E978*F978,2)</f>
        <v>142.6</v>
      </c>
      <c r="H978" s="1205" t="s">
        <v>2308</v>
      </c>
    </row>
    <row r="979" spans="1:8" s="1256" customFormat="1" hidden="1">
      <c r="A979" s="1169"/>
      <c r="B979" s="1219" t="s">
        <v>20</v>
      </c>
      <c r="C979" s="1754" t="s">
        <v>22</v>
      </c>
      <c r="D979" s="1156"/>
      <c r="E979" s="1156"/>
      <c r="F979" s="1156"/>
      <c r="G979" s="1169"/>
      <c r="H979" s="1205" t="s">
        <v>2308</v>
      </c>
    </row>
    <row r="980" spans="1:8" s="1256" customFormat="1" hidden="1">
      <c r="A980" s="1169"/>
      <c r="B980" s="1169"/>
      <c r="C980" s="1752" t="s">
        <v>2426</v>
      </c>
      <c r="D980" s="1156" t="s">
        <v>5</v>
      </c>
      <c r="E980" s="1221">
        <v>6</v>
      </c>
      <c r="F980" s="1221">
        <f>'lead 20-21'!L24</f>
        <v>182.1</v>
      </c>
      <c r="G980" s="1214">
        <f>ROUND(E980*F980,2)</f>
        <v>1092.5999999999999</v>
      </c>
      <c r="H980" s="1205" t="s">
        <v>2308</v>
      </c>
    </row>
    <row r="981" spans="1:8" s="1256" customFormat="1" hidden="1">
      <c r="A981" s="1169"/>
      <c r="B981" s="1169"/>
      <c r="C981" s="1754" t="s">
        <v>2424</v>
      </c>
      <c r="D981" s="1156"/>
      <c r="E981" s="1221"/>
      <c r="F981" s="1221"/>
      <c r="G981" s="1214">
        <f>SUM(G978:G980)</f>
        <v>1235.1999999999998</v>
      </c>
      <c r="H981" s="1205" t="s">
        <v>2308</v>
      </c>
    </row>
    <row r="982" spans="1:8" s="1256" customFormat="1" hidden="1">
      <c r="A982" s="1169"/>
      <c r="B982" s="1169"/>
      <c r="C982" s="1754" t="s">
        <v>28</v>
      </c>
      <c r="D982" s="1156"/>
      <c r="E982" s="1156"/>
      <c r="F982" s="1156"/>
      <c r="G982" s="1220">
        <f>ROUND(G981/6,2)</f>
        <v>205.87</v>
      </c>
      <c r="H982" s="1205" t="s">
        <v>2308</v>
      </c>
    </row>
    <row r="983" spans="1:8" s="1256" customFormat="1" ht="89.25" hidden="1">
      <c r="A983" s="1156">
        <v>10</v>
      </c>
      <c r="B983" s="1218" t="s">
        <v>1326</v>
      </c>
      <c r="C983" s="1752" t="s">
        <v>662</v>
      </c>
      <c r="D983" s="1212"/>
      <c r="E983" s="1212"/>
      <c r="F983" s="1212"/>
      <c r="G983" s="1218"/>
      <c r="H983" s="1205" t="s">
        <v>2308</v>
      </c>
    </row>
    <row r="984" spans="1:8" s="1256" customFormat="1" hidden="1">
      <c r="A984" s="1156"/>
      <c r="B984" s="1212"/>
      <c r="C984" s="1754" t="s">
        <v>2423</v>
      </c>
      <c r="D984" s="1212"/>
      <c r="E984" s="1212"/>
      <c r="F984" s="1212"/>
      <c r="G984" s="1169"/>
      <c r="H984" s="1205" t="s">
        <v>2308</v>
      </c>
    </row>
    <row r="985" spans="1:8" s="1256" customFormat="1" hidden="1">
      <c r="A985" s="1156"/>
      <c r="B985" s="1219" t="s">
        <v>18</v>
      </c>
      <c r="C985" s="1754" t="s">
        <v>26</v>
      </c>
      <c r="D985" s="1212"/>
      <c r="E985" s="1212"/>
      <c r="F985" s="1212"/>
      <c r="G985" s="1169"/>
      <c r="H985" s="1205" t="s">
        <v>2308</v>
      </c>
    </row>
    <row r="986" spans="1:8" s="1256" customFormat="1" hidden="1">
      <c r="A986" s="1169"/>
      <c r="B986" s="1169"/>
      <c r="C986" s="1752" t="s">
        <v>118</v>
      </c>
      <c r="D986" s="1156" t="s">
        <v>27</v>
      </c>
      <c r="E986" s="1221">
        <v>0.31</v>
      </c>
      <c r="F986" s="1213">
        <f>'MINI SSR 2020-21'!H$5</f>
        <v>460</v>
      </c>
      <c r="G986" s="1214">
        <f>ROUND(E986*F986,2)</f>
        <v>142.6</v>
      </c>
      <c r="H986" s="1205" t="s">
        <v>2308</v>
      </c>
    </row>
    <row r="987" spans="1:8" s="1256" customFormat="1" hidden="1">
      <c r="A987" s="1169"/>
      <c r="B987" s="1219" t="s">
        <v>20</v>
      </c>
      <c r="C987" s="1754" t="s">
        <v>22</v>
      </c>
      <c r="D987" s="1156"/>
      <c r="E987" s="1156"/>
      <c r="F987" s="1156"/>
      <c r="G987" s="1169"/>
      <c r="H987" s="1205" t="s">
        <v>2308</v>
      </c>
    </row>
    <row r="988" spans="1:8" s="1256" customFormat="1" hidden="1">
      <c r="A988" s="1169"/>
      <c r="B988" s="1169"/>
      <c r="C988" s="1752" t="s">
        <v>663</v>
      </c>
      <c r="D988" s="1156" t="s">
        <v>5</v>
      </c>
      <c r="E988" s="1221">
        <v>6</v>
      </c>
      <c r="F988" s="1221">
        <f>'lead 20-21'!L25</f>
        <v>223.3</v>
      </c>
      <c r="G988" s="1214">
        <f>ROUND(E988*F988,2)</f>
        <v>1339.8</v>
      </c>
      <c r="H988" s="1205" t="s">
        <v>2308</v>
      </c>
    </row>
    <row r="989" spans="1:8" s="1256" customFormat="1" hidden="1">
      <c r="A989" s="1169"/>
      <c r="B989" s="1169"/>
      <c r="C989" s="1754" t="s">
        <v>2424</v>
      </c>
      <c r="D989" s="1156"/>
      <c r="E989" s="1221"/>
      <c r="F989" s="1221"/>
      <c r="G989" s="1214">
        <f>SUM(G986:G988)</f>
        <v>1482.3999999999999</v>
      </c>
      <c r="H989" s="1205" t="s">
        <v>2308</v>
      </c>
    </row>
    <row r="990" spans="1:8" s="1256" customFormat="1" hidden="1">
      <c r="A990" s="1169"/>
      <c r="B990" s="1169"/>
      <c r="C990" s="1754" t="s">
        <v>28</v>
      </c>
      <c r="D990" s="1156"/>
      <c r="E990" s="1156"/>
      <c r="F990" s="1156"/>
      <c r="G990" s="1220">
        <f>ROUND(G989/6,2)</f>
        <v>247.07</v>
      </c>
      <c r="H990" s="1205" t="s">
        <v>2308</v>
      </c>
    </row>
    <row r="991" spans="1:8" s="1256" customFormat="1" ht="63.75" hidden="1">
      <c r="A991" s="1156">
        <v>17</v>
      </c>
      <c r="B991" s="1218" t="s">
        <v>1325</v>
      </c>
      <c r="C991" s="1752" t="s">
        <v>282</v>
      </c>
      <c r="D991" s="1212"/>
      <c r="E991" s="1212"/>
      <c r="F991" s="1212"/>
      <c r="G991" s="1218"/>
      <c r="H991" s="1205" t="s">
        <v>2308</v>
      </c>
    </row>
    <row r="992" spans="1:8" s="1256" customFormat="1" hidden="1">
      <c r="A992" s="1212"/>
      <c r="B992" s="1212"/>
      <c r="C992" s="1752" t="s">
        <v>312</v>
      </c>
      <c r="D992" s="1212"/>
      <c r="E992" s="1213"/>
      <c r="F992" s="1213"/>
      <c r="G992" s="1214"/>
      <c r="H992" s="1205" t="s">
        <v>2308</v>
      </c>
    </row>
    <row r="993" spans="1:8" s="1256" customFormat="1" hidden="1">
      <c r="A993" s="1212"/>
      <c r="B993" s="1212"/>
      <c r="C993" s="1752" t="s">
        <v>311</v>
      </c>
      <c r="D993" s="1212" t="s">
        <v>27</v>
      </c>
      <c r="E993" s="1213">
        <v>3.12</v>
      </c>
      <c r="F993" s="1213">
        <f>'MINI SSR 2020-21'!H$5</f>
        <v>460</v>
      </c>
      <c r="G993" s="1214">
        <f>ROUND(E993*F993,2)</f>
        <v>1435.2</v>
      </c>
      <c r="H993" s="1205" t="s">
        <v>2308</v>
      </c>
    </row>
    <row r="994" spans="1:8" s="1256" customFormat="1" hidden="1">
      <c r="A994" s="1212"/>
      <c r="B994" s="1212"/>
      <c r="C994" s="1752" t="s">
        <v>57</v>
      </c>
      <c r="D994" s="1212" t="s">
        <v>59</v>
      </c>
      <c r="E994" s="1213">
        <v>0.72</v>
      </c>
      <c r="F994" s="1221">
        <f>'MINI SSR 2020-21'!$C$29</f>
        <v>83</v>
      </c>
      <c r="G994" s="1214">
        <f>ROUND(E994*F994,2)</f>
        <v>59.76</v>
      </c>
      <c r="H994" s="1205" t="s">
        <v>2308</v>
      </c>
    </row>
    <row r="995" spans="1:8" s="1256" customFormat="1" hidden="1">
      <c r="A995" s="1212"/>
      <c r="B995" s="1212"/>
      <c r="C995" s="1752" t="s">
        <v>313</v>
      </c>
      <c r="D995" s="1212"/>
      <c r="E995" s="1213"/>
      <c r="F995" s="1213"/>
      <c r="G995" s="1214">
        <f>SUM(G993:G994)</f>
        <v>1494.96</v>
      </c>
      <c r="H995" s="1205" t="s">
        <v>2308</v>
      </c>
    </row>
    <row r="996" spans="1:8" s="1256" customFormat="1" hidden="1">
      <c r="A996" s="1212"/>
      <c r="B996" s="1212"/>
      <c r="C996" s="1752" t="s">
        <v>313</v>
      </c>
      <c r="D996" s="1212"/>
      <c r="E996" s="1212"/>
      <c r="F996" s="1212"/>
      <c r="G996" s="1222">
        <f>ROUND(G995/6,2)</f>
        <v>249.16</v>
      </c>
      <c r="H996" s="1205" t="s">
        <v>2308</v>
      </c>
    </row>
    <row r="997" spans="1:8" s="1256" customFormat="1" ht="89.25" hidden="1">
      <c r="A997" s="1156">
        <v>18</v>
      </c>
      <c r="B997" s="1218" t="s">
        <v>158</v>
      </c>
      <c r="C997" s="1752" t="s">
        <v>159</v>
      </c>
      <c r="D997" s="1212"/>
      <c r="E997" s="1212"/>
      <c r="F997" s="1212"/>
      <c r="G997" s="1218"/>
      <c r="H997" s="1205" t="s">
        <v>2308</v>
      </c>
    </row>
    <row r="998" spans="1:8" s="1256" customFormat="1" hidden="1">
      <c r="A998" s="1156"/>
      <c r="B998" s="1218"/>
      <c r="C998" s="1754" t="s">
        <v>60</v>
      </c>
      <c r="D998" s="1212"/>
      <c r="E998" s="1212"/>
      <c r="F998" s="1212"/>
      <c r="G998" s="1215"/>
      <c r="H998" s="1205" t="s">
        <v>2308</v>
      </c>
    </row>
    <row r="999" spans="1:8" s="1256" customFormat="1" hidden="1">
      <c r="A999" s="1212"/>
      <c r="B999" s="1212"/>
      <c r="C999" s="1752" t="s">
        <v>44</v>
      </c>
      <c r="D999" s="1212" t="s">
        <v>4</v>
      </c>
      <c r="E999" s="1213">
        <v>162</v>
      </c>
      <c r="F999" s="1213">
        <f>'lead 20-21'!L8</f>
        <v>4700</v>
      </c>
      <c r="G999" s="1214">
        <f>ROUND(E999*F999/1000,2)</f>
        <v>761.4</v>
      </c>
      <c r="H999" s="1205" t="s">
        <v>2308</v>
      </c>
    </row>
    <row r="1000" spans="1:8" s="1256" customFormat="1" hidden="1">
      <c r="A1000" s="1212"/>
      <c r="B1000" s="1212"/>
      <c r="C1000" s="1752" t="s">
        <v>56</v>
      </c>
      <c r="D1000" s="1212" t="s">
        <v>35</v>
      </c>
      <c r="E1000" s="1213">
        <v>0.9</v>
      </c>
      <c r="F1000" s="1213">
        <f>'lead 20-21'!L16</f>
        <v>1436.7999999999997</v>
      </c>
      <c r="G1000" s="1214">
        <f>ROUND(E1000*F1000,2)</f>
        <v>1293.1199999999999</v>
      </c>
      <c r="H1000" s="1205" t="s">
        <v>2308</v>
      </c>
    </row>
    <row r="1001" spans="1:8" s="1256" customFormat="1" hidden="1">
      <c r="A1001" s="1212"/>
      <c r="B1001" s="1212"/>
      <c r="C1001" s="1752" t="s">
        <v>112</v>
      </c>
      <c r="D1001" s="1212" t="s">
        <v>35</v>
      </c>
      <c r="E1001" s="1213">
        <v>0.45</v>
      </c>
      <c r="F1001" s="1213">
        <f>'lead 20-21'!L13</f>
        <v>1451.600000000001</v>
      </c>
      <c r="G1001" s="1214">
        <f>ROUND(E1001*F1001,2)</f>
        <v>653.22</v>
      </c>
      <c r="H1001" s="1205" t="s">
        <v>2308</v>
      </c>
    </row>
    <row r="1002" spans="1:8" s="1256" customFormat="1" hidden="1">
      <c r="A1002" s="1212"/>
      <c r="B1002" s="1212"/>
      <c r="C1002" s="1752" t="s">
        <v>57</v>
      </c>
      <c r="D1002" s="1212" t="s">
        <v>58</v>
      </c>
      <c r="E1002" s="1213">
        <v>1.2</v>
      </c>
      <c r="F1002" s="1221">
        <f>'MINI SSR 2020-21'!$C$29</f>
        <v>83</v>
      </c>
      <c r="G1002" s="1214">
        <f>ROUND(E1002*F1002,2)</f>
        <v>99.6</v>
      </c>
      <c r="H1002" s="1205" t="s">
        <v>2308</v>
      </c>
    </row>
    <row r="1003" spans="1:8" s="1256" customFormat="1" hidden="1">
      <c r="A1003" s="1212"/>
      <c r="B1003" s="1212"/>
      <c r="C1003" s="1754" t="s">
        <v>61</v>
      </c>
      <c r="D1003" s="1212"/>
      <c r="E1003" s="1213"/>
      <c r="F1003" s="1213"/>
      <c r="G1003" s="1214"/>
      <c r="H1003" s="1205" t="s">
        <v>2308</v>
      </c>
    </row>
    <row r="1004" spans="1:8" s="1256" customFormat="1" hidden="1">
      <c r="A1004" s="1212"/>
      <c r="B1004" s="1212"/>
      <c r="C1004" s="1752" t="s">
        <v>62</v>
      </c>
      <c r="D1004" s="1212" t="s">
        <v>21</v>
      </c>
      <c r="E1004" s="1213">
        <v>1</v>
      </c>
      <c r="F1004" s="1213">
        <f>'MINI SSR 2020-21'!$C$30</f>
        <v>566.1</v>
      </c>
      <c r="G1004" s="1214">
        <f>ROUND(E1004*F1004,2)</f>
        <v>566.1</v>
      </c>
      <c r="H1004" s="1205" t="s">
        <v>2308</v>
      </c>
    </row>
    <row r="1005" spans="1:8" s="1256" customFormat="1" hidden="1">
      <c r="A1005" s="1212"/>
      <c r="B1005" s="1212"/>
      <c r="C1005" s="1754" t="s">
        <v>63</v>
      </c>
      <c r="D1005" s="1212"/>
      <c r="E1005" s="1213"/>
      <c r="F1005" s="1213"/>
      <c r="G1005" s="1214"/>
      <c r="H1005" s="1205" t="s">
        <v>2308</v>
      </c>
    </row>
    <row r="1006" spans="1:8" s="1256" customFormat="1" hidden="1">
      <c r="A1006" s="1212"/>
      <c r="B1006" s="1212"/>
      <c r="C1006" s="1752" t="s">
        <v>64</v>
      </c>
      <c r="D1006" s="1212" t="s">
        <v>27</v>
      </c>
      <c r="E1006" s="1213">
        <v>0.1</v>
      </c>
      <c r="F1006" s="1213">
        <f>'MINI SSR 2020-21'!$H$3</f>
        <v>550</v>
      </c>
      <c r="G1006" s="1214">
        <f>ROUND(E1006*F1006,2)</f>
        <v>55</v>
      </c>
      <c r="H1006" s="1205" t="s">
        <v>2308</v>
      </c>
    </row>
    <row r="1007" spans="1:8" s="1256" customFormat="1" hidden="1">
      <c r="A1007" s="1212"/>
      <c r="B1007" s="1212"/>
      <c r="C1007" s="1752" t="s">
        <v>19</v>
      </c>
      <c r="D1007" s="1212" t="s">
        <v>27</v>
      </c>
      <c r="E1007" s="1213">
        <v>1.39</v>
      </c>
      <c r="F1007" s="1213">
        <f>'MINI SSR 2020-21'!H$5</f>
        <v>460</v>
      </c>
      <c r="G1007" s="1214">
        <f>ROUND(E1007*F1007,2)</f>
        <v>639.4</v>
      </c>
      <c r="H1007" s="1205" t="s">
        <v>2308</v>
      </c>
    </row>
    <row r="1008" spans="1:8" s="1256" customFormat="1" hidden="1">
      <c r="A1008" s="1212"/>
      <c r="B1008" s="1212"/>
      <c r="C1008" s="1752"/>
      <c r="D1008" s="1212"/>
      <c r="E1008" s="1212"/>
      <c r="F1008" s="1212"/>
      <c r="G1008" s="1222">
        <f>SUM(G999:G1007)</f>
        <v>4067.8399999999997</v>
      </c>
      <c r="H1008" s="1205" t="s">
        <v>2308</v>
      </c>
    </row>
    <row r="1009" spans="1:8" s="1256" customFormat="1" ht="89.25" hidden="1">
      <c r="A1009" s="1156">
        <v>13</v>
      </c>
      <c r="B1009" s="1218" t="s">
        <v>65</v>
      </c>
      <c r="C1009" s="1752" t="s">
        <v>67</v>
      </c>
      <c r="D1009" s="1212"/>
      <c r="E1009" s="1212"/>
      <c r="F1009" s="1212"/>
      <c r="G1009" s="1218"/>
      <c r="H1009" s="1205" t="s">
        <v>2308</v>
      </c>
    </row>
    <row r="1010" spans="1:8" s="1256" customFormat="1" hidden="1">
      <c r="A1010" s="1156"/>
      <c r="B1010" s="1218"/>
      <c r="C1010" s="1754" t="s">
        <v>60</v>
      </c>
      <c r="D1010" s="1212"/>
      <c r="E1010" s="1212"/>
      <c r="F1010" s="1212"/>
      <c r="G1010" s="1215"/>
      <c r="H1010" s="1205" t="s">
        <v>2308</v>
      </c>
    </row>
    <row r="1011" spans="1:8" s="1256" customFormat="1" hidden="1">
      <c r="A1011" s="1212"/>
      <c r="B1011" s="1212"/>
      <c r="C1011" s="1752" t="s">
        <v>44</v>
      </c>
      <c r="D1011" s="1212" t="s">
        <v>4</v>
      </c>
      <c r="E1011" s="1213">
        <v>129.6</v>
      </c>
      <c r="F1011" s="1213">
        <f>F999</f>
        <v>4700</v>
      </c>
      <c r="G1011" s="1214">
        <f>ROUND(E1011*F1011/1000,2)</f>
        <v>609.12</v>
      </c>
      <c r="H1011" s="1205" t="s">
        <v>2308</v>
      </c>
    </row>
    <row r="1012" spans="1:8" s="1256" customFormat="1" hidden="1">
      <c r="A1012" s="1212"/>
      <c r="B1012" s="1212"/>
      <c r="C1012" s="1752" t="s">
        <v>56</v>
      </c>
      <c r="D1012" s="1212" t="s">
        <v>35</v>
      </c>
      <c r="E1012" s="1213">
        <v>0.9</v>
      </c>
      <c r="F1012" s="1213">
        <f>F1000</f>
        <v>1436.7999999999997</v>
      </c>
      <c r="G1012" s="1214">
        <f>ROUND(E1012*F1012,2)</f>
        <v>1293.1199999999999</v>
      </c>
      <c r="H1012" s="1205" t="s">
        <v>2308</v>
      </c>
    </row>
    <row r="1013" spans="1:8" s="1256" customFormat="1" hidden="1">
      <c r="A1013" s="1212"/>
      <c r="B1013" s="1212"/>
      <c r="C1013" s="1752" t="s">
        <v>112</v>
      </c>
      <c r="D1013" s="1212" t="s">
        <v>35</v>
      </c>
      <c r="E1013" s="1213">
        <v>0.45</v>
      </c>
      <c r="F1013" s="1213">
        <f>F1001</f>
        <v>1451.600000000001</v>
      </c>
      <c r="G1013" s="1214">
        <f>ROUND(E1013*F1013,2)</f>
        <v>653.22</v>
      </c>
      <c r="H1013" s="1205" t="s">
        <v>2308</v>
      </c>
    </row>
    <row r="1014" spans="1:8" s="1256" customFormat="1" hidden="1">
      <c r="A1014" s="1212"/>
      <c r="B1014" s="1212"/>
      <c r="C1014" s="1752" t="s">
        <v>57</v>
      </c>
      <c r="D1014" s="1212" t="s">
        <v>58</v>
      </c>
      <c r="E1014" s="1213">
        <v>1.2</v>
      </c>
      <c r="F1014" s="1221">
        <f>'MINI SSR 2020-21'!$C$29</f>
        <v>83</v>
      </c>
      <c r="G1014" s="1214">
        <f>ROUND(E1014*F1014,2)</f>
        <v>99.6</v>
      </c>
      <c r="H1014" s="1205" t="s">
        <v>2308</v>
      </c>
    </row>
    <row r="1015" spans="1:8" s="1256" customFormat="1" hidden="1">
      <c r="A1015" s="1212"/>
      <c r="B1015" s="1212"/>
      <c r="C1015" s="1754" t="s">
        <v>61</v>
      </c>
      <c r="D1015" s="1212"/>
      <c r="E1015" s="1213"/>
      <c r="F1015" s="1213"/>
      <c r="G1015" s="1214"/>
      <c r="H1015" s="1205" t="s">
        <v>2308</v>
      </c>
    </row>
    <row r="1016" spans="1:8" s="1256" customFormat="1" hidden="1">
      <c r="A1016" s="1212"/>
      <c r="B1016" s="1212"/>
      <c r="C1016" s="1752" t="s">
        <v>62</v>
      </c>
      <c r="D1016" s="1212" t="s">
        <v>21</v>
      </c>
      <c r="E1016" s="1213">
        <v>1</v>
      </c>
      <c r="F1016" s="1213">
        <f>'MINI SSR 2020-21'!$C$30</f>
        <v>566.1</v>
      </c>
      <c r="G1016" s="1214">
        <f>ROUND(E1016*F1016,2)</f>
        <v>566.1</v>
      </c>
      <c r="H1016" s="1205" t="s">
        <v>2308</v>
      </c>
    </row>
    <row r="1017" spans="1:8" s="1256" customFormat="1" hidden="1">
      <c r="A1017" s="1212"/>
      <c r="B1017" s="1212"/>
      <c r="C1017" s="1754" t="s">
        <v>63</v>
      </c>
      <c r="D1017" s="1212"/>
      <c r="E1017" s="1213"/>
      <c r="F1017" s="1213"/>
      <c r="G1017" s="1214"/>
      <c r="H1017" s="1205" t="s">
        <v>2308</v>
      </c>
    </row>
    <row r="1018" spans="1:8" s="1256" customFormat="1" hidden="1">
      <c r="A1018" s="1212"/>
      <c r="B1018" s="1212"/>
      <c r="C1018" s="1752" t="s">
        <v>64</v>
      </c>
      <c r="D1018" s="1212" t="s">
        <v>27</v>
      </c>
      <c r="E1018" s="1213">
        <v>0.1</v>
      </c>
      <c r="F1018" s="1213">
        <f>'MINI SSR 2020-21'!$H$3</f>
        <v>550</v>
      </c>
      <c r="G1018" s="1214">
        <f>ROUND(E1018*F1018,2)</f>
        <v>55</v>
      </c>
      <c r="H1018" s="1205" t="s">
        <v>2308</v>
      </c>
    </row>
    <row r="1019" spans="1:8" s="1256" customFormat="1" hidden="1">
      <c r="A1019" s="1212"/>
      <c r="B1019" s="1212"/>
      <c r="C1019" s="1752" t="s">
        <v>19</v>
      </c>
      <c r="D1019" s="1212" t="s">
        <v>27</v>
      </c>
      <c r="E1019" s="1213">
        <v>1.39</v>
      </c>
      <c r="F1019" s="1213">
        <f>'MINI SSR 2020-21'!H$5</f>
        <v>460</v>
      </c>
      <c r="G1019" s="1214">
        <f>ROUND(E1019*F1019,2)</f>
        <v>639.4</v>
      </c>
      <c r="H1019" s="1205" t="s">
        <v>2308</v>
      </c>
    </row>
    <row r="1020" spans="1:8" s="1256" customFormat="1" hidden="1">
      <c r="A1020" s="1212"/>
      <c r="B1020" s="1212"/>
      <c r="C1020" s="1752"/>
      <c r="D1020" s="1212"/>
      <c r="E1020" s="1212"/>
      <c r="F1020" s="1212"/>
      <c r="G1020" s="1222">
        <f>SUM(G1011:G1019)</f>
        <v>3915.56</v>
      </c>
      <c r="H1020" s="1205" t="s">
        <v>2308</v>
      </c>
    </row>
    <row r="1021" spans="1:8" s="1256" customFormat="1" ht="178.5" hidden="1">
      <c r="A1021" s="1156">
        <v>19</v>
      </c>
      <c r="B1021" s="1218" t="s">
        <v>66</v>
      </c>
      <c r="C1021" s="1752" t="s">
        <v>225</v>
      </c>
      <c r="D1021" s="1212"/>
      <c r="E1021" s="1212"/>
      <c r="F1021" s="1212"/>
      <c r="G1021" s="1218"/>
      <c r="H1021" s="1205" t="s">
        <v>2308</v>
      </c>
    </row>
    <row r="1022" spans="1:8" s="1256" customFormat="1" hidden="1">
      <c r="A1022" s="1156"/>
      <c r="B1022" s="1218"/>
      <c r="C1022" s="1754" t="s">
        <v>81</v>
      </c>
      <c r="D1022" s="1212"/>
      <c r="E1022" s="1212"/>
      <c r="F1022" s="1212"/>
      <c r="G1022" s="1215"/>
      <c r="H1022" s="1205" t="s">
        <v>2308</v>
      </c>
    </row>
    <row r="1023" spans="1:8" s="1256" customFormat="1" hidden="1">
      <c r="A1023" s="1156"/>
      <c r="B1023" s="1218"/>
      <c r="C1023" s="1754" t="s">
        <v>60</v>
      </c>
      <c r="D1023" s="1212"/>
      <c r="E1023" s="1212"/>
      <c r="F1023" s="1212"/>
      <c r="G1023" s="1215"/>
      <c r="H1023" s="1205" t="s">
        <v>2308</v>
      </c>
    </row>
    <row r="1024" spans="1:8" s="1256" customFormat="1" hidden="1">
      <c r="A1024" s="1156"/>
      <c r="B1024" s="1218"/>
      <c r="C1024" s="1752" t="s">
        <v>154</v>
      </c>
      <c r="D1024" s="1212" t="s">
        <v>35</v>
      </c>
      <c r="E1024" s="1213">
        <v>0.8</v>
      </c>
      <c r="F1024" s="1213">
        <f>F954</f>
        <v>1799.05</v>
      </c>
      <c r="G1024" s="1214">
        <f>ROUND(E1024*F1024,2)</f>
        <v>1439.24</v>
      </c>
      <c r="H1024" s="1205" t="s">
        <v>2308</v>
      </c>
    </row>
    <row r="1025" spans="1:8" s="1256" customFormat="1" hidden="1">
      <c r="A1025" s="1156"/>
      <c r="B1025" s="1218"/>
      <c r="C1025" s="1752" t="s">
        <v>112</v>
      </c>
      <c r="D1025" s="1212" t="s">
        <v>35</v>
      </c>
      <c r="E1025" s="1213">
        <v>0.4</v>
      </c>
      <c r="F1025" s="1213">
        <f>'lead 20-21'!L13</f>
        <v>1451.600000000001</v>
      </c>
      <c r="G1025" s="1214">
        <f>ROUND(E1025*F1025,2)</f>
        <v>580.64</v>
      </c>
      <c r="H1025" s="1205" t="s">
        <v>2308</v>
      </c>
    </row>
    <row r="1026" spans="1:8" s="1256" customFormat="1" hidden="1">
      <c r="A1026" s="1212"/>
      <c r="B1026" s="1212"/>
      <c r="C1026" s="1752" t="s">
        <v>33</v>
      </c>
      <c r="D1026" s="1212" t="s">
        <v>4</v>
      </c>
      <c r="E1026" s="1213">
        <v>340</v>
      </c>
      <c r="F1026" s="1213">
        <f>'lead 20-21'!L8</f>
        <v>4700</v>
      </c>
      <c r="G1026" s="1214">
        <f>ROUND(E1026*F1026/1000,2)</f>
        <v>1598</v>
      </c>
      <c r="H1026" s="1205" t="s">
        <v>2308</v>
      </c>
    </row>
    <row r="1027" spans="1:8" s="1256" customFormat="1" hidden="1">
      <c r="A1027" s="1212"/>
      <c r="B1027" s="1212"/>
      <c r="C1027" s="1754" t="s">
        <v>68</v>
      </c>
      <c r="D1027" s="1212"/>
      <c r="E1027" s="1213"/>
      <c r="F1027" s="1213"/>
      <c r="G1027" s="1214"/>
      <c r="H1027" s="1205" t="s">
        <v>2308</v>
      </c>
    </row>
    <row r="1028" spans="1:8" s="1256" customFormat="1" hidden="1">
      <c r="A1028" s="1212"/>
      <c r="B1028" s="1212"/>
      <c r="C1028" s="1752" t="s">
        <v>64</v>
      </c>
      <c r="D1028" s="1212" t="s">
        <v>27</v>
      </c>
      <c r="E1028" s="1223">
        <v>0.13300000000000001</v>
      </c>
      <c r="F1028" s="1213">
        <f>'MINI SSR 2020-21'!$H$3</f>
        <v>550</v>
      </c>
      <c r="G1028" s="1214">
        <f>ROUND(E1028*F1028,2)</f>
        <v>73.150000000000006</v>
      </c>
      <c r="H1028" s="1205" t="s">
        <v>2308</v>
      </c>
    </row>
    <row r="1029" spans="1:8" s="1256" customFormat="1" hidden="1">
      <c r="A1029" s="1212"/>
      <c r="B1029" s="1212"/>
      <c r="C1029" s="1752" t="s">
        <v>69</v>
      </c>
      <c r="D1029" s="1212" t="s">
        <v>27</v>
      </c>
      <c r="E1029" s="1223">
        <v>0.26700000000000002</v>
      </c>
      <c r="F1029" s="1213">
        <f>'MINI SSR 2020-21'!$H$4</f>
        <v>500</v>
      </c>
      <c r="G1029" s="1214">
        <f>ROUND(E1029*F1029,2)</f>
        <v>133.5</v>
      </c>
      <c r="H1029" s="1205" t="s">
        <v>2308</v>
      </c>
    </row>
    <row r="1030" spans="1:8" s="1256" customFormat="1" hidden="1">
      <c r="A1030" s="1212"/>
      <c r="B1030" s="1212"/>
      <c r="C1030" s="1752" t="s">
        <v>70</v>
      </c>
      <c r="D1030" s="1212" t="s">
        <v>27</v>
      </c>
      <c r="E1030" s="1223">
        <v>3.6</v>
      </c>
      <c r="F1030" s="1213">
        <f>'MINI SSR 2020-21'!H$5</f>
        <v>460</v>
      </c>
      <c r="G1030" s="1214">
        <f>ROUND(E1030*F1030,2)</f>
        <v>1656</v>
      </c>
      <c r="H1030" s="1205" t="s">
        <v>2308</v>
      </c>
    </row>
    <row r="1031" spans="1:8" s="1256" customFormat="1" hidden="1">
      <c r="A1031" s="1212"/>
      <c r="B1031" s="1212"/>
      <c r="C1031" s="1754" t="s">
        <v>61</v>
      </c>
      <c r="D1031" s="1212"/>
      <c r="E1031" s="1213"/>
      <c r="F1031" s="1213"/>
      <c r="G1031" s="1214"/>
      <c r="H1031" s="1205" t="s">
        <v>2308</v>
      </c>
    </row>
    <row r="1032" spans="1:8" s="1256" customFormat="1" hidden="1">
      <c r="A1032" s="1212"/>
      <c r="B1032" s="1212"/>
      <c r="C1032" s="1752" t="s">
        <v>62</v>
      </c>
      <c r="D1032" s="1212" t="s">
        <v>21</v>
      </c>
      <c r="E1032" s="1213">
        <v>1</v>
      </c>
      <c r="F1032" s="1213">
        <f>'MINI SSR 2020-21'!$C$30</f>
        <v>566.1</v>
      </c>
      <c r="G1032" s="1214">
        <f>ROUND(E1032*F1032,2)</f>
        <v>566.1</v>
      </c>
      <c r="H1032" s="1205" t="s">
        <v>2308</v>
      </c>
    </row>
    <row r="1033" spans="1:8" s="1256" customFormat="1" hidden="1">
      <c r="A1033" s="1212"/>
      <c r="B1033" s="1212"/>
      <c r="C1033" s="1752" t="s">
        <v>160</v>
      </c>
      <c r="D1033" s="1212" t="s">
        <v>21</v>
      </c>
      <c r="E1033" s="1213">
        <v>1</v>
      </c>
      <c r="F1033" s="1213">
        <f>'MINI SSR 2020-21'!$C$31</f>
        <v>223</v>
      </c>
      <c r="G1033" s="1214">
        <f>ROUND(E1033*F1033,2)</f>
        <v>223</v>
      </c>
      <c r="H1033" s="1205" t="s">
        <v>2308</v>
      </c>
    </row>
    <row r="1034" spans="1:8" s="1256" customFormat="1" hidden="1">
      <c r="A1034" s="1212"/>
      <c r="B1034" s="1212"/>
      <c r="C1034" s="1752" t="s">
        <v>57</v>
      </c>
      <c r="D1034" s="1212" t="s">
        <v>58</v>
      </c>
      <c r="E1034" s="1213">
        <v>1.2</v>
      </c>
      <c r="F1034" s="1221">
        <f>'MINI SSR 2020-21'!$C$29</f>
        <v>83</v>
      </c>
      <c r="G1034" s="1214">
        <f>ROUND(E1034*F1034,2)</f>
        <v>99.6</v>
      </c>
      <c r="H1034" s="1205" t="s">
        <v>2308</v>
      </c>
    </row>
    <row r="1035" spans="1:8" s="1256" customFormat="1" hidden="1">
      <c r="A1035" s="1212"/>
      <c r="B1035" s="1212"/>
      <c r="C1035" s="1754" t="s">
        <v>71</v>
      </c>
      <c r="D1035" s="1212"/>
      <c r="E1035" s="1212"/>
      <c r="F1035" s="1212"/>
      <c r="G1035" s="1222">
        <f>SUM(G1024:G1034)</f>
        <v>6369.2300000000014</v>
      </c>
      <c r="H1035" s="1205" t="s">
        <v>2308</v>
      </c>
    </row>
    <row r="1036" spans="1:8" s="1256" customFormat="1" hidden="1">
      <c r="A1036" s="1212"/>
      <c r="B1036" s="1212"/>
      <c r="C1036" s="1754" t="s">
        <v>72</v>
      </c>
      <c r="D1036" s="1212"/>
      <c r="E1036" s="1212"/>
      <c r="F1036" s="1212"/>
      <c r="G1036" s="1215"/>
      <c r="H1036" s="1205" t="s">
        <v>2308</v>
      </c>
    </row>
    <row r="1037" spans="1:8" s="1256" customFormat="1" hidden="1">
      <c r="A1037" s="1212"/>
      <c r="B1037" s="1212"/>
      <c r="C1037" s="1752" t="s">
        <v>73</v>
      </c>
      <c r="D1037" s="1212" t="s">
        <v>35</v>
      </c>
      <c r="E1037" s="1213">
        <v>1</v>
      </c>
      <c r="F1037" s="1213">
        <f>G1035</f>
        <v>6369.2300000000014</v>
      </c>
      <c r="G1037" s="1214">
        <f>ROUND(E1037*F1037,2)</f>
        <v>6369.23</v>
      </c>
      <c r="H1037" s="1205" t="s">
        <v>2308</v>
      </c>
    </row>
    <row r="1038" spans="1:8" s="1256" customFormat="1" ht="25.5" hidden="1">
      <c r="A1038" s="1212"/>
      <c r="B1038" s="1212"/>
      <c r="C1038" s="1752" t="s">
        <v>1279</v>
      </c>
      <c r="D1038" s="1212" t="s">
        <v>35</v>
      </c>
      <c r="E1038" s="1213">
        <v>1</v>
      </c>
      <c r="F1038" s="1213">
        <f>'MINI SSR 2020-21'!C52</f>
        <v>288</v>
      </c>
      <c r="G1038" s="1214">
        <f>ROUND(E1038*F1038,2)</f>
        <v>288</v>
      </c>
      <c r="H1038" s="1205" t="s">
        <v>2308</v>
      </c>
    </row>
    <row r="1039" spans="1:8" s="1256" customFormat="1" hidden="1">
      <c r="A1039" s="1212"/>
      <c r="B1039" s="1212"/>
      <c r="C1039" s="1752" t="s">
        <v>1280</v>
      </c>
      <c r="D1039" s="1212" t="s">
        <v>35</v>
      </c>
      <c r="E1039" s="1213">
        <v>1</v>
      </c>
      <c r="F1039" s="1213">
        <f>'MINI SSR 2020-21'!D52</f>
        <v>631</v>
      </c>
      <c r="G1039" s="1214">
        <f>ROUND(E1039*F1039,2)</f>
        <v>631</v>
      </c>
      <c r="H1039" s="1205" t="s">
        <v>2308</v>
      </c>
    </row>
    <row r="1040" spans="1:8" s="1256" customFormat="1" hidden="1">
      <c r="A1040" s="1212"/>
      <c r="B1040" s="1212"/>
      <c r="C1040" s="1752"/>
      <c r="D1040" s="1212"/>
      <c r="E1040" s="1212"/>
      <c r="F1040" s="1212"/>
      <c r="G1040" s="1222">
        <f>SUM(G1037:G1039)</f>
        <v>7288.23</v>
      </c>
      <c r="H1040" s="1205" t="s">
        <v>2308</v>
      </c>
    </row>
    <row r="1041" spans="1:8" s="1256" customFormat="1" hidden="1">
      <c r="A1041" s="1212"/>
      <c r="B1041" s="1212"/>
      <c r="C1041" s="1754" t="s">
        <v>74</v>
      </c>
      <c r="D1041" s="1212"/>
      <c r="E1041" s="1212"/>
      <c r="F1041" s="1212"/>
      <c r="G1041" s="1215"/>
      <c r="H1041" s="1205" t="s">
        <v>2308</v>
      </c>
    </row>
    <row r="1042" spans="1:8" s="1256" customFormat="1" hidden="1">
      <c r="A1042" s="1212"/>
      <c r="B1042" s="1212"/>
      <c r="C1042" s="1752" t="s">
        <v>73</v>
      </c>
      <c r="D1042" s="1212" t="s">
        <v>35</v>
      </c>
      <c r="E1042" s="1213">
        <v>1</v>
      </c>
      <c r="F1042" s="1213">
        <f>G1035</f>
        <v>6369.2300000000014</v>
      </c>
      <c r="G1042" s="1214">
        <f>ROUND(E1042*F1042,2)</f>
        <v>6369.23</v>
      </c>
      <c r="H1042" s="1205" t="s">
        <v>2308</v>
      </c>
    </row>
    <row r="1043" spans="1:8" s="1256" customFormat="1" ht="25.5" hidden="1">
      <c r="A1043" s="1212"/>
      <c r="B1043" s="1212"/>
      <c r="C1043" s="1752" t="s">
        <v>1281</v>
      </c>
      <c r="D1043" s="1212" t="s">
        <v>35</v>
      </c>
      <c r="E1043" s="1213">
        <v>1</v>
      </c>
      <c r="F1043" s="1213">
        <f>'MINI SSR 2020-21'!C54</f>
        <v>328</v>
      </c>
      <c r="G1043" s="1214">
        <f>ROUND(E1043*F1043,2)</f>
        <v>328</v>
      </c>
      <c r="H1043" s="1205" t="s">
        <v>2308</v>
      </c>
    </row>
    <row r="1044" spans="1:8" s="1256" customFormat="1" hidden="1">
      <c r="A1044" s="1212"/>
      <c r="B1044" s="1212"/>
      <c r="C1044" s="1752" t="s">
        <v>1282</v>
      </c>
      <c r="D1044" s="1212" t="s">
        <v>35</v>
      </c>
      <c r="E1044" s="1213">
        <v>1</v>
      </c>
      <c r="F1044" s="1213">
        <f>'MINI SSR 2020-21'!D54</f>
        <v>1004</v>
      </c>
      <c r="G1044" s="1214">
        <f>ROUND(E1044*F1044,2)</f>
        <v>1004</v>
      </c>
      <c r="H1044" s="1205" t="s">
        <v>2308</v>
      </c>
    </row>
    <row r="1045" spans="1:8" s="1256" customFormat="1" hidden="1">
      <c r="A1045" s="1212"/>
      <c r="B1045" s="1212"/>
      <c r="C1045" s="1752"/>
      <c r="D1045" s="1212"/>
      <c r="E1045" s="1212"/>
      <c r="F1045" s="1212"/>
      <c r="G1045" s="1222">
        <f>SUM(G1042:G1044)</f>
        <v>7701.23</v>
      </c>
      <c r="H1045" s="1205" t="s">
        <v>2308</v>
      </c>
    </row>
    <row r="1046" spans="1:8" s="1256" customFormat="1" hidden="1">
      <c r="A1046" s="1212"/>
      <c r="B1046" s="1212"/>
      <c r="C1046" s="1754" t="s">
        <v>75</v>
      </c>
      <c r="D1046" s="1212"/>
      <c r="E1046" s="1212"/>
      <c r="F1046" s="1212"/>
      <c r="G1046" s="1215"/>
      <c r="H1046" s="1205" t="s">
        <v>2308</v>
      </c>
    </row>
    <row r="1047" spans="1:8" s="1256" customFormat="1" hidden="1">
      <c r="A1047" s="1212"/>
      <c r="B1047" s="1212"/>
      <c r="C1047" s="1752" t="s">
        <v>73</v>
      </c>
      <c r="D1047" s="1212" t="s">
        <v>35</v>
      </c>
      <c r="E1047" s="1213">
        <v>1</v>
      </c>
      <c r="F1047" s="1213">
        <f>G1035</f>
        <v>6369.2300000000014</v>
      </c>
      <c r="G1047" s="1214">
        <f>ROUND(E1047*F1047,2)</f>
        <v>6369.23</v>
      </c>
      <c r="H1047" s="1205" t="s">
        <v>2308</v>
      </c>
    </row>
    <row r="1048" spans="1:8" s="1256" customFormat="1" hidden="1">
      <c r="A1048" s="1212"/>
      <c r="B1048" s="1212"/>
      <c r="C1048" s="1752" t="s">
        <v>1283</v>
      </c>
      <c r="D1048" s="1212" t="s">
        <v>35</v>
      </c>
      <c r="E1048" s="1213">
        <v>1</v>
      </c>
      <c r="F1048" s="1213">
        <f>'MINI SSR 2020-21'!C55</f>
        <v>1390</v>
      </c>
      <c r="G1048" s="1214">
        <f>ROUND(E1048*F1048,2)</f>
        <v>1390</v>
      </c>
      <c r="H1048" s="1205" t="s">
        <v>2308</v>
      </c>
    </row>
    <row r="1049" spans="1:8" s="1256" customFormat="1" hidden="1">
      <c r="A1049" s="1212"/>
      <c r="B1049" s="1212"/>
      <c r="C1049" s="1752" t="s">
        <v>1284</v>
      </c>
      <c r="D1049" s="1212" t="s">
        <v>35</v>
      </c>
      <c r="E1049" s="1213">
        <v>1</v>
      </c>
      <c r="F1049" s="1213">
        <f>'MINI SSR 2020-21'!D55</f>
        <v>1521</v>
      </c>
      <c r="G1049" s="1214">
        <f>ROUND(E1049*F1049,2)</f>
        <v>1521</v>
      </c>
      <c r="H1049" s="1205" t="s">
        <v>2308</v>
      </c>
    </row>
    <row r="1050" spans="1:8" s="1256" customFormat="1" hidden="1">
      <c r="A1050" s="1212"/>
      <c r="B1050" s="1212"/>
      <c r="C1050" s="1752"/>
      <c r="D1050" s="1212"/>
      <c r="E1050" s="1212"/>
      <c r="F1050" s="1212"/>
      <c r="G1050" s="1222">
        <f>SUM(G1047:G1049)</f>
        <v>9280.23</v>
      </c>
      <c r="H1050" s="1205" t="s">
        <v>2308</v>
      </c>
    </row>
    <row r="1051" spans="1:8" s="1256" customFormat="1" ht="178.5" hidden="1">
      <c r="A1051" s="1156">
        <v>15</v>
      </c>
      <c r="B1051" s="1218" t="s">
        <v>76</v>
      </c>
      <c r="C1051" s="1752" t="s">
        <v>226</v>
      </c>
      <c r="D1051" s="1212"/>
      <c r="E1051" s="1212"/>
      <c r="F1051" s="1212"/>
      <c r="G1051" s="1218"/>
      <c r="H1051" s="1205" t="s">
        <v>2308</v>
      </c>
    </row>
    <row r="1052" spans="1:8" s="1256" customFormat="1" hidden="1">
      <c r="A1052" s="1156"/>
      <c r="B1052" s="1218"/>
      <c r="C1052" s="1754" t="s">
        <v>80</v>
      </c>
      <c r="D1052" s="1212"/>
      <c r="E1052" s="1212"/>
      <c r="F1052" s="1212"/>
      <c r="G1052" s="1215"/>
      <c r="H1052" s="1205" t="s">
        <v>2308</v>
      </c>
    </row>
    <row r="1053" spans="1:8" s="1256" customFormat="1" hidden="1">
      <c r="A1053" s="1156"/>
      <c r="B1053" s="1218"/>
      <c r="C1053" s="1754" t="s">
        <v>60</v>
      </c>
      <c r="D1053" s="1212"/>
      <c r="E1053" s="1212"/>
      <c r="F1053" s="1212"/>
      <c r="G1053" s="1215"/>
      <c r="H1053" s="1205" t="s">
        <v>2308</v>
      </c>
    </row>
    <row r="1054" spans="1:8" s="1256" customFormat="1" hidden="1">
      <c r="A1054" s="1156"/>
      <c r="B1054" s="1218"/>
      <c r="C1054" s="1752" t="s">
        <v>154</v>
      </c>
      <c r="D1054" s="1212" t="s">
        <v>35</v>
      </c>
      <c r="E1054" s="1213">
        <v>0.8</v>
      </c>
      <c r="F1054" s="1213">
        <f>F1024</f>
        <v>1799.05</v>
      </c>
      <c r="G1054" s="1214">
        <f>ROUND(E1054*F1054,2)</f>
        <v>1439.24</v>
      </c>
      <c r="H1054" s="1205" t="s">
        <v>2308</v>
      </c>
    </row>
    <row r="1055" spans="1:8" s="1256" customFormat="1" hidden="1">
      <c r="A1055" s="1156"/>
      <c r="B1055" s="1218"/>
      <c r="C1055" s="1752" t="s">
        <v>112</v>
      </c>
      <c r="D1055" s="1212" t="s">
        <v>35</v>
      </c>
      <c r="E1055" s="1213">
        <v>0.4</v>
      </c>
      <c r="F1055" s="1213">
        <f>'lead 20-21'!L13</f>
        <v>1451.600000000001</v>
      </c>
      <c r="G1055" s="1214">
        <f>ROUND(E1055*F1055,2)</f>
        <v>580.64</v>
      </c>
      <c r="H1055" s="1205" t="s">
        <v>2308</v>
      </c>
    </row>
    <row r="1056" spans="1:8" s="1256" customFormat="1" hidden="1">
      <c r="A1056" s="1212"/>
      <c r="B1056" s="1212"/>
      <c r="C1056" s="1752" t="s">
        <v>33</v>
      </c>
      <c r="D1056" s="1212" t="s">
        <v>4</v>
      </c>
      <c r="E1056" s="1213">
        <f>E1026</f>
        <v>340</v>
      </c>
      <c r="F1056" s="1213">
        <f>'lead 20-21'!L8</f>
        <v>4700</v>
      </c>
      <c r="G1056" s="1214">
        <f>ROUND(E1056*F1056/1000,2)</f>
        <v>1598</v>
      </c>
      <c r="H1056" s="1205" t="s">
        <v>2308</v>
      </c>
    </row>
    <row r="1057" spans="1:8" s="1256" customFormat="1" hidden="1">
      <c r="A1057" s="1212"/>
      <c r="B1057" s="1212"/>
      <c r="C1057" s="1754" t="s">
        <v>68</v>
      </c>
      <c r="D1057" s="1212"/>
      <c r="E1057" s="1213"/>
      <c r="F1057" s="1213"/>
      <c r="G1057" s="1214"/>
      <c r="H1057" s="1205" t="s">
        <v>2308</v>
      </c>
    </row>
    <row r="1058" spans="1:8" s="1256" customFormat="1" hidden="1">
      <c r="A1058" s="1212"/>
      <c r="B1058" s="1212"/>
      <c r="C1058" s="1752" t="s">
        <v>64</v>
      </c>
      <c r="D1058" s="1212" t="s">
        <v>27</v>
      </c>
      <c r="E1058" s="1223">
        <v>0.16700000000000001</v>
      </c>
      <c r="F1058" s="1213">
        <f>'MINI SSR 2020-21'!$H$3</f>
        <v>550</v>
      </c>
      <c r="G1058" s="1214">
        <f>ROUND(E1058*F1058,2)</f>
        <v>91.85</v>
      </c>
      <c r="H1058" s="1205" t="s">
        <v>2308</v>
      </c>
    </row>
    <row r="1059" spans="1:8" s="1256" customFormat="1" hidden="1">
      <c r="A1059" s="1212"/>
      <c r="B1059" s="1212"/>
      <c r="C1059" s="1752" t="s">
        <v>69</v>
      </c>
      <c r="D1059" s="1212" t="s">
        <v>27</v>
      </c>
      <c r="E1059" s="1223">
        <v>0.16700000000000001</v>
      </c>
      <c r="F1059" s="1213">
        <f>'MINI SSR 2020-21'!$H$4</f>
        <v>500</v>
      </c>
      <c r="G1059" s="1214">
        <f>ROUND(E1059*F1059,2)</f>
        <v>83.5</v>
      </c>
      <c r="H1059" s="1205" t="s">
        <v>2308</v>
      </c>
    </row>
    <row r="1060" spans="1:8" s="1256" customFormat="1" hidden="1">
      <c r="A1060" s="1212"/>
      <c r="B1060" s="1212"/>
      <c r="C1060" s="1752" t="s">
        <v>70</v>
      </c>
      <c r="D1060" s="1212" t="s">
        <v>27</v>
      </c>
      <c r="E1060" s="1223">
        <v>4.7</v>
      </c>
      <c r="F1060" s="1213">
        <f>'MINI SSR 2020-21'!H$5</f>
        <v>460</v>
      </c>
      <c r="G1060" s="1214">
        <f>ROUND(E1060*F1060,2)</f>
        <v>2162</v>
      </c>
      <c r="H1060" s="1205" t="s">
        <v>2308</v>
      </c>
    </row>
    <row r="1061" spans="1:8" s="1256" customFormat="1" hidden="1">
      <c r="A1061" s="1212"/>
      <c r="B1061" s="1212"/>
      <c r="C1061" s="1754" t="s">
        <v>61</v>
      </c>
      <c r="D1061" s="1212"/>
      <c r="E1061" s="1213"/>
      <c r="F1061" s="1213"/>
      <c r="G1061" s="1214"/>
      <c r="H1061" s="1205" t="s">
        <v>2308</v>
      </c>
    </row>
    <row r="1062" spans="1:8" hidden="1">
      <c r="A1062" s="1212"/>
      <c r="B1062" s="1212"/>
      <c r="C1062" s="1752" t="s">
        <v>62</v>
      </c>
      <c r="D1062" s="1212" t="s">
        <v>21</v>
      </c>
      <c r="E1062" s="1213">
        <v>1</v>
      </c>
      <c r="F1062" s="1213">
        <f>'MINI SSR 2020-21'!$C$30</f>
        <v>566.1</v>
      </c>
      <c r="G1062" s="1214">
        <f>ROUND(E1062*F1062,2)</f>
        <v>566.1</v>
      </c>
      <c r="H1062" s="1205" t="s">
        <v>2308</v>
      </c>
    </row>
    <row r="1063" spans="1:8" hidden="1">
      <c r="A1063" s="1212"/>
      <c r="B1063" s="1212"/>
      <c r="C1063" s="1752" t="s">
        <v>160</v>
      </c>
      <c r="D1063" s="1212" t="s">
        <v>21</v>
      </c>
      <c r="E1063" s="1213">
        <v>1</v>
      </c>
      <c r="F1063" s="1213">
        <f>'MINI SSR 2020-21'!$C$31</f>
        <v>223</v>
      </c>
      <c r="G1063" s="1214">
        <f>ROUND(E1063*F1063,2)</f>
        <v>223</v>
      </c>
      <c r="H1063" s="1205" t="s">
        <v>2308</v>
      </c>
    </row>
    <row r="1064" spans="1:8" hidden="1">
      <c r="A1064" s="1212"/>
      <c r="B1064" s="1212"/>
      <c r="C1064" s="1752" t="s">
        <v>57</v>
      </c>
      <c r="D1064" s="1212" t="s">
        <v>58</v>
      </c>
      <c r="E1064" s="1213">
        <v>1.2</v>
      </c>
      <c r="F1064" s="1221">
        <f>'MINI SSR 2020-21'!$C$29</f>
        <v>83</v>
      </c>
      <c r="G1064" s="1214">
        <f>ROUND(E1064*F1064,2)</f>
        <v>99.6</v>
      </c>
      <c r="H1064" s="1205" t="s">
        <v>2308</v>
      </c>
    </row>
    <row r="1065" spans="1:8" hidden="1">
      <c r="A1065" s="1212"/>
      <c r="B1065" s="1212"/>
      <c r="C1065" s="1754" t="s">
        <v>71</v>
      </c>
      <c r="D1065" s="1212"/>
      <c r="E1065" s="1212"/>
      <c r="F1065" s="1212"/>
      <c r="G1065" s="1222">
        <f>SUM(G1054:G1064)</f>
        <v>6843.93</v>
      </c>
      <c r="H1065" s="1205" t="s">
        <v>2308</v>
      </c>
    </row>
    <row r="1066" spans="1:8" hidden="1">
      <c r="A1066" s="1212"/>
      <c r="B1066" s="1212"/>
      <c r="C1066" s="1754"/>
      <c r="D1066" s="1212"/>
      <c r="E1066" s="1218" t="s">
        <v>161</v>
      </c>
      <c r="F1066" s="1218" t="s">
        <v>162</v>
      </c>
      <c r="G1066" s="1217" t="s">
        <v>163</v>
      </c>
      <c r="H1066" s="1205" t="s">
        <v>2308</v>
      </c>
    </row>
    <row r="1067" spans="1:8" hidden="1">
      <c r="A1067" s="1212"/>
      <c r="B1067" s="1212"/>
      <c r="C1067" s="1754" t="s">
        <v>1285</v>
      </c>
      <c r="D1067" s="1212"/>
      <c r="E1067" s="1213">
        <f>G1065</f>
        <v>6843.93</v>
      </c>
      <c r="F1067" s="1213">
        <f>G1065</f>
        <v>6843.93</v>
      </c>
      <c r="G1067" s="1215">
        <f>G1065</f>
        <v>6843.93</v>
      </c>
      <c r="H1067" s="1205" t="s">
        <v>2308</v>
      </c>
    </row>
    <row r="1068" spans="1:8" ht="25.5" hidden="1">
      <c r="A1068" s="1212"/>
      <c r="B1068" s="1212"/>
      <c r="C1068" s="1752" t="s">
        <v>164</v>
      </c>
      <c r="D1068" s="1212"/>
      <c r="E1068" s="1213">
        <f>'MINI SSR 2020-21'!C57</f>
        <v>355</v>
      </c>
      <c r="F1068" s="1213">
        <f>E1068</f>
        <v>355</v>
      </c>
      <c r="G1068" s="1224">
        <f>E1068</f>
        <v>355</v>
      </c>
      <c r="H1068" s="1205" t="s">
        <v>2308</v>
      </c>
    </row>
    <row r="1069" spans="1:8" hidden="1">
      <c r="A1069" s="1212"/>
      <c r="B1069" s="1212"/>
      <c r="C1069" s="1752" t="s">
        <v>165</v>
      </c>
      <c r="D1069" s="1212"/>
      <c r="E1069" s="1213">
        <f>'MINI SSR 2020-21'!D57</f>
        <v>2268</v>
      </c>
      <c r="F1069" s="1213">
        <f>'MINI SSR 2020-21'!E57</f>
        <v>2495</v>
      </c>
      <c r="G1069" s="1213">
        <f>'MINI SSR 2020-21'!F57</f>
        <v>2722</v>
      </c>
      <c r="H1069" s="1205" t="s">
        <v>2308</v>
      </c>
    </row>
    <row r="1070" spans="1:8" ht="25.5" hidden="1">
      <c r="A1070" s="1212"/>
      <c r="B1070" s="1212"/>
      <c r="C1070" s="1752" t="s">
        <v>1286</v>
      </c>
      <c r="D1070" s="1212"/>
      <c r="E1070" s="1212"/>
      <c r="F1070" s="1212">
        <f>ROUND((G1058+G1059+G1060+F1069)*0.1,2)</f>
        <v>483.24</v>
      </c>
      <c r="G1070" s="1225">
        <f>ROUND((G1058+G1059+G1060+G1069)*0.2,2)</f>
        <v>1011.87</v>
      </c>
      <c r="H1070" s="1205" t="s">
        <v>2308</v>
      </c>
    </row>
    <row r="1071" spans="1:8" hidden="1">
      <c r="A1071" s="1212"/>
      <c r="B1071" s="1212"/>
      <c r="C1071" s="1752"/>
      <c r="D1071" s="1212"/>
      <c r="E1071" s="1217">
        <f>SUM(E1067:E1070)</f>
        <v>9466.93</v>
      </c>
      <c r="F1071" s="1217">
        <f>SUM(F1067:F1070)</f>
        <v>10177.17</v>
      </c>
      <c r="G1071" s="1222">
        <f>SUM(G1067:G1070)</f>
        <v>10932.800000000001</v>
      </c>
      <c r="H1071" s="1205" t="s">
        <v>2308</v>
      </c>
    </row>
    <row r="1072" spans="1:8" hidden="1">
      <c r="A1072" s="1212"/>
      <c r="B1072" s="1212"/>
      <c r="C1072" s="1754"/>
      <c r="D1072" s="1212"/>
      <c r="E1072" s="1218" t="s">
        <v>161</v>
      </c>
      <c r="F1072" s="1218" t="s">
        <v>162</v>
      </c>
      <c r="G1072" s="1217" t="s">
        <v>163</v>
      </c>
      <c r="H1072" s="1205" t="s">
        <v>2308</v>
      </c>
    </row>
    <row r="1073" spans="1:8" hidden="1">
      <c r="A1073" s="1212"/>
      <c r="B1073" s="1212"/>
      <c r="C1073" s="1754" t="s">
        <v>1287</v>
      </c>
      <c r="D1073" s="1212"/>
      <c r="E1073" s="1213">
        <f>G1065</f>
        <v>6843.93</v>
      </c>
      <c r="F1073" s="1213">
        <f>G1065</f>
        <v>6843.93</v>
      </c>
      <c r="G1073" s="1215">
        <f>G1065</f>
        <v>6843.93</v>
      </c>
      <c r="H1073" s="1205" t="s">
        <v>2308</v>
      </c>
    </row>
    <row r="1074" spans="1:8" ht="25.5" hidden="1">
      <c r="A1074" s="1212"/>
      <c r="B1074" s="1212"/>
      <c r="C1074" s="1752" t="s">
        <v>166</v>
      </c>
      <c r="D1074" s="1212"/>
      <c r="E1074" s="1213">
        <f>'MINI SSR 2020-21'!C58</f>
        <v>1180</v>
      </c>
      <c r="F1074" s="1213">
        <f>E1074</f>
        <v>1180</v>
      </c>
      <c r="G1074" s="1224">
        <f>E1074</f>
        <v>1180</v>
      </c>
      <c r="H1074" s="1205" t="s">
        <v>2308</v>
      </c>
    </row>
    <row r="1075" spans="1:8" hidden="1">
      <c r="A1075" s="1212"/>
      <c r="B1075" s="1212"/>
      <c r="C1075" s="1752" t="s">
        <v>167</v>
      </c>
      <c r="D1075" s="1212"/>
      <c r="E1075" s="1213">
        <f>'MINI SSR 2020-21'!D58</f>
        <v>1615</v>
      </c>
      <c r="F1075" s="1213">
        <f>'MINI SSR 2020-21'!E58</f>
        <v>1777</v>
      </c>
      <c r="G1075" s="1213">
        <f>'MINI SSR 2020-21'!F58</f>
        <v>1938</v>
      </c>
      <c r="H1075" s="1205" t="s">
        <v>2308</v>
      </c>
    </row>
    <row r="1076" spans="1:8" ht="25.5" hidden="1">
      <c r="A1076" s="1212"/>
      <c r="B1076" s="1212"/>
      <c r="C1076" s="1752" t="s">
        <v>1286</v>
      </c>
      <c r="D1076" s="1212"/>
      <c r="E1076" s="1212"/>
      <c r="F1076" s="1212">
        <f>ROUND((G1058+G1059+G1060+F1075)*0.1,2)</f>
        <v>411.44</v>
      </c>
      <c r="G1076" s="1225">
        <f>ROUND((G1058+G1059+G1060+G1075)*0.2,2)</f>
        <v>855.07</v>
      </c>
      <c r="H1076" s="1205" t="s">
        <v>2308</v>
      </c>
    </row>
    <row r="1077" spans="1:8" hidden="1">
      <c r="A1077" s="1212"/>
      <c r="B1077" s="1212"/>
      <c r="C1077" s="1752"/>
      <c r="D1077" s="1212"/>
      <c r="E1077" s="1217">
        <f>SUM(E1073:E1076)</f>
        <v>9638.93</v>
      </c>
      <c r="F1077" s="1217">
        <f>SUM(F1073:F1076)</f>
        <v>10212.370000000001</v>
      </c>
      <c r="G1077" s="1222">
        <f>SUM(G1073:G1076)</f>
        <v>10817</v>
      </c>
      <c r="H1077" s="1205" t="s">
        <v>2308</v>
      </c>
    </row>
    <row r="1078" spans="1:8" ht="178.5" hidden="1">
      <c r="A1078" s="1156">
        <v>16</v>
      </c>
      <c r="B1078" s="1218" t="s">
        <v>78</v>
      </c>
      <c r="C1078" s="1752" t="s">
        <v>226</v>
      </c>
      <c r="D1078" s="1212"/>
      <c r="E1078" s="1212"/>
      <c r="F1078" s="1212"/>
      <c r="G1078" s="1218"/>
      <c r="H1078" s="1205" t="s">
        <v>2308</v>
      </c>
    </row>
    <row r="1079" spans="1:8" hidden="1">
      <c r="A1079" s="1156"/>
      <c r="B1079" s="1218"/>
      <c r="C1079" s="1754" t="s">
        <v>79</v>
      </c>
      <c r="D1079" s="1212"/>
      <c r="E1079" s="1212"/>
      <c r="F1079" s="1212"/>
      <c r="G1079" s="1215"/>
      <c r="H1079" s="1205" t="s">
        <v>2308</v>
      </c>
    </row>
    <row r="1080" spans="1:8" hidden="1">
      <c r="A1080" s="1156"/>
      <c r="B1080" s="1218"/>
      <c r="C1080" s="1754" t="s">
        <v>60</v>
      </c>
      <c r="D1080" s="1218"/>
      <c r="E1080" s="1218"/>
      <c r="F1080" s="1218"/>
      <c r="G1080" s="1215"/>
      <c r="H1080" s="1205" t="s">
        <v>2308</v>
      </c>
    </row>
    <row r="1081" spans="1:8" hidden="1">
      <c r="A1081" s="1156"/>
      <c r="B1081" s="1218"/>
      <c r="C1081" s="1752" t="s">
        <v>154</v>
      </c>
      <c r="D1081" s="1212" t="s">
        <v>35</v>
      </c>
      <c r="E1081" s="1213">
        <v>0.8</v>
      </c>
      <c r="F1081" s="1213">
        <f>F954</f>
        <v>1799.05</v>
      </c>
      <c r="G1081" s="1214">
        <f>ROUND(E1081*F1081,2)</f>
        <v>1439.24</v>
      </c>
      <c r="H1081" s="1205" t="s">
        <v>2308</v>
      </c>
    </row>
    <row r="1082" spans="1:8" hidden="1">
      <c r="A1082" s="1156"/>
      <c r="B1082" s="1218"/>
      <c r="C1082" s="1752" t="s">
        <v>112</v>
      </c>
      <c r="D1082" s="1212" t="s">
        <v>35</v>
      </c>
      <c r="E1082" s="1213">
        <v>0.4</v>
      </c>
      <c r="F1082" s="1213">
        <f>'lead 20-21'!L13</f>
        <v>1451.600000000001</v>
      </c>
      <c r="G1082" s="1214">
        <f>ROUND(E1082*F1082,2)</f>
        <v>580.64</v>
      </c>
      <c r="H1082" s="1205" t="s">
        <v>2308</v>
      </c>
    </row>
    <row r="1083" spans="1:8" hidden="1">
      <c r="A1083" s="1212"/>
      <c r="B1083" s="1212"/>
      <c r="C1083" s="1752" t="s">
        <v>33</v>
      </c>
      <c r="D1083" s="1212" t="s">
        <v>4</v>
      </c>
      <c r="E1083" s="1213">
        <f>E1056</f>
        <v>340</v>
      </c>
      <c r="F1083" s="1213">
        <f>'lead 20-21'!L8</f>
        <v>4700</v>
      </c>
      <c r="G1083" s="1214">
        <f>ROUND(E1083*F1083/1000,2)</f>
        <v>1598</v>
      </c>
      <c r="H1083" s="1205" t="s">
        <v>2308</v>
      </c>
    </row>
    <row r="1084" spans="1:8" hidden="1">
      <c r="A1084" s="1212"/>
      <c r="B1084" s="1212"/>
      <c r="C1084" s="1754" t="s">
        <v>68</v>
      </c>
      <c r="D1084" s="1212"/>
      <c r="E1084" s="1213"/>
      <c r="F1084" s="1213"/>
      <c r="G1084" s="1214"/>
      <c r="H1084" s="1205" t="s">
        <v>2308</v>
      </c>
    </row>
    <row r="1085" spans="1:8" hidden="1">
      <c r="A1085" s="1212"/>
      <c r="B1085" s="1212"/>
      <c r="C1085" s="1752" t="s">
        <v>64</v>
      </c>
      <c r="D1085" s="1212" t="s">
        <v>27</v>
      </c>
      <c r="E1085" s="1223">
        <v>6.7000000000000004E-2</v>
      </c>
      <c r="F1085" s="1213">
        <f>'MINI SSR 2020-21'!$H$3</f>
        <v>550</v>
      </c>
      <c r="G1085" s="1214">
        <f>ROUND(E1085*F1085,2)</f>
        <v>36.85</v>
      </c>
      <c r="H1085" s="1205" t="s">
        <v>2308</v>
      </c>
    </row>
    <row r="1086" spans="1:8" hidden="1">
      <c r="A1086" s="1212"/>
      <c r="B1086" s="1212"/>
      <c r="C1086" s="1752" t="s">
        <v>69</v>
      </c>
      <c r="D1086" s="1212" t="s">
        <v>27</v>
      </c>
      <c r="E1086" s="1223">
        <v>0.13300000000000001</v>
      </c>
      <c r="F1086" s="1213">
        <f>'MINI SSR 2020-21'!$H$4</f>
        <v>500</v>
      </c>
      <c r="G1086" s="1214">
        <f>ROUND(E1086*F1086,2)</f>
        <v>66.5</v>
      </c>
      <c r="H1086" s="1205" t="s">
        <v>2308</v>
      </c>
    </row>
    <row r="1087" spans="1:8" hidden="1">
      <c r="A1087" s="1212"/>
      <c r="B1087" s="1212"/>
      <c r="C1087" s="1752" t="s">
        <v>70</v>
      </c>
      <c r="D1087" s="1212" t="s">
        <v>27</v>
      </c>
      <c r="E1087" s="1223">
        <v>2.5</v>
      </c>
      <c r="F1087" s="1213">
        <f>'MINI SSR 2020-21'!H$5</f>
        <v>460</v>
      </c>
      <c r="G1087" s="1214">
        <f>ROUND(E1087*F1087,2)</f>
        <v>1150</v>
      </c>
      <c r="H1087" s="1205" t="s">
        <v>2308</v>
      </c>
    </row>
    <row r="1088" spans="1:8" hidden="1">
      <c r="A1088" s="1212"/>
      <c r="B1088" s="1212"/>
      <c r="C1088" s="1754" t="s">
        <v>61</v>
      </c>
      <c r="D1088" s="1212"/>
      <c r="E1088" s="1213"/>
      <c r="F1088" s="1213"/>
      <c r="G1088" s="1214"/>
      <c r="H1088" s="1205" t="s">
        <v>2308</v>
      </c>
    </row>
    <row r="1089" spans="1:8" hidden="1">
      <c r="A1089" s="1212"/>
      <c r="B1089" s="1212"/>
      <c r="C1089" s="1752" t="s">
        <v>62</v>
      </c>
      <c r="D1089" s="1212" t="s">
        <v>21</v>
      </c>
      <c r="E1089" s="1223">
        <v>0.26700000000000002</v>
      </c>
      <c r="F1089" s="1213">
        <f>'MINI SSR 2020-21'!$C$30</f>
        <v>566.1</v>
      </c>
      <c r="G1089" s="1214">
        <f>ROUND(E1089*F1089,2)</f>
        <v>151.15</v>
      </c>
      <c r="H1089" s="1205" t="s">
        <v>2308</v>
      </c>
    </row>
    <row r="1090" spans="1:8" hidden="1">
      <c r="A1090" s="1212"/>
      <c r="B1090" s="1212"/>
      <c r="C1090" s="1752" t="s">
        <v>160</v>
      </c>
      <c r="D1090" s="1212" t="s">
        <v>21</v>
      </c>
      <c r="E1090" s="1223">
        <v>0.26700000000000002</v>
      </c>
      <c r="F1090" s="1213">
        <f>'MINI SSR 2020-21'!$C$31</f>
        <v>223</v>
      </c>
      <c r="G1090" s="1214">
        <f>ROUND(E1090*F1090,2)</f>
        <v>59.54</v>
      </c>
      <c r="H1090" s="1205" t="s">
        <v>2308</v>
      </c>
    </row>
    <row r="1091" spans="1:8" hidden="1">
      <c r="A1091" s="1212"/>
      <c r="B1091" s="1212"/>
      <c r="C1091" s="1752" t="s">
        <v>57</v>
      </c>
      <c r="D1091" s="1212" t="s">
        <v>58</v>
      </c>
      <c r="E1091" s="1213">
        <v>1.2</v>
      </c>
      <c r="F1091" s="1221">
        <f>'MINI SSR 2020-21'!$C$29</f>
        <v>83</v>
      </c>
      <c r="G1091" s="1214">
        <f>ROUND(E1091*F1091,2)</f>
        <v>99.6</v>
      </c>
      <c r="H1091" s="1205" t="s">
        <v>2308</v>
      </c>
    </row>
    <row r="1092" spans="1:8" hidden="1">
      <c r="A1092" s="1212"/>
      <c r="B1092" s="1212"/>
      <c r="C1092" s="1754" t="s">
        <v>71</v>
      </c>
      <c r="D1092" s="1212"/>
      <c r="E1092" s="1212"/>
      <c r="F1092" s="1212"/>
      <c r="G1092" s="1222">
        <f>SUM(G1081:G1091)</f>
        <v>5181.5199999999995</v>
      </c>
      <c r="H1092" s="1205" t="s">
        <v>2308</v>
      </c>
    </row>
    <row r="1093" spans="1:8" hidden="1">
      <c r="A1093" s="1212"/>
      <c r="B1093" s="1212"/>
      <c r="C1093" s="1754"/>
      <c r="D1093" s="1212"/>
      <c r="E1093" s="1218" t="s">
        <v>161</v>
      </c>
      <c r="F1093" s="1218" t="s">
        <v>162</v>
      </c>
      <c r="G1093" s="1217" t="s">
        <v>163</v>
      </c>
      <c r="H1093" s="1205" t="s">
        <v>2308</v>
      </c>
    </row>
    <row r="1094" spans="1:8" hidden="1">
      <c r="A1094" s="1212"/>
      <c r="B1094" s="1212"/>
      <c r="C1094" s="1754" t="s">
        <v>1288</v>
      </c>
      <c r="D1094" s="1212"/>
      <c r="E1094" s="1213">
        <f>G1092</f>
        <v>5181.5199999999995</v>
      </c>
      <c r="F1094" s="1213">
        <f>G1092</f>
        <v>5181.5199999999995</v>
      </c>
      <c r="G1094" s="1215">
        <f>G1092</f>
        <v>5181.5199999999995</v>
      </c>
      <c r="H1094" s="1205" t="s">
        <v>2308</v>
      </c>
    </row>
    <row r="1095" spans="1:8" ht="25.5" hidden="1">
      <c r="A1095" s="1212"/>
      <c r="B1095" s="1212"/>
      <c r="C1095" s="1752" t="s">
        <v>177</v>
      </c>
      <c r="D1095" s="1212"/>
      <c r="E1095" s="1213">
        <f>'MINI SSR 2020-21'!C60</f>
        <v>2085</v>
      </c>
      <c r="F1095" s="1213">
        <f>E1095</f>
        <v>2085</v>
      </c>
      <c r="G1095" s="1224">
        <f>E1095</f>
        <v>2085</v>
      </c>
      <c r="H1095" s="1205" t="s">
        <v>2308</v>
      </c>
    </row>
    <row r="1096" spans="1:8" hidden="1">
      <c r="A1096" s="1212"/>
      <c r="B1096" s="1212"/>
      <c r="C1096" s="1752" t="s">
        <v>178</v>
      </c>
      <c r="D1096" s="1212"/>
      <c r="E1096" s="1213">
        <f>'MINI SSR 2020-21'!D60</f>
        <v>1903</v>
      </c>
      <c r="F1096" s="1213">
        <f>'MINI SSR 2020-21'!E60</f>
        <v>2093</v>
      </c>
      <c r="G1096" s="1213">
        <f>'MINI SSR 2020-21'!F60</f>
        <v>2284</v>
      </c>
      <c r="H1096" s="1205" t="s">
        <v>2308</v>
      </c>
    </row>
    <row r="1097" spans="1:8" ht="25.5" hidden="1">
      <c r="A1097" s="1212"/>
      <c r="B1097" s="1212"/>
      <c r="C1097" s="1752" t="s">
        <v>1286</v>
      </c>
      <c r="D1097" s="1212"/>
      <c r="E1097" s="1212"/>
      <c r="F1097" s="1213">
        <f>ROUND((G1085+G1086+G1087+F1096)*0.1,2)</f>
        <v>334.64</v>
      </c>
      <c r="G1097" s="1215">
        <f>ROUND((G1085+G1086+G1087+G1096)*0.2,2)</f>
        <v>707.47</v>
      </c>
      <c r="H1097" s="1205" t="s">
        <v>2308</v>
      </c>
    </row>
    <row r="1098" spans="1:8" hidden="1">
      <c r="A1098" s="1212"/>
      <c r="B1098" s="1212"/>
      <c r="C1098" s="1754" t="s">
        <v>182</v>
      </c>
      <c r="D1098" s="1212"/>
      <c r="E1098" s="1217">
        <f>SUM(E1094:E1097)</f>
        <v>9169.52</v>
      </c>
      <c r="F1098" s="1217">
        <f>SUM(F1094:F1097)</f>
        <v>9694.16</v>
      </c>
      <c r="G1098" s="1222">
        <f>SUM(G1094:G1097)</f>
        <v>10257.99</v>
      </c>
      <c r="H1098" s="1205" t="s">
        <v>2308</v>
      </c>
    </row>
    <row r="1099" spans="1:8" hidden="1">
      <c r="A1099" s="1212"/>
      <c r="B1099" s="1212"/>
      <c r="C1099" s="1754"/>
      <c r="D1099" s="1212"/>
      <c r="E1099" s="1218" t="s">
        <v>161</v>
      </c>
      <c r="F1099" s="1218" t="s">
        <v>162</v>
      </c>
      <c r="G1099" s="1217" t="s">
        <v>163</v>
      </c>
      <c r="H1099" s="1205" t="s">
        <v>2308</v>
      </c>
    </row>
    <row r="1100" spans="1:8" hidden="1">
      <c r="A1100" s="1212"/>
      <c r="B1100" s="1212"/>
      <c r="C1100" s="1754" t="s">
        <v>1289</v>
      </c>
      <c r="D1100" s="1212"/>
      <c r="E1100" s="1213">
        <f>G1092</f>
        <v>5181.5199999999995</v>
      </c>
      <c r="F1100" s="1213">
        <f>G1092</f>
        <v>5181.5199999999995</v>
      </c>
      <c r="G1100" s="1215">
        <f>G1092</f>
        <v>5181.5199999999995</v>
      </c>
      <c r="H1100" s="1205" t="s">
        <v>2308</v>
      </c>
    </row>
    <row r="1101" spans="1:8" hidden="1">
      <c r="A1101" s="1212"/>
      <c r="B1101" s="1212"/>
      <c r="C1101" s="1754" t="s">
        <v>1269</v>
      </c>
      <c r="D1101" s="1213">
        <v>0.1</v>
      </c>
      <c r="E1101" s="1213">
        <f>ROUND(E1100*0.1,2)</f>
        <v>518.15</v>
      </c>
      <c r="F1101" s="1213">
        <f>ROUND(F1100*0.1,2)</f>
        <v>518.15</v>
      </c>
      <c r="G1101" s="1215">
        <f>ROUND(G1100*0.1,2)</f>
        <v>518.15</v>
      </c>
      <c r="H1101" s="1205" t="s">
        <v>2308</v>
      </c>
    </row>
    <row r="1102" spans="1:8" ht="25.5" hidden="1">
      <c r="A1102" s="1212"/>
      <c r="B1102" s="1212"/>
      <c r="C1102" s="1752" t="s">
        <v>179</v>
      </c>
      <c r="D1102" s="1212"/>
      <c r="E1102" s="1213">
        <f>'MINI SSR 2020-21'!C61</f>
        <v>236</v>
      </c>
      <c r="F1102" s="1213">
        <f>E1102</f>
        <v>236</v>
      </c>
      <c r="G1102" s="1224">
        <f>E1102</f>
        <v>236</v>
      </c>
      <c r="H1102" s="1205" t="s">
        <v>2308</v>
      </c>
    </row>
    <row r="1103" spans="1:8" hidden="1">
      <c r="A1103" s="1212"/>
      <c r="B1103" s="1212"/>
      <c r="C1103" s="1752" t="s">
        <v>180</v>
      </c>
      <c r="D1103" s="1212"/>
      <c r="E1103" s="1213">
        <f>'MINI SSR 2020-21'!D61</f>
        <v>226</v>
      </c>
      <c r="F1103" s="1213">
        <f>'MINI SSR 2020-21'!E61</f>
        <v>237</v>
      </c>
      <c r="G1103" s="1213">
        <f>'MINI SSR 2020-21'!F61</f>
        <v>258</v>
      </c>
      <c r="H1103" s="1205" t="s">
        <v>2308</v>
      </c>
    </row>
    <row r="1104" spans="1:8" ht="25.5" hidden="1">
      <c r="A1104" s="1212"/>
      <c r="B1104" s="1212"/>
      <c r="C1104" s="1752" t="s">
        <v>1290</v>
      </c>
      <c r="D1104" s="1212"/>
      <c r="E1104" s="1212"/>
      <c r="F1104" s="1213">
        <f>ROUND(((G1085+G1086+G1087+F1103)*0.1),2)</f>
        <v>149.04</v>
      </c>
      <c r="G1104" s="1215">
        <f>ROUND(((G1085+G1086+G1087+G1103)*0.2),2)</f>
        <v>302.27</v>
      </c>
      <c r="H1104" s="1205" t="s">
        <v>2308</v>
      </c>
    </row>
    <row r="1105" spans="1:8" hidden="1">
      <c r="A1105" s="1212"/>
      <c r="B1105" s="1212"/>
      <c r="C1105" s="1754" t="s">
        <v>181</v>
      </c>
      <c r="D1105" s="1212"/>
      <c r="E1105" s="1217">
        <f>SUM(E1101:E1104)</f>
        <v>980.15</v>
      </c>
      <c r="F1105" s="1217">
        <f>SUM(F1101:F1104)</f>
        <v>1140.19</v>
      </c>
      <c r="G1105" s="1222">
        <f>SUM(G1101:G1104)</f>
        <v>1314.42</v>
      </c>
      <c r="H1105" s="1205" t="s">
        <v>2308</v>
      </c>
    </row>
    <row r="1106" spans="1:8" hidden="1">
      <c r="A1106" s="1212"/>
      <c r="B1106" s="1212"/>
      <c r="C1106" s="1754"/>
      <c r="D1106" s="1212"/>
      <c r="E1106" s="1218" t="s">
        <v>161</v>
      </c>
      <c r="F1106" s="1218" t="s">
        <v>162</v>
      </c>
      <c r="G1106" s="1217" t="s">
        <v>163</v>
      </c>
      <c r="H1106" s="1205" t="s">
        <v>2308</v>
      </c>
    </row>
    <row r="1107" spans="1:8" hidden="1">
      <c r="A1107" s="1212"/>
      <c r="B1107" s="1212"/>
      <c r="C1107" s="1754" t="s">
        <v>1291</v>
      </c>
      <c r="D1107" s="1212"/>
      <c r="E1107" s="1213">
        <f>G1092</f>
        <v>5181.5199999999995</v>
      </c>
      <c r="F1107" s="1213">
        <f>G1092</f>
        <v>5181.5199999999995</v>
      </c>
      <c r="G1107" s="1215">
        <f>G1092</f>
        <v>5181.5199999999995</v>
      </c>
      <c r="H1107" s="1205" t="s">
        <v>2308</v>
      </c>
    </row>
    <row r="1108" spans="1:8" hidden="1">
      <c r="A1108" s="1212"/>
      <c r="B1108" s="1212"/>
      <c r="C1108" s="1754" t="s">
        <v>1270</v>
      </c>
      <c r="D1108" s="1212">
        <v>0.125</v>
      </c>
      <c r="E1108" s="1213">
        <f>ROUND(E1107*0.125,2)</f>
        <v>647.69000000000005</v>
      </c>
      <c r="F1108" s="1213">
        <f>ROUND(F1107*0.125,2)</f>
        <v>647.69000000000005</v>
      </c>
      <c r="G1108" s="1215">
        <f>ROUND(G1107*0.125,2)</f>
        <v>647.69000000000005</v>
      </c>
      <c r="H1108" s="1205" t="s">
        <v>2308</v>
      </c>
    </row>
    <row r="1109" spans="1:8" ht="25.5" hidden="1">
      <c r="A1109" s="1212"/>
      <c r="B1109" s="1212"/>
      <c r="C1109" s="1752" t="s">
        <v>179</v>
      </c>
      <c r="D1109" s="1212"/>
      <c r="E1109" s="1213">
        <f>'MINI SSR 2020-21'!C61</f>
        <v>236</v>
      </c>
      <c r="F1109" s="1213">
        <f>E1109</f>
        <v>236</v>
      </c>
      <c r="G1109" s="1224">
        <f>E1109</f>
        <v>236</v>
      </c>
      <c r="H1109" s="1205" t="s">
        <v>2308</v>
      </c>
    </row>
    <row r="1110" spans="1:8" hidden="1">
      <c r="A1110" s="1212"/>
      <c r="B1110" s="1212"/>
      <c r="C1110" s="1752" t="s">
        <v>180</v>
      </c>
      <c r="D1110" s="1212"/>
      <c r="E1110" s="1213">
        <f>'MINI SSR 2020-21'!D61</f>
        <v>226</v>
      </c>
      <c r="F1110" s="1213">
        <f>'MINI SSR 2020-21'!E61</f>
        <v>237</v>
      </c>
      <c r="G1110" s="1213">
        <f>'MINI SSR 2020-21'!F61</f>
        <v>258</v>
      </c>
      <c r="H1110" s="1205" t="s">
        <v>2308</v>
      </c>
    </row>
    <row r="1111" spans="1:8" ht="25.5" hidden="1">
      <c r="A1111" s="1212"/>
      <c r="B1111" s="1212"/>
      <c r="C1111" s="1752" t="s">
        <v>1290</v>
      </c>
      <c r="D1111" s="1212"/>
      <c r="E1111" s="1212"/>
      <c r="F1111" s="1213">
        <f>ROUND(((G1085+G1086+G1087+F1110)*0.1),2)</f>
        <v>149.04</v>
      </c>
      <c r="G1111" s="1215">
        <f>ROUND(((G1085+G1086+G1087+G1110)*0.2),2)</f>
        <v>302.27</v>
      </c>
      <c r="H1111" s="1205" t="s">
        <v>2308</v>
      </c>
    </row>
    <row r="1112" spans="1:8" hidden="1">
      <c r="A1112" s="1212"/>
      <c r="B1112" s="1212"/>
      <c r="C1112" s="1754" t="s">
        <v>181</v>
      </c>
      <c r="D1112" s="1212"/>
      <c r="E1112" s="1217">
        <f>SUM(E1108:E1111)</f>
        <v>1109.69</v>
      </c>
      <c r="F1112" s="1217">
        <f>SUM(F1108:F1111)</f>
        <v>1269.73</v>
      </c>
      <c r="G1112" s="1222">
        <f>SUM(G1108:G1111)</f>
        <v>1443.96</v>
      </c>
      <c r="H1112" s="1205" t="s">
        <v>2308</v>
      </c>
    </row>
    <row r="1113" spans="1:8" hidden="1">
      <c r="A1113" s="1212"/>
      <c r="B1113" s="1212"/>
      <c r="C1113" s="1754"/>
      <c r="D1113" s="1212"/>
      <c r="E1113" s="1218" t="s">
        <v>161</v>
      </c>
      <c r="F1113" s="1218" t="s">
        <v>162</v>
      </c>
      <c r="G1113" s="1217" t="s">
        <v>163</v>
      </c>
      <c r="H1113" s="1205" t="s">
        <v>2308</v>
      </c>
    </row>
    <row r="1114" spans="1:8" hidden="1">
      <c r="A1114" s="1212"/>
      <c r="B1114" s="1212"/>
      <c r="C1114" s="1754" t="s">
        <v>1292</v>
      </c>
      <c r="D1114" s="1212"/>
      <c r="E1114" s="1213">
        <f>G1092</f>
        <v>5181.5199999999995</v>
      </c>
      <c r="F1114" s="1213">
        <f>G1092</f>
        <v>5181.5199999999995</v>
      </c>
      <c r="G1114" s="1215">
        <f>G1092</f>
        <v>5181.5199999999995</v>
      </c>
      <c r="H1114" s="1205" t="s">
        <v>2308</v>
      </c>
    </row>
    <row r="1115" spans="1:8" hidden="1">
      <c r="A1115" s="1212"/>
      <c r="B1115" s="1212"/>
      <c r="C1115" s="1754" t="s">
        <v>1270</v>
      </c>
      <c r="D1115" s="1212">
        <v>0.15</v>
      </c>
      <c r="E1115" s="1213">
        <f>ROUND(E1114*0.15,2)</f>
        <v>777.23</v>
      </c>
      <c r="F1115" s="1213">
        <f>ROUND(F1114*0.15,2)</f>
        <v>777.23</v>
      </c>
      <c r="G1115" s="1215">
        <f>ROUND(G1114*0.15,2)</f>
        <v>777.23</v>
      </c>
      <c r="H1115" s="1205" t="s">
        <v>2308</v>
      </c>
    </row>
    <row r="1116" spans="1:8" ht="25.5" hidden="1">
      <c r="A1116" s="1212"/>
      <c r="B1116" s="1212"/>
      <c r="C1116" s="1752" t="s">
        <v>179</v>
      </c>
      <c r="D1116" s="1212"/>
      <c r="E1116" s="1213">
        <f>E1109</f>
        <v>236</v>
      </c>
      <c r="F1116" s="1213">
        <f>E1116</f>
        <v>236</v>
      </c>
      <c r="G1116" s="1224">
        <f>E1116</f>
        <v>236</v>
      </c>
      <c r="H1116" s="1205" t="s">
        <v>2308</v>
      </c>
    </row>
    <row r="1117" spans="1:8" hidden="1">
      <c r="A1117" s="1212"/>
      <c r="B1117" s="1212"/>
      <c r="C1117" s="1752" t="s">
        <v>180</v>
      </c>
      <c r="D1117" s="1212"/>
      <c r="E1117" s="1213">
        <f>E1110</f>
        <v>226</v>
      </c>
      <c r="F1117" s="1213">
        <f>F1110</f>
        <v>237</v>
      </c>
      <c r="G1117" s="1224">
        <f>G1110</f>
        <v>258</v>
      </c>
      <c r="H1117" s="1205" t="s">
        <v>2308</v>
      </c>
    </row>
    <row r="1118" spans="1:8" ht="25.5" hidden="1">
      <c r="A1118" s="1212"/>
      <c r="B1118" s="1212"/>
      <c r="C1118" s="1752" t="s">
        <v>1290</v>
      </c>
      <c r="D1118" s="1212"/>
      <c r="E1118" s="1212"/>
      <c r="F1118" s="1213">
        <f>ROUND(((G1085+G1086+G1087+F1117)*1)*0.1,2)</f>
        <v>149.04</v>
      </c>
      <c r="G1118" s="1215">
        <f>ROUND(((G1085+G1086+G1087+G1117)*1)*0.2,2)</f>
        <v>302.27</v>
      </c>
      <c r="H1118" s="1205" t="s">
        <v>2308</v>
      </c>
    </row>
    <row r="1119" spans="1:8" hidden="1">
      <c r="A1119" s="1212"/>
      <c r="B1119" s="1212"/>
      <c r="C1119" s="1754" t="s">
        <v>181</v>
      </c>
      <c r="D1119" s="1212"/>
      <c r="E1119" s="1217">
        <f>SUM(E1115:E1118)</f>
        <v>1239.23</v>
      </c>
      <c r="F1119" s="1217">
        <f>SUM(F1115:F1118)</f>
        <v>1399.27</v>
      </c>
      <c r="G1119" s="1222">
        <f>SUM(G1115:G1118)</f>
        <v>1573.5</v>
      </c>
      <c r="H1119" s="1205" t="s">
        <v>2308</v>
      </c>
    </row>
    <row r="1120" spans="1:8" hidden="1">
      <c r="A1120" s="1212"/>
      <c r="B1120" s="1212"/>
      <c r="C1120" s="1754" t="s">
        <v>1293</v>
      </c>
      <c r="D1120" s="1212"/>
      <c r="E1120" s="1213">
        <f>G1092</f>
        <v>5181.5199999999995</v>
      </c>
      <c r="F1120" s="1213">
        <f>G1092</f>
        <v>5181.5199999999995</v>
      </c>
      <c r="G1120" s="1215">
        <f>G1092</f>
        <v>5181.5199999999995</v>
      </c>
      <c r="H1120" s="1205" t="s">
        <v>2308</v>
      </c>
    </row>
    <row r="1121" spans="1:8" hidden="1">
      <c r="A1121" s="1212"/>
      <c r="B1121" s="1212"/>
      <c r="C1121" s="1754" t="s">
        <v>1270</v>
      </c>
      <c r="D1121" s="1223">
        <v>0.17499999999999999</v>
      </c>
      <c r="E1121" s="1213">
        <f>ROUND(E1120*0.175,2)</f>
        <v>906.77</v>
      </c>
      <c r="F1121" s="1213">
        <f>ROUND(F1120*0.175,2)</f>
        <v>906.77</v>
      </c>
      <c r="G1121" s="1215">
        <f>ROUND(G1120*0.175,2)</f>
        <v>906.77</v>
      </c>
      <c r="H1121" s="1205" t="s">
        <v>2308</v>
      </c>
    </row>
    <row r="1122" spans="1:8" ht="25.5" hidden="1">
      <c r="A1122" s="1212"/>
      <c r="B1122" s="1212"/>
      <c r="C1122" s="1752" t="s">
        <v>183</v>
      </c>
      <c r="D1122" s="1212"/>
      <c r="E1122" s="1213">
        <f>'MINI SSR 2020-21'!C62</f>
        <v>243</v>
      </c>
      <c r="F1122" s="1213">
        <f>E1122</f>
        <v>243</v>
      </c>
      <c r="G1122" s="1224">
        <f>E1122</f>
        <v>243</v>
      </c>
      <c r="H1122" s="1205" t="s">
        <v>2308</v>
      </c>
    </row>
    <row r="1123" spans="1:8" hidden="1">
      <c r="A1123" s="1212"/>
      <c r="B1123" s="1212"/>
      <c r="C1123" s="1752" t="s">
        <v>184</v>
      </c>
      <c r="D1123" s="1212"/>
      <c r="E1123" s="1213">
        <f>'MINI SSR 2020-21'!D62</f>
        <v>233</v>
      </c>
      <c r="F1123" s="1213">
        <f>'MINI SSR 2020-21'!E62</f>
        <v>244</v>
      </c>
      <c r="G1123" s="1213">
        <f>'MINI SSR 2020-21'!F62</f>
        <v>266</v>
      </c>
      <c r="H1123" s="1205" t="s">
        <v>2308</v>
      </c>
    </row>
    <row r="1124" spans="1:8" ht="25.5" hidden="1">
      <c r="A1124" s="1212"/>
      <c r="B1124" s="1212"/>
      <c r="C1124" s="1752" t="s">
        <v>1290</v>
      </c>
      <c r="D1124" s="1212"/>
      <c r="E1124" s="1212"/>
      <c r="F1124" s="1213">
        <f>ROUND(((G1085+G1086+G1087+F1123)*1)*0.1,2)</f>
        <v>149.74</v>
      </c>
      <c r="G1124" s="1215">
        <f>ROUND(((G1085+G1086+G1087+G1123)*1)*0.2,2)</f>
        <v>303.87</v>
      </c>
      <c r="H1124" s="1205" t="s">
        <v>2308</v>
      </c>
    </row>
    <row r="1125" spans="1:8" hidden="1">
      <c r="A1125" s="1212"/>
      <c r="B1125" s="1212"/>
      <c r="C1125" s="1754" t="s">
        <v>181</v>
      </c>
      <c r="D1125" s="1212"/>
      <c r="E1125" s="1217">
        <f>SUM(E1121:E1124)</f>
        <v>1382.77</v>
      </c>
      <c r="F1125" s="1217">
        <f>SUM(F1121:F1124)</f>
        <v>1543.51</v>
      </c>
      <c r="G1125" s="1222">
        <f>SUM(G1121:G1124)</f>
        <v>1719.6399999999999</v>
      </c>
      <c r="H1125" s="1205" t="s">
        <v>2308</v>
      </c>
    </row>
    <row r="1126" spans="1:8" hidden="1">
      <c r="A1126" s="1212"/>
      <c r="B1126" s="1212"/>
      <c r="C1126" s="1754" t="s">
        <v>1294</v>
      </c>
      <c r="D1126" s="1212"/>
      <c r="E1126" s="1218" t="s">
        <v>161</v>
      </c>
      <c r="F1126" s="1218" t="s">
        <v>162</v>
      </c>
      <c r="G1126" s="1217" t="s">
        <v>163</v>
      </c>
      <c r="H1126" s="1205" t="s">
        <v>2308</v>
      </c>
    </row>
    <row r="1127" spans="1:8" hidden="1">
      <c r="A1127" s="1212"/>
      <c r="B1127" s="1212"/>
      <c r="C1127" s="1752" t="s">
        <v>168</v>
      </c>
      <c r="D1127" s="1212"/>
      <c r="E1127" s="1213">
        <f>G1092</f>
        <v>5181.5199999999995</v>
      </c>
      <c r="F1127" s="1213">
        <f>E1127</f>
        <v>5181.5199999999995</v>
      </c>
      <c r="G1127" s="1214">
        <f>F1127</f>
        <v>5181.5199999999995</v>
      </c>
      <c r="H1127" s="1205" t="s">
        <v>2308</v>
      </c>
    </row>
    <row r="1128" spans="1:8" hidden="1">
      <c r="A1128" s="1212"/>
      <c r="B1128" s="1212"/>
      <c r="C1128" s="1752" t="s">
        <v>169</v>
      </c>
      <c r="D1128" s="1226">
        <v>0.05</v>
      </c>
      <c r="E1128" s="1213">
        <f>ROUND(E1127*D1128,2)</f>
        <v>259.08</v>
      </c>
      <c r="F1128" s="1213">
        <f>ROUND(F1127*D1128,2)</f>
        <v>259.08</v>
      </c>
      <c r="G1128" s="1214">
        <f>ROUND(G1127*D1128,2)</f>
        <v>259.08</v>
      </c>
      <c r="H1128" s="1205" t="s">
        <v>2308</v>
      </c>
    </row>
    <row r="1129" spans="1:8" ht="25.5" hidden="1">
      <c r="A1129" s="1212"/>
      <c r="B1129" s="1212"/>
      <c r="C1129" s="1752" t="s">
        <v>171</v>
      </c>
      <c r="D1129" s="1213" t="s">
        <v>77</v>
      </c>
      <c r="E1129" s="1213">
        <f>'MINI SSR 2020-21'!$C$59</f>
        <v>233</v>
      </c>
      <c r="F1129" s="1213">
        <f>E1129</f>
        <v>233</v>
      </c>
      <c r="G1129" s="1215">
        <f>F1129</f>
        <v>233</v>
      </c>
      <c r="H1129" s="1205" t="s">
        <v>2308</v>
      </c>
    </row>
    <row r="1130" spans="1:8" hidden="1">
      <c r="A1130" s="1212"/>
      <c r="B1130" s="1212"/>
      <c r="C1130" s="1752" t="s">
        <v>172</v>
      </c>
      <c r="D1130" s="1213" t="s">
        <v>77</v>
      </c>
      <c r="E1130" s="1213">
        <f>'MINI SSR 2020-21'!$D$59</f>
        <v>248</v>
      </c>
      <c r="F1130" s="1213">
        <f>'MINI SSR 2020-21'!$E$59</f>
        <v>273</v>
      </c>
      <c r="G1130" s="1213">
        <f>'MINI SSR 2020-21'!$F$59</f>
        <v>298</v>
      </c>
      <c r="H1130" s="1205" t="s">
        <v>2308</v>
      </c>
    </row>
    <row r="1131" spans="1:8" ht="25.5" hidden="1">
      <c r="A1131" s="1212"/>
      <c r="B1131" s="1212"/>
      <c r="C1131" s="1752" t="s">
        <v>170</v>
      </c>
      <c r="D1131" s="1212"/>
      <c r="E1131" s="1212"/>
      <c r="F1131" s="1213">
        <f>ROUND(((G1085+G1086+G1087+F1130))*0.1,2)</f>
        <v>152.63999999999999</v>
      </c>
      <c r="G1131" s="1215">
        <f>ROUND(((G1085+G1086+G1087+G1130))*0.2,2)</f>
        <v>310.27</v>
      </c>
      <c r="H1131" s="1205" t="s">
        <v>2308</v>
      </c>
    </row>
    <row r="1132" spans="1:8" hidden="1">
      <c r="A1132" s="1212"/>
      <c r="B1132" s="1212"/>
      <c r="C1132" s="1754" t="s">
        <v>175</v>
      </c>
      <c r="D1132" s="1212"/>
      <c r="E1132" s="1217">
        <f>SUM(E1128:E1131)</f>
        <v>740.07999999999993</v>
      </c>
      <c r="F1132" s="1217">
        <f>SUM(F1128:F1131)</f>
        <v>917.71999999999991</v>
      </c>
      <c r="G1132" s="1222">
        <f>SUM(G1128:G1131)</f>
        <v>1100.3499999999999</v>
      </c>
      <c r="H1132" s="1205" t="s">
        <v>2308</v>
      </c>
    </row>
    <row r="1133" spans="1:8" hidden="1">
      <c r="A1133" s="1156"/>
      <c r="B1133" s="1218"/>
      <c r="C1133" s="1754" t="s">
        <v>173</v>
      </c>
      <c r="D1133" s="1212"/>
      <c r="E1133" s="1212"/>
      <c r="F1133" s="1212"/>
      <c r="G1133" s="1215"/>
      <c r="H1133" s="1205" t="s">
        <v>2308</v>
      </c>
    </row>
    <row r="1134" spans="1:8" hidden="1">
      <c r="A1134" s="1212"/>
      <c r="B1134" s="1212"/>
      <c r="C1134" s="1754"/>
      <c r="D1134" s="1212"/>
      <c r="E1134" s="1218" t="s">
        <v>161</v>
      </c>
      <c r="F1134" s="1218" t="s">
        <v>162</v>
      </c>
      <c r="G1134" s="1217" t="s">
        <v>163</v>
      </c>
      <c r="H1134" s="1205" t="s">
        <v>2308</v>
      </c>
    </row>
    <row r="1135" spans="1:8" hidden="1">
      <c r="A1135" s="1212"/>
      <c r="B1135" s="1212"/>
      <c r="C1135" s="1752" t="s">
        <v>174</v>
      </c>
      <c r="D1135" s="1226"/>
      <c r="E1135" s="1213">
        <f>E1127</f>
        <v>5181.5199999999995</v>
      </c>
      <c r="F1135" s="1213">
        <f>F1127</f>
        <v>5181.5199999999995</v>
      </c>
      <c r="G1135" s="1215">
        <f>G1127</f>
        <v>5181.5199999999995</v>
      </c>
      <c r="H1135" s="1205" t="s">
        <v>2308</v>
      </c>
    </row>
    <row r="1136" spans="1:8" hidden="1">
      <c r="A1136" s="1212"/>
      <c r="B1136" s="1212"/>
      <c r="C1136" s="1752" t="s">
        <v>1271</v>
      </c>
      <c r="D1136" s="1226">
        <v>3.7499999999999999E-2</v>
      </c>
      <c r="E1136" s="1213">
        <f>ROUND(E1135*0.0375,2)</f>
        <v>194.31</v>
      </c>
      <c r="F1136" s="1213">
        <f>ROUND(F1135*0.0375,2)</f>
        <v>194.31</v>
      </c>
      <c r="G1136" s="1215">
        <f>ROUND(G1135*0.0375,2)</f>
        <v>194.31</v>
      </c>
      <c r="H1136" s="1205" t="s">
        <v>2308</v>
      </c>
    </row>
    <row r="1137" spans="1:8" hidden="1">
      <c r="A1137" s="1212"/>
      <c r="B1137" s="1212"/>
      <c r="C1137" s="1752" t="s">
        <v>834</v>
      </c>
      <c r="D1137" s="1213">
        <v>0.6</v>
      </c>
      <c r="E1137" s="1213">
        <f>'MINI SSR 2020-21'!$C$59*D1137</f>
        <v>139.79999999999998</v>
      </c>
      <c r="F1137" s="1213">
        <f>'MINI SSR 2020-21'!$C$59*D1137</f>
        <v>139.79999999999998</v>
      </c>
      <c r="G1137" s="1213">
        <f>'MINI SSR 2020-21'!$C$59*D1137</f>
        <v>139.79999999999998</v>
      </c>
      <c r="H1137" s="1205" t="s">
        <v>2308</v>
      </c>
    </row>
    <row r="1138" spans="1:8" hidden="1">
      <c r="A1138" s="1212"/>
      <c r="B1138" s="1212"/>
      <c r="C1138" s="1752" t="s">
        <v>835</v>
      </c>
      <c r="D1138" s="1213">
        <v>0.6</v>
      </c>
      <c r="E1138" s="1213">
        <f>'MINI SSR 2020-21'!$D$59*D1138</f>
        <v>148.79999999999998</v>
      </c>
      <c r="F1138" s="1213">
        <f>'MINI SSR 2020-21'!$E$59*D1138</f>
        <v>163.79999999999998</v>
      </c>
      <c r="G1138" s="1213">
        <f>'MINI SSR 2020-21'!$F$59*D1138</f>
        <v>178.79999999999998</v>
      </c>
      <c r="H1138" s="1205" t="s">
        <v>2308</v>
      </c>
    </row>
    <row r="1139" spans="1:8" ht="25.5" hidden="1">
      <c r="A1139" s="1212"/>
      <c r="B1139" s="1212"/>
      <c r="C1139" s="1752" t="s">
        <v>170</v>
      </c>
      <c r="D1139" s="1213">
        <v>0.6</v>
      </c>
      <c r="E1139" s="1212"/>
      <c r="F1139" s="1215">
        <f>ROUND(((G1085+G1086+G1087+F1138)*0.6)*0.1,2)</f>
        <v>85.03</v>
      </c>
      <c r="G1139" s="1215">
        <f>ROUND(((G1085+G1086+G1087+G1138)*0.6)*0.2,2)</f>
        <v>171.86</v>
      </c>
      <c r="H1139" s="1205" t="s">
        <v>2308</v>
      </c>
    </row>
    <row r="1140" spans="1:8" hidden="1">
      <c r="A1140" s="1212"/>
      <c r="B1140" s="1212"/>
      <c r="C1140" s="1754" t="s">
        <v>176</v>
      </c>
      <c r="D1140" s="1212"/>
      <c r="E1140" s="1217">
        <f>SUM(E1136:E1139)</f>
        <v>482.90999999999997</v>
      </c>
      <c r="F1140" s="1217">
        <f>SUM(F1136:F1139)</f>
        <v>582.93999999999994</v>
      </c>
      <c r="G1140" s="1222">
        <f>SUM(G1136:G1139)</f>
        <v>684.77</v>
      </c>
      <c r="H1140" s="1205" t="s">
        <v>2308</v>
      </c>
    </row>
    <row r="1141" spans="1:8" ht="191.25" hidden="1">
      <c r="A1141" s="1156">
        <v>17</v>
      </c>
      <c r="B1141" s="1218" t="s">
        <v>78</v>
      </c>
      <c r="C1141" s="1752" t="s">
        <v>1316</v>
      </c>
      <c r="D1141" s="1212"/>
      <c r="E1141" s="1212"/>
      <c r="F1141" s="1212"/>
      <c r="G1141" s="1218"/>
      <c r="H1141" s="1205" t="s">
        <v>2308</v>
      </c>
    </row>
    <row r="1142" spans="1:8" hidden="1">
      <c r="A1142" s="1156"/>
      <c r="B1142" s="1218"/>
      <c r="C1142" s="1754" t="s">
        <v>1211</v>
      </c>
      <c r="D1142" s="1212"/>
      <c r="E1142" s="1212"/>
      <c r="F1142" s="1212"/>
      <c r="G1142" s="1215"/>
      <c r="H1142" s="1205" t="s">
        <v>2308</v>
      </c>
    </row>
    <row r="1143" spans="1:8" hidden="1">
      <c r="A1143" s="1156"/>
      <c r="B1143" s="1218"/>
      <c r="C1143" s="1754" t="s">
        <v>60</v>
      </c>
      <c r="D1143" s="1218"/>
      <c r="E1143" s="1218"/>
      <c r="F1143" s="1218"/>
      <c r="G1143" s="1215"/>
      <c r="H1143" s="1205" t="s">
        <v>2308</v>
      </c>
    </row>
    <row r="1144" spans="1:8" hidden="1">
      <c r="A1144" s="1156"/>
      <c r="B1144" s="1218"/>
      <c r="C1144" s="1752" t="s">
        <v>154</v>
      </c>
      <c r="D1144" s="1212" t="s">
        <v>35</v>
      </c>
      <c r="E1144" s="1213">
        <v>0.8</v>
      </c>
      <c r="F1144" s="1213">
        <f>F954</f>
        <v>1799.05</v>
      </c>
      <c r="G1144" s="1214">
        <f>ROUND(E1144*F1144,2)</f>
        <v>1439.24</v>
      </c>
      <c r="H1144" s="1205" t="s">
        <v>2308</v>
      </c>
    </row>
    <row r="1145" spans="1:8" hidden="1">
      <c r="A1145" s="1156"/>
      <c r="B1145" s="1218"/>
      <c r="C1145" s="1752" t="s">
        <v>112</v>
      </c>
      <c r="D1145" s="1212" t="s">
        <v>35</v>
      </c>
      <c r="E1145" s="1213">
        <v>0.4</v>
      </c>
      <c r="F1145" s="1213">
        <f>'lead 20-21'!L13</f>
        <v>1451.600000000001</v>
      </c>
      <c r="G1145" s="1214">
        <f>ROUND(E1145*F1145,2)</f>
        <v>580.64</v>
      </c>
      <c r="H1145" s="1205" t="s">
        <v>2308</v>
      </c>
    </row>
    <row r="1146" spans="1:8" hidden="1">
      <c r="A1146" s="1212"/>
      <c r="B1146" s="1212"/>
      <c r="C1146" s="1752" t="s">
        <v>33</v>
      </c>
      <c r="D1146" s="1212" t="s">
        <v>4</v>
      </c>
      <c r="E1146" s="1213">
        <f>E1083</f>
        <v>340</v>
      </c>
      <c r="F1146" s="1213">
        <f>'lead 20-21'!L8</f>
        <v>4700</v>
      </c>
      <c r="G1146" s="1214">
        <f>ROUND(E1146*F1146/1000,2)</f>
        <v>1598</v>
      </c>
      <c r="H1146" s="1205" t="s">
        <v>2308</v>
      </c>
    </row>
    <row r="1147" spans="1:8" hidden="1">
      <c r="A1147" s="1212"/>
      <c r="B1147" s="1212"/>
      <c r="C1147" s="1754" t="s">
        <v>68</v>
      </c>
      <c r="D1147" s="1212"/>
      <c r="E1147" s="1213"/>
      <c r="F1147" s="1213"/>
      <c r="G1147" s="1214"/>
      <c r="H1147" s="1205" t="s">
        <v>2308</v>
      </c>
    </row>
    <row r="1148" spans="1:8" hidden="1">
      <c r="A1148" s="1212"/>
      <c r="B1148" s="1212"/>
      <c r="C1148" s="1752" t="s">
        <v>64</v>
      </c>
      <c r="D1148" s="1212" t="s">
        <v>27</v>
      </c>
      <c r="E1148" s="1223">
        <v>6.7000000000000004E-2</v>
      </c>
      <c r="F1148" s="1213">
        <f>'MINI SSR 2020-21'!$H$3</f>
        <v>550</v>
      </c>
      <c r="G1148" s="1214">
        <f>ROUND(E1148*F1148,2)</f>
        <v>36.85</v>
      </c>
      <c r="H1148" s="1205" t="s">
        <v>2308</v>
      </c>
    </row>
    <row r="1149" spans="1:8" hidden="1">
      <c r="A1149" s="1212"/>
      <c r="B1149" s="1212"/>
      <c r="C1149" s="1752" t="s">
        <v>69</v>
      </c>
      <c r="D1149" s="1212" t="s">
        <v>27</v>
      </c>
      <c r="E1149" s="1223">
        <v>0.13300000000000001</v>
      </c>
      <c r="F1149" s="1213">
        <f>'MINI SSR 2020-21'!$H$4</f>
        <v>500</v>
      </c>
      <c r="G1149" s="1214">
        <f>ROUND(E1149*F1149,2)</f>
        <v>66.5</v>
      </c>
      <c r="H1149" s="1205" t="s">
        <v>2308</v>
      </c>
    </row>
    <row r="1150" spans="1:8" hidden="1">
      <c r="A1150" s="1212"/>
      <c r="B1150" s="1212"/>
      <c r="C1150" s="1752" t="s">
        <v>70</v>
      </c>
      <c r="D1150" s="1212" t="s">
        <v>27</v>
      </c>
      <c r="E1150" s="1223">
        <v>2.5</v>
      </c>
      <c r="F1150" s="1213">
        <f>'MINI SSR 2020-21'!H$5</f>
        <v>460</v>
      </c>
      <c r="G1150" s="1214">
        <f>ROUND(E1150*F1150,2)</f>
        <v>1150</v>
      </c>
      <c r="H1150" s="1205" t="s">
        <v>2308</v>
      </c>
    </row>
    <row r="1151" spans="1:8" hidden="1">
      <c r="A1151" s="1212"/>
      <c r="B1151" s="1212"/>
      <c r="C1151" s="1754" t="s">
        <v>61</v>
      </c>
      <c r="D1151" s="1212"/>
      <c r="E1151" s="1213"/>
      <c r="F1151" s="1213"/>
      <c r="G1151" s="1214"/>
      <c r="H1151" s="1205" t="s">
        <v>2308</v>
      </c>
    </row>
    <row r="1152" spans="1:8" hidden="1">
      <c r="A1152" s="1212"/>
      <c r="B1152" s="1212"/>
      <c r="C1152" s="1752" t="s">
        <v>62</v>
      </c>
      <c r="D1152" s="1212" t="s">
        <v>21</v>
      </c>
      <c r="E1152" s="1223">
        <v>0.26700000000000002</v>
      </c>
      <c r="F1152" s="1213">
        <f>'MINI SSR 2020-21'!$C$30</f>
        <v>566.1</v>
      </c>
      <c r="G1152" s="1214">
        <f>ROUND(E1152*F1152,2)</f>
        <v>151.15</v>
      </c>
      <c r="H1152" s="1205" t="s">
        <v>2308</v>
      </c>
    </row>
    <row r="1153" spans="1:8" hidden="1">
      <c r="A1153" s="1212"/>
      <c r="B1153" s="1212"/>
      <c r="C1153" s="1752" t="s">
        <v>57</v>
      </c>
      <c r="D1153" s="1212" t="s">
        <v>58</v>
      </c>
      <c r="E1153" s="1213">
        <v>1.2</v>
      </c>
      <c r="F1153" s="1221">
        <f>'MINI SSR 2020-21'!$C$29</f>
        <v>83</v>
      </c>
      <c r="G1153" s="1214">
        <f>ROUND(E1153*F1153,2)</f>
        <v>99.6</v>
      </c>
      <c r="H1153" s="1205" t="s">
        <v>2308</v>
      </c>
    </row>
    <row r="1154" spans="1:8" hidden="1">
      <c r="A1154" s="1212"/>
      <c r="B1154" s="1212"/>
      <c r="C1154" s="1754" t="s">
        <v>71</v>
      </c>
      <c r="D1154" s="1212"/>
      <c r="E1154" s="1212"/>
      <c r="F1154" s="1212"/>
      <c r="G1154" s="1222">
        <f>SUM(G1144:G1153)+0.01</f>
        <v>5121.99</v>
      </c>
      <c r="H1154" s="1205" t="s">
        <v>2308</v>
      </c>
    </row>
    <row r="1155" spans="1:8" hidden="1">
      <c r="A1155" s="1212"/>
      <c r="B1155" s="1212"/>
      <c r="C1155" s="1754"/>
      <c r="D1155" s="1212"/>
      <c r="E1155" s="1218" t="s">
        <v>161</v>
      </c>
      <c r="F1155" s="1218" t="s">
        <v>162</v>
      </c>
      <c r="G1155" s="1217" t="s">
        <v>163</v>
      </c>
      <c r="H1155" s="1205" t="s">
        <v>2308</v>
      </c>
    </row>
    <row r="1156" spans="1:8" hidden="1">
      <c r="A1156" s="1212"/>
      <c r="B1156" s="1212"/>
      <c r="C1156" s="1754" t="s">
        <v>1295</v>
      </c>
      <c r="D1156" s="1212"/>
      <c r="E1156" s="1213">
        <f>G1154</f>
        <v>5121.99</v>
      </c>
      <c r="F1156" s="1213">
        <f>G1154</f>
        <v>5121.99</v>
      </c>
      <c r="G1156" s="1215">
        <f>G1154</f>
        <v>5121.99</v>
      </c>
      <c r="H1156" s="1205" t="s">
        <v>2308</v>
      </c>
    </row>
    <row r="1157" spans="1:8" hidden="1">
      <c r="A1157" s="1212"/>
      <c r="B1157" s="1212"/>
      <c r="C1157" s="1754" t="s">
        <v>1272</v>
      </c>
      <c r="D1157" s="1213">
        <v>0.05</v>
      </c>
      <c r="E1157" s="1213">
        <f>ROUND(E1156*D1157,2)</f>
        <v>256.10000000000002</v>
      </c>
      <c r="F1157" s="1213">
        <f>ROUND(F1156*D1157,2)</f>
        <v>256.10000000000002</v>
      </c>
      <c r="G1157" s="1215">
        <f>ROUND(G1156*D1157,2)</f>
        <v>256.10000000000002</v>
      </c>
      <c r="H1157" s="1205" t="s">
        <v>2308</v>
      </c>
    </row>
    <row r="1158" spans="1:8" ht="25.5" hidden="1">
      <c r="A1158" s="1212"/>
      <c r="B1158" s="1212"/>
      <c r="C1158" s="1752" t="s">
        <v>1212</v>
      </c>
      <c r="D1158" s="1212"/>
      <c r="E1158" s="1213">
        <f>E1102*50%</f>
        <v>118</v>
      </c>
      <c r="F1158" s="1213">
        <f>E1158</f>
        <v>118</v>
      </c>
      <c r="G1158" s="1224">
        <f>E1158</f>
        <v>118</v>
      </c>
      <c r="H1158" s="1205" t="s">
        <v>2308</v>
      </c>
    </row>
    <row r="1159" spans="1:8" ht="25.5" hidden="1">
      <c r="A1159" s="1212"/>
      <c r="B1159" s="1212"/>
      <c r="C1159" s="1752" t="s">
        <v>1213</v>
      </c>
      <c r="D1159" s="1212"/>
      <c r="E1159" s="1213">
        <f>E1103*50%</f>
        <v>113</v>
      </c>
      <c r="F1159" s="1213">
        <f>F1103*50%</f>
        <v>118.5</v>
      </c>
      <c r="G1159" s="1215">
        <f>G1103*50%</f>
        <v>129</v>
      </c>
      <c r="H1159" s="1205" t="s">
        <v>2308</v>
      </c>
    </row>
    <row r="1160" spans="1:8" ht="25.5" hidden="1">
      <c r="A1160" s="1212"/>
      <c r="B1160" s="1212"/>
      <c r="C1160" s="1752" t="s">
        <v>1290</v>
      </c>
      <c r="D1160" s="1212"/>
      <c r="E1160" s="1212"/>
      <c r="F1160" s="1213">
        <f>ROUND(((G1148+G1149+G1150+F1159)*0.1),2)</f>
        <v>137.19</v>
      </c>
      <c r="G1160" s="1213">
        <f>ROUND(((G1148+G1149+G1150+G1159)*0.2),2)</f>
        <v>276.47000000000003</v>
      </c>
      <c r="H1160" s="1205" t="s">
        <v>2308</v>
      </c>
    </row>
    <row r="1161" spans="1:8" hidden="1">
      <c r="A1161" s="1212"/>
      <c r="B1161" s="1212"/>
      <c r="C1161" s="1754" t="s">
        <v>181</v>
      </c>
      <c r="D1161" s="1212"/>
      <c r="E1161" s="1217">
        <f>SUM(E1157:E1160)</f>
        <v>487.1</v>
      </c>
      <c r="F1161" s="1217">
        <f>SUM(F1157:F1160)</f>
        <v>629.79</v>
      </c>
      <c r="G1161" s="1222">
        <f>SUM(G1157:G1160)</f>
        <v>779.57</v>
      </c>
      <c r="H1161" s="1205" t="s">
        <v>2308</v>
      </c>
    </row>
    <row r="1162" spans="1:8" hidden="1">
      <c r="A1162" s="1212"/>
      <c r="B1162" s="1212"/>
      <c r="C1162" s="1754"/>
      <c r="D1162" s="1212"/>
      <c r="E1162" s="1218" t="s">
        <v>161</v>
      </c>
      <c r="F1162" s="1218" t="s">
        <v>162</v>
      </c>
      <c r="G1162" s="1217" t="s">
        <v>163</v>
      </c>
      <c r="H1162" s="1205" t="s">
        <v>2308</v>
      </c>
    </row>
    <row r="1163" spans="1:8" hidden="1">
      <c r="A1163" s="1212"/>
      <c r="B1163" s="1212"/>
      <c r="C1163" s="1754" t="s">
        <v>1296</v>
      </c>
      <c r="D1163" s="1212"/>
      <c r="E1163" s="1213">
        <f>G1154</f>
        <v>5121.99</v>
      </c>
      <c r="F1163" s="1213">
        <f>E1163</f>
        <v>5121.99</v>
      </c>
      <c r="G1163" s="1215">
        <f>F1163</f>
        <v>5121.99</v>
      </c>
      <c r="H1163" s="1205" t="s">
        <v>2308</v>
      </c>
    </row>
    <row r="1164" spans="1:8" hidden="1">
      <c r="A1164" s="1212"/>
      <c r="B1164" s="1212"/>
      <c r="C1164" s="1754" t="s">
        <v>1272</v>
      </c>
      <c r="D1164" s="1223">
        <v>2.5000000000000001E-2</v>
      </c>
      <c r="E1164" s="1213">
        <f>ROUND(E1163*D1164,2)</f>
        <v>128.05000000000001</v>
      </c>
      <c r="F1164" s="1213">
        <f>ROUND(F1163*D1164,2)</f>
        <v>128.05000000000001</v>
      </c>
      <c r="G1164" s="1215">
        <f>ROUND(G1163*D1164,2)</f>
        <v>128.05000000000001</v>
      </c>
      <c r="H1164" s="1205" t="s">
        <v>2308</v>
      </c>
    </row>
    <row r="1165" spans="1:8" ht="25.5" hidden="1">
      <c r="A1165" s="1212"/>
      <c r="B1165" s="1212"/>
      <c r="C1165" s="1752" t="s">
        <v>1212</v>
      </c>
      <c r="D1165" s="1212"/>
      <c r="E1165" s="1213">
        <f>E1109*50%</f>
        <v>118</v>
      </c>
      <c r="F1165" s="1213">
        <f>E1165</f>
        <v>118</v>
      </c>
      <c r="G1165" s="1224">
        <f>E1165</f>
        <v>118</v>
      </c>
      <c r="H1165" s="1205" t="s">
        <v>2308</v>
      </c>
    </row>
    <row r="1166" spans="1:8" ht="25.5" hidden="1">
      <c r="A1166" s="1212"/>
      <c r="B1166" s="1212"/>
      <c r="C1166" s="1752" t="s">
        <v>1213</v>
      </c>
      <c r="D1166" s="1212"/>
      <c r="E1166" s="1213">
        <f>E1110*50%</f>
        <v>113</v>
      </c>
      <c r="F1166" s="1213">
        <f>F1110*50%</f>
        <v>118.5</v>
      </c>
      <c r="G1166" s="1215">
        <f>G1110*50%</f>
        <v>129</v>
      </c>
      <c r="H1166" s="1205" t="s">
        <v>2308</v>
      </c>
    </row>
    <row r="1167" spans="1:8" ht="25.5" hidden="1">
      <c r="A1167" s="1212"/>
      <c r="B1167" s="1212"/>
      <c r="C1167" s="1752" t="s">
        <v>1290</v>
      </c>
      <c r="D1167" s="1212"/>
      <c r="E1167" s="1212"/>
      <c r="F1167" s="1213">
        <f>ROUND(((G1148+G1149+G1150+F1166)*0.1),2)</f>
        <v>137.19</v>
      </c>
      <c r="G1167" s="1213">
        <f>ROUND(((G1148+G1149+G1150+G1166)*0.2),2)</f>
        <v>276.47000000000003</v>
      </c>
      <c r="H1167" s="1205" t="s">
        <v>2308</v>
      </c>
    </row>
    <row r="1168" spans="1:8" hidden="1">
      <c r="A1168" s="1212"/>
      <c r="B1168" s="1212"/>
      <c r="C1168" s="1754" t="s">
        <v>181</v>
      </c>
      <c r="D1168" s="1212"/>
      <c r="E1168" s="1217">
        <f>SUM(E1164:E1167)</f>
        <v>359.05</v>
      </c>
      <c r="F1168" s="1217">
        <f>SUM(F1164:F1167)</f>
        <v>501.74</v>
      </c>
      <c r="G1168" s="1222">
        <f>SUM(G1164:G1167)</f>
        <v>651.52</v>
      </c>
      <c r="H1168" s="1205" t="s">
        <v>2308</v>
      </c>
    </row>
    <row r="1169" spans="1:8" ht="127.5" hidden="1">
      <c r="A1169" s="1156">
        <v>18</v>
      </c>
      <c r="B1169" s="1218"/>
      <c r="C1169" s="1752" t="s">
        <v>315</v>
      </c>
      <c r="D1169" s="1212"/>
      <c r="E1169" s="1212"/>
      <c r="F1169" s="1212"/>
      <c r="G1169" s="1218"/>
      <c r="H1169" s="1205" t="s">
        <v>2308</v>
      </c>
    </row>
    <row r="1170" spans="1:8" hidden="1">
      <c r="A1170" s="1156"/>
      <c r="B1170" s="1218"/>
      <c r="C1170" s="1754" t="s">
        <v>314</v>
      </c>
      <c r="D1170" s="1212"/>
      <c r="E1170" s="1212"/>
      <c r="F1170" s="1212"/>
      <c r="G1170" s="1215"/>
      <c r="H1170" s="1205" t="s">
        <v>2308</v>
      </c>
    </row>
    <row r="1171" spans="1:8" hidden="1">
      <c r="A1171" s="1156"/>
      <c r="B1171" s="1218"/>
      <c r="C1171" s="1754" t="s">
        <v>60</v>
      </c>
      <c r="D1171" s="1218"/>
      <c r="E1171" s="1218"/>
      <c r="F1171" s="1218"/>
      <c r="G1171" s="1215"/>
      <c r="H1171" s="1205" t="s">
        <v>2308</v>
      </c>
    </row>
    <row r="1172" spans="1:8" hidden="1">
      <c r="A1172" s="1156"/>
      <c r="B1172" s="1218"/>
      <c r="C1172" s="1752" t="s">
        <v>154</v>
      </c>
      <c r="D1172" s="1212" t="s">
        <v>35</v>
      </c>
      <c r="E1172" s="1213">
        <v>0.8</v>
      </c>
      <c r="F1172" s="1213">
        <f>F1081</f>
        <v>1799.05</v>
      </c>
      <c r="G1172" s="1214">
        <f>ROUND(E1172*F1172,2)</f>
        <v>1439.24</v>
      </c>
      <c r="H1172" s="1205" t="s">
        <v>2308</v>
      </c>
    </row>
    <row r="1173" spans="1:8" hidden="1">
      <c r="A1173" s="1156"/>
      <c r="B1173" s="1218"/>
      <c r="C1173" s="1752" t="s">
        <v>112</v>
      </c>
      <c r="D1173" s="1212" t="s">
        <v>35</v>
      </c>
      <c r="E1173" s="1213">
        <v>0.4</v>
      </c>
      <c r="F1173" s="1213">
        <f>F1082</f>
        <v>1451.600000000001</v>
      </c>
      <c r="G1173" s="1214">
        <f>ROUND(E1173*F1173,2)</f>
        <v>580.64</v>
      </c>
      <c r="H1173" s="1205" t="s">
        <v>2308</v>
      </c>
    </row>
    <row r="1174" spans="1:8" hidden="1">
      <c r="A1174" s="1212"/>
      <c r="B1174" s="1212"/>
      <c r="C1174" s="1752" t="s">
        <v>33</v>
      </c>
      <c r="D1174" s="1212" t="s">
        <v>4</v>
      </c>
      <c r="E1174" s="1213">
        <f>E1146</f>
        <v>340</v>
      </c>
      <c r="F1174" s="1213">
        <f>F1083</f>
        <v>4700</v>
      </c>
      <c r="G1174" s="1214">
        <f>ROUND(E1174*F1174/1000,2)</f>
        <v>1598</v>
      </c>
      <c r="H1174" s="1205" t="s">
        <v>2308</v>
      </c>
    </row>
    <row r="1175" spans="1:8" hidden="1">
      <c r="A1175" s="1212"/>
      <c r="B1175" s="1212"/>
      <c r="C1175" s="1754" t="s">
        <v>68</v>
      </c>
      <c r="D1175" s="1212"/>
      <c r="E1175" s="1213"/>
      <c r="F1175" s="1213"/>
      <c r="G1175" s="1214"/>
      <c r="H1175" s="1205" t="s">
        <v>2308</v>
      </c>
    </row>
    <row r="1176" spans="1:8" hidden="1">
      <c r="A1176" s="1212"/>
      <c r="B1176" s="1212"/>
      <c r="C1176" s="1752" t="s">
        <v>64</v>
      </c>
      <c r="D1176" s="1212" t="s">
        <v>27</v>
      </c>
      <c r="E1176" s="1223">
        <v>0.1</v>
      </c>
      <c r="F1176" s="1213">
        <f>'MINI SSR 2020-21'!$H$3</f>
        <v>550</v>
      </c>
      <c r="G1176" s="1214">
        <f>ROUND(E1176*F1176,2)</f>
        <v>55</v>
      </c>
      <c r="H1176" s="1205" t="s">
        <v>2308</v>
      </c>
    </row>
    <row r="1177" spans="1:8" hidden="1">
      <c r="A1177" s="1212"/>
      <c r="B1177" s="1212"/>
      <c r="C1177" s="1752" t="s">
        <v>69</v>
      </c>
      <c r="D1177" s="1212" t="s">
        <v>27</v>
      </c>
      <c r="E1177" s="1223">
        <v>1.39</v>
      </c>
      <c r="F1177" s="1213">
        <f>'MINI SSR 2020-21'!$H$4</f>
        <v>500</v>
      </c>
      <c r="G1177" s="1214">
        <f>ROUND(E1177*F1177,2)</f>
        <v>695</v>
      </c>
      <c r="H1177" s="1205" t="s">
        <v>2308</v>
      </c>
    </row>
    <row r="1178" spans="1:8" hidden="1">
      <c r="A1178" s="1212"/>
      <c r="B1178" s="1212"/>
      <c r="C1178" s="1754" t="s">
        <v>61</v>
      </c>
      <c r="D1178" s="1212"/>
      <c r="E1178" s="1213"/>
      <c r="F1178" s="1213"/>
      <c r="G1178" s="1214"/>
      <c r="H1178" s="1205" t="s">
        <v>2308</v>
      </c>
    </row>
    <row r="1179" spans="1:8" hidden="1">
      <c r="A1179" s="1212"/>
      <c r="B1179" s="1212"/>
      <c r="C1179" s="1752" t="s">
        <v>62</v>
      </c>
      <c r="D1179" s="1212" t="s">
        <v>21</v>
      </c>
      <c r="E1179" s="1223">
        <v>0.308</v>
      </c>
      <c r="F1179" s="1213">
        <f>'MINI SSR 2020-21'!$C$30</f>
        <v>566.1</v>
      </c>
      <c r="G1179" s="1214">
        <f>ROUND(E1179*F1179,2)</f>
        <v>174.36</v>
      </c>
      <c r="H1179" s="1205" t="s">
        <v>2308</v>
      </c>
    </row>
    <row r="1180" spans="1:8" hidden="1">
      <c r="A1180" s="1212"/>
      <c r="B1180" s="1212"/>
      <c r="C1180" s="1752" t="s">
        <v>160</v>
      </c>
      <c r="D1180" s="1212" t="s">
        <v>21</v>
      </c>
      <c r="E1180" s="1223">
        <v>0.308</v>
      </c>
      <c r="F1180" s="1213">
        <f>'MINI SSR 2020-21'!$C$31</f>
        <v>223</v>
      </c>
      <c r="G1180" s="1214">
        <f>ROUND(E1180*F1180,2)</f>
        <v>68.680000000000007</v>
      </c>
      <c r="H1180" s="1205" t="s">
        <v>2308</v>
      </c>
    </row>
    <row r="1181" spans="1:8" hidden="1">
      <c r="A1181" s="1212"/>
      <c r="B1181" s="1212"/>
      <c r="C1181" s="1752" t="s">
        <v>57</v>
      </c>
      <c r="D1181" s="1212" t="s">
        <v>58</v>
      </c>
      <c r="E1181" s="1213">
        <v>1.2</v>
      </c>
      <c r="F1181" s="1221">
        <f>'MINI SSR 2020-21'!$C$29</f>
        <v>83</v>
      </c>
      <c r="G1181" s="1214">
        <f>ROUND(E1181*F1181,2)</f>
        <v>99.6</v>
      </c>
      <c r="H1181" s="1205" t="s">
        <v>2308</v>
      </c>
    </row>
    <row r="1182" spans="1:8" hidden="1">
      <c r="A1182" s="1212"/>
      <c r="B1182" s="1212"/>
      <c r="C1182" s="1754" t="s">
        <v>71</v>
      </c>
      <c r="D1182" s="1212"/>
      <c r="E1182" s="1212"/>
      <c r="F1182" s="1212"/>
      <c r="G1182" s="1222">
        <f>SUM(G1172:G1181)</f>
        <v>4710.5200000000004</v>
      </c>
      <c r="H1182" s="1205" t="s">
        <v>2308</v>
      </c>
    </row>
    <row r="1183" spans="1:8" hidden="1">
      <c r="A1183" s="1212"/>
      <c r="B1183" s="1212"/>
      <c r="C1183" s="1754"/>
      <c r="D1183" s="1212"/>
      <c r="E1183" s="1218" t="s">
        <v>161</v>
      </c>
      <c r="F1183" s="1218" t="s">
        <v>162</v>
      </c>
      <c r="G1183" s="1218" t="s">
        <v>162</v>
      </c>
      <c r="H1183" s="1205" t="s">
        <v>2308</v>
      </c>
    </row>
    <row r="1184" spans="1:8" hidden="1">
      <c r="A1184" s="1212"/>
      <c r="B1184" s="1212"/>
      <c r="C1184" s="1754" t="s">
        <v>1297</v>
      </c>
      <c r="D1184" s="1212"/>
      <c r="E1184" s="1213">
        <f>G1182</f>
        <v>4710.5200000000004</v>
      </c>
      <c r="F1184" s="1213">
        <f>G1182</f>
        <v>4710.5200000000004</v>
      </c>
      <c r="G1184" s="1213">
        <f>F1184</f>
        <v>4710.5200000000004</v>
      </c>
      <c r="H1184" s="1205" t="s">
        <v>2308</v>
      </c>
    </row>
    <row r="1185" spans="1:8" ht="25.5" hidden="1">
      <c r="A1185" s="1212"/>
      <c r="B1185" s="1212"/>
      <c r="C1185" s="1752" t="s">
        <v>177</v>
      </c>
      <c r="D1185" s="1212"/>
      <c r="E1185" s="1213">
        <f>'MINI SSR 2020-21'!C53</f>
        <v>64</v>
      </c>
      <c r="F1185" s="1213">
        <f>E1185</f>
        <v>64</v>
      </c>
      <c r="G1185" s="1213">
        <f>F1185</f>
        <v>64</v>
      </c>
      <c r="H1185" s="1205" t="s">
        <v>2308</v>
      </c>
    </row>
    <row r="1186" spans="1:8" hidden="1">
      <c r="A1186" s="1212"/>
      <c r="B1186" s="1212"/>
      <c r="C1186" s="1752" t="s">
        <v>178</v>
      </c>
      <c r="D1186" s="1212"/>
      <c r="E1186" s="1213">
        <f>'MINI SSR 2020-21'!D53</f>
        <v>341</v>
      </c>
      <c r="F1186" s="1213">
        <f>E1186</f>
        <v>341</v>
      </c>
      <c r="G1186" s="1213">
        <f>F1186</f>
        <v>341</v>
      </c>
      <c r="H1186" s="1205" t="s">
        <v>2308</v>
      </c>
    </row>
    <row r="1187" spans="1:8" ht="25.5" hidden="1">
      <c r="A1187" s="1212"/>
      <c r="B1187" s="1212"/>
      <c r="C1187" s="1752" t="s">
        <v>1286</v>
      </c>
      <c r="D1187" s="1212"/>
      <c r="E1187" s="1212"/>
      <c r="F1187" s="1213">
        <f>ROUND((G1176+G1177+F1186)*0.1,2)</f>
        <v>109.1</v>
      </c>
      <c r="G1187" s="1213">
        <f>ROUND((G1176+G1177+G1186)*0.2,2)</f>
        <v>218.2</v>
      </c>
      <c r="H1187" s="1205" t="s">
        <v>2308</v>
      </c>
    </row>
    <row r="1188" spans="1:8" hidden="1">
      <c r="A1188" s="1212"/>
      <c r="B1188" s="1212"/>
      <c r="C1188" s="1754" t="s">
        <v>182</v>
      </c>
      <c r="D1188" s="1212"/>
      <c r="E1188" s="1217">
        <f>SUM(E1184:E1187)</f>
        <v>5115.5200000000004</v>
      </c>
      <c r="F1188" s="1217">
        <f>SUM(F1184:F1187)</f>
        <v>5224.6200000000008</v>
      </c>
      <c r="G1188" s="1217">
        <f>SUM(G1184:G1187)</f>
        <v>5333.72</v>
      </c>
      <c r="H1188" s="1205" t="s">
        <v>2308</v>
      </c>
    </row>
    <row r="1189" spans="1:8" ht="127.5" hidden="1">
      <c r="A1189" s="1156">
        <v>17</v>
      </c>
      <c r="B1189" s="1218" t="s">
        <v>1328</v>
      </c>
      <c r="C1189" s="1752" t="s">
        <v>1329</v>
      </c>
      <c r="D1189" s="1212"/>
      <c r="E1189" s="1212"/>
      <c r="F1189" s="1212"/>
      <c r="G1189" s="1218"/>
      <c r="H1189" s="1205" t="s">
        <v>2308</v>
      </c>
    </row>
    <row r="1190" spans="1:8" hidden="1">
      <c r="A1190" s="1156"/>
      <c r="B1190" s="1218"/>
      <c r="C1190" s="1754" t="s">
        <v>36</v>
      </c>
      <c r="D1190" s="1212"/>
      <c r="E1190" s="1212"/>
      <c r="F1190" s="1212"/>
      <c r="G1190" s="1169"/>
      <c r="H1190" s="1205" t="s">
        <v>2308</v>
      </c>
    </row>
    <row r="1191" spans="1:8" hidden="1">
      <c r="A1191" s="1156"/>
      <c r="B1191" s="1212"/>
      <c r="C1191" s="1754" t="s">
        <v>40</v>
      </c>
      <c r="D1191" s="1212"/>
      <c r="E1191" s="1212"/>
      <c r="F1191" s="1212"/>
      <c r="G1191" s="1169"/>
      <c r="H1191" s="1205" t="s">
        <v>2308</v>
      </c>
    </row>
    <row r="1192" spans="1:8" hidden="1">
      <c r="A1192" s="1156"/>
      <c r="B1192" s="1219" t="s">
        <v>18</v>
      </c>
      <c r="C1192" s="1754" t="s">
        <v>22</v>
      </c>
      <c r="D1192" s="1212"/>
      <c r="E1192" s="1212"/>
      <c r="F1192" s="1212"/>
      <c r="G1192" s="1169"/>
      <c r="H1192" s="1205" t="s">
        <v>2308</v>
      </c>
    </row>
    <row r="1193" spans="1:8" hidden="1">
      <c r="A1193" s="1169"/>
      <c r="B1193" s="1169"/>
      <c r="C1193" s="1752" t="s">
        <v>37</v>
      </c>
      <c r="D1193" s="1221" t="s">
        <v>34</v>
      </c>
      <c r="E1193" s="1227">
        <v>1.05</v>
      </c>
      <c r="F1193" s="1221">
        <f>'lead 20-21'!L9</f>
        <v>48380</v>
      </c>
      <c r="G1193" s="1214">
        <f>ROUND(E1193*F1193,2)</f>
        <v>50799</v>
      </c>
      <c r="H1193" s="1205" t="s">
        <v>2308</v>
      </c>
    </row>
    <row r="1194" spans="1:8" hidden="1">
      <c r="A1194" s="1169"/>
      <c r="B1194" s="1169"/>
      <c r="C1194" s="1752" t="s">
        <v>38</v>
      </c>
      <c r="D1194" s="1156" t="s">
        <v>4</v>
      </c>
      <c r="E1194" s="1221">
        <v>6</v>
      </c>
      <c r="F1194" s="1221">
        <f>'MINI SSR 2020-21'!C32</f>
        <v>56</v>
      </c>
      <c r="G1194" s="1214">
        <f>ROUND(E1194*F1194,2)</f>
        <v>336</v>
      </c>
      <c r="H1194" s="1205" t="s">
        <v>2308</v>
      </c>
    </row>
    <row r="1195" spans="1:8" ht="25.5" hidden="1">
      <c r="A1195" s="1169"/>
      <c r="B1195" s="1219" t="s">
        <v>20</v>
      </c>
      <c r="C1195" s="1754" t="s">
        <v>1273</v>
      </c>
      <c r="D1195" s="1156"/>
      <c r="E1195" s="1156"/>
      <c r="F1195" s="1156"/>
      <c r="G1195" s="1169"/>
      <c r="H1195" s="1205" t="s">
        <v>2308</v>
      </c>
    </row>
    <row r="1196" spans="1:8" hidden="1">
      <c r="A1196" s="1169"/>
      <c r="B1196" s="1169"/>
      <c r="C1196" s="1752" t="s">
        <v>120</v>
      </c>
      <c r="D1196" s="1156" t="s">
        <v>27</v>
      </c>
      <c r="E1196" s="1221">
        <v>10</v>
      </c>
      <c r="F1196" s="1221">
        <f>'MINI SSR 2020-21'!H6</f>
        <v>665</v>
      </c>
      <c r="G1196" s="1214">
        <f>ROUND(E1196*F1196,2)</f>
        <v>6650</v>
      </c>
      <c r="H1196" s="1205" t="s">
        <v>2308</v>
      </c>
    </row>
    <row r="1197" spans="1:8" hidden="1">
      <c r="A1197" s="1169"/>
      <c r="B1197" s="1169"/>
      <c r="C1197" s="1752" t="s">
        <v>19</v>
      </c>
      <c r="D1197" s="1156" t="s">
        <v>27</v>
      </c>
      <c r="E1197" s="1221">
        <v>10</v>
      </c>
      <c r="F1197" s="1221">
        <f>'MINI SSR 2020-21'!$H$5</f>
        <v>460</v>
      </c>
      <c r="G1197" s="1214">
        <f>ROUND(E1197*F1197,2)</f>
        <v>4600</v>
      </c>
      <c r="H1197" s="1205" t="s">
        <v>2308</v>
      </c>
    </row>
    <row r="1198" spans="1:8" hidden="1">
      <c r="A1198" s="1169"/>
      <c r="B1198" s="1169"/>
      <c r="C1198" s="1754" t="s">
        <v>39</v>
      </c>
      <c r="D1198" s="1156"/>
      <c r="E1198" s="1221"/>
      <c r="F1198" s="1221"/>
      <c r="G1198" s="1220">
        <f>SUM(G1193:G1197)</f>
        <v>62385</v>
      </c>
      <c r="H1198" s="1205" t="s">
        <v>2308</v>
      </c>
    </row>
    <row r="1199" spans="1:8" hidden="1">
      <c r="A1199" s="1212"/>
      <c r="B1199" s="1212"/>
      <c r="C1199" s="1754"/>
      <c r="D1199" s="1212"/>
      <c r="E1199" s="1218" t="s">
        <v>161</v>
      </c>
      <c r="F1199" s="1217" t="s">
        <v>162</v>
      </c>
      <c r="G1199" s="1217" t="s">
        <v>163</v>
      </c>
      <c r="H1199" s="1205" t="s">
        <v>2308</v>
      </c>
    </row>
    <row r="1200" spans="1:8" hidden="1">
      <c r="A1200" s="1212"/>
      <c r="B1200" s="1212"/>
      <c r="C1200" s="1754" t="s">
        <v>867</v>
      </c>
      <c r="D1200" s="1212"/>
      <c r="E1200" s="1213">
        <f>G1198</f>
        <v>62385</v>
      </c>
      <c r="F1200" s="1215">
        <f>E1200</f>
        <v>62385</v>
      </c>
      <c r="G1200" s="1215">
        <f>F1200</f>
        <v>62385</v>
      </c>
      <c r="H1200" s="1205" t="s">
        <v>2308</v>
      </c>
    </row>
    <row r="1201" spans="1:8" ht="25.5" hidden="1">
      <c r="A1201" s="1212"/>
      <c r="B1201" s="1212"/>
      <c r="C1201" s="1752" t="s">
        <v>1286</v>
      </c>
      <c r="D1201" s="1212"/>
      <c r="E1201" s="1212"/>
      <c r="F1201" s="1215">
        <f>ROUND((G1196+G1197)*10%,2)</f>
        <v>1125</v>
      </c>
      <c r="G1201" s="1215">
        <f>ROUND((G1196+G1197)*20%,2)</f>
        <v>2250</v>
      </c>
      <c r="H1201" s="1205" t="s">
        <v>2308</v>
      </c>
    </row>
    <row r="1202" spans="1:8" hidden="1">
      <c r="A1202" s="1212"/>
      <c r="B1202" s="1212"/>
      <c r="C1202" s="1754" t="s">
        <v>894</v>
      </c>
      <c r="D1202" s="1212"/>
      <c r="E1202" s="1217">
        <f>SUM(E1200:E1201)</f>
        <v>62385</v>
      </c>
      <c r="F1202" s="1222">
        <f>SUM(F1200:F1201)</f>
        <v>63510</v>
      </c>
      <c r="G1202" s="1222">
        <f>SUM(G1200:G1201)</f>
        <v>64635</v>
      </c>
      <c r="H1202" s="1205" t="s">
        <v>2308</v>
      </c>
    </row>
    <row r="1203" spans="1:8" s="1232" customFormat="1" ht="204" hidden="1">
      <c r="A1203" s="1228">
        <v>20</v>
      </c>
      <c r="B1203" s="1229" t="s">
        <v>1330</v>
      </c>
      <c r="C1203" s="1229" t="s">
        <v>1331</v>
      </c>
      <c r="D1203" s="1230"/>
      <c r="E1203" s="1230"/>
      <c r="F1203" s="1230"/>
      <c r="G1203" s="1231"/>
      <c r="H1203" s="1205" t="s">
        <v>2308</v>
      </c>
    </row>
    <row r="1204" spans="1:8" s="1232" customFormat="1" hidden="1">
      <c r="A1204" s="1228"/>
      <c r="B1204" s="1233"/>
      <c r="C1204" s="1229" t="s">
        <v>1332</v>
      </c>
      <c r="D1204" s="1228"/>
      <c r="E1204" s="1234"/>
      <c r="F1204" s="1235"/>
      <c r="G1204" s="1231"/>
      <c r="H1204" s="1205" t="s">
        <v>2308</v>
      </c>
    </row>
    <row r="1205" spans="1:8" s="1232" customFormat="1" hidden="1">
      <c r="A1205" s="1228"/>
      <c r="B1205" s="1229"/>
      <c r="C1205" s="1229" t="s">
        <v>1333</v>
      </c>
      <c r="D1205" s="1228"/>
      <c r="E1205" s="1234"/>
      <c r="F1205" s="1235"/>
      <c r="G1205" s="1231"/>
      <c r="H1205" s="1205" t="s">
        <v>2308</v>
      </c>
    </row>
    <row r="1206" spans="1:8" s="1232" customFormat="1" ht="25.5" hidden="1">
      <c r="A1206" s="1228"/>
      <c r="B1206" s="1229"/>
      <c r="C1206" s="1229" t="s">
        <v>1334</v>
      </c>
      <c r="D1206" s="1228" t="s">
        <v>34</v>
      </c>
      <c r="E1206" s="1234">
        <v>1.0249999999999999</v>
      </c>
      <c r="F1206" s="1235">
        <f>'lead 20-21'!L10</f>
        <v>49560</v>
      </c>
      <c r="G1206" s="1231">
        <f>ROUND(F1206*E1206,2)</f>
        <v>50799</v>
      </c>
      <c r="H1206" s="1205" t="s">
        <v>2308</v>
      </c>
    </row>
    <row r="1207" spans="1:8" s="1232" customFormat="1" ht="25.5" hidden="1">
      <c r="A1207" s="1228"/>
      <c r="B1207" s="1229"/>
      <c r="C1207" s="1229" t="s">
        <v>1335</v>
      </c>
      <c r="D1207" s="1228" t="s">
        <v>1336</v>
      </c>
      <c r="E1207" s="1234">
        <v>70</v>
      </c>
      <c r="F1207" s="1235">
        <f>'MINI SSR 2020-21'!C33</f>
        <v>13</v>
      </c>
      <c r="G1207" s="1231">
        <f>ROUND(F1207*E1207,2)</f>
        <v>910</v>
      </c>
      <c r="H1207" s="1205" t="s">
        <v>2308</v>
      </c>
    </row>
    <row r="1208" spans="1:8" s="1232" customFormat="1" ht="25.5" hidden="1">
      <c r="A1208" s="1228"/>
      <c r="B1208" s="1229"/>
      <c r="C1208" s="1229" t="s">
        <v>1337</v>
      </c>
      <c r="D1208" s="1228" t="s">
        <v>90</v>
      </c>
      <c r="E1208" s="1234">
        <v>3</v>
      </c>
      <c r="F1208" s="1235">
        <f>'MINI SSR 2020-21'!C32</f>
        <v>56</v>
      </c>
      <c r="G1208" s="1231">
        <f>ROUND(F1208*E1208,2)</f>
        <v>168</v>
      </c>
      <c r="H1208" s="1205" t="s">
        <v>2308</v>
      </c>
    </row>
    <row r="1209" spans="1:8" s="1232" customFormat="1" ht="25.5" hidden="1">
      <c r="A1209" s="1228"/>
      <c r="B1209" s="1229"/>
      <c r="C1209" s="1229" t="s">
        <v>1338</v>
      </c>
      <c r="D1209" s="1228"/>
      <c r="E1209" s="1234"/>
      <c r="F1209" s="1235"/>
      <c r="G1209" s="1231"/>
      <c r="H1209" s="1205" t="s">
        <v>2308</v>
      </c>
    </row>
    <row r="1210" spans="1:8" s="1232" customFormat="1" hidden="1">
      <c r="A1210" s="1228"/>
      <c r="B1210" s="1229"/>
      <c r="C1210" s="1229" t="s">
        <v>1339</v>
      </c>
      <c r="D1210" s="1228" t="s">
        <v>27</v>
      </c>
      <c r="E1210" s="1234">
        <v>2.5</v>
      </c>
      <c r="F1210" s="1236">
        <f>'MINI SSR 2020-21'!H10</f>
        <v>540</v>
      </c>
      <c r="G1210" s="1231">
        <f>ROUND(F1210*E1210,2)</f>
        <v>1350</v>
      </c>
      <c r="H1210" s="1205" t="s">
        <v>2308</v>
      </c>
    </row>
    <row r="1211" spans="1:8" s="1232" customFormat="1" hidden="1">
      <c r="A1211" s="1228"/>
      <c r="B1211" s="1229"/>
      <c r="C1211" s="1229" t="s">
        <v>1340</v>
      </c>
      <c r="D1211" s="1228" t="s">
        <v>27</v>
      </c>
      <c r="E1211" s="1234">
        <v>10</v>
      </c>
      <c r="F1211" s="1236">
        <f>'MINI SSR 2020-21'!H11</f>
        <v>525</v>
      </c>
      <c r="G1211" s="1231">
        <f>ROUND(F1211*E1211,2)</f>
        <v>5250</v>
      </c>
      <c r="H1211" s="1205" t="s">
        <v>2308</v>
      </c>
    </row>
    <row r="1212" spans="1:8" s="1232" customFormat="1" hidden="1">
      <c r="A1212" s="1228"/>
      <c r="B1212" s="1229"/>
      <c r="C1212" s="1229" t="s">
        <v>1341</v>
      </c>
      <c r="D1212" s="1228" t="s">
        <v>27</v>
      </c>
      <c r="E1212" s="1234">
        <v>10</v>
      </c>
      <c r="F1212" s="1236">
        <f>'MINI SSR 2020-21'!H5</f>
        <v>460</v>
      </c>
      <c r="G1212" s="1231">
        <f>ROUND(F1212*E1212,2)</f>
        <v>4600</v>
      </c>
      <c r="H1212" s="1205" t="s">
        <v>2308</v>
      </c>
    </row>
    <row r="1213" spans="1:8" s="1232" customFormat="1" ht="25.5" hidden="1">
      <c r="A1213" s="1228"/>
      <c r="B1213" s="1229"/>
      <c r="C1213" s="1229" t="s">
        <v>1342</v>
      </c>
      <c r="D1213" s="1228" t="s">
        <v>1343</v>
      </c>
      <c r="E1213" s="1234">
        <v>10</v>
      </c>
      <c r="F1213" s="1236">
        <f>'MINI SSR 2020-21'!C34</f>
        <v>116.3</v>
      </c>
      <c r="G1213" s="1231">
        <f>ROUND(F1213*E1213,2)</f>
        <v>1163</v>
      </c>
      <c r="H1213" s="1205" t="s">
        <v>2308</v>
      </c>
    </row>
    <row r="1214" spans="1:8" s="1232" customFormat="1" hidden="1">
      <c r="A1214" s="1228"/>
      <c r="B1214" s="1229"/>
      <c r="C1214" s="1229" t="s">
        <v>1344</v>
      </c>
      <c r="D1214" s="1228"/>
      <c r="E1214" s="1234"/>
      <c r="F1214" s="1235"/>
      <c r="G1214" s="1237">
        <f>SUM(G1206:G1213)</f>
        <v>64240</v>
      </c>
      <c r="H1214" s="1205" t="s">
        <v>2308</v>
      </c>
    </row>
    <row r="1215" spans="1:8" s="1232" customFormat="1" hidden="1">
      <c r="A1215" s="1228"/>
      <c r="B1215" s="1229"/>
      <c r="C1215" s="1229" t="s">
        <v>1345</v>
      </c>
      <c r="D1215" s="1228"/>
      <c r="E1215" s="1234"/>
      <c r="F1215" s="1235"/>
      <c r="G1215" s="1237">
        <f>ROUND(G1214/1000,2)</f>
        <v>64.239999999999995</v>
      </c>
      <c r="H1215" s="1205" t="s">
        <v>2308</v>
      </c>
    </row>
    <row r="1216" spans="1:8" ht="63.75" hidden="1">
      <c r="A1216" s="1156">
        <v>22</v>
      </c>
      <c r="B1216" s="1218"/>
      <c r="C1216" s="1752" t="s">
        <v>185</v>
      </c>
      <c r="D1216" s="1212"/>
      <c r="E1216" s="1212"/>
      <c r="F1216" s="1212"/>
      <c r="G1216" s="1169"/>
      <c r="H1216" s="1205" t="s">
        <v>2308</v>
      </c>
    </row>
    <row r="1217" spans="1:8" hidden="1">
      <c r="A1217" s="1156"/>
      <c r="B1217" s="1218"/>
      <c r="C1217" s="1754" t="s">
        <v>186</v>
      </c>
      <c r="D1217" s="1212"/>
      <c r="E1217" s="1212"/>
      <c r="F1217" s="1212"/>
      <c r="G1217" s="1169"/>
      <c r="H1217" s="1205" t="s">
        <v>2308</v>
      </c>
    </row>
    <row r="1218" spans="1:8" hidden="1">
      <c r="A1218" s="1156"/>
      <c r="B1218" s="1219" t="s">
        <v>18</v>
      </c>
      <c r="C1218" s="1754" t="s">
        <v>22</v>
      </c>
      <c r="D1218" s="1212"/>
      <c r="E1218" s="1212"/>
      <c r="F1218" s="1212"/>
      <c r="G1218" s="1169"/>
      <c r="H1218" s="1205" t="s">
        <v>2308</v>
      </c>
    </row>
    <row r="1219" spans="1:8" ht="25.5" hidden="1">
      <c r="A1219" s="1169"/>
      <c r="B1219" s="1169"/>
      <c r="C1219" s="1752" t="s">
        <v>187</v>
      </c>
      <c r="D1219" s="1156" t="s">
        <v>4</v>
      </c>
      <c r="E1219" s="1166">
        <v>1.0249999999999999</v>
      </c>
      <c r="F1219" s="1221">
        <f>'lead 20-21'!L10/1000</f>
        <v>49.56</v>
      </c>
      <c r="G1219" s="1214">
        <f>ROUND(E1219*F1219,2)</f>
        <v>50.8</v>
      </c>
      <c r="H1219" s="1205" t="s">
        <v>2308</v>
      </c>
    </row>
    <row r="1220" spans="1:8" hidden="1">
      <c r="A1220" s="1169"/>
      <c r="B1220" s="1219" t="s">
        <v>20</v>
      </c>
      <c r="C1220" s="1752" t="s">
        <v>188</v>
      </c>
      <c r="D1220" s="1156" t="s">
        <v>4</v>
      </c>
      <c r="E1220" s="1221">
        <v>1</v>
      </c>
      <c r="F1220" s="1221">
        <f>'MINI SSR 2020-21'!C35</f>
        <v>27</v>
      </c>
      <c r="G1220" s="1214">
        <f>ROUND(E1220*F1220,2)</f>
        <v>27</v>
      </c>
      <c r="H1220" s="1205" t="s">
        <v>2308</v>
      </c>
    </row>
    <row r="1221" spans="1:8" hidden="1">
      <c r="A1221" s="1169"/>
      <c r="B1221" s="1169"/>
      <c r="C1221" s="1752" t="s">
        <v>189</v>
      </c>
      <c r="D1221" s="1156" t="s">
        <v>27</v>
      </c>
      <c r="E1221" s="1221">
        <v>1</v>
      </c>
      <c r="F1221" s="1221">
        <f>'MINI SSR 2020-21'!C36</f>
        <v>5</v>
      </c>
      <c r="G1221" s="1214">
        <f>ROUND(E1221*F1221,2)</f>
        <v>5</v>
      </c>
      <c r="H1221" s="1205" t="s">
        <v>2308</v>
      </c>
    </row>
    <row r="1222" spans="1:8" hidden="1">
      <c r="A1222" s="1169"/>
      <c r="B1222" s="1169"/>
      <c r="C1222" s="1754" t="s">
        <v>190</v>
      </c>
      <c r="D1222" s="1156"/>
      <c r="E1222" s="1221"/>
      <c r="F1222" s="1221"/>
      <c r="G1222" s="1220">
        <f>SUM(G1219:G1221)</f>
        <v>82.8</v>
      </c>
      <c r="H1222" s="1205" t="s">
        <v>2308</v>
      </c>
    </row>
    <row r="1223" spans="1:8" ht="114.75" hidden="1">
      <c r="A1223" s="1156">
        <v>21</v>
      </c>
      <c r="B1223" s="1218"/>
      <c r="C1223" s="1752" t="s">
        <v>969</v>
      </c>
      <c r="D1223" s="1212"/>
      <c r="E1223" s="1212"/>
      <c r="F1223" s="1212"/>
      <c r="G1223" s="1169"/>
      <c r="H1223" s="1205" t="s">
        <v>2308</v>
      </c>
    </row>
    <row r="1224" spans="1:8" hidden="1">
      <c r="A1224" s="1156"/>
      <c r="B1224" s="1219" t="s">
        <v>18</v>
      </c>
      <c r="C1224" s="1754" t="s">
        <v>22</v>
      </c>
      <c r="D1224" s="1212"/>
      <c r="E1224" s="1212"/>
      <c r="F1224" s="1212"/>
      <c r="G1224" s="1169"/>
      <c r="H1224" s="1205" t="s">
        <v>2308</v>
      </c>
    </row>
    <row r="1225" spans="1:8" hidden="1">
      <c r="A1225" s="1169"/>
      <c r="B1225" s="1169"/>
      <c r="C1225" s="1752" t="s">
        <v>934</v>
      </c>
      <c r="D1225" s="1156" t="s">
        <v>4</v>
      </c>
      <c r="E1225" s="1166">
        <v>43.51</v>
      </c>
      <c r="F1225" s="1221">
        <f>'lead 20-21'!L10/1000</f>
        <v>49.56</v>
      </c>
      <c r="G1225" s="1214">
        <f>ROUND(E1225*F1225,2)</f>
        <v>2156.36</v>
      </c>
      <c r="H1225" s="1205" t="s">
        <v>2308</v>
      </c>
    </row>
    <row r="1226" spans="1:8" hidden="1">
      <c r="A1226" s="1169"/>
      <c r="B1226" s="1169"/>
      <c r="C1226" s="1752" t="s">
        <v>935</v>
      </c>
      <c r="D1226" s="1156" t="s">
        <v>4</v>
      </c>
      <c r="E1226" s="1166">
        <v>14.4</v>
      </c>
      <c r="F1226" s="1221">
        <f>'lead 20-21'!L9/1000</f>
        <v>48.38</v>
      </c>
      <c r="G1226" s="1214">
        <f>ROUND(E1226*F1226,2)</f>
        <v>696.67</v>
      </c>
      <c r="H1226" s="1205" t="s">
        <v>2308</v>
      </c>
    </row>
    <row r="1227" spans="1:8" hidden="1">
      <c r="A1227" s="1169"/>
      <c r="B1227" s="1219" t="s">
        <v>20</v>
      </c>
      <c r="C1227" s="1752" t="s">
        <v>188</v>
      </c>
      <c r="D1227" s="1156" t="s">
        <v>4</v>
      </c>
      <c r="E1227" s="1221">
        <f>SUM(E1225:E1226)</f>
        <v>57.91</v>
      </c>
      <c r="F1227" s="1221">
        <f>'MINI SSR 2020-21'!C35</f>
        <v>27</v>
      </c>
      <c r="G1227" s="1214">
        <f>ROUND(E1227*F1227,2)</f>
        <v>1563.57</v>
      </c>
      <c r="H1227" s="1205" t="s">
        <v>2308</v>
      </c>
    </row>
    <row r="1228" spans="1:8" hidden="1">
      <c r="A1228" s="1169"/>
      <c r="B1228" s="1169"/>
      <c r="C1228" s="1752" t="s">
        <v>189</v>
      </c>
      <c r="D1228" s="1156" t="s">
        <v>27</v>
      </c>
      <c r="E1228" s="1221">
        <f>E1227</f>
        <v>57.91</v>
      </c>
      <c r="F1228" s="1221">
        <f>'MINI SSR 2020-21'!C36</f>
        <v>5</v>
      </c>
      <c r="G1228" s="1214">
        <f>ROUND(E1228*F1228,2)</f>
        <v>289.55</v>
      </c>
      <c r="H1228" s="1205" t="s">
        <v>2308</v>
      </c>
    </row>
    <row r="1229" spans="1:8" hidden="1">
      <c r="A1229" s="1169"/>
      <c r="B1229" s="1169"/>
      <c r="C1229" s="1754" t="s">
        <v>936</v>
      </c>
      <c r="D1229" s="1156"/>
      <c r="E1229" s="1221"/>
      <c r="F1229" s="1221"/>
      <c r="G1229" s="1220">
        <f>SUM(G1225:G1228)</f>
        <v>4706.1500000000005</v>
      </c>
      <c r="H1229" s="1205" t="s">
        <v>2308</v>
      </c>
    </row>
    <row r="1230" spans="1:8" hidden="1">
      <c r="A1230" s="1169"/>
      <c r="B1230" s="1169"/>
      <c r="C1230" s="1754" t="s">
        <v>121</v>
      </c>
      <c r="D1230" s="1156"/>
      <c r="E1230" s="1221"/>
      <c r="F1230" s="1221"/>
      <c r="G1230" s="1220">
        <f>ROUND(G1229/2.025,2)</f>
        <v>2324.02</v>
      </c>
      <c r="H1230" s="1205" t="s">
        <v>2308</v>
      </c>
    </row>
    <row r="1231" spans="1:8" ht="51" hidden="1">
      <c r="A1231" s="1156">
        <v>23</v>
      </c>
      <c r="B1231" s="1218"/>
      <c r="C1231" s="1752" t="s">
        <v>627</v>
      </c>
      <c r="D1231" s="1212"/>
      <c r="E1231" s="1212"/>
      <c r="F1231" s="1212"/>
      <c r="G1231" s="1169"/>
      <c r="H1231" s="1205" t="s">
        <v>2308</v>
      </c>
    </row>
    <row r="1232" spans="1:8" hidden="1">
      <c r="A1232" s="1156"/>
      <c r="B1232" s="1218"/>
      <c r="C1232" s="1754" t="s">
        <v>186</v>
      </c>
      <c r="D1232" s="1212"/>
      <c r="E1232" s="1212"/>
      <c r="F1232" s="1212"/>
      <c r="G1232" s="1169"/>
      <c r="H1232" s="1205" t="s">
        <v>2308</v>
      </c>
    </row>
    <row r="1233" spans="1:8" hidden="1">
      <c r="A1233" s="1156"/>
      <c r="B1233" s="1219" t="s">
        <v>18</v>
      </c>
      <c r="C1233" s="1754" t="s">
        <v>22</v>
      </c>
      <c r="D1233" s="1212"/>
      <c r="E1233" s="1212"/>
      <c r="F1233" s="1212"/>
      <c r="G1233" s="1169"/>
      <c r="H1233" s="1205" t="s">
        <v>2308</v>
      </c>
    </row>
    <row r="1234" spans="1:8" hidden="1">
      <c r="A1234" s="1169"/>
      <c r="B1234" s="1169"/>
      <c r="C1234" s="1752" t="s">
        <v>628</v>
      </c>
      <c r="D1234" s="1156" t="s">
        <v>4</v>
      </c>
      <c r="E1234" s="1166">
        <v>1.0249999999999999</v>
      </c>
      <c r="F1234" s="1221">
        <f>'MINI SSR 2020-21'!C37</f>
        <v>60</v>
      </c>
      <c r="G1234" s="1214">
        <f>ROUND(E1234*F1234,2)</f>
        <v>61.5</v>
      </c>
      <c r="H1234" s="1205" t="s">
        <v>2308</v>
      </c>
    </row>
    <row r="1235" spans="1:8" hidden="1">
      <c r="A1235" s="1169"/>
      <c r="B1235" s="1219" t="s">
        <v>20</v>
      </c>
      <c r="C1235" s="1752" t="s">
        <v>629</v>
      </c>
      <c r="D1235" s="1156" t="s">
        <v>4</v>
      </c>
      <c r="E1235" s="1221">
        <v>1</v>
      </c>
      <c r="F1235" s="1221">
        <f>'MINI SSR 2020-21'!C38</f>
        <v>24</v>
      </c>
      <c r="G1235" s="1214">
        <f>ROUND(E1235*F1235,2)</f>
        <v>24</v>
      </c>
      <c r="H1235" s="1205" t="s">
        <v>2308</v>
      </c>
    </row>
    <row r="1236" spans="1:8" hidden="1">
      <c r="A1236" s="1169"/>
      <c r="B1236" s="1169"/>
      <c r="C1236" s="1752" t="s">
        <v>630</v>
      </c>
      <c r="D1236" s="1156" t="s">
        <v>27</v>
      </c>
      <c r="E1236" s="1221">
        <v>1</v>
      </c>
      <c r="F1236" s="1221">
        <f>'MINI SSR 2020-21'!C39</f>
        <v>21</v>
      </c>
      <c r="G1236" s="1214">
        <f>ROUND(E1236*F1236,2)</f>
        <v>21</v>
      </c>
      <c r="H1236" s="1205" t="s">
        <v>2308</v>
      </c>
    </row>
    <row r="1237" spans="1:8" hidden="1">
      <c r="A1237" s="1169"/>
      <c r="B1237" s="1169"/>
      <c r="C1237" s="1754" t="s">
        <v>190</v>
      </c>
      <c r="D1237" s="1156"/>
      <c r="E1237" s="1221"/>
      <c r="F1237" s="1221"/>
      <c r="G1237" s="1220">
        <f>SUM(G1234:G1236)</f>
        <v>106.5</v>
      </c>
      <c r="H1237" s="1205" t="s">
        <v>2308</v>
      </c>
    </row>
    <row r="1238" spans="1:8" ht="191.25" hidden="1">
      <c r="A1238" s="1156">
        <v>22</v>
      </c>
      <c r="B1238" s="1218"/>
      <c r="C1238" s="1752" t="s">
        <v>1298</v>
      </c>
      <c r="D1238" s="1212"/>
      <c r="E1238" s="1212"/>
      <c r="F1238" s="1212"/>
      <c r="G1238" s="1169"/>
      <c r="H1238" s="1205" t="s">
        <v>2308</v>
      </c>
    </row>
    <row r="1239" spans="1:8" hidden="1">
      <c r="A1239" s="1156"/>
      <c r="B1239" s="1218"/>
      <c r="C1239" s="1754" t="s">
        <v>919</v>
      </c>
      <c r="D1239" s="1212"/>
      <c r="E1239" s="1212"/>
      <c r="F1239" s="1212"/>
      <c r="G1239" s="1215"/>
      <c r="H1239" s="1205" t="s">
        <v>2308</v>
      </c>
    </row>
    <row r="1240" spans="1:8" hidden="1">
      <c r="A1240" s="1169"/>
      <c r="B1240" s="1169"/>
      <c r="C1240" s="1752" t="s">
        <v>913</v>
      </c>
      <c r="D1240" s="1221">
        <v>4.5999999999999996</v>
      </c>
      <c r="E1240" s="1166">
        <v>2.39</v>
      </c>
      <c r="F1240" s="1221">
        <f>ROUND(D1240*E1240,2)</f>
        <v>10.99</v>
      </c>
      <c r="G1240" s="1214"/>
      <c r="H1240" s="1205" t="s">
        <v>2308</v>
      </c>
    </row>
    <row r="1241" spans="1:8" hidden="1">
      <c r="A1241" s="1169"/>
      <c r="B1241" s="1169"/>
      <c r="C1241" s="1752" t="s">
        <v>914</v>
      </c>
      <c r="D1241" s="1221">
        <v>11.7</v>
      </c>
      <c r="E1241" s="1166">
        <v>0.89</v>
      </c>
      <c r="F1241" s="1221">
        <f>ROUND(D1241*E1241,2)</f>
        <v>10.41</v>
      </c>
      <c r="G1241" s="1214"/>
      <c r="H1241" s="1205" t="s">
        <v>2308</v>
      </c>
    </row>
    <row r="1242" spans="1:8" hidden="1">
      <c r="A1242" s="1169"/>
      <c r="B1242" s="1169"/>
      <c r="C1242" s="1752"/>
      <c r="D1242" s="1156"/>
      <c r="E1242" s="1166"/>
      <c r="F1242" s="1238">
        <f>SUM(F1240:F1241)</f>
        <v>21.4</v>
      </c>
      <c r="G1242" s="1214"/>
      <c r="H1242" s="1205" t="s">
        <v>2308</v>
      </c>
    </row>
    <row r="1243" spans="1:8" hidden="1">
      <c r="A1243" s="1169"/>
      <c r="B1243" s="1169"/>
      <c r="C1243" s="1752" t="s">
        <v>696</v>
      </c>
      <c r="D1243" s="1156" t="s">
        <v>4</v>
      </c>
      <c r="E1243" s="1166">
        <f>F1242</f>
        <v>21.4</v>
      </c>
      <c r="F1243" s="1221">
        <f>'MINI SSR 2020-21'!C40</f>
        <v>331</v>
      </c>
      <c r="G1243" s="1214">
        <f t="shared" ref="G1243:G1248" si="8">ROUND(E1243*F1243,2)</f>
        <v>7083.4</v>
      </c>
      <c r="H1243" s="1205" t="s">
        <v>2308</v>
      </c>
    </row>
    <row r="1244" spans="1:8" ht="25.5" hidden="1">
      <c r="A1244" s="1169"/>
      <c r="B1244" s="1219"/>
      <c r="C1244" s="1752" t="s">
        <v>697</v>
      </c>
      <c r="D1244" s="1156" t="s">
        <v>4</v>
      </c>
      <c r="E1244" s="1221">
        <f>E1243</f>
        <v>21.4</v>
      </c>
      <c r="F1244" s="1221">
        <f>'MINI SSR 2020-21'!C41</f>
        <v>131</v>
      </c>
      <c r="G1244" s="1214">
        <f t="shared" si="8"/>
        <v>2803.4</v>
      </c>
      <c r="H1244" s="1205" t="s">
        <v>2308</v>
      </c>
    </row>
    <row r="1245" spans="1:8" hidden="1">
      <c r="A1245" s="1169"/>
      <c r="B1245" s="1219"/>
      <c r="C1245" s="1752" t="s">
        <v>915</v>
      </c>
      <c r="D1245" s="1156" t="s">
        <v>277</v>
      </c>
      <c r="E1245" s="1221">
        <v>1.3</v>
      </c>
      <c r="F1245" s="1221">
        <f>'MINI SSR 2020-21'!C42</f>
        <v>187</v>
      </c>
      <c r="G1245" s="1214">
        <f t="shared" si="8"/>
        <v>243.1</v>
      </c>
      <c r="H1245" s="1205" t="s">
        <v>2308</v>
      </c>
    </row>
    <row r="1246" spans="1:8" hidden="1">
      <c r="A1246" s="1169"/>
      <c r="B1246" s="1219"/>
      <c r="C1246" s="1752" t="s">
        <v>916</v>
      </c>
      <c r="D1246" s="1156" t="s">
        <v>115</v>
      </c>
      <c r="E1246" s="1221">
        <v>13</v>
      </c>
      <c r="F1246" s="1221">
        <v>80</v>
      </c>
      <c r="G1246" s="1214">
        <f t="shared" si="8"/>
        <v>1040</v>
      </c>
      <c r="H1246" s="1205" t="s">
        <v>2308</v>
      </c>
    </row>
    <row r="1247" spans="1:8" hidden="1">
      <c r="A1247" s="1169"/>
      <c r="B1247" s="1219"/>
      <c r="C1247" s="1752" t="s">
        <v>917</v>
      </c>
      <c r="D1247" s="1156" t="s">
        <v>115</v>
      </c>
      <c r="E1247" s="1221">
        <v>13</v>
      </c>
      <c r="F1247" s="1221">
        <v>30</v>
      </c>
      <c r="G1247" s="1214">
        <f t="shared" si="8"/>
        <v>390</v>
      </c>
      <c r="H1247" s="1205" t="s">
        <v>2308</v>
      </c>
    </row>
    <row r="1248" spans="1:8" hidden="1">
      <c r="A1248" s="1169"/>
      <c r="B1248" s="1219"/>
      <c r="C1248" s="1752" t="s">
        <v>918</v>
      </c>
      <c r="D1248" s="1156" t="s">
        <v>115</v>
      </c>
      <c r="E1248" s="1221">
        <v>13</v>
      </c>
      <c r="F1248" s="1221">
        <v>15</v>
      </c>
      <c r="G1248" s="1214">
        <f t="shared" si="8"/>
        <v>195</v>
      </c>
      <c r="H1248" s="1205" t="s">
        <v>2308</v>
      </c>
    </row>
    <row r="1249" spans="1:8" hidden="1">
      <c r="A1249" s="1169"/>
      <c r="B1249" s="1219"/>
      <c r="C1249" s="1752" t="s">
        <v>920</v>
      </c>
      <c r="D1249" s="1156"/>
      <c r="E1249" s="1221"/>
      <c r="F1249" s="1221"/>
      <c r="G1249" s="1214">
        <f>SUM(G1243:G1248)</f>
        <v>11754.9</v>
      </c>
      <c r="H1249" s="1205" t="s">
        <v>2308</v>
      </c>
    </row>
    <row r="1250" spans="1:8" hidden="1">
      <c r="A1250" s="1169"/>
      <c r="B1250" s="1219"/>
      <c r="C1250" s="1752" t="s">
        <v>377</v>
      </c>
      <c r="D1250" s="1156"/>
      <c r="E1250" s="1221"/>
      <c r="F1250" s="1221"/>
      <c r="G1250" s="1214">
        <f>ROUND(G1249/4.6,2)</f>
        <v>2555.41</v>
      </c>
      <c r="H1250" s="1205" t="s">
        <v>2308</v>
      </c>
    </row>
    <row r="1251" spans="1:8" hidden="1">
      <c r="A1251" s="1169"/>
      <c r="B1251" s="1169"/>
      <c r="C1251" s="1752" t="s">
        <v>921</v>
      </c>
      <c r="D1251" s="1156"/>
      <c r="E1251" s="1221"/>
      <c r="F1251" s="1221"/>
      <c r="G1251" s="1220">
        <f>ROUND(G1250/0.9,2)</f>
        <v>2839.34</v>
      </c>
      <c r="H1251" s="1205" t="s">
        <v>2308</v>
      </c>
    </row>
    <row r="1252" spans="1:8" ht="153" hidden="1">
      <c r="A1252" s="1156">
        <v>25</v>
      </c>
      <c r="B1252" s="1218"/>
      <c r="C1252" s="1752" t="s">
        <v>1299</v>
      </c>
      <c r="D1252" s="1212"/>
      <c r="E1252" s="1212"/>
      <c r="F1252" s="1212"/>
      <c r="G1252" s="1169"/>
      <c r="H1252" s="1205" t="s">
        <v>2308</v>
      </c>
    </row>
    <row r="1253" spans="1:8" hidden="1">
      <c r="A1253" s="1156"/>
      <c r="B1253" s="1218"/>
      <c r="C1253" s="1754" t="s">
        <v>924</v>
      </c>
      <c r="D1253" s="1212"/>
      <c r="E1253" s="1212"/>
      <c r="F1253" s="1212"/>
      <c r="G1253" s="1215"/>
      <c r="H1253" s="1205" t="s">
        <v>2308</v>
      </c>
    </row>
    <row r="1254" spans="1:8" hidden="1">
      <c r="A1254" s="1169"/>
      <c r="B1254" s="1169"/>
      <c r="C1254" s="1752" t="s">
        <v>922</v>
      </c>
      <c r="D1254" s="1221">
        <v>10</v>
      </c>
      <c r="E1254" s="1166">
        <v>2.39</v>
      </c>
      <c r="F1254" s="1221">
        <f>ROUND(D1254*E1254,2)</f>
        <v>23.9</v>
      </c>
      <c r="G1254" s="1214"/>
      <c r="H1254" s="1205" t="s">
        <v>2308</v>
      </c>
    </row>
    <row r="1255" spans="1:8" hidden="1">
      <c r="A1255" s="1169"/>
      <c r="B1255" s="1169"/>
      <c r="C1255" s="1752" t="s">
        <v>923</v>
      </c>
      <c r="D1255" s="1221">
        <v>2.7</v>
      </c>
      <c r="E1255" s="1166">
        <v>0.89</v>
      </c>
      <c r="F1255" s="1221">
        <f>ROUND(D1255*E1255,2)</f>
        <v>2.4</v>
      </c>
      <c r="G1255" s="1214"/>
      <c r="H1255" s="1205" t="s">
        <v>2308</v>
      </c>
    </row>
    <row r="1256" spans="1:8" hidden="1">
      <c r="A1256" s="1169"/>
      <c r="B1256" s="1169"/>
      <c r="C1256" s="1752"/>
      <c r="D1256" s="1156"/>
      <c r="E1256" s="1166"/>
      <c r="F1256" s="1238">
        <f>SUM(F1254:F1255)</f>
        <v>26.299999999999997</v>
      </c>
      <c r="G1256" s="1214"/>
      <c r="H1256" s="1205" t="s">
        <v>2308</v>
      </c>
    </row>
    <row r="1257" spans="1:8" hidden="1">
      <c r="A1257" s="1169"/>
      <c r="B1257" s="1169"/>
      <c r="C1257" s="1752" t="s">
        <v>696</v>
      </c>
      <c r="D1257" s="1156" t="s">
        <v>4</v>
      </c>
      <c r="E1257" s="1166">
        <f>F1256</f>
        <v>26.299999999999997</v>
      </c>
      <c r="F1257" s="1221">
        <f>'MINI SSR 2020-21'!$C$40</f>
        <v>331</v>
      </c>
      <c r="G1257" s="1214">
        <f>ROUND(E1257*F1257,2)</f>
        <v>8705.2999999999993</v>
      </c>
      <c r="H1257" s="1205" t="s">
        <v>2308</v>
      </c>
    </row>
    <row r="1258" spans="1:8" ht="25.5" hidden="1">
      <c r="A1258" s="1169"/>
      <c r="B1258" s="1219"/>
      <c r="C1258" s="1752" t="s">
        <v>697</v>
      </c>
      <c r="D1258" s="1156" t="s">
        <v>4</v>
      </c>
      <c r="E1258" s="1221">
        <f>E1257</f>
        <v>26.299999999999997</v>
      </c>
      <c r="F1258" s="1221">
        <f>'MINI SSR 2020-21'!$C$41</f>
        <v>131</v>
      </c>
      <c r="G1258" s="1214">
        <f>ROUND(E1258*F1258,2)</f>
        <v>3445.3</v>
      </c>
      <c r="H1258" s="1205" t="s">
        <v>2308</v>
      </c>
    </row>
    <row r="1259" spans="1:8" hidden="1">
      <c r="A1259" s="1169"/>
      <c r="B1259" s="1219"/>
      <c r="C1259" s="1752" t="s">
        <v>927</v>
      </c>
      <c r="D1259" s="1156" t="s">
        <v>277</v>
      </c>
      <c r="E1259" s="1221">
        <v>0.9</v>
      </c>
      <c r="F1259" s="1221">
        <f>'MINI SSR 2020-21'!C42</f>
        <v>187</v>
      </c>
      <c r="G1259" s="1214">
        <f>ROUND(E1259*F1259,2)</f>
        <v>168.3</v>
      </c>
      <c r="H1259" s="1205" t="s">
        <v>2308</v>
      </c>
    </row>
    <row r="1260" spans="1:8" hidden="1">
      <c r="A1260" s="1169"/>
      <c r="B1260" s="1219"/>
      <c r="C1260" s="1752" t="s">
        <v>925</v>
      </c>
      <c r="D1260" s="1156" t="s">
        <v>115</v>
      </c>
      <c r="E1260" s="1221">
        <v>9</v>
      </c>
      <c r="F1260" s="1221">
        <v>30</v>
      </c>
      <c r="G1260" s="1214">
        <f>ROUND(E1260*F1260,2)</f>
        <v>270</v>
      </c>
      <c r="H1260" s="1205" t="s">
        <v>2308</v>
      </c>
    </row>
    <row r="1261" spans="1:8" hidden="1">
      <c r="A1261" s="1169"/>
      <c r="B1261" s="1219"/>
      <c r="C1261" s="1752" t="s">
        <v>926</v>
      </c>
      <c r="D1261" s="1156"/>
      <c r="E1261" s="1221"/>
      <c r="F1261" s="1221"/>
      <c r="G1261" s="1214">
        <f>SUM(G1257:G1260)</f>
        <v>12588.899999999998</v>
      </c>
      <c r="H1261" s="1205" t="s">
        <v>2308</v>
      </c>
    </row>
    <row r="1262" spans="1:8" hidden="1">
      <c r="A1262" s="1169"/>
      <c r="B1262" s="1219"/>
      <c r="C1262" s="1752" t="s">
        <v>377</v>
      </c>
      <c r="D1262" s="1156"/>
      <c r="E1262" s="1221"/>
      <c r="F1262" s="1221"/>
      <c r="G1262" s="1220">
        <f>ROUND(G1261/10,2)</f>
        <v>1258.8900000000001</v>
      </c>
      <c r="H1262" s="1205" t="s">
        <v>2308</v>
      </c>
    </row>
    <row r="1263" spans="1:8" ht="51" hidden="1">
      <c r="A1263" s="1156">
        <v>25</v>
      </c>
      <c r="B1263" s="1218"/>
      <c r="C1263" s="1752" t="s">
        <v>2295</v>
      </c>
      <c r="D1263" s="1212"/>
      <c r="E1263" s="1212"/>
      <c r="F1263" s="1212"/>
      <c r="G1263" s="1169"/>
      <c r="H1263" s="1205" t="s">
        <v>2308</v>
      </c>
    </row>
    <row r="1264" spans="1:8" hidden="1">
      <c r="A1264" s="1169"/>
      <c r="B1264" s="1169"/>
      <c r="C1264" s="1752" t="s">
        <v>696</v>
      </c>
      <c r="D1264" s="1156" t="s">
        <v>4</v>
      </c>
      <c r="E1264" s="1166">
        <v>1.0249999999999999</v>
      </c>
      <c r="F1264" s="1221">
        <f>'MINI SSR 2020-21'!$C$40</f>
        <v>331</v>
      </c>
      <c r="G1264" s="1214">
        <f>ROUND(E1264*F1264,2)</f>
        <v>339.28</v>
      </c>
      <c r="H1264" s="1205" t="s">
        <v>2308</v>
      </c>
    </row>
    <row r="1265" spans="1:8" ht="25.5" hidden="1">
      <c r="A1265" s="1169"/>
      <c r="B1265" s="1219"/>
      <c r="C1265" s="1752" t="s">
        <v>697</v>
      </c>
      <c r="D1265" s="1156" t="s">
        <v>4</v>
      </c>
      <c r="E1265" s="1221">
        <v>1</v>
      </c>
      <c r="F1265" s="1221">
        <f>'MINI SSR 2020-21'!$C$41</f>
        <v>131</v>
      </c>
      <c r="G1265" s="1214">
        <f>ROUND(E1265*F1265,2)</f>
        <v>131</v>
      </c>
      <c r="H1265" s="1205" t="s">
        <v>2308</v>
      </c>
    </row>
    <row r="1266" spans="1:8" hidden="1">
      <c r="A1266" s="1169"/>
      <c r="B1266" s="1219"/>
      <c r="C1266" s="1752" t="s">
        <v>2296</v>
      </c>
      <c r="D1266" s="1156"/>
      <c r="E1266" s="1221"/>
      <c r="F1266" s="1221"/>
      <c r="G1266" s="1220">
        <f>SUM(G1264:G1265)</f>
        <v>470.28</v>
      </c>
      <c r="H1266" s="1205" t="s">
        <v>2308</v>
      </c>
    </row>
    <row r="1267" spans="1:8" ht="51" hidden="1">
      <c r="A1267" s="1156">
        <v>26</v>
      </c>
      <c r="B1267" s="1218" t="s">
        <v>1346</v>
      </c>
      <c r="C1267" s="1752" t="s">
        <v>1186</v>
      </c>
      <c r="D1267" s="1212"/>
      <c r="E1267" s="1212"/>
      <c r="F1267" s="1212"/>
      <c r="G1267" s="1218"/>
      <c r="H1267" s="1205" t="s">
        <v>2308</v>
      </c>
    </row>
    <row r="1268" spans="1:8" hidden="1">
      <c r="A1268" s="1156"/>
      <c r="B1268" s="1218"/>
      <c r="C1268" s="1754" t="s">
        <v>84</v>
      </c>
      <c r="D1268" s="1212"/>
      <c r="E1268" s="1212"/>
      <c r="F1268" s="1212"/>
      <c r="G1268" s="1215"/>
      <c r="H1268" s="1205" t="s">
        <v>2308</v>
      </c>
    </row>
    <row r="1269" spans="1:8" hidden="1">
      <c r="A1269" s="1156"/>
      <c r="B1269" s="1218"/>
      <c r="C1269" s="1754" t="s">
        <v>60</v>
      </c>
      <c r="D1269" s="1212"/>
      <c r="E1269" s="1212"/>
      <c r="F1269" s="1212"/>
      <c r="G1269" s="1215"/>
      <c r="H1269" s="1205" t="s">
        <v>2308</v>
      </c>
    </row>
    <row r="1270" spans="1:8" hidden="1">
      <c r="A1270" s="1156"/>
      <c r="B1270" s="1218"/>
      <c r="C1270" s="1752" t="s">
        <v>33</v>
      </c>
      <c r="D1270" s="1212" t="s">
        <v>4</v>
      </c>
      <c r="E1270" s="1213">
        <v>59.4</v>
      </c>
      <c r="F1270" s="1213">
        <f>'lead 20-21'!L8</f>
        <v>4700</v>
      </c>
      <c r="G1270" s="1214">
        <f>ROUND(E1270*F1270/1000,2)</f>
        <v>279.18</v>
      </c>
      <c r="H1270" s="1205" t="s">
        <v>2308</v>
      </c>
    </row>
    <row r="1271" spans="1:8" hidden="1">
      <c r="A1271" s="1156"/>
      <c r="B1271" s="1218"/>
      <c r="C1271" s="1752" t="s">
        <v>1194</v>
      </c>
      <c r="D1271" s="1212" t="s">
        <v>35</v>
      </c>
      <c r="E1271" s="1239">
        <v>1.1000000000000001</v>
      </c>
      <c r="F1271" s="1213">
        <f>'lead 20-21'!L21</f>
        <v>891.79999999999973</v>
      </c>
      <c r="G1271" s="1214">
        <f>ROUND(E1271*F1271,2)</f>
        <v>980.98</v>
      </c>
      <c r="H1271" s="1205" t="s">
        <v>2308</v>
      </c>
    </row>
    <row r="1272" spans="1:8" hidden="1">
      <c r="A1272" s="1156"/>
      <c r="B1272" s="1218"/>
      <c r="C1272" s="1752" t="s">
        <v>1218</v>
      </c>
      <c r="D1272" s="1212" t="s">
        <v>35</v>
      </c>
      <c r="E1272" s="1213">
        <v>0.33</v>
      </c>
      <c r="F1272" s="1213">
        <f>'lead 20-21'!L12</f>
        <v>1546.600000000001</v>
      </c>
      <c r="G1272" s="1214">
        <f>ROUND(E1272*F1272,2)</f>
        <v>510.38</v>
      </c>
      <c r="H1272" s="1205" t="s">
        <v>2308</v>
      </c>
    </row>
    <row r="1273" spans="1:8" hidden="1">
      <c r="A1273" s="1212"/>
      <c r="B1273" s="1212"/>
      <c r="C1273" s="1754" t="s">
        <v>68</v>
      </c>
      <c r="D1273" s="1212"/>
      <c r="E1273" s="1213"/>
      <c r="F1273" s="1213"/>
      <c r="G1273" s="1214"/>
      <c r="H1273" s="1205" t="s">
        <v>2308</v>
      </c>
    </row>
    <row r="1274" spans="1:8" hidden="1">
      <c r="A1274" s="1212"/>
      <c r="B1274" s="1212"/>
      <c r="C1274" s="1752" t="s">
        <v>64</v>
      </c>
      <c r="D1274" s="1212" t="s">
        <v>27</v>
      </c>
      <c r="E1274" s="1213">
        <v>1.2</v>
      </c>
      <c r="F1274" s="1213">
        <f>'MINI SSR 2020-21'!$H$3</f>
        <v>550</v>
      </c>
      <c r="G1274" s="1214">
        <f>ROUND(E1274*F1274,2)</f>
        <v>660</v>
      </c>
      <c r="H1274" s="1205" t="s">
        <v>2308</v>
      </c>
    </row>
    <row r="1275" spans="1:8" hidden="1">
      <c r="A1275" s="1212"/>
      <c r="B1275" s="1212"/>
      <c r="C1275" s="1752" t="s">
        <v>85</v>
      </c>
      <c r="D1275" s="1212" t="s">
        <v>27</v>
      </c>
      <c r="E1275" s="1213">
        <v>2</v>
      </c>
      <c r="F1275" s="1213">
        <f>'MINI SSR 2020-21'!$H$5</f>
        <v>460</v>
      </c>
      <c r="G1275" s="1214">
        <f>ROUND(E1275*F1275,2)</f>
        <v>920</v>
      </c>
      <c r="H1275" s="1205" t="s">
        <v>2308</v>
      </c>
    </row>
    <row r="1276" spans="1:8" hidden="1">
      <c r="A1276" s="1212"/>
      <c r="B1276" s="1212"/>
      <c r="C1276" s="1754" t="s">
        <v>86</v>
      </c>
      <c r="D1276" s="1212"/>
      <c r="E1276" s="1212"/>
      <c r="F1276" s="1212"/>
      <c r="G1276" s="1222">
        <f>SUM(G1270:G1275)</f>
        <v>3350.54</v>
      </c>
      <c r="H1276" s="1205" t="s">
        <v>2308</v>
      </c>
    </row>
    <row r="1277" spans="1:8" ht="142.5" hidden="1">
      <c r="A1277" s="1156">
        <v>18</v>
      </c>
      <c r="B1277" s="1218" t="s">
        <v>83</v>
      </c>
      <c r="C1277" s="1752" t="s">
        <v>1300</v>
      </c>
      <c r="D1277" s="1212"/>
      <c r="E1277" s="1212"/>
      <c r="F1277" s="1212"/>
      <c r="G1277" s="1218"/>
      <c r="H1277" s="1205" t="s">
        <v>2308</v>
      </c>
    </row>
    <row r="1278" spans="1:8" hidden="1">
      <c r="A1278" s="1156"/>
      <c r="B1278" s="1218"/>
      <c r="C1278" s="1754" t="s">
        <v>84</v>
      </c>
      <c r="D1278" s="1212"/>
      <c r="E1278" s="1212"/>
      <c r="F1278" s="1212"/>
      <c r="G1278" s="1215"/>
      <c r="H1278" s="1205" t="s">
        <v>2308</v>
      </c>
    </row>
    <row r="1279" spans="1:8" hidden="1">
      <c r="A1279" s="1156"/>
      <c r="B1279" s="1218"/>
      <c r="C1279" s="1754" t="s">
        <v>60</v>
      </c>
      <c r="D1279" s="1212"/>
      <c r="E1279" s="1212"/>
      <c r="F1279" s="1212"/>
      <c r="G1279" s="1215"/>
      <c r="H1279" s="1205" t="s">
        <v>2308</v>
      </c>
    </row>
    <row r="1280" spans="1:8" hidden="1">
      <c r="A1280" s="1156"/>
      <c r="B1280" s="1218"/>
      <c r="C1280" s="1752" t="s">
        <v>33</v>
      </c>
      <c r="D1280" s="1212" t="s">
        <v>4</v>
      </c>
      <c r="E1280" s="1213">
        <v>48</v>
      </c>
      <c r="F1280" s="1213">
        <f>'lead 20-21'!L8</f>
        <v>4700</v>
      </c>
      <c r="G1280" s="1214">
        <f>ROUND(E1280*F1280/1000,2)</f>
        <v>225.6</v>
      </c>
      <c r="H1280" s="1205" t="s">
        <v>2308</v>
      </c>
    </row>
    <row r="1281" spans="1:8" hidden="1">
      <c r="A1281" s="1156"/>
      <c r="B1281" s="1218"/>
      <c r="C1281" s="1752" t="s">
        <v>1301</v>
      </c>
      <c r="D1281" s="1212" t="s">
        <v>11</v>
      </c>
      <c r="E1281" s="1240">
        <v>512</v>
      </c>
      <c r="F1281" s="1213">
        <f>'lead 20-21'!L15</f>
        <v>7033.7999999999993</v>
      </c>
      <c r="G1281" s="1214">
        <f>ROUND(E1281*F1281/1000,2)</f>
        <v>3601.31</v>
      </c>
      <c r="H1281" s="1205" t="s">
        <v>2308</v>
      </c>
    </row>
    <row r="1282" spans="1:8" hidden="1">
      <c r="A1282" s="1156"/>
      <c r="B1282" s="1218"/>
      <c r="C1282" s="1752" t="s">
        <v>113</v>
      </c>
      <c r="D1282" s="1212" t="s">
        <v>35</v>
      </c>
      <c r="E1282" s="1213">
        <v>0.2</v>
      </c>
      <c r="F1282" s="1213">
        <f>'lead 20-21'!L12</f>
        <v>1546.600000000001</v>
      </c>
      <c r="G1282" s="1214">
        <f>ROUND(E1282*F1282,2)</f>
        <v>309.32</v>
      </c>
      <c r="H1282" s="1205" t="s">
        <v>2308</v>
      </c>
    </row>
    <row r="1283" spans="1:8" hidden="1">
      <c r="A1283" s="1212"/>
      <c r="B1283" s="1212"/>
      <c r="C1283" s="1754" t="s">
        <v>68</v>
      </c>
      <c r="D1283" s="1212"/>
      <c r="E1283" s="1213"/>
      <c r="F1283" s="1213"/>
      <c r="G1283" s="1214"/>
      <c r="H1283" s="1205" t="s">
        <v>2308</v>
      </c>
    </row>
    <row r="1284" spans="1:8" hidden="1">
      <c r="A1284" s="1212"/>
      <c r="B1284" s="1212"/>
      <c r="C1284" s="1752" t="s">
        <v>64</v>
      </c>
      <c r="D1284" s="1212" t="s">
        <v>27</v>
      </c>
      <c r="E1284" s="1213">
        <v>0.24</v>
      </c>
      <c r="F1284" s="1213">
        <f>'MINI SSR 2020-21'!$H$3</f>
        <v>550</v>
      </c>
      <c r="G1284" s="1214">
        <f>ROUND(E1284*F1284,2)</f>
        <v>132</v>
      </c>
      <c r="H1284" s="1205" t="s">
        <v>2308</v>
      </c>
    </row>
    <row r="1285" spans="1:8" hidden="1">
      <c r="A1285" s="1212"/>
      <c r="B1285" s="1212"/>
      <c r="C1285" s="1752" t="s">
        <v>69</v>
      </c>
      <c r="D1285" s="1212" t="s">
        <v>27</v>
      </c>
      <c r="E1285" s="1213">
        <v>0.56000000000000005</v>
      </c>
      <c r="F1285" s="1213">
        <f>'MINI SSR 2020-21'!$H$4</f>
        <v>500</v>
      </c>
      <c r="G1285" s="1214">
        <f>ROUND(E1285*F1285,2)</f>
        <v>280</v>
      </c>
      <c r="H1285" s="1205" t="s">
        <v>2308</v>
      </c>
    </row>
    <row r="1286" spans="1:8" hidden="1">
      <c r="A1286" s="1212"/>
      <c r="B1286" s="1212"/>
      <c r="C1286" s="1752" t="s">
        <v>85</v>
      </c>
      <c r="D1286" s="1212" t="s">
        <v>27</v>
      </c>
      <c r="E1286" s="1213">
        <v>1.89</v>
      </c>
      <c r="F1286" s="1213">
        <f>'MINI SSR 2020-21'!$H$5</f>
        <v>460</v>
      </c>
      <c r="G1286" s="1214">
        <f>ROUND(E1286*F1286,2)</f>
        <v>869.4</v>
      </c>
      <c r="H1286" s="1205" t="s">
        <v>2308</v>
      </c>
    </row>
    <row r="1287" spans="1:8" hidden="1">
      <c r="A1287" s="1212"/>
      <c r="B1287" s="1212"/>
      <c r="C1287" s="1754" t="s">
        <v>86</v>
      </c>
      <c r="D1287" s="1212"/>
      <c r="E1287" s="1212"/>
      <c r="F1287" s="1212"/>
      <c r="G1287" s="1222">
        <f>SUM(G1280:G1286)</f>
        <v>5417.6299999999992</v>
      </c>
      <c r="H1287" s="1205" t="s">
        <v>2308</v>
      </c>
    </row>
    <row r="1288" spans="1:8" hidden="1">
      <c r="A1288" s="1212"/>
      <c r="B1288" s="1212"/>
      <c r="C1288" s="1754"/>
      <c r="D1288" s="1212"/>
      <c r="E1288" s="1218" t="s">
        <v>161</v>
      </c>
      <c r="F1288" s="1218" t="s">
        <v>162</v>
      </c>
      <c r="G1288" s="1217" t="s">
        <v>163</v>
      </c>
      <c r="H1288" s="1205" t="s">
        <v>2308</v>
      </c>
    </row>
    <row r="1289" spans="1:8" hidden="1">
      <c r="A1289" s="1212"/>
      <c r="B1289" s="1212"/>
      <c r="C1289" s="1754" t="s">
        <v>192</v>
      </c>
      <c r="D1289" s="1212"/>
      <c r="E1289" s="1213">
        <f>G1287</f>
        <v>5417.6299999999992</v>
      </c>
      <c r="F1289" s="1213">
        <f>E1289</f>
        <v>5417.6299999999992</v>
      </c>
      <c r="G1289" s="1215">
        <f>F1289</f>
        <v>5417.6299999999992</v>
      </c>
      <c r="H1289" s="1205" t="s">
        <v>2308</v>
      </c>
    </row>
    <row r="1290" spans="1:8" hidden="1">
      <c r="A1290" s="1212"/>
      <c r="B1290" s="1212"/>
      <c r="C1290" s="1752" t="s">
        <v>191</v>
      </c>
      <c r="D1290" s="1223">
        <v>4.3499999999999996</v>
      </c>
      <c r="E1290" s="1212">
        <f>ROUND(D1290*'MINI SSR 2020-21'!E30,2)</f>
        <v>44.89</v>
      </c>
      <c r="F1290" s="1212">
        <f>E1290</f>
        <v>44.89</v>
      </c>
      <c r="G1290" s="1212">
        <f>E1290</f>
        <v>44.89</v>
      </c>
      <c r="H1290" s="1205" t="s">
        <v>2308</v>
      </c>
    </row>
    <row r="1291" spans="1:8" hidden="1">
      <c r="A1291" s="1212"/>
      <c r="B1291" s="1212"/>
      <c r="C1291" s="1752" t="s">
        <v>193</v>
      </c>
      <c r="D1291" s="1223">
        <v>4.3499999999999996</v>
      </c>
      <c r="E1291" s="1212">
        <f>ROUND(D1291*'MINI SSR 2020-21'!F30,2)</f>
        <v>345.65</v>
      </c>
      <c r="F1291" s="1212">
        <f>ROUND(D1291*'MINI SSR 2020-21'!G30,2)</f>
        <v>494.94</v>
      </c>
      <c r="G1291" s="1212">
        <f>ROUND(D1291*'MINI SSR 2020-21'!H30,2)</f>
        <v>644.19000000000005</v>
      </c>
      <c r="H1291" s="1205" t="s">
        <v>2308</v>
      </c>
    </row>
    <row r="1292" spans="1:8" ht="25.5" hidden="1">
      <c r="A1292" s="1212"/>
      <c r="B1292" s="1212"/>
      <c r="C1292" s="1752" t="s">
        <v>1286</v>
      </c>
      <c r="D1292" s="1212"/>
      <c r="E1292" s="1212"/>
      <c r="F1292" s="1213">
        <f>ROUND((G1284+G1285+G1286+F1291)*0.1,2)</f>
        <v>177.63</v>
      </c>
      <c r="G1292" s="1213">
        <f>ROUND((G1284+G1285+G1286+G1291)*0.2,2)</f>
        <v>385.12</v>
      </c>
      <c r="H1292" s="1205" t="s">
        <v>2308</v>
      </c>
    </row>
    <row r="1293" spans="1:8" hidden="1">
      <c r="A1293" s="1212"/>
      <c r="B1293" s="1212"/>
      <c r="C1293" s="1754" t="s">
        <v>86</v>
      </c>
      <c r="D1293" s="1212"/>
      <c r="E1293" s="1217">
        <f>SUM(E1289:E1292)</f>
        <v>5808.1699999999992</v>
      </c>
      <c r="F1293" s="1217">
        <f>SUM(F1289:F1292)</f>
        <v>6135.0899999999992</v>
      </c>
      <c r="G1293" s="1222">
        <f>SUM(G1289:G1292)</f>
        <v>6491.829999999999</v>
      </c>
      <c r="H1293" s="1205" t="s">
        <v>2308</v>
      </c>
    </row>
    <row r="1294" spans="1:8" ht="142.5" hidden="1">
      <c r="A1294" s="1156">
        <v>23</v>
      </c>
      <c r="B1294" s="1218" t="s">
        <v>1347</v>
      </c>
      <c r="C1294" s="1752" t="s">
        <v>1302</v>
      </c>
      <c r="D1294" s="1212"/>
      <c r="E1294" s="1212"/>
      <c r="F1294" s="1212"/>
      <c r="G1294" s="1218"/>
      <c r="H1294" s="1205" t="s">
        <v>2308</v>
      </c>
    </row>
    <row r="1295" spans="1:8" hidden="1">
      <c r="A1295" s="1156"/>
      <c r="B1295" s="1218"/>
      <c r="C1295" s="1754" t="s">
        <v>84</v>
      </c>
      <c r="D1295" s="1212"/>
      <c r="E1295" s="1212"/>
      <c r="F1295" s="1212"/>
      <c r="G1295" s="1215"/>
      <c r="H1295" s="1205" t="s">
        <v>2308</v>
      </c>
    </row>
    <row r="1296" spans="1:8" hidden="1">
      <c r="A1296" s="1156"/>
      <c r="B1296" s="1218"/>
      <c r="C1296" s="1754" t="s">
        <v>60</v>
      </c>
      <c r="D1296" s="1212"/>
      <c r="E1296" s="1212"/>
      <c r="F1296" s="1212"/>
      <c r="G1296" s="1215"/>
      <c r="H1296" s="1205" t="s">
        <v>2308</v>
      </c>
    </row>
    <row r="1297" spans="1:8" hidden="1">
      <c r="A1297" s="1156"/>
      <c r="B1297" s="1218"/>
      <c r="C1297" s="1752" t="s">
        <v>33</v>
      </c>
      <c r="D1297" s="1212" t="s">
        <v>4</v>
      </c>
      <c r="E1297" s="1213">
        <v>36</v>
      </c>
      <c r="F1297" s="1213">
        <f>'lead 20-21'!L8</f>
        <v>4700</v>
      </c>
      <c r="G1297" s="1214">
        <f>ROUND(E1297*F1297/1000,2)</f>
        <v>169.2</v>
      </c>
      <c r="H1297" s="1205" t="s">
        <v>2308</v>
      </c>
    </row>
    <row r="1298" spans="1:8" hidden="1">
      <c r="A1298" s="1156"/>
      <c r="B1298" s="1218"/>
      <c r="C1298" s="1752" t="s">
        <v>1301</v>
      </c>
      <c r="D1298" s="1212" t="s">
        <v>11</v>
      </c>
      <c r="E1298" s="1240">
        <v>512</v>
      </c>
      <c r="F1298" s="1213">
        <f>'lead 20-21'!L15</f>
        <v>7033.7999999999993</v>
      </c>
      <c r="G1298" s="1214">
        <f>ROUND(E1298*F1298/1000,2)</f>
        <v>3601.31</v>
      </c>
      <c r="H1298" s="1205" t="s">
        <v>2308</v>
      </c>
    </row>
    <row r="1299" spans="1:8" hidden="1">
      <c r="A1299" s="1156"/>
      <c r="B1299" s="1218"/>
      <c r="C1299" s="1752" t="s">
        <v>113</v>
      </c>
      <c r="D1299" s="1212" t="s">
        <v>35</v>
      </c>
      <c r="E1299" s="1213">
        <v>0.2</v>
      </c>
      <c r="F1299" s="1213">
        <f>'lead 20-21'!L12</f>
        <v>1546.600000000001</v>
      </c>
      <c r="G1299" s="1214">
        <f>ROUND(E1299*F1299,2)</f>
        <v>309.32</v>
      </c>
      <c r="H1299" s="1205" t="s">
        <v>2308</v>
      </c>
    </row>
    <row r="1300" spans="1:8" hidden="1">
      <c r="A1300" s="1212"/>
      <c r="B1300" s="1212"/>
      <c r="C1300" s="1754" t="s">
        <v>68</v>
      </c>
      <c r="D1300" s="1212"/>
      <c r="E1300" s="1213"/>
      <c r="F1300" s="1213"/>
      <c r="G1300" s="1214"/>
      <c r="H1300" s="1205" t="s">
        <v>2308</v>
      </c>
    </row>
    <row r="1301" spans="1:8" hidden="1">
      <c r="A1301" s="1212"/>
      <c r="B1301" s="1212"/>
      <c r="C1301" s="1752" t="s">
        <v>64</v>
      </c>
      <c r="D1301" s="1212" t="s">
        <v>27</v>
      </c>
      <c r="E1301" s="1213">
        <v>0.24</v>
      </c>
      <c r="F1301" s="1213">
        <f>'MINI SSR 2020-21'!$H$3</f>
        <v>550</v>
      </c>
      <c r="G1301" s="1214">
        <f>ROUND(E1301*F1301,2)</f>
        <v>132</v>
      </c>
      <c r="H1301" s="1205" t="s">
        <v>2308</v>
      </c>
    </row>
    <row r="1302" spans="1:8" hidden="1">
      <c r="A1302" s="1212"/>
      <c r="B1302" s="1212"/>
      <c r="C1302" s="1752" t="s">
        <v>69</v>
      </c>
      <c r="D1302" s="1212" t="s">
        <v>27</v>
      </c>
      <c r="E1302" s="1213">
        <v>0.56000000000000005</v>
      </c>
      <c r="F1302" s="1213">
        <f>'MINI SSR 2020-21'!$H$4</f>
        <v>500</v>
      </c>
      <c r="G1302" s="1214">
        <f>ROUND(E1302*F1302,2)</f>
        <v>280</v>
      </c>
      <c r="H1302" s="1205" t="s">
        <v>2308</v>
      </c>
    </row>
    <row r="1303" spans="1:8" hidden="1">
      <c r="A1303" s="1212"/>
      <c r="B1303" s="1212"/>
      <c r="C1303" s="1752" t="s">
        <v>85</v>
      </c>
      <c r="D1303" s="1212" t="s">
        <v>27</v>
      </c>
      <c r="E1303" s="1213">
        <v>1.89</v>
      </c>
      <c r="F1303" s="1213">
        <f>'MINI SSR 2020-21'!$H$5</f>
        <v>460</v>
      </c>
      <c r="G1303" s="1214">
        <f>ROUND(E1303*F1303,2)</f>
        <v>869.4</v>
      </c>
      <c r="H1303" s="1205" t="s">
        <v>2308</v>
      </c>
    </row>
    <row r="1304" spans="1:8" hidden="1">
      <c r="A1304" s="1212"/>
      <c r="B1304" s="1212"/>
      <c r="C1304" s="1754" t="s">
        <v>86</v>
      </c>
      <c r="D1304" s="1212"/>
      <c r="E1304" s="1212"/>
      <c r="F1304" s="1212"/>
      <c r="G1304" s="1222">
        <f>SUM(G1297:G1303)</f>
        <v>5361.23</v>
      </c>
      <c r="H1304" s="1205" t="s">
        <v>2308</v>
      </c>
    </row>
    <row r="1305" spans="1:8" hidden="1">
      <c r="A1305" s="1212"/>
      <c r="B1305" s="1212"/>
      <c r="C1305" s="1754"/>
      <c r="D1305" s="1212"/>
      <c r="E1305" s="1218" t="s">
        <v>161</v>
      </c>
      <c r="F1305" s="1218" t="s">
        <v>162</v>
      </c>
      <c r="G1305" s="1217" t="s">
        <v>163</v>
      </c>
      <c r="H1305" s="1205" t="s">
        <v>2308</v>
      </c>
    </row>
    <row r="1306" spans="1:8" hidden="1">
      <c r="A1306" s="1212"/>
      <c r="B1306" s="1212"/>
      <c r="C1306" s="1754" t="s">
        <v>192</v>
      </c>
      <c r="D1306" s="1212"/>
      <c r="E1306" s="1213">
        <f>G1304</f>
        <v>5361.23</v>
      </c>
      <c r="F1306" s="1213">
        <f>E1306</f>
        <v>5361.23</v>
      </c>
      <c r="G1306" s="1215">
        <f>F1306</f>
        <v>5361.23</v>
      </c>
      <c r="H1306" s="1205" t="s">
        <v>2308</v>
      </c>
    </row>
    <row r="1307" spans="1:8" hidden="1">
      <c r="A1307" s="1212"/>
      <c r="B1307" s="1212"/>
      <c r="C1307" s="1752" t="s">
        <v>191</v>
      </c>
      <c r="D1307" s="1223">
        <v>4.3499999999999996</v>
      </c>
      <c r="E1307" s="1212">
        <f>ROUND(D1307*'MINI SSR 2020-21'!E30,2)</f>
        <v>44.89</v>
      </c>
      <c r="F1307" s="1212">
        <f>E1307</f>
        <v>44.89</v>
      </c>
      <c r="G1307" s="1212">
        <f>F1307</f>
        <v>44.89</v>
      </c>
      <c r="H1307" s="1205" t="s">
        <v>2308</v>
      </c>
    </row>
    <row r="1308" spans="1:8" hidden="1">
      <c r="A1308" s="1212"/>
      <c r="B1308" s="1212"/>
      <c r="C1308" s="1752" t="s">
        <v>193</v>
      </c>
      <c r="D1308" s="1223">
        <v>4.3499999999999996</v>
      </c>
      <c r="E1308" s="1212">
        <f>ROUND(D1308*'MINI SSR 2020-21'!F30,2)</f>
        <v>345.65</v>
      </c>
      <c r="F1308" s="1212">
        <f>ROUND(D1308*'MINI SSR 2020-21'!G30,2)</f>
        <v>494.94</v>
      </c>
      <c r="G1308" s="1212">
        <f>ROUND(D1308*'MINI SSR 2020-21'!H30,2)</f>
        <v>644.19000000000005</v>
      </c>
      <c r="H1308" s="1205" t="s">
        <v>2308</v>
      </c>
    </row>
    <row r="1309" spans="1:8" ht="25.5" hidden="1">
      <c r="A1309" s="1212"/>
      <c r="B1309" s="1212"/>
      <c r="C1309" s="1752" t="s">
        <v>1286</v>
      </c>
      <c r="D1309" s="1212"/>
      <c r="E1309" s="1212"/>
      <c r="F1309" s="1213">
        <f>ROUND((G1301+G1302+G1303+F1308)*0.1,2)</f>
        <v>177.63</v>
      </c>
      <c r="G1309" s="1213">
        <f>ROUND((G1301+G1302+G1303+G1308)*0.2,2)</f>
        <v>385.12</v>
      </c>
      <c r="H1309" s="1205" t="s">
        <v>2308</v>
      </c>
    </row>
    <row r="1310" spans="1:8" hidden="1">
      <c r="A1310" s="1212"/>
      <c r="B1310" s="1212"/>
      <c r="C1310" s="1754" t="s">
        <v>86</v>
      </c>
      <c r="D1310" s="1212"/>
      <c r="E1310" s="1217">
        <f>SUM(E1306:E1309)</f>
        <v>5751.7699999999995</v>
      </c>
      <c r="F1310" s="1217">
        <f>SUM(F1306:F1309)</f>
        <v>6078.69</v>
      </c>
      <c r="G1310" s="1222">
        <f>SUM(G1306:G1309)</f>
        <v>6435.4299999999994</v>
      </c>
      <c r="H1310" s="1205" t="s">
        <v>2308</v>
      </c>
    </row>
    <row r="1311" spans="1:8" ht="102" hidden="1">
      <c r="A1311" s="1156">
        <v>19</v>
      </c>
      <c r="B1311" s="1218" t="s">
        <v>221</v>
      </c>
      <c r="C1311" s="1752" t="s">
        <v>3636</v>
      </c>
      <c r="D1311" s="1212"/>
      <c r="E1311" s="1212"/>
      <c r="F1311" s="1212"/>
      <c r="G1311" s="1218"/>
      <c r="H1311" s="1205" t="s">
        <v>2308</v>
      </c>
    </row>
    <row r="1312" spans="1:8" hidden="1">
      <c r="A1312" s="1156"/>
      <c r="B1312" s="1218"/>
      <c r="C1312" s="1754" t="s">
        <v>222</v>
      </c>
      <c r="D1312" s="1212"/>
      <c r="E1312" s="1212"/>
      <c r="F1312" s="1212"/>
      <c r="G1312" s="1215"/>
      <c r="H1312" s="1205" t="s">
        <v>2308</v>
      </c>
    </row>
    <row r="1313" spans="1:8" hidden="1">
      <c r="A1313" s="1156"/>
      <c r="B1313" s="1218"/>
      <c r="C1313" s="1754" t="s">
        <v>60</v>
      </c>
      <c r="D1313" s="1212"/>
      <c r="E1313" s="1212"/>
      <c r="F1313" s="1212"/>
      <c r="G1313" s="1215"/>
      <c r="H1313" s="1205" t="s">
        <v>2308</v>
      </c>
    </row>
    <row r="1314" spans="1:8" hidden="1">
      <c r="A1314" s="1156"/>
      <c r="B1314" s="1218"/>
      <c r="C1314" s="1752" t="s">
        <v>33</v>
      </c>
      <c r="D1314" s="1212" t="s">
        <v>4</v>
      </c>
      <c r="E1314" s="1213">
        <v>72</v>
      </c>
      <c r="F1314" s="1213">
        <f>'lead 20-21'!L8</f>
        <v>4700</v>
      </c>
      <c r="G1314" s="1214">
        <f>ROUND(E1314*F1314/1000,2)</f>
        <v>338.4</v>
      </c>
      <c r="H1314" s="1205" t="s">
        <v>2308</v>
      </c>
    </row>
    <row r="1315" spans="1:8" hidden="1">
      <c r="A1315" s="1156"/>
      <c r="B1315" s="1218"/>
      <c r="C1315" s="1752" t="s">
        <v>1303</v>
      </c>
      <c r="D1315" s="1212" t="s">
        <v>11</v>
      </c>
      <c r="E1315" s="1240">
        <v>565</v>
      </c>
      <c r="F1315" s="1213">
        <f>'lead 20-21'!L15</f>
        <v>7033.7999999999993</v>
      </c>
      <c r="G1315" s="1214">
        <f>ROUND(E1315*F1315/1000,2)</f>
        <v>3974.1</v>
      </c>
      <c r="H1315" s="1205" t="s">
        <v>2308</v>
      </c>
    </row>
    <row r="1316" spans="1:8" hidden="1">
      <c r="A1316" s="1156"/>
      <c r="B1316" s="1218"/>
      <c r="C1316" s="1752" t="s">
        <v>113</v>
      </c>
      <c r="D1316" s="1212" t="s">
        <v>35</v>
      </c>
      <c r="E1316" s="1213">
        <v>0.22</v>
      </c>
      <c r="F1316" s="1213">
        <f>'lead 20-21'!L12</f>
        <v>1546.600000000001</v>
      </c>
      <c r="G1316" s="1214">
        <f>ROUND(E1316*F1316,2)</f>
        <v>340.25</v>
      </c>
      <c r="H1316" s="1205" t="s">
        <v>2308</v>
      </c>
    </row>
    <row r="1317" spans="1:8" hidden="1">
      <c r="A1317" s="1212"/>
      <c r="B1317" s="1212"/>
      <c r="C1317" s="1754" t="s">
        <v>68</v>
      </c>
      <c r="D1317" s="1212"/>
      <c r="E1317" s="1213"/>
      <c r="F1317" s="1213"/>
      <c r="G1317" s="1214"/>
      <c r="H1317" s="1205" t="s">
        <v>2308</v>
      </c>
    </row>
    <row r="1318" spans="1:8" hidden="1">
      <c r="A1318" s="1212"/>
      <c r="B1318" s="1212"/>
      <c r="C1318" s="1752" t="s">
        <v>64</v>
      </c>
      <c r="D1318" s="1212" t="s">
        <v>27</v>
      </c>
      <c r="E1318" s="1213">
        <v>0.6</v>
      </c>
      <c r="F1318" s="1213">
        <f>'MINI SSR 2020-21'!$H$3</f>
        <v>550</v>
      </c>
      <c r="G1318" s="1214">
        <f>ROUND(E1318*F1318,2)</f>
        <v>330</v>
      </c>
      <c r="H1318" s="1205" t="s">
        <v>2308</v>
      </c>
    </row>
    <row r="1319" spans="1:8" hidden="1">
      <c r="A1319" s="1212"/>
      <c r="B1319" s="1212"/>
      <c r="C1319" s="1752" t="s">
        <v>69</v>
      </c>
      <c r="D1319" s="1212" t="s">
        <v>27</v>
      </c>
      <c r="E1319" s="1213">
        <v>0.6</v>
      </c>
      <c r="F1319" s="1213">
        <f>'MINI SSR 2020-21'!$H$4</f>
        <v>500</v>
      </c>
      <c r="G1319" s="1214">
        <f>ROUND(E1319*F1319,2)</f>
        <v>300</v>
      </c>
      <c r="H1319" s="1205" t="s">
        <v>2308</v>
      </c>
    </row>
    <row r="1320" spans="1:8" hidden="1">
      <c r="A1320" s="1212"/>
      <c r="B1320" s="1212"/>
      <c r="C1320" s="1752" t="s">
        <v>85</v>
      </c>
      <c r="D1320" s="1212" t="s">
        <v>27</v>
      </c>
      <c r="E1320" s="1213">
        <v>2.75</v>
      </c>
      <c r="F1320" s="1213">
        <f>'MINI SSR 2020-21'!$H$5</f>
        <v>460</v>
      </c>
      <c r="G1320" s="1214">
        <f>ROUND(E1320*F1320,2)</f>
        <v>1265</v>
      </c>
      <c r="H1320" s="1205" t="s">
        <v>2308</v>
      </c>
    </row>
    <row r="1321" spans="1:8" hidden="1">
      <c r="A1321" s="1212"/>
      <c r="B1321" s="1212"/>
      <c r="C1321" s="1754" t="s">
        <v>88</v>
      </c>
      <c r="D1321" s="1212"/>
      <c r="E1321" s="1213"/>
      <c r="F1321" s="1213"/>
      <c r="G1321" s="1214">
        <f>SUM(G1314:G1320)</f>
        <v>6547.75</v>
      </c>
      <c r="H1321" s="1205" t="s">
        <v>2308</v>
      </c>
    </row>
    <row r="1322" spans="1:8" hidden="1">
      <c r="A1322" s="1212"/>
      <c r="B1322" s="1212"/>
      <c r="C1322" s="1754"/>
      <c r="D1322" s="1212"/>
      <c r="E1322" s="1218" t="s">
        <v>161</v>
      </c>
      <c r="F1322" s="1217" t="s">
        <v>162</v>
      </c>
      <c r="G1322" s="1217" t="s">
        <v>163</v>
      </c>
      <c r="H1322" s="1205" t="s">
        <v>2308</v>
      </c>
    </row>
    <row r="1323" spans="1:8" hidden="1">
      <c r="A1323" s="1212"/>
      <c r="B1323" s="1212"/>
      <c r="C1323" s="1754" t="s">
        <v>192</v>
      </c>
      <c r="D1323" s="1212"/>
      <c r="E1323" s="1213">
        <f>G1321</f>
        <v>6547.75</v>
      </c>
      <c r="F1323" s="1215">
        <f>G1321</f>
        <v>6547.75</v>
      </c>
      <c r="G1323" s="1215">
        <f>G1321</f>
        <v>6547.75</v>
      </c>
      <c r="H1323" s="1205" t="s">
        <v>2308</v>
      </c>
    </row>
    <row r="1324" spans="1:8" hidden="1">
      <c r="A1324" s="1212"/>
      <c r="B1324" s="1212"/>
      <c r="C1324" s="1752" t="s">
        <v>1649</v>
      </c>
      <c r="D1324" s="1223">
        <v>8.6999999999999993</v>
      </c>
      <c r="E1324" s="1212">
        <f>ROUND(D1324*'MINI SSR 2020-21'!E30,2)</f>
        <v>89.78</v>
      </c>
      <c r="F1324" s="1225">
        <f>E1324</f>
        <v>89.78</v>
      </c>
      <c r="G1324" s="1225">
        <f>F1324</f>
        <v>89.78</v>
      </c>
      <c r="H1324" s="1205" t="s">
        <v>2308</v>
      </c>
    </row>
    <row r="1325" spans="1:8" hidden="1">
      <c r="A1325" s="1212"/>
      <c r="B1325" s="1212"/>
      <c r="C1325" s="1752" t="s">
        <v>1650</v>
      </c>
      <c r="D1325" s="1223">
        <v>8.6999999999999993</v>
      </c>
      <c r="E1325" s="1213">
        <f>8.7*'MINI SSR 2020-21'!F30</f>
        <v>691.30199999999991</v>
      </c>
      <c r="F1325" s="1213">
        <f>8.7*'MINI SSR 2020-21'!G30</f>
        <v>989.88599999999997</v>
      </c>
      <c r="G1325" s="1213">
        <f>8.7*'MINI SSR 2020-21'!H30</f>
        <v>1288.3829999999998</v>
      </c>
      <c r="H1325" s="1205" t="s">
        <v>2308</v>
      </c>
    </row>
    <row r="1326" spans="1:8" ht="25.5" hidden="1">
      <c r="A1326" s="1212"/>
      <c r="B1326" s="1212"/>
      <c r="C1326" s="1752" t="s">
        <v>1286</v>
      </c>
      <c r="D1326" s="1212"/>
      <c r="E1326" s="1212"/>
      <c r="F1326" s="1241">
        <f>(SUM(G1318:G1320)+F1325)*10%</f>
        <v>288.48860000000002</v>
      </c>
      <c r="G1326" s="1241">
        <f>(SUM(G1318:G1320)+G1325)*20%</f>
        <v>636.67660000000001</v>
      </c>
      <c r="H1326" s="1205" t="s">
        <v>2308</v>
      </c>
    </row>
    <row r="1327" spans="1:8" hidden="1">
      <c r="A1327" s="1212"/>
      <c r="B1327" s="1212"/>
      <c r="C1327" s="1754" t="s">
        <v>900</v>
      </c>
      <c r="D1327" s="1212"/>
      <c r="E1327" s="1217">
        <f>SUM(E1323:E1326)</f>
        <v>7328.8319999999994</v>
      </c>
      <c r="F1327" s="1222">
        <f>SUM(F1323:F1326)</f>
        <v>7915.9045999999989</v>
      </c>
      <c r="G1327" s="1222">
        <f>SUM(G1323:G1326)</f>
        <v>8562.5895999999993</v>
      </c>
      <c r="H1327" s="1205" t="s">
        <v>2308</v>
      </c>
    </row>
    <row r="1328" spans="1:8" hidden="1">
      <c r="A1328" s="1212"/>
      <c r="B1328" s="1212"/>
      <c r="C1328" s="1754" t="s">
        <v>121</v>
      </c>
      <c r="D1328" s="1212"/>
      <c r="E1328" s="1217">
        <f>ROUND(E1327/10,2)</f>
        <v>732.88</v>
      </c>
      <c r="F1328" s="1222">
        <f>ROUND(F1327/10,2)</f>
        <v>791.59</v>
      </c>
      <c r="G1328" s="1222">
        <f>ROUND(G1327/10,2)</f>
        <v>856.26</v>
      </c>
      <c r="H1328" s="1205" t="s">
        <v>2308</v>
      </c>
    </row>
    <row r="1329" spans="1:8" ht="127.5" hidden="1">
      <c r="A1329" s="1156">
        <v>30</v>
      </c>
      <c r="B1329" s="1218" t="s">
        <v>1319</v>
      </c>
      <c r="C1329" s="1752" t="s">
        <v>1195</v>
      </c>
      <c r="D1329" s="1212"/>
      <c r="E1329" s="1212"/>
      <c r="F1329" s="1212"/>
      <c r="G1329" s="1218"/>
      <c r="H1329" s="1205" t="s">
        <v>2308</v>
      </c>
    </row>
    <row r="1330" spans="1:8" hidden="1">
      <c r="A1330" s="1156"/>
      <c r="B1330" s="1218"/>
      <c r="C1330" s="1754" t="s">
        <v>84</v>
      </c>
      <c r="D1330" s="1212"/>
      <c r="E1330" s="1212"/>
      <c r="F1330" s="1212"/>
      <c r="G1330" s="1215"/>
      <c r="H1330" s="1205" t="s">
        <v>2308</v>
      </c>
    </row>
    <row r="1331" spans="1:8" hidden="1">
      <c r="A1331" s="1156"/>
      <c r="B1331" s="1218"/>
      <c r="C1331" s="1754" t="s">
        <v>60</v>
      </c>
      <c r="D1331" s="1212"/>
      <c r="E1331" s="1212"/>
      <c r="F1331" s="1212"/>
      <c r="G1331" s="1215"/>
      <c r="H1331" s="1205" t="s">
        <v>2308</v>
      </c>
    </row>
    <row r="1332" spans="1:8" ht="25.5" hidden="1">
      <c r="A1332" s="1156"/>
      <c r="B1332" s="1218"/>
      <c r="C1332" s="1752" t="s">
        <v>1198</v>
      </c>
      <c r="D1332" s="1212" t="s">
        <v>11</v>
      </c>
      <c r="E1332" s="1240">
        <v>110</v>
      </c>
      <c r="F1332" s="1213">
        <f>'MINI SSR 2020-21'!C27</f>
        <v>25</v>
      </c>
      <c r="G1332" s="1214">
        <f>ROUND(E1332*F1332,2)</f>
        <v>2750</v>
      </c>
      <c r="H1332" s="1205" t="s">
        <v>2308</v>
      </c>
    </row>
    <row r="1333" spans="1:8" hidden="1">
      <c r="A1333" s="1156"/>
      <c r="B1333" s="1218"/>
      <c r="C1333" s="1752" t="s">
        <v>1196</v>
      </c>
      <c r="D1333" s="1212" t="s">
        <v>35</v>
      </c>
      <c r="E1333" s="1213">
        <v>0.1</v>
      </c>
      <c r="F1333" s="1213">
        <f>G943</f>
        <v>2843.9300000000003</v>
      </c>
      <c r="G1333" s="1214">
        <f>ROUND(E1333*F1333,2)</f>
        <v>284.39</v>
      </c>
      <c r="H1333" s="1205" t="s">
        <v>2308</v>
      </c>
    </row>
    <row r="1334" spans="1:8" hidden="1">
      <c r="A1334" s="1212"/>
      <c r="B1334" s="1212"/>
      <c r="C1334" s="1754" t="s">
        <v>68</v>
      </c>
      <c r="D1334" s="1212"/>
      <c r="E1334" s="1213"/>
      <c r="F1334" s="1213"/>
      <c r="G1334" s="1214"/>
      <c r="H1334" s="1205" t="s">
        <v>2308</v>
      </c>
    </row>
    <row r="1335" spans="1:8" hidden="1">
      <c r="A1335" s="1212"/>
      <c r="B1335" s="1212"/>
      <c r="C1335" s="1752" t="s">
        <v>64</v>
      </c>
      <c r="D1335" s="1212" t="s">
        <v>27</v>
      </c>
      <c r="E1335" s="1213">
        <v>0.42</v>
      </c>
      <c r="F1335" s="1213">
        <f>'MINI SSR 2020-21'!$H$3</f>
        <v>550</v>
      </c>
      <c r="G1335" s="1214">
        <f>ROUND(E1335*F1335,2)</f>
        <v>231</v>
      </c>
      <c r="H1335" s="1205" t="s">
        <v>2308</v>
      </c>
    </row>
    <row r="1336" spans="1:8" hidden="1">
      <c r="A1336" s="1212"/>
      <c r="B1336" s="1212"/>
      <c r="C1336" s="1752" t="s">
        <v>69</v>
      </c>
      <c r="D1336" s="1212" t="s">
        <v>27</v>
      </c>
      <c r="E1336" s="1213">
        <v>0.92</v>
      </c>
      <c r="F1336" s="1213">
        <f>'MINI SSR 2020-21'!$H$4</f>
        <v>500</v>
      </c>
      <c r="G1336" s="1214">
        <f>ROUND(E1336*F1336,2)</f>
        <v>460</v>
      </c>
      <c r="H1336" s="1205" t="s">
        <v>2308</v>
      </c>
    </row>
    <row r="1337" spans="1:8" hidden="1">
      <c r="A1337" s="1212"/>
      <c r="B1337" s="1212"/>
      <c r="C1337" s="1752" t="s">
        <v>375</v>
      </c>
      <c r="D1337" s="1212" t="s">
        <v>27</v>
      </c>
      <c r="E1337" s="1213">
        <v>0.7</v>
      </c>
      <c r="F1337" s="1213">
        <f>'MINI SSR 2020-21'!$H$5</f>
        <v>460</v>
      </c>
      <c r="G1337" s="1214">
        <f>ROUND(E1337*F1337,2)</f>
        <v>322</v>
      </c>
      <c r="H1337" s="1205" t="s">
        <v>2308</v>
      </c>
    </row>
    <row r="1338" spans="1:8" hidden="1">
      <c r="A1338" s="1212"/>
      <c r="B1338" s="1212"/>
      <c r="C1338" s="1752" t="s">
        <v>1197</v>
      </c>
      <c r="D1338" s="1212" t="s">
        <v>27</v>
      </c>
      <c r="E1338" s="1213">
        <v>2.1</v>
      </c>
      <c r="F1338" s="1213">
        <f>'MINI SSR 2020-21'!$H$5</f>
        <v>460</v>
      </c>
      <c r="G1338" s="1214">
        <f>ROUND(E1338*F1338,2)</f>
        <v>966</v>
      </c>
      <c r="H1338" s="1205" t="s">
        <v>2308</v>
      </c>
    </row>
    <row r="1339" spans="1:8" hidden="1">
      <c r="A1339" s="1212"/>
      <c r="B1339" s="1212"/>
      <c r="C1339" s="1754" t="s">
        <v>86</v>
      </c>
      <c r="D1339" s="1212"/>
      <c r="E1339" s="1212"/>
      <c r="F1339" s="1212"/>
      <c r="G1339" s="1222">
        <f>SUM(G1332:G1338)</f>
        <v>5013.3899999999994</v>
      </c>
      <c r="H1339" s="1205" t="s">
        <v>2308</v>
      </c>
    </row>
    <row r="1340" spans="1:8" hidden="1">
      <c r="A1340" s="1212"/>
      <c r="B1340" s="1212"/>
      <c r="C1340" s="1754"/>
      <c r="D1340" s="1212"/>
      <c r="E1340" s="1218" t="s">
        <v>161</v>
      </c>
      <c r="F1340" s="1217" t="s">
        <v>162</v>
      </c>
      <c r="G1340" s="1217" t="s">
        <v>163</v>
      </c>
      <c r="H1340" s="1205" t="s">
        <v>2308</v>
      </c>
    </row>
    <row r="1341" spans="1:8" hidden="1">
      <c r="A1341" s="1212"/>
      <c r="B1341" s="1212"/>
      <c r="C1341" s="1754" t="s">
        <v>192</v>
      </c>
      <c r="D1341" s="1212"/>
      <c r="E1341" s="1213">
        <f>G1339</f>
        <v>5013.3899999999994</v>
      </c>
      <c r="F1341" s="1215">
        <f>G1339</f>
        <v>5013.3899999999994</v>
      </c>
      <c r="G1341" s="1215">
        <f>G1339*1</f>
        <v>5013.3899999999994</v>
      </c>
      <c r="H1341" s="1205" t="s">
        <v>2308</v>
      </c>
    </row>
    <row r="1342" spans="1:8" hidden="1">
      <c r="A1342" s="1212"/>
      <c r="B1342" s="1212"/>
      <c r="C1342" s="1752" t="s">
        <v>1651</v>
      </c>
      <c r="D1342" s="1223">
        <v>4.3499999999999996</v>
      </c>
      <c r="E1342" s="1212">
        <f>ROUND(10.32*D1342,2)</f>
        <v>44.89</v>
      </c>
      <c r="F1342" s="1225">
        <f>E1342</f>
        <v>44.89</v>
      </c>
      <c r="G1342" s="1225">
        <f>F1342</f>
        <v>44.89</v>
      </c>
      <c r="H1342" s="1205" t="s">
        <v>2308</v>
      </c>
    </row>
    <row r="1343" spans="1:8" hidden="1">
      <c r="A1343" s="1212"/>
      <c r="B1343" s="1212"/>
      <c r="C1343" s="1752" t="s">
        <v>1652</v>
      </c>
      <c r="D1343" s="1223">
        <v>4.3499999999999996</v>
      </c>
      <c r="E1343" s="1212">
        <f>ROUND('MINI SSR 2020-21'!F30*$D$1343,2)</f>
        <v>345.65</v>
      </c>
      <c r="F1343" s="1212">
        <f>ROUND('MINI SSR 2020-21'!G30*$D$1343,2)</f>
        <v>494.94</v>
      </c>
      <c r="G1343" s="1212">
        <f>ROUND('MINI SSR 2020-21'!H30*$D$1343,2)</f>
        <v>644.19000000000005</v>
      </c>
      <c r="H1343" s="1205" t="s">
        <v>2308</v>
      </c>
    </row>
    <row r="1344" spans="1:8" ht="25.5" hidden="1">
      <c r="A1344" s="1212"/>
      <c r="B1344" s="1212"/>
      <c r="C1344" s="1752" t="s">
        <v>1286</v>
      </c>
      <c r="D1344" s="1212"/>
      <c r="E1344" s="1212"/>
      <c r="F1344" s="1225">
        <f>ROUND((G1335+G1336+G1338+G1337+F1343)*0.1,2)</f>
        <v>247.39</v>
      </c>
      <c r="G1344" s="1225">
        <f>ROUND((G1335+G1336+G1338+G1337+G1343)*0.2,2)</f>
        <v>524.64</v>
      </c>
      <c r="H1344" s="1205" t="s">
        <v>2308</v>
      </c>
    </row>
    <row r="1345" spans="1:8" hidden="1">
      <c r="A1345" s="1212"/>
      <c r="B1345" s="1212"/>
      <c r="C1345" s="1754" t="s">
        <v>86</v>
      </c>
      <c r="D1345" s="1212"/>
      <c r="E1345" s="1217">
        <f>SUM(E1341:E1344)</f>
        <v>5403.9299999999994</v>
      </c>
      <c r="F1345" s="1222">
        <f>SUM(F1341:F1344)</f>
        <v>5800.61</v>
      </c>
      <c r="G1345" s="1222">
        <f>SUM(G1341:G1344)</f>
        <v>6227.11</v>
      </c>
      <c r="H1345" s="1205" t="s">
        <v>2308</v>
      </c>
    </row>
    <row r="1346" spans="1:8" ht="89.25" hidden="1">
      <c r="A1346" s="1156">
        <v>25</v>
      </c>
      <c r="B1346" s="1218" t="s">
        <v>87</v>
      </c>
      <c r="C1346" s="1752" t="s">
        <v>1304</v>
      </c>
      <c r="D1346" s="1212"/>
      <c r="E1346" s="1212"/>
      <c r="F1346" s="1212"/>
      <c r="G1346" s="1218"/>
      <c r="H1346" s="1205" t="s">
        <v>2308</v>
      </c>
    </row>
    <row r="1347" spans="1:8" hidden="1">
      <c r="A1347" s="1156"/>
      <c r="B1347" s="1218"/>
      <c r="C1347" s="1754" t="s">
        <v>42</v>
      </c>
      <c r="D1347" s="1212"/>
      <c r="E1347" s="1212"/>
      <c r="F1347" s="1212"/>
      <c r="G1347" s="1215"/>
      <c r="H1347" s="1205" t="s">
        <v>2308</v>
      </c>
    </row>
    <row r="1348" spans="1:8" hidden="1">
      <c r="A1348" s="1156"/>
      <c r="B1348" s="1218"/>
      <c r="C1348" s="1754" t="s">
        <v>60</v>
      </c>
      <c r="D1348" s="1218"/>
      <c r="E1348" s="1218"/>
      <c r="F1348" s="1218"/>
      <c r="G1348" s="1215"/>
      <c r="H1348" s="1205" t="s">
        <v>2308</v>
      </c>
    </row>
    <row r="1349" spans="1:8" hidden="1">
      <c r="A1349" s="1156"/>
      <c r="B1349" s="1218"/>
      <c r="C1349" s="1752" t="s">
        <v>43</v>
      </c>
      <c r="D1349" s="1212" t="s">
        <v>35</v>
      </c>
      <c r="E1349" s="1213">
        <v>0.15</v>
      </c>
      <c r="F1349" s="1213">
        <f>G928</f>
        <v>3971.9300000000003</v>
      </c>
      <c r="G1349" s="1214">
        <f>ROUND(E1349*F1349,2)</f>
        <v>595.79</v>
      </c>
      <c r="H1349" s="1205" t="s">
        <v>2308</v>
      </c>
    </row>
    <row r="1350" spans="1:8" hidden="1">
      <c r="A1350" s="1212"/>
      <c r="B1350" s="1212"/>
      <c r="C1350" s="1754" t="s">
        <v>68</v>
      </c>
      <c r="D1350" s="1212"/>
      <c r="E1350" s="1213"/>
      <c r="F1350" s="1213"/>
      <c r="G1350" s="1214"/>
      <c r="H1350" s="1205" t="s">
        <v>2308</v>
      </c>
    </row>
    <row r="1351" spans="1:8" hidden="1">
      <c r="A1351" s="1212"/>
      <c r="B1351" s="1212"/>
      <c r="C1351" s="1752" t="s">
        <v>64</v>
      </c>
      <c r="D1351" s="1212" t="s">
        <v>27</v>
      </c>
      <c r="E1351" s="1213">
        <v>0.45</v>
      </c>
      <c r="F1351" s="1213">
        <f>'MINI SSR 2020-21'!$H$3</f>
        <v>550</v>
      </c>
      <c r="G1351" s="1214">
        <f>ROUND(E1351*F1351,2)</f>
        <v>247.5</v>
      </c>
      <c r="H1351" s="1205" t="s">
        <v>2308</v>
      </c>
    </row>
    <row r="1352" spans="1:8" hidden="1">
      <c r="A1352" s="1212"/>
      <c r="B1352" s="1212"/>
      <c r="C1352" s="1752" t="s">
        <v>69</v>
      </c>
      <c r="D1352" s="1212" t="s">
        <v>27</v>
      </c>
      <c r="E1352" s="1213">
        <v>1.05</v>
      </c>
      <c r="F1352" s="1213">
        <f>'MINI SSR 2020-21'!$H$4</f>
        <v>500</v>
      </c>
      <c r="G1352" s="1214">
        <f>ROUND(E1352*F1352,2)</f>
        <v>525</v>
      </c>
      <c r="H1352" s="1205" t="s">
        <v>2308</v>
      </c>
    </row>
    <row r="1353" spans="1:8" hidden="1">
      <c r="A1353" s="1212"/>
      <c r="B1353" s="1212"/>
      <c r="C1353" s="1752" t="s">
        <v>85</v>
      </c>
      <c r="D1353" s="1212" t="s">
        <v>27</v>
      </c>
      <c r="E1353" s="1213">
        <v>2.8</v>
      </c>
      <c r="F1353" s="1213">
        <f>'MINI SSR 2020-21'!$H$5</f>
        <v>460</v>
      </c>
      <c r="G1353" s="1214">
        <f>ROUND(E1353*F1353,2)</f>
        <v>1288</v>
      </c>
      <c r="H1353" s="1205" t="s">
        <v>2308</v>
      </c>
    </row>
    <row r="1354" spans="1:8" hidden="1">
      <c r="A1354" s="1212"/>
      <c r="B1354" s="1212"/>
      <c r="C1354" s="1754" t="s">
        <v>88</v>
      </c>
      <c r="D1354" s="1212"/>
      <c r="E1354" s="1212"/>
      <c r="F1354" s="1212"/>
      <c r="G1354" s="1220">
        <f>SUM(G1349:G1353)</f>
        <v>2656.29</v>
      </c>
      <c r="H1354" s="1205" t="s">
        <v>2308</v>
      </c>
    </row>
    <row r="1355" spans="1:8" hidden="1">
      <c r="A1355" s="1212"/>
      <c r="B1355" s="1212"/>
      <c r="C1355" s="1754"/>
      <c r="D1355" s="1212"/>
      <c r="E1355" s="1218" t="s">
        <v>161</v>
      </c>
      <c r="F1355" s="1218" t="s">
        <v>162</v>
      </c>
      <c r="G1355" s="1217" t="s">
        <v>163</v>
      </c>
      <c r="H1355" s="1205" t="s">
        <v>2308</v>
      </c>
    </row>
    <row r="1356" spans="1:8" hidden="1">
      <c r="A1356" s="1212"/>
      <c r="B1356" s="1212"/>
      <c r="C1356" s="1754" t="s">
        <v>1274</v>
      </c>
      <c r="D1356" s="1212"/>
      <c r="E1356" s="1213">
        <f>G1354</f>
        <v>2656.29</v>
      </c>
      <c r="F1356" s="1213">
        <f>G1354</f>
        <v>2656.29</v>
      </c>
      <c r="G1356" s="1215">
        <f>G1354</f>
        <v>2656.29</v>
      </c>
      <c r="H1356" s="1205" t="s">
        <v>2308</v>
      </c>
    </row>
    <row r="1357" spans="1:8" hidden="1">
      <c r="A1357" s="1212"/>
      <c r="B1357" s="1212"/>
      <c r="C1357" s="1752" t="s">
        <v>1653</v>
      </c>
      <c r="D1357" s="1213">
        <v>10</v>
      </c>
      <c r="E1357" s="1213">
        <f>ROUND(D1357*'MINI SSR 2020-21'!E33,2)</f>
        <v>24.6</v>
      </c>
      <c r="F1357" s="1213">
        <f>E1357</f>
        <v>24.6</v>
      </c>
      <c r="G1357" s="1215">
        <f>E1357</f>
        <v>24.6</v>
      </c>
      <c r="H1357" s="1205" t="s">
        <v>2308</v>
      </c>
    </row>
    <row r="1358" spans="1:8" hidden="1">
      <c r="A1358" s="1212"/>
      <c r="B1358" s="1212"/>
      <c r="C1358" s="1752" t="s">
        <v>1654</v>
      </c>
      <c r="D1358" s="1213">
        <v>10</v>
      </c>
      <c r="E1358" s="1213">
        <f>ROUND(D1358*'MINI SSR 2020-21'!F33,2)</f>
        <v>159.1</v>
      </c>
      <c r="F1358" s="1213">
        <f>ROUND(D1358*'MINI SSR 2020-21'!G33,2)</f>
        <v>225.7</v>
      </c>
      <c r="G1358" s="1215">
        <f>ROUND(D1358*'MINI SSR 2020-21'!H33,2)</f>
        <v>292.3</v>
      </c>
      <c r="H1358" s="1205" t="s">
        <v>2308</v>
      </c>
    </row>
    <row r="1359" spans="1:8" ht="25.5" hidden="1">
      <c r="A1359" s="1212"/>
      <c r="B1359" s="1212"/>
      <c r="C1359" s="1752" t="s">
        <v>1286</v>
      </c>
      <c r="D1359" s="1212"/>
      <c r="E1359" s="1212"/>
      <c r="F1359" s="1213">
        <f>ROUND((G1351+G1352+G1353+F1358)*0.1,2)</f>
        <v>228.62</v>
      </c>
      <c r="G1359" s="1215">
        <f>ROUND((G1351+G1352+G1353+G1358)*0.2,2)</f>
        <v>470.56</v>
      </c>
      <c r="H1359" s="1205" t="s">
        <v>2308</v>
      </c>
    </row>
    <row r="1360" spans="1:8" hidden="1">
      <c r="A1360" s="1212"/>
      <c r="B1360" s="1212"/>
      <c r="C1360" s="1754" t="s">
        <v>88</v>
      </c>
      <c r="D1360" s="1212"/>
      <c r="E1360" s="1213">
        <f>SUM(E1356:E1359)</f>
        <v>2839.99</v>
      </c>
      <c r="F1360" s="1213">
        <f>SUM(F1356:F1359)</f>
        <v>3135.2099999999996</v>
      </c>
      <c r="G1360" s="1215">
        <f>SUM(G1356:G1359)</f>
        <v>3443.75</v>
      </c>
      <c r="H1360" s="1205" t="s">
        <v>2308</v>
      </c>
    </row>
    <row r="1361" spans="1:8" hidden="1">
      <c r="A1361" s="1212"/>
      <c r="B1361" s="1212"/>
      <c r="C1361" s="1754" t="s">
        <v>121</v>
      </c>
      <c r="D1361" s="1212"/>
      <c r="E1361" s="1217">
        <f>ROUND(E1360/10,2)</f>
        <v>284</v>
      </c>
      <c r="F1361" s="1217">
        <f>ROUND(F1360/10,2)</f>
        <v>313.52</v>
      </c>
      <c r="G1361" s="1222">
        <f>ROUND(G1360/10,2)</f>
        <v>344.38</v>
      </c>
      <c r="H1361" s="1205" t="s">
        <v>2308</v>
      </c>
    </row>
    <row r="1362" spans="1:8" ht="89.25" hidden="1">
      <c r="A1362" s="1156">
        <v>5</v>
      </c>
      <c r="B1362" s="1218" t="s">
        <v>89</v>
      </c>
      <c r="C1362" s="1752" t="s">
        <v>1305</v>
      </c>
      <c r="D1362" s="1212"/>
      <c r="E1362" s="1212"/>
      <c r="F1362" s="1212"/>
      <c r="G1362" s="1218"/>
      <c r="H1362" s="1205" t="s">
        <v>2308</v>
      </c>
    </row>
    <row r="1363" spans="1:8" hidden="1">
      <c r="A1363" s="1156"/>
      <c r="B1363" s="1218"/>
      <c r="C1363" s="1754" t="s">
        <v>42</v>
      </c>
      <c r="D1363" s="1212"/>
      <c r="E1363" s="1212"/>
      <c r="F1363" s="1212"/>
      <c r="G1363" s="1215"/>
      <c r="H1363" s="1205" t="s">
        <v>2308</v>
      </c>
    </row>
    <row r="1364" spans="1:8" hidden="1">
      <c r="A1364" s="1156"/>
      <c r="B1364" s="1218"/>
      <c r="C1364" s="1754" t="s">
        <v>60</v>
      </c>
      <c r="D1364" s="1218"/>
      <c r="E1364" s="1218"/>
      <c r="F1364" s="1218"/>
      <c r="G1364" s="1215"/>
      <c r="H1364" s="1205" t="s">
        <v>2308</v>
      </c>
    </row>
    <row r="1365" spans="1:8" hidden="1">
      <c r="A1365" s="1156"/>
      <c r="B1365" s="1218"/>
      <c r="C1365" s="1752" t="s">
        <v>48</v>
      </c>
      <c r="D1365" s="1212" t="s">
        <v>35</v>
      </c>
      <c r="E1365" s="1213">
        <v>0.15</v>
      </c>
      <c r="F1365" s="1213">
        <f>G938</f>
        <v>3069.5299999999997</v>
      </c>
      <c r="G1365" s="1214">
        <f>ROUND(E1365*F1365,2)</f>
        <v>460.43</v>
      </c>
      <c r="H1365" s="1205" t="s">
        <v>2308</v>
      </c>
    </row>
    <row r="1366" spans="1:8" hidden="1">
      <c r="A1366" s="1212"/>
      <c r="B1366" s="1212"/>
      <c r="C1366" s="1754" t="s">
        <v>68</v>
      </c>
      <c r="D1366" s="1212"/>
      <c r="E1366" s="1213"/>
      <c r="F1366" s="1213"/>
      <c r="G1366" s="1214"/>
      <c r="H1366" s="1205" t="s">
        <v>2308</v>
      </c>
    </row>
    <row r="1367" spans="1:8" hidden="1">
      <c r="A1367" s="1212"/>
      <c r="B1367" s="1212"/>
      <c r="C1367" s="1752" t="s">
        <v>64</v>
      </c>
      <c r="D1367" s="1212" t="s">
        <v>27</v>
      </c>
      <c r="E1367" s="1213">
        <v>0.45</v>
      </c>
      <c r="F1367" s="1213">
        <f>'MINI SSR 2020-21'!$H$3</f>
        <v>550</v>
      </c>
      <c r="G1367" s="1214">
        <f>ROUND(E1367*F1367,2)</f>
        <v>247.5</v>
      </c>
      <c r="H1367" s="1205" t="s">
        <v>2308</v>
      </c>
    </row>
    <row r="1368" spans="1:8" hidden="1">
      <c r="A1368" s="1212"/>
      <c r="B1368" s="1212"/>
      <c r="C1368" s="1752" t="s">
        <v>69</v>
      </c>
      <c r="D1368" s="1212" t="s">
        <v>27</v>
      </c>
      <c r="E1368" s="1213">
        <v>1.05</v>
      </c>
      <c r="F1368" s="1213">
        <f>'MINI SSR 2020-21'!$H$4</f>
        <v>500</v>
      </c>
      <c r="G1368" s="1214">
        <f>ROUND(E1368*F1368,2)</f>
        <v>525</v>
      </c>
      <c r="H1368" s="1205" t="s">
        <v>2308</v>
      </c>
    </row>
    <row r="1369" spans="1:8" hidden="1">
      <c r="A1369" s="1212"/>
      <c r="B1369" s="1212"/>
      <c r="C1369" s="1752" t="s">
        <v>85</v>
      </c>
      <c r="D1369" s="1212" t="s">
        <v>27</v>
      </c>
      <c r="E1369" s="1213">
        <v>2.8</v>
      </c>
      <c r="F1369" s="1213">
        <f>'MINI SSR 2020-21'!$H$5</f>
        <v>460</v>
      </c>
      <c r="G1369" s="1214">
        <f>ROUND(E1369*F1369,2)</f>
        <v>1288</v>
      </c>
      <c r="H1369" s="1205" t="s">
        <v>2308</v>
      </c>
    </row>
    <row r="1370" spans="1:8" hidden="1">
      <c r="A1370" s="1212"/>
      <c r="B1370" s="1212"/>
      <c r="C1370" s="1754" t="s">
        <v>88</v>
      </c>
      <c r="D1370" s="1212"/>
      <c r="E1370" s="1212"/>
      <c r="F1370" s="1212"/>
      <c r="G1370" s="1222">
        <f>SUM(G1365:G1369)</f>
        <v>2520.9300000000003</v>
      </c>
      <c r="H1370" s="1205" t="s">
        <v>2308</v>
      </c>
    </row>
    <row r="1371" spans="1:8" hidden="1">
      <c r="A1371" s="1212"/>
      <c r="B1371" s="1212"/>
      <c r="C1371" s="1754"/>
      <c r="D1371" s="1212"/>
      <c r="E1371" s="1218" t="s">
        <v>161</v>
      </c>
      <c r="F1371" s="1218" t="s">
        <v>162</v>
      </c>
      <c r="G1371" s="1217" t="s">
        <v>163</v>
      </c>
      <c r="H1371" s="1205" t="s">
        <v>2308</v>
      </c>
    </row>
    <row r="1372" spans="1:8" hidden="1">
      <c r="A1372" s="1212"/>
      <c r="B1372" s="1212"/>
      <c r="C1372" s="1754" t="s">
        <v>1274</v>
      </c>
      <c r="D1372" s="1212"/>
      <c r="E1372" s="1213">
        <f>G1370</f>
        <v>2520.9300000000003</v>
      </c>
      <c r="F1372" s="1213">
        <f>G1370</f>
        <v>2520.9300000000003</v>
      </c>
      <c r="G1372" s="1215">
        <f>G1370</f>
        <v>2520.9300000000003</v>
      </c>
      <c r="H1372" s="1205" t="s">
        <v>2308</v>
      </c>
    </row>
    <row r="1373" spans="1:8" hidden="1">
      <c r="A1373" s="1212"/>
      <c r="B1373" s="1212"/>
      <c r="C1373" s="1752" t="s">
        <v>1653</v>
      </c>
      <c r="D1373" s="1213">
        <v>10</v>
      </c>
      <c r="E1373" s="1213">
        <f>D1373*'MINI SSR 2020-21'!E36</f>
        <v>10.3</v>
      </c>
      <c r="F1373" s="1213">
        <f>E1373</f>
        <v>10.3</v>
      </c>
      <c r="G1373" s="1215">
        <f>E1373</f>
        <v>10.3</v>
      </c>
      <c r="H1373" s="1205" t="s">
        <v>2308</v>
      </c>
    </row>
    <row r="1374" spans="1:8" hidden="1">
      <c r="A1374" s="1212"/>
      <c r="B1374" s="1212"/>
      <c r="C1374" s="1752" t="s">
        <v>1655</v>
      </c>
      <c r="D1374" s="1213">
        <v>10</v>
      </c>
      <c r="E1374" s="1213">
        <f>ROUND(D1374*'MINI SSR 2020-21'!F36,2)</f>
        <v>79.5</v>
      </c>
      <c r="F1374" s="1213">
        <f>ROUND(D1374*'MINI SSR 2020-21'!G36,2)</f>
        <v>113.8</v>
      </c>
      <c r="G1374" s="1215">
        <f>ROUND(D1374*'MINI SSR 2020-21'!H36,2)</f>
        <v>148.1</v>
      </c>
      <c r="H1374" s="1205" t="s">
        <v>2308</v>
      </c>
    </row>
    <row r="1375" spans="1:8" ht="25.5" hidden="1">
      <c r="A1375" s="1212"/>
      <c r="B1375" s="1212"/>
      <c r="C1375" s="1752" t="s">
        <v>1286</v>
      </c>
      <c r="D1375" s="1212"/>
      <c r="E1375" s="1212"/>
      <c r="F1375" s="1213">
        <f>ROUND((G1367+G1368+G1369+F1374)*0.1,2)</f>
        <v>217.43</v>
      </c>
      <c r="G1375" s="1215">
        <f>ROUND((G1367+G1368+G1369+G1374)*0.2,2)</f>
        <v>441.72</v>
      </c>
      <c r="H1375" s="1205" t="s">
        <v>2308</v>
      </c>
    </row>
    <row r="1376" spans="1:8" hidden="1">
      <c r="A1376" s="1212"/>
      <c r="B1376" s="1212"/>
      <c r="C1376" s="1754" t="s">
        <v>88</v>
      </c>
      <c r="D1376" s="1212"/>
      <c r="E1376" s="1213">
        <f>SUM(E1372:E1375)</f>
        <v>2610.7300000000005</v>
      </c>
      <c r="F1376" s="1213">
        <f>SUM(F1372:F1375)</f>
        <v>2862.4600000000005</v>
      </c>
      <c r="G1376" s="1215">
        <f>SUM(G1372:G1375)</f>
        <v>3121.05</v>
      </c>
      <c r="H1376" s="1205" t="s">
        <v>2308</v>
      </c>
    </row>
    <row r="1377" spans="1:8" hidden="1">
      <c r="A1377" s="1212"/>
      <c r="B1377" s="1212"/>
      <c r="C1377" s="1754" t="s">
        <v>121</v>
      </c>
      <c r="D1377" s="1212"/>
      <c r="E1377" s="1217">
        <f>ROUND(E1376/10,2)</f>
        <v>261.07</v>
      </c>
      <c r="F1377" s="1217">
        <f>ROUND(F1376/10,2)</f>
        <v>286.25</v>
      </c>
      <c r="G1377" s="1222">
        <f>ROUND(G1376/10,2)</f>
        <v>312.11</v>
      </c>
      <c r="H1377" s="1205" t="s">
        <v>2308</v>
      </c>
    </row>
    <row r="1378" spans="1:8" ht="89.25" hidden="1">
      <c r="A1378" s="1156">
        <v>6</v>
      </c>
      <c r="B1378" s="1218" t="s">
        <v>89</v>
      </c>
      <c r="C1378" s="1752" t="s">
        <v>1306</v>
      </c>
      <c r="D1378" s="1212"/>
      <c r="E1378" s="1212"/>
      <c r="F1378" s="1212"/>
      <c r="G1378" s="1218"/>
      <c r="H1378" s="1205" t="s">
        <v>2308</v>
      </c>
    </row>
    <row r="1379" spans="1:8" hidden="1">
      <c r="A1379" s="1156"/>
      <c r="B1379" s="1218"/>
      <c r="C1379" s="1754" t="s">
        <v>42</v>
      </c>
      <c r="D1379" s="1212"/>
      <c r="E1379" s="1212"/>
      <c r="F1379" s="1212"/>
      <c r="G1379" s="1215"/>
      <c r="H1379" s="1205" t="s">
        <v>2308</v>
      </c>
    </row>
    <row r="1380" spans="1:8" hidden="1">
      <c r="A1380" s="1156"/>
      <c r="B1380" s="1218"/>
      <c r="C1380" s="1754" t="s">
        <v>60</v>
      </c>
      <c r="D1380" s="1212"/>
      <c r="E1380" s="1212"/>
      <c r="F1380" s="1212"/>
      <c r="G1380" s="1215"/>
      <c r="H1380" s="1205" t="s">
        <v>2308</v>
      </c>
    </row>
    <row r="1381" spans="1:8" hidden="1">
      <c r="A1381" s="1156"/>
      <c r="B1381" s="1218"/>
      <c r="C1381" s="1752" t="s">
        <v>48</v>
      </c>
      <c r="D1381" s="1212" t="s">
        <v>35</v>
      </c>
      <c r="E1381" s="1213">
        <v>0.21</v>
      </c>
      <c r="F1381" s="1213">
        <f>G938</f>
        <v>3069.5299999999997</v>
      </c>
      <c r="G1381" s="1214">
        <f>ROUND(E1381*F1381,2)</f>
        <v>644.6</v>
      </c>
      <c r="H1381" s="1205" t="s">
        <v>2308</v>
      </c>
    </row>
    <row r="1382" spans="1:8" hidden="1">
      <c r="A1382" s="1212"/>
      <c r="B1382" s="1212"/>
      <c r="C1382" s="1754" t="s">
        <v>68</v>
      </c>
      <c r="D1382" s="1212"/>
      <c r="E1382" s="1213"/>
      <c r="F1382" s="1213"/>
      <c r="G1382" s="1214"/>
      <c r="H1382" s="1205" t="s">
        <v>2308</v>
      </c>
    </row>
    <row r="1383" spans="1:8" hidden="1">
      <c r="A1383" s="1212"/>
      <c r="B1383" s="1212"/>
      <c r="C1383" s="1752" t="s">
        <v>64</v>
      </c>
      <c r="D1383" s="1212" t="s">
        <v>27</v>
      </c>
      <c r="E1383" s="1213">
        <v>0.45</v>
      </c>
      <c r="F1383" s="1213">
        <f>'MINI SSR 2020-21'!$H$3</f>
        <v>550</v>
      </c>
      <c r="G1383" s="1214">
        <f>ROUND(E1383*F1383,2)</f>
        <v>247.5</v>
      </c>
      <c r="H1383" s="1205" t="s">
        <v>2308</v>
      </c>
    </row>
    <row r="1384" spans="1:8" hidden="1">
      <c r="A1384" s="1212"/>
      <c r="B1384" s="1212"/>
      <c r="C1384" s="1752" t="s">
        <v>69</v>
      </c>
      <c r="D1384" s="1212" t="s">
        <v>27</v>
      </c>
      <c r="E1384" s="1213">
        <v>1.05</v>
      </c>
      <c r="F1384" s="1213">
        <f>'MINI SSR 2020-21'!$H$4</f>
        <v>500</v>
      </c>
      <c r="G1384" s="1214">
        <f>ROUND(E1384*F1384,2)</f>
        <v>525</v>
      </c>
      <c r="H1384" s="1205" t="s">
        <v>2308</v>
      </c>
    </row>
    <row r="1385" spans="1:8" hidden="1">
      <c r="A1385" s="1212"/>
      <c r="B1385" s="1212"/>
      <c r="C1385" s="1752" t="s">
        <v>85</v>
      </c>
      <c r="D1385" s="1212" t="s">
        <v>27</v>
      </c>
      <c r="E1385" s="1213">
        <v>2.8</v>
      </c>
      <c r="F1385" s="1213">
        <f>'MINI SSR 2020-21'!$H$5</f>
        <v>460</v>
      </c>
      <c r="G1385" s="1214">
        <f>ROUND(E1385*F1385,2)</f>
        <v>1288</v>
      </c>
      <c r="H1385" s="1205" t="s">
        <v>2308</v>
      </c>
    </row>
    <row r="1386" spans="1:8" hidden="1">
      <c r="A1386" s="1212"/>
      <c r="B1386" s="1212"/>
      <c r="C1386" s="1754" t="s">
        <v>88</v>
      </c>
      <c r="D1386" s="1212"/>
      <c r="E1386" s="1212"/>
      <c r="F1386" s="1212"/>
      <c r="G1386" s="1222">
        <f>SUM(G1381:G1385)</f>
        <v>2705.1</v>
      </c>
      <c r="H1386" s="1205" t="s">
        <v>2308</v>
      </c>
    </row>
    <row r="1387" spans="1:8" hidden="1">
      <c r="A1387" s="1212"/>
      <c r="B1387" s="1212"/>
      <c r="C1387" s="1754"/>
      <c r="D1387" s="1212"/>
      <c r="E1387" s="1218" t="s">
        <v>161</v>
      </c>
      <c r="F1387" s="1218" t="s">
        <v>162</v>
      </c>
      <c r="G1387" s="1217" t="s">
        <v>163</v>
      </c>
      <c r="H1387" s="1205" t="s">
        <v>2308</v>
      </c>
    </row>
    <row r="1388" spans="1:8" hidden="1">
      <c r="A1388" s="1212"/>
      <c r="B1388" s="1212"/>
      <c r="C1388" s="1754" t="s">
        <v>1274</v>
      </c>
      <c r="D1388" s="1212"/>
      <c r="E1388" s="1213">
        <f>G1386</f>
        <v>2705.1</v>
      </c>
      <c r="F1388" s="1213">
        <f>G1386</f>
        <v>2705.1</v>
      </c>
      <c r="G1388" s="1215">
        <f>G1386</f>
        <v>2705.1</v>
      </c>
      <c r="H1388" s="1205" t="s">
        <v>2308</v>
      </c>
    </row>
    <row r="1389" spans="1:8" hidden="1">
      <c r="A1389" s="1212"/>
      <c r="B1389" s="1212"/>
      <c r="C1389" s="1752" t="s">
        <v>1653</v>
      </c>
      <c r="D1389" s="1213">
        <v>10</v>
      </c>
      <c r="E1389" s="1213">
        <f>D1389*'MINI SSR 2020-21'!$E$36</f>
        <v>10.3</v>
      </c>
      <c r="F1389" s="1213">
        <f>E1389</f>
        <v>10.3</v>
      </c>
      <c r="G1389" s="1215">
        <f>E1389</f>
        <v>10.3</v>
      </c>
      <c r="H1389" s="1205" t="s">
        <v>2308</v>
      </c>
    </row>
    <row r="1390" spans="1:8" hidden="1">
      <c r="A1390" s="1212"/>
      <c r="B1390" s="1212"/>
      <c r="C1390" s="1752" t="s">
        <v>1656</v>
      </c>
      <c r="D1390" s="1213">
        <v>10</v>
      </c>
      <c r="E1390" s="1213">
        <f>ROUND(D1390*'MINI SSR 2020-21'!F36,2)</f>
        <v>79.5</v>
      </c>
      <c r="F1390" s="1213">
        <f>ROUND(D1390*'MINI SSR 2020-21'!G36,2)</f>
        <v>113.8</v>
      </c>
      <c r="G1390" s="1215">
        <f>ROUND(D1390*'MINI SSR 2020-21'!H36,2)</f>
        <v>148.1</v>
      </c>
      <c r="H1390" s="1205" t="s">
        <v>2308</v>
      </c>
    </row>
    <row r="1391" spans="1:8" ht="25.5" hidden="1">
      <c r="A1391" s="1212"/>
      <c r="B1391" s="1212"/>
      <c r="C1391" s="1752" t="s">
        <v>1286</v>
      </c>
      <c r="D1391" s="1212"/>
      <c r="E1391" s="1212"/>
      <c r="F1391" s="1213">
        <f>ROUND((G1383+G1384+G1385+F1390)*0.1,2)</f>
        <v>217.43</v>
      </c>
      <c r="G1391" s="1215">
        <f>ROUND((G1383+G1384+G1385+G1390)*0.2,2)</f>
        <v>441.72</v>
      </c>
      <c r="H1391" s="1205" t="s">
        <v>2308</v>
      </c>
    </row>
    <row r="1392" spans="1:8" hidden="1">
      <c r="A1392" s="1212"/>
      <c r="B1392" s="1212"/>
      <c r="C1392" s="1754" t="s">
        <v>88</v>
      </c>
      <c r="D1392" s="1212"/>
      <c r="E1392" s="1213">
        <f>SUM(E1388:E1391)</f>
        <v>2794.9</v>
      </c>
      <c r="F1392" s="1213">
        <f>SUM(F1388:F1391)</f>
        <v>3046.63</v>
      </c>
      <c r="G1392" s="1215">
        <f>SUM(G1388:G1391)</f>
        <v>3305.2200000000003</v>
      </c>
      <c r="H1392" s="1205" t="s">
        <v>2308</v>
      </c>
    </row>
    <row r="1393" spans="1:8" hidden="1">
      <c r="A1393" s="1212"/>
      <c r="B1393" s="1212"/>
      <c r="C1393" s="1754" t="s">
        <v>121</v>
      </c>
      <c r="D1393" s="1212"/>
      <c r="E1393" s="1217">
        <f>ROUND(E1392/10,2)</f>
        <v>279.49</v>
      </c>
      <c r="F1393" s="1217">
        <f>ROUND(F1392/10,2)</f>
        <v>304.66000000000003</v>
      </c>
      <c r="G1393" s="1222">
        <f>ROUND(G1392/10,2)</f>
        <v>330.52</v>
      </c>
      <c r="H1393" s="1205" t="s">
        <v>2308</v>
      </c>
    </row>
    <row r="1394" spans="1:8" ht="89.25" hidden="1">
      <c r="A1394" s="1156">
        <v>34</v>
      </c>
      <c r="B1394" s="1218" t="s">
        <v>89</v>
      </c>
      <c r="C1394" s="1752" t="s">
        <v>1307</v>
      </c>
      <c r="D1394" s="1212"/>
      <c r="E1394" s="1212"/>
      <c r="F1394" s="1212"/>
      <c r="G1394" s="1218" t="s">
        <v>89</v>
      </c>
      <c r="H1394" s="1205" t="s">
        <v>2308</v>
      </c>
    </row>
    <row r="1395" spans="1:8" hidden="1">
      <c r="A1395" s="1156"/>
      <c r="B1395" s="1218"/>
      <c r="C1395" s="1754" t="s">
        <v>42</v>
      </c>
      <c r="D1395" s="1212"/>
      <c r="E1395" s="1212"/>
      <c r="F1395" s="1212"/>
      <c r="G1395" s="1215"/>
      <c r="H1395" s="1205" t="s">
        <v>2308</v>
      </c>
    </row>
    <row r="1396" spans="1:8" hidden="1">
      <c r="A1396" s="1156"/>
      <c r="B1396" s="1218"/>
      <c r="C1396" s="1754" t="s">
        <v>60</v>
      </c>
      <c r="D1396" s="1212"/>
      <c r="E1396" s="1212"/>
      <c r="F1396" s="1212"/>
      <c r="G1396" s="1215"/>
      <c r="H1396" s="1205" t="s">
        <v>2308</v>
      </c>
    </row>
    <row r="1397" spans="1:8" hidden="1">
      <c r="A1397" s="1156"/>
      <c r="B1397" s="1218"/>
      <c r="C1397" s="1752" t="s">
        <v>43</v>
      </c>
      <c r="D1397" s="1212" t="s">
        <v>35</v>
      </c>
      <c r="E1397" s="1213">
        <v>0.21</v>
      </c>
      <c r="F1397" s="1213">
        <f>G928</f>
        <v>3971.9300000000003</v>
      </c>
      <c r="G1397" s="1214">
        <f>ROUND(E1397*F1397,2)</f>
        <v>834.11</v>
      </c>
      <c r="H1397" s="1205" t="s">
        <v>2308</v>
      </c>
    </row>
    <row r="1398" spans="1:8" hidden="1">
      <c r="A1398" s="1212"/>
      <c r="B1398" s="1212"/>
      <c r="C1398" s="1754" t="s">
        <v>68</v>
      </c>
      <c r="D1398" s="1212"/>
      <c r="E1398" s="1213"/>
      <c r="F1398" s="1213"/>
      <c r="G1398" s="1214"/>
      <c r="H1398" s="1205" t="s">
        <v>2308</v>
      </c>
    </row>
    <row r="1399" spans="1:8" hidden="1">
      <c r="A1399" s="1212"/>
      <c r="B1399" s="1212"/>
      <c r="C1399" s="1752" t="s">
        <v>64</v>
      </c>
      <c r="D1399" s="1212" t="s">
        <v>27</v>
      </c>
      <c r="E1399" s="1213">
        <v>0.45</v>
      </c>
      <c r="F1399" s="1213">
        <f>'MINI SSR 2020-21'!$H$3</f>
        <v>550</v>
      </c>
      <c r="G1399" s="1214">
        <f>ROUND(E1399*F1399,2)</f>
        <v>247.5</v>
      </c>
      <c r="H1399" s="1205" t="s">
        <v>2308</v>
      </c>
    </row>
    <row r="1400" spans="1:8" hidden="1">
      <c r="A1400" s="1212"/>
      <c r="B1400" s="1212"/>
      <c r="C1400" s="1752" t="s">
        <v>69</v>
      </c>
      <c r="D1400" s="1212" t="s">
        <v>27</v>
      </c>
      <c r="E1400" s="1213">
        <v>1.05</v>
      </c>
      <c r="F1400" s="1213">
        <f>'MINI SSR 2020-21'!$H$4</f>
        <v>500</v>
      </c>
      <c r="G1400" s="1214">
        <f>ROUND(E1400*F1400,2)</f>
        <v>525</v>
      </c>
      <c r="H1400" s="1205" t="s">
        <v>2308</v>
      </c>
    </row>
    <row r="1401" spans="1:8" hidden="1">
      <c r="A1401" s="1212"/>
      <c r="B1401" s="1212"/>
      <c r="C1401" s="1752" t="s">
        <v>85</v>
      </c>
      <c r="D1401" s="1212" t="s">
        <v>27</v>
      </c>
      <c r="E1401" s="1213">
        <v>2.8</v>
      </c>
      <c r="F1401" s="1213">
        <f>'MINI SSR 2020-21'!$H$5</f>
        <v>460</v>
      </c>
      <c r="G1401" s="1214">
        <f>ROUND(E1401*F1401,2)</f>
        <v>1288</v>
      </c>
      <c r="H1401" s="1205" t="s">
        <v>2308</v>
      </c>
    </row>
    <row r="1402" spans="1:8" hidden="1">
      <c r="A1402" s="1212"/>
      <c r="B1402" s="1212"/>
      <c r="C1402" s="1754" t="s">
        <v>88</v>
      </c>
      <c r="D1402" s="1212"/>
      <c r="E1402" s="1212"/>
      <c r="F1402" s="1212"/>
      <c r="G1402" s="1222">
        <f>SUM(G1397:G1401)</f>
        <v>2894.61</v>
      </c>
      <c r="H1402" s="1205" t="s">
        <v>2308</v>
      </c>
    </row>
    <row r="1403" spans="1:8" hidden="1">
      <c r="A1403" s="1212"/>
      <c r="B1403" s="1212"/>
      <c r="C1403" s="1754"/>
      <c r="D1403" s="1212"/>
      <c r="E1403" s="1218" t="s">
        <v>161</v>
      </c>
      <c r="F1403" s="1218" t="s">
        <v>162</v>
      </c>
      <c r="G1403" s="1217" t="s">
        <v>163</v>
      </c>
      <c r="H1403" s="1205" t="s">
        <v>2308</v>
      </c>
    </row>
    <row r="1404" spans="1:8" hidden="1">
      <c r="A1404" s="1212"/>
      <c r="B1404" s="1212"/>
      <c r="C1404" s="1754" t="s">
        <v>1274</v>
      </c>
      <c r="D1404" s="1212"/>
      <c r="E1404" s="1213">
        <f>G1402</f>
        <v>2894.61</v>
      </c>
      <c r="F1404" s="1213">
        <f>G1402</f>
        <v>2894.61</v>
      </c>
      <c r="G1404" s="1215">
        <f>G1402</f>
        <v>2894.61</v>
      </c>
      <c r="H1404" s="1205" t="s">
        <v>2308</v>
      </c>
    </row>
    <row r="1405" spans="1:8" hidden="1">
      <c r="A1405" s="1212"/>
      <c r="B1405" s="1212"/>
      <c r="C1405" s="1752" t="s">
        <v>1653</v>
      </c>
      <c r="D1405" s="1213">
        <v>10</v>
      </c>
      <c r="E1405" s="1213">
        <f>D1405*'MINI SSR 2020-21'!$E$36</f>
        <v>10.3</v>
      </c>
      <c r="F1405" s="1213">
        <f>E1405</f>
        <v>10.3</v>
      </c>
      <c r="G1405" s="1215">
        <f>E1405</f>
        <v>10.3</v>
      </c>
      <c r="H1405" s="1205" t="s">
        <v>2308</v>
      </c>
    </row>
    <row r="1406" spans="1:8" hidden="1">
      <c r="A1406" s="1212"/>
      <c r="B1406" s="1212"/>
      <c r="C1406" s="1752" t="s">
        <v>1656</v>
      </c>
      <c r="D1406" s="1213">
        <v>10</v>
      </c>
      <c r="E1406" s="1213">
        <f>ROUND(D1406*'MINI SSR 2020-21'!F36,2)</f>
        <v>79.5</v>
      </c>
      <c r="F1406" s="1213">
        <f>ROUND(D1406*'MINI SSR 2020-21'!G36,2)</f>
        <v>113.8</v>
      </c>
      <c r="G1406" s="1215">
        <f>ROUND(D1406*'MINI SSR 2020-21'!H36,2)</f>
        <v>148.1</v>
      </c>
      <c r="H1406" s="1205" t="s">
        <v>2308</v>
      </c>
    </row>
    <row r="1407" spans="1:8" ht="25.5" hidden="1">
      <c r="A1407" s="1212"/>
      <c r="B1407" s="1212"/>
      <c r="C1407" s="1752" t="s">
        <v>1286</v>
      </c>
      <c r="D1407" s="1212"/>
      <c r="E1407" s="1212"/>
      <c r="F1407" s="1213">
        <f>ROUND((G1399+G1400+G1401+F1406)*0.1,2)</f>
        <v>217.43</v>
      </c>
      <c r="G1407" s="1215">
        <f>ROUND((G1399+G1400+G1401+G1406)*0.2,2)</f>
        <v>441.72</v>
      </c>
      <c r="H1407" s="1205" t="s">
        <v>2308</v>
      </c>
    </row>
    <row r="1408" spans="1:8" hidden="1">
      <c r="A1408" s="1212"/>
      <c r="B1408" s="1212"/>
      <c r="C1408" s="1754" t="s">
        <v>88</v>
      </c>
      <c r="D1408" s="1212"/>
      <c r="E1408" s="1213">
        <f>SUM(E1404:E1407)</f>
        <v>2984.4100000000003</v>
      </c>
      <c r="F1408" s="1213">
        <f>SUM(F1404:F1407)</f>
        <v>3236.1400000000003</v>
      </c>
      <c r="G1408" s="1215">
        <f>SUM(G1404:G1407)</f>
        <v>3494.7300000000005</v>
      </c>
      <c r="H1408" s="1205" t="s">
        <v>2308</v>
      </c>
    </row>
    <row r="1409" spans="1:8" hidden="1">
      <c r="A1409" s="1212"/>
      <c r="B1409" s="1212"/>
      <c r="C1409" s="1754" t="s">
        <v>121</v>
      </c>
      <c r="D1409" s="1212"/>
      <c r="E1409" s="1217">
        <f>ROUND(E1408/10,2)</f>
        <v>298.44</v>
      </c>
      <c r="F1409" s="1217">
        <f>ROUND(F1408/10,2)</f>
        <v>323.61</v>
      </c>
      <c r="G1409" s="1222">
        <f>ROUND(G1408/10,2)</f>
        <v>349.47</v>
      </c>
      <c r="H1409" s="1205" t="s">
        <v>2308</v>
      </c>
    </row>
    <row r="1410" spans="1:8" ht="102" hidden="1">
      <c r="A1410" s="1156">
        <v>26</v>
      </c>
      <c r="B1410" s="1218" t="s">
        <v>1348</v>
      </c>
      <c r="C1410" s="1752" t="s">
        <v>808</v>
      </c>
      <c r="D1410" s="1212"/>
      <c r="E1410" s="1212"/>
      <c r="F1410" s="1212"/>
      <c r="G1410" s="1218"/>
      <c r="H1410" s="1205" t="s">
        <v>2308</v>
      </c>
    </row>
    <row r="1411" spans="1:8" hidden="1">
      <c r="A1411" s="1156"/>
      <c r="B1411" s="1218"/>
      <c r="C1411" s="1754" t="s">
        <v>42</v>
      </c>
      <c r="D1411" s="1212"/>
      <c r="E1411" s="1212"/>
      <c r="F1411" s="1212"/>
      <c r="G1411" s="1215"/>
      <c r="H1411" s="1205" t="s">
        <v>2308</v>
      </c>
    </row>
    <row r="1412" spans="1:8" hidden="1">
      <c r="A1412" s="1156"/>
      <c r="B1412" s="1218"/>
      <c r="C1412" s="1754" t="s">
        <v>317</v>
      </c>
      <c r="D1412" s="1212"/>
      <c r="E1412" s="1212"/>
      <c r="F1412" s="1212"/>
      <c r="G1412" s="1215"/>
      <c r="H1412" s="1205" t="s">
        <v>2308</v>
      </c>
    </row>
    <row r="1413" spans="1:8" hidden="1">
      <c r="A1413" s="1156"/>
      <c r="B1413" s="1218"/>
      <c r="C1413" s="1752" t="s">
        <v>107</v>
      </c>
      <c r="D1413" s="1212" t="s">
        <v>4</v>
      </c>
      <c r="E1413" s="1213">
        <v>31.7</v>
      </c>
      <c r="F1413" s="1213">
        <f>'lead 20-21'!L8</f>
        <v>4700</v>
      </c>
      <c r="G1413" s="1214">
        <f>ROUND(E1413*F1413/1000,2)</f>
        <v>148.99</v>
      </c>
      <c r="H1413" s="1205" t="s">
        <v>2308</v>
      </c>
    </row>
    <row r="1414" spans="1:8" hidden="1">
      <c r="A1414" s="1156"/>
      <c r="B1414" s="1218"/>
      <c r="C1414" s="1752" t="s">
        <v>318</v>
      </c>
      <c r="D1414" s="1212" t="s">
        <v>35</v>
      </c>
      <c r="E1414" s="1213">
        <v>0.11</v>
      </c>
      <c r="F1414" s="1213">
        <f>'lead 20-21'!L12</f>
        <v>1546.600000000001</v>
      </c>
      <c r="G1414" s="1214">
        <f>ROUND(E1414*F1414,2)</f>
        <v>170.13</v>
      </c>
      <c r="H1414" s="1205" t="s">
        <v>2308</v>
      </c>
    </row>
    <row r="1415" spans="1:8" hidden="1">
      <c r="A1415" s="1156"/>
      <c r="B1415" s="1218"/>
      <c r="C1415" s="1754" t="s">
        <v>319</v>
      </c>
      <c r="D1415" s="1212"/>
      <c r="E1415" s="1212"/>
      <c r="F1415" s="1212"/>
      <c r="G1415" s="1215"/>
      <c r="H1415" s="1205" t="s">
        <v>2308</v>
      </c>
    </row>
    <row r="1416" spans="1:8" hidden="1">
      <c r="A1416" s="1156"/>
      <c r="B1416" s="1218"/>
      <c r="C1416" s="1752" t="s">
        <v>107</v>
      </c>
      <c r="D1416" s="1212" t="s">
        <v>4</v>
      </c>
      <c r="E1416" s="1213">
        <v>19.2</v>
      </c>
      <c r="F1416" s="1213">
        <f>F1413</f>
        <v>4700</v>
      </c>
      <c r="G1416" s="1214">
        <f>ROUND(E1416*F1416/1000,2)</f>
        <v>90.24</v>
      </c>
      <c r="H1416" s="1205" t="s">
        <v>2308</v>
      </c>
    </row>
    <row r="1417" spans="1:8" hidden="1">
      <c r="A1417" s="1156"/>
      <c r="B1417" s="1218"/>
      <c r="C1417" s="1752" t="s">
        <v>318</v>
      </c>
      <c r="D1417" s="1212" t="s">
        <v>35</v>
      </c>
      <c r="E1417" s="1213">
        <v>0.04</v>
      </c>
      <c r="F1417" s="1213">
        <f>F1414</f>
        <v>1546.600000000001</v>
      </c>
      <c r="G1417" s="1214">
        <f>ROUND(E1417*F1417,2)</f>
        <v>61.86</v>
      </c>
      <c r="H1417" s="1205" t="s">
        <v>2308</v>
      </c>
    </row>
    <row r="1418" spans="1:8" hidden="1">
      <c r="A1418" s="1212"/>
      <c r="B1418" s="1212"/>
      <c r="C1418" s="1754" t="s">
        <v>68</v>
      </c>
      <c r="D1418" s="1212"/>
      <c r="E1418" s="1213"/>
      <c r="F1418" s="1213"/>
      <c r="G1418" s="1214"/>
      <c r="H1418" s="1205" t="s">
        <v>2308</v>
      </c>
    </row>
    <row r="1419" spans="1:8" hidden="1">
      <c r="A1419" s="1212"/>
      <c r="B1419" s="1212"/>
      <c r="C1419" s="1752" t="s">
        <v>64</v>
      </c>
      <c r="D1419" s="1212" t="s">
        <v>27</v>
      </c>
      <c r="E1419" s="1213">
        <v>0.63</v>
      </c>
      <c r="F1419" s="1213">
        <f>'MINI SSR 2020-21'!$H$3</f>
        <v>550</v>
      </c>
      <c r="G1419" s="1214">
        <f>ROUND(E1419*F1419,2)</f>
        <v>346.5</v>
      </c>
      <c r="H1419" s="1205" t="s">
        <v>2308</v>
      </c>
    </row>
    <row r="1420" spans="1:8" hidden="1">
      <c r="A1420" s="1212"/>
      <c r="B1420" s="1212"/>
      <c r="C1420" s="1752" t="s">
        <v>69</v>
      </c>
      <c r="D1420" s="1212" t="s">
        <v>27</v>
      </c>
      <c r="E1420" s="1213">
        <v>1.47</v>
      </c>
      <c r="F1420" s="1213">
        <f>'MINI SSR 2020-21'!$H$4</f>
        <v>500</v>
      </c>
      <c r="G1420" s="1214">
        <f>ROUND(E1420*F1420,2)</f>
        <v>735</v>
      </c>
      <c r="H1420" s="1205" t="s">
        <v>2308</v>
      </c>
    </row>
    <row r="1421" spans="1:8" hidden="1">
      <c r="A1421" s="1212"/>
      <c r="B1421" s="1212"/>
      <c r="C1421" s="1752" t="s">
        <v>85</v>
      </c>
      <c r="D1421" s="1212" t="s">
        <v>27</v>
      </c>
      <c r="E1421" s="1213">
        <v>3.9</v>
      </c>
      <c r="F1421" s="1213">
        <f>'MINI SSR 2020-21'!$H$5</f>
        <v>460</v>
      </c>
      <c r="G1421" s="1214">
        <f>ROUND(E1421*F1421,2)</f>
        <v>1794</v>
      </c>
      <c r="H1421" s="1205" t="s">
        <v>2308</v>
      </c>
    </row>
    <row r="1422" spans="1:8" hidden="1">
      <c r="A1422" s="1212"/>
      <c r="B1422" s="1212"/>
      <c r="C1422" s="1754" t="s">
        <v>88</v>
      </c>
      <c r="D1422" s="1212"/>
      <c r="E1422" s="1212"/>
      <c r="F1422" s="1212"/>
      <c r="G1422" s="1222">
        <f>SUM(G1413:G1421)</f>
        <v>3346.7200000000003</v>
      </c>
      <c r="H1422" s="1205" t="s">
        <v>2308</v>
      </c>
    </row>
    <row r="1423" spans="1:8" hidden="1">
      <c r="A1423" s="1212"/>
      <c r="B1423" s="1212"/>
      <c r="C1423" s="1754"/>
      <c r="D1423" s="1212"/>
      <c r="E1423" s="1218" t="s">
        <v>161</v>
      </c>
      <c r="F1423" s="1218" t="s">
        <v>162</v>
      </c>
      <c r="G1423" s="1217" t="s">
        <v>163</v>
      </c>
      <c r="H1423" s="1205" t="s">
        <v>2308</v>
      </c>
    </row>
    <row r="1424" spans="1:8" hidden="1">
      <c r="A1424" s="1212"/>
      <c r="B1424" s="1212"/>
      <c r="C1424" s="1754" t="s">
        <v>1274</v>
      </c>
      <c r="D1424" s="1212"/>
      <c r="E1424" s="1213">
        <f>G1422</f>
        <v>3346.7200000000003</v>
      </c>
      <c r="F1424" s="1213">
        <f>G1422</f>
        <v>3346.7200000000003</v>
      </c>
      <c r="G1424" s="1215">
        <f>F1424</f>
        <v>3346.7200000000003</v>
      </c>
      <c r="H1424" s="1205" t="s">
        <v>2308</v>
      </c>
    </row>
    <row r="1425" spans="1:8" hidden="1">
      <c r="A1425" s="1212"/>
      <c r="B1425" s="1212"/>
      <c r="C1425" s="1752" t="s">
        <v>1653</v>
      </c>
      <c r="D1425" s="1213">
        <v>10</v>
      </c>
      <c r="E1425" s="1213">
        <f>D1425*'MINI SSR 2020-21'!$E$36</f>
        <v>10.3</v>
      </c>
      <c r="F1425" s="1213">
        <f>E1425</f>
        <v>10.3</v>
      </c>
      <c r="G1425" s="1215">
        <f>F1425</f>
        <v>10.3</v>
      </c>
      <c r="H1425" s="1205" t="s">
        <v>2308</v>
      </c>
    </row>
    <row r="1426" spans="1:8" hidden="1">
      <c r="A1426" s="1212"/>
      <c r="B1426" s="1212"/>
      <c r="C1426" s="1752" t="s">
        <v>1654</v>
      </c>
      <c r="D1426" s="1213">
        <v>10</v>
      </c>
      <c r="E1426" s="1213">
        <f>ROUND(D1426*'MINI SSR 2020-21'!F36,2)</f>
        <v>79.5</v>
      </c>
      <c r="F1426" s="1213">
        <f>ROUND(D1426*'MINI SSR 2020-21'!G36,2)</f>
        <v>113.8</v>
      </c>
      <c r="G1426" s="1215">
        <f>ROUND(D1426*'MINI SSR 2020-21'!H36,2)</f>
        <v>148.1</v>
      </c>
      <c r="H1426" s="1205" t="s">
        <v>2308</v>
      </c>
    </row>
    <row r="1427" spans="1:8" ht="25.5" hidden="1">
      <c r="A1427" s="1212"/>
      <c r="B1427" s="1212"/>
      <c r="C1427" s="1752" t="s">
        <v>1286</v>
      </c>
      <c r="D1427" s="1212"/>
      <c r="E1427" s="1212"/>
      <c r="F1427" s="1213">
        <f>ROUND((G1419+G1420+G1421+F1426)*0.1,2)</f>
        <v>298.93</v>
      </c>
      <c r="G1427" s="1215">
        <f>ROUND((G1419+G1420+G1421+G1426)*0.2,2)</f>
        <v>604.72</v>
      </c>
      <c r="H1427" s="1205" t="s">
        <v>2308</v>
      </c>
    </row>
    <row r="1428" spans="1:8" hidden="1">
      <c r="A1428" s="1212"/>
      <c r="B1428" s="1212"/>
      <c r="C1428" s="1754" t="s">
        <v>88</v>
      </c>
      <c r="D1428" s="1212"/>
      <c r="E1428" s="1213">
        <f>SUM(E1424:E1427)</f>
        <v>3436.5200000000004</v>
      </c>
      <c r="F1428" s="1213">
        <f>SUM(F1424:F1427)</f>
        <v>3769.7500000000005</v>
      </c>
      <c r="G1428" s="1215">
        <f>SUM(G1424:G1427)</f>
        <v>4109.84</v>
      </c>
      <c r="H1428" s="1205" t="s">
        <v>2308</v>
      </c>
    </row>
    <row r="1429" spans="1:8" hidden="1">
      <c r="A1429" s="1212"/>
      <c r="B1429" s="1212"/>
      <c r="C1429" s="1754" t="s">
        <v>121</v>
      </c>
      <c r="D1429" s="1212"/>
      <c r="E1429" s="1217">
        <f>ROUND(E1428/10,2)</f>
        <v>343.65</v>
      </c>
      <c r="F1429" s="1217">
        <f>ROUND(F1428/10,2)</f>
        <v>376.98</v>
      </c>
      <c r="G1429" s="1222">
        <f>ROUND(G1428/10,2)</f>
        <v>410.98</v>
      </c>
      <c r="H1429" s="1205" t="s">
        <v>2308</v>
      </c>
    </row>
    <row r="1430" spans="1:8" ht="102" hidden="1">
      <c r="A1430" s="1156">
        <v>27</v>
      </c>
      <c r="B1430" s="1218" t="s">
        <v>1349</v>
      </c>
      <c r="C1430" s="1752" t="s">
        <v>316</v>
      </c>
      <c r="D1430" s="1212"/>
      <c r="E1430" s="1212"/>
      <c r="F1430" s="1212"/>
      <c r="G1430" s="1218"/>
      <c r="H1430" s="1205" t="s">
        <v>2308</v>
      </c>
    </row>
    <row r="1431" spans="1:8" hidden="1">
      <c r="A1431" s="1156"/>
      <c r="B1431" s="1218"/>
      <c r="C1431" s="1754" t="s">
        <v>42</v>
      </c>
      <c r="D1431" s="1212"/>
      <c r="E1431" s="1212"/>
      <c r="F1431" s="1212"/>
      <c r="G1431" s="1215"/>
      <c r="H1431" s="1205" t="s">
        <v>2308</v>
      </c>
    </row>
    <row r="1432" spans="1:8" hidden="1">
      <c r="A1432" s="1156"/>
      <c r="B1432" s="1218"/>
      <c r="C1432" s="1754" t="s">
        <v>317</v>
      </c>
      <c r="D1432" s="1212"/>
      <c r="E1432" s="1212"/>
      <c r="F1432" s="1212"/>
      <c r="G1432" s="1215"/>
      <c r="H1432" s="1205" t="s">
        <v>2308</v>
      </c>
    </row>
    <row r="1433" spans="1:8" hidden="1">
      <c r="A1433" s="1156"/>
      <c r="B1433" s="1218"/>
      <c r="C1433" s="1752" t="s">
        <v>107</v>
      </c>
      <c r="D1433" s="1212" t="s">
        <v>4</v>
      </c>
      <c r="E1433" s="1213">
        <v>43</v>
      </c>
      <c r="F1433" s="1213">
        <f>F1413</f>
        <v>4700</v>
      </c>
      <c r="G1433" s="1214">
        <f>ROUND(E1433*F1433/1000,2)</f>
        <v>202.1</v>
      </c>
      <c r="H1433" s="1205" t="s">
        <v>2308</v>
      </c>
    </row>
    <row r="1434" spans="1:8" hidden="1">
      <c r="A1434" s="1156"/>
      <c r="B1434" s="1218"/>
      <c r="C1434" s="1752" t="s">
        <v>318</v>
      </c>
      <c r="D1434" s="1212" t="s">
        <v>35</v>
      </c>
      <c r="E1434" s="1213">
        <v>0.18</v>
      </c>
      <c r="F1434" s="1213">
        <f>F1414</f>
        <v>1546.600000000001</v>
      </c>
      <c r="G1434" s="1214">
        <f>ROUND(E1434*F1434,2)</f>
        <v>278.39</v>
      </c>
      <c r="H1434" s="1205" t="s">
        <v>2308</v>
      </c>
    </row>
    <row r="1435" spans="1:8" hidden="1">
      <c r="A1435" s="1156"/>
      <c r="B1435" s="1218"/>
      <c r="C1435" s="1754" t="s">
        <v>319</v>
      </c>
      <c r="D1435" s="1212"/>
      <c r="E1435" s="1212"/>
      <c r="F1435" s="1212"/>
      <c r="G1435" s="1215"/>
      <c r="H1435" s="1205" t="s">
        <v>2308</v>
      </c>
    </row>
    <row r="1436" spans="1:8" hidden="1">
      <c r="A1436" s="1156"/>
      <c r="B1436" s="1218"/>
      <c r="C1436" s="1752" t="s">
        <v>107</v>
      </c>
      <c r="D1436" s="1212" t="s">
        <v>4</v>
      </c>
      <c r="E1436" s="1213">
        <v>14.5</v>
      </c>
      <c r="F1436" s="1213">
        <f>F1433</f>
        <v>4700</v>
      </c>
      <c r="G1436" s="1214">
        <f>ROUND(E1436*F1436/1000,2)</f>
        <v>68.150000000000006</v>
      </c>
      <c r="H1436" s="1205" t="s">
        <v>2308</v>
      </c>
    </row>
    <row r="1437" spans="1:8" hidden="1">
      <c r="A1437" s="1156"/>
      <c r="B1437" s="1218"/>
      <c r="C1437" s="1752" t="s">
        <v>318</v>
      </c>
      <c r="D1437" s="1212" t="s">
        <v>35</v>
      </c>
      <c r="E1437" s="1213">
        <v>0.04</v>
      </c>
      <c r="F1437" s="1213">
        <f>F1434</f>
        <v>1546.600000000001</v>
      </c>
      <c r="G1437" s="1214">
        <f>ROUND(E1437*F1437,2)</f>
        <v>61.86</v>
      </c>
      <c r="H1437" s="1205" t="s">
        <v>2308</v>
      </c>
    </row>
    <row r="1438" spans="1:8" hidden="1">
      <c r="A1438" s="1212"/>
      <c r="B1438" s="1212"/>
      <c r="C1438" s="1754" t="s">
        <v>68</v>
      </c>
      <c r="D1438" s="1212"/>
      <c r="E1438" s="1213"/>
      <c r="F1438" s="1213"/>
      <c r="G1438" s="1214"/>
      <c r="H1438" s="1205" t="s">
        <v>2308</v>
      </c>
    </row>
    <row r="1439" spans="1:8" hidden="1">
      <c r="A1439" s="1212"/>
      <c r="B1439" s="1212"/>
      <c r="C1439" s="1752" t="s">
        <v>64</v>
      </c>
      <c r="D1439" s="1212" t="s">
        <v>27</v>
      </c>
      <c r="E1439" s="1213">
        <v>0.63</v>
      </c>
      <c r="F1439" s="1213">
        <f>'MINI SSR 2020-21'!$H$3</f>
        <v>550</v>
      </c>
      <c r="G1439" s="1214">
        <f>ROUND(E1439*F1439,2)</f>
        <v>346.5</v>
      </c>
      <c r="H1439" s="1205" t="s">
        <v>2308</v>
      </c>
    </row>
    <row r="1440" spans="1:8" hidden="1">
      <c r="A1440" s="1212"/>
      <c r="B1440" s="1212"/>
      <c r="C1440" s="1752" t="s">
        <v>69</v>
      </c>
      <c r="D1440" s="1212" t="s">
        <v>27</v>
      </c>
      <c r="E1440" s="1213">
        <v>1.47</v>
      </c>
      <c r="F1440" s="1213">
        <f>'MINI SSR 2020-21'!$H$4</f>
        <v>500</v>
      </c>
      <c r="G1440" s="1214">
        <f>ROUND(E1440*F1440,2)</f>
        <v>735</v>
      </c>
      <c r="H1440" s="1205" t="s">
        <v>2308</v>
      </c>
    </row>
    <row r="1441" spans="1:8" hidden="1">
      <c r="A1441" s="1212"/>
      <c r="B1441" s="1212"/>
      <c r="C1441" s="1752" t="s">
        <v>85</v>
      </c>
      <c r="D1441" s="1212" t="s">
        <v>27</v>
      </c>
      <c r="E1441" s="1213">
        <v>3.9</v>
      </c>
      <c r="F1441" s="1213">
        <f>'MINI SSR 2020-21'!$H$5</f>
        <v>460</v>
      </c>
      <c r="G1441" s="1214">
        <f>ROUND(E1441*F1441,2)</f>
        <v>1794</v>
      </c>
      <c r="H1441" s="1205" t="s">
        <v>2308</v>
      </c>
    </row>
    <row r="1442" spans="1:8" hidden="1">
      <c r="A1442" s="1212"/>
      <c r="B1442" s="1212"/>
      <c r="C1442" s="1754" t="s">
        <v>88</v>
      </c>
      <c r="D1442" s="1212"/>
      <c r="E1442" s="1212"/>
      <c r="F1442" s="1212"/>
      <c r="G1442" s="1222">
        <f>SUM(G1433:G1441)</f>
        <v>3486</v>
      </c>
      <c r="H1442" s="1205" t="s">
        <v>2308</v>
      </c>
    </row>
    <row r="1443" spans="1:8" hidden="1">
      <c r="A1443" s="1212"/>
      <c r="B1443" s="1212"/>
      <c r="C1443" s="1754"/>
      <c r="D1443" s="1212"/>
      <c r="E1443" s="1218" t="s">
        <v>161</v>
      </c>
      <c r="F1443" s="1218" t="s">
        <v>162</v>
      </c>
      <c r="G1443" s="1217" t="s">
        <v>163</v>
      </c>
      <c r="H1443" s="1205" t="s">
        <v>2308</v>
      </c>
    </row>
    <row r="1444" spans="1:8" hidden="1">
      <c r="A1444" s="1212"/>
      <c r="B1444" s="1212"/>
      <c r="C1444" s="1754" t="s">
        <v>1274</v>
      </c>
      <c r="D1444" s="1212"/>
      <c r="E1444" s="1213">
        <f>G1442</f>
        <v>3486</v>
      </c>
      <c r="F1444" s="1213">
        <f>G1442</f>
        <v>3486</v>
      </c>
      <c r="G1444" s="1215">
        <f>F1444</f>
        <v>3486</v>
      </c>
      <c r="H1444" s="1205" t="s">
        <v>2308</v>
      </c>
    </row>
    <row r="1445" spans="1:8" hidden="1">
      <c r="A1445" s="1212"/>
      <c r="B1445" s="1212"/>
      <c r="C1445" s="1752" t="s">
        <v>1653</v>
      </c>
      <c r="D1445" s="1213">
        <v>10</v>
      </c>
      <c r="E1445" s="1213">
        <f>D1445*'MINI SSR 2020-21'!$E$36</f>
        <v>10.3</v>
      </c>
      <c r="F1445" s="1213">
        <f>E1445</f>
        <v>10.3</v>
      </c>
      <c r="G1445" s="1215">
        <f>F1445</f>
        <v>10.3</v>
      </c>
      <c r="H1445" s="1205" t="s">
        <v>2308</v>
      </c>
    </row>
    <row r="1446" spans="1:8" hidden="1">
      <c r="A1446" s="1212"/>
      <c r="B1446" s="1212"/>
      <c r="C1446" s="1752" t="s">
        <v>1656</v>
      </c>
      <c r="D1446" s="1213">
        <v>10</v>
      </c>
      <c r="E1446" s="1213">
        <f>ROUND(D1446*'MINI SSR 2020-21'!F36,2)</f>
        <v>79.5</v>
      </c>
      <c r="F1446" s="1213">
        <f>ROUND(D1446*'MINI SSR 2020-21'!G36,2)</f>
        <v>113.8</v>
      </c>
      <c r="G1446" s="1215">
        <f>ROUND(D1446*'MINI SSR 2020-21'!H36,2)</f>
        <v>148.1</v>
      </c>
      <c r="H1446" s="1205" t="s">
        <v>2308</v>
      </c>
    </row>
    <row r="1447" spans="1:8" ht="25.5" hidden="1">
      <c r="A1447" s="1212"/>
      <c r="B1447" s="1212"/>
      <c r="C1447" s="1752" t="s">
        <v>1286</v>
      </c>
      <c r="D1447" s="1212"/>
      <c r="E1447" s="1212"/>
      <c r="F1447" s="1213">
        <f>ROUND((G1439+G1440+G1441+F1446)*0.1,2)</f>
        <v>298.93</v>
      </c>
      <c r="G1447" s="1215">
        <f>ROUND((G1439+G1440+G1441+G1446)*0.2,2)</f>
        <v>604.72</v>
      </c>
      <c r="H1447" s="1205" t="s">
        <v>2308</v>
      </c>
    </row>
    <row r="1448" spans="1:8" hidden="1">
      <c r="A1448" s="1212"/>
      <c r="B1448" s="1212"/>
      <c r="C1448" s="1754" t="s">
        <v>88</v>
      </c>
      <c r="D1448" s="1212"/>
      <c r="E1448" s="1213">
        <f>SUM(E1444:E1447)</f>
        <v>3575.8</v>
      </c>
      <c r="F1448" s="1213">
        <f>SUM(F1444:F1447)</f>
        <v>3909.03</v>
      </c>
      <c r="G1448" s="1215">
        <f>SUM(G1444:G1447)</f>
        <v>4249.12</v>
      </c>
      <c r="H1448" s="1205" t="s">
        <v>2308</v>
      </c>
    </row>
    <row r="1449" spans="1:8" hidden="1">
      <c r="A1449" s="1212"/>
      <c r="B1449" s="1212"/>
      <c r="C1449" s="1754" t="s">
        <v>121</v>
      </c>
      <c r="D1449" s="1212"/>
      <c r="E1449" s="1217">
        <f>ROUND(E1448/10,2)</f>
        <v>357.58</v>
      </c>
      <c r="F1449" s="1217">
        <f>ROUND(F1448/10,2)</f>
        <v>390.9</v>
      </c>
      <c r="G1449" s="1222">
        <f>ROUND(G1448/10,2)</f>
        <v>424.91</v>
      </c>
      <c r="H1449" s="1205" t="s">
        <v>2308</v>
      </c>
    </row>
    <row r="1450" spans="1:8" ht="165.75" hidden="1">
      <c r="A1450" s="1156">
        <v>28</v>
      </c>
      <c r="B1450" s="1218"/>
      <c r="C1450" s="1752" t="s">
        <v>1171</v>
      </c>
      <c r="D1450" s="1212"/>
      <c r="E1450" s="1212"/>
      <c r="F1450" s="1212"/>
      <c r="G1450" s="1215"/>
      <c r="H1450" s="1205" t="s">
        <v>2308</v>
      </c>
    </row>
    <row r="1451" spans="1:8" hidden="1">
      <c r="A1451" s="1212"/>
      <c r="B1451" s="1212"/>
      <c r="C1451" s="1752" t="s">
        <v>868</v>
      </c>
      <c r="D1451" s="1212"/>
      <c r="E1451" s="1213"/>
      <c r="F1451" s="1213"/>
      <c r="G1451" s="1214"/>
      <c r="H1451" s="1205" t="s">
        <v>2308</v>
      </c>
    </row>
    <row r="1452" spans="1:8" hidden="1">
      <c r="A1452" s="1212"/>
      <c r="B1452" s="1212"/>
      <c r="C1452" s="1752" t="s">
        <v>863</v>
      </c>
      <c r="D1452" s="1212"/>
      <c r="E1452" s="1213"/>
      <c r="F1452" s="1213"/>
      <c r="G1452" s="1214"/>
      <c r="H1452" s="1205" t="s">
        <v>2308</v>
      </c>
    </row>
    <row r="1453" spans="1:8" hidden="1">
      <c r="A1453" s="1212"/>
      <c r="B1453" s="1212"/>
      <c r="C1453" s="1752" t="s">
        <v>1172</v>
      </c>
      <c r="D1453" s="1213" t="s">
        <v>77</v>
      </c>
      <c r="E1453" s="1213">
        <v>13.3</v>
      </c>
      <c r="F1453" s="1216">
        <f>'MINI SSR 2020-21'!C43</f>
        <v>17</v>
      </c>
      <c r="G1453" s="1214">
        <f>ROUND(E1453*F1453,2)</f>
        <v>226.1</v>
      </c>
      <c r="H1453" s="1205" t="s">
        <v>2308</v>
      </c>
    </row>
    <row r="1454" spans="1:8" hidden="1">
      <c r="A1454" s="1156"/>
      <c r="B1454" s="1218"/>
      <c r="C1454" s="1752" t="s">
        <v>1173</v>
      </c>
      <c r="D1454" s="1213" t="s">
        <v>35</v>
      </c>
      <c r="E1454" s="1213">
        <v>0.25</v>
      </c>
      <c r="F1454" s="1216">
        <f>G928</f>
        <v>3971.9300000000003</v>
      </c>
      <c r="G1454" s="1214">
        <f>ROUND(E1454*F1454,2)</f>
        <v>992.98</v>
      </c>
      <c r="H1454" s="1205" t="s">
        <v>2308</v>
      </c>
    </row>
    <row r="1455" spans="1:8" hidden="1">
      <c r="A1455" s="1156"/>
      <c r="B1455" s="1218"/>
      <c r="C1455" s="1752" t="s">
        <v>1174</v>
      </c>
      <c r="D1455" s="1213" t="s">
        <v>90</v>
      </c>
      <c r="E1455" s="1213">
        <v>50</v>
      </c>
      <c r="F1455" s="1216">
        <f>'lead 20-21'!L8</f>
        <v>4700</v>
      </c>
      <c r="G1455" s="1214">
        <f>ROUND(E1455*F1455/1000,2)</f>
        <v>235</v>
      </c>
      <c r="H1455" s="1205" t="s">
        <v>2308</v>
      </c>
    </row>
    <row r="1456" spans="1:8" ht="25.5" hidden="1">
      <c r="A1456" s="1156"/>
      <c r="B1456" s="1218"/>
      <c r="C1456" s="1752" t="s">
        <v>1175</v>
      </c>
      <c r="D1456" s="1213" t="s">
        <v>77</v>
      </c>
      <c r="E1456" s="1213">
        <v>21.8</v>
      </c>
      <c r="F1456" s="1216">
        <f>E1429</f>
        <v>343.65</v>
      </c>
      <c r="G1456" s="1214">
        <f>ROUND(E1456*F1456,2)</f>
        <v>7491.57</v>
      </c>
      <c r="H1456" s="1205" t="s">
        <v>2308</v>
      </c>
    </row>
    <row r="1457" spans="1:8" hidden="1">
      <c r="A1457" s="1156"/>
      <c r="B1457" s="1218"/>
      <c r="C1457" s="1754" t="s">
        <v>1176</v>
      </c>
      <c r="D1457" s="1212"/>
      <c r="E1457" s="1212"/>
      <c r="F1457" s="1216"/>
      <c r="G1457" s="1214"/>
      <c r="H1457" s="1205" t="s">
        <v>2308</v>
      </c>
    </row>
    <row r="1458" spans="1:8" hidden="1">
      <c r="A1458" s="1156"/>
      <c r="B1458" s="1218"/>
      <c r="C1458" s="1752" t="s">
        <v>865</v>
      </c>
      <c r="D1458" s="1213" t="s">
        <v>27</v>
      </c>
      <c r="E1458" s="1213">
        <v>8</v>
      </c>
      <c r="F1458" s="1216">
        <f>'MINI SSR 2020-21'!$H$3</f>
        <v>550</v>
      </c>
      <c r="G1458" s="1214">
        <f>ROUND(E1458*F1458,2)</f>
        <v>4400</v>
      </c>
      <c r="H1458" s="1205" t="s">
        <v>2308</v>
      </c>
    </row>
    <row r="1459" spans="1:8" hidden="1">
      <c r="A1459" s="1156"/>
      <c r="B1459" s="1218"/>
      <c r="C1459" s="1752" t="s">
        <v>1177</v>
      </c>
      <c r="D1459" s="1213" t="s">
        <v>27</v>
      </c>
      <c r="E1459" s="1213">
        <v>1</v>
      </c>
      <c r="F1459" s="1216">
        <f>'MINI SSR 2020-21'!$H$4</f>
        <v>500</v>
      </c>
      <c r="G1459" s="1214">
        <f>ROUND(E1459*F1459,2)</f>
        <v>500</v>
      </c>
      <c r="H1459" s="1205" t="s">
        <v>2308</v>
      </c>
    </row>
    <row r="1460" spans="1:8" hidden="1">
      <c r="A1460" s="1156"/>
      <c r="B1460" s="1218"/>
      <c r="C1460" s="1752" t="s">
        <v>864</v>
      </c>
      <c r="D1460" s="1213" t="s">
        <v>27</v>
      </c>
      <c r="E1460" s="1213">
        <v>10</v>
      </c>
      <c r="F1460" s="1216">
        <f>'MINI SSR 2020-21'!$H$5</f>
        <v>460</v>
      </c>
      <c r="G1460" s="1214">
        <f>ROUND(E1460*F1460,2)</f>
        <v>4600</v>
      </c>
      <c r="H1460" s="1205" t="s">
        <v>2308</v>
      </c>
    </row>
    <row r="1461" spans="1:8" hidden="1">
      <c r="A1461" s="1156"/>
      <c r="B1461" s="1218"/>
      <c r="C1461" s="1754" t="s">
        <v>1178</v>
      </c>
      <c r="D1461" s="1213"/>
      <c r="E1461" s="1213"/>
      <c r="F1461" s="1216"/>
      <c r="G1461" s="1214"/>
      <c r="H1461" s="1205" t="s">
        <v>2308</v>
      </c>
    </row>
    <row r="1462" spans="1:8" ht="25.5" hidden="1">
      <c r="A1462" s="1156"/>
      <c r="B1462" s="1218"/>
      <c r="C1462" s="1752" t="s">
        <v>1179</v>
      </c>
      <c r="D1462" s="1213" t="s">
        <v>1180</v>
      </c>
      <c r="E1462" s="1213">
        <v>2</v>
      </c>
      <c r="F1462" s="1216">
        <f>'MINI SSR 2020-21'!$C$30</f>
        <v>566.1</v>
      </c>
      <c r="G1462" s="1214">
        <f>ROUND(E1462*F1462,2)</f>
        <v>1132.2</v>
      </c>
      <c r="H1462" s="1205" t="s">
        <v>2308</v>
      </c>
    </row>
    <row r="1463" spans="1:8" hidden="1">
      <c r="A1463" s="1156"/>
      <c r="B1463" s="1218"/>
      <c r="C1463" s="1754" t="s">
        <v>869</v>
      </c>
      <c r="D1463" s="1242"/>
      <c r="E1463" s="1242"/>
      <c r="F1463" s="1242" t="s">
        <v>104</v>
      </c>
      <c r="G1463" s="1214">
        <f>SUM(G1453:G1462)</f>
        <v>19577.850000000002</v>
      </c>
      <c r="H1463" s="1205" t="s">
        <v>2308</v>
      </c>
    </row>
    <row r="1464" spans="1:8" hidden="1">
      <c r="A1464" s="1156"/>
      <c r="B1464" s="1218"/>
      <c r="C1464" s="1752"/>
      <c r="D1464" s="1216"/>
      <c r="E1464" s="1242" t="s">
        <v>161</v>
      </c>
      <c r="F1464" s="1242" t="s">
        <v>162</v>
      </c>
      <c r="G1464" s="1214"/>
      <c r="H1464" s="1205" t="s">
        <v>2308</v>
      </c>
    </row>
    <row r="1465" spans="1:8" hidden="1">
      <c r="A1465" s="1156"/>
      <c r="B1465" s="1218"/>
      <c r="C1465" s="1752" t="s">
        <v>867</v>
      </c>
      <c r="D1465" s="1216"/>
      <c r="E1465" s="1216">
        <f>G1463</f>
        <v>19577.850000000002</v>
      </c>
      <c r="F1465" s="1216">
        <f>G1463</f>
        <v>19577.850000000002</v>
      </c>
      <c r="G1465" s="1214"/>
      <c r="H1465" s="1205" t="s">
        <v>2308</v>
      </c>
    </row>
    <row r="1466" spans="1:8" hidden="1">
      <c r="A1466" s="1156"/>
      <c r="B1466" s="1218"/>
      <c r="C1466" s="1752" t="s">
        <v>1657</v>
      </c>
      <c r="D1466" s="1243" t="s">
        <v>326</v>
      </c>
      <c r="E1466" s="1216">
        <f>ROUND(D1466*'MINI SSR 2020-21'!E36,2)</f>
        <v>10.3</v>
      </c>
      <c r="F1466" s="1216">
        <f>ROUND(D1466*1.03,2)</f>
        <v>10.3</v>
      </c>
      <c r="G1466" s="1214"/>
      <c r="H1466" s="1205" t="s">
        <v>2308</v>
      </c>
    </row>
    <row r="1467" spans="1:8" hidden="1">
      <c r="A1467" s="1156"/>
      <c r="B1467" s="1218"/>
      <c r="C1467" s="1752" t="s">
        <v>1658</v>
      </c>
      <c r="D1467" s="1243" t="s">
        <v>326</v>
      </c>
      <c r="E1467" s="1216">
        <f>ROUND(D1467*'MINI SSR 2020-21'!F36,2)</f>
        <v>79.5</v>
      </c>
      <c r="F1467" s="1216">
        <f>ROUND(D1467*'MINI SSR 2020-21'!G36,2)</f>
        <v>113.8</v>
      </c>
      <c r="G1467" s="1214"/>
      <c r="H1467" s="1205" t="s">
        <v>2308</v>
      </c>
    </row>
    <row r="1468" spans="1:8" hidden="1">
      <c r="A1468" s="1156"/>
      <c r="B1468" s="1218"/>
      <c r="C1468" s="1752" t="s">
        <v>870</v>
      </c>
      <c r="D1468" s="688" t="s">
        <v>326</v>
      </c>
      <c r="E1468" s="1244">
        <v>0</v>
      </c>
      <c r="F1468" s="1244">
        <f>ROUND(((SUM(G1458:G1460)+F1467)*D1468/100),2)</f>
        <v>961.38</v>
      </c>
      <c r="G1468" s="1214"/>
      <c r="H1468" s="1205" t="s">
        <v>2308</v>
      </c>
    </row>
    <row r="1469" spans="1:8" hidden="1">
      <c r="A1469" s="1156"/>
      <c r="B1469" s="1218"/>
      <c r="C1469" s="1754" t="s">
        <v>869</v>
      </c>
      <c r="D1469" s="688"/>
      <c r="E1469" s="1216">
        <f>SUM(E1465:E1468)</f>
        <v>19667.650000000001</v>
      </c>
      <c r="F1469" s="1216">
        <f>SUM(F1465:F1468)</f>
        <v>20663.330000000002</v>
      </c>
      <c r="G1469" s="1214"/>
      <c r="H1469" s="1205" t="s">
        <v>2308</v>
      </c>
    </row>
    <row r="1470" spans="1:8" hidden="1">
      <c r="A1470" s="1156"/>
      <c r="B1470" s="1218"/>
      <c r="C1470" s="1754" t="s">
        <v>871</v>
      </c>
      <c r="D1470" s="1213"/>
      <c r="E1470" s="1242">
        <f>ROUND(E1469/10,2)</f>
        <v>1966.77</v>
      </c>
      <c r="F1470" s="1242">
        <f>ROUND(F1469/10,2)</f>
        <v>2066.33</v>
      </c>
      <c r="G1470" s="1214"/>
      <c r="H1470" s="1205" t="s">
        <v>2308</v>
      </c>
    </row>
    <row r="1471" spans="1:8" ht="102" hidden="1">
      <c r="A1471" s="1156">
        <v>28</v>
      </c>
      <c r="B1471" s="1218" t="s">
        <v>1313</v>
      </c>
      <c r="C1471" s="1752" t="s">
        <v>1312</v>
      </c>
      <c r="D1471" s="1212"/>
      <c r="E1471" s="1212"/>
      <c r="F1471" s="1212"/>
      <c r="G1471" s="1218"/>
      <c r="H1471" s="1205" t="s">
        <v>2308</v>
      </c>
    </row>
    <row r="1472" spans="1:8" hidden="1">
      <c r="A1472" s="1156"/>
      <c r="B1472" s="1218"/>
      <c r="C1472" s="1754" t="s">
        <v>42</v>
      </c>
      <c r="D1472" s="1212"/>
      <c r="E1472" s="1212"/>
      <c r="F1472" s="1212"/>
      <c r="G1472" s="1215"/>
      <c r="H1472" s="1205" t="s">
        <v>2308</v>
      </c>
    </row>
    <row r="1473" spans="1:8" hidden="1">
      <c r="A1473" s="1156"/>
      <c r="B1473" s="1218"/>
      <c r="C1473" s="1754" t="s">
        <v>60</v>
      </c>
      <c r="D1473" s="1212"/>
      <c r="E1473" s="1212"/>
      <c r="F1473" s="1212"/>
      <c r="G1473" s="1215"/>
      <c r="H1473" s="1205" t="s">
        <v>2308</v>
      </c>
    </row>
    <row r="1474" spans="1:8" hidden="1">
      <c r="A1474" s="1156"/>
      <c r="B1474" s="1218"/>
      <c r="C1474" s="1752" t="s">
        <v>43</v>
      </c>
      <c r="D1474" s="1212" t="s">
        <v>35</v>
      </c>
      <c r="E1474" s="1213">
        <v>0.15</v>
      </c>
      <c r="F1474" s="1213">
        <f>G928</f>
        <v>3971.9300000000003</v>
      </c>
      <c r="G1474" s="1214">
        <f>ROUND(E1474*F1474,2)</f>
        <v>595.79</v>
      </c>
      <c r="H1474" s="1205" t="s">
        <v>2308</v>
      </c>
    </row>
    <row r="1475" spans="1:8" ht="25.5" hidden="1">
      <c r="A1475" s="1156"/>
      <c r="B1475" s="1218"/>
      <c r="C1475" s="1752" t="s">
        <v>3460</v>
      </c>
      <c r="D1475" s="1212" t="s">
        <v>4</v>
      </c>
      <c r="E1475" s="1213">
        <v>2</v>
      </c>
      <c r="F1475" s="1213">
        <f>'MINI SSR 2020-21'!$C$44</f>
        <v>72</v>
      </c>
      <c r="G1475" s="1214">
        <f>ROUND(E1475*F1475,2)</f>
        <v>144</v>
      </c>
      <c r="H1475" s="1205" t="s">
        <v>2308</v>
      </c>
    </row>
    <row r="1476" spans="1:8" hidden="1">
      <c r="A1476" s="1212"/>
      <c r="B1476" s="1212"/>
      <c r="C1476" s="1754" t="s">
        <v>68</v>
      </c>
      <c r="D1476" s="1212"/>
      <c r="E1476" s="1213"/>
      <c r="F1476" s="1213"/>
      <c r="G1476" s="1214"/>
      <c r="H1476" s="1205" t="s">
        <v>2308</v>
      </c>
    </row>
    <row r="1477" spans="1:8" hidden="1">
      <c r="A1477" s="1212"/>
      <c r="B1477" s="1212"/>
      <c r="C1477" s="1752" t="s">
        <v>64</v>
      </c>
      <c r="D1477" s="1212" t="s">
        <v>27</v>
      </c>
      <c r="E1477" s="1213">
        <v>0.45</v>
      </c>
      <c r="F1477" s="1216">
        <f>'MINI SSR 2020-21'!$H$3</f>
        <v>550</v>
      </c>
      <c r="G1477" s="1214">
        <f>ROUND(E1477*F1477,2)</f>
        <v>247.5</v>
      </c>
      <c r="H1477" s="1205" t="s">
        <v>2308</v>
      </c>
    </row>
    <row r="1478" spans="1:8" hidden="1">
      <c r="A1478" s="1212"/>
      <c r="B1478" s="1212"/>
      <c r="C1478" s="1752" t="s">
        <v>69</v>
      </c>
      <c r="D1478" s="1212" t="s">
        <v>27</v>
      </c>
      <c r="E1478" s="1213">
        <v>1.05</v>
      </c>
      <c r="F1478" s="1216">
        <f>'MINI SSR 2020-21'!$H$4</f>
        <v>500</v>
      </c>
      <c r="G1478" s="1214">
        <f>ROUND(E1478*F1478,2)</f>
        <v>525</v>
      </c>
      <c r="H1478" s="1205" t="s">
        <v>2308</v>
      </c>
    </row>
    <row r="1479" spans="1:8" hidden="1">
      <c r="A1479" s="1212"/>
      <c r="B1479" s="1212"/>
      <c r="C1479" s="1752" t="s">
        <v>85</v>
      </c>
      <c r="D1479" s="1212" t="s">
        <v>27</v>
      </c>
      <c r="E1479" s="1213">
        <v>2.8</v>
      </c>
      <c r="F1479" s="1216">
        <f>'MINI SSR 2020-21'!$H$5</f>
        <v>460</v>
      </c>
      <c r="G1479" s="1214">
        <f>ROUND(E1479*F1479,2)</f>
        <v>1288</v>
      </c>
      <c r="H1479" s="1205" t="s">
        <v>2308</v>
      </c>
    </row>
    <row r="1480" spans="1:8" hidden="1">
      <c r="A1480" s="1212"/>
      <c r="B1480" s="1212"/>
      <c r="C1480" s="1754" t="s">
        <v>88</v>
      </c>
      <c r="D1480" s="1212"/>
      <c r="E1480" s="1212"/>
      <c r="F1480" s="1212"/>
      <c r="G1480" s="1222">
        <f>SUM(G1474:G1479)</f>
        <v>2800.29</v>
      </c>
      <c r="H1480" s="1205" t="s">
        <v>2308</v>
      </c>
    </row>
    <row r="1481" spans="1:8" hidden="1">
      <c r="A1481" s="1212"/>
      <c r="B1481" s="1212"/>
      <c r="C1481" s="1754"/>
      <c r="D1481" s="1212"/>
      <c r="E1481" s="1218" t="s">
        <v>161</v>
      </c>
      <c r="F1481" s="1218" t="s">
        <v>162</v>
      </c>
      <c r="G1481" s="1217" t="s">
        <v>162</v>
      </c>
      <c r="H1481" s="1205" t="s">
        <v>2308</v>
      </c>
    </row>
    <row r="1482" spans="1:8" hidden="1">
      <c r="A1482" s="1212"/>
      <c r="B1482" s="1212"/>
      <c r="C1482" s="1754" t="s">
        <v>1274</v>
      </c>
      <c r="D1482" s="1212"/>
      <c r="E1482" s="1213">
        <f>G1480</f>
        <v>2800.29</v>
      </c>
      <c r="F1482" s="1213">
        <f>G1480</f>
        <v>2800.29</v>
      </c>
      <c r="G1482" s="1215">
        <f>G1480</f>
        <v>2800.29</v>
      </c>
      <c r="H1482" s="1205" t="s">
        <v>2308</v>
      </c>
    </row>
    <row r="1483" spans="1:8" ht="25.5" hidden="1">
      <c r="A1483" s="1212"/>
      <c r="B1483" s="1212"/>
      <c r="C1483" s="1752" t="s">
        <v>1286</v>
      </c>
      <c r="D1483" s="1212"/>
      <c r="E1483" s="1212"/>
      <c r="F1483" s="1215">
        <f>(SUM(G1477:G1479)*10%)</f>
        <v>206.05</v>
      </c>
      <c r="G1483" s="1215">
        <f>(SUM(G1477:G1479)*20%)</f>
        <v>412.1</v>
      </c>
      <c r="H1483" s="1205" t="s">
        <v>2308</v>
      </c>
    </row>
    <row r="1484" spans="1:8" hidden="1">
      <c r="A1484" s="1212"/>
      <c r="B1484" s="1212"/>
      <c r="C1484" s="1754" t="s">
        <v>88</v>
      </c>
      <c r="D1484" s="1212"/>
      <c r="E1484" s="1213">
        <f>SUM(E1482:E1483)</f>
        <v>2800.29</v>
      </c>
      <c r="F1484" s="1213">
        <f>SUM(F1482:F1483)</f>
        <v>3006.34</v>
      </c>
      <c r="G1484" s="1215">
        <f>SUM(G1482:G1483)</f>
        <v>3212.39</v>
      </c>
      <c r="H1484" s="1205" t="s">
        <v>2308</v>
      </c>
    </row>
    <row r="1485" spans="1:8" hidden="1">
      <c r="A1485" s="1212"/>
      <c r="B1485" s="1212"/>
      <c r="C1485" s="1754" t="s">
        <v>121</v>
      </c>
      <c r="D1485" s="1212"/>
      <c r="E1485" s="1217">
        <f>ROUND(E1484/10,2)</f>
        <v>280.02999999999997</v>
      </c>
      <c r="F1485" s="1217">
        <f>ROUND(F1484/10,2)</f>
        <v>300.63</v>
      </c>
      <c r="G1485" s="1222">
        <f>ROUND(G1484/10,2)</f>
        <v>321.24</v>
      </c>
      <c r="H1485" s="1205" t="s">
        <v>2308</v>
      </c>
    </row>
    <row r="1486" spans="1:8" ht="102" hidden="1">
      <c r="A1486" s="1156">
        <v>29</v>
      </c>
      <c r="B1486" s="1218" t="s">
        <v>1313</v>
      </c>
      <c r="C1486" s="1752" t="s">
        <v>899</v>
      </c>
      <c r="D1486" s="1212"/>
      <c r="E1486" s="1212"/>
      <c r="F1486" s="1212"/>
      <c r="G1486" s="1218" t="s">
        <v>148</v>
      </c>
      <c r="H1486" s="1205" t="s">
        <v>2308</v>
      </c>
    </row>
    <row r="1487" spans="1:8" hidden="1">
      <c r="A1487" s="1156"/>
      <c r="B1487" s="1218"/>
      <c r="C1487" s="1754" t="s">
        <v>42</v>
      </c>
      <c r="D1487" s="1212"/>
      <c r="E1487" s="1212"/>
      <c r="F1487" s="1212"/>
      <c r="G1487" s="1215"/>
      <c r="H1487" s="1205" t="s">
        <v>2308</v>
      </c>
    </row>
    <row r="1488" spans="1:8" hidden="1">
      <c r="A1488" s="1156"/>
      <c r="B1488" s="1218"/>
      <c r="C1488" s="1754" t="s">
        <v>60</v>
      </c>
      <c r="D1488" s="1212"/>
      <c r="E1488" s="1212"/>
      <c r="F1488" s="1212"/>
      <c r="G1488" s="1215"/>
      <c r="H1488" s="1205" t="s">
        <v>2308</v>
      </c>
    </row>
    <row r="1489" spans="1:8" hidden="1">
      <c r="A1489" s="1156"/>
      <c r="B1489" s="1218"/>
      <c r="C1489" s="1752" t="s">
        <v>43</v>
      </c>
      <c r="D1489" s="1212" t="s">
        <v>35</v>
      </c>
      <c r="E1489" s="1213">
        <v>0.21</v>
      </c>
      <c r="F1489" s="1213">
        <f>G943</f>
        <v>2843.9300000000003</v>
      </c>
      <c r="G1489" s="1214">
        <f>ROUND(E1489*F1489,2)</f>
        <v>597.23</v>
      </c>
      <c r="H1489" s="1205" t="s">
        <v>2308</v>
      </c>
    </row>
    <row r="1490" spans="1:8" ht="25.5" hidden="1">
      <c r="A1490" s="1156"/>
      <c r="B1490" s="1218"/>
      <c r="C1490" s="1752" t="s">
        <v>3460</v>
      </c>
      <c r="D1490" s="1212" t="s">
        <v>4</v>
      </c>
      <c r="E1490" s="1213">
        <v>2</v>
      </c>
      <c r="F1490" s="1213">
        <f>'MINI SSR 2020-21'!$C$44</f>
        <v>72</v>
      </c>
      <c r="G1490" s="1214">
        <f>ROUND(E1490*F1490,2)</f>
        <v>144</v>
      </c>
      <c r="H1490" s="1205" t="s">
        <v>2308</v>
      </c>
    </row>
    <row r="1491" spans="1:8" hidden="1">
      <c r="A1491" s="1212"/>
      <c r="B1491" s="1212"/>
      <c r="C1491" s="1754" t="s">
        <v>68</v>
      </c>
      <c r="D1491" s="1212"/>
      <c r="E1491" s="1213"/>
      <c r="F1491" s="1213"/>
      <c r="G1491" s="1214"/>
      <c r="H1491" s="1205" t="s">
        <v>2308</v>
      </c>
    </row>
    <row r="1492" spans="1:8" hidden="1">
      <c r="A1492" s="1212"/>
      <c r="B1492" s="1212"/>
      <c r="C1492" s="1752" t="s">
        <v>64</v>
      </c>
      <c r="D1492" s="1212" t="s">
        <v>27</v>
      </c>
      <c r="E1492" s="1213">
        <v>0.66</v>
      </c>
      <c r="F1492" s="1216">
        <f>'MINI SSR 2020-21'!$H$3</f>
        <v>550</v>
      </c>
      <c r="G1492" s="1214">
        <f>ROUND(E1492*F1492,2)</f>
        <v>363</v>
      </c>
      <c r="H1492" s="1205" t="s">
        <v>2308</v>
      </c>
    </row>
    <row r="1493" spans="1:8" hidden="1">
      <c r="A1493" s="1212"/>
      <c r="B1493" s="1212"/>
      <c r="C1493" s="1752" t="s">
        <v>69</v>
      </c>
      <c r="D1493" s="1212" t="s">
        <v>27</v>
      </c>
      <c r="E1493" s="1213">
        <v>1.54</v>
      </c>
      <c r="F1493" s="1216">
        <f>'MINI SSR 2020-21'!$H$4</f>
        <v>500</v>
      </c>
      <c r="G1493" s="1214">
        <f>ROUND(E1493*F1493,2)</f>
        <v>770</v>
      </c>
      <c r="H1493" s="1205" t="s">
        <v>2308</v>
      </c>
    </row>
    <row r="1494" spans="1:8" hidden="1">
      <c r="A1494" s="1212"/>
      <c r="B1494" s="1212"/>
      <c r="C1494" s="1752" t="s">
        <v>85</v>
      </c>
      <c r="D1494" s="1212" t="s">
        <v>27</v>
      </c>
      <c r="E1494" s="1213">
        <v>3.7</v>
      </c>
      <c r="F1494" s="1216">
        <f>'MINI SSR 2020-21'!$H$5</f>
        <v>460</v>
      </c>
      <c r="G1494" s="1214">
        <f>ROUND(E1494*F1494,2)</f>
        <v>1702</v>
      </c>
      <c r="H1494" s="1205" t="s">
        <v>2308</v>
      </c>
    </row>
    <row r="1495" spans="1:8" hidden="1">
      <c r="A1495" s="1212"/>
      <c r="B1495" s="1212"/>
      <c r="C1495" s="1754" t="s">
        <v>88</v>
      </c>
      <c r="D1495" s="1212"/>
      <c r="E1495" s="1212"/>
      <c r="F1495" s="1212"/>
      <c r="G1495" s="1222">
        <f>SUM(G1489:G1494)</f>
        <v>3576.23</v>
      </c>
      <c r="H1495" s="1205" t="s">
        <v>2308</v>
      </c>
    </row>
    <row r="1496" spans="1:8" hidden="1">
      <c r="A1496" s="1212"/>
      <c r="B1496" s="1212"/>
      <c r="C1496" s="1754"/>
      <c r="D1496" s="1212"/>
      <c r="E1496" s="1218" t="s">
        <v>161</v>
      </c>
      <c r="F1496" s="1218" t="s">
        <v>162</v>
      </c>
      <c r="G1496" s="1217" t="s">
        <v>163</v>
      </c>
      <c r="H1496" s="1205" t="s">
        <v>2308</v>
      </c>
    </row>
    <row r="1497" spans="1:8" hidden="1">
      <c r="A1497" s="1212"/>
      <c r="B1497" s="1212"/>
      <c r="C1497" s="1754" t="s">
        <v>1274</v>
      </c>
      <c r="D1497" s="1212"/>
      <c r="E1497" s="1213">
        <f>G1495</f>
        <v>3576.23</v>
      </c>
      <c r="F1497" s="1213">
        <f>G1495</f>
        <v>3576.23</v>
      </c>
      <c r="G1497" s="1215">
        <f>G1495</f>
        <v>3576.23</v>
      </c>
      <c r="H1497" s="1205" t="s">
        <v>2308</v>
      </c>
    </row>
    <row r="1498" spans="1:8" ht="25.5" hidden="1">
      <c r="A1498" s="1212"/>
      <c r="B1498" s="1212"/>
      <c r="C1498" s="1752" t="s">
        <v>1286</v>
      </c>
      <c r="D1498" s="1212"/>
      <c r="E1498" s="1212"/>
      <c r="F1498" s="1215">
        <f>(SUM(G1492:G1494)*10%)</f>
        <v>283.5</v>
      </c>
      <c r="G1498" s="1215">
        <f>(SUM(G1492:G1494)*20%)</f>
        <v>567</v>
      </c>
      <c r="H1498" s="1205" t="s">
        <v>2308</v>
      </c>
    </row>
    <row r="1499" spans="1:8" hidden="1">
      <c r="A1499" s="1212"/>
      <c r="B1499" s="1212"/>
      <c r="C1499" s="1754" t="s">
        <v>88</v>
      </c>
      <c r="D1499" s="1212"/>
      <c r="E1499" s="1213">
        <f>SUM(E1497:E1498)</f>
        <v>3576.23</v>
      </c>
      <c r="F1499" s="1213">
        <f>SUM(F1497:F1498)</f>
        <v>3859.73</v>
      </c>
      <c r="G1499" s="1215">
        <f>SUM(G1497:G1498)</f>
        <v>4143.2299999999996</v>
      </c>
      <c r="H1499" s="1205" t="s">
        <v>2308</v>
      </c>
    </row>
    <row r="1500" spans="1:8" hidden="1">
      <c r="A1500" s="1212"/>
      <c r="B1500" s="1212"/>
      <c r="C1500" s="1754" t="s">
        <v>121</v>
      </c>
      <c r="D1500" s="1212"/>
      <c r="E1500" s="1217">
        <f>ROUND(E1499/10,2)</f>
        <v>357.62</v>
      </c>
      <c r="F1500" s="1217">
        <f>ROUND(F1499/10,2)</f>
        <v>385.97</v>
      </c>
      <c r="G1500" s="1222">
        <f>ROUND(G1499/10,2)</f>
        <v>414.32</v>
      </c>
      <c r="H1500" s="1205" t="s">
        <v>2308</v>
      </c>
    </row>
    <row r="1501" spans="1:8" ht="165.75" hidden="1">
      <c r="A1501" s="1156">
        <v>30</v>
      </c>
      <c r="B1501" s="1218" t="s">
        <v>666</v>
      </c>
      <c r="C1501" s="1752" t="s">
        <v>665</v>
      </c>
      <c r="D1501" s="1212"/>
      <c r="E1501" s="1212"/>
      <c r="F1501" s="1212"/>
      <c r="G1501" s="1218" t="s">
        <v>666</v>
      </c>
      <c r="H1501" s="1205" t="s">
        <v>2308</v>
      </c>
    </row>
    <row r="1502" spans="1:8" hidden="1">
      <c r="A1502" s="1156"/>
      <c r="B1502" s="1218"/>
      <c r="C1502" s="1754" t="s">
        <v>42</v>
      </c>
      <c r="D1502" s="1212"/>
      <c r="E1502" s="1212"/>
      <c r="F1502" s="1212"/>
      <c r="G1502" s="1215"/>
      <c r="H1502" s="1205" t="s">
        <v>2308</v>
      </c>
    </row>
    <row r="1503" spans="1:8" hidden="1">
      <c r="A1503" s="1156"/>
      <c r="B1503" s="1218"/>
      <c r="C1503" s="1754" t="s">
        <v>60</v>
      </c>
      <c r="D1503" s="1212"/>
      <c r="E1503" s="1212"/>
      <c r="F1503" s="1212"/>
      <c r="G1503" s="1215"/>
      <c r="H1503" s="1205" t="s">
        <v>2308</v>
      </c>
    </row>
    <row r="1504" spans="1:8" ht="25.5" hidden="1">
      <c r="A1504" s="1156"/>
      <c r="B1504" s="1218"/>
      <c r="C1504" s="1752" t="s">
        <v>667</v>
      </c>
      <c r="D1504" s="1212" t="s">
        <v>77</v>
      </c>
      <c r="E1504" s="1213">
        <v>10.5</v>
      </c>
      <c r="F1504" s="1213">
        <f>'lead 20-21'!L22</f>
        <v>2124.6959999999999</v>
      </c>
      <c r="G1504" s="1214">
        <f>ROUND(E1504*F1504/1,2)</f>
        <v>22309.31</v>
      </c>
      <c r="H1504" s="1205" t="s">
        <v>2308</v>
      </c>
    </row>
    <row r="1505" spans="1:8" hidden="1">
      <c r="A1505" s="1156"/>
      <c r="B1505" s="1218"/>
      <c r="C1505" s="1752" t="s">
        <v>91</v>
      </c>
      <c r="D1505" s="1212" t="s">
        <v>4</v>
      </c>
      <c r="E1505" s="1213">
        <v>36</v>
      </c>
      <c r="F1505" s="1213">
        <f>'lead 20-21'!L8</f>
        <v>4700</v>
      </c>
      <c r="G1505" s="1214">
        <f>ROUND(E1505*F1505/1000,2)</f>
        <v>169.2</v>
      </c>
      <c r="H1505" s="1205" t="s">
        <v>2308</v>
      </c>
    </row>
    <row r="1506" spans="1:8" hidden="1">
      <c r="A1506" s="1156"/>
      <c r="B1506" s="1218"/>
      <c r="C1506" s="1752" t="s">
        <v>92</v>
      </c>
      <c r="D1506" s="1212" t="s">
        <v>4</v>
      </c>
      <c r="E1506" s="1213">
        <v>33</v>
      </c>
      <c r="F1506" s="1213">
        <f>F1505</f>
        <v>4700</v>
      </c>
      <c r="G1506" s="1214">
        <f>ROUND(E1506*F1506/1000,2)</f>
        <v>155.1</v>
      </c>
      <c r="H1506" s="1205" t="s">
        <v>2308</v>
      </c>
    </row>
    <row r="1507" spans="1:8" hidden="1">
      <c r="A1507" s="1156"/>
      <c r="B1507" s="1218"/>
      <c r="C1507" s="1752" t="s">
        <v>93</v>
      </c>
      <c r="D1507" s="1212" t="s">
        <v>4</v>
      </c>
      <c r="E1507" s="1213">
        <v>6</v>
      </c>
      <c r="F1507" s="1213">
        <f>F1506</f>
        <v>4700</v>
      </c>
      <c r="G1507" s="1214">
        <f>ROUND(E1507*F1507/1000,2)</f>
        <v>28.2</v>
      </c>
      <c r="H1507" s="1205" t="s">
        <v>2308</v>
      </c>
    </row>
    <row r="1508" spans="1:8" hidden="1">
      <c r="A1508" s="1156"/>
      <c r="B1508" s="1218"/>
      <c r="C1508" s="1752" t="s">
        <v>114</v>
      </c>
      <c r="D1508" s="1212" t="s">
        <v>35</v>
      </c>
      <c r="E1508" s="1213">
        <v>0.2</v>
      </c>
      <c r="F1508" s="1213">
        <f>'lead 20-21'!L12</f>
        <v>1546.600000000001</v>
      </c>
      <c r="G1508" s="1214">
        <f>ROUND(E1508*F1508,2)</f>
        <v>309.32</v>
      </c>
      <c r="H1508" s="1205" t="s">
        <v>2308</v>
      </c>
    </row>
    <row r="1509" spans="1:8" hidden="1">
      <c r="A1509" s="1212"/>
      <c r="B1509" s="1212"/>
      <c r="C1509" s="1754" t="s">
        <v>68</v>
      </c>
      <c r="D1509" s="1212"/>
      <c r="E1509" s="1213"/>
      <c r="F1509" s="1213"/>
      <c r="G1509" s="1214"/>
      <c r="H1509" s="1205" t="s">
        <v>2308</v>
      </c>
    </row>
    <row r="1510" spans="1:8" hidden="1">
      <c r="A1510" s="1212"/>
      <c r="B1510" s="1212"/>
      <c r="C1510" s="1752" t="s">
        <v>64</v>
      </c>
      <c r="D1510" s="1212" t="s">
        <v>27</v>
      </c>
      <c r="E1510" s="1213">
        <v>3</v>
      </c>
      <c r="F1510" s="1216">
        <f>'MINI SSR 2020-21'!$H$3</f>
        <v>550</v>
      </c>
      <c r="G1510" s="1214">
        <f>ROUND(E1510*F1510,2)</f>
        <v>1650</v>
      </c>
      <c r="H1510" s="1205" t="s">
        <v>2308</v>
      </c>
    </row>
    <row r="1511" spans="1:8" hidden="1">
      <c r="A1511" s="1212"/>
      <c r="B1511" s="1212"/>
      <c r="C1511" s="1752" t="s">
        <v>69</v>
      </c>
      <c r="D1511" s="1212" t="s">
        <v>27</v>
      </c>
      <c r="E1511" s="1213">
        <v>1</v>
      </c>
      <c r="F1511" s="1216">
        <f>'MINI SSR 2020-21'!$H$4</f>
        <v>500</v>
      </c>
      <c r="G1511" s="1214">
        <f>ROUND(E1511*F1511,2)</f>
        <v>500</v>
      </c>
      <c r="H1511" s="1205" t="s">
        <v>2308</v>
      </c>
    </row>
    <row r="1512" spans="1:8" hidden="1">
      <c r="A1512" s="1212"/>
      <c r="B1512" s="1212"/>
      <c r="C1512" s="1752" t="s">
        <v>85</v>
      </c>
      <c r="D1512" s="1212" t="s">
        <v>27</v>
      </c>
      <c r="E1512" s="1213">
        <v>8</v>
      </c>
      <c r="F1512" s="1216">
        <f>'MINI SSR 2020-21'!$H$5</f>
        <v>460</v>
      </c>
      <c r="G1512" s="1214">
        <f>ROUND(E1512*F1512,2)</f>
        <v>3680</v>
      </c>
      <c r="H1512" s="1205" t="s">
        <v>2308</v>
      </c>
    </row>
    <row r="1513" spans="1:8" hidden="1">
      <c r="A1513" s="1212"/>
      <c r="B1513" s="1212"/>
      <c r="C1513" s="1752" t="s">
        <v>895</v>
      </c>
      <c r="D1513" s="1212"/>
      <c r="E1513" s="1213">
        <v>0.01</v>
      </c>
      <c r="F1513" s="1213">
        <f>SUM(G1505:G1512)</f>
        <v>6491.82</v>
      </c>
      <c r="G1513" s="1214">
        <f>ROUND(E1513*F1513,2)</f>
        <v>64.92</v>
      </c>
      <c r="H1513" s="1205" t="s">
        <v>2308</v>
      </c>
    </row>
    <row r="1514" spans="1:8" hidden="1">
      <c r="A1514" s="1212"/>
      <c r="B1514" s="1212"/>
      <c r="C1514" s="1754" t="s">
        <v>88</v>
      </c>
      <c r="D1514" s="1212"/>
      <c r="E1514" s="1212"/>
      <c r="F1514" s="1212"/>
      <c r="G1514" s="1222">
        <f>SUM(G1504:G1513)</f>
        <v>28866.05</v>
      </c>
      <c r="H1514" s="1205" t="s">
        <v>2308</v>
      </c>
    </row>
    <row r="1515" spans="1:8" hidden="1">
      <c r="A1515" s="1212"/>
      <c r="B1515" s="1212"/>
      <c r="C1515" s="1754"/>
      <c r="D1515" s="1212"/>
      <c r="E1515" s="1218" t="s">
        <v>161</v>
      </c>
      <c r="F1515" s="1218" t="s">
        <v>162</v>
      </c>
      <c r="G1515" s="1217" t="s">
        <v>163</v>
      </c>
      <c r="H1515" s="1205" t="s">
        <v>2308</v>
      </c>
    </row>
    <row r="1516" spans="1:8" hidden="1">
      <c r="A1516" s="1212"/>
      <c r="B1516" s="1212"/>
      <c r="C1516" s="1754" t="s">
        <v>1274</v>
      </c>
      <c r="D1516" s="1212"/>
      <c r="E1516" s="1213">
        <f>G1514</f>
        <v>28866.05</v>
      </c>
      <c r="F1516" s="1213">
        <f>G1514</f>
        <v>28866.05</v>
      </c>
      <c r="G1516" s="1215">
        <f>G1514</f>
        <v>28866.05</v>
      </c>
      <c r="H1516" s="1205" t="s">
        <v>2308</v>
      </c>
    </row>
    <row r="1517" spans="1:8" ht="25.5" hidden="1">
      <c r="A1517" s="1212"/>
      <c r="B1517" s="1212"/>
      <c r="C1517" s="1752" t="s">
        <v>1286</v>
      </c>
      <c r="D1517" s="1212"/>
      <c r="E1517" s="1213"/>
      <c r="F1517" s="1215">
        <f>ROUND((G1510+G1511+G1512)*0.1,2)</f>
        <v>583</v>
      </c>
      <c r="G1517" s="1215">
        <f>ROUND((G1510+G1511+G1512)*0.2,2)</f>
        <v>1166</v>
      </c>
      <c r="H1517" s="1205" t="s">
        <v>2308</v>
      </c>
    </row>
    <row r="1518" spans="1:8" hidden="1">
      <c r="A1518" s="1212"/>
      <c r="B1518" s="1212"/>
      <c r="C1518" s="1754" t="s">
        <v>88</v>
      </c>
      <c r="D1518" s="1212"/>
      <c r="E1518" s="1213">
        <f>SUM(E1516:E1517)</f>
        <v>28866.05</v>
      </c>
      <c r="F1518" s="1215">
        <f>SUM(F1516:F1517)</f>
        <v>29449.05</v>
      </c>
      <c r="G1518" s="1215">
        <f>SUM(G1516:G1517)</f>
        <v>30032.05</v>
      </c>
      <c r="H1518" s="1205" t="s">
        <v>2308</v>
      </c>
    </row>
    <row r="1519" spans="1:8" hidden="1">
      <c r="A1519" s="1212"/>
      <c r="B1519" s="1212"/>
      <c r="C1519" s="1754" t="s">
        <v>121</v>
      </c>
      <c r="D1519" s="1212"/>
      <c r="E1519" s="1217">
        <f>ROUND(E1518/10,2)</f>
        <v>2886.61</v>
      </c>
      <c r="F1519" s="1217">
        <f>ROUND(F1518/10,2)</f>
        <v>2944.91</v>
      </c>
      <c r="G1519" s="1222">
        <f>ROUND(G1518/10,2)</f>
        <v>3003.21</v>
      </c>
      <c r="H1519" s="1205" t="s">
        <v>2308</v>
      </c>
    </row>
    <row r="1520" spans="1:8" ht="153" hidden="1">
      <c r="A1520" s="1156">
        <v>31</v>
      </c>
      <c r="B1520" s="1218" t="s">
        <v>668</v>
      </c>
      <c r="C1520" s="1752" t="s">
        <v>671</v>
      </c>
      <c r="D1520" s="1212"/>
      <c r="E1520" s="1212"/>
      <c r="F1520" s="1212"/>
      <c r="G1520" s="1218"/>
      <c r="H1520" s="1205" t="s">
        <v>2308</v>
      </c>
    </row>
    <row r="1521" spans="1:8" hidden="1">
      <c r="A1521" s="1156"/>
      <c r="B1521" s="1218"/>
      <c r="C1521" s="1754" t="s">
        <v>42</v>
      </c>
      <c r="D1521" s="1212"/>
      <c r="E1521" s="1212"/>
      <c r="F1521" s="1212"/>
      <c r="G1521" s="1215"/>
      <c r="H1521" s="1205" t="s">
        <v>2308</v>
      </c>
    </row>
    <row r="1522" spans="1:8" hidden="1">
      <c r="A1522" s="1156"/>
      <c r="B1522" s="1218"/>
      <c r="C1522" s="1754" t="s">
        <v>60</v>
      </c>
      <c r="D1522" s="1212"/>
      <c r="E1522" s="1212"/>
      <c r="F1522" s="1212"/>
      <c r="G1522" s="1215"/>
      <c r="H1522" s="1205" t="s">
        <v>2308</v>
      </c>
    </row>
    <row r="1523" spans="1:8" ht="25.5" hidden="1">
      <c r="A1523" s="1156"/>
      <c r="B1523" s="1218"/>
      <c r="C1523" s="1752" t="s">
        <v>667</v>
      </c>
      <c r="D1523" s="1212" t="s">
        <v>77</v>
      </c>
      <c r="E1523" s="1213">
        <v>10.5</v>
      </c>
      <c r="F1523" s="1213">
        <f>F1504</f>
        <v>2124.6959999999999</v>
      </c>
      <c r="G1523" s="1214">
        <f>ROUND(E1523*F1523/1,2)</f>
        <v>22309.31</v>
      </c>
      <c r="H1523" s="1205" t="s">
        <v>2308</v>
      </c>
    </row>
    <row r="1524" spans="1:8" hidden="1">
      <c r="A1524" s="1156"/>
      <c r="B1524" s="1218"/>
      <c r="C1524" s="1752" t="s">
        <v>669</v>
      </c>
      <c r="D1524" s="1212" t="s">
        <v>35</v>
      </c>
      <c r="E1524" s="1213">
        <v>0.12</v>
      </c>
      <c r="F1524" s="1213">
        <f>F1508</f>
        <v>1546.600000000001</v>
      </c>
      <c r="G1524" s="1214">
        <f>ROUND(E1524*F1524,2)</f>
        <v>185.59</v>
      </c>
      <c r="H1524" s="1205" t="s">
        <v>2308</v>
      </c>
    </row>
    <row r="1525" spans="1:8" hidden="1">
      <c r="A1525" s="1156"/>
      <c r="B1525" s="1218"/>
      <c r="C1525" s="1752" t="s">
        <v>105</v>
      </c>
      <c r="D1525" s="1212" t="s">
        <v>4</v>
      </c>
      <c r="E1525" s="1213">
        <v>57.6</v>
      </c>
      <c r="F1525" s="1213">
        <f>F1505</f>
        <v>4700</v>
      </c>
      <c r="G1525" s="1214">
        <f>ROUND(E1525*F1525/1000,2)</f>
        <v>270.72000000000003</v>
      </c>
      <c r="H1525" s="1205" t="s">
        <v>2308</v>
      </c>
    </row>
    <row r="1526" spans="1:8" hidden="1">
      <c r="A1526" s="1156"/>
      <c r="B1526" s="1218"/>
      <c r="C1526" s="1752" t="s">
        <v>92</v>
      </c>
      <c r="D1526" s="1212" t="s">
        <v>4</v>
      </c>
      <c r="E1526" s="1213">
        <v>33</v>
      </c>
      <c r="F1526" s="1213">
        <f>F1506</f>
        <v>4700</v>
      </c>
      <c r="G1526" s="1214">
        <f>ROUND(E1526*F1526/1000,2)</f>
        <v>155.1</v>
      </c>
      <c r="H1526" s="1205" t="s">
        <v>2308</v>
      </c>
    </row>
    <row r="1527" spans="1:8" hidden="1">
      <c r="A1527" s="1156"/>
      <c r="B1527" s="1218"/>
      <c r="C1527" s="1752" t="s">
        <v>670</v>
      </c>
      <c r="D1527" s="1212" t="s">
        <v>4</v>
      </c>
      <c r="E1527" s="1213">
        <v>5</v>
      </c>
      <c r="F1527" s="1213">
        <f>'MINI SSR 2020-21'!C45</f>
        <v>27.95</v>
      </c>
      <c r="G1527" s="1214">
        <f>ROUND(E1527*F1527,2)</f>
        <v>139.75</v>
      </c>
      <c r="H1527" s="1205" t="s">
        <v>2308</v>
      </c>
    </row>
    <row r="1528" spans="1:8" hidden="1">
      <c r="A1528" s="1212"/>
      <c r="B1528" s="1212"/>
      <c r="C1528" s="1754" t="s">
        <v>68</v>
      </c>
      <c r="D1528" s="1212"/>
      <c r="E1528" s="1213"/>
      <c r="F1528" s="1213"/>
      <c r="G1528" s="1214"/>
      <c r="H1528" s="1205" t="s">
        <v>2308</v>
      </c>
    </row>
    <row r="1529" spans="1:8" hidden="1">
      <c r="A1529" s="1212"/>
      <c r="B1529" s="1212"/>
      <c r="C1529" s="1752" t="s">
        <v>64</v>
      </c>
      <c r="D1529" s="1212" t="s">
        <v>27</v>
      </c>
      <c r="E1529" s="1213">
        <v>2.1</v>
      </c>
      <c r="F1529" s="1216">
        <f>'MINI SSR 2020-21'!$H$3</f>
        <v>550</v>
      </c>
      <c r="G1529" s="1214">
        <f>ROUND(E1529*F1529,2)</f>
        <v>1155</v>
      </c>
      <c r="H1529" s="1205" t="s">
        <v>2308</v>
      </c>
    </row>
    <row r="1530" spans="1:8" hidden="1">
      <c r="A1530" s="1212"/>
      <c r="B1530" s="1212"/>
      <c r="C1530" s="1752" t="s">
        <v>69</v>
      </c>
      <c r="D1530" s="1212" t="s">
        <v>27</v>
      </c>
      <c r="E1530" s="1213">
        <v>4.9000000000000004</v>
      </c>
      <c r="F1530" s="1216">
        <f>'MINI SSR 2020-21'!$H$4</f>
        <v>500</v>
      </c>
      <c r="G1530" s="1214">
        <f>ROUND(E1530*F1530,2)</f>
        <v>2450</v>
      </c>
      <c r="H1530" s="1205" t="s">
        <v>2308</v>
      </c>
    </row>
    <row r="1531" spans="1:8" hidden="1">
      <c r="A1531" s="1212"/>
      <c r="B1531" s="1212"/>
      <c r="C1531" s="1752" t="s">
        <v>85</v>
      </c>
      <c r="D1531" s="1212" t="s">
        <v>27</v>
      </c>
      <c r="E1531" s="1213">
        <v>0.8</v>
      </c>
      <c r="F1531" s="1216">
        <f>'MINI SSR 2020-21'!$H$5</f>
        <v>460</v>
      </c>
      <c r="G1531" s="1214">
        <f>ROUND(E1531*F1531,2)</f>
        <v>368</v>
      </c>
      <c r="H1531" s="1205" t="s">
        <v>2308</v>
      </c>
    </row>
    <row r="1532" spans="1:8" hidden="1">
      <c r="A1532" s="1212"/>
      <c r="B1532" s="1212"/>
      <c r="C1532" s="1752" t="s">
        <v>895</v>
      </c>
      <c r="D1532" s="1212"/>
      <c r="E1532" s="1213">
        <v>0.01</v>
      </c>
      <c r="F1532" s="1213">
        <f>SUM(G1524:G1531)</f>
        <v>4724.16</v>
      </c>
      <c r="G1532" s="1214">
        <f>ROUND(E1532*F1532,2)</f>
        <v>47.24</v>
      </c>
      <c r="H1532" s="1205" t="s">
        <v>2308</v>
      </c>
    </row>
    <row r="1533" spans="1:8" hidden="1">
      <c r="A1533" s="1212"/>
      <c r="B1533" s="1212"/>
      <c r="C1533" s="1754" t="s">
        <v>88</v>
      </c>
      <c r="D1533" s="1212"/>
      <c r="E1533" s="1212"/>
      <c r="F1533" s="1212"/>
      <c r="G1533" s="1222">
        <f>SUM(G1523:G1532)</f>
        <v>27080.710000000003</v>
      </c>
      <c r="H1533" s="1205" t="s">
        <v>2308</v>
      </c>
    </row>
    <row r="1534" spans="1:8" hidden="1">
      <c r="A1534" s="1212"/>
      <c r="B1534" s="1212"/>
      <c r="C1534" s="1754"/>
      <c r="D1534" s="1212"/>
      <c r="E1534" s="1218" t="s">
        <v>161</v>
      </c>
      <c r="F1534" s="1218" t="s">
        <v>161</v>
      </c>
      <c r="G1534" s="1217" t="s">
        <v>162</v>
      </c>
      <c r="H1534" s="1205" t="s">
        <v>2308</v>
      </c>
    </row>
    <row r="1535" spans="1:8" hidden="1">
      <c r="A1535" s="1212"/>
      <c r="B1535" s="1212"/>
      <c r="C1535" s="1754" t="s">
        <v>1274</v>
      </c>
      <c r="D1535" s="1212"/>
      <c r="E1535" s="1213">
        <f>G1533</f>
        <v>27080.710000000003</v>
      </c>
      <c r="F1535" s="1213">
        <f>G1533</f>
        <v>27080.710000000003</v>
      </c>
      <c r="G1535" s="1215">
        <f>G1533</f>
        <v>27080.710000000003</v>
      </c>
      <c r="H1535" s="1205" t="s">
        <v>2308</v>
      </c>
    </row>
    <row r="1536" spans="1:8" hidden="1">
      <c r="A1536" s="1212"/>
      <c r="B1536" s="1212"/>
      <c r="C1536" s="1752" t="s">
        <v>1350</v>
      </c>
      <c r="D1536" s="1212"/>
      <c r="E1536" s="1213"/>
      <c r="F1536" s="1215">
        <f>ROUND((G1529+G1530+G1531)*0.1,2)</f>
        <v>397.3</v>
      </c>
      <c r="G1536" s="1215">
        <f>ROUND((G1529+G1530+G1531)*0.2,2)</f>
        <v>794.6</v>
      </c>
      <c r="H1536" s="1205" t="s">
        <v>2308</v>
      </c>
    </row>
    <row r="1537" spans="1:8" hidden="1">
      <c r="A1537" s="1212"/>
      <c r="B1537" s="1212"/>
      <c r="C1537" s="1754" t="s">
        <v>88</v>
      </c>
      <c r="D1537" s="1212"/>
      <c r="E1537" s="1213">
        <f>SUM(E1535:E1536)</f>
        <v>27080.710000000003</v>
      </c>
      <c r="F1537" s="1213">
        <f>SUM(F1535:F1536)</f>
        <v>27478.010000000002</v>
      </c>
      <c r="G1537" s="1215">
        <f>SUM(G1535:G1536)</f>
        <v>27875.31</v>
      </c>
      <c r="H1537" s="1205" t="s">
        <v>2308</v>
      </c>
    </row>
    <row r="1538" spans="1:8" hidden="1">
      <c r="A1538" s="1212"/>
      <c r="B1538" s="1212"/>
      <c r="C1538" s="1754" t="s">
        <v>121</v>
      </c>
      <c r="D1538" s="1212"/>
      <c r="E1538" s="1217">
        <f>ROUND(E1537/10,2)</f>
        <v>2708.07</v>
      </c>
      <c r="F1538" s="1217">
        <f>ROUND(F1537/10,2)</f>
        <v>2747.8</v>
      </c>
      <c r="G1538" s="1222">
        <f>ROUND(G1537/10,2)</f>
        <v>2787.53</v>
      </c>
      <c r="H1538" s="1205" t="s">
        <v>2308</v>
      </c>
    </row>
    <row r="1539" spans="1:8" ht="38.25" hidden="1">
      <c r="A1539" s="1156">
        <v>42</v>
      </c>
      <c r="B1539" s="1218"/>
      <c r="C1539" s="1752" t="s">
        <v>937</v>
      </c>
      <c r="D1539" s="1212"/>
      <c r="E1539" s="1212"/>
      <c r="F1539" s="1212"/>
      <c r="G1539" s="1169"/>
      <c r="H1539" s="1205" t="s">
        <v>2308</v>
      </c>
    </row>
    <row r="1540" spans="1:8" hidden="1">
      <c r="A1540" s="1169"/>
      <c r="B1540" s="1169"/>
      <c r="C1540" s="1752" t="s">
        <v>938</v>
      </c>
      <c r="D1540" s="1156" t="s">
        <v>277</v>
      </c>
      <c r="E1540" s="1166">
        <v>1</v>
      </c>
      <c r="F1540" s="1221">
        <f>'MINI SSR 2020-21'!C46</f>
        <v>412</v>
      </c>
      <c r="G1540" s="1214">
        <f>ROUND(E1540*F1540,2)</f>
        <v>412</v>
      </c>
      <c r="H1540" s="1205" t="s">
        <v>2308</v>
      </c>
    </row>
    <row r="1541" spans="1:8" hidden="1">
      <c r="A1541" s="1169"/>
      <c r="B1541" s="1169"/>
      <c r="C1541" s="1754" t="s">
        <v>377</v>
      </c>
      <c r="D1541" s="1156"/>
      <c r="E1541" s="1221"/>
      <c r="F1541" s="1221"/>
      <c r="G1541" s="1220">
        <f>SUM(G1540:G1540)</f>
        <v>412</v>
      </c>
      <c r="H1541" s="1205" t="s">
        <v>2308</v>
      </c>
    </row>
    <row r="1542" spans="1:8" ht="140.25" hidden="1">
      <c r="A1542" s="1156">
        <v>43</v>
      </c>
      <c r="B1542" s="1218" t="s">
        <v>674</v>
      </c>
      <c r="C1542" s="1752" t="s">
        <v>673</v>
      </c>
      <c r="D1542" s="1212"/>
      <c r="E1542" s="1212"/>
      <c r="F1542" s="1212"/>
      <c r="G1542" s="1218"/>
      <c r="H1542" s="1205" t="s">
        <v>2308</v>
      </c>
    </row>
    <row r="1543" spans="1:8" hidden="1">
      <c r="A1543" s="1156"/>
      <c r="B1543" s="1218"/>
      <c r="C1543" s="1754" t="s">
        <v>42</v>
      </c>
      <c r="D1543" s="1212"/>
      <c r="E1543" s="1212"/>
      <c r="F1543" s="1212"/>
      <c r="G1543" s="1215"/>
      <c r="H1543" s="1205" t="s">
        <v>2308</v>
      </c>
    </row>
    <row r="1544" spans="1:8" hidden="1">
      <c r="A1544" s="1156"/>
      <c r="B1544" s="1218"/>
      <c r="C1544" s="1754" t="s">
        <v>60</v>
      </c>
      <c r="D1544" s="1212"/>
      <c r="E1544" s="1212"/>
      <c r="F1544" s="1212"/>
      <c r="G1544" s="1215"/>
      <c r="H1544" s="1205" t="s">
        <v>2308</v>
      </c>
    </row>
    <row r="1545" spans="1:8" ht="25.5" hidden="1">
      <c r="A1545" s="1156"/>
      <c r="B1545" s="1218"/>
      <c r="C1545" s="1752" t="s">
        <v>677</v>
      </c>
      <c r="D1545" s="1212" t="s">
        <v>77</v>
      </c>
      <c r="E1545" s="1213">
        <v>10.5</v>
      </c>
      <c r="F1545" s="1213">
        <f>'MINI SSR 2020-21'!C20</f>
        <v>266</v>
      </c>
      <c r="G1545" s="1214">
        <f>ROUND(E1545*F1545/1,2)</f>
        <v>2793</v>
      </c>
      <c r="H1545" s="1205" t="s">
        <v>2308</v>
      </c>
    </row>
    <row r="1546" spans="1:8" hidden="1">
      <c r="A1546" s="1156"/>
      <c r="B1546" s="1218"/>
      <c r="C1546" s="1752" t="s">
        <v>675</v>
      </c>
      <c r="D1546" s="1212" t="s">
        <v>4</v>
      </c>
      <c r="E1546" s="1213">
        <v>28.8</v>
      </c>
      <c r="F1546" s="1213">
        <f>F1525</f>
        <v>4700</v>
      </c>
      <c r="G1546" s="1214">
        <f>ROUND(E1546*F1546/1000,2)</f>
        <v>135.36000000000001</v>
      </c>
      <c r="H1546" s="1205" t="s">
        <v>2308</v>
      </c>
    </row>
    <row r="1547" spans="1:8" hidden="1">
      <c r="A1547" s="1156"/>
      <c r="B1547" s="1218"/>
      <c r="C1547" s="1752" t="s">
        <v>92</v>
      </c>
      <c r="D1547" s="1212" t="s">
        <v>4</v>
      </c>
      <c r="E1547" s="1213">
        <v>33</v>
      </c>
      <c r="F1547" s="1213">
        <f>F1546</f>
        <v>4700</v>
      </c>
      <c r="G1547" s="1214">
        <f>ROUND(E1547*F1547/1000,2)</f>
        <v>155.1</v>
      </c>
      <c r="H1547" s="1205" t="s">
        <v>2308</v>
      </c>
    </row>
    <row r="1548" spans="1:8" hidden="1">
      <c r="A1548" s="1156"/>
      <c r="B1548" s="1218"/>
      <c r="C1548" s="1752" t="s">
        <v>93</v>
      </c>
      <c r="D1548" s="1212" t="s">
        <v>4</v>
      </c>
      <c r="E1548" s="1213">
        <v>6</v>
      </c>
      <c r="F1548" s="1213">
        <f>F1547</f>
        <v>4700</v>
      </c>
      <c r="G1548" s="1214">
        <f>ROUND(E1548*F1548/1000,2)</f>
        <v>28.2</v>
      </c>
      <c r="H1548" s="1205" t="s">
        <v>2308</v>
      </c>
    </row>
    <row r="1549" spans="1:8" hidden="1">
      <c r="A1549" s="1156"/>
      <c r="B1549" s="1218"/>
      <c r="C1549" s="1752" t="s">
        <v>676</v>
      </c>
      <c r="D1549" s="1212" t="s">
        <v>35</v>
      </c>
      <c r="E1549" s="1213">
        <v>0.12</v>
      </c>
      <c r="F1549" s="1213">
        <f>'lead 20-21'!L12</f>
        <v>1546.600000000001</v>
      </c>
      <c r="G1549" s="1214">
        <f>ROUND(E1549*F1549,2)</f>
        <v>185.59</v>
      </c>
      <c r="H1549" s="1205" t="s">
        <v>2308</v>
      </c>
    </row>
    <row r="1550" spans="1:8" hidden="1">
      <c r="A1550" s="1212"/>
      <c r="B1550" s="1212"/>
      <c r="C1550" s="1754" t="s">
        <v>68</v>
      </c>
      <c r="D1550" s="1212"/>
      <c r="E1550" s="1213"/>
      <c r="F1550" s="1213"/>
      <c r="G1550" s="1214"/>
      <c r="H1550" s="1205" t="s">
        <v>2308</v>
      </c>
    </row>
    <row r="1551" spans="1:8" hidden="1">
      <c r="A1551" s="1212"/>
      <c r="B1551" s="1212"/>
      <c r="C1551" s="1752" t="s">
        <v>69</v>
      </c>
      <c r="D1551" s="1212" t="s">
        <v>27</v>
      </c>
      <c r="E1551" s="1213">
        <v>0.96</v>
      </c>
      <c r="F1551" s="1216">
        <f>'MINI SSR 2020-21'!$H$3</f>
        <v>550</v>
      </c>
      <c r="G1551" s="1214">
        <f>ROUND(E1551*F1551,2)</f>
        <v>528</v>
      </c>
      <c r="H1551" s="1205" t="s">
        <v>2308</v>
      </c>
    </row>
    <row r="1552" spans="1:8" hidden="1">
      <c r="A1552" s="1212"/>
      <c r="B1552" s="1212"/>
      <c r="C1552" s="1752" t="s">
        <v>218</v>
      </c>
      <c r="D1552" s="1212" t="s">
        <v>27</v>
      </c>
      <c r="E1552" s="1213">
        <v>2.2400000000000002</v>
      </c>
      <c r="F1552" s="1216">
        <f>'MINI SSR 2020-21'!$H$4</f>
        <v>500</v>
      </c>
      <c r="G1552" s="1214">
        <f>ROUND(E1552*F1552,2)</f>
        <v>1120</v>
      </c>
      <c r="H1552" s="1205" t="s">
        <v>2308</v>
      </c>
    </row>
    <row r="1553" spans="1:8" hidden="1">
      <c r="A1553" s="1212"/>
      <c r="B1553" s="1212"/>
      <c r="C1553" s="1752" t="s">
        <v>85</v>
      </c>
      <c r="D1553" s="1212" t="s">
        <v>27</v>
      </c>
      <c r="E1553" s="1213">
        <v>3.3</v>
      </c>
      <c r="F1553" s="1216">
        <f>'MINI SSR 2020-21'!$H$5</f>
        <v>460</v>
      </c>
      <c r="G1553" s="1214">
        <f>ROUND(E1553*F1553,2)</f>
        <v>1518</v>
      </c>
      <c r="H1553" s="1205" t="s">
        <v>2308</v>
      </c>
    </row>
    <row r="1554" spans="1:8" hidden="1">
      <c r="A1554" s="1212"/>
      <c r="B1554" s="1212"/>
      <c r="C1554" s="1754" t="s">
        <v>88</v>
      </c>
      <c r="D1554" s="1212"/>
      <c r="E1554" s="1212"/>
      <c r="F1554" s="1212"/>
      <c r="G1554" s="1222">
        <f>SUM(G1545:G1553)</f>
        <v>6463.25</v>
      </c>
      <c r="H1554" s="1205" t="s">
        <v>2308</v>
      </c>
    </row>
    <row r="1555" spans="1:8" hidden="1">
      <c r="A1555" s="1212"/>
      <c r="B1555" s="1212"/>
      <c r="C1555" s="1754"/>
      <c r="D1555" s="1212"/>
      <c r="E1555" s="1218" t="s">
        <v>161</v>
      </c>
      <c r="F1555" s="1218" t="s">
        <v>162</v>
      </c>
      <c r="G1555" s="1217" t="s">
        <v>163</v>
      </c>
      <c r="H1555" s="1205" t="s">
        <v>2308</v>
      </c>
    </row>
    <row r="1556" spans="1:8" hidden="1">
      <c r="A1556" s="1212"/>
      <c r="B1556" s="1212"/>
      <c r="C1556" s="1754" t="s">
        <v>1274</v>
      </c>
      <c r="D1556" s="1212"/>
      <c r="E1556" s="1213">
        <f>G1554</f>
        <v>6463.25</v>
      </c>
      <c r="F1556" s="1213">
        <f>G1554</f>
        <v>6463.25</v>
      </c>
      <c r="G1556" s="1215">
        <f>G1554</f>
        <v>6463.25</v>
      </c>
      <c r="H1556" s="1205" t="s">
        <v>2308</v>
      </c>
    </row>
    <row r="1557" spans="1:8" ht="25.5" hidden="1">
      <c r="A1557" s="1212"/>
      <c r="B1557" s="1212"/>
      <c r="C1557" s="1752" t="s">
        <v>1286</v>
      </c>
      <c r="D1557" s="1212"/>
      <c r="E1557" s="1213"/>
      <c r="F1557" s="1215">
        <f>ROUND((G1552+G1551+G1553)*0.1,2)</f>
        <v>316.60000000000002</v>
      </c>
      <c r="G1557" s="1215">
        <f>ROUND((G1553+G1551+G1552)*0.2,2)</f>
        <v>633.20000000000005</v>
      </c>
      <c r="H1557" s="1205" t="s">
        <v>2308</v>
      </c>
    </row>
    <row r="1558" spans="1:8" hidden="1">
      <c r="A1558" s="1212"/>
      <c r="B1558" s="1212"/>
      <c r="C1558" s="1754" t="s">
        <v>88</v>
      </c>
      <c r="D1558" s="1212"/>
      <c r="E1558" s="1213">
        <f>SUM(E1556:E1557)</f>
        <v>6463.25</v>
      </c>
      <c r="F1558" s="1213">
        <f>SUM(F1556:F1557)</f>
        <v>6779.85</v>
      </c>
      <c r="G1558" s="1215">
        <f>SUM(G1556:G1557)</f>
        <v>7096.45</v>
      </c>
      <c r="H1558" s="1205" t="s">
        <v>2308</v>
      </c>
    </row>
    <row r="1559" spans="1:8" hidden="1">
      <c r="A1559" s="1212"/>
      <c r="B1559" s="1212"/>
      <c r="C1559" s="1754" t="s">
        <v>121</v>
      </c>
      <c r="D1559" s="1212"/>
      <c r="E1559" s="1217">
        <f>ROUND(E1558/10,2)</f>
        <v>646.33000000000004</v>
      </c>
      <c r="F1559" s="1217">
        <f>ROUND(F1558/10,2)</f>
        <v>677.99</v>
      </c>
      <c r="G1559" s="1222">
        <f>ROUND(G1558/10,2)</f>
        <v>709.65</v>
      </c>
      <c r="H1559" s="1205" t="s">
        <v>2308</v>
      </c>
    </row>
    <row r="1560" spans="1:8" ht="127.5" hidden="1">
      <c r="A1560" s="1156">
        <v>44</v>
      </c>
      <c r="B1560" s="1218" t="s">
        <v>199</v>
      </c>
      <c r="C1560" s="1752" t="s">
        <v>679</v>
      </c>
      <c r="D1560" s="1212"/>
      <c r="E1560" s="1212"/>
      <c r="F1560" s="1212"/>
      <c r="G1560" s="1218"/>
      <c r="H1560" s="1205" t="s">
        <v>2308</v>
      </c>
    </row>
    <row r="1561" spans="1:8" hidden="1">
      <c r="A1561" s="1156"/>
      <c r="B1561" s="1218"/>
      <c r="C1561" s="1754" t="s">
        <v>42</v>
      </c>
      <c r="D1561" s="1212"/>
      <c r="E1561" s="1212"/>
      <c r="F1561" s="1212"/>
      <c r="G1561" s="1215"/>
      <c r="H1561" s="1205" t="s">
        <v>2308</v>
      </c>
    </row>
    <row r="1562" spans="1:8" hidden="1">
      <c r="A1562" s="1156"/>
      <c r="B1562" s="1218"/>
      <c r="C1562" s="1754" t="s">
        <v>60</v>
      </c>
      <c r="D1562" s="1212"/>
      <c r="E1562" s="1212"/>
      <c r="F1562" s="1212"/>
      <c r="G1562" s="1215"/>
      <c r="H1562" s="1205" t="s">
        <v>2308</v>
      </c>
    </row>
    <row r="1563" spans="1:8" ht="25.5" hidden="1">
      <c r="A1563" s="1156"/>
      <c r="B1563" s="1218"/>
      <c r="C1563" s="1752" t="s">
        <v>677</v>
      </c>
      <c r="D1563" s="1212" t="s">
        <v>77</v>
      </c>
      <c r="E1563" s="1213">
        <v>10.5</v>
      </c>
      <c r="F1563" s="1213">
        <f>'MINI SSR 2020-21'!C20</f>
        <v>266</v>
      </c>
      <c r="G1563" s="1214">
        <f>ROUND(E1563*F1563/1,2)</f>
        <v>2793</v>
      </c>
      <c r="H1563" s="1205" t="s">
        <v>2308</v>
      </c>
    </row>
    <row r="1564" spans="1:8" hidden="1">
      <c r="A1564" s="1156"/>
      <c r="B1564" s="1218"/>
      <c r="C1564" s="1752" t="s">
        <v>200</v>
      </c>
      <c r="D1564" s="1212" t="s">
        <v>35</v>
      </c>
      <c r="E1564" s="1213">
        <v>0.12</v>
      </c>
      <c r="F1564" s="1213">
        <f>F1549</f>
        <v>1546.600000000001</v>
      </c>
      <c r="G1564" s="1214">
        <f>ROUND(E1564*F1564,2)</f>
        <v>185.59</v>
      </c>
      <c r="H1564" s="1205" t="s">
        <v>2308</v>
      </c>
    </row>
    <row r="1565" spans="1:8" hidden="1">
      <c r="A1565" s="1156"/>
      <c r="B1565" s="1218"/>
      <c r="C1565" s="1752" t="s">
        <v>201</v>
      </c>
      <c r="D1565" s="1212" t="s">
        <v>4</v>
      </c>
      <c r="E1565" s="1213">
        <v>34.56</v>
      </c>
      <c r="F1565" s="1213">
        <f>F1546</f>
        <v>4700</v>
      </c>
      <c r="G1565" s="1214">
        <f>ROUND(E1565*F1565/1000,2)</f>
        <v>162.43</v>
      </c>
      <c r="H1565" s="1205" t="s">
        <v>2308</v>
      </c>
    </row>
    <row r="1566" spans="1:8" hidden="1">
      <c r="A1566" s="1156"/>
      <c r="B1566" s="1218"/>
      <c r="C1566" s="1752" t="s">
        <v>202</v>
      </c>
      <c r="D1566" s="1212" t="s">
        <v>4</v>
      </c>
      <c r="E1566" s="1213">
        <v>33</v>
      </c>
      <c r="F1566" s="1213">
        <f>F1565</f>
        <v>4700</v>
      </c>
      <c r="G1566" s="1214">
        <f>ROUND(E1566*F1566/1000,2)</f>
        <v>155.1</v>
      </c>
      <c r="H1566" s="1205" t="s">
        <v>2308</v>
      </c>
    </row>
    <row r="1567" spans="1:8" hidden="1">
      <c r="A1567" s="1156"/>
      <c r="B1567" s="1218"/>
      <c r="C1567" s="1752" t="s">
        <v>204</v>
      </c>
      <c r="D1567" s="1212" t="s">
        <v>4</v>
      </c>
      <c r="E1567" s="1213">
        <v>2</v>
      </c>
      <c r="F1567" s="1213">
        <f>'MINI SSR 2020-21'!C45</f>
        <v>27.95</v>
      </c>
      <c r="G1567" s="1214">
        <f>ROUND(E1567*F1567,2)</f>
        <v>55.9</v>
      </c>
      <c r="H1567" s="1205" t="s">
        <v>2308</v>
      </c>
    </row>
    <row r="1568" spans="1:8" hidden="1">
      <c r="A1568" s="1212"/>
      <c r="B1568" s="1212"/>
      <c r="C1568" s="1754" t="s">
        <v>68</v>
      </c>
      <c r="D1568" s="1212"/>
      <c r="E1568" s="1213"/>
      <c r="F1568" s="1213"/>
      <c r="G1568" s="1214"/>
      <c r="H1568" s="1205" t="s">
        <v>2308</v>
      </c>
    </row>
    <row r="1569" spans="1:8" hidden="1">
      <c r="A1569" s="1212"/>
      <c r="B1569" s="1212"/>
      <c r="C1569" s="1752" t="s">
        <v>64</v>
      </c>
      <c r="D1569" s="1212" t="s">
        <v>27</v>
      </c>
      <c r="E1569" s="1213">
        <v>0.96</v>
      </c>
      <c r="F1569" s="1216">
        <f>'MINI SSR 2020-21'!$H$3</f>
        <v>550</v>
      </c>
      <c r="G1569" s="1214">
        <f>ROUND(E1569*F1569,2)</f>
        <v>528</v>
      </c>
      <c r="H1569" s="1205" t="s">
        <v>2308</v>
      </c>
    </row>
    <row r="1570" spans="1:8" hidden="1">
      <c r="A1570" s="1212"/>
      <c r="B1570" s="1212"/>
      <c r="C1570" s="1752" t="s">
        <v>69</v>
      </c>
      <c r="D1570" s="1212" t="s">
        <v>27</v>
      </c>
      <c r="E1570" s="1213">
        <v>2.2400000000000002</v>
      </c>
      <c r="F1570" s="1216">
        <f>'MINI SSR 2020-21'!$H$4</f>
        <v>500</v>
      </c>
      <c r="G1570" s="1214">
        <f>ROUND(E1570*F1570,2)</f>
        <v>1120</v>
      </c>
      <c r="H1570" s="1205" t="s">
        <v>2308</v>
      </c>
    </row>
    <row r="1571" spans="1:8" hidden="1">
      <c r="A1571" s="1212"/>
      <c r="B1571" s="1212"/>
      <c r="C1571" s="1752" t="s">
        <v>85</v>
      </c>
      <c r="D1571" s="1212" t="s">
        <v>27</v>
      </c>
      <c r="E1571" s="1213">
        <v>3.3</v>
      </c>
      <c r="F1571" s="1216">
        <f>'MINI SSR 2020-21'!$H$5</f>
        <v>460</v>
      </c>
      <c r="G1571" s="1214">
        <f>ROUND(E1571*F1571,2)</f>
        <v>1518</v>
      </c>
      <c r="H1571" s="1205" t="s">
        <v>2308</v>
      </c>
    </row>
    <row r="1572" spans="1:8" hidden="1">
      <c r="A1572" s="1212"/>
      <c r="B1572" s="1212"/>
      <c r="C1572" s="1754" t="s">
        <v>88</v>
      </c>
      <c r="D1572" s="1212"/>
      <c r="E1572" s="1212"/>
      <c r="F1572" s="1212"/>
      <c r="G1572" s="1222">
        <f>SUM(G1563:G1571)</f>
        <v>6518.02</v>
      </c>
      <c r="H1572" s="1205" t="s">
        <v>2308</v>
      </c>
    </row>
    <row r="1573" spans="1:8" hidden="1">
      <c r="A1573" s="1212"/>
      <c r="B1573" s="1212"/>
      <c r="C1573" s="1754"/>
      <c r="D1573" s="1212"/>
      <c r="E1573" s="1218" t="s">
        <v>161</v>
      </c>
      <c r="F1573" s="1218" t="s">
        <v>162</v>
      </c>
      <c r="G1573" s="1217" t="s">
        <v>163</v>
      </c>
      <c r="H1573" s="1205" t="s">
        <v>2308</v>
      </c>
    </row>
    <row r="1574" spans="1:8" hidden="1">
      <c r="A1574" s="1212"/>
      <c r="B1574" s="1212"/>
      <c r="C1574" s="1754" t="s">
        <v>1275</v>
      </c>
      <c r="D1574" s="1212"/>
      <c r="E1574" s="1213">
        <f>G1572</f>
        <v>6518.02</v>
      </c>
      <c r="F1574" s="1213">
        <f>G1572</f>
        <v>6518.02</v>
      </c>
      <c r="G1574" s="1215">
        <f>G1572</f>
        <v>6518.02</v>
      </c>
      <c r="H1574" s="1205" t="s">
        <v>2308</v>
      </c>
    </row>
    <row r="1575" spans="1:8" ht="25.5" hidden="1">
      <c r="A1575" s="1212"/>
      <c r="B1575" s="1212"/>
      <c r="C1575" s="1752" t="s">
        <v>170</v>
      </c>
      <c r="D1575" s="1212"/>
      <c r="E1575" s="1213"/>
      <c r="F1575" s="1215">
        <f>ROUND((G1570+G1569+G1571)*0.1,2)</f>
        <v>316.60000000000002</v>
      </c>
      <c r="G1575" s="1215">
        <f>ROUND((G1571+G1569+G1570)*0.2,2)</f>
        <v>633.20000000000005</v>
      </c>
      <c r="H1575" s="1205" t="s">
        <v>2308</v>
      </c>
    </row>
    <row r="1576" spans="1:8" hidden="1">
      <c r="A1576" s="1212"/>
      <c r="B1576" s="1212"/>
      <c r="C1576" s="1754" t="s">
        <v>194</v>
      </c>
      <c r="D1576" s="1212"/>
      <c r="E1576" s="1213">
        <f>SUM(E1574:E1575)</f>
        <v>6518.02</v>
      </c>
      <c r="F1576" s="1213">
        <f>SUM(F1574:F1575)</f>
        <v>6834.6200000000008</v>
      </c>
      <c r="G1576" s="1215">
        <f>SUM(G1574:G1575)</f>
        <v>7151.22</v>
      </c>
      <c r="H1576" s="1205" t="s">
        <v>2308</v>
      </c>
    </row>
    <row r="1577" spans="1:8" hidden="1">
      <c r="A1577" s="1212"/>
      <c r="B1577" s="1212"/>
      <c r="C1577" s="1754" t="s">
        <v>181</v>
      </c>
      <c r="D1577" s="1212"/>
      <c r="E1577" s="1217">
        <f>ROUND(E1576/10,2)</f>
        <v>651.79999999999995</v>
      </c>
      <c r="F1577" s="1217">
        <f>ROUND(F1576/10,2)</f>
        <v>683.46</v>
      </c>
      <c r="G1577" s="1222">
        <f>ROUND(G1576/10,2)</f>
        <v>715.12</v>
      </c>
      <c r="H1577" s="1205" t="s">
        <v>2308</v>
      </c>
    </row>
    <row r="1578" spans="1:8" ht="165.75" hidden="1">
      <c r="A1578" s="1156">
        <v>31</v>
      </c>
      <c r="B1578" s="1218" t="s">
        <v>195</v>
      </c>
      <c r="C1578" s="1752" t="s">
        <v>212</v>
      </c>
      <c r="D1578" s="1212"/>
      <c r="E1578" s="1212"/>
      <c r="F1578" s="1212"/>
      <c r="G1578" s="1218"/>
      <c r="H1578" s="1205" t="s">
        <v>2308</v>
      </c>
    </row>
    <row r="1579" spans="1:8" hidden="1">
      <c r="A1579" s="1156"/>
      <c r="B1579" s="1218"/>
      <c r="C1579" s="1754" t="s">
        <v>42</v>
      </c>
      <c r="D1579" s="1212"/>
      <c r="E1579" s="1212"/>
      <c r="F1579" s="1212"/>
      <c r="G1579" s="1215"/>
      <c r="H1579" s="1205" t="s">
        <v>2308</v>
      </c>
    </row>
    <row r="1580" spans="1:8" hidden="1">
      <c r="A1580" s="1156"/>
      <c r="B1580" s="1218"/>
      <c r="C1580" s="1754" t="s">
        <v>60</v>
      </c>
      <c r="D1580" s="1212"/>
      <c r="E1580" s="1212"/>
      <c r="F1580" s="1212"/>
      <c r="G1580" s="1215"/>
      <c r="H1580" s="1205" t="s">
        <v>2308</v>
      </c>
    </row>
    <row r="1581" spans="1:8" hidden="1">
      <c r="A1581" s="1156"/>
      <c r="B1581" s="1218"/>
      <c r="C1581" s="1752" t="s">
        <v>203</v>
      </c>
      <c r="D1581" s="1212" t="s">
        <v>77</v>
      </c>
      <c r="E1581" s="1213">
        <v>10.5</v>
      </c>
      <c r="F1581" s="1213">
        <f>'MINI SSR 2020-21'!C21</f>
        <v>612</v>
      </c>
      <c r="G1581" s="1214">
        <f>ROUND(E1581*F1581,2)</f>
        <v>6426</v>
      </c>
      <c r="H1581" s="1205" t="s">
        <v>2308</v>
      </c>
    </row>
    <row r="1582" spans="1:8" hidden="1">
      <c r="A1582" s="1156"/>
      <c r="B1582" s="1218"/>
      <c r="C1582" s="1752" t="s">
        <v>91</v>
      </c>
      <c r="D1582" s="1212" t="s">
        <v>4</v>
      </c>
      <c r="E1582" s="1213">
        <v>21.6</v>
      </c>
      <c r="F1582" s="1213">
        <f>'lead 20-21'!L8</f>
        <v>4700</v>
      </c>
      <c r="G1582" s="1214">
        <f>ROUND(E1582*F1582/1000,2)</f>
        <v>101.52</v>
      </c>
      <c r="H1582" s="1205" t="s">
        <v>2308</v>
      </c>
    </row>
    <row r="1583" spans="1:8" hidden="1">
      <c r="A1583" s="1156"/>
      <c r="B1583" s="1218"/>
      <c r="C1583" s="1752" t="s">
        <v>92</v>
      </c>
      <c r="D1583" s="1212" t="s">
        <v>4</v>
      </c>
      <c r="E1583" s="1213">
        <v>33</v>
      </c>
      <c r="F1583" s="1213">
        <f>F1582</f>
        <v>4700</v>
      </c>
      <c r="G1583" s="1214">
        <f>ROUND(E1583*F1583/1000,2)</f>
        <v>155.1</v>
      </c>
      <c r="H1583" s="1205" t="s">
        <v>2308</v>
      </c>
    </row>
    <row r="1584" spans="1:8" hidden="1">
      <c r="A1584" s="1156"/>
      <c r="B1584" s="1218"/>
      <c r="C1584" s="1752" t="s">
        <v>196</v>
      </c>
      <c r="D1584" s="1212" t="s">
        <v>4</v>
      </c>
      <c r="E1584" s="1213">
        <v>6</v>
      </c>
      <c r="F1584" s="1213">
        <f>F1583</f>
        <v>4700</v>
      </c>
      <c r="G1584" s="1214">
        <f>ROUND(E1584*F1584/1000,2)</f>
        <v>28.2</v>
      </c>
      <c r="H1584" s="1205" t="s">
        <v>2308</v>
      </c>
    </row>
    <row r="1585" spans="1:8" hidden="1">
      <c r="A1585" s="1156"/>
      <c r="B1585" s="1218"/>
      <c r="C1585" s="1752" t="s">
        <v>197</v>
      </c>
      <c r="D1585" s="1212" t="s">
        <v>35</v>
      </c>
      <c r="E1585" s="1213">
        <v>0.12</v>
      </c>
      <c r="F1585" s="1213">
        <f>'lead 20-21'!L12</f>
        <v>1546.600000000001</v>
      </c>
      <c r="G1585" s="1214">
        <f>ROUND(E1585*F1585,2)</f>
        <v>185.59</v>
      </c>
      <c r="H1585" s="1205" t="s">
        <v>2308</v>
      </c>
    </row>
    <row r="1586" spans="1:8" hidden="1">
      <c r="A1586" s="1156"/>
      <c r="B1586" s="1218"/>
      <c r="C1586" s="1752" t="s">
        <v>198</v>
      </c>
      <c r="D1586" s="1212" t="s">
        <v>35</v>
      </c>
      <c r="E1586" s="1213">
        <v>0.02</v>
      </c>
      <c r="F1586" s="1213">
        <f>F1585</f>
        <v>1546.600000000001</v>
      </c>
      <c r="G1586" s="1214">
        <f>ROUND(E1586*F1586,2)</f>
        <v>30.93</v>
      </c>
      <c r="H1586" s="1205" t="s">
        <v>2308</v>
      </c>
    </row>
    <row r="1587" spans="1:8" hidden="1">
      <c r="A1587" s="1212"/>
      <c r="B1587" s="1212"/>
      <c r="C1587" s="1754" t="s">
        <v>68</v>
      </c>
      <c r="D1587" s="1212"/>
      <c r="E1587" s="1213"/>
      <c r="F1587" s="1213"/>
      <c r="G1587" s="1214"/>
      <c r="H1587" s="1205" t="s">
        <v>2308</v>
      </c>
    </row>
    <row r="1588" spans="1:8" hidden="1">
      <c r="A1588" s="1212"/>
      <c r="B1588" s="1212"/>
      <c r="C1588" s="1752" t="s">
        <v>64</v>
      </c>
      <c r="D1588" s="1212" t="s">
        <v>27</v>
      </c>
      <c r="E1588" s="1213">
        <v>0.96</v>
      </c>
      <c r="F1588" s="1216">
        <f>'MINI SSR 2020-21'!$H$3</f>
        <v>550</v>
      </c>
      <c r="G1588" s="1214">
        <f>ROUND(E1588*F1588,2)</f>
        <v>528</v>
      </c>
      <c r="H1588" s="1205" t="s">
        <v>2308</v>
      </c>
    </row>
    <row r="1589" spans="1:8" hidden="1">
      <c r="A1589" s="1212"/>
      <c r="B1589" s="1212"/>
      <c r="C1589" s="1752" t="s">
        <v>69</v>
      </c>
      <c r="D1589" s="1212" t="s">
        <v>27</v>
      </c>
      <c r="E1589" s="1213">
        <v>2.2400000000000002</v>
      </c>
      <c r="F1589" s="1216">
        <f>'MINI SSR 2020-21'!$H$4</f>
        <v>500</v>
      </c>
      <c r="G1589" s="1214">
        <f>ROUND(E1589*F1589,2)</f>
        <v>1120</v>
      </c>
      <c r="H1589" s="1205" t="s">
        <v>2308</v>
      </c>
    </row>
    <row r="1590" spans="1:8" hidden="1">
      <c r="A1590" s="1212"/>
      <c r="B1590" s="1212"/>
      <c r="C1590" s="1752" t="s">
        <v>85</v>
      </c>
      <c r="D1590" s="1212" t="s">
        <v>27</v>
      </c>
      <c r="E1590" s="1213">
        <v>3.3</v>
      </c>
      <c r="F1590" s="1216">
        <f>'MINI SSR 2020-21'!$H$5</f>
        <v>460</v>
      </c>
      <c r="G1590" s="1214">
        <f>ROUND(E1590*F1590,2)</f>
        <v>1518</v>
      </c>
      <c r="H1590" s="1205" t="s">
        <v>2308</v>
      </c>
    </row>
    <row r="1591" spans="1:8" hidden="1">
      <c r="A1591" s="1212"/>
      <c r="B1591" s="1212"/>
      <c r="C1591" s="1752" t="s">
        <v>1221</v>
      </c>
      <c r="D1591" s="1212"/>
      <c r="E1591" s="1213">
        <v>0.01</v>
      </c>
      <c r="F1591" s="1213">
        <f>SUM(G1581:G1590)</f>
        <v>10093.34</v>
      </c>
      <c r="G1591" s="1214">
        <f>ROUND(E1591*F1591,2)</f>
        <v>100.93</v>
      </c>
      <c r="H1591" s="1205" t="s">
        <v>2308</v>
      </c>
    </row>
    <row r="1592" spans="1:8" hidden="1">
      <c r="A1592" s="1212"/>
      <c r="B1592" s="1212"/>
      <c r="C1592" s="1754" t="s">
        <v>88</v>
      </c>
      <c r="D1592" s="1212"/>
      <c r="E1592" s="1212"/>
      <c r="F1592" s="1212"/>
      <c r="G1592" s="1222">
        <f>SUM(G1581:G1591)</f>
        <v>10194.27</v>
      </c>
      <c r="H1592" s="1205" t="s">
        <v>2308</v>
      </c>
    </row>
    <row r="1593" spans="1:8" hidden="1">
      <c r="A1593" s="1212"/>
      <c r="B1593" s="1212"/>
      <c r="C1593" s="1754"/>
      <c r="D1593" s="1212"/>
      <c r="E1593" s="1218" t="s">
        <v>161</v>
      </c>
      <c r="F1593" s="1218" t="s">
        <v>162</v>
      </c>
      <c r="G1593" s="1217" t="s">
        <v>163</v>
      </c>
      <c r="H1593" s="1205" t="s">
        <v>2308</v>
      </c>
    </row>
    <row r="1594" spans="1:8" hidden="1">
      <c r="A1594" s="1212"/>
      <c r="B1594" s="1212"/>
      <c r="C1594" s="1754" t="s">
        <v>1275</v>
      </c>
      <c r="D1594" s="1212"/>
      <c r="E1594" s="1213">
        <f>G1592</f>
        <v>10194.27</v>
      </c>
      <c r="F1594" s="1213">
        <f>G1592</f>
        <v>10194.27</v>
      </c>
      <c r="G1594" s="1215">
        <f>G1592</f>
        <v>10194.27</v>
      </c>
      <c r="H1594" s="1205" t="s">
        <v>2308</v>
      </c>
    </row>
    <row r="1595" spans="1:8" ht="25.5" hidden="1">
      <c r="A1595" s="1212"/>
      <c r="B1595" s="1212"/>
      <c r="C1595" s="1752" t="s">
        <v>170</v>
      </c>
      <c r="D1595" s="1212"/>
      <c r="E1595" s="1212"/>
      <c r="F1595" s="1213">
        <f>ROUND((G1588+G1589+G1590)*0.1,2)</f>
        <v>316.60000000000002</v>
      </c>
      <c r="G1595" s="1225">
        <f>ROUND((G1588+G1589+G1590)*0.2,2)</f>
        <v>633.20000000000005</v>
      </c>
      <c r="H1595" s="1205" t="s">
        <v>2308</v>
      </c>
    </row>
    <row r="1596" spans="1:8" hidden="1">
      <c r="A1596" s="1212"/>
      <c r="B1596" s="1212"/>
      <c r="C1596" s="1754" t="s">
        <v>194</v>
      </c>
      <c r="D1596" s="1212"/>
      <c r="E1596" s="1217">
        <f>SUM(E1594:E1595)</f>
        <v>10194.27</v>
      </c>
      <c r="F1596" s="1217">
        <f>SUM(F1594:F1595)</f>
        <v>10510.87</v>
      </c>
      <c r="G1596" s="1222">
        <f>SUM(G1594:G1595)</f>
        <v>10827.470000000001</v>
      </c>
      <c r="H1596" s="1205" t="s">
        <v>2308</v>
      </c>
    </row>
    <row r="1597" spans="1:8" hidden="1">
      <c r="A1597" s="1212"/>
      <c r="B1597" s="1212"/>
      <c r="C1597" s="1754" t="s">
        <v>181</v>
      </c>
      <c r="D1597" s="1212"/>
      <c r="E1597" s="1217">
        <f>ROUND(E1596/10,2)</f>
        <v>1019.43</v>
      </c>
      <c r="F1597" s="1217">
        <f>ROUND(F1596/10,2)</f>
        <v>1051.0899999999999</v>
      </c>
      <c r="G1597" s="1222">
        <f>ROUND(G1596/10,2)</f>
        <v>1082.75</v>
      </c>
      <c r="H1597" s="1205" t="s">
        <v>2308</v>
      </c>
    </row>
    <row r="1598" spans="1:8" ht="127.5" hidden="1">
      <c r="A1598" s="1156">
        <v>32</v>
      </c>
      <c r="B1598" s="1218" t="s">
        <v>199</v>
      </c>
      <c r="C1598" s="1752" t="s">
        <v>213</v>
      </c>
      <c r="D1598" s="1212"/>
      <c r="E1598" s="1212"/>
      <c r="F1598" s="1212"/>
      <c r="G1598" s="1218"/>
      <c r="H1598" s="1205" t="s">
        <v>2308</v>
      </c>
    </row>
    <row r="1599" spans="1:8" hidden="1">
      <c r="A1599" s="1156"/>
      <c r="B1599" s="1218"/>
      <c r="C1599" s="1754" t="s">
        <v>42</v>
      </c>
      <c r="D1599" s="1212"/>
      <c r="E1599" s="1212"/>
      <c r="F1599" s="1212"/>
      <c r="G1599" s="1215"/>
      <c r="H1599" s="1205" t="s">
        <v>2308</v>
      </c>
    </row>
    <row r="1600" spans="1:8" hidden="1">
      <c r="A1600" s="1156"/>
      <c r="B1600" s="1218"/>
      <c r="C1600" s="1754" t="s">
        <v>60</v>
      </c>
      <c r="D1600" s="1212"/>
      <c r="E1600" s="1212"/>
      <c r="F1600" s="1212"/>
      <c r="G1600" s="1215"/>
      <c r="H1600" s="1205" t="s">
        <v>2308</v>
      </c>
    </row>
    <row r="1601" spans="1:8" hidden="1">
      <c r="A1601" s="1156"/>
      <c r="B1601" s="1218"/>
      <c r="C1601" s="1752" t="s">
        <v>203</v>
      </c>
      <c r="D1601" s="1212" t="s">
        <v>77</v>
      </c>
      <c r="E1601" s="1213">
        <v>10.5</v>
      </c>
      <c r="F1601" s="1213">
        <f>'MINI SSR 2020-21'!C21</f>
        <v>612</v>
      </c>
      <c r="G1601" s="1214">
        <f>ROUND(E1601*F1601,2)</f>
        <v>6426</v>
      </c>
      <c r="H1601" s="1205" t="s">
        <v>2308</v>
      </c>
    </row>
    <row r="1602" spans="1:8" hidden="1">
      <c r="A1602" s="1156"/>
      <c r="B1602" s="1218"/>
      <c r="C1602" s="1752" t="s">
        <v>200</v>
      </c>
      <c r="D1602" s="1212" t="s">
        <v>35</v>
      </c>
      <c r="E1602" s="1213">
        <v>0.12</v>
      </c>
      <c r="F1602" s="1213">
        <f>'lead 20-21'!L12</f>
        <v>1546.600000000001</v>
      </c>
      <c r="G1602" s="1214">
        <f>ROUND(E1602*F1602,2)</f>
        <v>185.59</v>
      </c>
      <c r="H1602" s="1205" t="s">
        <v>2308</v>
      </c>
    </row>
    <row r="1603" spans="1:8" hidden="1">
      <c r="A1603" s="1156"/>
      <c r="B1603" s="1218"/>
      <c r="C1603" s="1752" t="s">
        <v>201</v>
      </c>
      <c r="D1603" s="1212" t="s">
        <v>4</v>
      </c>
      <c r="E1603" s="1213">
        <v>34.56</v>
      </c>
      <c r="F1603" s="1213">
        <f>'lead 20-21'!L8</f>
        <v>4700</v>
      </c>
      <c r="G1603" s="1214">
        <f>ROUND(E1603*F1603/1000,2)</f>
        <v>162.43</v>
      </c>
      <c r="H1603" s="1205" t="s">
        <v>2308</v>
      </c>
    </row>
    <row r="1604" spans="1:8" hidden="1">
      <c r="A1604" s="1156"/>
      <c r="B1604" s="1218"/>
      <c r="C1604" s="1752" t="s">
        <v>202</v>
      </c>
      <c r="D1604" s="1212" t="s">
        <v>4</v>
      </c>
      <c r="E1604" s="1213">
        <v>33</v>
      </c>
      <c r="F1604" s="1213">
        <f>F1603</f>
        <v>4700</v>
      </c>
      <c r="G1604" s="1214">
        <f>ROUND(E1604*F1604/1000,2)</f>
        <v>155.1</v>
      </c>
      <c r="H1604" s="1205" t="s">
        <v>2308</v>
      </c>
    </row>
    <row r="1605" spans="1:8" hidden="1">
      <c r="A1605" s="1156"/>
      <c r="B1605" s="1218"/>
      <c r="C1605" s="1752" t="s">
        <v>204</v>
      </c>
      <c r="D1605" s="1212" t="s">
        <v>4</v>
      </c>
      <c r="E1605" s="1213">
        <v>2</v>
      </c>
      <c r="F1605" s="1213">
        <f>'MINI SSR 2020-21'!C45</f>
        <v>27.95</v>
      </c>
      <c r="G1605" s="1214">
        <f>ROUND(E1605*F1605,2)</f>
        <v>55.9</v>
      </c>
      <c r="H1605" s="1205" t="s">
        <v>2308</v>
      </c>
    </row>
    <row r="1606" spans="1:8" hidden="1">
      <c r="A1606" s="1212"/>
      <c r="B1606" s="1212"/>
      <c r="C1606" s="1754" t="s">
        <v>68</v>
      </c>
      <c r="D1606" s="1212"/>
      <c r="E1606" s="1213"/>
      <c r="F1606" s="1213"/>
      <c r="G1606" s="1214"/>
      <c r="H1606" s="1205" t="s">
        <v>2308</v>
      </c>
    </row>
    <row r="1607" spans="1:8" hidden="1">
      <c r="A1607" s="1212"/>
      <c r="B1607" s="1212"/>
      <c r="C1607" s="1752" t="s">
        <v>64</v>
      </c>
      <c r="D1607" s="1212" t="s">
        <v>27</v>
      </c>
      <c r="E1607" s="1213">
        <v>0.96</v>
      </c>
      <c r="F1607" s="1216">
        <f>'MINI SSR 2020-21'!$H$3</f>
        <v>550</v>
      </c>
      <c r="G1607" s="1214">
        <f>ROUND(E1607*F1607,2)</f>
        <v>528</v>
      </c>
      <c r="H1607" s="1205" t="s">
        <v>2308</v>
      </c>
    </row>
    <row r="1608" spans="1:8" hidden="1">
      <c r="A1608" s="1212"/>
      <c r="B1608" s="1212"/>
      <c r="C1608" s="1752" t="s">
        <v>69</v>
      </c>
      <c r="D1608" s="1212" t="s">
        <v>27</v>
      </c>
      <c r="E1608" s="1213">
        <v>2.2400000000000002</v>
      </c>
      <c r="F1608" s="1216">
        <f>'MINI SSR 2020-21'!$H$4</f>
        <v>500</v>
      </c>
      <c r="G1608" s="1214">
        <f>ROUND(E1608*F1608,2)</f>
        <v>1120</v>
      </c>
      <c r="H1608" s="1205" t="s">
        <v>2308</v>
      </c>
    </row>
    <row r="1609" spans="1:8" hidden="1">
      <c r="A1609" s="1212"/>
      <c r="B1609" s="1212"/>
      <c r="C1609" s="1752" t="s">
        <v>85</v>
      </c>
      <c r="D1609" s="1212" t="s">
        <v>27</v>
      </c>
      <c r="E1609" s="1213">
        <v>3.3</v>
      </c>
      <c r="F1609" s="1216">
        <f>'MINI SSR 2020-21'!$H$5</f>
        <v>460</v>
      </c>
      <c r="G1609" s="1214">
        <f>ROUND(E1609*F1609,2)</f>
        <v>1518</v>
      </c>
      <c r="H1609" s="1205" t="s">
        <v>2308</v>
      </c>
    </row>
    <row r="1610" spans="1:8" hidden="1">
      <c r="A1610" s="1212"/>
      <c r="B1610" s="1212"/>
      <c r="C1610" s="1754" t="s">
        <v>88</v>
      </c>
      <c r="D1610" s="1212"/>
      <c r="E1610" s="1212"/>
      <c r="F1610" s="1212"/>
      <c r="G1610" s="1222">
        <f>SUM(G1601:G1609)</f>
        <v>10151.02</v>
      </c>
      <c r="H1610" s="1205" t="s">
        <v>2308</v>
      </c>
    </row>
    <row r="1611" spans="1:8" hidden="1">
      <c r="A1611" s="1212"/>
      <c r="B1611" s="1212"/>
      <c r="C1611" s="1754"/>
      <c r="D1611" s="1212"/>
      <c r="E1611" s="1218" t="s">
        <v>161</v>
      </c>
      <c r="F1611" s="1218" t="s">
        <v>162</v>
      </c>
      <c r="G1611" s="1217" t="s">
        <v>163</v>
      </c>
      <c r="H1611" s="1205" t="s">
        <v>2308</v>
      </c>
    </row>
    <row r="1612" spans="1:8" hidden="1">
      <c r="A1612" s="1212"/>
      <c r="B1612" s="1212"/>
      <c r="C1612" s="1754" t="s">
        <v>1275</v>
      </c>
      <c r="D1612" s="1212"/>
      <c r="E1612" s="1213">
        <f>G1610</f>
        <v>10151.02</v>
      </c>
      <c r="F1612" s="1213">
        <f>G1610</f>
        <v>10151.02</v>
      </c>
      <c r="G1612" s="1215">
        <f>G1610</f>
        <v>10151.02</v>
      </c>
      <c r="H1612" s="1205" t="s">
        <v>2308</v>
      </c>
    </row>
    <row r="1613" spans="1:8" ht="25.5" hidden="1">
      <c r="A1613" s="1212"/>
      <c r="B1613" s="1212"/>
      <c r="C1613" s="1752" t="s">
        <v>170</v>
      </c>
      <c r="D1613" s="1212"/>
      <c r="E1613" s="1212"/>
      <c r="F1613" s="1213">
        <f>ROUND((G1607+G1608+G1609)*0.1,2)</f>
        <v>316.60000000000002</v>
      </c>
      <c r="G1613" s="1225">
        <f>ROUND((G1607+G1608+G1609)*0.2,2)</f>
        <v>633.20000000000005</v>
      </c>
      <c r="H1613" s="1205" t="s">
        <v>2308</v>
      </c>
    </row>
    <row r="1614" spans="1:8" hidden="1">
      <c r="A1614" s="1212"/>
      <c r="B1614" s="1212"/>
      <c r="C1614" s="1754" t="s">
        <v>194</v>
      </c>
      <c r="D1614" s="1212"/>
      <c r="E1614" s="1217">
        <f>SUM(E1612:E1613)</f>
        <v>10151.02</v>
      </c>
      <c r="F1614" s="1217">
        <f>SUM(F1612:F1613)</f>
        <v>10467.620000000001</v>
      </c>
      <c r="G1614" s="1222">
        <f>SUM(G1612:G1613)</f>
        <v>10784.220000000001</v>
      </c>
      <c r="H1614" s="1205" t="s">
        <v>2308</v>
      </c>
    </row>
    <row r="1615" spans="1:8" hidden="1">
      <c r="A1615" s="1212"/>
      <c r="B1615" s="1212"/>
      <c r="C1615" s="1754" t="s">
        <v>181</v>
      </c>
      <c r="D1615" s="1212"/>
      <c r="E1615" s="1217">
        <f>ROUND(E1614/10,2)</f>
        <v>1015.1</v>
      </c>
      <c r="F1615" s="1217">
        <f>ROUND(F1614/10,2)</f>
        <v>1046.76</v>
      </c>
      <c r="G1615" s="1222">
        <f>ROUND(G1614/10,2)</f>
        <v>1078.42</v>
      </c>
      <c r="H1615" s="1205" t="s">
        <v>2308</v>
      </c>
    </row>
    <row r="1616" spans="1:8" ht="140.25" hidden="1">
      <c r="A1616" s="1156">
        <v>33</v>
      </c>
      <c r="B1616" s="1218" t="s">
        <v>205</v>
      </c>
      <c r="C1616" s="1752" t="s">
        <v>211</v>
      </c>
      <c r="D1616" s="1212"/>
      <c r="E1616" s="1212"/>
      <c r="F1616" s="1212"/>
      <c r="G1616" s="1218"/>
      <c r="H1616" s="1205" t="s">
        <v>2308</v>
      </c>
    </row>
    <row r="1617" spans="1:8" hidden="1">
      <c r="A1617" s="1156"/>
      <c r="B1617" s="1218"/>
      <c r="C1617" s="1754" t="s">
        <v>42</v>
      </c>
      <c r="D1617" s="1212"/>
      <c r="E1617" s="1212"/>
      <c r="F1617" s="1212"/>
      <c r="G1617" s="1215"/>
      <c r="H1617" s="1205" t="s">
        <v>2308</v>
      </c>
    </row>
    <row r="1618" spans="1:8" hidden="1">
      <c r="A1618" s="1156"/>
      <c r="B1618" s="1218"/>
      <c r="C1618" s="1754" t="s">
        <v>60</v>
      </c>
      <c r="D1618" s="1212"/>
      <c r="E1618" s="1212"/>
      <c r="F1618" s="1212"/>
      <c r="G1618" s="1215"/>
      <c r="H1618" s="1205" t="s">
        <v>2308</v>
      </c>
    </row>
    <row r="1619" spans="1:8" hidden="1">
      <c r="A1619" s="1156"/>
      <c r="B1619" s="1218"/>
      <c r="C1619" s="1752" t="s">
        <v>206</v>
      </c>
      <c r="D1619" s="1212" t="s">
        <v>77</v>
      </c>
      <c r="E1619" s="1213">
        <v>10.5</v>
      </c>
      <c r="F1619" s="1213">
        <f>'MINI SSR 2020-21'!C22</f>
        <v>370</v>
      </c>
      <c r="G1619" s="1214">
        <f>ROUND(E1619*F1619,2)</f>
        <v>3885</v>
      </c>
      <c r="H1619" s="1205" t="s">
        <v>2308</v>
      </c>
    </row>
    <row r="1620" spans="1:8" hidden="1">
      <c r="A1620" s="1156"/>
      <c r="B1620" s="1218"/>
      <c r="C1620" s="1752" t="s">
        <v>91</v>
      </c>
      <c r="D1620" s="1212" t="s">
        <v>4</v>
      </c>
      <c r="E1620" s="1213">
        <v>21.6</v>
      </c>
      <c r="F1620" s="1213">
        <f>'lead 20-21'!L8</f>
        <v>4700</v>
      </c>
      <c r="G1620" s="1214">
        <f>ROUND(E1620*F1620/1000,2)</f>
        <v>101.52</v>
      </c>
      <c r="H1620" s="1205" t="s">
        <v>2308</v>
      </c>
    </row>
    <row r="1621" spans="1:8" hidden="1">
      <c r="A1621" s="1156"/>
      <c r="B1621" s="1218"/>
      <c r="C1621" s="1752" t="s">
        <v>92</v>
      </c>
      <c r="D1621" s="1212" t="s">
        <v>4</v>
      </c>
      <c r="E1621" s="1213">
        <v>33</v>
      </c>
      <c r="F1621" s="1213">
        <f>F1620</f>
        <v>4700</v>
      </c>
      <c r="G1621" s="1214">
        <f>ROUND(E1621*F1621/1000,2)</f>
        <v>155.1</v>
      </c>
      <c r="H1621" s="1205" t="s">
        <v>2308</v>
      </c>
    </row>
    <row r="1622" spans="1:8" hidden="1">
      <c r="A1622" s="1156"/>
      <c r="B1622" s="1218"/>
      <c r="C1622" s="1752" t="s">
        <v>204</v>
      </c>
      <c r="D1622" s="1212" t="s">
        <v>4</v>
      </c>
      <c r="E1622" s="1213">
        <v>2</v>
      </c>
      <c r="F1622" s="1213">
        <f>F1605</f>
        <v>27.95</v>
      </c>
      <c r="G1622" s="1214">
        <f>ROUND(E1622*F1622,2)</f>
        <v>55.9</v>
      </c>
      <c r="H1622" s="1205" t="s">
        <v>2308</v>
      </c>
    </row>
    <row r="1623" spans="1:8" hidden="1">
      <c r="A1623" s="1156"/>
      <c r="B1623" s="1218"/>
      <c r="C1623" s="1752" t="s">
        <v>114</v>
      </c>
      <c r="D1623" s="1212" t="s">
        <v>35</v>
      </c>
      <c r="E1623" s="1213">
        <v>0.12</v>
      </c>
      <c r="F1623" s="1213">
        <f>'lead 20-21'!L12</f>
        <v>1546.600000000001</v>
      </c>
      <c r="G1623" s="1214">
        <f>ROUND(E1623*F1623,2)</f>
        <v>185.59</v>
      </c>
      <c r="H1623" s="1205" t="s">
        <v>2308</v>
      </c>
    </row>
    <row r="1624" spans="1:8" hidden="1">
      <c r="A1624" s="1212"/>
      <c r="B1624" s="1212"/>
      <c r="C1624" s="1754" t="s">
        <v>68</v>
      </c>
      <c r="D1624" s="1212"/>
      <c r="E1624" s="1213"/>
      <c r="F1624" s="1213"/>
      <c r="G1624" s="1214"/>
      <c r="H1624" s="1205" t="s">
        <v>2308</v>
      </c>
    </row>
    <row r="1625" spans="1:8" hidden="1">
      <c r="A1625" s="1212"/>
      <c r="B1625" s="1212"/>
      <c r="C1625" s="1752" t="s">
        <v>64</v>
      </c>
      <c r="D1625" s="1212" t="s">
        <v>27</v>
      </c>
      <c r="E1625" s="1213">
        <v>0.96</v>
      </c>
      <c r="F1625" s="1216">
        <f>'MINI SSR 2020-21'!$H$3</f>
        <v>550</v>
      </c>
      <c r="G1625" s="1214">
        <f>ROUND(E1625*F1625,2)</f>
        <v>528</v>
      </c>
      <c r="H1625" s="1205" t="s">
        <v>2308</v>
      </c>
    </row>
    <row r="1626" spans="1:8" hidden="1">
      <c r="A1626" s="1212"/>
      <c r="B1626" s="1212"/>
      <c r="C1626" s="1752" t="s">
        <v>69</v>
      </c>
      <c r="D1626" s="1212" t="s">
        <v>27</v>
      </c>
      <c r="E1626" s="1213">
        <v>2.2400000000000002</v>
      </c>
      <c r="F1626" s="1216">
        <f>'MINI SSR 2020-21'!$H$4</f>
        <v>500</v>
      </c>
      <c r="G1626" s="1214">
        <f>ROUND(E1626*F1626,2)</f>
        <v>1120</v>
      </c>
      <c r="H1626" s="1205" t="s">
        <v>2308</v>
      </c>
    </row>
    <row r="1627" spans="1:8" hidden="1">
      <c r="A1627" s="1212"/>
      <c r="B1627" s="1212"/>
      <c r="C1627" s="1752" t="s">
        <v>85</v>
      </c>
      <c r="D1627" s="1212" t="s">
        <v>27</v>
      </c>
      <c r="E1627" s="1213">
        <v>3.3</v>
      </c>
      <c r="F1627" s="1216">
        <f>'MINI SSR 2020-21'!$H$5</f>
        <v>460</v>
      </c>
      <c r="G1627" s="1214">
        <f>ROUND(E1627*F1627,2)</f>
        <v>1518</v>
      </c>
      <c r="H1627" s="1205" t="s">
        <v>2308</v>
      </c>
    </row>
    <row r="1628" spans="1:8" hidden="1">
      <c r="A1628" s="1212"/>
      <c r="B1628" s="1212"/>
      <c r="C1628" s="1754" t="s">
        <v>88</v>
      </c>
      <c r="D1628" s="1212"/>
      <c r="E1628" s="1212"/>
      <c r="F1628" s="1212"/>
      <c r="G1628" s="1222">
        <f>SUM(G1619:G1627)</f>
        <v>7549.11</v>
      </c>
      <c r="H1628" s="1205" t="s">
        <v>2308</v>
      </c>
    </row>
    <row r="1629" spans="1:8" hidden="1">
      <c r="A1629" s="1212"/>
      <c r="B1629" s="1212"/>
      <c r="C1629" s="1754"/>
      <c r="D1629" s="1212"/>
      <c r="E1629" s="1218" t="s">
        <v>161</v>
      </c>
      <c r="F1629" s="1218" t="s">
        <v>162</v>
      </c>
      <c r="G1629" s="1217" t="s">
        <v>163</v>
      </c>
      <c r="H1629" s="1205" t="s">
        <v>2308</v>
      </c>
    </row>
    <row r="1630" spans="1:8" hidden="1">
      <c r="A1630" s="1212"/>
      <c r="B1630" s="1212"/>
      <c r="C1630" s="1754" t="s">
        <v>1275</v>
      </c>
      <c r="D1630" s="1212"/>
      <c r="E1630" s="1213">
        <f>G1628</f>
        <v>7549.11</v>
      </c>
      <c r="F1630" s="1213">
        <f>G1628</f>
        <v>7549.11</v>
      </c>
      <c r="G1630" s="1215">
        <f>G1628</f>
        <v>7549.11</v>
      </c>
      <c r="H1630" s="1205" t="s">
        <v>2308</v>
      </c>
    </row>
    <row r="1631" spans="1:8" ht="25.5" hidden="1">
      <c r="A1631" s="1212"/>
      <c r="B1631" s="1212"/>
      <c r="C1631" s="1752" t="s">
        <v>170</v>
      </c>
      <c r="D1631" s="1212"/>
      <c r="E1631" s="1212"/>
      <c r="F1631" s="1213">
        <f>ROUND((G1625+G1626+G1627)*0.1,2)</f>
        <v>316.60000000000002</v>
      </c>
      <c r="G1631" s="1225">
        <f>ROUND((G1625+G1626+G1627)*0.2,2)</f>
        <v>633.20000000000005</v>
      </c>
      <c r="H1631" s="1205" t="s">
        <v>2308</v>
      </c>
    </row>
    <row r="1632" spans="1:8" hidden="1">
      <c r="A1632" s="1212"/>
      <c r="B1632" s="1212"/>
      <c r="C1632" s="1754" t="s">
        <v>194</v>
      </c>
      <c r="D1632" s="1212"/>
      <c r="E1632" s="1217">
        <f>SUM(E1630:E1631)</f>
        <v>7549.11</v>
      </c>
      <c r="F1632" s="1217">
        <f>SUM(F1630:F1631)</f>
        <v>7865.71</v>
      </c>
      <c r="G1632" s="1222">
        <f>SUM(G1630:G1631)</f>
        <v>8182.3099999999995</v>
      </c>
      <c r="H1632" s="1205" t="s">
        <v>2308</v>
      </c>
    </row>
    <row r="1633" spans="1:8" hidden="1">
      <c r="A1633" s="1212"/>
      <c r="B1633" s="1212"/>
      <c r="C1633" s="1754" t="s">
        <v>181</v>
      </c>
      <c r="D1633" s="1212"/>
      <c r="E1633" s="1217">
        <f>ROUND(E1632/10,2)</f>
        <v>754.91</v>
      </c>
      <c r="F1633" s="1217">
        <f>ROUND(F1632/10,2)</f>
        <v>786.57</v>
      </c>
      <c r="G1633" s="1222">
        <f>ROUND(G1632/10,2)</f>
        <v>818.23</v>
      </c>
      <c r="H1633" s="1205" t="s">
        <v>2308</v>
      </c>
    </row>
    <row r="1634" spans="1:8" ht="127.5" hidden="1">
      <c r="A1634" s="1156">
        <v>34</v>
      </c>
      <c r="B1634" s="1218" t="s">
        <v>207</v>
      </c>
      <c r="C1634" s="1752" t="s">
        <v>214</v>
      </c>
      <c r="D1634" s="1212"/>
      <c r="E1634" s="1212"/>
      <c r="F1634" s="1212"/>
      <c r="G1634" s="1218"/>
      <c r="H1634" s="1205" t="s">
        <v>2308</v>
      </c>
    </row>
    <row r="1635" spans="1:8" hidden="1">
      <c r="A1635" s="1156"/>
      <c r="B1635" s="1218"/>
      <c r="C1635" s="1754" t="s">
        <v>42</v>
      </c>
      <c r="D1635" s="1212"/>
      <c r="E1635" s="1212"/>
      <c r="F1635" s="1212"/>
      <c r="G1635" s="1215"/>
      <c r="H1635" s="1205" t="s">
        <v>2308</v>
      </c>
    </row>
    <row r="1636" spans="1:8" hidden="1">
      <c r="A1636" s="1156"/>
      <c r="B1636" s="1218"/>
      <c r="C1636" s="1754" t="s">
        <v>60</v>
      </c>
      <c r="D1636" s="1218"/>
      <c r="E1636" s="1218"/>
      <c r="F1636" s="1218"/>
      <c r="G1636" s="1215"/>
      <c r="H1636" s="1205" t="s">
        <v>2308</v>
      </c>
    </row>
    <row r="1637" spans="1:8" hidden="1">
      <c r="A1637" s="1156"/>
      <c r="B1637" s="1218"/>
      <c r="C1637" s="1752" t="s">
        <v>208</v>
      </c>
      <c r="D1637" s="1212" t="s">
        <v>77</v>
      </c>
      <c r="E1637" s="1213">
        <v>10.5</v>
      </c>
      <c r="F1637" s="1213">
        <f>'MINI SSR 2020-21'!C23</f>
        <v>323</v>
      </c>
      <c r="G1637" s="1214">
        <f>ROUND(E1637*F1637,2)</f>
        <v>3391.5</v>
      </c>
      <c r="H1637" s="1205" t="s">
        <v>2308</v>
      </c>
    </row>
    <row r="1638" spans="1:8" hidden="1">
      <c r="A1638" s="1156"/>
      <c r="B1638" s="1218"/>
      <c r="C1638" s="1752" t="s">
        <v>209</v>
      </c>
      <c r="D1638" s="1212" t="s">
        <v>35</v>
      </c>
      <c r="E1638" s="1213">
        <v>0.12</v>
      </c>
      <c r="F1638" s="1213">
        <f>'lead 20-21'!L12</f>
        <v>1546.600000000001</v>
      </c>
      <c r="G1638" s="1224">
        <f>ROUND(E1638*F1638,2)</f>
        <v>185.59</v>
      </c>
      <c r="H1638" s="1205" t="s">
        <v>2308</v>
      </c>
    </row>
    <row r="1639" spans="1:8" hidden="1">
      <c r="A1639" s="1156"/>
      <c r="B1639" s="1218"/>
      <c r="C1639" s="1752" t="s">
        <v>210</v>
      </c>
      <c r="D1639" s="1212" t="s">
        <v>4</v>
      </c>
      <c r="E1639" s="1213">
        <v>57.6</v>
      </c>
      <c r="F1639" s="1213">
        <f>'lead 20-21'!L8</f>
        <v>4700</v>
      </c>
      <c r="G1639" s="1224">
        <f>ROUND(E1639*F1639/1000,2)</f>
        <v>270.72000000000003</v>
      </c>
      <c r="H1639" s="1205" t="s">
        <v>2308</v>
      </c>
    </row>
    <row r="1640" spans="1:8" hidden="1">
      <c r="A1640" s="1156"/>
      <c r="B1640" s="1218"/>
      <c r="C1640" s="1752" t="s">
        <v>202</v>
      </c>
      <c r="D1640" s="1212" t="s">
        <v>4</v>
      </c>
      <c r="E1640" s="1213">
        <v>33</v>
      </c>
      <c r="F1640" s="1213">
        <f>F1639</f>
        <v>4700</v>
      </c>
      <c r="G1640" s="1224">
        <f>ROUND(E1640*F1640/1000,2)</f>
        <v>155.1</v>
      </c>
      <c r="H1640" s="1205" t="s">
        <v>2308</v>
      </c>
    </row>
    <row r="1641" spans="1:8" hidden="1">
      <c r="A1641" s="1156"/>
      <c r="B1641" s="1218"/>
      <c r="C1641" s="1752" t="s">
        <v>215</v>
      </c>
      <c r="D1641" s="1212" t="s">
        <v>4</v>
      </c>
      <c r="E1641" s="1213">
        <v>6</v>
      </c>
      <c r="F1641" s="1213">
        <f>F1605</f>
        <v>27.95</v>
      </c>
      <c r="G1641" s="1224">
        <f>ROUND(E1641*F1641,2)</f>
        <v>167.7</v>
      </c>
      <c r="H1641" s="1205" t="s">
        <v>2308</v>
      </c>
    </row>
    <row r="1642" spans="1:8" hidden="1">
      <c r="A1642" s="1212"/>
      <c r="B1642" s="1212"/>
      <c r="C1642" s="1754" t="s">
        <v>68</v>
      </c>
      <c r="D1642" s="1212"/>
      <c r="E1642" s="1213"/>
      <c r="F1642" s="1213"/>
      <c r="G1642" s="1224"/>
      <c r="H1642" s="1205" t="s">
        <v>2308</v>
      </c>
    </row>
    <row r="1643" spans="1:8" hidden="1">
      <c r="A1643" s="1212"/>
      <c r="B1643" s="1212"/>
      <c r="C1643" s="1752" t="s">
        <v>64</v>
      </c>
      <c r="D1643" s="1212" t="s">
        <v>27</v>
      </c>
      <c r="E1643" s="1213">
        <v>0.77</v>
      </c>
      <c r="F1643" s="1216">
        <f>'MINI SSR 2020-21'!$H$3</f>
        <v>550</v>
      </c>
      <c r="G1643" s="1224">
        <f>ROUND(E1643*F1643,2)</f>
        <v>423.5</v>
      </c>
      <c r="H1643" s="1205" t="s">
        <v>2308</v>
      </c>
    </row>
    <row r="1644" spans="1:8" hidden="1">
      <c r="A1644" s="1212"/>
      <c r="B1644" s="1212"/>
      <c r="C1644" s="1752" t="s">
        <v>85</v>
      </c>
      <c r="D1644" s="1212" t="s">
        <v>27</v>
      </c>
      <c r="E1644" s="1213">
        <v>0.8</v>
      </c>
      <c r="F1644" s="1216">
        <f>'MINI SSR 2020-21'!$H$5</f>
        <v>460</v>
      </c>
      <c r="G1644" s="1224">
        <f>ROUND(E1644*F1644,2)</f>
        <v>368</v>
      </c>
      <c r="H1644" s="1205" t="s">
        <v>2308</v>
      </c>
    </row>
    <row r="1645" spans="1:8" hidden="1">
      <c r="A1645" s="1212"/>
      <c r="B1645" s="1212"/>
      <c r="C1645" s="1754" t="s">
        <v>88</v>
      </c>
      <c r="D1645" s="1212"/>
      <c r="E1645" s="1212"/>
      <c r="F1645" s="1212"/>
      <c r="G1645" s="1222">
        <f>SUM(G1637:G1644)</f>
        <v>4962.1100000000006</v>
      </c>
      <c r="H1645" s="1205" t="s">
        <v>2308</v>
      </c>
    </row>
    <row r="1646" spans="1:8" hidden="1">
      <c r="A1646" s="1212"/>
      <c r="B1646" s="1212"/>
      <c r="C1646" s="1754"/>
      <c r="D1646" s="1212"/>
      <c r="E1646" s="1218" t="s">
        <v>161</v>
      </c>
      <c r="F1646" s="1218" t="s">
        <v>162</v>
      </c>
      <c r="G1646" s="1217" t="s">
        <v>163</v>
      </c>
      <c r="H1646" s="1205" t="s">
        <v>2308</v>
      </c>
    </row>
    <row r="1647" spans="1:8" hidden="1">
      <c r="A1647" s="1212"/>
      <c r="B1647" s="1212"/>
      <c r="C1647" s="1754" t="s">
        <v>1275</v>
      </c>
      <c r="D1647" s="1212"/>
      <c r="E1647" s="1213">
        <f>G1645</f>
        <v>4962.1100000000006</v>
      </c>
      <c r="F1647" s="1213">
        <f>G1645</f>
        <v>4962.1100000000006</v>
      </c>
      <c r="G1647" s="1215">
        <f>G1645</f>
        <v>4962.1100000000006</v>
      </c>
      <c r="H1647" s="1205" t="s">
        <v>2308</v>
      </c>
    </row>
    <row r="1648" spans="1:8" ht="25.5" hidden="1">
      <c r="A1648" s="1212"/>
      <c r="B1648" s="1212"/>
      <c r="C1648" s="1752" t="s">
        <v>170</v>
      </c>
      <c r="D1648" s="1212"/>
      <c r="E1648" s="1212"/>
      <c r="F1648" s="1213">
        <f>ROUND((G1643+G1644)*0.1,2)</f>
        <v>79.150000000000006</v>
      </c>
      <c r="G1648" s="1215">
        <f>ROUND((G1643+G1644)*0.2,2)</f>
        <v>158.30000000000001</v>
      </c>
      <c r="H1648" s="1205" t="s">
        <v>2308</v>
      </c>
    </row>
    <row r="1649" spans="1:8" hidden="1">
      <c r="A1649" s="1212"/>
      <c r="B1649" s="1212"/>
      <c r="C1649" s="1754" t="s">
        <v>194</v>
      </c>
      <c r="D1649" s="1212"/>
      <c r="E1649" s="1217">
        <f>SUM(E1647:E1648)</f>
        <v>4962.1100000000006</v>
      </c>
      <c r="F1649" s="1217">
        <f>SUM(F1647:F1648)</f>
        <v>5041.26</v>
      </c>
      <c r="G1649" s="1222">
        <f>SUM(G1647:G1648)</f>
        <v>5120.4100000000008</v>
      </c>
      <c r="H1649" s="1205" t="s">
        <v>2308</v>
      </c>
    </row>
    <row r="1650" spans="1:8" hidden="1">
      <c r="A1650" s="1212"/>
      <c r="B1650" s="1212"/>
      <c r="C1650" s="1754" t="s">
        <v>181</v>
      </c>
      <c r="D1650" s="1212"/>
      <c r="E1650" s="1217">
        <f>ROUND(E1649/10,2)</f>
        <v>496.21</v>
      </c>
      <c r="F1650" s="1217">
        <f>ROUND(F1649/10,2)</f>
        <v>504.13</v>
      </c>
      <c r="G1650" s="1222">
        <f>ROUND(G1649/10,2)</f>
        <v>512.04</v>
      </c>
      <c r="H1650" s="1205" t="s">
        <v>2308</v>
      </c>
    </row>
    <row r="1651" spans="1:8" ht="25.5" hidden="1">
      <c r="A1651" s="1156">
        <v>32</v>
      </c>
      <c r="B1651" s="1218" t="s">
        <v>1351</v>
      </c>
      <c r="C1651" s="1752" t="s">
        <v>1202</v>
      </c>
      <c r="D1651" s="1212"/>
      <c r="E1651" s="1212"/>
      <c r="F1651" s="1212"/>
      <c r="G1651" s="1218"/>
      <c r="H1651" s="1205" t="s">
        <v>2308</v>
      </c>
    </row>
    <row r="1652" spans="1:8" hidden="1">
      <c r="A1652" s="1156"/>
      <c r="B1652" s="1218"/>
      <c r="C1652" s="1754" t="s">
        <v>868</v>
      </c>
      <c r="D1652" s="1212"/>
      <c r="E1652" s="1212"/>
      <c r="F1652" s="1212"/>
      <c r="G1652" s="1215"/>
      <c r="H1652" s="1205" t="s">
        <v>2308</v>
      </c>
    </row>
    <row r="1653" spans="1:8" hidden="1">
      <c r="A1653" s="1156"/>
      <c r="B1653" s="1218"/>
      <c r="C1653" s="1754" t="s">
        <v>60</v>
      </c>
      <c r="D1653" s="1212"/>
      <c r="E1653" s="1212"/>
      <c r="F1653" s="1212"/>
      <c r="G1653" s="1215"/>
      <c r="H1653" s="1205" t="s">
        <v>2308</v>
      </c>
    </row>
    <row r="1654" spans="1:8" hidden="1">
      <c r="A1654" s="1156"/>
      <c r="B1654" s="1218"/>
      <c r="C1654" s="1752" t="s">
        <v>33</v>
      </c>
      <c r="D1654" s="1212" t="s">
        <v>4</v>
      </c>
      <c r="E1654" s="1213">
        <v>14.4</v>
      </c>
      <c r="F1654" s="1213">
        <f>'lead 20-21'!L8</f>
        <v>4700</v>
      </c>
      <c r="G1654" s="1214">
        <f>ROUND(E1654*F1654/1000,2)</f>
        <v>67.680000000000007</v>
      </c>
      <c r="H1654" s="1205" t="s">
        <v>2308</v>
      </c>
    </row>
    <row r="1655" spans="1:8" hidden="1">
      <c r="A1655" s="1156"/>
      <c r="B1655" s="1218"/>
      <c r="C1655" s="1752" t="s">
        <v>113</v>
      </c>
      <c r="D1655" s="1212" t="s">
        <v>35</v>
      </c>
      <c r="E1655" s="1213">
        <v>0.03</v>
      </c>
      <c r="F1655" s="1213">
        <f>'lead 20-21'!L12</f>
        <v>1546.600000000001</v>
      </c>
      <c r="G1655" s="1214">
        <f>ROUND(E1655*F1655,2)</f>
        <v>46.4</v>
      </c>
      <c r="H1655" s="1205" t="s">
        <v>2308</v>
      </c>
    </row>
    <row r="1656" spans="1:8" hidden="1">
      <c r="A1656" s="1212"/>
      <c r="B1656" s="1212"/>
      <c r="C1656" s="1754" t="s">
        <v>68</v>
      </c>
      <c r="D1656" s="1212"/>
      <c r="E1656" s="1213"/>
      <c r="F1656" s="1213"/>
      <c r="G1656" s="1214"/>
      <c r="H1656" s="1205" t="s">
        <v>2308</v>
      </c>
    </row>
    <row r="1657" spans="1:8" hidden="1">
      <c r="A1657" s="1212"/>
      <c r="B1657" s="1212"/>
      <c r="C1657" s="1752" t="s">
        <v>69</v>
      </c>
      <c r="D1657" s="1212" t="s">
        <v>27</v>
      </c>
      <c r="E1657" s="1213">
        <v>0.5</v>
      </c>
      <c r="F1657" s="1216">
        <f>'MINI SSR 2020-21'!$H$4</f>
        <v>500</v>
      </c>
      <c r="G1657" s="1214">
        <f>ROUND(E1657*F1657,2)</f>
        <v>250</v>
      </c>
      <c r="H1657" s="1205" t="s">
        <v>2308</v>
      </c>
    </row>
    <row r="1658" spans="1:8" hidden="1">
      <c r="A1658" s="1212"/>
      <c r="B1658" s="1212"/>
      <c r="C1658" s="1752" t="s">
        <v>85</v>
      </c>
      <c r="D1658" s="1212" t="s">
        <v>27</v>
      </c>
      <c r="E1658" s="1213">
        <v>0.74</v>
      </c>
      <c r="F1658" s="1216">
        <f>'MINI SSR 2020-21'!$H$5</f>
        <v>460</v>
      </c>
      <c r="G1658" s="1214">
        <f>ROUND(E1658*F1658,2)</f>
        <v>340.4</v>
      </c>
      <c r="H1658" s="1205" t="s">
        <v>2308</v>
      </c>
    </row>
    <row r="1659" spans="1:8" hidden="1">
      <c r="A1659" s="1212"/>
      <c r="B1659" s="1212"/>
      <c r="C1659" s="1754" t="s">
        <v>88</v>
      </c>
      <c r="D1659" s="1212"/>
      <c r="E1659" s="1213"/>
      <c r="F1659" s="1213"/>
      <c r="G1659" s="1214">
        <f>SUM(G1654:G1658)</f>
        <v>704.48</v>
      </c>
      <c r="H1659" s="1205" t="s">
        <v>2308</v>
      </c>
    </row>
    <row r="1660" spans="1:8" ht="114.75" hidden="1">
      <c r="A1660" s="1156">
        <v>33</v>
      </c>
      <c r="B1660" s="1218" t="s">
        <v>1352</v>
      </c>
      <c r="C1660" s="1752" t="s">
        <v>1203</v>
      </c>
      <c r="D1660" s="1212"/>
      <c r="E1660" s="1212"/>
      <c r="F1660" s="1212"/>
      <c r="G1660" s="1218"/>
      <c r="H1660" s="1205" t="s">
        <v>2308</v>
      </c>
    </row>
    <row r="1661" spans="1:8" hidden="1">
      <c r="A1661" s="1156"/>
      <c r="B1661" s="1218"/>
      <c r="C1661" s="1754" t="s">
        <v>868</v>
      </c>
      <c r="D1661" s="1212"/>
      <c r="E1661" s="1212"/>
      <c r="F1661" s="1212"/>
      <c r="G1661" s="1215"/>
      <c r="H1661" s="1205" t="s">
        <v>2308</v>
      </c>
    </row>
    <row r="1662" spans="1:8" hidden="1">
      <c r="A1662" s="1156"/>
      <c r="B1662" s="1218"/>
      <c r="C1662" s="1754" t="s">
        <v>60</v>
      </c>
      <c r="D1662" s="1212"/>
      <c r="E1662" s="1212"/>
      <c r="F1662" s="1212"/>
      <c r="G1662" s="1215"/>
      <c r="H1662" s="1205" t="s">
        <v>2308</v>
      </c>
    </row>
    <row r="1663" spans="1:8" hidden="1">
      <c r="A1663" s="1156"/>
      <c r="B1663" s="1218"/>
      <c r="C1663" s="1752" t="s">
        <v>3249</v>
      </c>
      <c r="D1663" s="1212" t="s">
        <v>11</v>
      </c>
      <c r="E1663" s="1223">
        <v>0.255</v>
      </c>
      <c r="F1663" s="1213">
        <f>'lead 20-21'!L23</f>
        <v>19305</v>
      </c>
      <c r="G1663" s="1214">
        <f>ROUND(E1663*F1663/1,2)</f>
        <v>4922.78</v>
      </c>
      <c r="H1663" s="1205" t="s">
        <v>2308</v>
      </c>
    </row>
    <row r="1664" spans="1:8" hidden="1">
      <c r="A1664" s="1156"/>
      <c r="B1664" s="1218"/>
      <c r="C1664" s="1752" t="s">
        <v>873</v>
      </c>
      <c r="D1664" s="1212" t="s">
        <v>141</v>
      </c>
      <c r="E1664" s="1213">
        <v>21.6</v>
      </c>
      <c r="F1664" s="1213">
        <f>'lead 20-21'!L8</f>
        <v>4700</v>
      </c>
      <c r="G1664" s="1214">
        <f>ROUND(E1664*F1664/1000,2)</f>
        <v>101.52</v>
      </c>
      <c r="H1664" s="1205" t="s">
        <v>2308</v>
      </c>
    </row>
    <row r="1665" spans="1:8" hidden="1">
      <c r="A1665" s="1156"/>
      <c r="B1665" s="1218"/>
      <c r="C1665" s="1752" t="s">
        <v>1205</v>
      </c>
      <c r="D1665" s="1212" t="s">
        <v>141</v>
      </c>
      <c r="E1665" s="1213">
        <v>6</v>
      </c>
      <c r="F1665" s="1213">
        <f>F1664</f>
        <v>4700</v>
      </c>
      <c r="G1665" s="1214">
        <f>ROUND(E1665*F1665/1000,2)</f>
        <v>28.2</v>
      </c>
      <c r="H1665" s="1205" t="s">
        <v>2308</v>
      </c>
    </row>
    <row r="1666" spans="1:8" hidden="1">
      <c r="A1666" s="1156"/>
      <c r="B1666" s="1218"/>
      <c r="C1666" s="1752" t="s">
        <v>1206</v>
      </c>
      <c r="D1666" s="1212" t="s">
        <v>102</v>
      </c>
      <c r="E1666" s="1213">
        <v>1</v>
      </c>
      <c r="F1666" s="1213">
        <f>G1659</f>
        <v>704.48</v>
      </c>
      <c r="G1666" s="1214">
        <f>ROUND(E1666*F1666/1,2)</f>
        <v>704.48</v>
      </c>
      <c r="H1666" s="1205" t="s">
        <v>2308</v>
      </c>
    </row>
    <row r="1667" spans="1:8" hidden="1">
      <c r="A1667" s="1156"/>
      <c r="B1667" s="1218"/>
      <c r="C1667" s="1752" t="s">
        <v>1207</v>
      </c>
      <c r="D1667" s="1212" t="s">
        <v>35</v>
      </c>
      <c r="E1667" s="1213">
        <v>0.04</v>
      </c>
      <c r="F1667" s="1213">
        <f>'lead 20-21'!L12</f>
        <v>1546.600000000001</v>
      </c>
      <c r="G1667" s="1214">
        <f>-ROUND(E1667*F1667,2)</f>
        <v>-61.86</v>
      </c>
      <c r="H1667" s="1205" t="s">
        <v>2308</v>
      </c>
    </row>
    <row r="1668" spans="1:8" hidden="1">
      <c r="A1668" s="1156"/>
      <c r="B1668" s="1218"/>
      <c r="C1668" s="1752" t="s">
        <v>1208</v>
      </c>
      <c r="D1668" s="1212" t="s">
        <v>35</v>
      </c>
      <c r="E1668" s="1213">
        <v>0.12</v>
      </c>
      <c r="F1668" s="1213">
        <f>F1667</f>
        <v>1546.600000000001</v>
      </c>
      <c r="G1668" s="1214">
        <f>ROUND(E1668*F1668,2)</f>
        <v>185.59</v>
      </c>
      <c r="H1668" s="1205" t="s">
        <v>2308</v>
      </c>
    </row>
    <row r="1669" spans="1:8" hidden="1">
      <c r="A1669" s="1212"/>
      <c r="B1669" s="1212"/>
      <c r="C1669" s="1754" t="s">
        <v>68</v>
      </c>
      <c r="D1669" s="1212"/>
      <c r="E1669" s="1213"/>
      <c r="F1669" s="1213"/>
      <c r="G1669" s="1214"/>
      <c r="H1669" s="1205" t="s">
        <v>2308</v>
      </c>
    </row>
    <row r="1670" spans="1:8" hidden="1">
      <c r="A1670" s="1212"/>
      <c r="B1670" s="1212"/>
      <c r="C1670" s="1752" t="s">
        <v>64</v>
      </c>
      <c r="D1670" s="1212" t="s">
        <v>27</v>
      </c>
      <c r="E1670" s="1213">
        <v>0.96</v>
      </c>
      <c r="F1670" s="1216">
        <f>'MINI SSR 2020-21'!$H$3</f>
        <v>550</v>
      </c>
      <c r="G1670" s="1214">
        <f>ROUND(E1670*F1670,2)</f>
        <v>528</v>
      </c>
      <c r="H1670" s="1205" t="s">
        <v>2308</v>
      </c>
    </row>
    <row r="1671" spans="1:8" hidden="1">
      <c r="A1671" s="1212"/>
      <c r="B1671" s="1212"/>
      <c r="C1671" s="1752" t="s">
        <v>69</v>
      </c>
      <c r="D1671" s="1212" t="s">
        <v>27</v>
      </c>
      <c r="E1671" s="1213">
        <v>2.2400000000000002</v>
      </c>
      <c r="F1671" s="1216">
        <f>'MINI SSR 2020-21'!$H$4</f>
        <v>500</v>
      </c>
      <c r="G1671" s="1214">
        <f>ROUND(E1671*F1671,2)</f>
        <v>1120</v>
      </c>
      <c r="H1671" s="1205" t="s">
        <v>2308</v>
      </c>
    </row>
    <row r="1672" spans="1:8" hidden="1">
      <c r="A1672" s="1212"/>
      <c r="B1672" s="1212"/>
      <c r="C1672" s="1752" t="s">
        <v>85</v>
      </c>
      <c r="D1672" s="1212" t="s">
        <v>27</v>
      </c>
      <c r="E1672" s="1213">
        <v>4.3</v>
      </c>
      <c r="F1672" s="1216">
        <f>'MINI SSR 2020-21'!$H$5</f>
        <v>460</v>
      </c>
      <c r="G1672" s="1214">
        <f>ROUND(E1672*F1672,2)</f>
        <v>1978</v>
      </c>
      <c r="H1672" s="1205" t="s">
        <v>2308</v>
      </c>
    </row>
    <row r="1673" spans="1:8" hidden="1">
      <c r="A1673" s="1212"/>
      <c r="B1673" s="1212"/>
      <c r="C1673" s="1754" t="s">
        <v>88</v>
      </c>
      <c r="D1673" s="1212"/>
      <c r="E1673" s="1213"/>
      <c r="F1673" s="1213"/>
      <c r="G1673" s="1214">
        <f>SUM(G1663:G1672)</f>
        <v>9506.7099999999991</v>
      </c>
      <c r="H1673" s="1205" t="s">
        <v>2308</v>
      </c>
    </row>
    <row r="1674" spans="1:8" hidden="1">
      <c r="A1674" s="1212"/>
      <c r="B1674" s="1212"/>
      <c r="C1674" s="1754"/>
      <c r="D1674" s="1212"/>
      <c r="E1674" s="1213" t="s">
        <v>161</v>
      </c>
      <c r="F1674" s="1213" t="s">
        <v>162</v>
      </c>
      <c r="G1674" s="1221" t="s">
        <v>163</v>
      </c>
      <c r="H1674" s="1205" t="s">
        <v>2308</v>
      </c>
    </row>
    <row r="1675" spans="1:8" hidden="1">
      <c r="A1675" s="1212"/>
      <c r="B1675" s="1212"/>
      <c r="C1675" s="1754" t="s">
        <v>1275</v>
      </c>
      <c r="D1675" s="1212"/>
      <c r="E1675" s="1213">
        <f>G1673</f>
        <v>9506.7099999999991</v>
      </c>
      <c r="F1675" s="1213">
        <f>G1673</f>
        <v>9506.7099999999991</v>
      </c>
      <c r="G1675" s="1215">
        <f>G1673</f>
        <v>9506.7099999999991</v>
      </c>
      <c r="H1675" s="1205" t="s">
        <v>2308</v>
      </c>
    </row>
    <row r="1676" spans="1:8" ht="25.5" hidden="1">
      <c r="A1676" s="1212"/>
      <c r="B1676" s="1212"/>
      <c r="C1676" s="1752" t="s">
        <v>170</v>
      </c>
      <c r="D1676" s="1212"/>
      <c r="E1676" s="1212"/>
      <c r="F1676" s="1213">
        <f>ROUND((G1671+G1672+G1670)*0.1,2)</f>
        <v>362.6</v>
      </c>
      <c r="G1676" s="1215">
        <f>ROUND((G1671+G1672+G1670)*0.2,2)</f>
        <v>725.2</v>
      </c>
      <c r="H1676" s="1205" t="s">
        <v>2308</v>
      </c>
    </row>
    <row r="1677" spans="1:8" hidden="1">
      <c r="A1677" s="1212"/>
      <c r="B1677" s="1212"/>
      <c r="C1677" s="1754" t="s">
        <v>194</v>
      </c>
      <c r="D1677" s="1212"/>
      <c r="E1677" s="1217">
        <f>SUM(E1675:E1676)</f>
        <v>9506.7099999999991</v>
      </c>
      <c r="F1677" s="1217">
        <f>SUM(F1675:F1676)</f>
        <v>9869.31</v>
      </c>
      <c r="G1677" s="1222">
        <f>SUM(G1675:G1676)</f>
        <v>10231.91</v>
      </c>
      <c r="H1677" s="1205" t="s">
        <v>2308</v>
      </c>
    </row>
    <row r="1678" spans="1:8" hidden="1">
      <c r="A1678" s="1212"/>
      <c r="B1678" s="1212"/>
      <c r="C1678" s="1754" t="s">
        <v>181</v>
      </c>
      <c r="D1678" s="1212"/>
      <c r="E1678" s="1217">
        <f>ROUND(E1677/10,2)</f>
        <v>950.67</v>
      </c>
      <c r="F1678" s="1217">
        <f>ROUND(F1677/10,2)</f>
        <v>986.93</v>
      </c>
      <c r="G1678" s="1222">
        <f>ROUND(G1677/10,2)</f>
        <v>1023.19</v>
      </c>
      <c r="H1678" s="1205" t="s">
        <v>2308</v>
      </c>
    </row>
    <row r="1679" spans="1:8" ht="114.75" hidden="1">
      <c r="A1679" s="1156">
        <v>26</v>
      </c>
      <c r="B1679" s="1218"/>
      <c r="C1679" s="1752" t="s">
        <v>2255</v>
      </c>
      <c r="D1679" s="1212"/>
      <c r="E1679" s="1212"/>
      <c r="F1679" s="1212"/>
      <c r="G1679" s="1218"/>
      <c r="H1679" s="1205" t="s">
        <v>2308</v>
      </c>
    </row>
    <row r="1680" spans="1:8" hidden="1">
      <c r="A1680" s="1156"/>
      <c r="B1680" s="1218"/>
      <c r="C1680" s="1754" t="s">
        <v>60</v>
      </c>
      <c r="D1680" s="1212"/>
      <c r="E1680" s="1212"/>
      <c r="F1680" s="1212"/>
      <c r="G1680" s="1215"/>
      <c r="H1680" s="1205" t="s">
        <v>2308</v>
      </c>
    </row>
    <row r="1681" spans="1:8" hidden="1">
      <c r="A1681" s="1156"/>
      <c r="B1681" s="1218"/>
      <c r="C1681" s="1752" t="s">
        <v>2256</v>
      </c>
      <c r="D1681" s="1212" t="s">
        <v>102</v>
      </c>
      <c r="E1681" s="1223">
        <v>1</v>
      </c>
      <c r="F1681" s="1213">
        <f>'MINI SSR 2020-21'!H79</f>
        <v>311</v>
      </c>
      <c r="G1681" s="1214">
        <f>ROUND(E1681*F1681/1,2)</f>
        <v>311</v>
      </c>
      <c r="H1681" s="1205" t="s">
        <v>2308</v>
      </c>
    </row>
    <row r="1682" spans="1:8" hidden="1">
      <c r="A1682" s="1156"/>
      <c r="B1682" s="1218"/>
      <c r="C1682" s="1752" t="s">
        <v>2257</v>
      </c>
      <c r="D1682" s="1212" t="s">
        <v>102</v>
      </c>
      <c r="E1682" s="1223">
        <v>1</v>
      </c>
      <c r="F1682" s="1213">
        <f>'MINI SSR 2020-21'!H80</f>
        <v>178</v>
      </c>
      <c r="G1682" s="1214">
        <f>ROUND(E1682*F1682/1,2)</f>
        <v>178</v>
      </c>
      <c r="H1682" s="1205" t="s">
        <v>2308</v>
      </c>
    </row>
    <row r="1683" spans="1:8" hidden="1">
      <c r="A1683" s="1212"/>
      <c r="B1683" s="1212"/>
      <c r="C1683" s="1754" t="s">
        <v>181</v>
      </c>
      <c r="D1683" s="1212"/>
      <c r="E1683" s="1217"/>
      <c r="F1683" s="1217"/>
      <c r="G1683" s="1222">
        <f>SUM(G1681:G1682)</f>
        <v>489</v>
      </c>
      <c r="H1683" s="1205" t="s">
        <v>2308</v>
      </c>
    </row>
    <row r="1684" spans="1:8" ht="140.25" hidden="1">
      <c r="A1684" s="1156">
        <v>28</v>
      </c>
      <c r="B1684" s="1218" t="s">
        <v>2258</v>
      </c>
      <c r="C1684" s="1752" t="s">
        <v>2259</v>
      </c>
      <c r="D1684" s="1212"/>
      <c r="E1684" s="1212"/>
      <c r="F1684" s="1212"/>
      <c r="G1684" s="1218"/>
      <c r="H1684" s="1205" t="s">
        <v>2308</v>
      </c>
    </row>
    <row r="1685" spans="1:8" hidden="1">
      <c r="A1685" s="1156"/>
      <c r="B1685" s="1218"/>
      <c r="C1685" s="1754" t="s">
        <v>42</v>
      </c>
      <c r="D1685" s="1212"/>
      <c r="E1685" s="1212"/>
      <c r="F1685" s="1212"/>
      <c r="G1685" s="1215"/>
      <c r="H1685" s="1205" t="s">
        <v>2308</v>
      </c>
    </row>
    <row r="1686" spans="1:8" hidden="1">
      <c r="A1686" s="1156"/>
      <c r="B1686" s="1218"/>
      <c r="C1686" s="1754" t="s">
        <v>60</v>
      </c>
      <c r="D1686" s="1212"/>
      <c r="E1686" s="1212"/>
      <c r="F1686" s="1212"/>
      <c r="G1686" s="1215"/>
      <c r="H1686" s="1205" t="s">
        <v>2308</v>
      </c>
    </row>
    <row r="1687" spans="1:8" hidden="1">
      <c r="A1687" s="1156"/>
      <c r="B1687" s="1218"/>
      <c r="C1687" s="1752" t="s">
        <v>2260</v>
      </c>
      <c r="D1687" s="1212" t="s">
        <v>35</v>
      </c>
      <c r="E1687" s="1213">
        <v>0.17</v>
      </c>
      <c r="F1687" s="1213">
        <f>F954</f>
        <v>1799.05</v>
      </c>
      <c r="G1687" s="1214">
        <f>ROUND(E1687*F1687,2)</f>
        <v>305.83999999999997</v>
      </c>
      <c r="H1687" s="1205" t="s">
        <v>2308</v>
      </c>
    </row>
    <row r="1688" spans="1:8" hidden="1">
      <c r="A1688" s="1156"/>
      <c r="B1688" s="1218"/>
      <c r="C1688" s="1752" t="s">
        <v>847</v>
      </c>
      <c r="D1688" s="1212" t="s">
        <v>4</v>
      </c>
      <c r="E1688" s="1213">
        <v>120</v>
      </c>
      <c r="F1688" s="1213">
        <f>'lead 20-21'!L8</f>
        <v>4700</v>
      </c>
      <c r="G1688" s="1214">
        <f>ROUND(E1688*F1688/1000,2)</f>
        <v>564</v>
      </c>
      <c r="H1688" s="1205" t="s">
        <v>2308</v>
      </c>
    </row>
    <row r="1689" spans="1:8" hidden="1">
      <c r="A1689" s="1156"/>
      <c r="B1689" s="1218"/>
      <c r="C1689" s="1752" t="s">
        <v>837</v>
      </c>
      <c r="D1689" s="1212" t="s">
        <v>35</v>
      </c>
      <c r="E1689" s="1213">
        <v>8.5000000000000006E-2</v>
      </c>
      <c r="F1689" s="1213">
        <f>'lead 20-21'!L13</f>
        <v>1451.600000000001</v>
      </c>
      <c r="G1689" s="1214">
        <f>ROUND(E1689*F1689,2)</f>
        <v>123.39</v>
      </c>
      <c r="H1689" s="1205" t="s">
        <v>2308</v>
      </c>
    </row>
    <row r="1690" spans="1:8" hidden="1">
      <c r="A1690" s="1212"/>
      <c r="B1690" s="1212"/>
      <c r="C1690" s="1754" t="s">
        <v>68</v>
      </c>
      <c r="D1690" s="1212"/>
      <c r="E1690" s="1213"/>
      <c r="F1690" s="1213"/>
      <c r="G1690" s="1214"/>
      <c r="H1690" s="1205" t="s">
        <v>2308</v>
      </c>
    </row>
    <row r="1691" spans="1:8" hidden="1">
      <c r="A1691" s="1212"/>
      <c r="B1691" s="1212"/>
      <c r="C1691" s="1752" t="s">
        <v>64</v>
      </c>
      <c r="D1691" s="1212" t="s">
        <v>27</v>
      </c>
      <c r="E1691" s="1213">
        <v>1.25</v>
      </c>
      <c r="F1691" s="1216">
        <f>'MINI SSR 2020-21'!H3</f>
        <v>550</v>
      </c>
      <c r="G1691" s="1214">
        <f>ROUND(E1691*F1691,2)</f>
        <v>687.5</v>
      </c>
      <c r="H1691" s="1205" t="s">
        <v>2308</v>
      </c>
    </row>
    <row r="1692" spans="1:8" hidden="1">
      <c r="A1692" s="1212"/>
      <c r="B1692" s="1212"/>
      <c r="C1692" s="1752" t="s">
        <v>69</v>
      </c>
      <c r="D1692" s="1212" t="s">
        <v>27</v>
      </c>
      <c r="E1692" s="1213">
        <v>0.06</v>
      </c>
      <c r="F1692" s="1216">
        <f>'MINI SSR 2020-21'!H4</f>
        <v>500</v>
      </c>
      <c r="G1692" s="1214">
        <f>ROUND(E1692*F1692,2)</f>
        <v>30</v>
      </c>
      <c r="H1692" s="1205" t="s">
        <v>2308</v>
      </c>
    </row>
    <row r="1693" spans="1:8" hidden="1">
      <c r="A1693" s="1212"/>
      <c r="B1693" s="1212"/>
      <c r="C1693" s="1752" t="s">
        <v>85</v>
      </c>
      <c r="D1693" s="1212" t="s">
        <v>27</v>
      </c>
      <c r="E1693" s="1213">
        <v>3</v>
      </c>
      <c r="F1693" s="1216">
        <f>'MINI SSR 2020-21'!H5</f>
        <v>460</v>
      </c>
      <c r="G1693" s="1214">
        <f>ROUND(E1693*F1693,2)</f>
        <v>1380</v>
      </c>
      <c r="H1693" s="1205" t="s">
        <v>2308</v>
      </c>
    </row>
    <row r="1694" spans="1:8" hidden="1">
      <c r="A1694" s="1212"/>
      <c r="B1694" s="1212"/>
      <c r="C1694" s="1754" t="s">
        <v>88</v>
      </c>
      <c r="D1694" s="1212"/>
      <c r="E1694" s="1212"/>
      <c r="F1694" s="1212"/>
      <c r="G1694" s="1222">
        <f>SUM(G1687:G1693)</f>
        <v>3090.73</v>
      </c>
      <c r="H1694" s="1205" t="s">
        <v>2308</v>
      </c>
    </row>
    <row r="1695" spans="1:8" hidden="1">
      <c r="A1695" s="1212"/>
      <c r="B1695" s="1212"/>
      <c r="C1695" s="1754"/>
      <c r="D1695" s="1212"/>
      <c r="E1695" s="1218" t="s">
        <v>161</v>
      </c>
      <c r="F1695" s="1218" t="s">
        <v>162</v>
      </c>
      <c r="G1695" s="1217" t="s">
        <v>163</v>
      </c>
      <c r="H1695" s="1205" t="s">
        <v>2308</v>
      </c>
    </row>
    <row r="1696" spans="1:8" hidden="1">
      <c r="A1696" s="1212"/>
      <c r="B1696" s="1212"/>
      <c r="C1696" s="1754" t="s">
        <v>1275</v>
      </c>
      <c r="D1696" s="1212"/>
      <c r="E1696" s="1213">
        <f>G1694</f>
        <v>3090.73</v>
      </c>
      <c r="F1696" s="1213">
        <f>G1694</f>
        <v>3090.73</v>
      </c>
      <c r="G1696" s="1215">
        <f>G1694</f>
        <v>3090.73</v>
      </c>
      <c r="H1696" s="1205" t="s">
        <v>2308</v>
      </c>
    </row>
    <row r="1697" spans="1:8" ht="25.5" hidden="1">
      <c r="A1697" s="1212"/>
      <c r="B1697" s="1212"/>
      <c r="C1697" s="1752" t="s">
        <v>170</v>
      </c>
      <c r="D1697" s="1212"/>
      <c r="E1697" s="1212"/>
      <c r="F1697" s="1213">
        <f>ROUND((G1691+G1692+G1693)*0.1,2)</f>
        <v>209.75</v>
      </c>
      <c r="G1697" s="1225">
        <f>ROUND((G1691+G1692+G1693)*0.2,2)</f>
        <v>419.5</v>
      </c>
      <c r="H1697" s="1205" t="s">
        <v>2308</v>
      </c>
    </row>
    <row r="1698" spans="1:8" hidden="1">
      <c r="A1698" s="1212"/>
      <c r="B1698" s="1212"/>
      <c r="C1698" s="1754" t="s">
        <v>194</v>
      </c>
      <c r="D1698" s="1212"/>
      <c r="E1698" s="1217">
        <f>SUM(E1696:E1697)</f>
        <v>3090.73</v>
      </c>
      <c r="F1698" s="1217">
        <f>SUM(F1696:F1697)</f>
        <v>3300.48</v>
      </c>
      <c r="G1698" s="1222">
        <f>SUM(G1696:G1697)</f>
        <v>3510.23</v>
      </c>
      <c r="H1698" s="1205" t="s">
        <v>2308</v>
      </c>
    </row>
    <row r="1699" spans="1:8" hidden="1">
      <c r="A1699" s="1212"/>
      <c r="B1699" s="1212"/>
      <c r="C1699" s="1754" t="s">
        <v>181</v>
      </c>
      <c r="D1699" s="1212"/>
      <c r="E1699" s="1217">
        <f>ROUND(E1698/10,2)</f>
        <v>309.07</v>
      </c>
      <c r="F1699" s="1217">
        <f>ROUND(F1698/10,2)</f>
        <v>330.05</v>
      </c>
      <c r="G1699" s="1222">
        <f>ROUND(G1698/10,2)</f>
        <v>351.02</v>
      </c>
      <c r="H1699" s="1205" t="s">
        <v>2308</v>
      </c>
    </row>
    <row r="1700" spans="1:8" ht="102" hidden="1">
      <c r="A1700" s="1156">
        <v>51</v>
      </c>
      <c r="B1700" s="1218" t="s">
        <v>878</v>
      </c>
      <c r="C1700" s="1752" t="s">
        <v>879</v>
      </c>
      <c r="D1700" s="1212"/>
      <c r="E1700" s="1212"/>
      <c r="F1700" s="1212"/>
      <c r="G1700" s="1218"/>
      <c r="H1700" s="1205" t="s">
        <v>2308</v>
      </c>
    </row>
    <row r="1701" spans="1:8" hidden="1">
      <c r="A1701" s="1156"/>
      <c r="B1701" s="1218"/>
      <c r="C1701" s="1754" t="s">
        <v>42</v>
      </c>
      <c r="D1701" s="1212"/>
      <c r="E1701" s="1212"/>
      <c r="F1701" s="1212"/>
      <c r="G1701" s="1215"/>
      <c r="H1701" s="1205" t="s">
        <v>2308</v>
      </c>
    </row>
    <row r="1702" spans="1:8" hidden="1">
      <c r="A1702" s="1156"/>
      <c r="B1702" s="1218"/>
      <c r="C1702" s="1754" t="s">
        <v>60</v>
      </c>
      <c r="D1702" s="1212"/>
      <c r="E1702" s="1212"/>
      <c r="F1702" s="1212"/>
      <c r="G1702" s="1215"/>
      <c r="H1702" s="1205" t="s">
        <v>2308</v>
      </c>
    </row>
    <row r="1703" spans="1:8" hidden="1">
      <c r="A1703" s="1156"/>
      <c r="B1703" s="1218"/>
      <c r="C1703" s="1752" t="s">
        <v>1276</v>
      </c>
      <c r="D1703" s="1212" t="s">
        <v>1353</v>
      </c>
      <c r="E1703" s="1213">
        <v>1.2</v>
      </c>
      <c r="F1703" s="1213">
        <f>'MINI SSR 2020-21'!$G$40</f>
        <v>550</v>
      </c>
      <c r="G1703" s="1214">
        <f>ROUND(F1703/20*E1703,2)</f>
        <v>33</v>
      </c>
      <c r="H1703" s="1205" t="s">
        <v>2308</v>
      </c>
    </row>
    <row r="1704" spans="1:8" hidden="1">
      <c r="A1704" s="1212"/>
      <c r="B1704" s="1212"/>
      <c r="C1704" s="1754" t="s">
        <v>68</v>
      </c>
      <c r="D1704" s="1212"/>
      <c r="E1704" s="1213"/>
      <c r="F1704" s="1213"/>
      <c r="G1704" s="1214"/>
      <c r="H1704" s="1205" t="s">
        <v>2308</v>
      </c>
    </row>
    <row r="1705" spans="1:8" hidden="1">
      <c r="A1705" s="1212"/>
      <c r="B1705" s="1212"/>
      <c r="C1705" s="1752" t="s">
        <v>150</v>
      </c>
      <c r="D1705" s="1212" t="s">
        <v>27</v>
      </c>
      <c r="E1705" s="1213">
        <v>0.11</v>
      </c>
      <c r="F1705" s="1213">
        <f>'MINI SSR 2020-21'!$H$8</f>
        <v>615</v>
      </c>
      <c r="G1705" s="1214">
        <f>ROUND(E1705*F1705,2)</f>
        <v>67.650000000000006</v>
      </c>
      <c r="H1705" s="1205" t="s">
        <v>2308</v>
      </c>
    </row>
    <row r="1706" spans="1:8" hidden="1">
      <c r="A1706" s="1212"/>
      <c r="B1706" s="1212"/>
      <c r="C1706" s="1752" t="s">
        <v>85</v>
      </c>
      <c r="D1706" s="1212" t="s">
        <v>27</v>
      </c>
      <c r="E1706" s="1213">
        <v>0.22</v>
      </c>
      <c r="F1706" s="1213">
        <f>'MINI SSR 2020-21'!$H$5</f>
        <v>460</v>
      </c>
      <c r="G1706" s="1214">
        <f>ROUND(E1706*F1706,2)</f>
        <v>101.2</v>
      </c>
      <c r="H1706" s="1205" t="s">
        <v>2308</v>
      </c>
    </row>
    <row r="1707" spans="1:8" hidden="1">
      <c r="A1707" s="1212"/>
      <c r="B1707" s="1212"/>
      <c r="C1707" s="1752" t="s">
        <v>880</v>
      </c>
      <c r="D1707" s="1212"/>
      <c r="E1707" s="1213">
        <v>0.05</v>
      </c>
      <c r="F1707" s="1213">
        <f>SUM(G1703:G1706)</f>
        <v>201.85000000000002</v>
      </c>
      <c r="G1707" s="1214">
        <f>ROUND(E1707*F1707,2)</f>
        <v>10.09</v>
      </c>
      <c r="H1707" s="1205" t="s">
        <v>2308</v>
      </c>
    </row>
    <row r="1708" spans="1:8" hidden="1">
      <c r="A1708" s="1212"/>
      <c r="B1708" s="1212"/>
      <c r="C1708" s="1754" t="s">
        <v>88</v>
      </c>
      <c r="D1708" s="1212"/>
      <c r="E1708" s="1212"/>
      <c r="F1708" s="1212"/>
      <c r="G1708" s="1222">
        <f>SUM(G1703:G1707)</f>
        <v>211.94000000000003</v>
      </c>
      <c r="H1708" s="1205" t="s">
        <v>2308</v>
      </c>
    </row>
    <row r="1709" spans="1:8" hidden="1">
      <c r="A1709" s="1212"/>
      <c r="B1709" s="1212"/>
      <c r="C1709" s="1754"/>
      <c r="D1709" s="1212"/>
      <c r="E1709" s="1218" t="s">
        <v>161</v>
      </c>
      <c r="F1709" s="1218" t="s">
        <v>162</v>
      </c>
      <c r="G1709" s="1217" t="s">
        <v>163</v>
      </c>
      <c r="H1709" s="1205" t="s">
        <v>2308</v>
      </c>
    </row>
    <row r="1710" spans="1:8" hidden="1">
      <c r="A1710" s="1212"/>
      <c r="B1710" s="1212"/>
      <c r="C1710" s="1754" t="s">
        <v>1277</v>
      </c>
      <c r="D1710" s="1212"/>
      <c r="E1710" s="1213">
        <f>G1708</f>
        <v>211.94000000000003</v>
      </c>
      <c r="F1710" s="1213">
        <f>E1710</f>
        <v>211.94000000000003</v>
      </c>
      <c r="G1710" s="1215">
        <f>F1710</f>
        <v>211.94000000000003</v>
      </c>
      <c r="H1710" s="1205" t="s">
        <v>2308</v>
      </c>
    </row>
    <row r="1711" spans="1:8" ht="25.5" hidden="1">
      <c r="A1711" s="1212"/>
      <c r="B1711" s="1212"/>
      <c r="C1711" s="1752" t="s">
        <v>170</v>
      </c>
      <c r="D1711" s="1212"/>
      <c r="E1711" s="1212"/>
      <c r="F1711" s="1213">
        <f>ROUND((G1705+G1706)*0.1,2)</f>
        <v>16.89</v>
      </c>
      <c r="G1711" s="1215">
        <f>ROUND((G1705+G1706)*0.1,2)</f>
        <v>16.89</v>
      </c>
      <c r="H1711" s="1205" t="s">
        <v>2308</v>
      </c>
    </row>
    <row r="1712" spans="1:8" hidden="1">
      <c r="A1712" s="1212"/>
      <c r="B1712" s="1212"/>
      <c r="C1712" s="1754" t="s">
        <v>194</v>
      </c>
      <c r="D1712" s="1212"/>
      <c r="E1712" s="1217">
        <f>SUM(E1710:E1711)</f>
        <v>211.94000000000003</v>
      </c>
      <c r="F1712" s="1217">
        <f>SUM(F1710:F1711)</f>
        <v>228.83000000000004</v>
      </c>
      <c r="G1712" s="1222">
        <f>SUM(G1710:G1711)</f>
        <v>228.83000000000004</v>
      </c>
      <c r="H1712" s="1205" t="s">
        <v>2308</v>
      </c>
    </row>
    <row r="1713" spans="1:8" hidden="1">
      <c r="A1713" s="1212"/>
      <c r="B1713" s="1212"/>
      <c r="C1713" s="1754" t="s">
        <v>181</v>
      </c>
      <c r="D1713" s="1212"/>
      <c r="E1713" s="1217">
        <f>ROUND(E1712/10,2)</f>
        <v>21.19</v>
      </c>
      <c r="F1713" s="1217">
        <f>ROUND(F1712/10,2)</f>
        <v>22.88</v>
      </c>
      <c r="G1713" s="1222">
        <f>ROUND(G1712/10,2)</f>
        <v>22.88</v>
      </c>
      <c r="H1713" s="1205" t="s">
        <v>2308</v>
      </c>
    </row>
    <row r="1714" spans="1:8" ht="191.25" hidden="1">
      <c r="A1714" s="1156">
        <v>29</v>
      </c>
      <c r="B1714" s="1218" t="s">
        <v>1330</v>
      </c>
      <c r="C1714" s="1752" t="s">
        <v>891</v>
      </c>
      <c r="D1714" s="1212"/>
      <c r="E1714" s="1212"/>
      <c r="F1714" s="1212"/>
      <c r="G1714" s="1218"/>
      <c r="H1714" s="1205" t="s">
        <v>2308</v>
      </c>
    </row>
    <row r="1715" spans="1:8" hidden="1">
      <c r="A1715" s="1156"/>
      <c r="B1715" s="1218"/>
      <c r="C1715" s="1754" t="s">
        <v>42</v>
      </c>
      <c r="D1715" s="1212"/>
      <c r="E1715" s="1212"/>
      <c r="F1715" s="1212"/>
      <c r="G1715" s="1215"/>
      <c r="H1715" s="1205" t="s">
        <v>2308</v>
      </c>
    </row>
    <row r="1716" spans="1:8" hidden="1">
      <c r="A1716" s="1156"/>
      <c r="B1716" s="1218"/>
      <c r="C1716" s="1754" t="s">
        <v>60</v>
      </c>
      <c r="D1716" s="1212"/>
      <c r="E1716" s="1212"/>
      <c r="F1716" s="1212"/>
      <c r="G1716" s="1215"/>
      <c r="H1716" s="1205" t="s">
        <v>2308</v>
      </c>
    </row>
    <row r="1717" spans="1:8" hidden="1">
      <c r="A1717" s="1156"/>
      <c r="B1717" s="1218"/>
      <c r="C1717" s="1752" t="s">
        <v>892</v>
      </c>
      <c r="D1717" s="1212" t="s">
        <v>1353</v>
      </c>
      <c r="E1717" s="1213">
        <v>23</v>
      </c>
      <c r="F1717" s="1213">
        <f>'MINI SSR 2020-21'!$G$40</f>
        <v>550</v>
      </c>
      <c r="G1717" s="1214">
        <f>ROUND(F1717/20*E1717,2)</f>
        <v>632.5</v>
      </c>
      <c r="H1717" s="1205" t="s">
        <v>2308</v>
      </c>
    </row>
    <row r="1718" spans="1:8" hidden="1">
      <c r="A1718" s="1212"/>
      <c r="B1718" s="1212"/>
      <c r="C1718" s="1754" t="s">
        <v>68</v>
      </c>
      <c r="D1718" s="1212"/>
      <c r="E1718" s="1213"/>
      <c r="F1718" s="1213"/>
      <c r="G1718" s="1214"/>
      <c r="H1718" s="1205" t="s">
        <v>2308</v>
      </c>
    </row>
    <row r="1719" spans="1:8" hidden="1">
      <c r="A1719" s="1212"/>
      <c r="B1719" s="1212"/>
      <c r="C1719" s="1752" t="s">
        <v>94</v>
      </c>
      <c r="D1719" s="1212" t="s">
        <v>27</v>
      </c>
      <c r="E1719" s="1223">
        <v>0.27300000000000002</v>
      </c>
      <c r="F1719" s="1213">
        <f>'MINI SSR 2020-21'!$H$8</f>
        <v>615</v>
      </c>
      <c r="G1719" s="1214">
        <f>ROUND(E1719*F1719,2)</f>
        <v>167.9</v>
      </c>
      <c r="H1719" s="1205" t="s">
        <v>2308</v>
      </c>
    </row>
    <row r="1720" spans="1:8" hidden="1">
      <c r="A1720" s="1212"/>
      <c r="B1720" s="1212"/>
      <c r="C1720" s="1752" t="s">
        <v>874</v>
      </c>
      <c r="D1720" s="1212" t="s">
        <v>27</v>
      </c>
      <c r="E1720" s="1223">
        <v>0.63700000000000001</v>
      </c>
      <c r="F1720" s="1213">
        <f>'MINI SSR 2020-21'!$H$9</f>
        <v>500</v>
      </c>
      <c r="G1720" s="1214">
        <f>ROUND(E1720*F1720,2)</f>
        <v>318.5</v>
      </c>
      <c r="H1720" s="1205" t="s">
        <v>2308</v>
      </c>
    </row>
    <row r="1721" spans="1:8" hidden="1">
      <c r="A1721" s="1212"/>
      <c r="B1721" s="1212"/>
      <c r="C1721" s="1752" t="s">
        <v>85</v>
      </c>
      <c r="D1721" s="1212" t="s">
        <v>27</v>
      </c>
      <c r="E1721" s="1223">
        <v>0.91</v>
      </c>
      <c r="F1721" s="1213">
        <f>'MINI SSR 2020-21'!$H$5</f>
        <v>460</v>
      </c>
      <c r="G1721" s="1214">
        <f>ROUND(E1721*F1721,2)</f>
        <v>418.6</v>
      </c>
      <c r="H1721" s="1205" t="s">
        <v>2308</v>
      </c>
    </row>
    <row r="1722" spans="1:8" hidden="1">
      <c r="A1722" s="1212"/>
      <c r="B1722" s="1212"/>
      <c r="C1722" s="1752" t="s">
        <v>893</v>
      </c>
      <c r="D1722" s="1212"/>
      <c r="E1722" s="1213">
        <v>0.01</v>
      </c>
      <c r="F1722" s="1213">
        <f>SUM(G1717:G1721)</f>
        <v>1537.5</v>
      </c>
      <c r="G1722" s="1214">
        <f>ROUND(E1722*F1722,2)</f>
        <v>15.38</v>
      </c>
      <c r="H1722" s="1205" t="s">
        <v>2308</v>
      </c>
    </row>
    <row r="1723" spans="1:8" hidden="1">
      <c r="A1723" s="1212"/>
      <c r="B1723" s="1212"/>
      <c r="C1723" s="1754" t="s">
        <v>88</v>
      </c>
      <c r="D1723" s="1212"/>
      <c r="E1723" s="1212"/>
      <c r="F1723" s="1212"/>
      <c r="G1723" s="1222">
        <f>SUM(G1717:G1722)</f>
        <v>1552.88</v>
      </c>
      <c r="H1723" s="1205" t="s">
        <v>2308</v>
      </c>
    </row>
    <row r="1724" spans="1:8" hidden="1">
      <c r="A1724" s="1212"/>
      <c r="B1724" s="1212"/>
      <c r="C1724" s="1754"/>
      <c r="D1724" s="1212"/>
      <c r="E1724" s="1218" t="s">
        <v>161</v>
      </c>
      <c r="F1724" s="1218" t="s">
        <v>162</v>
      </c>
      <c r="G1724" s="1217" t="s">
        <v>163</v>
      </c>
      <c r="H1724" s="1205" t="s">
        <v>2308</v>
      </c>
    </row>
    <row r="1725" spans="1:8" hidden="1">
      <c r="A1725" s="1212"/>
      <c r="B1725" s="1212"/>
      <c r="C1725" s="1754" t="s">
        <v>1277</v>
      </c>
      <c r="D1725" s="1212"/>
      <c r="E1725" s="1213">
        <f>G1723</f>
        <v>1552.88</v>
      </c>
      <c r="F1725" s="1213">
        <f>E1725</f>
        <v>1552.88</v>
      </c>
      <c r="G1725" s="1215">
        <f>F1725</f>
        <v>1552.88</v>
      </c>
      <c r="H1725" s="1205" t="s">
        <v>2308</v>
      </c>
    </row>
    <row r="1726" spans="1:8" ht="25.5" hidden="1">
      <c r="A1726" s="1212"/>
      <c r="B1726" s="1212"/>
      <c r="C1726" s="1752" t="s">
        <v>170</v>
      </c>
      <c r="D1726" s="1212"/>
      <c r="E1726" s="1212"/>
      <c r="F1726" s="1213">
        <f>ROUND((G1719+G1720+G1721)*0.1,2)</f>
        <v>90.5</v>
      </c>
      <c r="G1726" s="1225">
        <f>ROUND(F1726*2,2)</f>
        <v>181</v>
      </c>
      <c r="H1726" s="1205" t="s">
        <v>2308</v>
      </c>
    </row>
    <row r="1727" spans="1:8" hidden="1">
      <c r="A1727" s="1212"/>
      <c r="B1727" s="1212"/>
      <c r="C1727" s="1754" t="s">
        <v>194</v>
      </c>
      <c r="D1727" s="1212"/>
      <c r="E1727" s="1217">
        <f>SUM(E1725:E1726)</f>
        <v>1552.88</v>
      </c>
      <c r="F1727" s="1217">
        <f>SUM(F1725:F1726)</f>
        <v>1643.38</v>
      </c>
      <c r="G1727" s="1222">
        <f>SUM(G1725:G1726)</f>
        <v>1733.88</v>
      </c>
      <c r="H1727" s="1205" t="s">
        <v>2308</v>
      </c>
    </row>
    <row r="1728" spans="1:8" hidden="1">
      <c r="A1728" s="1212"/>
      <c r="B1728" s="1212"/>
      <c r="C1728" s="1754" t="s">
        <v>181</v>
      </c>
      <c r="D1728" s="1212"/>
      <c r="E1728" s="1217">
        <f>ROUND(E1727/10,2)</f>
        <v>155.29</v>
      </c>
      <c r="F1728" s="1217">
        <f>ROUND(F1727/10,2)</f>
        <v>164.34</v>
      </c>
      <c r="G1728" s="1222">
        <f>ROUND(G1727/10,2)</f>
        <v>173.39</v>
      </c>
      <c r="H1728" s="1205" t="s">
        <v>2308</v>
      </c>
    </row>
    <row r="1729" spans="1:8" s="1247" customFormat="1" ht="25.5" hidden="1">
      <c r="A1729" s="1218">
        <v>30</v>
      </c>
      <c r="B1729" s="1245" t="s">
        <v>1354</v>
      </c>
      <c r="C1729" s="1752" t="s">
        <v>1355</v>
      </c>
      <c r="D1729" s="1212"/>
      <c r="E1729" s="1212"/>
      <c r="F1729" s="1246"/>
      <c r="G1729" s="1246"/>
      <c r="H1729" s="1205" t="s">
        <v>2308</v>
      </c>
    </row>
    <row r="1730" spans="1:8" hidden="1">
      <c r="A1730" s="1212"/>
      <c r="B1730" s="1218"/>
      <c r="C1730" s="1752" t="s">
        <v>1356</v>
      </c>
      <c r="D1730" s="1216"/>
      <c r="E1730" s="1216"/>
      <c r="F1730" s="1216"/>
      <c r="G1730" s="1241"/>
      <c r="H1730" s="1205" t="s">
        <v>2308</v>
      </c>
    </row>
    <row r="1731" spans="1:8" hidden="1">
      <c r="A1731" s="1212"/>
      <c r="B1731" s="1218"/>
      <c r="C1731" s="1752" t="s">
        <v>1357</v>
      </c>
      <c r="D1731" s="1216"/>
      <c r="E1731" s="1216"/>
      <c r="F1731" s="1216"/>
      <c r="G1731" s="1241"/>
      <c r="H1731" s="1205" t="s">
        <v>2308</v>
      </c>
    </row>
    <row r="1732" spans="1:8" hidden="1">
      <c r="A1732" s="1212"/>
      <c r="B1732" s="1218"/>
      <c r="C1732" s="1752" t="s">
        <v>3223</v>
      </c>
      <c r="D1732" s="1216" t="s">
        <v>90</v>
      </c>
      <c r="E1732" s="1216">
        <v>1</v>
      </c>
      <c r="F1732" s="1216">
        <f>'MINI SSR 2020-21'!G41</f>
        <v>141</v>
      </c>
      <c r="G1732" s="1241">
        <f>ROUND(E1732*F1732,2)</f>
        <v>141</v>
      </c>
      <c r="H1732" s="1205" t="s">
        <v>2308</v>
      </c>
    </row>
    <row r="1733" spans="1:8" hidden="1">
      <c r="A1733" s="1212"/>
      <c r="B1733" s="1218"/>
      <c r="C1733" s="1752" t="s">
        <v>1358</v>
      </c>
      <c r="D1733" s="1216"/>
      <c r="E1733" s="1216"/>
      <c r="F1733" s="1216"/>
      <c r="G1733" s="1241"/>
      <c r="H1733" s="1205" t="s">
        <v>2308</v>
      </c>
    </row>
    <row r="1734" spans="1:8" hidden="1">
      <c r="A1734" s="1212"/>
      <c r="B1734" s="1218"/>
      <c r="C1734" s="1752" t="s">
        <v>94</v>
      </c>
      <c r="D1734" s="1216" t="s">
        <v>27</v>
      </c>
      <c r="E1734" s="1216">
        <v>0.21</v>
      </c>
      <c r="F1734" s="1213">
        <f>'MINI SSR 2020-21'!$H$8</f>
        <v>615</v>
      </c>
      <c r="G1734" s="1241">
        <f>ROUND(E1734*F1734,2)</f>
        <v>129.15</v>
      </c>
      <c r="H1734" s="1205" t="s">
        <v>2308</v>
      </c>
    </row>
    <row r="1735" spans="1:8" hidden="1">
      <c r="A1735" s="1212"/>
      <c r="B1735" s="1218"/>
      <c r="C1735" s="1752" t="s">
        <v>874</v>
      </c>
      <c r="D1735" s="1216" t="s">
        <v>27</v>
      </c>
      <c r="E1735" s="1216">
        <v>0.49</v>
      </c>
      <c r="F1735" s="1213">
        <f>'MINI SSR 2020-21'!$H$9</f>
        <v>500</v>
      </c>
      <c r="G1735" s="1241">
        <f>ROUND(E1735*F1735,2)</f>
        <v>245</v>
      </c>
      <c r="H1735" s="1205" t="s">
        <v>2308</v>
      </c>
    </row>
    <row r="1736" spans="1:8" hidden="1">
      <c r="A1736" s="1212"/>
      <c r="B1736" s="1218"/>
      <c r="C1736" s="1752" t="s">
        <v>875</v>
      </c>
      <c r="D1736" s="1216"/>
      <c r="E1736" s="1248">
        <v>5.0000000000000001E-3</v>
      </c>
      <c r="F1736" s="1216">
        <f>SUM(G1732:G1735)</f>
        <v>515.15</v>
      </c>
      <c r="G1736" s="1241">
        <f>ROUND(E1736*F1736,2)</f>
        <v>2.58</v>
      </c>
      <c r="H1736" s="1205" t="s">
        <v>2308</v>
      </c>
    </row>
    <row r="1737" spans="1:8" hidden="1">
      <c r="A1737" s="1212"/>
      <c r="B1737" s="1218"/>
      <c r="C1737" s="1752" t="s">
        <v>1359</v>
      </c>
      <c r="D1737" s="1216"/>
      <c r="E1737" s="1216"/>
      <c r="F1737" s="1216"/>
      <c r="G1737" s="1241">
        <f>SUM(G1732:G1736)</f>
        <v>517.73</v>
      </c>
      <c r="H1737" s="1205" t="s">
        <v>2308</v>
      </c>
    </row>
    <row r="1738" spans="1:8" s="1250" customFormat="1" hidden="1">
      <c r="A1738" s="1245"/>
      <c r="B1738" s="1245"/>
      <c r="C1738" s="1754" t="s">
        <v>869</v>
      </c>
      <c r="D1738" s="1242"/>
      <c r="E1738" s="1242"/>
      <c r="F1738" s="1242"/>
      <c r="G1738" s="1249">
        <f>ROUND(SUM(G1737:G1737),2)</f>
        <v>517.73</v>
      </c>
      <c r="H1738" s="1205" t="s">
        <v>2308</v>
      </c>
    </row>
    <row r="1739" spans="1:8" s="1247" customFormat="1" ht="25.5" hidden="1">
      <c r="A1739" s="1218">
        <v>31</v>
      </c>
      <c r="B1739" s="1218" t="s">
        <v>1354</v>
      </c>
      <c r="C1739" s="1752" t="s">
        <v>1360</v>
      </c>
      <c r="D1739" s="1212"/>
      <c r="E1739" s="1212"/>
      <c r="F1739" s="1246"/>
      <c r="G1739" s="1246"/>
      <c r="H1739" s="1205" t="s">
        <v>2308</v>
      </c>
    </row>
    <row r="1740" spans="1:8" hidden="1">
      <c r="A1740" s="1212"/>
      <c r="B1740" s="1218"/>
      <c r="C1740" s="1752" t="s">
        <v>1356</v>
      </c>
      <c r="D1740" s="1216"/>
      <c r="E1740" s="1216"/>
      <c r="F1740" s="1216"/>
      <c r="G1740" s="1241"/>
      <c r="H1740" s="1205" t="s">
        <v>2308</v>
      </c>
    </row>
    <row r="1741" spans="1:8" hidden="1">
      <c r="A1741" s="1212"/>
      <c r="B1741" s="1218"/>
      <c r="C1741" s="1752" t="s">
        <v>1357</v>
      </c>
      <c r="D1741" s="1216"/>
      <c r="E1741" s="1216"/>
      <c r="F1741" s="1216"/>
      <c r="G1741" s="1241"/>
      <c r="H1741" s="1205" t="s">
        <v>2308</v>
      </c>
    </row>
    <row r="1742" spans="1:8" hidden="1">
      <c r="A1742" s="1212"/>
      <c r="B1742" s="1218"/>
      <c r="C1742" s="1752" t="s">
        <v>3224</v>
      </c>
      <c r="D1742" s="1216" t="s">
        <v>90</v>
      </c>
      <c r="E1742" s="1216">
        <v>1</v>
      </c>
      <c r="F1742" s="1216">
        <f>'MINI SSR 2020-21'!G42</f>
        <v>180</v>
      </c>
      <c r="G1742" s="1241">
        <f>ROUND(E1742*F1742,2)</f>
        <v>180</v>
      </c>
      <c r="H1742" s="1205" t="s">
        <v>2308</v>
      </c>
    </row>
    <row r="1743" spans="1:8" hidden="1">
      <c r="A1743" s="1212"/>
      <c r="B1743" s="1218"/>
      <c r="C1743" s="1752" t="s">
        <v>1358</v>
      </c>
      <c r="D1743" s="1216"/>
      <c r="E1743" s="1216"/>
      <c r="F1743" s="1216"/>
      <c r="G1743" s="1241"/>
      <c r="H1743" s="1205" t="s">
        <v>2308</v>
      </c>
    </row>
    <row r="1744" spans="1:8" hidden="1">
      <c r="A1744" s="1212"/>
      <c r="B1744" s="1218"/>
      <c r="C1744" s="1752" t="s">
        <v>94</v>
      </c>
      <c r="D1744" s="1216" t="s">
        <v>27</v>
      </c>
      <c r="E1744" s="1216">
        <v>0.21</v>
      </c>
      <c r="F1744" s="1213">
        <f>'MINI SSR 2020-21'!$H$8</f>
        <v>615</v>
      </c>
      <c r="G1744" s="1241">
        <f>ROUND(E1744*F1744,2)</f>
        <v>129.15</v>
      </c>
      <c r="H1744" s="1205" t="s">
        <v>2308</v>
      </c>
    </row>
    <row r="1745" spans="1:8" hidden="1">
      <c r="A1745" s="1212"/>
      <c r="B1745" s="1218"/>
      <c r="C1745" s="1752" t="s">
        <v>874</v>
      </c>
      <c r="D1745" s="1216" t="s">
        <v>27</v>
      </c>
      <c r="E1745" s="1216">
        <v>0.49</v>
      </c>
      <c r="F1745" s="1213">
        <f>'MINI SSR 2020-21'!$H$9</f>
        <v>500</v>
      </c>
      <c r="G1745" s="1241">
        <f>ROUND(E1745*F1745,2)</f>
        <v>245</v>
      </c>
      <c r="H1745" s="1205" t="s">
        <v>2308</v>
      </c>
    </row>
    <row r="1746" spans="1:8" hidden="1">
      <c r="A1746" s="1212"/>
      <c r="B1746" s="1218"/>
      <c r="C1746" s="1752" t="s">
        <v>875</v>
      </c>
      <c r="D1746" s="1216"/>
      <c r="E1746" s="1248">
        <v>5.0000000000000001E-3</v>
      </c>
      <c r="F1746" s="1216">
        <f>SUM(G1742:G1745)</f>
        <v>554.15</v>
      </c>
      <c r="G1746" s="1241">
        <f>ROUND(E1746*F1746,2)</f>
        <v>2.77</v>
      </c>
      <c r="H1746" s="1205" t="s">
        <v>2308</v>
      </c>
    </row>
    <row r="1747" spans="1:8" hidden="1">
      <c r="A1747" s="1212"/>
      <c r="B1747" s="1218"/>
      <c r="C1747" s="1752" t="s">
        <v>1359</v>
      </c>
      <c r="D1747" s="1216"/>
      <c r="E1747" s="1216"/>
      <c r="F1747" s="1216"/>
      <c r="G1747" s="1241">
        <f>SUM(G1742:G1746)</f>
        <v>556.91999999999996</v>
      </c>
      <c r="H1747" s="1205" t="s">
        <v>2308</v>
      </c>
    </row>
    <row r="1748" spans="1:8" s="1250" customFormat="1" hidden="1">
      <c r="A1748" s="1245"/>
      <c r="B1748" s="1245"/>
      <c r="C1748" s="1754" t="s">
        <v>869</v>
      </c>
      <c r="D1748" s="1242"/>
      <c r="E1748" s="1242"/>
      <c r="F1748" s="1242"/>
      <c r="G1748" s="1249">
        <f>ROUND(SUM(G1747:G1747),2)</f>
        <v>556.91999999999996</v>
      </c>
      <c r="H1748" s="1205" t="s">
        <v>2308</v>
      </c>
    </row>
    <row r="1749" spans="1:8" s="1247" customFormat="1" ht="140.25" hidden="1">
      <c r="A1749" s="1218">
        <v>32</v>
      </c>
      <c r="B1749" s="1218" t="s">
        <v>1330</v>
      </c>
      <c r="C1749" s="1752" t="s">
        <v>1167</v>
      </c>
      <c r="D1749" s="1212"/>
      <c r="E1749" s="1212"/>
      <c r="F1749" s="1246"/>
      <c r="G1749" s="1246"/>
      <c r="H1749" s="1205" t="s">
        <v>2308</v>
      </c>
    </row>
    <row r="1750" spans="1:8" hidden="1">
      <c r="A1750" s="1212"/>
      <c r="B1750" s="1218"/>
      <c r="C1750" s="1754" t="s">
        <v>1361</v>
      </c>
      <c r="D1750" s="1216"/>
      <c r="E1750" s="1216"/>
      <c r="F1750" s="1216"/>
      <c r="G1750" s="1241"/>
      <c r="H1750" s="1205" t="s">
        <v>2308</v>
      </c>
    </row>
    <row r="1751" spans="1:8" hidden="1">
      <c r="A1751" s="1212"/>
      <c r="B1751" s="1218"/>
      <c r="C1751" s="1752" t="s">
        <v>1371</v>
      </c>
      <c r="D1751" s="1216" t="s">
        <v>1362</v>
      </c>
      <c r="E1751" s="1216">
        <v>1</v>
      </c>
      <c r="F1751" s="1216">
        <f>G1738</f>
        <v>517.73</v>
      </c>
      <c r="G1751" s="1241">
        <f>ROUND(E1751*F1751,2)</f>
        <v>517.73</v>
      </c>
      <c r="H1751" s="1205" t="s">
        <v>2308</v>
      </c>
    </row>
    <row r="1752" spans="1:8" hidden="1">
      <c r="A1752" s="1212"/>
      <c r="B1752" s="1218"/>
      <c r="C1752" s="1752"/>
      <c r="D1752" s="1216"/>
      <c r="E1752" s="1216"/>
      <c r="F1752" s="1216"/>
      <c r="G1752" s="1241"/>
      <c r="H1752" s="1205" t="s">
        <v>2308</v>
      </c>
    </row>
    <row r="1753" spans="1:8" hidden="1">
      <c r="A1753" s="1212"/>
      <c r="B1753" s="1218"/>
      <c r="C1753" s="1251" t="s">
        <v>1363</v>
      </c>
      <c r="D1753" s="1216"/>
      <c r="E1753" s="1216"/>
      <c r="F1753" s="1216"/>
      <c r="G1753" s="1241"/>
      <c r="H1753" s="1205" t="s">
        <v>2308</v>
      </c>
    </row>
    <row r="1754" spans="1:8" hidden="1">
      <c r="A1754" s="1212"/>
      <c r="B1754" s="1218"/>
      <c r="C1754" s="1752" t="s">
        <v>1372</v>
      </c>
      <c r="D1754" s="1156" t="s">
        <v>291</v>
      </c>
      <c r="E1754" s="1221">
        <v>0.8</v>
      </c>
      <c r="F1754" s="1216">
        <f>'MINI SSR 2020-21'!G43</f>
        <v>168</v>
      </c>
      <c r="G1754" s="1241">
        <f>ROUND(E1754*F1754,2)</f>
        <v>134.4</v>
      </c>
      <c r="H1754" s="1205" t="s">
        <v>2308</v>
      </c>
    </row>
    <row r="1755" spans="1:8" hidden="1">
      <c r="A1755" s="1212"/>
      <c r="B1755" s="1218"/>
      <c r="C1755" s="1251" t="s">
        <v>1365</v>
      </c>
      <c r="D1755" s="1156"/>
      <c r="E1755" s="1221"/>
      <c r="F1755" s="1216"/>
      <c r="G1755" s="1241"/>
      <c r="H1755" s="1205" t="s">
        <v>2308</v>
      </c>
    </row>
    <row r="1756" spans="1:8" hidden="1">
      <c r="A1756" s="1212"/>
      <c r="B1756" s="1218"/>
      <c r="C1756" s="1752" t="s">
        <v>1366</v>
      </c>
      <c r="D1756" s="1156" t="s">
        <v>27</v>
      </c>
      <c r="E1756" s="1213">
        <v>0.36</v>
      </c>
      <c r="F1756" s="1213">
        <f>'MINI SSR 2020-21'!$H$8</f>
        <v>615</v>
      </c>
      <c r="G1756" s="1241">
        <f>ROUND(E1756*F1756,2)</f>
        <v>221.4</v>
      </c>
      <c r="H1756" s="1205" t="s">
        <v>2308</v>
      </c>
    </row>
    <row r="1757" spans="1:8" hidden="1">
      <c r="A1757" s="1212"/>
      <c r="B1757" s="1218"/>
      <c r="C1757" s="1752" t="s">
        <v>1367</v>
      </c>
      <c r="D1757" s="1156" t="s">
        <v>27</v>
      </c>
      <c r="E1757" s="1213">
        <v>0.84</v>
      </c>
      <c r="F1757" s="1213">
        <f>'MINI SSR 2020-21'!$H$9</f>
        <v>500</v>
      </c>
      <c r="G1757" s="1241">
        <f>ROUND(E1757*F1757,2)</f>
        <v>420</v>
      </c>
      <c r="H1757" s="1205" t="s">
        <v>2308</v>
      </c>
    </row>
    <row r="1758" spans="1:8" hidden="1">
      <c r="A1758" s="1212"/>
      <c r="B1758" s="1218"/>
      <c r="C1758" s="1752" t="s">
        <v>0</v>
      </c>
      <c r="D1758" s="1216"/>
      <c r="E1758" s="1216"/>
      <c r="F1758" s="1216"/>
      <c r="G1758" s="1241">
        <f>SUM(G1751:G1757)</f>
        <v>1293.53</v>
      </c>
      <c r="H1758" s="1205" t="s">
        <v>2308</v>
      </c>
    </row>
    <row r="1759" spans="1:8" hidden="1">
      <c r="A1759" s="1212"/>
      <c r="B1759" s="1218"/>
      <c r="C1759" s="1752"/>
      <c r="D1759" s="1216"/>
      <c r="E1759" s="1242" t="s">
        <v>161</v>
      </c>
      <c r="F1759" s="1242" t="s">
        <v>162</v>
      </c>
      <c r="G1759" s="1242" t="s">
        <v>163</v>
      </c>
      <c r="H1759" s="1205" t="s">
        <v>2308</v>
      </c>
    </row>
    <row r="1760" spans="1:8" hidden="1">
      <c r="A1760" s="1212"/>
      <c r="B1760" s="1218"/>
      <c r="C1760" s="1752" t="s">
        <v>867</v>
      </c>
      <c r="D1760" s="1216"/>
      <c r="E1760" s="1216">
        <f>G1758</f>
        <v>1293.53</v>
      </c>
      <c r="F1760" s="1252">
        <f>G1758</f>
        <v>1293.53</v>
      </c>
      <c r="G1760" s="1252">
        <f>G1758</f>
        <v>1293.53</v>
      </c>
      <c r="H1760" s="1205" t="s">
        <v>2308</v>
      </c>
    </row>
    <row r="1761" spans="1:8" hidden="1">
      <c r="A1761" s="1212"/>
      <c r="B1761" s="1218"/>
      <c r="C1761" s="1752" t="s">
        <v>1368</v>
      </c>
      <c r="D1761" s="1216"/>
      <c r="E1761" s="1216"/>
      <c r="F1761" s="1241">
        <f>SUM(G1734+G1735+G1756+G1757)*10%</f>
        <v>101.55500000000001</v>
      </c>
      <c r="G1761" s="1241">
        <f>SUM(G1734+G1735+G1756+G1757)*20%</f>
        <v>203.11</v>
      </c>
      <c r="H1761" s="1205" t="s">
        <v>2308</v>
      </c>
    </row>
    <row r="1762" spans="1:8" s="1250" customFormat="1" hidden="1">
      <c r="A1762" s="1245"/>
      <c r="B1762" s="1245"/>
      <c r="C1762" s="1754" t="s">
        <v>869</v>
      </c>
      <c r="D1762" s="1242"/>
      <c r="E1762" s="1242">
        <f>SUM(E1760:E1761)</f>
        <v>1293.53</v>
      </c>
      <c r="F1762" s="1249">
        <f>SUM(F1760:F1761)</f>
        <v>1395.085</v>
      </c>
      <c r="G1762" s="1249">
        <f>SUM(G1760:G1761)</f>
        <v>1496.6399999999999</v>
      </c>
      <c r="H1762" s="1205" t="s">
        <v>2308</v>
      </c>
    </row>
    <row r="1763" spans="1:8" s="1250" customFormat="1" hidden="1">
      <c r="A1763" s="1245"/>
      <c r="B1763" s="1245"/>
      <c r="C1763" s="1754" t="s">
        <v>1369</v>
      </c>
      <c r="D1763" s="1242"/>
      <c r="E1763" s="1242">
        <f>ROUND(E1762/10,2)</f>
        <v>129.35</v>
      </c>
      <c r="F1763" s="1249">
        <f>ROUND(F1762/10,2)</f>
        <v>139.51</v>
      </c>
      <c r="G1763" s="1249">
        <f>ROUND(G1762/10,2)</f>
        <v>149.66</v>
      </c>
      <c r="H1763" s="1205" t="s">
        <v>2308</v>
      </c>
    </row>
    <row r="1764" spans="1:8" s="1247" customFormat="1" ht="140.25" hidden="1">
      <c r="A1764" s="1218">
        <v>33</v>
      </c>
      <c r="B1764" s="1218" t="s">
        <v>1330</v>
      </c>
      <c r="C1764" s="1752" t="s">
        <v>1370</v>
      </c>
      <c r="D1764" s="1212"/>
      <c r="E1764" s="1212"/>
      <c r="F1764" s="1246"/>
      <c r="G1764" s="1246"/>
      <c r="H1764" s="1205" t="s">
        <v>2308</v>
      </c>
    </row>
    <row r="1765" spans="1:8" hidden="1">
      <c r="A1765" s="1212"/>
      <c r="B1765" s="1218"/>
      <c r="C1765" s="1752" t="s">
        <v>1371</v>
      </c>
      <c r="D1765" s="1216" t="s">
        <v>1362</v>
      </c>
      <c r="E1765" s="1216">
        <v>1</v>
      </c>
      <c r="F1765" s="1216">
        <f>G1748</f>
        <v>556.91999999999996</v>
      </c>
      <c r="G1765" s="1241">
        <f>ROUND(E1765*F1765,2)</f>
        <v>556.91999999999996</v>
      </c>
      <c r="H1765" s="1205" t="s">
        <v>2308</v>
      </c>
    </row>
    <row r="1766" spans="1:8" hidden="1">
      <c r="A1766" s="1212"/>
      <c r="B1766" s="1218"/>
      <c r="C1766" s="1251" t="s">
        <v>1363</v>
      </c>
      <c r="D1766" s="1216"/>
      <c r="E1766" s="1216"/>
      <c r="F1766" s="1216"/>
      <c r="G1766" s="1241"/>
      <c r="H1766" s="1205" t="s">
        <v>2308</v>
      </c>
    </row>
    <row r="1767" spans="1:8" ht="25.5" hidden="1">
      <c r="A1767" s="1212"/>
      <c r="B1767" s="1218"/>
      <c r="C1767" s="1752" t="s">
        <v>1364</v>
      </c>
      <c r="D1767" s="1156" t="s">
        <v>291</v>
      </c>
      <c r="E1767" s="1221">
        <v>0.8</v>
      </c>
      <c r="F1767" s="1216">
        <f>'MINI SSR 2020-21'!G44</f>
        <v>194</v>
      </c>
      <c r="G1767" s="1241">
        <f>ROUND(E1767*F1767,2)</f>
        <v>155.19999999999999</v>
      </c>
      <c r="H1767" s="1205" t="s">
        <v>2308</v>
      </c>
    </row>
    <row r="1768" spans="1:8" hidden="1">
      <c r="A1768" s="1212"/>
      <c r="B1768" s="1218"/>
      <c r="C1768" s="1251" t="s">
        <v>1365</v>
      </c>
      <c r="D1768" s="1156"/>
      <c r="E1768" s="1221"/>
      <c r="F1768" s="1216"/>
      <c r="G1768" s="1241"/>
      <c r="H1768" s="1205" t="s">
        <v>2308</v>
      </c>
    </row>
    <row r="1769" spans="1:8" hidden="1">
      <c r="A1769" s="1212"/>
      <c r="B1769" s="1218"/>
      <c r="C1769" s="1752" t="s">
        <v>1366</v>
      </c>
      <c r="D1769" s="1156" t="s">
        <v>27</v>
      </c>
      <c r="E1769" s="1213">
        <v>0.21</v>
      </c>
      <c r="F1769" s="1213">
        <f>'MINI SSR 2020-21'!$H$8</f>
        <v>615</v>
      </c>
      <c r="G1769" s="1241">
        <f>ROUND(E1769*F1769,2)</f>
        <v>129.15</v>
      </c>
      <c r="H1769" s="1205" t="s">
        <v>2308</v>
      </c>
    </row>
    <row r="1770" spans="1:8" hidden="1">
      <c r="A1770" s="1212"/>
      <c r="B1770" s="1218"/>
      <c r="C1770" s="1752" t="s">
        <v>1367</v>
      </c>
      <c r="D1770" s="1156" t="s">
        <v>27</v>
      </c>
      <c r="E1770" s="1213">
        <v>0.49</v>
      </c>
      <c r="F1770" s="1213">
        <f>'MINI SSR 2020-21'!$H$9</f>
        <v>500</v>
      </c>
      <c r="G1770" s="1241">
        <f>ROUND(E1770*F1770,2)</f>
        <v>245</v>
      </c>
      <c r="H1770" s="1205" t="s">
        <v>2308</v>
      </c>
    </row>
    <row r="1771" spans="1:8" hidden="1">
      <c r="A1771" s="1212"/>
      <c r="B1771" s="1218"/>
      <c r="C1771" s="1752" t="s">
        <v>311</v>
      </c>
      <c r="D1771" s="1156" t="s">
        <v>27</v>
      </c>
      <c r="E1771" s="1213">
        <v>1.5</v>
      </c>
      <c r="F1771" s="1213">
        <f>'MINI SSR 2020-21'!$H$5</f>
        <v>460</v>
      </c>
      <c r="G1771" s="1241">
        <f>ROUND(E1771*F1771,2)</f>
        <v>690</v>
      </c>
      <c r="H1771" s="1205" t="s">
        <v>2308</v>
      </c>
    </row>
    <row r="1772" spans="1:8" hidden="1">
      <c r="A1772" s="1212"/>
      <c r="B1772" s="1218"/>
      <c r="C1772" s="1752" t="s">
        <v>0</v>
      </c>
      <c r="D1772" s="1216"/>
      <c r="E1772" s="1216"/>
      <c r="F1772" s="1216"/>
      <c r="G1772" s="1241">
        <f>SUM(G1765:G1771)</f>
        <v>1776.27</v>
      </c>
      <c r="H1772" s="1205" t="s">
        <v>2308</v>
      </c>
    </row>
    <row r="1773" spans="1:8" hidden="1">
      <c r="A1773" s="1212"/>
      <c r="B1773" s="1218"/>
      <c r="C1773" s="1752"/>
      <c r="D1773" s="1216"/>
      <c r="E1773" s="1242" t="s">
        <v>161</v>
      </c>
      <c r="F1773" s="1242" t="s">
        <v>162</v>
      </c>
      <c r="G1773" s="1242" t="s">
        <v>163</v>
      </c>
      <c r="H1773" s="1205" t="s">
        <v>2308</v>
      </c>
    </row>
    <row r="1774" spans="1:8" hidden="1">
      <c r="A1774" s="1212"/>
      <c r="B1774" s="1218"/>
      <c r="C1774" s="1752" t="s">
        <v>867</v>
      </c>
      <c r="D1774" s="1216"/>
      <c r="E1774" s="1216">
        <f>G1772</f>
        <v>1776.27</v>
      </c>
      <c r="F1774" s="1252">
        <f>G1772</f>
        <v>1776.27</v>
      </c>
      <c r="G1774" s="1252">
        <f>G1772</f>
        <v>1776.27</v>
      </c>
      <c r="H1774" s="1205" t="s">
        <v>2308</v>
      </c>
    </row>
    <row r="1775" spans="1:8" hidden="1">
      <c r="A1775" s="1212"/>
      <c r="B1775" s="1218"/>
      <c r="C1775" s="1752" t="s">
        <v>870</v>
      </c>
      <c r="D1775" s="1216"/>
      <c r="E1775" s="1216"/>
      <c r="F1775" s="1241">
        <f>SUM(G1744+G1745+G1769+G1770+G1771)*10%</f>
        <v>143.83000000000001</v>
      </c>
      <c r="G1775" s="1241">
        <f>SUM(G1744+G1745+G1769+G1770+G1771)*20%</f>
        <v>287.66000000000003</v>
      </c>
      <c r="H1775" s="1205" t="s">
        <v>2308</v>
      </c>
    </row>
    <row r="1776" spans="1:8" s="1250" customFormat="1" hidden="1">
      <c r="A1776" s="1245"/>
      <c r="B1776" s="1245"/>
      <c r="C1776" s="1754" t="s">
        <v>869</v>
      </c>
      <c r="D1776" s="1242"/>
      <c r="E1776" s="1242">
        <f>SUM(E1774:E1775)</f>
        <v>1776.27</v>
      </c>
      <c r="F1776" s="1249">
        <f>SUM(F1774:F1775)</f>
        <v>1920.1</v>
      </c>
      <c r="G1776" s="1249">
        <f>SUM(G1774:G1775)</f>
        <v>2063.9299999999998</v>
      </c>
      <c r="H1776" s="1205" t="s">
        <v>2308</v>
      </c>
    </row>
    <row r="1777" spans="1:8" s="1250" customFormat="1" hidden="1">
      <c r="A1777" s="1245"/>
      <c r="B1777" s="1245"/>
      <c r="C1777" s="1754" t="s">
        <v>1369</v>
      </c>
      <c r="D1777" s="1242"/>
      <c r="E1777" s="1242">
        <f>ROUND(E1776/10,2)</f>
        <v>177.63</v>
      </c>
      <c r="F1777" s="1249">
        <f>ROUND(F1776/10,2)</f>
        <v>192.01</v>
      </c>
      <c r="G1777" s="1249">
        <f>ROUND(G1776/10,2)</f>
        <v>206.39</v>
      </c>
      <c r="H1777" s="1205" t="s">
        <v>2308</v>
      </c>
    </row>
    <row r="1778" spans="1:8" s="1256" customFormat="1" ht="140.25" hidden="1">
      <c r="A1778" s="1156">
        <v>58</v>
      </c>
      <c r="B1778" s="1218" t="s">
        <v>96</v>
      </c>
      <c r="C1778" s="1752" t="s">
        <v>1308</v>
      </c>
      <c r="D1778" s="1212"/>
      <c r="E1778" s="1212"/>
      <c r="F1778" s="1212"/>
      <c r="G1778" s="1218"/>
      <c r="H1778" s="1205" t="s">
        <v>2308</v>
      </c>
    </row>
    <row r="1779" spans="1:8" s="1256" customFormat="1" hidden="1">
      <c r="A1779" s="1156"/>
      <c r="B1779" s="1218"/>
      <c r="C1779" s="1754" t="s">
        <v>42</v>
      </c>
      <c r="D1779" s="1212"/>
      <c r="E1779" s="1212"/>
      <c r="F1779" s="1212"/>
      <c r="G1779" s="1215"/>
      <c r="H1779" s="1205" t="s">
        <v>2308</v>
      </c>
    </row>
    <row r="1780" spans="1:8" s="1256" customFormat="1" hidden="1">
      <c r="A1780" s="1156"/>
      <c r="B1780" s="1218"/>
      <c r="C1780" s="1754" t="s">
        <v>97</v>
      </c>
      <c r="D1780" s="1212"/>
      <c r="E1780" s="1212"/>
      <c r="F1780" s="1212"/>
      <c r="G1780" s="1215"/>
      <c r="H1780" s="1205" t="s">
        <v>2308</v>
      </c>
    </row>
    <row r="1781" spans="1:8" s="1256" customFormat="1" hidden="1">
      <c r="A1781" s="1156"/>
      <c r="B1781" s="1218"/>
      <c r="C1781" s="1754" t="s">
        <v>60</v>
      </c>
      <c r="D1781" s="1212"/>
      <c r="E1781" s="1212"/>
      <c r="F1781" s="1212"/>
      <c r="G1781" s="1215"/>
      <c r="H1781" s="1205" t="s">
        <v>2308</v>
      </c>
    </row>
    <row r="1782" spans="1:8" s="1256" customFormat="1" hidden="1">
      <c r="A1782" s="1156"/>
      <c r="B1782" s="1218"/>
      <c r="C1782" s="1752" t="s">
        <v>216</v>
      </c>
      <c r="D1782" s="1212" t="s">
        <v>30</v>
      </c>
      <c r="E1782" s="1213">
        <v>0.7</v>
      </c>
      <c r="F1782" s="1213">
        <f>'MINI SSR 2020-21'!G45</f>
        <v>130</v>
      </c>
      <c r="G1782" s="1214">
        <f>ROUND(E1782*F1782,2)</f>
        <v>91</v>
      </c>
      <c r="H1782" s="1205" t="s">
        <v>2308</v>
      </c>
    </row>
    <row r="1783" spans="1:8" s="1256" customFormat="1" hidden="1">
      <c r="A1783" s="1212"/>
      <c r="B1783" s="1218"/>
      <c r="C1783" s="1754" t="s">
        <v>68</v>
      </c>
      <c r="D1783" s="1212"/>
      <c r="E1783" s="1213"/>
      <c r="F1783" s="1213"/>
      <c r="G1783" s="1214"/>
      <c r="H1783" s="1205" t="s">
        <v>2308</v>
      </c>
    </row>
    <row r="1784" spans="1:8" s="1256" customFormat="1" hidden="1">
      <c r="A1784" s="1212"/>
      <c r="B1784" s="1212"/>
      <c r="C1784" s="1752" t="s">
        <v>94</v>
      </c>
      <c r="D1784" s="1212" t="s">
        <v>27</v>
      </c>
      <c r="E1784" s="1213">
        <v>0.21</v>
      </c>
      <c r="F1784" s="1213">
        <f>'MINI SSR 2020-21'!$H$8</f>
        <v>615</v>
      </c>
      <c r="G1784" s="1214">
        <f>ROUND(E1784*F1784,2)</f>
        <v>129.15</v>
      </c>
      <c r="H1784" s="1205" t="s">
        <v>2308</v>
      </c>
    </row>
    <row r="1785" spans="1:8" s="1256" customFormat="1" hidden="1">
      <c r="A1785" s="1212"/>
      <c r="B1785" s="1212"/>
      <c r="C1785" s="1752" t="s">
        <v>876</v>
      </c>
      <c r="D1785" s="1212" t="s">
        <v>27</v>
      </c>
      <c r="E1785" s="1213">
        <v>0.48</v>
      </c>
      <c r="F1785" s="1213">
        <f>'MINI SSR 2020-21'!$H$9</f>
        <v>500</v>
      </c>
      <c r="G1785" s="1214">
        <f>ROUND(E1785*F1785,2)</f>
        <v>240</v>
      </c>
      <c r="H1785" s="1205" t="s">
        <v>2308</v>
      </c>
    </row>
    <row r="1786" spans="1:8" s="1256" customFormat="1" hidden="1">
      <c r="A1786" s="1212"/>
      <c r="B1786" s="1212"/>
      <c r="C1786" s="1752" t="s">
        <v>95</v>
      </c>
      <c r="D1786" s="1212"/>
      <c r="E1786" s="1213"/>
      <c r="F1786" s="1217">
        <f>SUM(G1782:G1785)</f>
        <v>460.15</v>
      </c>
      <c r="G1786" s="1214">
        <f>ROUND(F1786*0.01,2)</f>
        <v>4.5999999999999996</v>
      </c>
      <c r="H1786" s="1205" t="s">
        <v>2308</v>
      </c>
    </row>
    <row r="1787" spans="1:8" s="1256" customFormat="1" hidden="1">
      <c r="A1787" s="1212"/>
      <c r="B1787" s="1212"/>
      <c r="C1787" s="1754" t="s">
        <v>98</v>
      </c>
      <c r="D1787" s="1212"/>
      <c r="E1787" s="1212"/>
      <c r="F1787" s="1212"/>
      <c r="G1787" s="1222"/>
      <c r="H1787" s="1205" t="s">
        <v>2308</v>
      </c>
    </row>
    <row r="1788" spans="1:8" s="1256" customFormat="1" hidden="1">
      <c r="A1788" s="1212"/>
      <c r="B1788" s="1212"/>
      <c r="C1788" s="1754" t="s">
        <v>60</v>
      </c>
      <c r="D1788" s="1212"/>
      <c r="E1788" s="1212"/>
      <c r="F1788" s="1212"/>
      <c r="G1788" s="1215"/>
      <c r="H1788" s="1205" t="s">
        <v>2308</v>
      </c>
    </row>
    <row r="1789" spans="1:8" s="1256" customFormat="1" hidden="1">
      <c r="A1789" s="1212"/>
      <c r="B1789" s="1212"/>
      <c r="C1789" s="1752" t="s">
        <v>217</v>
      </c>
      <c r="D1789" s="1212" t="s">
        <v>30</v>
      </c>
      <c r="E1789" s="1213">
        <v>1.1000000000000001</v>
      </c>
      <c r="F1789" s="1213">
        <f>'MINI SSR 2020-21'!G46</f>
        <v>248</v>
      </c>
      <c r="G1789" s="1214">
        <f>ROUND(E1789*F1789,2)</f>
        <v>272.8</v>
      </c>
      <c r="H1789" s="1205" t="s">
        <v>2308</v>
      </c>
    </row>
    <row r="1790" spans="1:8" s="1256" customFormat="1" hidden="1">
      <c r="A1790" s="1212"/>
      <c r="B1790" s="1212"/>
      <c r="C1790" s="1754" t="s">
        <v>68</v>
      </c>
      <c r="D1790" s="1212"/>
      <c r="E1790" s="1213"/>
      <c r="F1790" s="1213"/>
      <c r="G1790" s="1214"/>
      <c r="H1790" s="1205" t="s">
        <v>2308</v>
      </c>
    </row>
    <row r="1791" spans="1:8" hidden="1">
      <c r="A1791" s="1212"/>
      <c r="B1791" s="1212"/>
      <c r="C1791" s="1752" t="s">
        <v>94</v>
      </c>
      <c r="D1791" s="1212" t="s">
        <v>27</v>
      </c>
      <c r="E1791" s="1213">
        <v>0.33</v>
      </c>
      <c r="F1791" s="1213">
        <f>'MINI SSR 2020-21'!$H$8</f>
        <v>615</v>
      </c>
      <c r="G1791" s="1214">
        <f>ROUND(E1791*F1791,2)</f>
        <v>202.95</v>
      </c>
      <c r="H1791" s="1205" t="s">
        <v>2308</v>
      </c>
    </row>
    <row r="1792" spans="1:8" hidden="1">
      <c r="A1792" s="1212"/>
      <c r="B1792" s="1212"/>
      <c r="C1792" s="1752" t="s">
        <v>876</v>
      </c>
      <c r="D1792" s="1212" t="s">
        <v>27</v>
      </c>
      <c r="E1792" s="1213">
        <v>0.77</v>
      </c>
      <c r="F1792" s="1213">
        <f>'MINI SSR 2020-21'!$H$9</f>
        <v>500</v>
      </c>
      <c r="G1792" s="1214">
        <f>ROUND(E1792*F1792,2)</f>
        <v>385</v>
      </c>
      <c r="H1792" s="1205" t="s">
        <v>2308</v>
      </c>
    </row>
    <row r="1793" spans="1:8" hidden="1">
      <c r="A1793" s="1212"/>
      <c r="B1793" s="1212"/>
      <c r="C1793" s="1754" t="s">
        <v>99</v>
      </c>
      <c r="D1793" s="1212"/>
      <c r="E1793" s="1212"/>
      <c r="F1793" s="1212"/>
      <c r="G1793" s="1222">
        <f>SUM(G1782:G1792)</f>
        <v>1325.5</v>
      </c>
      <c r="H1793" s="1205" t="s">
        <v>2308</v>
      </c>
    </row>
    <row r="1794" spans="1:8" hidden="1">
      <c r="A1794" s="1212"/>
      <c r="B1794" s="1212"/>
      <c r="C1794" s="1754" t="s">
        <v>121</v>
      </c>
      <c r="D1794" s="1212"/>
      <c r="E1794" s="1212"/>
      <c r="F1794" s="1212"/>
      <c r="G1794" s="1222">
        <f>ROUND(G1793/10,2)</f>
        <v>132.55000000000001</v>
      </c>
      <c r="H1794" s="1205" t="s">
        <v>2308</v>
      </c>
    </row>
    <row r="1795" spans="1:8" ht="63.75" hidden="1">
      <c r="A1795" s="1156">
        <v>59</v>
      </c>
      <c r="B1795" s="1218"/>
      <c r="C1795" s="1752" t="s">
        <v>1181</v>
      </c>
      <c r="D1795" s="1212"/>
      <c r="E1795" s="1212"/>
      <c r="F1795" s="1212"/>
      <c r="G1795" s="1215"/>
      <c r="H1795" s="1205" t="s">
        <v>2308</v>
      </c>
    </row>
    <row r="1796" spans="1:8" hidden="1">
      <c r="A1796" s="1212"/>
      <c r="B1796" s="1212" t="s">
        <v>1422</v>
      </c>
      <c r="C1796" s="1752" t="s">
        <v>1421</v>
      </c>
      <c r="D1796" s="1212" t="s">
        <v>102</v>
      </c>
      <c r="E1796" s="1213">
        <v>1</v>
      </c>
      <c r="F1796" s="1213">
        <v>205</v>
      </c>
      <c r="G1796" s="1214">
        <f>ROUND(E1796*F1796,2)</f>
        <v>205</v>
      </c>
      <c r="H1796" s="1205" t="s">
        <v>2308</v>
      </c>
    </row>
    <row r="1797" spans="1:8" hidden="1">
      <c r="A1797" s="1212"/>
      <c r="B1797" s="1212"/>
      <c r="C1797" s="1754"/>
      <c r="D1797" s="1212"/>
      <c r="E1797" s="1212"/>
      <c r="F1797" s="1212"/>
      <c r="G1797" s="1222">
        <f>SUM(G1796:G1796)</f>
        <v>205</v>
      </c>
      <c r="H1797" s="1205" t="s">
        <v>2308</v>
      </c>
    </row>
    <row r="1798" spans="1:8" ht="293.25" hidden="1">
      <c r="A1798" s="1156">
        <v>60</v>
      </c>
      <c r="B1798" s="1218"/>
      <c r="C1798" s="1752" t="s">
        <v>1183</v>
      </c>
      <c r="D1798" s="1212"/>
      <c r="E1798" s="1212"/>
      <c r="F1798" s="1212"/>
      <c r="G1798" s="1215"/>
      <c r="H1798" s="1205" t="s">
        <v>2308</v>
      </c>
    </row>
    <row r="1799" spans="1:8" hidden="1">
      <c r="A1799" s="1212"/>
      <c r="B1799" s="1212"/>
      <c r="C1799" s="1752" t="s">
        <v>222</v>
      </c>
      <c r="D1799" s="1212"/>
      <c r="E1799" s="1213"/>
      <c r="F1799" s="1213"/>
      <c r="G1799" s="1214"/>
      <c r="H1799" s="1205" t="s">
        <v>2308</v>
      </c>
    </row>
    <row r="1800" spans="1:8" hidden="1">
      <c r="A1800" s="1212"/>
      <c r="B1800" s="1212" t="s">
        <v>1424</v>
      </c>
      <c r="C1800" s="1752" t="s">
        <v>1423</v>
      </c>
      <c r="D1800" s="1213" t="s">
        <v>291</v>
      </c>
      <c r="E1800" s="1223">
        <v>6.5000000000000002E-2</v>
      </c>
      <c r="F1800" s="1216">
        <f>'MINI SSR 2020-21'!G47</f>
        <v>708</v>
      </c>
      <c r="G1800" s="1214">
        <f>ROUND(E1800*F1800,2)</f>
        <v>46.02</v>
      </c>
      <c r="H1800" s="1205" t="s">
        <v>2308</v>
      </c>
    </row>
    <row r="1801" spans="1:8" hidden="1">
      <c r="A1801" s="1212"/>
      <c r="B1801" s="1212" t="s">
        <v>1424</v>
      </c>
      <c r="C1801" s="1752" t="s">
        <v>1425</v>
      </c>
      <c r="D1801" s="1213" t="s">
        <v>291</v>
      </c>
      <c r="E1801" s="1223">
        <v>3.3000000000000002E-2</v>
      </c>
      <c r="F1801" s="1216">
        <f>'MINI SSR 2020-21'!G48</f>
        <v>244</v>
      </c>
      <c r="G1801" s="1214">
        <f>ROUND(E1801*F1801,2)</f>
        <v>8.0500000000000007</v>
      </c>
      <c r="H1801" s="1205" t="s">
        <v>2308</v>
      </c>
    </row>
    <row r="1802" spans="1:8" hidden="1">
      <c r="A1802" s="1156"/>
      <c r="B1802" s="1218"/>
      <c r="C1802" s="1752" t="s">
        <v>94</v>
      </c>
      <c r="D1802" s="1213" t="s">
        <v>27</v>
      </c>
      <c r="E1802" s="1213">
        <v>0.24</v>
      </c>
      <c r="F1802" s="1213">
        <f>'MINI SSR 2020-21'!$H$8</f>
        <v>615</v>
      </c>
      <c r="G1802" s="1214">
        <f>ROUND(E1802*F1802,2)</f>
        <v>147.6</v>
      </c>
      <c r="H1802" s="1205" t="s">
        <v>2308</v>
      </c>
    </row>
    <row r="1803" spans="1:8" hidden="1">
      <c r="A1803" s="1156"/>
      <c r="B1803" s="1218"/>
      <c r="C1803" s="1752" t="s">
        <v>874</v>
      </c>
      <c r="D1803" s="1213" t="s">
        <v>27</v>
      </c>
      <c r="E1803" s="1213">
        <v>0.56000000000000005</v>
      </c>
      <c r="F1803" s="1213">
        <f>'MINI SSR 2020-21'!$H$9</f>
        <v>500</v>
      </c>
      <c r="G1803" s="1214">
        <f>ROUND(E1803*F1803,2)</f>
        <v>280</v>
      </c>
      <c r="H1803" s="1205" t="s">
        <v>2308</v>
      </c>
    </row>
    <row r="1804" spans="1:8" hidden="1">
      <c r="A1804" s="1156"/>
      <c r="B1804" s="1218"/>
      <c r="C1804" s="1752" t="s">
        <v>157</v>
      </c>
      <c r="D1804" s="1213" t="s">
        <v>27</v>
      </c>
      <c r="E1804" s="1213">
        <v>0.8</v>
      </c>
      <c r="F1804" s="1213">
        <f>'MINI SSR 2020-21'!$H$5</f>
        <v>460</v>
      </c>
      <c r="G1804" s="1214">
        <f>ROUND(E1804*F1804,2)</f>
        <v>368</v>
      </c>
      <c r="H1804" s="1205" t="s">
        <v>2308</v>
      </c>
    </row>
    <row r="1805" spans="1:8" hidden="1">
      <c r="A1805" s="1156"/>
      <c r="B1805" s="1218"/>
      <c r="C1805" s="1754" t="s">
        <v>1182</v>
      </c>
      <c r="D1805" s="1213"/>
      <c r="E1805" s="1242"/>
      <c r="F1805" s="1242"/>
      <c r="G1805" s="1214">
        <f>SUM(G1800:G1804)</f>
        <v>849.67000000000007</v>
      </c>
      <c r="H1805" s="1205" t="s">
        <v>2308</v>
      </c>
    </row>
    <row r="1806" spans="1:8" ht="89.25" hidden="1">
      <c r="A1806" s="1156">
        <v>61</v>
      </c>
      <c r="B1806" s="1218"/>
      <c r="C1806" s="1752" t="s">
        <v>1184</v>
      </c>
      <c r="D1806" s="1212"/>
      <c r="E1806" s="1212"/>
      <c r="F1806" s="1212"/>
      <c r="G1806" s="1215"/>
      <c r="H1806" s="1205" t="s">
        <v>2308</v>
      </c>
    </row>
    <row r="1807" spans="1:8" hidden="1">
      <c r="A1807" s="1212"/>
      <c r="B1807" s="1212"/>
      <c r="C1807" s="1752" t="s">
        <v>1185</v>
      </c>
      <c r="D1807" s="1212" t="s">
        <v>102</v>
      </c>
      <c r="E1807" s="1213">
        <v>1</v>
      </c>
      <c r="F1807" s="1213">
        <v>630</v>
      </c>
      <c r="G1807" s="1214">
        <f>ROUND(E1807*F1807,2)</f>
        <v>630</v>
      </c>
      <c r="H1807" s="1205" t="s">
        <v>2308</v>
      </c>
    </row>
    <row r="1808" spans="1:8" hidden="1">
      <c r="A1808" s="1212"/>
      <c r="B1808" s="1212"/>
      <c r="C1808" s="1754"/>
      <c r="D1808" s="1212"/>
      <c r="E1808" s="1212"/>
      <c r="F1808" s="1212"/>
      <c r="G1808" s="1222">
        <f>SUM(G1807:G1807)</f>
        <v>630</v>
      </c>
      <c r="H1808" s="1205" t="s">
        <v>2308</v>
      </c>
    </row>
    <row r="1809" spans="1:8" ht="165.75" hidden="1">
      <c r="A1809" s="1156">
        <v>40</v>
      </c>
      <c r="B1809" s="1218"/>
      <c r="C1809" s="1752" t="s">
        <v>680</v>
      </c>
      <c r="D1809" s="1212"/>
      <c r="E1809" s="1212"/>
      <c r="F1809" s="1212"/>
      <c r="G1809" s="1215"/>
      <c r="H1809" s="1205" t="s">
        <v>2308</v>
      </c>
    </row>
    <row r="1810" spans="1:8" hidden="1">
      <c r="A1810" s="1212"/>
      <c r="B1810" s="1212" t="s">
        <v>1373</v>
      </c>
      <c r="C1810" s="1752" t="s">
        <v>379</v>
      </c>
      <c r="D1810" s="1212" t="s">
        <v>102</v>
      </c>
      <c r="E1810" s="1213">
        <v>1</v>
      </c>
      <c r="F1810" s="1213">
        <f>'MINI SSR 2020-21'!C47</f>
        <v>3198</v>
      </c>
      <c r="G1810" s="1214">
        <f>ROUND(E1810*F1810,2)</f>
        <v>3198</v>
      </c>
      <c r="H1810" s="1205" t="s">
        <v>2308</v>
      </c>
    </row>
    <row r="1811" spans="1:8" hidden="1">
      <c r="A1811" s="1212"/>
      <c r="B1811" s="1212"/>
      <c r="C1811" s="1754"/>
      <c r="D1811" s="1212"/>
      <c r="E1811" s="1212"/>
      <c r="F1811" s="1212"/>
      <c r="G1811" s="1222">
        <f>SUM(G1810:G1810)</f>
        <v>3198</v>
      </c>
      <c r="H1811" s="1205" t="s">
        <v>2308</v>
      </c>
    </row>
    <row r="1812" spans="1:8" ht="51" hidden="1">
      <c r="A1812" s="1156">
        <v>63</v>
      </c>
      <c r="B1812" s="1218"/>
      <c r="C1812" s="1752" t="s">
        <v>951</v>
      </c>
      <c r="D1812" s="1212"/>
      <c r="E1812" s="1212"/>
      <c r="F1812" s="1212"/>
      <c r="G1812" s="1215"/>
      <c r="H1812" s="1205" t="s">
        <v>2308</v>
      </c>
    </row>
    <row r="1813" spans="1:8" hidden="1">
      <c r="A1813" s="1212"/>
      <c r="B1813" s="1212" t="s">
        <v>1427</v>
      </c>
      <c r="C1813" s="1752" t="s">
        <v>1426</v>
      </c>
      <c r="D1813" s="1212" t="s">
        <v>275</v>
      </c>
      <c r="E1813" s="1166">
        <v>1</v>
      </c>
      <c r="F1813" s="1221">
        <v>250</v>
      </c>
      <c r="G1813" s="1214">
        <f>ROUND(E1813*F1813,2)</f>
        <v>250</v>
      </c>
      <c r="H1813" s="1205" t="s">
        <v>2308</v>
      </c>
    </row>
    <row r="1814" spans="1:8" hidden="1">
      <c r="A1814" s="1212"/>
      <c r="B1814" s="1212"/>
      <c r="C1814" s="1752" t="s">
        <v>953</v>
      </c>
      <c r="D1814" s="1212"/>
      <c r="E1814" s="1166"/>
      <c r="F1814" s="1221"/>
      <c r="G1814" s="1214"/>
      <c r="H1814" s="1205" t="s">
        <v>2308</v>
      </c>
    </row>
    <row r="1815" spans="1:8" hidden="1">
      <c r="A1815" s="1212"/>
      <c r="B1815" s="1212"/>
      <c r="C1815" s="1752" t="s">
        <v>954</v>
      </c>
      <c r="D1815" s="1212"/>
      <c r="E1815" s="1166"/>
      <c r="F1815" s="1221"/>
      <c r="G1815" s="1214"/>
      <c r="H1815" s="1205" t="s">
        <v>2308</v>
      </c>
    </row>
    <row r="1816" spans="1:8" hidden="1">
      <c r="A1816" s="1212"/>
      <c r="B1816" s="1212"/>
      <c r="C1816" s="1752" t="s">
        <v>955</v>
      </c>
      <c r="D1816" s="1212"/>
      <c r="E1816" s="1166"/>
      <c r="F1816" s="1221"/>
      <c r="G1816" s="1214"/>
      <c r="H1816" s="1205" t="s">
        <v>2308</v>
      </c>
    </row>
    <row r="1817" spans="1:8" hidden="1">
      <c r="A1817" s="1212"/>
      <c r="B1817" s="1212"/>
      <c r="C1817" s="1752" t="s">
        <v>956</v>
      </c>
      <c r="D1817" s="1212"/>
      <c r="E1817" s="1166"/>
      <c r="F1817" s="1221"/>
      <c r="G1817" s="1214"/>
      <c r="H1817" s="1205" t="s">
        <v>2308</v>
      </c>
    </row>
    <row r="1818" spans="1:8" hidden="1">
      <c r="A1818" s="1212"/>
      <c r="B1818" s="1212"/>
      <c r="C1818" s="1752" t="s">
        <v>957</v>
      </c>
      <c r="D1818" s="1212" t="s">
        <v>275</v>
      </c>
      <c r="E1818" s="1166">
        <v>1</v>
      </c>
      <c r="F1818" s="1221">
        <v>666.66</v>
      </c>
      <c r="G1818" s="1214">
        <f>ROUND(E1818*F1818,2)</f>
        <v>666.66</v>
      </c>
      <c r="H1818" s="1205" t="s">
        <v>2308</v>
      </c>
    </row>
    <row r="1819" spans="1:8" hidden="1">
      <c r="A1819" s="1212"/>
      <c r="B1819" s="1212"/>
      <c r="C1819" s="1757"/>
      <c r="D1819" s="1156"/>
      <c r="E1819" s="1166"/>
      <c r="F1819" s="1221"/>
      <c r="G1819" s="1224"/>
      <c r="H1819" s="1205" t="s">
        <v>2308</v>
      </c>
    </row>
    <row r="1820" spans="1:8" hidden="1">
      <c r="A1820" s="1212"/>
      <c r="B1820" s="1212"/>
      <c r="C1820" s="1754"/>
      <c r="D1820" s="1212"/>
      <c r="E1820" s="1212"/>
      <c r="F1820" s="1212"/>
      <c r="G1820" s="1222">
        <f>SUM(G1818:G1819)</f>
        <v>666.66</v>
      </c>
      <c r="H1820" s="1205" t="s">
        <v>2308</v>
      </c>
    </row>
    <row r="1821" spans="1:8" ht="51" hidden="1">
      <c r="A1821" s="1156">
        <v>64</v>
      </c>
      <c r="B1821" s="1218"/>
      <c r="C1821" s="1752" t="s">
        <v>1232</v>
      </c>
      <c r="D1821" s="1212"/>
      <c r="E1821" s="1212"/>
      <c r="F1821" s="1212"/>
      <c r="G1821" s="1215"/>
      <c r="H1821" s="1205" t="s">
        <v>2308</v>
      </c>
    </row>
    <row r="1822" spans="1:8" hidden="1">
      <c r="A1822" s="1212"/>
      <c r="B1822" s="1212" t="s">
        <v>1427</v>
      </c>
      <c r="C1822" s="1752" t="s">
        <v>1426</v>
      </c>
      <c r="D1822" s="1212" t="s">
        <v>275</v>
      </c>
      <c r="E1822" s="1166">
        <v>1</v>
      </c>
      <c r="F1822" s="1221">
        <v>250</v>
      </c>
      <c r="G1822" s="1214">
        <f>ROUND(E1822*F1822,2)</f>
        <v>250</v>
      </c>
      <c r="H1822" s="1205" t="s">
        <v>2308</v>
      </c>
    </row>
    <row r="1823" spans="1:8" hidden="1">
      <c r="A1823" s="1212"/>
      <c r="B1823" s="1212"/>
      <c r="C1823" s="1752" t="s">
        <v>1236</v>
      </c>
      <c r="D1823" s="1212"/>
      <c r="E1823" s="1166"/>
      <c r="F1823" s="1221"/>
      <c r="G1823" s="1214"/>
      <c r="H1823" s="1205" t="s">
        <v>2308</v>
      </c>
    </row>
    <row r="1824" spans="1:8" hidden="1">
      <c r="A1824" s="1212"/>
      <c r="B1824" s="1212"/>
      <c r="C1824" s="1752" t="s">
        <v>1233</v>
      </c>
      <c r="D1824" s="1212"/>
      <c r="E1824" s="1166"/>
      <c r="F1824" s="1221"/>
      <c r="G1824" s="1214"/>
      <c r="H1824" s="1205" t="s">
        <v>2308</v>
      </c>
    </row>
    <row r="1825" spans="1:8" hidden="1">
      <c r="A1825" s="1212"/>
      <c r="B1825" s="1212"/>
      <c r="C1825" s="1752" t="s">
        <v>1234</v>
      </c>
      <c r="D1825" s="1212"/>
      <c r="E1825" s="1166"/>
      <c r="F1825" s="1221"/>
      <c r="G1825" s="1214"/>
      <c r="H1825" s="1205" t="s">
        <v>2308</v>
      </c>
    </row>
    <row r="1826" spans="1:8" hidden="1">
      <c r="A1826" s="1212"/>
      <c r="B1826" s="1212"/>
      <c r="C1826" s="1752" t="s">
        <v>1235</v>
      </c>
      <c r="D1826" s="1212"/>
      <c r="E1826" s="1166"/>
      <c r="F1826" s="1221"/>
      <c r="G1826" s="1214"/>
      <c r="H1826" s="1205" t="s">
        <v>2308</v>
      </c>
    </row>
    <row r="1827" spans="1:8" hidden="1">
      <c r="A1827" s="1212"/>
      <c r="B1827" s="1212"/>
      <c r="C1827" s="1752" t="s">
        <v>1236</v>
      </c>
      <c r="D1827" s="1212" t="s">
        <v>275</v>
      </c>
      <c r="E1827" s="1166">
        <v>1</v>
      </c>
      <c r="F1827" s="1221">
        <v>500</v>
      </c>
      <c r="G1827" s="1214">
        <f>ROUND(E1827*F1827,2)</f>
        <v>500</v>
      </c>
      <c r="H1827" s="1205" t="s">
        <v>2308</v>
      </c>
    </row>
    <row r="1828" spans="1:8" hidden="1">
      <c r="A1828" s="1212"/>
      <c r="B1828" s="1212"/>
      <c r="C1828" s="1757"/>
      <c r="D1828" s="1156"/>
      <c r="E1828" s="1166"/>
      <c r="F1828" s="1221"/>
      <c r="G1828" s="1224"/>
      <c r="H1828" s="1205" t="s">
        <v>2308</v>
      </c>
    </row>
    <row r="1829" spans="1:8" hidden="1">
      <c r="A1829" s="1212"/>
      <c r="B1829" s="1212"/>
      <c r="C1829" s="1754"/>
      <c r="D1829" s="1212"/>
      <c r="E1829" s="1212"/>
      <c r="F1829" s="1212"/>
      <c r="G1829" s="1222">
        <f>SUM(G1827:G1828)</f>
        <v>500</v>
      </c>
      <c r="H1829" s="1205" t="s">
        <v>2308</v>
      </c>
    </row>
    <row r="1830" spans="1:8" ht="51" hidden="1">
      <c r="A1830" s="1156">
        <v>65</v>
      </c>
      <c r="B1830" s="1218"/>
      <c r="C1830" s="1752" t="s">
        <v>952</v>
      </c>
      <c r="D1830" s="1212"/>
      <c r="E1830" s="1212"/>
      <c r="F1830" s="1212"/>
      <c r="G1830" s="1215"/>
      <c r="H1830" s="1205" t="s">
        <v>2308</v>
      </c>
    </row>
    <row r="1831" spans="1:8" hidden="1">
      <c r="A1831" s="1212"/>
      <c r="B1831" s="1212" t="s">
        <v>1429</v>
      </c>
      <c r="C1831" s="1752" t="s">
        <v>1428</v>
      </c>
      <c r="D1831" s="1212" t="s">
        <v>275</v>
      </c>
      <c r="E1831" s="1166">
        <v>1</v>
      </c>
      <c r="F1831" s="1221">
        <v>130</v>
      </c>
      <c r="G1831" s="1214">
        <f>ROUND(E1831*F1831,2)</f>
        <v>130</v>
      </c>
      <c r="H1831" s="1205" t="s">
        <v>2308</v>
      </c>
    </row>
    <row r="1832" spans="1:8" hidden="1">
      <c r="A1832" s="1212"/>
      <c r="B1832" s="1212"/>
      <c r="C1832" s="1757"/>
      <c r="D1832" s="1156"/>
      <c r="E1832" s="1166"/>
      <c r="F1832" s="1221"/>
      <c r="G1832" s="1224"/>
      <c r="H1832" s="1205" t="s">
        <v>2308</v>
      </c>
    </row>
    <row r="1833" spans="1:8" hidden="1">
      <c r="A1833" s="1212"/>
      <c r="B1833" s="1212"/>
      <c r="C1833" s="1754"/>
      <c r="D1833" s="1212"/>
      <c r="E1833" s="1212"/>
      <c r="F1833" s="1212"/>
      <c r="G1833" s="1222">
        <f>SUM(G1831:G1832)</f>
        <v>130</v>
      </c>
      <c r="H1833" s="1205" t="s">
        <v>2308</v>
      </c>
    </row>
    <row r="1834" spans="1:8" hidden="1">
      <c r="A1834" s="1156">
        <v>25</v>
      </c>
      <c r="B1834" s="1218"/>
      <c r="C1834" s="1253" t="s">
        <v>932</v>
      </c>
      <c r="D1834" s="1212"/>
      <c r="E1834" s="1212"/>
      <c r="F1834" s="1212"/>
      <c r="G1834" s="1212"/>
      <c r="H1834" s="1205" t="s">
        <v>2308</v>
      </c>
    </row>
    <row r="1835" spans="1:8" hidden="1">
      <c r="A1835" s="1212"/>
      <c r="B1835" s="1212" t="s">
        <v>1408</v>
      </c>
      <c r="C1835" s="1253" t="s">
        <v>379</v>
      </c>
      <c r="D1835" s="1212" t="s">
        <v>102</v>
      </c>
      <c r="E1835" s="1213">
        <v>1</v>
      </c>
      <c r="F1835" s="1213">
        <f>'D&amp;W data'!F437</f>
        <v>340</v>
      </c>
      <c r="G1835" s="1214">
        <f>ROUND(E1835*F1835,2)</f>
        <v>340</v>
      </c>
      <c r="H1835" s="1205" t="s">
        <v>2308</v>
      </c>
    </row>
    <row r="1836" spans="1:8" hidden="1">
      <c r="A1836" s="1212"/>
      <c r="B1836" s="1212"/>
      <c r="C1836" s="1253" t="s">
        <v>929</v>
      </c>
      <c r="D1836" s="1156" t="s">
        <v>108</v>
      </c>
      <c r="E1836" s="1221">
        <v>0.06</v>
      </c>
      <c r="F1836" s="1213">
        <f>'D&amp;W data'!F438</f>
        <v>550</v>
      </c>
      <c r="G1836" s="1224">
        <f>ROUND(E1836*F1836,2)</f>
        <v>33</v>
      </c>
      <c r="H1836" s="1205" t="s">
        <v>2308</v>
      </c>
    </row>
    <row r="1837" spans="1:8" hidden="1">
      <c r="A1837" s="1212"/>
      <c r="B1837" s="1212"/>
      <c r="C1837" s="1253" t="s">
        <v>930</v>
      </c>
      <c r="D1837" s="1156" t="s">
        <v>108</v>
      </c>
      <c r="E1837" s="1221">
        <v>0.06</v>
      </c>
      <c r="F1837" s="1213">
        <f>'D&amp;W data'!F439</f>
        <v>500</v>
      </c>
      <c r="G1837" s="1224">
        <f>ROUND(E1837*F1837,2)</f>
        <v>30</v>
      </c>
      <c r="H1837" s="1205" t="s">
        <v>2308</v>
      </c>
    </row>
    <row r="1838" spans="1:8" hidden="1">
      <c r="A1838" s="1212"/>
      <c r="B1838" s="1212"/>
      <c r="C1838" s="1254" t="s">
        <v>931</v>
      </c>
      <c r="D1838" s="1156" t="s">
        <v>108</v>
      </c>
      <c r="E1838" s="1166">
        <v>0.27500000000000002</v>
      </c>
      <c r="F1838" s="1213">
        <f>'D&amp;W data'!F440</f>
        <v>460</v>
      </c>
      <c r="G1838" s="1224">
        <f>ROUND(E1838*F1838,2)</f>
        <v>126.5</v>
      </c>
      <c r="H1838" s="1205" t="s">
        <v>2308</v>
      </c>
    </row>
    <row r="1839" spans="1:8" hidden="1">
      <c r="A1839" s="1212"/>
      <c r="B1839" s="1212"/>
      <c r="C1839" s="1255" t="s">
        <v>1404</v>
      </c>
      <c r="D1839" s="1212"/>
      <c r="E1839" s="1212"/>
      <c r="F1839" s="1212"/>
      <c r="G1839" s="1222">
        <f>SUM(G1835:G1838)</f>
        <v>529.5</v>
      </c>
      <c r="H1839" s="1205" t="s">
        <v>2308</v>
      </c>
    </row>
    <row r="1840" spans="1:8" s="1211" customFormat="1" ht="19.5" hidden="1" customHeight="1">
      <c r="A1840" s="1764"/>
      <c r="B1840" s="1764"/>
      <c r="C1840" s="1257" t="s">
        <v>2319</v>
      </c>
      <c r="D1840" s="1764"/>
      <c r="E1840" s="1764"/>
      <c r="F1840" s="1764"/>
      <c r="G1840" s="1764"/>
      <c r="H1840" s="1210"/>
    </row>
    <row r="1841" spans="1:8" ht="25.5" hidden="1">
      <c r="A1841" s="1212">
        <v>20</v>
      </c>
      <c r="B1841" s="1212" t="s">
        <v>46</v>
      </c>
      <c r="C1841" s="1754" t="s">
        <v>43</v>
      </c>
      <c r="D1841" s="1212"/>
      <c r="E1841" s="1212"/>
      <c r="F1841" s="1212"/>
      <c r="G1841" s="1212"/>
      <c r="H1841" s="1205" t="s">
        <v>2321</v>
      </c>
    </row>
    <row r="1842" spans="1:8" hidden="1">
      <c r="A1842" s="1212"/>
      <c r="B1842" s="1212"/>
      <c r="C1842" s="1752" t="s">
        <v>44</v>
      </c>
      <c r="D1842" s="1212" t="s">
        <v>4</v>
      </c>
      <c r="E1842" s="1213">
        <f>1440/3</f>
        <v>480</v>
      </c>
      <c r="F1842" s="1213">
        <f>'lead 21-22'!$L$8</f>
        <v>4700</v>
      </c>
      <c r="G1842" s="1214">
        <f>ROUND(E1842*F1842/1000,2)</f>
        <v>2256</v>
      </c>
      <c r="H1842" s="1205" t="s">
        <v>2321</v>
      </c>
    </row>
    <row r="1843" spans="1:8" hidden="1">
      <c r="A1843" s="1212"/>
      <c r="B1843" s="1212"/>
      <c r="C1843" s="1752" t="s">
        <v>110</v>
      </c>
      <c r="D1843" s="1212" t="s">
        <v>35</v>
      </c>
      <c r="E1843" s="1213">
        <v>1.05</v>
      </c>
      <c r="F1843" s="1213">
        <f>'lead 21-22'!$L$12</f>
        <v>1743.4000000000019</v>
      </c>
      <c r="G1843" s="1214">
        <f>ROUND(E1843*F1843,2)</f>
        <v>1830.57</v>
      </c>
      <c r="H1843" s="1205" t="s">
        <v>2321</v>
      </c>
    </row>
    <row r="1844" spans="1:8" hidden="1">
      <c r="A1844" s="1212"/>
      <c r="B1844" s="1212"/>
      <c r="C1844" s="1752" t="s">
        <v>45</v>
      </c>
      <c r="D1844" s="1212" t="s">
        <v>27</v>
      </c>
      <c r="E1844" s="1213">
        <v>0.2</v>
      </c>
      <c r="F1844" s="1213">
        <f>'MINI SSR 21-22'!H$5</f>
        <v>490</v>
      </c>
      <c r="G1844" s="1214">
        <f>ROUND(E1844*F1844,2)</f>
        <v>98</v>
      </c>
      <c r="H1844" s="1205" t="s">
        <v>2321</v>
      </c>
    </row>
    <row r="1845" spans="1:8" hidden="1">
      <c r="A1845" s="1212"/>
      <c r="B1845" s="1212"/>
      <c r="C1845" s="1752"/>
      <c r="D1845" s="1212"/>
      <c r="E1845" s="1212"/>
      <c r="F1845" s="1212"/>
      <c r="G1845" s="1215">
        <f>SUM(G1842:G1844)</f>
        <v>4184.57</v>
      </c>
      <c r="H1845" s="1205" t="s">
        <v>2321</v>
      </c>
    </row>
    <row r="1846" spans="1:8" ht="25.5" hidden="1">
      <c r="A1846" s="1212">
        <v>2</v>
      </c>
      <c r="B1846" s="1212" t="s">
        <v>51</v>
      </c>
      <c r="C1846" s="1754" t="s">
        <v>47</v>
      </c>
      <c r="D1846" s="1212"/>
      <c r="E1846" s="1212"/>
      <c r="F1846" s="1212"/>
      <c r="G1846" s="1212"/>
      <c r="H1846" s="1205" t="s">
        <v>2321</v>
      </c>
    </row>
    <row r="1847" spans="1:8" hidden="1">
      <c r="A1847" s="1212"/>
      <c r="B1847" s="1212"/>
      <c r="C1847" s="1752" t="s">
        <v>44</v>
      </c>
      <c r="D1847" s="1212" t="s">
        <v>4</v>
      </c>
      <c r="E1847" s="1213">
        <f>1440/4</f>
        <v>360</v>
      </c>
      <c r="F1847" s="1213">
        <f>'lead 21-22'!$L$8</f>
        <v>4700</v>
      </c>
      <c r="G1847" s="1214">
        <f>ROUND(E1847*F1847/1000,2)</f>
        <v>1692</v>
      </c>
      <c r="H1847" s="1205" t="s">
        <v>2321</v>
      </c>
    </row>
    <row r="1848" spans="1:8" hidden="1">
      <c r="A1848" s="1212"/>
      <c r="B1848" s="1212"/>
      <c r="C1848" s="1752" t="s">
        <v>110</v>
      </c>
      <c r="D1848" s="1212" t="s">
        <v>35</v>
      </c>
      <c r="E1848" s="1213">
        <v>1.05</v>
      </c>
      <c r="F1848" s="1213">
        <f>'lead 21-22'!$L$12</f>
        <v>1743.4000000000019</v>
      </c>
      <c r="G1848" s="1214">
        <f>ROUND(E1848*F1848,2)</f>
        <v>1830.57</v>
      </c>
      <c r="H1848" s="1205" t="s">
        <v>2321</v>
      </c>
    </row>
    <row r="1849" spans="1:8" hidden="1">
      <c r="A1849" s="1212"/>
      <c r="B1849" s="1212"/>
      <c r="C1849" s="1752" t="s">
        <v>45</v>
      </c>
      <c r="D1849" s="1212" t="s">
        <v>27</v>
      </c>
      <c r="E1849" s="1213">
        <v>0.2</v>
      </c>
      <c r="F1849" s="1213">
        <f>'MINI SSR 21-22'!H$5</f>
        <v>490</v>
      </c>
      <c r="G1849" s="1214">
        <f>ROUND(E1849*F1849,2)</f>
        <v>98</v>
      </c>
      <c r="H1849" s="1205" t="s">
        <v>2321</v>
      </c>
    </row>
    <row r="1850" spans="1:8" hidden="1">
      <c r="A1850" s="1212"/>
      <c r="B1850" s="1212"/>
      <c r="C1850" s="1752"/>
      <c r="D1850" s="1212"/>
      <c r="E1850" s="1212"/>
      <c r="F1850" s="1212"/>
      <c r="G1850" s="1215">
        <f>SUM(G1847:G1849)</f>
        <v>3620.5699999999997</v>
      </c>
      <c r="H1850" s="1205" t="s">
        <v>2321</v>
      </c>
    </row>
    <row r="1851" spans="1:8" ht="25.5" hidden="1">
      <c r="A1851" s="1212">
        <v>2</v>
      </c>
      <c r="B1851" s="1212" t="s">
        <v>52</v>
      </c>
      <c r="C1851" s="1754" t="s">
        <v>48</v>
      </c>
      <c r="D1851" s="1212"/>
      <c r="E1851" s="1212"/>
      <c r="F1851" s="1212"/>
      <c r="G1851" s="1212"/>
      <c r="H1851" s="1205" t="s">
        <v>2321</v>
      </c>
    </row>
    <row r="1852" spans="1:8" hidden="1">
      <c r="A1852" s="1212"/>
      <c r="B1852" s="1212"/>
      <c r="C1852" s="1752" t="s">
        <v>44</v>
      </c>
      <c r="D1852" s="1212" t="s">
        <v>4</v>
      </c>
      <c r="E1852" s="1213">
        <f>1440/5</f>
        <v>288</v>
      </c>
      <c r="F1852" s="1213">
        <f>'lead 21-22'!$L$8</f>
        <v>4700</v>
      </c>
      <c r="G1852" s="1214">
        <f>ROUND(E1852*F1852/1000,2)</f>
        <v>1353.6</v>
      </c>
      <c r="H1852" s="1205" t="s">
        <v>2321</v>
      </c>
    </row>
    <row r="1853" spans="1:8" hidden="1">
      <c r="A1853" s="1212"/>
      <c r="B1853" s="1212"/>
      <c r="C1853" s="1752" t="s">
        <v>110</v>
      </c>
      <c r="D1853" s="1212" t="s">
        <v>35</v>
      </c>
      <c r="E1853" s="1213">
        <v>1.05</v>
      </c>
      <c r="F1853" s="1213">
        <f>'lead 21-22'!$L$12</f>
        <v>1743.4000000000019</v>
      </c>
      <c r="G1853" s="1214">
        <f>ROUND(E1853*F1853,2)</f>
        <v>1830.57</v>
      </c>
      <c r="H1853" s="1205" t="s">
        <v>2321</v>
      </c>
    </row>
    <row r="1854" spans="1:8" hidden="1">
      <c r="A1854" s="1212"/>
      <c r="B1854" s="1212"/>
      <c r="C1854" s="1752" t="s">
        <v>45</v>
      </c>
      <c r="D1854" s="1212" t="s">
        <v>27</v>
      </c>
      <c r="E1854" s="1213">
        <v>0.2</v>
      </c>
      <c r="F1854" s="1213">
        <f>'MINI SSR 21-22'!H$5</f>
        <v>490</v>
      </c>
      <c r="G1854" s="1214">
        <f>ROUND(E1854*F1854,2)</f>
        <v>98</v>
      </c>
      <c r="H1854" s="1205" t="s">
        <v>2321</v>
      </c>
    </row>
    <row r="1855" spans="1:8" hidden="1">
      <c r="A1855" s="1212"/>
      <c r="B1855" s="1212"/>
      <c r="C1855" s="1752"/>
      <c r="D1855" s="1212"/>
      <c r="E1855" s="1212"/>
      <c r="F1855" s="1212"/>
      <c r="G1855" s="1215">
        <f>SUM(G1852:G1854)</f>
        <v>3282.17</v>
      </c>
      <c r="H1855" s="1205" t="s">
        <v>2321</v>
      </c>
    </row>
    <row r="1856" spans="1:8" ht="25.5" hidden="1">
      <c r="A1856" s="1212">
        <v>4</v>
      </c>
      <c r="B1856" s="1212" t="s">
        <v>53</v>
      </c>
      <c r="C1856" s="1754" t="s">
        <v>49</v>
      </c>
      <c r="D1856" s="1212"/>
      <c r="E1856" s="1212"/>
      <c r="F1856" s="1212"/>
      <c r="G1856" s="1212"/>
      <c r="H1856" s="1205" t="s">
        <v>2321</v>
      </c>
    </row>
    <row r="1857" spans="1:8" hidden="1">
      <c r="A1857" s="1212"/>
      <c r="B1857" s="1212"/>
      <c r="C1857" s="1752" t="s">
        <v>44</v>
      </c>
      <c r="D1857" s="1212" t="s">
        <v>4</v>
      </c>
      <c r="E1857" s="1213">
        <f>1440/6</f>
        <v>240</v>
      </c>
      <c r="F1857" s="1213">
        <f>'lead 21-22'!$L$8</f>
        <v>4700</v>
      </c>
      <c r="G1857" s="1214">
        <f>ROUND(E1857*F1857/1000,2)</f>
        <v>1128</v>
      </c>
      <c r="H1857" s="1205" t="s">
        <v>2321</v>
      </c>
    </row>
    <row r="1858" spans="1:8" hidden="1">
      <c r="A1858" s="1212"/>
      <c r="B1858" s="1212"/>
      <c r="C1858" s="1752" t="s">
        <v>111</v>
      </c>
      <c r="D1858" s="1212" t="s">
        <v>35</v>
      </c>
      <c r="E1858" s="1213">
        <v>1.05</v>
      </c>
      <c r="F1858" s="1213">
        <f>'lead 21-22'!$L$12</f>
        <v>1743.4000000000019</v>
      </c>
      <c r="G1858" s="1214">
        <f>ROUND(E1858*F1858,2)</f>
        <v>1830.57</v>
      </c>
      <c r="H1858" s="1205" t="s">
        <v>2321</v>
      </c>
    </row>
    <row r="1859" spans="1:8" hidden="1">
      <c r="A1859" s="1212"/>
      <c r="B1859" s="1212"/>
      <c r="C1859" s="1752" t="s">
        <v>45</v>
      </c>
      <c r="D1859" s="1212" t="s">
        <v>27</v>
      </c>
      <c r="E1859" s="1213">
        <v>0.2</v>
      </c>
      <c r="F1859" s="1213">
        <f>'MINI SSR 21-22'!H$5</f>
        <v>490</v>
      </c>
      <c r="G1859" s="1214">
        <f>ROUND(E1859*F1859,2)</f>
        <v>98</v>
      </c>
      <c r="H1859" s="1205" t="s">
        <v>2321</v>
      </c>
    </row>
    <row r="1860" spans="1:8" hidden="1">
      <c r="A1860" s="1212"/>
      <c r="B1860" s="1212"/>
      <c r="C1860" s="1752"/>
      <c r="D1860" s="1212"/>
      <c r="E1860" s="1212"/>
      <c r="F1860" s="1212"/>
      <c r="G1860" s="1215">
        <f>SUM(G1857:G1859)</f>
        <v>3056.5699999999997</v>
      </c>
      <c r="H1860" s="1205" t="s">
        <v>2321</v>
      </c>
    </row>
    <row r="1861" spans="1:8" ht="25.5" hidden="1">
      <c r="A1861" s="1212">
        <v>5</v>
      </c>
      <c r="B1861" s="1212" t="s">
        <v>54</v>
      </c>
      <c r="C1861" s="1754" t="s">
        <v>50</v>
      </c>
      <c r="D1861" s="1212"/>
      <c r="E1861" s="1212"/>
      <c r="F1861" s="1212"/>
      <c r="G1861" s="1212"/>
      <c r="H1861" s="1205" t="s">
        <v>2321</v>
      </c>
    </row>
    <row r="1862" spans="1:8" hidden="1">
      <c r="A1862" s="1212"/>
      <c r="B1862" s="1212"/>
      <c r="C1862" s="1752" t="s">
        <v>44</v>
      </c>
      <c r="D1862" s="1212" t="s">
        <v>4</v>
      </c>
      <c r="E1862" s="1213">
        <f>1440/8</f>
        <v>180</v>
      </c>
      <c r="F1862" s="1213">
        <f>'lead 21-22'!$L$8</f>
        <v>4700</v>
      </c>
      <c r="G1862" s="1214">
        <f>ROUND(E1862*F1862/1000,2)</f>
        <v>846</v>
      </c>
      <c r="H1862" s="1205" t="s">
        <v>2321</v>
      </c>
    </row>
    <row r="1863" spans="1:8" hidden="1">
      <c r="A1863" s="1212"/>
      <c r="B1863" s="1212"/>
      <c r="C1863" s="1752" t="s">
        <v>111</v>
      </c>
      <c r="D1863" s="1212" t="s">
        <v>35</v>
      </c>
      <c r="E1863" s="1213">
        <v>1.05</v>
      </c>
      <c r="F1863" s="1213">
        <f>'lead 21-22'!$L$12</f>
        <v>1743.4000000000019</v>
      </c>
      <c r="G1863" s="1214">
        <f>ROUND(E1863*F1863,2)</f>
        <v>1830.57</v>
      </c>
      <c r="H1863" s="1205" t="s">
        <v>2321</v>
      </c>
    </row>
    <row r="1864" spans="1:8" hidden="1">
      <c r="A1864" s="1212"/>
      <c r="B1864" s="1212"/>
      <c r="C1864" s="1752" t="s">
        <v>45</v>
      </c>
      <c r="D1864" s="1212" t="s">
        <v>27</v>
      </c>
      <c r="E1864" s="1213">
        <v>0.2</v>
      </c>
      <c r="F1864" s="1213">
        <f>'MINI SSR 21-22'!H$5</f>
        <v>490</v>
      </c>
      <c r="G1864" s="1214">
        <f>ROUND(E1864*F1864,2)</f>
        <v>98</v>
      </c>
      <c r="H1864" s="1205" t="s">
        <v>2321</v>
      </c>
    </row>
    <row r="1865" spans="1:8" hidden="1">
      <c r="A1865" s="1212"/>
      <c r="B1865" s="1212"/>
      <c r="C1865" s="1752"/>
      <c r="D1865" s="1212"/>
      <c r="E1865" s="1212"/>
      <c r="F1865" s="1212"/>
      <c r="G1865" s="1215">
        <f>SUM(G1862:G1864)</f>
        <v>2774.5699999999997</v>
      </c>
      <c r="H1865" s="1205" t="s">
        <v>2321</v>
      </c>
    </row>
    <row r="1866" spans="1:8" ht="25.5" hidden="1">
      <c r="A1866" s="1212"/>
      <c r="B1866" s="1212"/>
      <c r="C1866" s="1752" t="s">
        <v>827</v>
      </c>
      <c r="D1866" s="1212"/>
      <c r="E1866" s="1212"/>
      <c r="F1866" s="1212"/>
      <c r="G1866" s="1212"/>
      <c r="H1866" s="1205" t="s">
        <v>2321</v>
      </c>
    </row>
    <row r="1867" spans="1:8" hidden="1">
      <c r="A1867" s="1212"/>
      <c r="B1867" s="1212"/>
      <c r="C1867" s="1752" t="s">
        <v>822</v>
      </c>
      <c r="D1867" s="1216">
        <v>0.6</v>
      </c>
      <c r="E1867" s="1216">
        <f>'lead 21-22'!L17</f>
        <v>2046.3499999999997</v>
      </c>
      <c r="F1867" s="1216">
        <f>ROUND(D1867*E1867,2)</f>
        <v>1227.81</v>
      </c>
      <c r="G1867" s="1212"/>
      <c r="H1867" s="1205" t="s">
        <v>2321</v>
      </c>
    </row>
    <row r="1868" spans="1:8" hidden="1">
      <c r="A1868" s="1212"/>
      <c r="B1868" s="1212"/>
      <c r="C1868" s="1752" t="s">
        <v>823</v>
      </c>
      <c r="D1868" s="1216">
        <v>0.15</v>
      </c>
      <c r="E1868" s="1216">
        <f>'lead 21-22'!L18</f>
        <v>1772.5999999999997</v>
      </c>
      <c r="F1868" s="1216">
        <f>ROUND(D1868*E1868,2)</f>
        <v>265.89</v>
      </c>
      <c r="G1868" s="1212"/>
      <c r="H1868" s="1205" t="s">
        <v>2321</v>
      </c>
    </row>
    <row r="1869" spans="1:8" hidden="1">
      <c r="A1869" s="1212"/>
      <c r="B1869" s="1212"/>
      <c r="C1869" s="1752" t="s">
        <v>824</v>
      </c>
      <c r="D1869" s="1216">
        <v>0.15</v>
      </c>
      <c r="E1869" s="1216">
        <f>'lead 21-22'!L19</f>
        <v>1605.0999999999997</v>
      </c>
      <c r="F1869" s="1216">
        <f>ROUND(D1869*E1869,2)</f>
        <v>240.77</v>
      </c>
      <c r="G1869" s="1212"/>
      <c r="H1869" s="1205" t="s">
        <v>2321</v>
      </c>
    </row>
    <row r="1870" spans="1:8" hidden="1">
      <c r="A1870" s="1212"/>
      <c r="B1870" s="1212"/>
      <c r="C1870" s="1752" t="s">
        <v>825</v>
      </c>
      <c r="D1870" s="1216">
        <v>0.1</v>
      </c>
      <c r="E1870" s="1216">
        <f>'lead 21-22'!L20</f>
        <v>1417.5999999999997</v>
      </c>
      <c r="F1870" s="1216">
        <f>ROUND(D1870*E1870,2)</f>
        <v>141.76</v>
      </c>
      <c r="G1870" s="1212"/>
      <c r="H1870" s="1205" t="s">
        <v>2321</v>
      </c>
    </row>
    <row r="1871" spans="1:8" hidden="1">
      <c r="A1871" s="1212"/>
      <c r="B1871" s="1212"/>
      <c r="C1871" s="1754" t="s">
        <v>826</v>
      </c>
      <c r="D1871" s="1212"/>
      <c r="E1871" s="1212"/>
      <c r="F1871" s="1217">
        <f>SUM(F1867:F1870)</f>
        <v>1876.2299999999998</v>
      </c>
      <c r="G1871" s="1212"/>
      <c r="H1871" s="1205" t="s">
        <v>2321</v>
      </c>
    </row>
    <row r="1872" spans="1:8" hidden="1">
      <c r="A1872" s="1212"/>
      <c r="B1872" s="1212"/>
      <c r="C1872" s="1752"/>
      <c r="D1872" s="1212"/>
      <c r="E1872" s="1212"/>
      <c r="F1872" s="1212"/>
      <c r="G1872" s="1212"/>
      <c r="H1872" s="1205" t="s">
        <v>2321</v>
      </c>
    </row>
    <row r="1873" spans="1:8" ht="25.5" hidden="1">
      <c r="A1873" s="1156">
        <v>6</v>
      </c>
      <c r="B1873" s="1218"/>
      <c r="C1873" s="1752" t="s">
        <v>294</v>
      </c>
      <c r="D1873" s="1212"/>
      <c r="E1873" s="1212"/>
      <c r="F1873" s="1212"/>
      <c r="G1873" s="1169"/>
      <c r="H1873" s="1205" t="s">
        <v>2321</v>
      </c>
    </row>
    <row r="1874" spans="1:8" hidden="1">
      <c r="A1874" s="1156"/>
      <c r="B1874" s="1218"/>
      <c r="C1874" s="1752" t="s">
        <v>31</v>
      </c>
      <c r="D1874" s="1212"/>
      <c r="E1874" s="1212"/>
      <c r="F1874" s="1212"/>
      <c r="G1874" s="1169"/>
      <c r="H1874" s="1205" t="s">
        <v>2321</v>
      </c>
    </row>
    <row r="1875" spans="1:8" hidden="1">
      <c r="A1875" s="1156"/>
      <c r="B1875" s="1212"/>
      <c r="C1875" s="1752" t="s">
        <v>1324</v>
      </c>
      <c r="D1875" s="1212"/>
      <c r="E1875" s="1212"/>
      <c r="F1875" s="1212"/>
      <c r="G1875" s="1169"/>
      <c r="H1875" s="1205" t="s">
        <v>2321</v>
      </c>
    </row>
    <row r="1876" spans="1:8" hidden="1">
      <c r="A1876" s="1156"/>
      <c r="B1876" s="1219"/>
      <c r="C1876" s="1752" t="s">
        <v>122</v>
      </c>
      <c r="D1876" s="1212"/>
      <c r="E1876" s="1212"/>
      <c r="F1876" s="1212"/>
      <c r="G1876" s="1214">
        <f>'MINI SSR 21-22'!H25</f>
        <v>6.06</v>
      </c>
      <c r="H1876" s="1205" t="s">
        <v>2321</v>
      </c>
    </row>
    <row r="1877" spans="1:8" hidden="1">
      <c r="A1877" s="1169"/>
      <c r="B1877" s="1169"/>
      <c r="C1877" s="1754" t="s">
        <v>119</v>
      </c>
      <c r="D1877" s="1156"/>
      <c r="E1877" s="1156"/>
      <c r="F1877" s="1156"/>
      <c r="G1877" s="1220">
        <f>SUM(G1876)</f>
        <v>6.06</v>
      </c>
      <c r="H1877" s="1205" t="s">
        <v>2321</v>
      </c>
    </row>
    <row r="1878" spans="1:8" ht="63.75" hidden="1">
      <c r="A1878" s="1156">
        <v>16</v>
      </c>
      <c r="B1878" s="1218"/>
      <c r="C1878" s="1752" t="s">
        <v>1278</v>
      </c>
      <c r="D1878" s="1212"/>
      <c r="E1878" s="1212"/>
      <c r="F1878" s="1212"/>
      <c r="G1878" s="1169"/>
      <c r="H1878" s="1205" t="s">
        <v>2321</v>
      </c>
    </row>
    <row r="1879" spans="1:8" hidden="1">
      <c r="A1879" s="1156"/>
      <c r="B1879" s="1218"/>
      <c r="C1879" s="1752" t="s">
        <v>31</v>
      </c>
      <c r="D1879" s="1212"/>
      <c r="E1879" s="1212"/>
      <c r="F1879" s="1212"/>
      <c r="G1879" s="1169"/>
      <c r="H1879" s="1205" t="s">
        <v>2321</v>
      </c>
    </row>
    <row r="1880" spans="1:8" hidden="1">
      <c r="A1880" s="1156"/>
      <c r="B1880" s="1212"/>
      <c r="C1880" s="1752" t="s">
        <v>1324</v>
      </c>
      <c r="D1880" s="1212"/>
      <c r="E1880" s="1212"/>
      <c r="F1880" s="1212"/>
      <c r="G1880" s="1169"/>
      <c r="H1880" s="1205" t="s">
        <v>2321</v>
      </c>
    </row>
    <row r="1881" spans="1:8" hidden="1">
      <c r="A1881" s="1156"/>
      <c r="B1881" s="1219"/>
      <c r="C1881" s="1752" t="s">
        <v>122</v>
      </c>
      <c r="D1881" s="1212"/>
      <c r="E1881" s="1212"/>
      <c r="F1881" s="1212"/>
      <c r="G1881" s="1214">
        <f>'MINI SSR 21-22'!H26</f>
        <v>144.26</v>
      </c>
      <c r="H1881" s="1205" t="s">
        <v>2321</v>
      </c>
    </row>
    <row r="1882" spans="1:8" hidden="1">
      <c r="A1882" s="1169"/>
      <c r="B1882" s="1169"/>
      <c r="C1882" s="1754" t="s">
        <v>119</v>
      </c>
      <c r="D1882" s="1156"/>
      <c r="E1882" s="1156"/>
      <c r="F1882" s="1156"/>
      <c r="G1882" s="1220">
        <f>SUM(G1881)</f>
        <v>144.26</v>
      </c>
      <c r="H1882" s="1205" t="s">
        <v>2321</v>
      </c>
    </row>
    <row r="1883" spans="1:8" ht="89.25" hidden="1">
      <c r="A1883" s="1156">
        <v>8</v>
      </c>
      <c r="B1883" s="1218" t="s">
        <v>1327</v>
      </c>
      <c r="C1883" s="1752" t="s">
        <v>55</v>
      </c>
      <c r="D1883" s="1212"/>
      <c r="E1883" s="1212"/>
      <c r="F1883" s="1212"/>
      <c r="G1883" s="1218"/>
      <c r="H1883" s="1205" t="s">
        <v>2321</v>
      </c>
    </row>
    <row r="1884" spans="1:8" hidden="1">
      <c r="A1884" s="1156"/>
      <c r="B1884" s="1212"/>
      <c r="C1884" s="1754" t="s">
        <v>31</v>
      </c>
      <c r="D1884" s="1212"/>
      <c r="E1884" s="1212"/>
      <c r="F1884" s="1212"/>
      <c r="G1884" s="1169"/>
      <c r="H1884" s="1205" t="s">
        <v>2321</v>
      </c>
    </row>
    <row r="1885" spans="1:8" hidden="1">
      <c r="A1885" s="1156"/>
      <c r="B1885" s="1212"/>
      <c r="C1885" s="1754" t="s">
        <v>2423</v>
      </c>
      <c r="D1885" s="1212"/>
      <c r="E1885" s="1212"/>
      <c r="F1885" s="1212"/>
      <c r="G1885" s="1169"/>
      <c r="H1885" s="1205" t="s">
        <v>2321</v>
      </c>
    </row>
    <row r="1886" spans="1:8" hidden="1">
      <c r="A1886" s="1156"/>
      <c r="B1886" s="1219" t="s">
        <v>18</v>
      </c>
      <c r="C1886" s="1754" t="s">
        <v>26</v>
      </c>
      <c r="D1886" s="1212"/>
      <c r="E1886" s="1212"/>
      <c r="F1886" s="1212"/>
      <c r="G1886" s="1169"/>
      <c r="H1886" s="1205" t="s">
        <v>2321</v>
      </c>
    </row>
    <row r="1887" spans="1:8" hidden="1">
      <c r="A1887" s="1169"/>
      <c r="B1887" s="1169"/>
      <c r="C1887" s="1752" t="s">
        <v>118</v>
      </c>
      <c r="D1887" s="1156" t="s">
        <v>27</v>
      </c>
      <c r="E1887" s="1221">
        <v>0.31</v>
      </c>
      <c r="F1887" s="1213">
        <f>'MINI SSR 21-22'!H$5</f>
        <v>490</v>
      </c>
      <c r="G1887" s="1214">
        <f>ROUND(E1887*F1887,2)</f>
        <v>151.9</v>
      </c>
      <c r="H1887" s="1205" t="s">
        <v>2321</v>
      </c>
    </row>
    <row r="1888" spans="1:8" hidden="1">
      <c r="A1888" s="1169"/>
      <c r="B1888" s="1219" t="s">
        <v>20</v>
      </c>
      <c r="C1888" s="1754" t="s">
        <v>22</v>
      </c>
      <c r="D1888" s="1156"/>
      <c r="E1888" s="1156"/>
      <c r="F1888" s="1156"/>
      <c r="G1888" s="1169"/>
      <c r="H1888" s="1205" t="s">
        <v>2321</v>
      </c>
    </row>
    <row r="1889" spans="1:8" hidden="1">
      <c r="A1889" s="1169"/>
      <c r="B1889" s="1169"/>
      <c r="C1889" s="1752" t="s">
        <v>32</v>
      </c>
      <c r="D1889" s="1156" t="s">
        <v>5</v>
      </c>
      <c r="E1889" s="1221">
        <v>6</v>
      </c>
      <c r="F1889" s="1221">
        <f>'lead 21-22'!L14</f>
        <v>1503.4000000000019</v>
      </c>
      <c r="G1889" s="1214">
        <f>ROUND(E1889*F1889,2)</f>
        <v>9020.4</v>
      </c>
      <c r="H1889" s="1205" t="s">
        <v>2321</v>
      </c>
    </row>
    <row r="1890" spans="1:8" hidden="1">
      <c r="A1890" s="1169"/>
      <c r="B1890" s="1169"/>
      <c r="C1890" s="1754" t="s">
        <v>2424</v>
      </c>
      <c r="D1890" s="1156"/>
      <c r="E1890" s="1221"/>
      <c r="F1890" s="1221"/>
      <c r="G1890" s="1214">
        <f>SUM(G1887:G1889)</f>
        <v>9172.2999999999993</v>
      </c>
      <c r="H1890" s="1205" t="s">
        <v>2321</v>
      </c>
    </row>
    <row r="1891" spans="1:8" hidden="1">
      <c r="A1891" s="1169"/>
      <c r="B1891" s="1169"/>
      <c r="C1891" s="1754" t="s">
        <v>28</v>
      </c>
      <c r="D1891" s="1156"/>
      <c r="E1891" s="1156"/>
      <c r="F1891" s="1156"/>
      <c r="G1891" s="1220">
        <f>ROUND(G1890/6,2)</f>
        <v>1528.72</v>
      </c>
      <c r="H1891" s="1205" t="s">
        <v>2321</v>
      </c>
    </row>
    <row r="1892" spans="1:8" ht="102" hidden="1">
      <c r="A1892" s="1156">
        <v>21</v>
      </c>
      <c r="B1892" s="1218" t="s">
        <v>1326</v>
      </c>
      <c r="C1892" s="1752" t="s">
        <v>1190</v>
      </c>
      <c r="D1892" s="1212"/>
      <c r="E1892" s="1212"/>
      <c r="F1892" s="1212"/>
      <c r="G1892" s="1218"/>
      <c r="H1892" s="1205" t="s">
        <v>2321</v>
      </c>
    </row>
    <row r="1893" spans="1:8" hidden="1">
      <c r="A1893" s="1156"/>
      <c r="B1893" s="1212"/>
      <c r="C1893" s="1754" t="s">
        <v>2425</v>
      </c>
      <c r="D1893" s="1212"/>
      <c r="E1893" s="1212"/>
      <c r="F1893" s="1212"/>
      <c r="G1893" s="1169"/>
      <c r="H1893" s="1205" t="s">
        <v>2321</v>
      </c>
    </row>
    <row r="1894" spans="1:8" hidden="1">
      <c r="A1894" s="1156"/>
      <c r="B1894" s="1219" t="s">
        <v>18</v>
      </c>
      <c r="C1894" s="1754" t="s">
        <v>26</v>
      </c>
      <c r="D1894" s="1212"/>
      <c r="E1894" s="1212"/>
      <c r="F1894" s="1212"/>
      <c r="G1894" s="1169"/>
      <c r="H1894" s="1205" t="s">
        <v>2321</v>
      </c>
    </row>
    <row r="1895" spans="1:8" hidden="1">
      <c r="A1895" s="1169"/>
      <c r="B1895" s="1169"/>
      <c r="C1895" s="1752" t="s">
        <v>118</v>
      </c>
      <c r="D1895" s="1156" t="s">
        <v>27</v>
      </c>
      <c r="E1895" s="1221">
        <v>0.31</v>
      </c>
      <c r="F1895" s="1213">
        <f>'MINI SSR 21-22'!H$5</f>
        <v>490</v>
      </c>
      <c r="G1895" s="1214">
        <f>ROUND(E1895*F1895,2)</f>
        <v>151.9</v>
      </c>
      <c r="H1895" s="1205" t="s">
        <v>2321</v>
      </c>
    </row>
    <row r="1896" spans="1:8" hidden="1">
      <c r="A1896" s="1169"/>
      <c r="B1896" s="1219" t="s">
        <v>20</v>
      </c>
      <c r="C1896" s="1754" t="s">
        <v>22</v>
      </c>
      <c r="D1896" s="1156"/>
      <c r="E1896" s="1156"/>
      <c r="F1896" s="1156"/>
      <c r="G1896" s="1169"/>
      <c r="H1896" s="1205" t="s">
        <v>2321</v>
      </c>
    </row>
    <row r="1897" spans="1:8" hidden="1">
      <c r="A1897" s="1169"/>
      <c r="B1897" s="1169"/>
      <c r="C1897" s="1752" t="s">
        <v>860</v>
      </c>
      <c r="D1897" s="1156" t="s">
        <v>5</v>
      </c>
      <c r="E1897" s="1221">
        <v>6</v>
      </c>
      <c r="F1897" s="1221">
        <f>'lead 21-22'!L24</f>
        <v>174.65</v>
      </c>
      <c r="G1897" s="1214">
        <f>ROUND(E1897*F1897,2)</f>
        <v>1047.9000000000001</v>
      </c>
      <c r="H1897" s="1205" t="s">
        <v>2321</v>
      </c>
    </row>
    <row r="1898" spans="1:8" hidden="1">
      <c r="A1898" s="1169"/>
      <c r="B1898" s="1169"/>
      <c r="C1898" s="1754" t="s">
        <v>2424</v>
      </c>
      <c r="D1898" s="1156"/>
      <c r="E1898" s="1221"/>
      <c r="F1898" s="1221"/>
      <c r="G1898" s="1214">
        <f>SUM(G1895:G1897)</f>
        <v>1199.8000000000002</v>
      </c>
      <c r="H1898" s="1205" t="s">
        <v>2321</v>
      </c>
    </row>
    <row r="1899" spans="1:8" hidden="1">
      <c r="A1899" s="1169"/>
      <c r="B1899" s="1169"/>
      <c r="C1899" s="1754" t="s">
        <v>28</v>
      </c>
      <c r="D1899" s="1156"/>
      <c r="E1899" s="1156"/>
      <c r="F1899" s="1156"/>
      <c r="G1899" s="1220">
        <f>ROUND(G1898/6,2)</f>
        <v>199.97</v>
      </c>
      <c r="H1899" s="1205" t="s">
        <v>2321</v>
      </c>
    </row>
    <row r="1900" spans="1:8" ht="89.25" hidden="1">
      <c r="A1900" s="1156">
        <v>10</v>
      </c>
      <c r="B1900" s="1218" t="s">
        <v>1326</v>
      </c>
      <c r="C1900" s="1752" t="s">
        <v>662</v>
      </c>
      <c r="D1900" s="1212"/>
      <c r="E1900" s="1212"/>
      <c r="F1900" s="1212"/>
      <c r="G1900" s="1218"/>
      <c r="H1900" s="1205" t="s">
        <v>2321</v>
      </c>
    </row>
    <row r="1901" spans="1:8" hidden="1">
      <c r="A1901" s="1156"/>
      <c r="B1901" s="1212"/>
      <c r="C1901" s="1754" t="s">
        <v>2425</v>
      </c>
      <c r="D1901" s="1212"/>
      <c r="E1901" s="1212"/>
      <c r="F1901" s="1212"/>
      <c r="G1901" s="1169"/>
      <c r="H1901" s="1205" t="s">
        <v>2321</v>
      </c>
    </row>
    <row r="1902" spans="1:8" hidden="1">
      <c r="A1902" s="1156"/>
      <c r="B1902" s="1219" t="s">
        <v>18</v>
      </c>
      <c r="C1902" s="1754" t="s">
        <v>26</v>
      </c>
      <c r="D1902" s="1212"/>
      <c r="E1902" s="1212"/>
      <c r="F1902" s="1212"/>
      <c r="G1902" s="1169"/>
      <c r="H1902" s="1205" t="s">
        <v>2321</v>
      </c>
    </row>
    <row r="1903" spans="1:8" hidden="1">
      <c r="A1903" s="1169"/>
      <c r="B1903" s="1169"/>
      <c r="C1903" s="1752" t="s">
        <v>118</v>
      </c>
      <c r="D1903" s="1156" t="s">
        <v>27</v>
      </c>
      <c r="E1903" s="1221">
        <v>0.31</v>
      </c>
      <c r="F1903" s="1213">
        <f>'MINI SSR 21-22'!H$5</f>
        <v>490</v>
      </c>
      <c r="G1903" s="1214">
        <f>ROUND(E1903*F1903,2)</f>
        <v>151.9</v>
      </c>
      <c r="H1903" s="1205" t="s">
        <v>2321</v>
      </c>
    </row>
    <row r="1904" spans="1:8" hidden="1">
      <c r="A1904" s="1169"/>
      <c r="B1904" s="1219" t="s">
        <v>20</v>
      </c>
      <c r="C1904" s="1754" t="s">
        <v>22</v>
      </c>
      <c r="D1904" s="1156"/>
      <c r="E1904" s="1156"/>
      <c r="F1904" s="1156"/>
      <c r="G1904" s="1169"/>
      <c r="H1904" s="1205" t="s">
        <v>2321</v>
      </c>
    </row>
    <row r="1905" spans="1:8" hidden="1">
      <c r="A1905" s="1169"/>
      <c r="B1905" s="1169"/>
      <c r="C1905" s="1752" t="s">
        <v>663</v>
      </c>
      <c r="D1905" s="1156" t="s">
        <v>5</v>
      </c>
      <c r="E1905" s="1221">
        <v>6</v>
      </c>
      <c r="F1905" s="1221">
        <f>'lead 21-22'!L25</f>
        <v>241.4</v>
      </c>
      <c r="G1905" s="1214">
        <f>ROUND(E1905*F1905,2)</f>
        <v>1448.4</v>
      </c>
      <c r="H1905" s="1205" t="s">
        <v>2321</v>
      </c>
    </row>
    <row r="1906" spans="1:8" hidden="1">
      <c r="A1906" s="1169"/>
      <c r="B1906" s="1169"/>
      <c r="C1906" s="1754" t="s">
        <v>2424</v>
      </c>
      <c r="D1906" s="1156"/>
      <c r="E1906" s="1221"/>
      <c r="F1906" s="1221"/>
      <c r="G1906" s="1214">
        <f>SUM(G1903:G1905)</f>
        <v>1600.3000000000002</v>
      </c>
      <c r="H1906" s="1205" t="s">
        <v>2321</v>
      </c>
    </row>
    <row r="1907" spans="1:8" hidden="1">
      <c r="A1907" s="1169"/>
      <c r="B1907" s="1169"/>
      <c r="C1907" s="1754" t="s">
        <v>28</v>
      </c>
      <c r="D1907" s="1156"/>
      <c r="E1907" s="1156"/>
      <c r="F1907" s="1156"/>
      <c r="G1907" s="1220">
        <f>ROUND(G1906/6,2)</f>
        <v>266.72000000000003</v>
      </c>
      <c r="H1907" s="1205" t="s">
        <v>2321</v>
      </c>
    </row>
    <row r="1908" spans="1:8" ht="63.75" hidden="1">
      <c r="A1908" s="1156">
        <v>11</v>
      </c>
      <c r="B1908" s="1218" t="s">
        <v>1325</v>
      </c>
      <c r="C1908" s="1752" t="s">
        <v>282</v>
      </c>
      <c r="D1908" s="1212"/>
      <c r="E1908" s="1212"/>
      <c r="F1908" s="1212"/>
      <c r="G1908" s="1218"/>
      <c r="H1908" s="1205" t="s">
        <v>2321</v>
      </c>
    </row>
    <row r="1909" spans="1:8" hidden="1">
      <c r="A1909" s="1212"/>
      <c r="B1909" s="1212"/>
      <c r="C1909" s="1752" t="s">
        <v>312</v>
      </c>
      <c r="D1909" s="1212"/>
      <c r="E1909" s="1213"/>
      <c r="F1909" s="1213"/>
      <c r="G1909" s="1214"/>
      <c r="H1909" s="1205" t="s">
        <v>2321</v>
      </c>
    </row>
    <row r="1910" spans="1:8" hidden="1">
      <c r="A1910" s="1212"/>
      <c r="B1910" s="1212"/>
      <c r="C1910" s="1752" t="s">
        <v>311</v>
      </c>
      <c r="D1910" s="1212" t="s">
        <v>27</v>
      </c>
      <c r="E1910" s="1213">
        <v>3.12</v>
      </c>
      <c r="F1910" s="1213">
        <f>'MINI SSR 21-22'!H$5</f>
        <v>490</v>
      </c>
      <c r="G1910" s="1214">
        <f>ROUND(E1910*F1910,2)</f>
        <v>1528.8</v>
      </c>
      <c r="H1910" s="1205" t="s">
        <v>2321</v>
      </c>
    </row>
    <row r="1911" spans="1:8" hidden="1">
      <c r="A1911" s="1212"/>
      <c r="B1911" s="1212"/>
      <c r="C1911" s="1752" t="s">
        <v>57</v>
      </c>
      <c r="D1911" s="1212" t="s">
        <v>59</v>
      </c>
      <c r="E1911" s="1213">
        <v>0.72</v>
      </c>
      <c r="F1911" s="1221">
        <f>'MINI SSR 21-22'!$C$29</f>
        <v>88</v>
      </c>
      <c r="G1911" s="1214">
        <f>ROUND(E1911*F1911,2)</f>
        <v>63.36</v>
      </c>
      <c r="H1911" s="1205" t="s">
        <v>2321</v>
      </c>
    </row>
    <row r="1912" spans="1:8" hidden="1">
      <c r="A1912" s="1212"/>
      <c r="B1912" s="1212"/>
      <c r="C1912" s="1752" t="s">
        <v>313</v>
      </c>
      <c r="D1912" s="1212"/>
      <c r="E1912" s="1213"/>
      <c r="F1912" s="1213"/>
      <c r="G1912" s="1214">
        <f>SUM(G1910:G1911)</f>
        <v>1592.1599999999999</v>
      </c>
      <c r="H1912" s="1205" t="s">
        <v>2321</v>
      </c>
    </row>
    <row r="1913" spans="1:8" hidden="1">
      <c r="A1913" s="1212"/>
      <c r="B1913" s="1212"/>
      <c r="C1913" s="1752" t="s">
        <v>313</v>
      </c>
      <c r="D1913" s="1212"/>
      <c r="E1913" s="1212"/>
      <c r="F1913" s="1212"/>
      <c r="G1913" s="1222">
        <f>ROUND(G1912/6,2)</f>
        <v>265.36</v>
      </c>
      <c r="H1913" s="1205" t="s">
        <v>2321</v>
      </c>
    </row>
    <row r="1914" spans="1:8" ht="89.25" hidden="1">
      <c r="A1914" s="1156">
        <v>22</v>
      </c>
      <c r="B1914" s="1218" t="s">
        <v>158</v>
      </c>
      <c r="C1914" s="1752" t="s">
        <v>159</v>
      </c>
      <c r="D1914" s="1212"/>
      <c r="E1914" s="1212"/>
      <c r="F1914" s="1212"/>
      <c r="G1914" s="1218"/>
      <c r="H1914" s="1205" t="s">
        <v>2321</v>
      </c>
    </row>
    <row r="1915" spans="1:8" hidden="1">
      <c r="A1915" s="1156"/>
      <c r="B1915" s="1218"/>
      <c r="C1915" s="1754" t="s">
        <v>60</v>
      </c>
      <c r="D1915" s="1212"/>
      <c r="E1915" s="1212"/>
      <c r="F1915" s="1212"/>
      <c r="G1915" s="1215"/>
      <c r="H1915" s="1205" t="s">
        <v>2321</v>
      </c>
    </row>
    <row r="1916" spans="1:8" hidden="1">
      <c r="A1916" s="1212"/>
      <c r="B1916" s="1212"/>
      <c r="C1916" s="1752" t="s">
        <v>44</v>
      </c>
      <c r="D1916" s="1212" t="s">
        <v>4</v>
      </c>
      <c r="E1916" s="1213">
        <v>162</v>
      </c>
      <c r="F1916" s="1213">
        <f>'lead 21-22'!L8</f>
        <v>4700</v>
      </c>
      <c r="G1916" s="1214">
        <f>ROUND(E1916*F1916/1000,2)</f>
        <v>761.4</v>
      </c>
      <c r="H1916" s="1205" t="s">
        <v>2321</v>
      </c>
    </row>
    <row r="1917" spans="1:8" hidden="1">
      <c r="A1917" s="1212"/>
      <c r="B1917" s="1212"/>
      <c r="C1917" s="1752" t="s">
        <v>56</v>
      </c>
      <c r="D1917" s="1212" t="s">
        <v>35</v>
      </c>
      <c r="E1917" s="1213">
        <v>0.9</v>
      </c>
      <c r="F1917" s="1213">
        <f>'lead 21-22'!L16</f>
        <v>1508.8499999999997</v>
      </c>
      <c r="G1917" s="1214">
        <f>ROUND(E1917*F1917,2)</f>
        <v>1357.97</v>
      </c>
      <c r="H1917" s="1205" t="s">
        <v>2321</v>
      </c>
    </row>
    <row r="1918" spans="1:8" hidden="1">
      <c r="A1918" s="1212"/>
      <c r="B1918" s="1212"/>
      <c r="C1918" s="1752" t="s">
        <v>112</v>
      </c>
      <c r="D1918" s="1212" t="s">
        <v>35</v>
      </c>
      <c r="E1918" s="1213">
        <v>0.45</v>
      </c>
      <c r="F1918" s="1213">
        <f>'lead 21-22'!L13</f>
        <v>1648.4000000000019</v>
      </c>
      <c r="G1918" s="1214">
        <f>ROUND(E1918*F1918,2)</f>
        <v>741.78</v>
      </c>
      <c r="H1918" s="1205" t="s">
        <v>2321</v>
      </c>
    </row>
    <row r="1919" spans="1:8" hidden="1">
      <c r="A1919" s="1212"/>
      <c r="B1919" s="1212"/>
      <c r="C1919" s="1752" t="s">
        <v>57</v>
      </c>
      <c r="D1919" s="1212" t="s">
        <v>58</v>
      </c>
      <c r="E1919" s="1213">
        <v>1.2</v>
      </c>
      <c r="F1919" s="1221">
        <f>'MINI SSR 21-22'!$C$29</f>
        <v>88</v>
      </c>
      <c r="G1919" s="1214">
        <f>ROUND(E1919*F1919,2)</f>
        <v>105.6</v>
      </c>
      <c r="H1919" s="1205" t="s">
        <v>2321</v>
      </c>
    </row>
    <row r="1920" spans="1:8" hidden="1">
      <c r="A1920" s="1212"/>
      <c r="B1920" s="1212"/>
      <c r="C1920" s="1754" t="s">
        <v>61</v>
      </c>
      <c r="D1920" s="1212"/>
      <c r="E1920" s="1213"/>
      <c r="F1920" s="1213"/>
      <c r="G1920" s="1214"/>
      <c r="H1920" s="1205" t="s">
        <v>2321</v>
      </c>
    </row>
    <row r="1921" spans="1:8" hidden="1">
      <c r="A1921" s="1212"/>
      <c r="B1921" s="1212"/>
      <c r="C1921" s="1752" t="s">
        <v>62</v>
      </c>
      <c r="D1921" s="1212" t="s">
        <v>21</v>
      </c>
      <c r="E1921" s="1213">
        <v>1</v>
      </c>
      <c r="F1921" s="1213">
        <f>'MINI SSR 21-22'!$C$30</f>
        <v>626.20000000000005</v>
      </c>
      <c r="G1921" s="1214">
        <f>ROUND(E1921*F1921,2)</f>
        <v>626.20000000000005</v>
      </c>
      <c r="H1921" s="1205" t="s">
        <v>2321</v>
      </c>
    </row>
    <row r="1922" spans="1:8" hidden="1">
      <c r="A1922" s="1212"/>
      <c r="B1922" s="1212"/>
      <c r="C1922" s="1754" t="s">
        <v>63</v>
      </c>
      <c r="D1922" s="1212"/>
      <c r="E1922" s="1213"/>
      <c r="F1922" s="1213"/>
      <c r="G1922" s="1214"/>
      <c r="H1922" s="1205" t="s">
        <v>2321</v>
      </c>
    </row>
    <row r="1923" spans="1:8" hidden="1">
      <c r="A1923" s="1212"/>
      <c r="B1923" s="1212"/>
      <c r="C1923" s="1752" t="s">
        <v>64</v>
      </c>
      <c r="D1923" s="1212" t="s">
        <v>27</v>
      </c>
      <c r="E1923" s="1213">
        <v>0.1</v>
      </c>
      <c r="F1923" s="1213">
        <f>'MINI SSR 21-22'!$H$3</f>
        <v>585</v>
      </c>
      <c r="G1923" s="1214">
        <f>ROUND(E1923*F1923,2)</f>
        <v>58.5</v>
      </c>
      <c r="H1923" s="1205" t="s">
        <v>2321</v>
      </c>
    </row>
    <row r="1924" spans="1:8" hidden="1">
      <c r="A1924" s="1212"/>
      <c r="B1924" s="1212"/>
      <c r="C1924" s="1752" t="s">
        <v>19</v>
      </c>
      <c r="D1924" s="1212" t="s">
        <v>27</v>
      </c>
      <c r="E1924" s="1213">
        <v>1.39</v>
      </c>
      <c r="F1924" s="1213">
        <f>'MINI SSR 21-22'!H$5</f>
        <v>490</v>
      </c>
      <c r="G1924" s="1214">
        <f>ROUND(E1924*F1924,2)</f>
        <v>681.1</v>
      </c>
      <c r="H1924" s="1205" t="s">
        <v>2321</v>
      </c>
    </row>
    <row r="1925" spans="1:8" hidden="1">
      <c r="A1925" s="1212"/>
      <c r="B1925" s="1212"/>
      <c r="C1925" s="1752"/>
      <c r="D1925" s="1212"/>
      <c r="E1925" s="1212"/>
      <c r="F1925" s="1212"/>
      <c r="G1925" s="1222">
        <f>SUM(G1916:G1924)</f>
        <v>4332.55</v>
      </c>
      <c r="H1925" s="1205" t="s">
        <v>2321</v>
      </c>
    </row>
    <row r="1926" spans="1:8" ht="89.25" hidden="1">
      <c r="A1926" s="1156">
        <v>13</v>
      </c>
      <c r="B1926" s="1218" t="s">
        <v>65</v>
      </c>
      <c r="C1926" s="1752" t="s">
        <v>67</v>
      </c>
      <c r="D1926" s="1212"/>
      <c r="E1926" s="1212"/>
      <c r="F1926" s="1212"/>
      <c r="G1926" s="1218"/>
      <c r="H1926" s="1205" t="s">
        <v>2321</v>
      </c>
    </row>
    <row r="1927" spans="1:8" hidden="1">
      <c r="A1927" s="1156"/>
      <c r="B1927" s="1218"/>
      <c r="C1927" s="1754" t="s">
        <v>60</v>
      </c>
      <c r="D1927" s="1212"/>
      <c r="E1927" s="1212"/>
      <c r="F1927" s="1212"/>
      <c r="G1927" s="1215"/>
      <c r="H1927" s="1205" t="s">
        <v>2321</v>
      </c>
    </row>
    <row r="1928" spans="1:8" hidden="1">
      <c r="A1928" s="1212"/>
      <c r="B1928" s="1212"/>
      <c r="C1928" s="1752" t="s">
        <v>44</v>
      </c>
      <c r="D1928" s="1212" t="s">
        <v>4</v>
      </c>
      <c r="E1928" s="1213">
        <v>129.6</v>
      </c>
      <c r="F1928" s="1213">
        <f>F1916</f>
        <v>4700</v>
      </c>
      <c r="G1928" s="1214">
        <f>ROUND(E1928*F1928/1000,2)</f>
        <v>609.12</v>
      </c>
      <c r="H1928" s="1205" t="s">
        <v>2321</v>
      </c>
    </row>
    <row r="1929" spans="1:8" hidden="1">
      <c r="A1929" s="1212"/>
      <c r="B1929" s="1212"/>
      <c r="C1929" s="1752" t="s">
        <v>56</v>
      </c>
      <c r="D1929" s="1212" t="s">
        <v>35</v>
      </c>
      <c r="E1929" s="1213">
        <v>0.9</v>
      </c>
      <c r="F1929" s="1213">
        <f>F1917</f>
        <v>1508.8499999999997</v>
      </c>
      <c r="G1929" s="1214">
        <f>ROUND(E1929*F1929,2)</f>
        <v>1357.97</v>
      </c>
      <c r="H1929" s="1205" t="s">
        <v>2321</v>
      </c>
    </row>
    <row r="1930" spans="1:8" hidden="1">
      <c r="A1930" s="1212"/>
      <c r="B1930" s="1212"/>
      <c r="C1930" s="1752" t="s">
        <v>112</v>
      </c>
      <c r="D1930" s="1212" t="s">
        <v>35</v>
      </c>
      <c r="E1930" s="1213">
        <v>0.45</v>
      </c>
      <c r="F1930" s="1213">
        <f>F1918</f>
        <v>1648.4000000000019</v>
      </c>
      <c r="G1930" s="1214">
        <f>ROUND(E1930*F1930,2)</f>
        <v>741.78</v>
      </c>
      <c r="H1930" s="1205" t="s">
        <v>2321</v>
      </c>
    </row>
    <row r="1931" spans="1:8" hidden="1">
      <c r="A1931" s="1212"/>
      <c r="B1931" s="1212"/>
      <c r="C1931" s="1752" t="s">
        <v>57</v>
      </c>
      <c r="D1931" s="1212" t="s">
        <v>58</v>
      </c>
      <c r="E1931" s="1213">
        <v>1.2</v>
      </c>
      <c r="F1931" s="1221">
        <f>'MINI SSR 21-22'!$C$29</f>
        <v>88</v>
      </c>
      <c r="G1931" s="1214">
        <f>ROUND(E1931*F1931,2)</f>
        <v>105.6</v>
      </c>
      <c r="H1931" s="1205" t="s">
        <v>2321</v>
      </c>
    </row>
    <row r="1932" spans="1:8" hidden="1">
      <c r="A1932" s="1212"/>
      <c r="B1932" s="1212"/>
      <c r="C1932" s="1754" t="s">
        <v>61</v>
      </c>
      <c r="D1932" s="1212"/>
      <c r="E1932" s="1213"/>
      <c r="F1932" s="1213"/>
      <c r="G1932" s="1214"/>
      <c r="H1932" s="1205" t="s">
        <v>2321</v>
      </c>
    </row>
    <row r="1933" spans="1:8" hidden="1">
      <c r="A1933" s="1212"/>
      <c r="B1933" s="1212"/>
      <c r="C1933" s="1752" t="s">
        <v>62</v>
      </c>
      <c r="D1933" s="1212" t="s">
        <v>21</v>
      </c>
      <c r="E1933" s="1213">
        <v>1</v>
      </c>
      <c r="F1933" s="1213">
        <f>'MINI SSR 21-22'!$C$30</f>
        <v>626.20000000000005</v>
      </c>
      <c r="G1933" s="1214">
        <f>ROUND(E1933*F1933,2)</f>
        <v>626.20000000000005</v>
      </c>
      <c r="H1933" s="1205" t="s">
        <v>2321</v>
      </c>
    </row>
    <row r="1934" spans="1:8" hidden="1">
      <c r="A1934" s="1212"/>
      <c r="B1934" s="1212"/>
      <c r="C1934" s="1754" t="s">
        <v>63</v>
      </c>
      <c r="D1934" s="1212"/>
      <c r="E1934" s="1213"/>
      <c r="F1934" s="1213"/>
      <c r="G1934" s="1214"/>
      <c r="H1934" s="1205" t="s">
        <v>2321</v>
      </c>
    </row>
    <row r="1935" spans="1:8" hidden="1">
      <c r="A1935" s="1212"/>
      <c r="B1935" s="1212"/>
      <c r="C1935" s="1752" t="s">
        <v>64</v>
      </c>
      <c r="D1935" s="1212" t="s">
        <v>27</v>
      </c>
      <c r="E1935" s="1213">
        <v>0.1</v>
      </c>
      <c r="F1935" s="1213">
        <f>'MINI SSR 21-22'!$H$3</f>
        <v>585</v>
      </c>
      <c r="G1935" s="1214">
        <f>ROUND(E1935*F1935,2)</f>
        <v>58.5</v>
      </c>
      <c r="H1935" s="1205" t="s">
        <v>2321</v>
      </c>
    </row>
    <row r="1936" spans="1:8" hidden="1">
      <c r="A1936" s="1212"/>
      <c r="B1936" s="1212"/>
      <c r="C1936" s="1752" t="s">
        <v>19</v>
      </c>
      <c r="D1936" s="1212" t="s">
        <v>27</v>
      </c>
      <c r="E1936" s="1213">
        <v>1.39</v>
      </c>
      <c r="F1936" s="1213">
        <f>'MINI SSR 21-22'!H$5</f>
        <v>490</v>
      </c>
      <c r="G1936" s="1214">
        <f>ROUND(E1936*F1936,2)</f>
        <v>681.1</v>
      </c>
      <c r="H1936" s="1205" t="s">
        <v>2321</v>
      </c>
    </row>
    <row r="1937" spans="1:8" hidden="1">
      <c r="A1937" s="1212"/>
      <c r="B1937" s="1212"/>
      <c r="C1937" s="1752"/>
      <c r="D1937" s="1212"/>
      <c r="E1937" s="1212"/>
      <c r="F1937" s="1212"/>
      <c r="G1937" s="1222">
        <f>SUM(G1928:G1936)</f>
        <v>4180.2700000000004</v>
      </c>
      <c r="H1937" s="1205" t="s">
        <v>2321</v>
      </c>
    </row>
    <row r="1938" spans="1:8" ht="178.5" hidden="1">
      <c r="A1938" s="1156">
        <v>23</v>
      </c>
      <c r="B1938" s="1218" t="s">
        <v>66</v>
      </c>
      <c r="C1938" s="1752" t="s">
        <v>225</v>
      </c>
      <c r="D1938" s="1212"/>
      <c r="E1938" s="1212"/>
      <c r="F1938" s="1212"/>
      <c r="G1938" s="1218"/>
      <c r="H1938" s="1205" t="s">
        <v>2321</v>
      </c>
    </row>
    <row r="1939" spans="1:8" hidden="1">
      <c r="A1939" s="1156"/>
      <c r="B1939" s="1218"/>
      <c r="C1939" s="1754" t="s">
        <v>81</v>
      </c>
      <c r="D1939" s="1212"/>
      <c r="E1939" s="1212"/>
      <c r="F1939" s="1212"/>
      <c r="G1939" s="1215"/>
      <c r="H1939" s="1205" t="s">
        <v>2321</v>
      </c>
    </row>
    <row r="1940" spans="1:8" hidden="1">
      <c r="A1940" s="1156"/>
      <c r="B1940" s="1218"/>
      <c r="C1940" s="1754" t="s">
        <v>60</v>
      </c>
      <c r="D1940" s="1212"/>
      <c r="E1940" s="1212"/>
      <c r="F1940" s="1212"/>
      <c r="G1940" s="1215"/>
      <c r="H1940" s="1205" t="s">
        <v>2321</v>
      </c>
    </row>
    <row r="1941" spans="1:8" hidden="1">
      <c r="A1941" s="1156"/>
      <c r="B1941" s="1218"/>
      <c r="C1941" s="1752" t="s">
        <v>154</v>
      </c>
      <c r="D1941" s="1212" t="s">
        <v>35</v>
      </c>
      <c r="E1941" s="1213">
        <v>0.8</v>
      </c>
      <c r="F1941" s="1213">
        <f>F1871</f>
        <v>1876.2299999999998</v>
      </c>
      <c r="G1941" s="1214">
        <f>ROUND(E1941*F1941,2)</f>
        <v>1500.98</v>
      </c>
      <c r="H1941" s="1205" t="s">
        <v>2321</v>
      </c>
    </row>
    <row r="1942" spans="1:8" hidden="1">
      <c r="A1942" s="1156"/>
      <c r="B1942" s="1218"/>
      <c r="C1942" s="1752" t="s">
        <v>112</v>
      </c>
      <c r="D1942" s="1212" t="s">
        <v>35</v>
      </c>
      <c r="E1942" s="1213">
        <v>0.4</v>
      </c>
      <c r="F1942" s="1213">
        <f>'lead 21-22'!L13</f>
        <v>1648.4000000000019</v>
      </c>
      <c r="G1942" s="1214">
        <f>ROUND(E1942*F1942,2)</f>
        <v>659.36</v>
      </c>
      <c r="H1942" s="1205" t="s">
        <v>2321</v>
      </c>
    </row>
    <row r="1943" spans="1:8" hidden="1">
      <c r="A1943" s="1212"/>
      <c r="B1943" s="1212"/>
      <c r="C1943" s="1752" t="s">
        <v>33</v>
      </c>
      <c r="D1943" s="1212" t="s">
        <v>4</v>
      </c>
      <c r="E1943" s="1213">
        <v>340</v>
      </c>
      <c r="F1943" s="1213">
        <f>'lead 21-22'!L8</f>
        <v>4700</v>
      </c>
      <c r="G1943" s="1214">
        <f>ROUND(E1943*F1943/1000,2)</f>
        <v>1598</v>
      </c>
      <c r="H1943" s="1205" t="s">
        <v>2321</v>
      </c>
    </row>
    <row r="1944" spans="1:8" hidden="1">
      <c r="A1944" s="1212"/>
      <c r="B1944" s="1212"/>
      <c r="C1944" s="1754" t="s">
        <v>68</v>
      </c>
      <c r="D1944" s="1212"/>
      <c r="E1944" s="1213"/>
      <c r="F1944" s="1213"/>
      <c r="G1944" s="1214"/>
      <c r="H1944" s="1205" t="s">
        <v>2321</v>
      </c>
    </row>
    <row r="1945" spans="1:8" hidden="1">
      <c r="A1945" s="1212"/>
      <c r="B1945" s="1212"/>
      <c r="C1945" s="1752" t="s">
        <v>64</v>
      </c>
      <c r="D1945" s="1212" t="s">
        <v>27</v>
      </c>
      <c r="E1945" s="1223">
        <v>0.13300000000000001</v>
      </c>
      <c r="F1945" s="1213">
        <f>'MINI SSR 21-22'!$H$3</f>
        <v>585</v>
      </c>
      <c r="G1945" s="1214">
        <f>ROUND(E1945*F1945,2)</f>
        <v>77.81</v>
      </c>
      <c r="H1945" s="1205" t="s">
        <v>2321</v>
      </c>
    </row>
    <row r="1946" spans="1:8" hidden="1">
      <c r="A1946" s="1212"/>
      <c r="B1946" s="1212"/>
      <c r="C1946" s="1752" t="s">
        <v>69</v>
      </c>
      <c r="D1946" s="1212" t="s">
        <v>27</v>
      </c>
      <c r="E1946" s="1223">
        <v>0.26700000000000002</v>
      </c>
      <c r="F1946" s="1213">
        <f>'MINI SSR 21-22'!$H$4</f>
        <v>525</v>
      </c>
      <c r="G1946" s="1214">
        <f>ROUND(E1946*F1946,2)</f>
        <v>140.18</v>
      </c>
      <c r="H1946" s="1205" t="s">
        <v>2321</v>
      </c>
    </row>
    <row r="1947" spans="1:8" hidden="1">
      <c r="A1947" s="1212"/>
      <c r="B1947" s="1212"/>
      <c r="C1947" s="1752" t="s">
        <v>70</v>
      </c>
      <c r="D1947" s="1212" t="s">
        <v>27</v>
      </c>
      <c r="E1947" s="1223">
        <v>3.6</v>
      </c>
      <c r="F1947" s="1213">
        <f>'MINI SSR 21-22'!H$5</f>
        <v>490</v>
      </c>
      <c r="G1947" s="1214">
        <f>ROUND(E1947*F1947,2)</f>
        <v>1764</v>
      </c>
      <c r="H1947" s="1205" t="s">
        <v>2321</v>
      </c>
    </row>
    <row r="1948" spans="1:8" hidden="1">
      <c r="A1948" s="1212"/>
      <c r="B1948" s="1212"/>
      <c r="C1948" s="1754" t="s">
        <v>61</v>
      </c>
      <c r="D1948" s="1212"/>
      <c r="E1948" s="1213"/>
      <c r="F1948" s="1213"/>
      <c r="G1948" s="1214"/>
      <c r="H1948" s="1205" t="s">
        <v>2321</v>
      </c>
    </row>
    <row r="1949" spans="1:8" hidden="1">
      <c r="A1949" s="1212"/>
      <c r="B1949" s="1212"/>
      <c r="C1949" s="1752" t="s">
        <v>62</v>
      </c>
      <c r="D1949" s="1212" t="s">
        <v>21</v>
      </c>
      <c r="E1949" s="1213">
        <v>1</v>
      </c>
      <c r="F1949" s="1213">
        <f>'MINI SSR 21-22'!$C$30</f>
        <v>626.20000000000005</v>
      </c>
      <c r="G1949" s="1214">
        <f>ROUND(E1949*F1949,2)</f>
        <v>626.20000000000005</v>
      </c>
      <c r="H1949" s="1205" t="s">
        <v>2321</v>
      </c>
    </row>
    <row r="1950" spans="1:8" hidden="1">
      <c r="A1950" s="1212"/>
      <c r="B1950" s="1212"/>
      <c r="C1950" s="1752" t="s">
        <v>160</v>
      </c>
      <c r="D1950" s="1212" t="s">
        <v>21</v>
      </c>
      <c r="E1950" s="1213">
        <v>1</v>
      </c>
      <c r="F1950" s="1213">
        <f>'MINI SSR 21-22'!$C$31</f>
        <v>240.3</v>
      </c>
      <c r="G1950" s="1214">
        <f>ROUND(E1950*F1950,2)</f>
        <v>240.3</v>
      </c>
      <c r="H1950" s="1205" t="s">
        <v>2321</v>
      </c>
    </row>
    <row r="1951" spans="1:8" hidden="1">
      <c r="A1951" s="1212"/>
      <c r="B1951" s="1212"/>
      <c r="C1951" s="1752" t="s">
        <v>57</v>
      </c>
      <c r="D1951" s="1212" t="s">
        <v>58</v>
      </c>
      <c r="E1951" s="1213">
        <v>1.2</v>
      </c>
      <c r="F1951" s="1221">
        <f>'MINI SSR 21-22'!$C$29</f>
        <v>88</v>
      </c>
      <c r="G1951" s="1214">
        <f>ROUND(E1951*F1951,2)</f>
        <v>105.6</v>
      </c>
      <c r="H1951" s="1205" t="s">
        <v>2321</v>
      </c>
    </row>
    <row r="1952" spans="1:8" hidden="1">
      <c r="A1952" s="1212"/>
      <c r="B1952" s="1212"/>
      <c r="C1952" s="1754" t="s">
        <v>71</v>
      </c>
      <c r="D1952" s="1212"/>
      <c r="E1952" s="1212"/>
      <c r="F1952" s="1212"/>
      <c r="G1952" s="1222">
        <f>SUM(G1941:G1951)</f>
        <v>6712.43</v>
      </c>
      <c r="H1952" s="1205" t="s">
        <v>2321</v>
      </c>
    </row>
    <row r="1953" spans="1:8" hidden="1">
      <c r="A1953" s="1212"/>
      <c r="B1953" s="1212"/>
      <c r="C1953" s="1754" t="s">
        <v>72</v>
      </c>
      <c r="D1953" s="1212"/>
      <c r="E1953" s="1212"/>
      <c r="F1953" s="1212"/>
      <c r="G1953" s="1215"/>
      <c r="H1953" s="1205" t="s">
        <v>2321</v>
      </c>
    </row>
    <row r="1954" spans="1:8" hidden="1">
      <c r="A1954" s="1212"/>
      <c r="B1954" s="1212"/>
      <c r="C1954" s="1752" t="s">
        <v>73</v>
      </c>
      <c r="D1954" s="1212" t="s">
        <v>35</v>
      </c>
      <c r="E1954" s="1213">
        <v>1</v>
      </c>
      <c r="F1954" s="1213">
        <f>G1952</f>
        <v>6712.43</v>
      </c>
      <c r="G1954" s="1214">
        <f>ROUND(E1954*F1954,2)</f>
        <v>6712.43</v>
      </c>
      <c r="H1954" s="1205" t="s">
        <v>2321</v>
      </c>
    </row>
    <row r="1955" spans="1:8" ht="25.5" hidden="1">
      <c r="A1955" s="1212"/>
      <c r="B1955" s="1212"/>
      <c r="C1955" s="1752" t="s">
        <v>1279</v>
      </c>
      <c r="D1955" s="1212" t="s">
        <v>35</v>
      </c>
      <c r="E1955" s="1213">
        <v>1</v>
      </c>
      <c r="F1955" s="1213">
        <f>'MINI SSR 21-22'!C52</f>
        <v>301</v>
      </c>
      <c r="G1955" s="1214">
        <f>ROUND(E1955*F1955,2)</f>
        <v>301</v>
      </c>
      <c r="H1955" s="1205" t="s">
        <v>2321</v>
      </c>
    </row>
    <row r="1956" spans="1:8" hidden="1">
      <c r="A1956" s="1212"/>
      <c r="B1956" s="1212"/>
      <c r="C1956" s="1752" t="s">
        <v>1280</v>
      </c>
      <c r="D1956" s="1212" t="s">
        <v>35</v>
      </c>
      <c r="E1956" s="1213">
        <v>1</v>
      </c>
      <c r="F1956" s="1213">
        <f>'MINI SSR 21-22'!D52</f>
        <v>672</v>
      </c>
      <c r="G1956" s="1214">
        <f>ROUND(E1956*F1956,2)</f>
        <v>672</v>
      </c>
      <c r="H1956" s="1205" t="s">
        <v>2321</v>
      </c>
    </row>
    <row r="1957" spans="1:8" hidden="1">
      <c r="A1957" s="1212"/>
      <c r="B1957" s="1212"/>
      <c r="C1957" s="1752"/>
      <c r="D1957" s="1212"/>
      <c r="E1957" s="1212"/>
      <c r="F1957" s="1212"/>
      <c r="G1957" s="1222">
        <f>SUM(G1954:G1956)</f>
        <v>7685.43</v>
      </c>
      <c r="H1957" s="1205" t="s">
        <v>2321</v>
      </c>
    </row>
    <row r="1958" spans="1:8" hidden="1">
      <c r="A1958" s="1212"/>
      <c r="B1958" s="1212"/>
      <c r="C1958" s="1754" t="s">
        <v>74</v>
      </c>
      <c r="D1958" s="1212"/>
      <c r="E1958" s="1212"/>
      <c r="F1958" s="1212"/>
      <c r="G1958" s="1215"/>
      <c r="H1958" s="1205" t="s">
        <v>2321</v>
      </c>
    </row>
    <row r="1959" spans="1:8" hidden="1">
      <c r="A1959" s="1212"/>
      <c r="B1959" s="1212"/>
      <c r="C1959" s="1752" t="s">
        <v>73</v>
      </c>
      <c r="D1959" s="1212" t="s">
        <v>35</v>
      </c>
      <c r="E1959" s="1213">
        <v>1</v>
      </c>
      <c r="F1959" s="1213">
        <f>G1952</f>
        <v>6712.43</v>
      </c>
      <c r="G1959" s="1214">
        <f>ROUND(E1959*F1959,2)</f>
        <v>6712.43</v>
      </c>
      <c r="H1959" s="1205" t="s">
        <v>2321</v>
      </c>
    </row>
    <row r="1960" spans="1:8" ht="25.5" hidden="1">
      <c r="A1960" s="1212"/>
      <c r="B1960" s="1212"/>
      <c r="C1960" s="1752" t="s">
        <v>1281</v>
      </c>
      <c r="D1960" s="1212" t="s">
        <v>35</v>
      </c>
      <c r="E1960" s="1213">
        <v>1</v>
      </c>
      <c r="F1960" s="1213">
        <f>'MINI SSR 21-22'!C54</f>
        <v>343</v>
      </c>
      <c r="G1960" s="1214">
        <f>ROUND(E1960*F1960,2)</f>
        <v>343</v>
      </c>
      <c r="H1960" s="1205" t="s">
        <v>2321</v>
      </c>
    </row>
    <row r="1961" spans="1:8" hidden="1">
      <c r="A1961" s="1212"/>
      <c r="B1961" s="1212"/>
      <c r="C1961" s="1752" t="s">
        <v>1282</v>
      </c>
      <c r="D1961" s="1212" t="s">
        <v>35</v>
      </c>
      <c r="E1961" s="1213">
        <v>1</v>
      </c>
      <c r="F1961" s="1213">
        <f>'MINI SSR 21-22'!D54</f>
        <v>1069</v>
      </c>
      <c r="G1961" s="1214">
        <f>ROUND(E1961*F1961,2)</f>
        <v>1069</v>
      </c>
      <c r="H1961" s="1205" t="s">
        <v>2321</v>
      </c>
    </row>
    <row r="1962" spans="1:8" hidden="1">
      <c r="A1962" s="1212"/>
      <c r="B1962" s="1212"/>
      <c r="C1962" s="1752"/>
      <c r="D1962" s="1212"/>
      <c r="E1962" s="1212"/>
      <c r="F1962" s="1212"/>
      <c r="G1962" s="1222">
        <f>SUM(G1959:G1961)</f>
        <v>8124.43</v>
      </c>
      <c r="H1962" s="1205" t="s">
        <v>2321</v>
      </c>
    </row>
    <row r="1963" spans="1:8" hidden="1">
      <c r="A1963" s="1212"/>
      <c r="B1963" s="1212"/>
      <c r="C1963" s="1754" t="s">
        <v>75</v>
      </c>
      <c r="D1963" s="1212"/>
      <c r="E1963" s="1212"/>
      <c r="F1963" s="1212"/>
      <c r="G1963" s="1215"/>
      <c r="H1963" s="1205" t="s">
        <v>2321</v>
      </c>
    </row>
    <row r="1964" spans="1:8" hidden="1">
      <c r="A1964" s="1212"/>
      <c r="B1964" s="1212"/>
      <c r="C1964" s="1752" t="s">
        <v>73</v>
      </c>
      <c r="D1964" s="1212" t="s">
        <v>35</v>
      </c>
      <c r="E1964" s="1213">
        <v>1</v>
      </c>
      <c r="F1964" s="1213">
        <f>G1952</f>
        <v>6712.43</v>
      </c>
      <c r="G1964" s="1214">
        <f>ROUND(E1964*F1964,2)</f>
        <v>6712.43</v>
      </c>
      <c r="H1964" s="1205" t="s">
        <v>2321</v>
      </c>
    </row>
    <row r="1965" spans="1:8" hidden="1">
      <c r="A1965" s="1212"/>
      <c r="B1965" s="1212"/>
      <c r="C1965" s="1752" t="s">
        <v>1283</v>
      </c>
      <c r="D1965" s="1212" t="s">
        <v>35</v>
      </c>
      <c r="E1965" s="1213">
        <v>1</v>
      </c>
      <c r="F1965" s="1213">
        <f>'MINI SSR 21-22'!C55</f>
        <v>1453</v>
      </c>
      <c r="G1965" s="1214">
        <f>ROUND(E1965*F1965,2)</f>
        <v>1453</v>
      </c>
      <c r="H1965" s="1205" t="s">
        <v>2321</v>
      </c>
    </row>
    <row r="1966" spans="1:8" hidden="1">
      <c r="A1966" s="1212"/>
      <c r="B1966" s="1212"/>
      <c r="C1966" s="1752" t="s">
        <v>1284</v>
      </c>
      <c r="D1966" s="1212" t="s">
        <v>35</v>
      </c>
      <c r="E1966" s="1213">
        <v>1</v>
      </c>
      <c r="F1966" s="1213">
        <f>'MINI SSR 21-22'!D55</f>
        <v>1620</v>
      </c>
      <c r="G1966" s="1214">
        <f>ROUND(E1966*F1966,2)</f>
        <v>1620</v>
      </c>
      <c r="H1966" s="1205" t="s">
        <v>2321</v>
      </c>
    </row>
    <row r="1967" spans="1:8" hidden="1">
      <c r="A1967" s="1212"/>
      <c r="B1967" s="1212"/>
      <c r="C1967" s="1752"/>
      <c r="D1967" s="1212"/>
      <c r="E1967" s="1212"/>
      <c r="F1967" s="1212"/>
      <c r="G1967" s="1222">
        <f>SUM(G1964:G1966)</f>
        <v>9785.43</v>
      </c>
      <c r="H1967" s="1205" t="s">
        <v>2321</v>
      </c>
    </row>
    <row r="1968" spans="1:8" ht="178.5" hidden="1">
      <c r="A1968" s="1156">
        <v>24</v>
      </c>
      <c r="B1968" s="1218" t="s">
        <v>76</v>
      </c>
      <c r="C1968" s="1752" t="s">
        <v>226</v>
      </c>
      <c r="D1968" s="1212"/>
      <c r="E1968" s="1212"/>
      <c r="F1968" s="1212"/>
      <c r="G1968" s="1218"/>
      <c r="H1968" s="1205" t="s">
        <v>2321</v>
      </c>
    </row>
    <row r="1969" spans="1:8" hidden="1">
      <c r="A1969" s="1156"/>
      <c r="B1969" s="1218"/>
      <c r="C1969" s="1754" t="s">
        <v>80</v>
      </c>
      <c r="D1969" s="1212"/>
      <c r="E1969" s="1212"/>
      <c r="F1969" s="1212"/>
      <c r="G1969" s="1215"/>
      <c r="H1969" s="1205" t="s">
        <v>2321</v>
      </c>
    </row>
    <row r="1970" spans="1:8" hidden="1">
      <c r="A1970" s="1156"/>
      <c r="B1970" s="1218"/>
      <c r="C1970" s="1754" t="s">
        <v>60</v>
      </c>
      <c r="D1970" s="1212"/>
      <c r="E1970" s="1212"/>
      <c r="F1970" s="1212"/>
      <c r="G1970" s="1215"/>
      <c r="H1970" s="1205" t="s">
        <v>2321</v>
      </c>
    </row>
    <row r="1971" spans="1:8" hidden="1">
      <c r="A1971" s="1156"/>
      <c r="B1971" s="1218"/>
      <c r="C1971" s="1752" t="s">
        <v>154</v>
      </c>
      <c r="D1971" s="1212" t="s">
        <v>35</v>
      </c>
      <c r="E1971" s="1213">
        <v>0.8</v>
      </c>
      <c r="F1971" s="1213">
        <f>F1941</f>
        <v>1876.2299999999998</v>
      </c>
      <c r="G1971" s="1214">
        <f>ROUND(E1971*F1971,2)</f>
        <v>1500.98</v>
      </c>
      <c r="H1971" s="1205" t="s">
        <v>2321</v>
      </c>
    </row>
    <row r="1972" spans="1:8" hidden="1">
      <c r="A1972" s="1156"/>
      <c r="B1972" s="1218"/>
      <c r="C1972" s="1752" t="s">
        <v>112</v>
      </c>
      <c r="D1972" s="1212" t="s">
        <v>35</v>
      </c>
      <c r="E1972" s="1213">
        <v>0.4</v>
      </c>
      <c r="F1972" s="1213">
        <f>'lead 21-22'!L13</f>
        <v>1648.4000000000019</v>
      </c>
      <c r="G1972" s="1214">
        <f>ROUND(E1972*F1972,2)</f>
        <v>659.36</v>
      </c>
      <c r="H1972" s="1205" t="s">
        <v>2321</v>
      </c>
    </row>
    <row r="1973" spans="1:8" hidden="1">
      <c r="A1973" s="1212"/>
      <c r="B1973" s="1212"/>
      <c r="C1973" s="1752" t="s">
        <v>33</v>
      </c>
      <c r="D1973" s="1212" t="s">
        <v>4</v>
      </c>
      <c r="E1973" s="1213">
        <f>E1943</f>
        <v>340</v>
      </c>
      <c r="F1973" s="1213">
        <f>'lead 21-22'!L8</f>
        <v>4700</v>
      </c>
      <c r="G1973" s="1214">
        <f>ROUND(E1973*F1973/1000,2)</f>
        <v>1598</v>
      </c>
      <c r="H1973" s="1205" t="s">
        <v>2321</v>
      </c>
    </row>
    <row r="1974" spans="1:8" hidden="1">
      <c r="A1974" s="1212"/>
      <c r="B1974" s="1212"/>
      <c r="C1974" s="1754" t="s">
        <v>68</v>
      </c>
      <c r="D1974" s="1212"/>
      <c r="E1974" s="1213"/>
      <c r="F1974" s="1213"/>
      <c r="G1974" s="1214"/>
      <c r="H1974" s="1205" t="s">
        <v>2321</v>
      </c>
    </row>
    <row r="1975" spans="1:8" hidden="1">
      <c r="A1975" s="1212"/>
      <c r="B1975" s="1212"/>
      <c r="C1975" s="1752" t="s">
        <v>64</v>
      </c>
      <c r="D1975" s="1212" t="s">
        <v>27</v>
      </c>
      <c r="E1975" s="1223">
        <v>0.16700000000000001</v>
      </c>
      <c r="F1975" s="1213">
        <f>'MINI SSR 21-22'!$H$3</f>
        <v>585</v>
      </c>
      <c r="G1975" s="1214">
        <f>ROUND(E1975*F1975,2)</f>
        <v>97.7</v>
      </c>
      <c r="H1975" s="1205" t="s">
        <v>2321</v>
      </c>
    </row>
    <row r="1976" spans="1:8" hidden="1">
      <c r="A1976" s="1212"/>
      <c r="B1976" s="1212"/>
      <c r="C1976" s="1752" t="s">
        <v>69</v>
      </c>
      <c r="D1976" s="1212" t="s">
        <v>27</v>
      </c>
      <c r="E1976" s="1223">
        <v>0.16700000000000001</v>
      </c>
      <c r="F1976" s="1213">
        <f>'MINI SSR 21-22'!$H$4</f>
        <v>525</v>
      </c>
      <c r="G1976" s="1214">
        <f>ROUND(E1976*F1976,2)</f>
        <v>87.68</v>
      </c>
      <c r="H1976" s="1205" t="s">
        <v>2321</v>
      </c>
    </row>
    <row r="1977" spans="1:8" hidden="1">
      <c r="A1977" s="1212"/>
      <c r="B1977" s="1212"/>
      <c r="C1977" s="1752" t="s">
        <v>70</v>
      </c>
      <c r="D1977" s="1212" t="s">
        <v>27</v>
      </c>
      <c r="E1977" s="1223">
        <v>4.7</v>
      </c>
      <c r="F1977" s="1213">
        <f>'MINI SSR 21-22'!H$5</f>
        <v>490</v>
      </c>
      <c r="G1977" s="1214">
        <f>ROUND(E1977*F1977,2)</f>
        <v>2303</v>
      </c>
      <c r="H1977" s="1205" t="s">
        <v>2321</v>
      </c>
    </row>
    <row r="1978" spans="1:8" hidden="1">
      <c r="A1978" s="1212"/>
      <c r="B1978" s="1212"/>
      <c r="C1978" s="1754" t="s">
        <v>61</v>
      </c>
      <c r="D1978" s="1212"/>
      <c r="E1978" s="1213"/>
      <c r="F1978" s="1213"/>
      <c r="G1978" s="1214"/>
      <c r="H1978" s="1205" t="s">
        <v>2321</v>
      </c>
    </row>
    <row r="1979" spans="1:8" hidden="1">
      <c r="A1979" s="1212"/>
      <c r="B1979" s="1212"/>
      <c r="C1979" s="1752" t="s">
        <v>62</v>
      </c>
      <c r="D1979" s="1212" t="s">
        <v>21</v>
      </c>
      <c r="E1979" s="1213">
        <v>1</v>
      </c>
      <c r="F1979" s="1213">
        <f>'MINI SSR 21-22'!$C$30</f>
        <v>626.20000000000005</v>
      </c>
      <c r="G1979" s="1214">
        <f>ROUND(E1979*F1979,2)</f>
        <v>626.20000000000005</v>
      </c>
      <c r="H1979" s="1205" t="s">
        <v>2321</v>
      </c>
    </row>
    <row r="1980" spans="1:8" hidden="1">
      <c r="A1980" s="1212"/>
      <c r="B1980" s="1212"/>
      <c r="C1980" s="1752" t="s">
        <v>160</v>
      </c>
      <c r="D1980" s="1212" t="s">
        <v>21</v>
      </c>
      <c r="E1980" s="1213">
        <v>1</v>
      </c>
      <c r="F1980" s="1213">
        <f>'MINI SSR 21-22'!$C$31</f>
        <v>240.3</v>
      </c>
      <c r="G1980" s="1214">
        <f>ROUND(E1980*F1980,2)</f>
        <v>240.3</v>
      </c>
      <c r="H1980" s="1205" t="s">
        <v>2321</v>
      </c>
    </row>
    <row r="1981" spans="1:8" hidden="1">
      <c r="A1981" s="1212"/>
      <c r="B1981" s="1212"/>
      <c r="C1981" s="1752" t="s">
        <v>57</v>
      </c>
      <c r="D1981" s="1212" t="s">
        <v>58</v>
      </c>
      <c r="E1981" s="1213">
        <v>1.2</v>
      </c>
      <c r="F1981" s="1221">
        <f>'MINI SSR 21-22'!$C$29</f>
        <v>88</v>
      </c>
      <c r="G1981" s="1214">
        <f>ROUND(E1981*F1981,2)</f>
        <v>105.6</v>
      </c>
      <c r="H1981" s="1205" t="s">
        <v>2321</v>
      </c>
    </row>
    <row r="1982" spans="1:8" hidden="1">
      <c r="A1982" s="1212"/>
      <c r="B1982" s="1212"/>
      <c r="C1982" s="1754" t="s">
        <v>71</v>
      </c>
      <c r="D1982" s="1212"/>
      <c r="E1982" s="1212"/>
      <c r="F1982" s="1212"/>
      <c r="G1982" s="1222">
        <f>SUM(G1971:G1981)</f>
        <v>7218.82</v>
      </c>
      <c r="H1982" s="1205" t="s">
        <v>2321</v>
      </c>
    </row>
    <row r="1983" spans="1:8" hidden="1">
      <c r="A1983" s="1212"/>
      <c r="B1983" s="1212"/>
      <c r="C1983" s="1754"/>
      <c r="D1983" s="1212"/>
      <c r="E1983" s="1218" t="s">
        <v>161</v>
      </c>
      <c r="F1983" s="1218" t="s">
        <v>162</v>
      </c>
      <c r="G1983" s="1217" t="s">
        <v>163</v>
      </c>
      <c r="H1983" s="1205" t="s">
        <v>2321</v>
      </c>
    </row>
    <row r="1984" spans="1:8" hidden="1">
      <c r="A1984" s="1212"/>
      <c r="B1984" s="1212"/>
      <c r="C1984" s="1754" t="s">
        <v>1285</v>
      </c>
      <c r="D1984" s="1212"/>
      <c r="E1984" s="1213">
        <f>G1982</f>
        <v>7218.82</v>
      </c>
      <c r="F1984" s="1213">
        <f>G1982</f>
        <v>7218.82</v>
      </c>
      <c r="G1984" s="1215">
        <f>G1982</f>
        <v>7218.82</v>
      </c>
      <c r="H1984" s="1205" t="s">
        <v>2321</v>
      </c>
    </row>
    <row r="1985" spans="1:8" ht="25.5" hidden="1">
      <c r="A1985" s="1212"/>
      <c r="B1985" s="1212"/>
      <c r="C1985" s="1752" t="s">
        <v>164</v>
      </c>
      <c r="D1985" s="1212"/>
      <c r="E1985" s="1213">
        <f>'MINI SSR 21-22'!C57</f>
        <v>371</v>
      </c>
      <c r="F1985" s="1213">
        <f>E1985</f>
        <v>371</v>
      </c>
      <c r="G1985" s="1224">
        <f>E1985</f>
        <v>371</v>
      </c>
      <c r="H1985" s="1205" t="s">
        <v>2321</v>
      </c>
    </row>
    <row r="1986" spans="1:8" hidden="1">
      <c r="A1986" s="1212"/>
      <c r="B1986" s="1212"/>
      <c r="C1986" s="1752" t="s">
        <v>165</v>
      </c>
      <c r="D1986" s="1212"/>
      <c r="E1986" s="1213">
        <f>'MINI SSR 21-22'!D57</f>
        <v>2415</v>
      </c>
      <c r="F1986" s="1213">
        <f>'MINI SSR 21-22'!E57</f>
        <v>2657</v>
      </c>
      <c r="G1986" s="1213">
        <f>'MINI SSR 21-22'!F57</f>
        <v>2898</v>
      </c>
      <c r="H1986" s="1205" t="s">
        <v>2321</v>
      </c>
    </row>
    <row r="1987" spans="1:8" ht="25.5" hidden="1">
      <c r="A1987" s="1212"/>
      <c r="B1987" s="1212"/>
      <c r="C1987" s="1752" t="s">
        <v>1286</v>
      </c>
      <c r="D1987" s="1212"/>
      <c r="E1987" s="1212"/>
      <c r="F1987" s="1212">
        <f>ROUND((G1975+G1976+G1977+F1986)*0.1,2)</f>
        <v>514.54</v>
      </c>
      <c r="G1987" s="1225">
        <f>ROUND((G1975+G1976+G1977+G1986)*0.2,2)</f>
        <v>1077.28</v>
      </c>
      <c r="H1987" s="1205" t="s">
        <v>2321</v>
      </c>
    </row>
    <row r="1988" spans="1:8" hidden="1">
      <c r="A1988" s="1212"/>
      <c r="B1988" s="1212"/>
      <c r="C1988" s="1752"/>
      <c r="D1988" s="1212"/>
      <c r="E1988" s="1217">
        <f>SUM(E1984:E1987)</f>
        <v>10004.82</v>
      </c>
      <c r="F1988" s="1217">
        <f>SUM(F1984:F1987)</f>
        <v>10761.36</v>
      </c>
      <c r="G1988" s="1222">
        <f>SUM(G1984:G1987)</f>
        <v>11565.1</v>
      </c>
      <c r="H1988" s="1205" t="s">
        <v>2321</v>
      </c>
    </row>
    <row r="1989" spans="1:8" hidden="1">
      <c r="A1989" s="1212"/>
      <c r="B1989" s="1212"/>
      <c r="C1989" s="1754"/>
      <c r="D1989" s="1212"/>
      <c r="E1989" s="1218" t="s">
        <v>161</v>
      </c>
      <c r="F1989" s="1218" t="s">
        <v>162</v>
      </c>
      <c r="G1989" s="1217" t="s">
        <v>163</v>
      </c>
      <c r="H1989" s="1205" t="s">
        <v>2321</v>
      </c>
    </row>
    <row r="1990" spans="1:8" hidden="1">
      <c r="A1990" s="1212"/>
      <c r="B1990" s="1212"/>
      <c r="C1990" s="1754" t="s">
        <v>1287</v>
      </c>
      <c r="D1990" s="1212"/>
      <c r="E1990" s="1213">
        <f>G1982</f>
        <v>7218.82</v>
      </c>
      <c r="F1990" s="1213">
        <f>G1982</f>
        <v>7218.82</v>
      </c>
      <c r="G1990" s="1215">
        <f>G1982</f>
        <v>7218.82</v>
      </c>
      <c r="H1990" s="1205" t="s">
        <v>2321</v>
      </c>
    </row>
    <row r="1991" spans="1:8" ht="25.5" hidden="1">
      <c r="A1991" s="1212"/>
      <c r="B1991" s="1212"/>
      <c r="C1991" s="1752" t="s">
        <v>166</v>
      </c>
      <c r="D1991" s="1212"/>
      <c r="E1991" s="1213">
        <f>'MINI SSR 21-22'!C58</f>
        <v>1233</v>
      </c>
      <c r="F1991" s="1213">
        <f>E1991</f>
        <v>1233</v>
      </c>
      <c r="G1991" s="1224">
        <f>E1991</f>
        <v>1233</v>
      </c>
      <c r="H1991" s="1205" t="s">
        <v>2321</v>
      </c>
    </row>
    <row r="1992" spans="1:8" hidden="1">
      <c r="A1992" s="1212"/>
      <c r="B1992" s="1212"/>
      <c r="C1992" s="1752" t="s">
        <v>167</v>
      </c>
      <c r="D1992" s="1212"/>
      <c r="E1992" s="1213">
        <f>'MINI SSR 21-22'!D58</f>
        <v>1720</v>
      </c>
      <c r="F1992" s="1213">
        <f>'MINI SSR 21-22'!E58</f>
        <v>1892</v>
      </c>
      <c r="G1992" s="1213">
        <f>'MINI SSR 21-22'!F58</f>
        <v>2064</v>
      </c>
      <c r="H1992" s="1205" t="s">
        <v>2321</v>
      </c>
    </row>
    <row r="1993" spans="1:8" ht="25.5" hidden="1">
      <c r="A1993" s="1212"/>
      <c r="B1993" s="1212"/>
      <c r="C1993" s="1752" t="s">
        <v>1286</v>
      </c>
      <c r="D1993" s="1212"/>
      <c r="E1993" s="1212"/>
      <c r="F1993" s="1212">
        <f>ROUND((G1975+G1976+G1977+F1992)*0.1,2)</f>
        <v>438.04</v>
      </c>
      <c r="G1993" s="1225">
        <f>ROUND((G1975+G1976+G1977+G1992)*0.2,2)</f>
        <v>910.48</v>
      </c>
      <c r="H1993" s="1205" t="s">
        <v>2321</v>
      </c>
    </row>
    <row r="1994" spans="1:8" hidden="1">
      <c r="A1994" s="1212"/>
      <c r="B1994" s="1212"/>
      <c r="C1994" s="1752"/>
      <c r="D1994" s="1212"/>
      <c r="E1994" s="1217">
        <f>SUM(E1990:E1993)</f>
        <v>10171.82</v>
      </c>
      <c r="F1994" s="1217">
        <f>SUM(F1990:F1993)</f>
        <v>10781.86</v>
      </c>
      <c r="G1994" s="1222">
        <f>SUM(G1990:G1993)</f>
        <v>11426.3</v>
      </c>
      <c r="H1994" s="1205" t="s">
        <v>2321</v>
      </c>
    </row>
    <row r="1995" spans="1:8" ht="178.5" hidden="1">
      <c r="A1995" s="1156">
        <v>8</v>
      </c>
      <c r="B1995" s="1218" t="s">
        <v>78</v>
      </c>
      <c r="C1995" s="1752" t="s">
        <v>226</v>
      </c>
      <c r="D1995" s="1212"/>
      <c r="E1995" s="1212"/>
      <c r="F1995" s="1212"/>
      <c r="G1995" s="1218"/>
      <c r="H1995" s="1205" t="s">
        <v>2321</v>
      </c>
    </row>
    <row r="1996" spans="1:8" hidden="1">
      <c r="A1996" s="1156"/>
      <c r="B1996" s="1218"/>
      <c r="C1996" s="1754" t="s">
        <v>79</v>
      </c>
      <c r="D1996" s="1212"/>
      <c r="E1996" s="1212"/>
      <c r="F1996" s="1212"/>
      <c r="G1996" s="1215"/>
      <c r="H1996" s="1205" t="s">
        <v>2321</v>
      </c>
    </row>
    <row r="1997" spans="1:8" hidden="1">
      <c r="A1997" s="1156"/>
      <c r="B1997" s="1218"/>
      <c r="C1997" s="1754" t="s">
        <v>60</v>
      </c>
      <c r="D1997" s="1218"/>
      <c r="E1997" s="1218"/>
      <c r="F1997" s="1218"/>
      <c r="G1997" s="1215"/>
      <c r="H1997" s="1205" t="s">
        <v>2321</v>
      </c>
    </row>
    <row r="1998" spans="1:8" hidden="1">
      <c r="A1998" s="1156"/>
      <c r="B1998" s="1218"/>
      <c r="C1998" s="1752" t="s">
        <v>154</v>
      </c>
      <c r="D1998" s="1212" t="s">
        <v>35</v>
      </c>
      <c r="E1998" s="1213">
        <v>0.8</v>
      </c>
      <c r="F1998" s="1213">
        <f>F1871</f>
        <v>1876.2299999999998</v>
      </c>
      <c r="G1998" s="1214">
        <f>ROUND(E1998*F1998,2)</f>
        <v>1500.98</v>
      </c>
      <c r="H1998" s="1205" t="s">
        <v>2321</v>
      </c>
    </row>
    <row r="1999" spans="1:8" hidden="1">
      <c r="A1999" s="1156"/>
      <c r="B1999" s="1218"/>
      <c r="C1999" s="1752" t="s">
        <v>112</v>
      </c>
      <c r="D1999" s="1212" t="s">
        <v>35</v>
      </c>
      <c r="E1999" s="1213">
        <v>0.4</v>
      </c>
      <c r="F1999" s="1213">
        <f>'lead 21-22'!L13</f>
        <v>1648.4000000000019</v>
      </c>
      <c r="G1999" s="1214">
        <f>ROUND(E1999*F1999,2)</f>
        <v>659.36</v>
      </c>
      <c r="H1999" s="1205" t="s">
        <v>2321</v>
      </c>
    </row>
    <row r="2000" spans="1:8" hidden="1">
      <c r="A2000" s="1212"/>
      <c r="B2000" s="1212"/>
      <c r="C2000" s="1752" t="s">
        <v>33</v>
      </c>
      <c r="D2000" s="1212" t="s">
        <v>4</v>
      </c>
      <c r="E2000" s="1213">
        <f>E1973</f>
        <v>340</v>
      </c>
      <c r="F2000" s="1213">
        <f>'lead 21-22'!L8</f>
        <v>4700</v>
      </c>
      <c r="G2000" s="1214">
        <f>ROUND(E2000*F2000/1000,2)</f>
        <v>1598</v>
      </c>
      <c r="H2000" s="1205" t="s">
        <v>2321</v>
      </c>
    </row>
    <row r="2001" spans="1:8" hidden="1">
      <c r="A2001" s="1212"/>
      <c r="B2001" s="1212"/>
      <c r="C2001" s="1754" t="s">
        <v>68</v>
      </c>
      <c r="D2001" s="1212"/>
      <c r="E2001" s="1213"/>
      <c r="F2001" s="1213"/>
      <c r="G2001" s="1214"/>
      <c r="H2001" s="1205" t="s">
        <v>2321</v>
      </c>
    </row>
    <row r="2002" spans="1:8" hidden="1">
      <c r="A2002" s="1212"/>
      <c r="B2002" s="1212"/>
      <c r="C2002" s="1752" t="s">
        <v>64</v>
      </c>
      <c r="D2002" s="1212" t="s">
        <v>27</v>
      </c>
      <c r="E2002" s="1223">
        <v>6.7000000000000004E-2</v>
      </c>
      <c r="F2002" s="1213">
        <f>'MINI SSR 21-22'!$H$3</f>
        <v>585</v>
      </c>
      <c r="G2002" s="1214">
        <f>ROUND(E2002*F2002,2)</f>
        <v>39.200000000000003</v>
      </c>
      <c r="H2002" s="1205" t="s">
        <v>2321</v>
      </c>
    </row>
    <row r="2003" spans="1:8" hidden="1">
      <c r="A2003" s="1212"/>
      <c r="B2003" s="1212"/>
      <c r="C2003" s="1752" t="s">
        <v>69</v>
      </c>
      <c r="D2003" s="1212" t="s">
        <v>27</v>
      </c>
      <c r="E2003" s="1223">
        <v>0.13300000000000001</v>
      </c>
      <c r="F2003" s="1213">
        <f>'MINI SSR 21-22'!$H$4</f>
        <v>525</v>
      </c>
      <c r="G2003" s="1214">
        <f>ROUND(E2003*F2003,2)</f>
        <v>69.83</v>
      </c>
      <c r="H2003" s="1205" t="s">
        <v>2321</v>
      </c>
    </row>
    <row r="2004" spans="1:8" hidden="1">
      <c r="A2004" s="1212"/>
      <c r="B2004" s="1212"/>
      <c r="C2004" s="1752" t="s">
        <v>70</v>
      </c>
      <c r="D2004" s="1212" t="s">
        <v>27</v>
      </c>
      <c r="E2004" s="1223">
        <v>2.5</v>
      </c>
      <c r="F2004" s="1213">
        <f>'MINI SSR 21-22'!H$5</f>
        <v>490</v>
      </c>
      <c r="G2004" s="1214">
        <f>ROUND(E2004*F2004,2)</f>
        <v>1225</v>
      </c>
      <c r="H2004" s="1205" t="s">
        <v>2321</v>
      </c>
    </row>
    <row r="2005" spans="1:8" hidden="1">
      <c r="A2005" s="1212"/>
      <c r="B2005" s="1212"/>
      <c r="C2005" s="1754" t="s">
        <v>61</v>
      </c>
      <c r="D2005" s="1212"/>
      <c r="E2005" s="1213"/>
      <c r="F2005" s="1213"/>
      <c r="G2005" s="1214"/>
      <c r="H2005" s="1205" t="s">
        <v>2321</v>
      </c>
    </row>
    <row r="2006" spans="1:8" hidden="1">
      <c r="A2006" s="1212"/>
      <c r="B2006" s="1212"/>
      <c r="C2006" s="1752" t="s">
        <v>62</v>
      </c>
      <c r="D2006" s="1212" t="s">
        <v>21</v>
      </c>
      <c r="E2006" s="1223">
        <v>0.26700000000000002</v>
      </c>
      <c r="F2006" s="1213">
        <f>'MINI SSR 21-22'!$C$30</f>
        <v>626.20000000000005</v>
      </c>
      <c r="G2006" s="1214">
        <f>ROUND(E2006*F2006,2)</f>
        <v>167.2</v>
      </c>
      <c r="H2006" s="1205" t="s">
        <v>2321</v>
      </c>
    </row>
    <row r="2007" spans="1:8" hidden="1">
      <c r="A2007" s="1212"/>
      <c r="B2007" s="1212"/>
      <c r="C2007" s="1752" t="s">
        <v>160</v>
      </c>
      <c r="D2007" s="1212" t="s">
        <v>21</v>
      </c>
      <c r="E2007" s="1223">
        <v>0.26700000000000002</v>
      </c>
      <c r="F2007" s="1213">
        <f>'MINI SSR 21-22'!$C$31</f>
        <v>240.3</v>
      </c>
      <c r="G2007" s="1214">
        <f>ROUND(E2007*F2007,2)</f>
        <v>64.16</v>
      </c>
      <c r="H2007" s="1205" t="s">
        <v>2321</v>
      </c>
    </row>
    <row r="2008" spans="1:8" hidden="1">
      <c r="A2008" s="1212"/>
      <c r="B2008" s="1212"/>
      <c r="C2008" s="1752" t="s">
        <v>57</v>
      </c>
      <c r="D2008" s="1212" t="s">
        <v>58</v>
      </c>
      <c r="E2008" s="1213">
        <v>1.2</v>
      </c>
      <c r="F2008" s="1221">
        <f>'MINI SSR 21-22'!$C$29</f>
        <v>88</v>
      </c>
      <c r="G2008" s="1214">
        <f>ROUND(E2008*F2008,2)</f>
        <v>105.6</v>
      </c>
      <c r="H2008" s="1205" t="s">
        <v>2321</v>
      </c>
    </row>
    <row r="2009" spans="1:8" hidden="1">
      <c r="A2009" s="1212"/>
      <c r="B2009" s="1212"/>
      <c r="C2009" s="1754" t="s">
        <v>71</v>
      </c>
      <c r="D2009" s="1212"/>
      <c r="E2009" s="1212"/>
      <c r="F2009" s="1212"/>
      <c r="G2009" s="1222">
        <f>SUM(G1998:G2008)</f>
        <v>5429.33</v>
      </c>
      <c r="H2009" s="1205" t="s">
        <v>2321</v>
      </c>
    </row>
    <row r="2010" spans="1:8" hidden="1">
      <c r="A2010" s="1212"/>
      <c r="B2010" s="1212"/>
      <c r="C2010" s="1754"/>
      <c r="D2010" s="1212"/>
      <c r="E2010" s="1218" t="s">
        <v>161</v>
      </c>
      <c r="F2010" s="1218" t="s">
        <v>162</v>
      </c>
      <c r="G2010" s="1217" t="s">
        <v>163</v>
      </c>
      <c r="H2010" s="1205" t="s">
        <v>2321</v>
      </c>
    </row>
    <row r="2011" spans="1:8" hidden="1">
      <c r="A2011" s="1212"/>
      <c r="B2011" s="1212"/>
      <c r="C2011" s="1754" t="s">
        <v>1288</v>
      </c>
      <c r="D2011" s="1212"/>
      <c r="E2011" s="1213">
        <f>G2009</f>
        <v>5429.33</v>
      </c>
      <c r="F2011" s="1213">
        <f>G2009</f>
        <v>5429.33</v>
      </c>
      <c r="G2011" s="1215">
        <f>G2009</f>
        <v>5429.33</v>
      </c>
      <c r="H2011" s="1205" t="s">
        <v>2321</v>
      </c>
    </row>
    <row r="2012" spans="1:8" ht="25.5" hidden="1">
      <c r="A2012" s="1212"/>
      <c r="B2012" s="1212"/>
      <c r="C2012" s="1752" t="s">
        <v>177</v>
      </c>
      <c r="D2012" s="1212"/>
      <c r="E2012" s="1213">
        <f>'MINI SSR 21-22'!C60</f>
        <v>2179</v>
      </c>
      <c r="F2012" s="1213">
        <f>E2012</f>
        <v>2179</v>
      </c>
      <c r="G2012" s="1224">
        <f>E2012</f>
        <v>2179</v>
      </c>
      <c r="H2012" s="1205" t="s">
        <v>2321</v>
      </c>
    </row>
    <row r="2013" spans="1:8" hidden="1">
      <c r="A2013" s="1212"/>
      <c r="B2013" s="1212"/>
      <c r="C2013" s="1752" t="s">
        <v>178</v>
      </c>
      <c r="D2013" s="1212"/>
      <c r="E2013" s="1213">
        <f>'MINI SSR 21-22'!D60</f>
        <v>2027</v>
      </c>
      <c r="F2013" s="1213">
        <f>'MINI SSR 21-22'!E60</f>
        <v>2230</v>
      </c>
      <c r="G2013" s="1213">
        <f>'MINI SSR 21-22'!F60</f>
        <v>2432</v>
      </c>
      <c r="H2013" s="1205" t="s">
        <v>2321</v>
      </c>
    </row>
    <row r="2014" spans="1:8" ht="25.5" hidden="1">
      <c r="A2014" s="1212"/>
      <c r="B2014" s="1212"/>
      <c r="C2014" s="1752" t="s">
        <v>1286</v>
      </c>
      <c r="D2014" s="1212"/>
      <c r="E2014" s="1212"/>
      <c r="F2014" s="1213">
        <f>ROUND((G2002+G2003+G2004+F2013)*0.1,2)</f>
        <v>356.4</v>
      </c>
      <c r="G2014" s="1215">
        <f>ROUND((G2002+G2003+G2004+G2013)*0.2,2)</f>
        <v>753.21</v>
      </c>
      <c r="H2014" s="1205" t="s">
        <v>2321</v>
      </c>
    </row>
    <row r="2015" spans="1:8" hidden="1">
      <c r="A2015" s="1212"/>
      <c r="B2015" s="1212"/>
      <c r="C2015" s="1754" t="s">
        <v>182</v>
      </c>
      <c r="D2015" s="1212"/>
      <c r="E2015" s="1217">
        <f>SUM(E2011:E2014)</f>
        <v>9635.33</v>
      </c>
      <c r="F2015" s="1217">
        <f>SUM(F2011:F2014)</f>
        <v>10194.73</v>
      </c>
      <c r="G2015" s="1222">
        <f>SUM(G2011:G2014)</f>
        <v>10793.54</v>
      </c>
      <c r="H2015" s="1205" t="s">
        <v>2321</v>
      </c>
    </row>
    <row r="2016" spans="1:8" hidden="1">
      <c r="A2016" s="1212"/>
      <c r="B2016" s="1212"/>
      <c r="C2016" s="1754"/>
      <c r="D2016" s="1212"/>
      <c r="E2016" s="1218" t="s">
        <v>161</v>
      </c>
      <c r="F2016" s="1218" t="s">
        <v>162</v>
      </c>
      <c r="G2016" s="1217" t="s">
        <v>163</v>
      </c>
      <c r="H2016" s="1205" t="s">
        <v>2321</v>
      </c>
    </row>
    <row r="2017" spans="1:8" hidden="1">
      <c r="A2017" s="1212"/>
      <c r="B2017" s="1212"/>
      <c r="C2017" s="1754" t="s">
        <v>1289</v>
      </c>
      <c r="D2017" s="1212"/>
      <c r="E2017" s="1213">
        <f>G2009</f>
        <v>5429.33</v>
      </c>
      <c r="F2017" s="1213">
        <f>G2009</f>
        <v>5429.33</v>
      </c>
      <c r="G2017" s="1215">
        <f>G2009</f>
        <v>5429.33</v>
      </c>
      <c r="H2017" s="1205" t="s">
        <v>2321</v>
      </c>
    </row>
    <row r="2018" spans="1:8" hidden="1">
      <c r="A2018" s="1212"/>
      <c r="B2018" s="1212"/>
      <c r="C2018" s="1754" t="s">
        <v>1269</v>
      </c>
      <c r="D2018" s="1213">
        <v>0.1</v>
      </c>
      <c r="E2018" s="1213">
        <f>ROUND(E2017*0.1,2)</f>
        <v>542.92999999999995</v>
      </c>
      <c r="F2018" s="1213">
        <f>ROUND(F2017*0.1,2)</f>
        <v>542.92999999999995</v>
      </c>
      <c r="G2018" s="1215">
        <f>ROUND(G2017*0.1,2)</f>
        <v>542.92999999999995</v>
      </c>
      <c r="H2018" s="1205" t="s">
        <v>2321</v>
      </c>
    </row>
    <row r="2019" spans="1:8" ht="25.5" hidden="1">
      <c r="A2019" s="1212"/>
      <c r="B2019" s="1212"/>
      <c r="C2019" s="1752" t="s">
        <v>179</v>
      </c>
      <c r="D2019" s="1212"/>
      <c r="E2019" s="1213">
        <f>'MINI SSR 21-22'!C61</f>
        <v>247</v>
      </c>
      <c r="F2019" s="1213">
        <f>E2019</f>
        <v>247</v>
      </c>
      <c r="G2019" s="1224">
        <f>E2019</f>
        <v>247</v>
      </c>
      <c r="H2019" s="1205" t="s">
        <v>2321</v>
      </c>
    </row>
    <row r="2020" spans="1:8" hidden="1">
      <c r="A2020" s="1212"/>
      <c r="B2020" s="1212"/>
      <c r="C2020" s="1752" t="s">
        <v>180</v>
      </c>
      <c r="D2020" s="1212"/>
      <c r="E2020" s="1213">
        <f>'MINI SSR 21-22'!D61</f>
        <v>241</v>
      </c>
      <c r="F2020" s="1213">
        <f>'MINI SSR 21-22'!E61</f>
        <v>265</v>
      </c>
      <c r="G2020" s="1213">
        <f>'MINI SSR 21-22'!F61</f>
        <v>289</v>
      </c>
      <c r="H2020" s="1205" t="s">
        <v>2321</v>
      </c>
    </row>
    <row r="2021" spans="1:8" ht="25.5" hidden="1">
      <c r="A2021" s="1212"/>
      <c r="B2021" s="1212"/>
      <c r="C2021" s="1752" t="s">
        <v>1290</v>
      </c>
      <c r="D2021" s="1212"/>
      <c r="E2021" s="1212"/>
      <c r="F2021" s="1213">
        <f>ROUND(((G2002+G2003+G2004+F2020)*0.1),2)</f>
        <v>159.9</v>
      </c>
      <c r="G2021" s="1215">
        <f>ROUND(((G2002+G2003+G2004+G2020)*0.2),2)</f>
        <v>324.61</v>
      </c>
      <c r="H2021" s="1205" t="s">
        <v>2321</v>
      </c>
    </row>
    <row r="2022" spans="1:8" hidden="1">
      <c r="A2022" s="1212"/>
      <c r="B2022" s="1212"/>
      <c r="C2022" s="1754" t="s">
        <v>181</v>
      </c>
      <c r="D2022" s="1212"/>
      <c r="E2022" s="1217">
        <f>SUM(E2018:E2021)</f>
        <v>1030.9299999999998</v>
      </c>
      <c r="F2022" s="1217">
        <f>SUM(F2018:F2021)</f>
        <v>1214.83</v>
      </c>
      <c r="G2022" s="1222">
        <f>SUM(G2018:G2021)</f>
        <v>1403.54</v>
      </c>
      <c r="H2022" s="1205" t="s">
        <v>2321</v>
      </c>
    </row>
    <row r="2023" spans="1:8" hidden="1">
      <c r="A2023" s="1212"/>
      <c r="B2023" s="1212"/>
      <c r="C2023" s="1754"/>
      <c r="D2023" s="1212"/>
      <c r="E2023" s="1218" t="s">
        <v>161</v>
      </c>
      <c r="F2023" s="1218" t="s">
        <v>162</v>
      </c>
      <c r="G2023" s="1217" t="s">
        <v>163</v>
      </c>
      <c r="H2023" s="1205" t="s">
        <v>2321</v>
      </c>
    </row>
    <row r="2024" spans="1:8" hidden="1">
      <c r="A2024" s="1212"/>
      <c r="B2024" s="1212"/>
      <c r="C2024" s="1754" t="s">
        <v>1291</v>
      </c>
      <c r="D2024" s="1212"/>
      <c r="E2024" s="1213">
        <f>G2009</f>
        <v>5429.33</v>
      </c>
      <c r="F2024" s="1213">
        <f>G2009</f>
        <v>5429.33</v>
      </c>
      <c r="G2024" s="1215">
        <f>G2009</f>
        <v>5429.33</v>
      </c>
      <c r="H2024" s="1205" t="s">
        <v>2321</v>
      </c>
    </row>
    <row r="2025" spans="1:8" hidden="1">
      <c r="A2025" s="1212"/>
      <c r="B2025" s="1212"/>
      <c r="C2025" s="1754" t="s">
        <v>1270</v>
      </c>
      <c r="D2025" s="1212">
        <v>0.125</v>
      </c>
      <c r="E2025" s="1213">
        <f>ROUND(E2024*0.125,2)</f>
        <v>678.67</v>
      </c>
      <c r="F2025" s="1213">
        <f>ROUND(F2024*0.125,2)</f>
        <v>678.67</v>
      </c>
      <c r="G2025" s="1215">
        <f>ROUND(G2024*0.125,2)</f>
        <v>678.67</v>
      </c>
      <c r="H2025" s="1205" t="s">
        <v>2321</v>
      </c>
    </row>
    <row r="2026" spans="1:8" ht="25.5" hidden="1">
      <c r="A2026" s="1212"/>
      <c r="B2026" s="1212"/>
      <c r="C2026" s="1752" t="s">
        <v>179</v>
      </c>
      <c r="D2026" s="1212"/>
      <c r="E2026" s="1213">
        <f>'MINI SSR 21-22'!C61</f>
        <v>247</v>
      </c>
      <c r="F2026" s="1213">
        <f>E2026</f>
        <v>247</v>
      </c>
      <c r="G2026" s="1224">
        <f>E2026</f>
        <v>247</v>
      </c>
      <c r="H2026" s="1205" t="s">
        <v>2321</v>
      </c>
    </row>
    <row r="2027" spans="1:8" hidden="1">
      <c r="A2027" s="1212"/>
      <c r="B2027" s="1212"/>
      <c r="C2027" s="1752" t="s">
        <v>180</v>
      </c>
      <c r="D2027" s="1212"/>
      <c r="E2027" s="1213">
        <f>'MINI SSR 21-22'!D61</f>
        <v>241</v>
      </c>
      <c r="F2027" s="1213">
        <f>'MINI SSR 21-22'!E61</f>
        <v>265</v>
      </c>
      <c r="G2027" s="1213">
        <f>'MINI SSR 21-22'!F61</f>
        <v>289</v>
      </c>
      <c r="H2027" s="1205" t="s">
        <v>2321</v>
      </c>
    </row>
    <row r="2028" spans="1:8" ht="25.5" hidden="1">
      <c r="A2028" s="1212"/>
      <c r="B2028" s="1212"/>
      <c r="C2028" s="1752" t="s">
        <v>1290</v>
      </c>
      <c r="D2028" s="1212"/>
      <c r="E2028" s="1212"/>
      <c r="F2028" s="1213">
        <f>ROUND(((G2002+G2003+G2004+F2027)*0.1),2)</f>
        <v>159.9</v>
      </c>
      <c r="G2028" s="1215">
        <f>ROUND(((G2002+G2003+G2004+G2027)*0.2),2)</f>
        <v>324.61</v>
      </c>
      <c r="H2028" s="1205" t="s">
        <v>2321</v>
      </c>
    </row>
    <row r="2029" spans="1:8" hidden="1">
      <c r="A2029" s="1212"/>
      <c r="B2029" s="1212"/>
      <c r="C2029" s="1754" t="s">
        <v>181</v>
      </c>
      <c r="D2029" s="1212"/>
      <c r="E2029" s="1217">
        <f>SUM(E2025:E2028)</f>
        <v>1166.67</v>
      </c>
      <c r="F2029" s="1217">
        <f>SUM(F2025:F2028)</f>
        <v>1350.5700000000002</v>
      </c>
      <c r="G2029" s="1222">
        <f>SUM(G2025:G2028)</f>
        <v>1539.2800000000002</v>
      </c>
      <c r="H2029" s="1205" t="s">
        <v>2321</v>
      </c>
    </row>
    <row r="2030" spans="1:8" hidden="1">
      <c r="A2030" s="1212"/>
      <c r="B2030" s="1212"/>
      <c r="C2030" s="1754"/>
      <c r="D2030" s="1212"/>
      <c r="E2030" s="1218" t="s">
        <v>161</v>
      </c>
      <c r="F2030" s="1218" t="s">
        <v>162</v>
      </c>
      <c r="G2030" s="1217" t="s">
        <v>163</v>
      </c>
      <c r="H2030" s="1205" t="s">
        <v>2321</v>
      </c>
    </row>
    <row r="2031" spans="1:8" hidden="1">
      <c r="A2031" s="1212"/>
      <c r="B2031" s="1212"/>
      <c r="C2031" s="1754" t="s">
        <v>1292</v>
      </c>
      <c r="D2031" s="1212"/>
      <c r="E2031" s="1213">
        <f>G2009</f>
        <v>5429.33</v>
      </c>
      <c r="F2031" s="1213">
        <f>G2009</f>
        <v>5429.33</v>
      </c>
      <c r="G2031" s="1215">
        <f>G2009</f>
        <v>5429.33</v>
      </c>
      <c r="H2031" s="1205" t="s">
        <v>2321</v>
      </c>
    </row>
    <row r="2032" spans="1:8" hidden="1">
      <c r="A2032" s="1212"/>
      <c r="B2032" s="1212"/>
      <c r="C2032" s="1754" t="s">
        <v>1270</v>
      </c>
      <c r="D2032" s="1212">
        <v>0.15</v>
      </c>
      <c r="E2032" s="1213">
        <f>ROUND(E2031*0.15,2)</f>
        <v>814.4</v>
      </c>
      <c r="F2032" s="1213">
        <f>ROUND(F2031*0.15,2)</f>
        <v>814.4</v>
      </c>
      <c r="G2032" s="1215">
        <f>ROUND(G2031*0.15,2)</f>
        <v>814.4</v>
      </c>
      <c r="H2032" s="1205" t="s">
        <v>2321</v>
      </c>
    </row>
    <row r="2033" spans="1:8" ht="25.5" hidden="1">
      <c r="A2033" s="1212"/>
      <c r="B2033" s="1212"/>
      <c r="C2033" s="1752" t="s">
        <v>179</v>
      </c>
      <c r="D2033" s="1212"/>
      <c r="E2033" s="1213">
        <f>E2026</f>
        <v>247</v>
      </c>
      <c r="F2033" s="1213">
        <f>E2033</f>
        <v>247</v>
      </c>
      <c r="G2033" s="1224">
        <f>E2033</f>
        <v>247</v>
      </c>
      <c r="H2033" s="1205" t="s">
        <v>2321</v>
      </c>
    </row>
    <row r="2034" spans="1:8" hidden="1">
      <c r="A2034" s="1212"/>
      <c r="B2034" s="1212"/>
      <c r="C2034" s="1752" t="s">
        <v>180</v>
      </c>
      <c r="D2034" s="1212"/>
      <c r="E2034" s="1213">
        <f>E2027</f>
        <v>241</v>
      </c>
      <c r="F2034" s="1213">
        <f>F2027</f>
        <v>265</v>
      </c>
      <c r="G2034" s="1224">
        <f>G2027</f>
        <v>289</v>
      </c>
      <c r="H2034" s="1205" t="s">
        <v>2321</v>
      </c>
    </row>
    <row r="2035" spans="1:8" ht="25.5" hidden="1">
      <c r="A2035" s="1212"/>
      <c r="B2035" s="1212"/>
      <c r="C2035" s="1752" t="s">
        <v>1290</v>
      </c>
      <c r="D2035" s="1212"/>
      <c r="E2035" s="1212"/>
      <c r="F2035" s="1213">
        <f>ROUND(((G2002+G2003+G2004+F2034)*1)*0.1,2)</f>
        <v>159.9</v>
      </c>
      <c r="G2035" s="1215">
        <f>ROUND(((G2002+G2003+G2004+G2034)*1)*0.2,2)</f>
        <v>324.61</v>
      </c>
      <c r="H2035" s="1205" t="s">
        <v>2321</v>
      </c>
    </row>
    <row r="2036" spans="1:8" hidden="1">
      <c r="A2036" s="1212"/>
      <c r="B2036" s="1212"/>
      <c r="C2036" s="1754" t="s">
        <v>181</v>
      </c>
      <c r="D2036" s="1212"/>
      <c r="E2036" s="1217">
        <f>SUM(E2032:E2035)</f>
        <v>1302.4000000000001</v>
      </c>
      <c r="F2036" s="1217">
        <f>SUM(F2032:F2035)</f>
        <v>1486.3000000000002</v>
      </c>
      <c r="G2036" s="1222">
        <f>SUM(G2032:G2035)</f>
        <v>1675.0100000000002</v>
      </c>
      <c r="H2036" s="1205" t="s">
        <v>2321</v>
      </c>
    </row>
    <row r="2037" spans="1:8" hidden="1">
      <c r="A2037" s="1212"/>
      <c r="B2037" s="1212"/>
      <c r="C2037" s="1754" t="s">
        <v>1293</v>
      </c>
      <c r="D2037" s="1212"/>
      <c r="E2037" s="1213">
        <f>G2009</f>
        <v>5429.33</v>
      </c>
      <c r="F2037" s="1213">
        <f>G2009</f>
        <v>5429.33</v>
      </c>
      <c r="G2037" s="1215">
        <f>G2009</f>
        <v>5429.33</v>
      </c>
      <c r="H2037" s="1205" t="s">
        <v>2321</v>
      </c>
    </row>
    <row r="2038" spans="1:8" hidden="1">
      <c r="A2038" s="1212"/>
      <c r="B2038" s="1212"/>
      <c r="C2038" s="1754" t="s">
        <v>1270</v>
      </c>
      <c r="D2038" s="1223">
        <v>0.17499999999999999</v>
      </c>
      <c r="E2038" s="1213">
        <f>ROUND(E2037*0.175,2)</f>
        <v>950.13</v>
      </c>
      <c r="F2038" s="1213">
        <f>ROUND(F2037*0.175,2)</f>
        <v>950.13</v>
      </c>
      <c r="G2038" s="1215">
        <f>ROUND(G2037*0.175,2)</f>
        <v>950.13</v>
      </c>
      <c r="H2038" s="1205" t="s">
        <v>2321</v>
      </c>
    </row>
    <row r="2039" spans="1:8" ht="25.5" hidden="1">
      <c r="A2039" s="1212"/>
      <c r="B2039" s="1212"/>
      <c r="C2039" s="1752" t="s">
        <v>183</v>
      </c>
      <c r="D2039" s="1212"/>
      <c r="E2039" s="1213">
        <f>'MINI SSR 21-22'!C62</f>
        <v>254</v>
      </c>
      <c r="F2039" s="1213">
        <f>E2039</f>
        <v>254</v>
      </c>
      <c r="G2039" s="1224">
        <f>E2039</f>
        <v>254</v>
      </c>
      <c r="H2039" s="1205" t="s">
        <v>2321</v>
      </c>
    </row>
    <row r="2040" spans="1:8" hidden="1">
      <c r="A2040" s="1212"/>
      <c r="B2040" s="1212"/>
      <c r="C2040" s="1752" t="s">
        <v>184</v>
      </c>
      <c r="D2040" s="1212"/>
      <c r="E2040" s="1213">
        <f>'MINI SSR 21-22'!D62</f>
        <v>248</v>
      </c>
      <c r="F2040" s="1213">
        <f>'MINI SSR 21-22'!E62</f>
        <v>273</v>
      </c>
      <c r="G2040" s="1213">
        <f>'MINI SSR 21-22'!F62</f>
        <v>298</v>
      </c>
      <c r="H2040" s="1205" t="s">
        <v>2321</v>
      </c>
    </row>
    <row r="2041" spans="1:8" ht="25.5" hidden="1">
      <c r="A2041" s="1212"/>
      <c r="B2041" s="1212"/>
      <c r="C2041" s="1752" t="s">
        <v>1290</v>
      </c>
      <c r="D2041" s="1212"/>
      <c r="E2041" s="1212"/>
      <c r="F2041" s="1213">
        <f>ROUND(((G2002+G2003+G2004+F2040)*1)*0.1,2)</f>
        <v>160.69999999999999</v>
      </c>
      <c r="G2041" s="1215">
        <f>ROUND(((G2002+G2003+G2004+G2040)*1)*0.2,2)</f>
        <v>326.41000000000003</v>
      </c>
      <c r="H2041" s="1205" t="s">
        <v>2321</v>
      </c>
    </row>
    <row r="2042" spans="1:8" hidden="1">
      <c r="A2042" s="1212"/>
      <c r="B2042" s="1212"/>
      <c r="C2042" s="1754" t="s">
        <v>181</v>
      </c>
      <c r="D2042" s="1212"/>
      <c r="E2042" s="1217">
        <f>SUM(E2038:E2041)</f>
        <v>1452.13</v>
      </c>
      <c r="F2042" s="1217">
        <f>SUM(F2038:F2041)</f>
        <v>1637.8300000000002</v>
      </c>
      <c r="G2042" s="1222">
        <f>SUM(G2038:G2041)</f>
        <v>1828.5400000000002</v>
      </c>
      <c r="H2042" s="1205" t="s">
        <v>2321</v>
      </c>
    </row>
    <row r="2043" spans="1:8" hidden="1">
      <c r="A2043" s="1212"/>
      <c r="B2043" s="1212"/>
      <c r="C2043" s="1754" t="s">
        <v>1294</v>
      </c>
      <c r="D2043" s="1212"/>
      <c r="E2043" s="1218" t="s">
        <v>161</v>
      </c>
      <c r="F2043" s="1218" t="s">
        <v>162</v>
      </c>
      <c r="G2043" s="1217" t="s">
        <v>163</v>
      </c>
      <c r="H2043" s="1205" t="s">
        <v>2321</v>
      </c>
    </row>
    <row r="2044" spans="1:8" hidden="1">
      <c r="A2044" s="1212"/>
      <c r="B2044" s="1212"/>
      <c r="C2044" s="1752" t="s">
        <v>168</v>
      </c>
      <c r="D2044" s="1212"/>
      <c r="E2044" s="1213">
        <f>G2009</f>
        <v>5429.33</v>
      </c>
      <c r="F2044" s="1213">
        <f>E2044</f>
        <v>5429.33</v>
      </c>
      <c r="G2044" s="1214">
        <f>F2044</f>
        <v>5429.33</v>
      </c>
      <c r="H2044" s="1205" t="s">
        <v>2321</v>
      </c>
    </row>
    <row r="2045" spans="1:8" hidden="1">
      <c r="A2045" s="1212"/>
      <c r="B2045" s="1212"/>
      <c r="C2045" s="1752" t="s">
        <v>169</v>
      </c>
      <c r="D2045" s="1226">
        <v>0.05</v>
      </c>
      <c r="E2045" s="1213">
        <f>ROUND(E2044*D2045,2)</f>
        <v>271.47000000000003</v>
      </c>
      <c r="F2045" s="1213">
        <f>ROUND(F2044*D2045,2)</f>
        <v>271.47000000000003</v>
      </c>
      <c r="G2045" s="1214">
        <f>ROUND(G2044*D2045,2)</f>
        <v>271.47000000000003</v>
      </c>
      <c r="H2045" s="1205" t="s">
        <v>2321</v>
      </c>
    </row>
    <row r="2046" spans="1:8" ht="25.5" hidden="1">
      <c r="A2046" s="1212"/>
      <c r="B2046" s="1212"/>
      <c r="C2046" s="1752" t="s">
        <v>171</v>
      </c>
      <c r="D2046" s="1213" t="s">
        <v>77</v>
      </c>
      <c r="E2046" s="1213">
        <f>'MINI SSR 21-22'!$C$59</f>
        <v>243</v>
      </c>
      <c r="F2046" s="1213">
        <f>'MINI SSR 21-22'!$C$59</f>
        <v>243</v>
      </c>
      <c r="G2046" s="1213">
        <f>'MINI SSR 21-22'!$C$59</f>
        <v>243</v>
      </c>
      <c r="H2046" s="1205" t="s">
        <v>2321</v>
      </c>
    </row>
    <row r="2047" spans="1:8" hidden="1">
      <c r="A2047" s="1212"/>
      <c r="B2047" s="1212"/>
      <c r="C2047" s="1752" t="s">
        <v>172</v>
      </c>
      <c r="D2047" s="1213" t="s">
        <v>77</v>
      </c>
      <c r="E2047" s="1213">
        <f>'MINI SSR 21-22'!$D$59</f>
        <v>264</v>
      </c>
      <c r="F2047" s="1213">
        <f>'MINI SSR 21-22'!$E$59</f>
        <v>290</v>
      </c>
      <c r="G2047" s="1213">
        <f>'MINI SSR 21-22'!$F$59</f>
        <v>317</v>
      </c>
      <c r="H2047" s="1205" t="s">
        <v>2321</v>
      </c>
    </row>
    <row r="2048" spans="1:8" ht="25.5" hidden="1">
      <c r="A2048" s="1212"/>
      <c r="B2048" s="1212"/>
      <c r="C2048" s="1752" t="s">
        <v>170</v>
      </c>
      <c r="D2048" s="1212"/>
      <c r="E2048" s="1212"/>
      <c r="F2048" s="1213">
        <f>ROUND(((G2002+G2003+G2004+F2047))*0.1,2)</f>
        <v>162.4</v>
      </c>
      <c r="G2048" s="1215">
        <f>ROUND(((G2002+G2003+G2004+G2047))*0.2,2)</f>
        <v>330.21</v>
      </c>
      <c r="H2048" s="1205" t="s">
        <v>2321</v>
      </c>
    </row>
    <row r="2049" spans="1:8" hidden="1">
      <c r="A2049" s="1212"/>
      <c r="B2049" s="1212"/>
      <c r="C2049" s="1754" t="s">
        <v>175</v>
      </c>
      <c r="D2049" s="1212"/>
      <c r="E2049" s="1217">
        <f>SUM(E2045:E2048)</f>
        <v>778.47</v>
      </c>
      <c r="F2049" s="1217">
        <f>SUM(F2045:F2048)</f>
        <v>966.87</v>
      </c>
      <c r="G2049" s="1222">
        <f>SUM(G2045:G2048)</f>
        <v>1161.68</v>
      </c>
      <c r="H2049" s="1205" t="s">
        <v>2321</v>
      </c>
    </row>
    <row r="2050" spans="1:8" hidden="1">
      <c r="A2050" s="1156"/>
      <c r="B2050" s="1218"/>
      <c r="C2050" s="1754" t="s">
        <v>173</v>
      </c>
      <c r="D2050" s="1212"/>
      <c r="E2050" s="1212"/>
      <c r="F2050" s="1212"/>
      <c r="G2050" s="1215"/>
      <c r="H2050" s="1205" t="s">
        <v>2321</v>
      </c>
    </row>
    <row r="2051" spans="1:8" hidden="1">
      <c r="A2051" s="1212"/>
      <c r="B2051" s="1212"/>
      <c r="C2051" s="1754"/>
      <c r="D2051" s="1212"/>
      <c r="E2051" s="1218" t="s">
        <v>161</v>
      </c>
      <c r="F2051" s="1218" t="s">
        <v>162</v>
      </c>
      <c r="G2051" s="1217" t="s">
        <v>163</v>
      </c>
      <c r="H2051" s="1205" t="s">
        <v>2321</v>
      </c>
    </row>
    <row r="2052" spans="1:8" hidden="1">
      <c r="A2052" s="1212"/>
      <c r="B2052" s="1212"/>
      <c r="C2052" s="1752" t="s">
        <v>174</v>
      </c>
      <c r="D2052" s="1226"/>
      <c r="E2052" s="1213">
        <f>E2044</f>
        <v>5429.33</v>
      </c>
      <c r="F2052" s="1213">
        <f>F2044</f>
        <v>5429.33</v>
      </c>
      <c r="G2052" s="1215">
        <f>G2044</f>
        <v>5429.33</v>
      </c>
      <c r="H2052" s="1205" t="s">
        <v>2321</v>
      </c>
    </row>
    <row r="2053" spans="1:8" hidden="1">
      <c r="A2053" s="1212"/>
      <c r="B2053" s="1212"/>
      <c r="C2053" s="1752" t="s">
        <v>1271</v>
      </c>
      <c r="D2053" s="1226">
        <v>3.7499999999999999E-2</v>
      </c>
      <c r="E2053" s="1213">
        <f>ROUND(E2052*0.0375,2)</f>
        <v>203.6</v>
      </c>
      <c r="F2053" s="1213">
        <f>ROUND(F2052*0.0375,2)</f>
        <v>203.6</v>
      </c>
      <c r="G2053" s="1215">
        <f>ROUND(G2052*0.0375,2)</f>
        <v>203.6</v>
      </c>
      <c r="H2053" s="1205" t="s">
        <v>2321</v>
      </c>
    </row>
    <row r="2054" spans="1:8" hidden="1">
      <c r="A2054" s="1212"/>
      <c r="B2054" s="1212"/>
      <c r="C2054" s="1752" t="s">
        <v>834</v>
      </c>
      <c r="D2054" s="1213">
        <v>0.6</v>
      </c>
      <c r="E2054" s="1213">
        <f>'MINI SSR 21-22'!$C$59*D2054</f>
        <v>145.79999999999998</v>
      </c>
      <c r="F2054" s="1213">
        <f>'MINI SSR 21-22'!$C$59*D2054</f>
        <v>145.79999999999998</v>
      </c>
      <c r="G2054" s="1213">
        <f>'MINI SSR 21-22'!$C$59*D2054</f>
        <v>145.79999999999998</v>
      </c>
      <c r="H2054" s="1205" t="s">
        <v>2321</v>
      </c>
    </row>
    <row r="2055" spans="1:8" hidden="1">
      <c r="A2055" s="1212"/>
      <c r="B2055" s="1212"/>
      <c r="C2055" s="1752" t="s">
        <v>835</v>
      </c>
      <c r="D2055" s="1213">
        <v>0.6</v>
      </c>
      <c r="E2055" s="1213">
        <f>'MINI SSR 21-22'!$D$59*D2055</f>
        <v>158.4</v>
      </c>
      <c r="F2055" s="1213">
        <f>'MINI SSR 21-22'!$E$59*D2055</f>
        <v>174</v>
      </c>
      <c r="G2055" s="1213">
        <f>'MINI SSR 21-22'!$F$59*D2055</f>
        <v>190.2</v>
      </c>
      <c r="H2055" s="1205" t="s">
        <v>2321</v>
      </c>
    </row>
    <row r="2056" spans="1:8" ht="25.5" hidden="1">
      <c r="A2056" s="1212"/>
      <c r="B2056" s="1212"/>
      <c r="C2056" s="1752" t="s">
        <v>170</v>
      </c>
      <c r="D2056" s="1212">
        <v>0.6</v>
      </c>
      <c r="E2056" s="1212"/>
      <c r="F2056" s="1215">
        <f>ROUND(((G2002+G2003+G2004+F2055)*D2056)*0.1,2)</f>
        <v>90.48</v>
      </c>
      <c r="G2056" s="1215">
        <f>ROUND(((G2002+G2003+G2004+G2055)*D2056)*0.2,2)</f>
        <v>182.91</v>
      </c>
      <c r="H2056" s="1205" t="s">
        <v>2321</v>
      </c>
    </row>
    <row r="2057" spans="1:8" hidden="1">
      <c r="A2057" s="1212"/>
      <c r="B2057" s="1212"/>
      <c r="C2057" s="1754" t="s">
        <v>176</v>
      </c>
      <c r="D2057" s="1212"/>
      <c r="E2057" s="1217">
        <f>SUM(E2053:E2056)</f>
        <v>507.79999999999995</v>
      </c>
      <c r="F2057" s="1217">
        <f>SUM(F2053:F2056)</f>
        <v>613.88</v>
      </c>
      <c r="G2057" s="1222">
        <f>SUM(G2053:G2056)</f>
        <v>722.50999999999988</v>
      </c>
      <c r="H2057" s="1205" t="s">
        <v>2321</v>
      </c>
    </row>
    <row r="2058" spans="1:8" ht="191.25" hidden="1">
      <c r="A2058" s="1156">
        <v>17</v>
      </c>
      <c r="B2058" s="1218" t="s">
        <v>78</v>
      </c>
      <c r="C2058" s="1752" t="s">
        <v>1316</v>
      </c>
      <c r="D2058" s="1212"/>
      <c r="E2058" s="1212"/>
      <c r="F2058" s="1212"/>
      <c r="G2058" s="1218"/>
      <c r="H2058" s="1205" t="s">
        <v>2321</v>
      </c>
    </row>
    <row r="2059" spans="1:8" hidden="1">
      <c r="A2059" s="1156"/>
      <c r="B2059" s="1218"/>
      <c r="C2059" s="1754" t="s">
        <v>1211</v>
      </c>
      <c r="D2059" s="1212"/>
      <c r="E2059" s="1212"/>
      <c r="F2059" s="1212"/>
      <c r="G2059" s="1215"/>
      <c r="H2059" s="1205" t="s">
        <v>2321</v>
      </c>
    </row>
    <row r="2060" spans="1:8" hidden="1">
      <c r="A2060" s="1156"/>
      <c r="B2060" s="1218"/>
      <c r="C2060" s="1754" t="s">
        <v>60</v>
      </c>
      <c r="D2060" s="1218"/>
      <c r="E2060" s="1218"/>
      <c r="F2060" s="1218"/>
      <c r="G2060" s="1215"/>
      <c r="H2060" s="1205" t="s">
        <v>2321</v>
      </c>
    </row>
    <row r="2061" spans="1:8" hidden="1">
      <c r="A2061" s="1156"/>
      <c r="B2061" s="1218"/>
      <c r="C2061" s="1752" t="s">
        <v>154</v>
      </c>
      <c r="D2061" s="1212" t="s">
        <v>35</v>
      </c>
      <c r="E2061" s="1213">
        <v>0.8</v>
      </c>
      <c r="F2061" s="1213">
        <f>F1871</f>
        <v>1876.2299999999998</v>
      </c>
      <c r="G2061" s="1214">
        <f>ROUND(E2061*F2061,2)</f>
        <v>1500.98</v>
      </c>
      <c r="H2061" s="1205" t="s">
        <v>2321</v>
      </c>
    </row>
    <row r="2062" spans="1:8" hidden="1">
      <c r="A2062" s="1156"/>
      <c r="B2062" s="1218"/>
      <c r="C2062" s="1752" t="s">
        <v>112</v>
      </c>
      <c r="D2062" s="1212" t="s">
        <v>35</v>
      </c>
      <c r="E2062" s="1213">
        <v>0.4</v>
      </c>
      <c r="F2062" s="1213">
        <f>'lead 21-22'!L13</f>
        <v>1648.4000000000019</v>
      </c>
      <c r="G2062" s="1214">
        <f>ROUND(E2062*F2062,2)</f>
        <v>659.36</v>
      </c>
      <c r="H2062" s="1205" t="s">
        <v>2321</v>
      </c>
    </row>
    <row r="2063" spans="1:8" hidden="1">
      <c r="A2063" s="1212"/>
      <c r="B2063" s="1212"/>
      <c r="C2063" s="1752" t="s">
        <v>33</v>
      </c>
      <c r="D2063" s="1212" t="s">
        <v>4</v>
      </c>
      <c r="E2063" s="1213">
        <f>E2000</f>
        <v>340</v>
      </c>
      <c r="F2063" s="1213">
        <f>'lead 21-22'!L8</f>
        <v>4700</v>
      </c>
      <c r="G2063" s="1214">
        <f>ROUND(E2063*F2063/1000,2)</f>
        <v>1598</v>
      </c>
      <c r="H2063" s="1205" t="s">
        <v>2321</v>
      </c>
    </row>
    <row r="2064" spans="1:8" hidden="1">
      <c r="A2064" s="1212"/>
      <c r="B2064" s="1212"/>
      <c r="C2064" s="1754" t="s">
        <v>68</v>
      </c>
      <c r="D2064" s="1212"/>
      <c r="E2064" s="1213"/>
      <c r="F2064" s="1213"/>
      <c r="G2064" s="1214"/>
      <c r="H2064" s="1205" t="s">
        <v>2321</v>
      </c>
    </row>
    <row r="2065" spans="1:8" hidden="1">
      <c r="A2065" s="1212"/>
      <c r="B2065" s="1212"/>
      <c r="C2065" s="1752" t="s">
        <v>64</v>
      </c>
      <c r="D2065" s="1212" t="s">
        <v>27</v>
      </c>
      <c r="E2065" s="1223">
        <v>6.7000000000000004E-2</v>
      </c>
      <c r="F2065" s="1213">
        <f>'MINI SSR 21-22'!$H$3</f>
        <v>585</v>
      </c>
      <c r="G2065" s="1214">
        <f>ROUND(E2065*F2065,2)</f>
        <v>39.200000000000003</v>
      </c>
      <c r="H2065" s="1205" t="s">
        <v>2321</v>
      </c>
    </row>
    <row r="2066" spans="1:8" hidden="1">
      <c r="A2066" s="1212"/>
      <c r="B2066" s="1212"/>
      <c r="C2066" s="1752" t="s">
        <v>69</v>
      </c>
      <c r="D2066" s="1212" t="s">
        <v>27</v>
      </c>
      <c r="E2066" s="1223">
        <v>0.13300000000000001</v>
      </c>
      <c r="F2066" s="1213">
        <f>'MINI SSR 21-22'!$H$4</f>
        <v>525</v>
      </c>
      <c r="G2066" s="1214">
        <f>ROUND(E2066*F2066,2)</f>
        <v>69.83</v>
      </c>
      <c r="H2066" s="1205" t="s">
        <v>2321</v>
      </c>
    </row>
    <row r="2067" spans="1:8" hidden="1">
      <c r="A2067" s="1212"/>
      <c r="B2067" s="1212"/>
      <c r="C2067" s="1752" t="s">
        <v>70</v>
      </c>
      <c r="D2067" s="1212" t="s">
        <v>27</v>
      </c>
      <c r="E2067" s="1223">
        <v>2.5</v>
      </c>
      <c r="F2067" s="1213">
        <f>'MINI SSR 21-22'!H$5</f>
        <v>490</v>
      </c>
      <c r="G2067" s="1214">
        <f>ROUND(E2067*F2067,2)</f>
        <v>1225</v>
      </c>
      <c r="H2067" s="1205" t="s">
        <v>2321</v>
      </c>
    </row>
    <row r="2068" spans="1:8" hidden="1">
      <c r="A2068" s="1212"/>
      <c r="B2068" s="1212"/>
      <c r="C2068" s="1754" t="s">
        <v>61</v>
      </c>
      <c r="D2068" s="1212"/>
      <c r="E2068" s="1213"/>
      <c r="F2068" s="1213"/>
      <c r="G2068" s="1214"/>
      <c r="H2068" s="1205" t="s">
        <v>2321</v>
      </c>
    </row>
    <row r="2069" spans="1:8" hidden="1">
      <c r="A2069" s="1212"/>
      <c r="B2069" s="1212"/>
      <c r="C2069" s="1752" t="s">
        <v>62</v>
      </c>
      <c r="D2069" s="1212" t="s">
        <v>21</v>
      </c>
      <c r="E2069" s="1223">
        <v>0.26700000000000002</v>
      </c>
      <c r="F2069" s="1213">
        <f>'MINI SSR 21-22'!$C$30</f>
        <v>626.20000000000005</v>
      </c>
      <c r="G2069" s="1214">
        <f>ROUND(E2069*F2069,2)</f>
        <v>167.2</v>
      </c>
      <c r="H2069" s="1205" t="s">
        <v>2321</v>
      </c>
    </row>
    <row r="2070" spans="1:8" hidden="1">
      <c r="A2070" s="1212"/>
      <c r="B2070" s="1212"/>
      <c r="C2070" s="1752" t="s">
        <v>57</v>
      </c>
      <c r="D2070" s="1212" t="s">
        <v>58</v>
      </c>
      <c r="E2070" s="1213">
        <v>1.2</v>
      </c>
      <c r="F2070" s="1221">
        <f>'MINI SSR 21-22'!$C$29</f>
        <v>88</v>
      </c>
      <c r="G2070" s="1214">
        <f>ROUND(E2070*F2070,2)</f>
        <v>105.6</v>
      </c>
      <c r="H2070" s="1205" t="s">
        <v>2321</v>
      </c>
    </row>
    <row r="2071" spans="1:8" hidden="1">
      <c r="A2071" s="1212"/>
      <c r="B2071" s="1212"/>
      <c r="C2071" s="1754" t="s">
        <v>71</v>
      </c>
      <c r="D2071" s="1212"/>
      <c r="E2071" s="1212"/>
      <c r="F2071" s="1212"/>
      <c r="G2071" s="1222">
        <f>SUM(G2061:G2070)+0.01</f>
        <v>5365.18</v>
      </c>
      <c r="H2071" s="1205" t="s">
        <v>2321</v>
      </c>
    </row>
    <row r="2072" spans="1:8" hidden="1">
      <c r="A2072" s="1212"/>
      <c r="B2072" s="1212"/>
      <c r="C2072" s="1754"/>
      <c r="D2072" s="1212"/>
      <c r="E2072" s="1218" t="s">
        <v>161</v>
      </c>
      <c r="F2072" s="1218" t="s">
        <v>162</v>
      </c>
      <c r="G2072" s="1217" t="s">
        <v>163</v>
      </c>
      <c r="H2072" s="1205" t="s">
        <v>2321</v>
      </c>
    </row>
    <row r="2073" spans="1:8" hidden="1">
      <c r="A2073" s="1212"/>
      <c r="B2073" s="1212"/>
      <c r="C2073" s="1754" t="s">
        <v>1295</v>
      </c>
      <c r="D2073" s="1212"/>
      <c r="E2073" s="1213">
        <f>G2071</f>
        <v>5365.18</v>
      </c>
      <c r="F2073" s="1213">
        <f>G2071</f>
        <v>5365.18</v>
      </c>
      <c r="G2073" s="1215">
        <f>G2071</f>
        <v>5365.18</v>
      </c>
      <c r="H2073" s="1205" t="s">
        <v>2321</v>
      </c>
    </row>
    <row r="2074" spans="1:8" hidden="1">
      <c r="A2074" s="1212"/>
      <c r="B2074" s="1212"/>
      <c r="C2074" s="1754" t="s">
        <v>1272</v>
      </c>
      <c r="D2074" s="1213">
        <v>0.05</v>
      </c>
      <c r="E2074" s="1213">
        <f>ROUND(E2073*D2074,2)</f>
        <v>268.26</v>
      </c>
      <c r="F2074" s="1213">
        <f>ROUND(F2073*D2074,2)</f>
        <v>268.26</v>
      </c>
      <c r="G2074" s="1215">
        <f>ROUND(G2073*D2074,2)</f>
        <v>268.26</v>
      </c>
      <c r="H2074" s="1205" t="s">
        <v>2321</v>
      </c>
    </row>
    <row r="2075" spans="1:8" ht="25.5" hidden="1">
      <c r="A2075" s="1212"/>
      <c r="B2075" s="1212"/>
      <c r="C2075" s="1752" t="s">
        <v>1212</v>
      </c>
      <c r="D2075" s="1212"/>
      <c r="E2075" s="1213">
        <f>E2019*50%</f>
        <v>123.5</v>
      </c>
      <c r="F2075" s="1213">
        <f>E2075</f>
        <v>123.5</v>
      </c>
      <c r="G2075" s="1224">
        <f>E2075</f>
        <v>123.5</v>
      </c>
      <c r="H2075" s="1205" t="s">
        <v>2321</v>
      </c>
    </row>
    <row r="2076" spans="1:8" ht="25.5" hidden="1">
      <c r="A2076" s="1212"/>
      <c r="B2076" s="1212"/>
      <c r="C2076" s="1752" t="s">
        <v>1213</v>
      </c>
      <c r="D2076" s="1212"/>
      <c r="E2076" s="1213">
        <f>E2020*50%</f>
        <v>120.5</v>
      </c>
      <c r="F2076" s="1213">
        <f>F2020*50%</f>
        <v>132.5</v>
      </c>
      <c r="G2076" s="1215">
        <f>G2020*50%</f>
        <v>144.5</v>
      </c>
      <c r="H2076" s="1205" t="s">
        <v>2321</v>
      </c>
    </row>
    <row r="2077" spans="1:8" ht="25.5" hidden="1">
      <c r="A2077" s="1212"/>
      <c r="B2077" s="1212"/>
      <c r="C2077" s="1752" t="s">
        <v>1290</v>
      </c>
      <c r="D2077" s="1212"/>
      <c r="E2077" s="1212"/>
      <c r="F2077" s="1213">
        <f>ROUND(((G2065+G2066+G2067+F2076)*0.1),2)</f>
        <v>146.65</v>
      </c>
      <c r="G2077" s="1213">
        <f>ROUND(((G2065+G2066+G2067+G2076)*0.2),2)</f>
        <v>295.70999999999998</v>
      </c>
      <c r="H2077" s="1205" t="s">
        <v>2321</v>
      </c>
    </row>
    <row r="2078" spans="1:8" hidden="1">
      <c r="A2078" s="1212"/>
      <c r="B2078" s="1212"/>
      <c r="C2078" s="1754" t="s">
        <v>181</v>
      </c>
      <c r="D2078" s="1212"/>
      <c r="E2078" s="1217">
        <f>SUM(E2074:E2077)</f>
        <v>512.26</v>
      </c>
      <c r="F2078" s="1217">
        <f>SUM(F2074:F2077)</f>
        <v>670.91</v>
      </c>
      <c r="G2078" s="1222">
        <f>SUM(G2074:G2077)</f>
        <v>831.97</v>
      </c>
      <c r="H2078" s="1205" t="s">
        <v>2321</v>
      </c>
    </row>
    <row r="2079" spans="1:8" hidden="1">
      <c r="A2079" s="1212"/>
      <c r="B2079" s="1212"/>
      <c r="C2079" s="1754"/>
      <c r="D2079" s="1212"/>
      <c r="E2079" s="1218" t="s">
        <v>161</v>
      </c>
      <c r="F2079" s="1218" t="s">
        <v>162</v>
      </c>
      <c r="G2079" s="1217" t="s">
        <v>163</v>
      </c>
      <c r="H2079" s="1205" t="s">
        <v>2321</v>
      </c>
    </row>
    <row r="2080" spans="1:8" hidden="1">
      <c r="A2080" s="1212"/>
      <c r="B2080" s="1212"/>
      <c r="C2080" s="1754" t="s">
        <v>1296</v>
      </c>
      <c r="D2080" s="1212"/>
      <c r="E2080" s="1213">
        <f>G2071</f>
        <v>5365.18</v>
      </c>
      <c r="F2080" s="1213">
        <f>E2080</f>
        <v>5365.18</v>
      </c>
      <c r="G2080" s="1215">
        <f>F2080</f>
        <v>5365.18</v>
      </c>
      <c r="H2080" s="1205" t="s">
        <v>2321</v>
      </c>
    </row>
    <row r="2081" spans="1:8" hidden="1">
      <c r="A2081" s="1212"/>
      <c r="B2081" s="1212"/>
      <c r="C2081" s="1754" t="s">
        <v>1272</v>
      </c>
      <c r="D2081" s="1223">
        <v>2.5000000000000001E-2</v>
      </c>
      <c r="E2081" s="1213">
        <f>ROUND(E2080*D2081,2)</f>
        <v>134.13</v>
      </c>
      <c r="F2081" s="1213">
        <f>ROUND(F2080*D2081,2)</f>
        <v>134.13</v>
      </c>
      <c r="G2081" s="1215">
        <f>ROUND(G2080*D2081,2)</f>
        <v>134.13</v>
      </c>
      <c r="H2081" s="1205" t="s">
        <v>2321</v>
      </c>
    </row>
    <row r="2082" spans="1:8" ht="25.5" hidden="1">
      <c r="A2082" s="1212"/>
      <c r="B2082" s="1212"/>
      <c r="C2082" s="1752" t="s">
        <v>1212</v>
      </c>
      <c r="D2082" s="1212"/>
      <c r="E2082" s="1213">
        <f>E2026*50%</f>
        <v>123.5</v>
      </c>
      <c r="F2082" s="1213">
        <f>E2082</f>
        <v>123.5</v>
      </c>
      <c r="G2082" s="1224">
        <f>E2082</f>
        <v>123.5</v>
      </c>
      <c r="H2082" s="1205" t="s">
        <v>2321</v>
      </c>
    </row>
    <row r="2083" spans="1:8" ht="25.5" hidden="1">
      <c r="A2083" s="1212"/>
      <c r="B2083" s="1212"/>
      <c r="C2083" s="1752" t="s">
        <v>1213</v>
      </c>
      <c r="D2083" s="1212"/>
      <c r="E2083" s="1213">
        <f>E2027*50%</f>
        <v>120.5</v>
      </c>
      <c r="F2083" s="1213">
        <f>F2027*50%</f>
        <v>132.5</v>
      </c>
      <c r="G2083" s="1215">
        <f>G2027*50%</f>
        <v>144.5</v>
      </c>
      <c r="H2083" s="1205" t="s">
        <v>2321</v>
      </c>
    </row>
    <row r="2084" spans="1:8" ht="25.5" hidden="1">
      <c r="A2084" s="1212"/>
      <c r="B2084" s="1212"/>
      <c r="C2084" s="1752" t="s">
        <v>1290</v>
      </c>
      <c r="D2084" s="1212"/>
      <c r="E2084" s="1212"/>
      <c r="F2084" s="1213">
        <f>ROUND(((G2065+G2066+G2067+F2083)*0.1),2)</f>
        <v>146.65</v>
      </c>
      <c r="G2084" s="1213">
        <f>ROUND(((G2065+G2066+G2067+G2083)*0.2),2)</f>
        <v>295.70999999999998</v>
      </c>
      <c r="H2084" s="1205" t="s">
        <v>2321</v>
      </c>
    </row>
    <row r="2085" spans="1:8" hidden="1">
      <c r="A2085" s="1212"/>
      <c r="B2085" s="1212"/>
      <c r="C2085" s="1754" t="s">
        <v>181</v>
      </c>
      <c r="D2085" s="1212"/>
      <c r="E2085" s="1217">
        <f>SUM(E2081:E2084)</f>
        <v>378.13</v>
      </c>
      <c r="F2085" s="1217">
        <f>SUM(F2081:F2084)</f>
        <v>536.78</v>
      </c>
      <c r="G2085" s="1222">
        <f>SUM(G2081:G2084)</f>
        <v>697.83999999999992</v>
      </c>
      <c r="H2085" s="1205" t="s">
        <v>2321</v>
      </c>
    </row>
    <row r="2086" spans="1:8" ht="127.5" hidden="1">
      <c r="A2086" s="1156">
        <v>18</v>
      </c>
      <c r="B2086" s="1218"/>
      <c r="C2086" s="1752" t="s">
        <v>315</v>
      </c>
      <c r="D2086" s="1212"/>
      <c r="E2086" s="1212"/>
      <c r="F2086" s="1212"/>
      <c r="G2086" s="1218"/>
      <c r="H2086" s="1205" t="s">
        <v>2321</v>
      </c>
    </row>
    <row r="2087" spans="1:8" hidden="1">
      <c r="A2087" s="1156"/>
      <c r="B2087" s="1218"/>
      <c r="C2087" s="1754" t="s">
        <v>314</v>
      </c>
      <c r="D2087" s="1212"/>
      <c r="E2087" s="1212"/>
      <c r="F2087" s="1212"/>
      <c r="G2087" s="1215"/>
      <c r="H2087" s="1205" t="s">
        <v>2321</v>
      </c>
    </row>
    <row r="2088" spans="1:8" hidden="1">
      <c r="A2088" s="1156"/>
      <c r="B2088" s="1218"/>
      <c r="C2088" s="1754" t="s">
        <v>60</v>
      </c>
      <c r="D2088" s="1218"/>
      <c r="E2088" s="1218"/>
      <c r="F2088" s="1218"/>
      <c r="G2088" s="1215"/>
      <c r="H2088" s="1205" t="s">
        <v>2321</v>
      </c>
    </row>
    <row r="2089" spans="1:8" hidden="1">
      <c r="A2089" s="1156"/>
      <c r="B2089" s="1218"/>
      <c r="C2089" s="1752" t="s">
        <v>154</v>
      </c>
      <c r="D2089" s="1212" t="s">
        <v>35</v>
      </c>
      <c r="E2089" s="1213">
        <v>0.8</v>
      </c>
      <c r="F2089" s="1213">
        <f>F1998</f>
        <v>1876.2299999999998</v>
      </c>
      <c r="G2089" s="1214">
        <f>ROUND(E2089*F2089,2)</f>
        <v>1500.98</v>
      </c>
      <c r="H2089" s="1205" t="s">
        <v>2321</v>
      </c>
    </row>
    <row r="2090" spans="1:8" hidden="1">
      <c r="A2090" s="1156"/>
      <c r="B2090" s="1218"/>
      <c r="C2090" s="1752" t="s">
        <v>112</v>
      </c>
      <c r="D2090" s="1212" t="s">
        <v>35</v>
      </c>
      <c r="E2090" s="1213">
        <v>0.4</v>
      </c>
      <c r="F2090" s="1213">
        <f>F1999</f>
        <v>1648.4000000000019</v>
      </c>
      <c r="G2090" s="1214">
        <f>ROUND(E2090*F2090,2)</f>
        <v>659.36</v>
      </c>
      <c r="H2090" s="1205" t="s">
        <v>2321</v>
      </c>
    </row>
    <row r="2091" spans="1:8" hidden="1">
      <c r="A2091" s="1212"/>
      <c r="B2091" s="1212"/>
      <c r="C2091" s="1752" t="s">
        <v>33</v>
      </c>
      <c r="D2091" s="1212" t="s">
        <v>4</v>
      </c>
      <c r="E2091" s="1213">
        <f>E2063</f>
        <v>340</v>
      </c>
      <c r="F2091" s="1213">
        <f>F2000</f>
        <v>4700</v>
      </c>
      <c r="G2091" s="1214">
        <f>ROUND(E2091*F2091/1000,2)</f>
        <v>1598</v>
      </c>
      <c r="H2091" s="1205" t="s">
        <v>2321</v>
      </c>
    </row>
    <row r="2092" spans="1:8" hidden="1">
      <c r="A2092" s="1212"/>
      <c r="B2092" s="1212"/>
      <c r="C2092" s="1754" t="s">
        <v>68</v>
      </c>
      <c r="D2092" s="1212"/>
      <c r="E2092" s="1213"/>
      <c r="F2092" s="1213"/>
      <c r="G2092" s="1214"/>
      <c r="H2092" s="1205" t="s">
        <v>2321</v>
      </c>
    </row>
    <row r="2093" spans="1:8" hidden="1">
      <c r="A2093" s="1212"/>
      <c r="B2093" s="1212"/>
      <c r="C2093" s="1752" t="s">
        <v>64</v>
      </c>
      <c r="D2093" s="1212" t="s">
        <v>27</v>
      </c>
      <c r="E2093" s="1223">
        <v>0.1</v>
      </c>
      <c r="F2093" s="1213">
        <f>'MINI SSR 21-22'!$H$3</f>
        <v>585</v>
      </c>
      <c r="G2093" s="1214">
        <f>ROUND(E2093*F2093,2)</f>
        <v>58.5</v>
      </c>
      <c r="H2093" s="1205" t="s">
        <v>2321</v>
      </c>
    </row>
    <row r="2094" spans="1:8" hidden="1">
      <c r="A2094" s="1212"/>
      <c r="B2094" s="1212"/>
      <c r="C2094" s="1752" t="s">
        <v>69</v>
      </c>
      <c r="D2094" s="1212" t="s">
        <v>27</v>
      </c>
      <c r="E2094" s="1223">
        <v>1.39</v>
      </c>
      <c r="F2094" s="1213">
        <f>'MINI SSR 21-22'!$H$4</f>
        <v>525</v>
      </c>
      <c r="G2094" s="1214">
        <f>ROUND(E2094*F2094,2)</f>
        <v>729.75</v>
      </c>
      <c r="H2094" s="1205" t="s">
        <v>2321</v>
      </c>
    </row>
    <row r="2095" spans="1:8" hidden="1">
      <c r="A2095" s="1212"/>
      <c r="B2095" s="1212"/>
      <c r="C2095" s="1754" t="s">
        <v>61</v>
      </c>
      <c r="D2095" s="1212"/>
      <c r="E2095" s="1213"/>
      <c r="F2095" s="1213"/>
      <c r="G2095" s="1214"/>
      <c r="H2095" s="1205" t="s">
        <v>2321</v>
      </c>
    </row>
    <row r="2096" spans="1:8" hidden="1">
      <c r="A2096" s="1212"/>
      <c r="B2096" s="1212"/>
      <c r="C2096" s="1752" t="s">
        <v>62</v>
      </c>
      <c r="D2096" s="1212" t="s">
        <v>21</v>
      </c>
      <c r="E2096" s="1223">
        <v>0.308</v>
      </c>
      <c r="F2096" s="1213">
        <f>'MINI SSR 21-22'!$C$30</f>
        <v>626.20000000000005</v>
      </c>
      <c r="G2096" s="1214">
        <f>ROUND(E2096*F2096,2)</f>
        <v>192.87</v>
      </c>
      <c r="H2096" s="1205" t="s">
        <v>2321</v>
      </c>
    </row>
    <row r="2097" spans="1:8" hidden="1">
      <c r="A2097" s="1212"/>
      <c r="B2097" s="1212"/>
      <c r="C2097" s="1752" t="s">
        <v>160</v>
      </c>
      <c r="D2097" s="1212" t="s">
        <v>21</v>
      </c>
      <c r="E2097" s="1223">
        <v>0.308</v>
      </c>
      <c r="F2097" s="1213">
        <f>'MINI SSR 21-22'!$C$31</f>
        <v>240.3</v>
      </c>
      <c r="G2097" s="1214">
        <f>ROUND(E2097*F2097,2)</f>
        <v>74.010000000000005</v>
      </c>
      <c r="H2097" s="1205" t="s">
        <v>2321</v>
      </c>
    </row>
    <row r="2098" spans="1:8" hidden="1">
      <c r="A2098" s="1212"/>
      <c r="B2098" s="1212"/>
      <c r="C2098" s="1752" t="s">
        <v>57</v>
      </c>
      <c r="D2098" s="1212" t="s">
        <v>58</v>
      </c>
      <c r="E2098" s="1213">
        <v>1.2</v>
      </c>
      <c r="F2098" s="1221">
        <f>'MINI SSR 21-22'!$C$29</f>
        <v>88</v>
      </c>
      <c r="G2098" s="1214">
        <f>ROUND(E2098*F2098,2)</f>
        <v>105.6</v>
      </c>
      <c r="H2098" s="1205" t="s">
        <v>2321</v>
      </c>
    </row>
    <row r="2099" spans="1:8" hidden="1">
      <c r="A2099" s="1212"/>
      <c r="B2099" s="1212"/>
      <c r="C2099" s="1754" t="s">
        <v>71</v>
      </c>
      <c r="D2099" s="1212"/>
      <c r="E2099" s="1212"/>
      <c r="F2099" s="1212"/>
      <c r="G2099" s="1222">
        <f>SUM(G2089:G2098)</f>
        <v>4919.0700000000006</v>
      </c>
      <c r="H2099" s="1205" t="s">
        <v>2321</v>
      </c>
    </row>
    <row r="2100" spans="1:8" hidden="1">
      <c r="A2100" s="1212"/>
      <c r="B2100" s="1212"/>
      <c r="C2100" s="1754"/>
      <c r="D2100" s="1212"/>
      <c r="E2100" s="1218" t="s">
        <v>161</v>
      </c>
      <c r="F2100" s="1218" t="s">
        <v>162</v>
      </c>
      <c r="G2100" s="1218" t="s">
        <v>162</v>
      </c>
      <c r="H2100" s="1205" t="s">
        <v>2321</v>
      </c>
    </row>
    <row r="2101" spans="1:8" hidden="1">
      <c r="A2101" s="1212"/>
      <c r="B2101" s="1212"/>
      <c r="C2101" s="1754" t="s">
        <v>1297</v>
      </c>
      <c r="D2101" s="1212"/>
      <c r="E2101" s="1213">
        <f>G2099</f>
        <v>4919.0700000000006</v>
      </c>
      <c r="F2101" s="1213">
        <f>G2099</f>
        <v>4919.0700000000006</v>
      </c>
      <c r="G2101" s="1213">
        <f>F2101</f>
        <v>4919.0700000000006</v>
      </c>
      <c r="H2101" s="1205" t="s">
        <v>2321</v>
      </c>
    </row>
    <row r="2102" spans="1:8" ht="25.5" hidden="1">
      <c r="A2102" s="1212"/>
      <c r="B2102" s="1212"/>
      <c r="C2102" s="1752" t="s">
        <v>177</v>
      </c>
      <c r="D2102" s="1212"/>
      <c r="E2102" s="1213">
        <f>'MINI SSR 21-22'!C53</f>
        <v>67</v>
      </c>
      <c r="F2102" s="1213">
        <f>E2102</f>
        <v>67</v>
      </c>
      <c r="G2102" s="1213">
        <f>F2102</f>
        <v>67</v>
      </c>
      <c r="H2102" s="1205" t="s">
        <v>2321</v>
      </c>
    </row>
    <row r="2103" spans="1:8" hidden="1">
      <c r="A2103" s="1212"/>
      <c r="B2103" s="1212"/>
      <c r="C2103" s="1752" t="s">
        <v>178</v>
      </c>
      <c r="D2103" s="1212"/>
      <c r="E2103" s="1213">
        <f>'MINI SSR 21-22'!D53</f>
        <v>363</v>
      </c>
      <c r="F2103" s="1213">
        <f>E2103</f>
        <v>363</v>
      </c>
      <c r="G2103" s="1213">
        <f>F2103</f>
        <v>363</v>
      </c>
      <c r="H2103" s="1205" t="s">
        <v>2321</v>
      </c>
    </row>
    <row r="2104" spans="1:8" ht="25.5" hidden="1">
      <c r="A2104" s="1212"/>
      <c r="B2104" s="1212"/>
      <c r="C2104" s="1752" t="s">
        <v>1286</v>
      </c>
      <c r="D2104" s="1212"/>
      <c r="E2104" s="1212"/>
      <c r="F2104" s="1213">
        <f>ROUND((G2093+G2094+F2103)*0.1,2)</f>
        <v>115.13</v>
      </c>
      <c r="G2104" s="1213">
        <f>ROUND((G2093+G2094+G2103)*0.2,2)</f>
        <v>230.25</v>
      </c>
      <c r="H2104" s="1205" t="s">
        <v>2321</v>
      </c>
    </row>
    <row r="2105" spans="1:8" hidden="1">
      <c r="A2105" s="1212"/>
      <c r="B2105" s="1212"/>
      <c r="C2105" s="1754" t="s">
        <v>182</v>
      </c>
      <c r="D2105" s="1212"/>
      <c r="E2105" s="1217">
        <f>SUM(E2101:E2104)</f>
        <v>5349.0700000000006</v>
      </c>
      <c r="F2105" s="1217">
        <f>SUM(F2101:F2104)</f>
        <v>5464.2000000000007</v>
      </c>
      <c r="G2105" s="1217">
        <f>SUM(G2101:G2104)</f>
        <v>5579.3200000000006</v>
      </c>
      <c r="H2105" s="1205" t="s">
        <v>2321</v>
      </c>
    </row>
    <row r="2106" spans="1:8" ht="127.5" hidden="1">
      <c r="A2106" s="1156">
        <v>25</v>
      </c>
      <c r="B2106" s="1218" t="s">
        <v>1328</v>
      </c>
      <c r="C2106" s="1752" t="s">
        <v>1329</v>
      </c>
      <c r="D2106" s="1212"/>
      <c r="E2106" s="1212"/>
      <c r="F2106" s="1212"/>
      <c r="G2106" s="1218"/>
      <c r="H2106" s="1205" t="s">
        <v>2321</v>
      </c>
    </row>
    <row r="2107" spans="1:8" hidden="1">
      <c r="A2107" s="1156"/>
      <c r="B2107" s="1218"/>
      <c r="C2107" s="1754" t="s">
        <v>36</v>
      </c>
      <c r="D2107" s="1212"/>
      <c r="E2107" s="1212"/>
      <c r="F2107" s="1212"/>
      <c r="G2107" s="1169"/>
      <c r="H2107" s="1205" t="s">
        <v>2321</v>
      </c>
    </row>
    <row r="2108" spans="1:8" hidden="1">
      <c r="A2108" s="1156"/>
      <c r="B2108" s="1212"/>
      <c r="C2108" s="1754" t="s">
        <v>40</v>
      </c>
      <c r="D2108" s="1212"/>
      <c r="E2108" s="1212"/>
      <c r="F2108" s="1212"/>
      <c r="G2108" s="1169"/>
      <c r="H2108" s="1205" t="s">
        <v>2321</v>
      </c>
    </row>
    <row r="2109" spans="1:8" hidden="1">
      <c r="A2109" s="1156"/>
      <c r="B2109" s="1219" t="s">
        <v>18</v>
      </c>
      <c r="C2109" s="1754" t="s">
        <v>22</v>
      </c>
      <c r="D2109" s="1212"/>
      <c r="E2109" s="1212"/>
      <c r="F2109" s="1212"/>
      <c r="G2109" s="1169"/>
      <c r="H2109" s="1205" t="s">
        <v>2321</v>
      </c>
    </row>
    <row r="2110" spans="1:8" hidden="1">
      <c r="A2110" s="1169"/>
      <c r="B2110" s="1169"/>
      <c r="C2110" s="1752" t="s">
        <v>37</v>
      </c>
      <c r="D2110" s="1221" t="s">
        <v>34</v>
      </c>
      <c r="E2110" s="1227">
        <v>1.05</v>
      </c>
      <c r="F2110" s="1221">
        <f>'lead 21-22'!L9</f>
        <v>64310</v>
      </c>
      <c r="G2110" s="1214">
        <f>ROUND(E2110*F2110,2)</f>
        <v>67525.5</v>
      </c>
      <c r="H2110" s="1205" t="s">
        <v>2321</v>
      </c>
    </row>
    <row r="2111" spans="1:8" hidden="1">
      <c r="A2111" s="1169"/>
      <c r="B2111" s="1169"/>
      <c r="C2111" s="1752" t="s">
        <v>38</v>
      </c>
      <c r="D2111" s="1156" t="s">
        <v>4</v>
      </c>
      <c r="E2111" s="1221">
        <v>6</v>
      </c>
      <c r="F2111" s="1221">
        <f>'MINI SSR 21-22'!C32</f>
        <v>64</v>
      </c>
      <c r="G2111" s="1214">
        <f>ROUND(E2111*F2111,2)</f>
        <v>384</v>
      </c>
      <c r="H2111" s="1205" t="s">
        <v>2321</v>
      </c>
    </row>
    <row r="2112" spans="1:8" ht="25.5" hidden="1">
      <c r="A2112" s="1169"/>
      <c r="B2112" s="1219" t="s">
        <v>20</v>
      </c>
      <c r="C2112" s="1754" t="s">
        <v>1273</v>
      </c>
      <c r="D2112" s="1156"/>
      <c r="E2112" s="1156"/>
      <c r="F2112" s="1156"/>
      <c r="G2112" s="1169"/>
      <c r="H2112" s="1205" t="s">
        <v>2321</v>
      </c>
    </row>
    <row r="2113" spans="1:8" hidden="1">
      <c r="A2113" s="1169"/>
      <c r="B2113" s="1169"/>
      <c r="C2113" s="1752" t="s">
        <v>120</v>
      </c>
      <c r="D2113" s="1156" t="s">
        <v>27</v>
      </c>
      <c r="E2113" s="1221">
        <v>10</v>
      </c>
      <c r="F2113" s="1221">
        <f>'MINI SSR 21-22'!H6</f>
        <v>700</v>
      </c>
      <c r="G2113" s="1214">
        <f>ROUND(E2113*F2113,2)</f>
        <v>7000</v>
      </c>
      <c r="H2113" s="1205" t="s">
        <v>2321</v>
      </c>
    </row>
    <row r="2114" spans="1:8" hidden="1">
      <c r="A2114" s="1169"/>
      <c r="B2114" s="1169"/>
      <c r="C2114" s="1752" t="s">
        <v>19</v>
      </c>
      <c r="D2114" s="1156" t="s">
        <v>27</v>
      </c>
      <c r="E2114" s="1221">
        <v>10</v>
      </c>
      <c r="F2114" s="1221">
        <f>'MINI SSR 21-22'!$H$5</f>
        <v>490</v>
      </c>
      <c r="G2114" s="1214">
        <f>ROUND(E2114*F2114,2)</f>
        <v>4900</v>
      </c>
      <c r="H2114" s="1205" t="s">
        <v>2321</v>
      </c>
    </row>
    <row r="2115" spans="1:8" hidden="1">
      <c r="A2115" s="1169"/>
      <c r="B2115" s="1169"/>
      <c r="C2115" s="1754" t="s">
        <v>39</v>
      </c>
      <c r="D2115" s="1156"/>
      <c r="E2115" s="1221"/>
      <c r="F2115" s="1221"/>
      <c r="G2115" s="1220">
        <f>SUM(G2110:G2114)</f>
        <v>79809.5</v>
      </c>
      <c r="H2115" s="1205" t="s">
        <v>2321</v>
      </c>
    </row>
    <row r="2116" spans="1:8" hidden="1">
      <c r="A2116" s="1212"/>
      <c r="B2116" s="1212"/>
      <c r="C2116" s="1754"/>
      <c r="D2116" s="1212"/>
      <c r="E2116" s="1218" t="s">
        <v>161</v>
      </c>
      <c r="F2116" s="1217" t="s">
        <v>162</v>
      </c>
      <c r="G2116" s="1217" t="s">
        <v>163</v>
      </c>
      <c r="H2116" s="1205" t="s">
        <v>2321</v>
      </c>
    </row>
    <row r="2117" spans="1:8" hidden="1">
      <c r="A2117" s="1212"/>
      <c r="B2117" s="1212"/>
      <c r="C2117" s="1754" t="s">
        <v>867</v>
      </c>
      <c r="D2117" s="1212"/>
      <c r="E2117" s="1213">
        <f>G2115</f>
        <v>79809.5</v>
      </c>
      <c r="F2117" s="1215">
        <f>E2117</f>
        <v>79809.5</v>
      </c>
      <c r="G2117" s="1215">
        <f>F2117</f>
        <v>79809.5</v>
      </c>
      <c r="H2117" s="1205" t="s">
        <v>2321</v>
      </c>
    </row>
    <row r="2118" spans="1:8" ht="25.5" hidden="1">
      <c r="A2118" s="1212"/>
      <c r="B2118" s="1212"/>
      <c r="C2118" s="1752" t="s">
        <v>1286</v>
      </c>
      <c r="D2118" s="1212"/>
      <c r="E2118" s="1212"/>
      <c r="F2118" s="1215">
        <f>ROUND((G2113+G2114)*10%,2)</f>
        <v>1190</v>
      </c>
      <c r="G2118" s="1215">
        <f>ROUND((G2113+G2114)*20%,2)</f>
        <v>2380</v>
      </c>
      <c r="H2118" s="1205" t="s">
        <v>2321</v>
      </c>
    </row>
    <row r="2119" spans="1:8" hidden="1">
      <c r="A2119" s="1212"/>
      <c r="B2119" s="1212"/>
      <c r="C2119" s="1754" t="s">
        <v>894</v>
      </c>
      <c r="D2119" s="1212"/>
      <c r="E2119" s="1217">
        <f>SUM(E2117:E2118)</f>
        <v>79809.5</v>
      </c>
      <c r="F2119" s="1222">
        <f>SUM(F2117:F2118)</f>
        <v>80999.5</v>
      </c>
      <c r="G2119" s="1222">
        <f>SUM(G2117:G2118)</f>
        <v>82189.5</v>
      </c>
      <c r="H2119" s="1205" t="s">
        <v>2321</v>
      </c>
    </row>
    <row r="2120" spans="1:8" s="1232" customFormat="1" ht="204" hidden="1">
      <c r="A2120" s="1228">
        <v>20</v>
      </c>
      <c r="B2120" s="1229" t="s">
        <v>1330</v>
      </c>
      <c r="C2120" s="1229" t="s">
        <v>1331</v>
      </c>
      <c r="D2120" s="1230"/>
      <c r="E2120" s="1230"/>
      <c r="F2120" s="1230"/>
      <c r="G2120" s="1231"/>
      <c r="H2120" s="1205" t="s">
        <v>2321</v>
      </c>
    </row>
    <row r="2121" spans="1:8" s="1232" customFormat="1" hidden="1">
      <c r="A2121" s="1228"/>
      <c r="B2121" s="1233"/>
      <c r="C2121" s="1229" t="s">
        <v>1332</v>
      </c>
      <c r="D2121" s="1228"/>
      <c r="E2121" s="1234"/>
      <c r="F2121" s="1235"/>
      <c r="G2121" s="1231"/>
      <c r="H2121" s="1205" t="s">
        <v>2321</v>
      </c>
    </row>
    <row r="2122" spans="1:8" s="1232" customFormat="1" hidden="1">
      <c r="A2122" s="1228"/>
      <c r="B2122" s="1229"/>
      <c r="C2122" s="1229" t="s">
        <v>1333</v>
      </c>
      <c r="D2122" s="1228"/>
      <c r="E2122" s="1234"/>
      <c r="F2122" s="1235"/>
      <c r="G2122" s="1231"/>
      <c r="H2122" s="1205" t="s">
        <v>2321</v>
      </c>
    </row>
    <row r="2123" spans="1:8" s="1232" customFormat="1" ht="25.5" hidden="1">
      <c r="A2123" s="1228"/>
      <c r="B2123" s="1229"/>
      <c r="C2123" s="1229" t="s">
        <v>1334</v>
      </c>
      <c r="D2123" s="1228" t="s">
        <v>34</v>
      </c>
      <c r="E2123" s="1234">
        <v>1.0249999999999999</v>
      </c>
      <c r="F2123" s="1235">
        <f>'lead 21-22'!L10</f>
        <v>61360</v>
      </c>
      <c r="G2123" s="1231">
        <f>ROUND(F2123*E2123,2)</f>
        <v>62894</v>
      </c>
      <c r="H2123" s="1205" t="s">
        <v>2321</v>
      </c>
    </row>
    <row r="2124" spans="1:8" s="1232" customFormat="1" ht="25.5" hidden="1">
      <c r="A2124" s="1228"/>
      <c r="B2124" s="1229"/>
      <c r="C2124" s="1229" t="s">
        <v>1335</v>
      </c>
      <c r="D2124" s="1228" t="s">
        <v>1336</v>
      </c>
      <c r="E2124" s="1234">
        <v>70</v>
      </c>
      <c r="F2124" s="1235">
        <f>'MINI SSR 21-22'!C33</f>
        <v>14</v>
      </c>
      <c r="G2124" s="1231">
        <f>ROUND(F2124*E2124,2)</f>
        <v>980</v>
      </c>
      <c r="H2124" s="1205" t="s">
        <v>2321</v>
      </c>
    </row>
    <row r="2125" spans="1:8" s="1232" customFormat="1" ht="25.5" hidden="1">
      <c r="A2125" s="1228"/>
      <c r="B2125" s="1229"/>
      <c r="C2125" s="1229" t="s">
        <v>1337</v>
      </c>
      <c r="D2125" s="1228" t="s">
        <v>90</v>
      </c>
      <c r="E2125" s="1234">
        <v>3</v>
      </c>
      <c r="F2125" s="1235">
        <f>'MINI SSR 21-22'!C32</f>
        <v>64</v>
      </c>
      <c r="G2125" s="1231">
        <f>ROUND(F2125*E2125,2)</f>
        <v>192</v>
      </c>
      <c r="H2125" s="1205" t="s">
        <v>2321</v>
      </c>
    </row>
    <row r="2126" spans="1:8" s="1232" customFormat="1" ht="25.5" hidden="1">
      <c r="A2126" s="1228"/>
      <c r="B2126" s="1229"/>
      <c r="C2126" s="1229" t="s">
        <v>1338</v>
      </c>
      <c r="D2126" s="1228"/>
      <c r="E2126" s="1234"/>
      <c r="F2126" s="1235"/>
      <c r="G2126" s="1231"/>
      <c r="H2126" s="1205" t="s">
        <v>2321</v>
      </c>
    </row>
    <row r="2127" spans="1:8" s="1232" customFormat="1" hidden="1">
      <c r="A2127" s="1228"/>
      <c r="B2127" s="1229"/>
      <c r="C2127" s="1229" t="s">
        <v>1339</v>
      </c>
      <c r="D2127" s="1228" t="s">
        <v>27</v>
      </c>
      <c r="E2127" s="1234">
        <v>2.5</v>
      </c>
      <c r="F2127" s="1236">
        <f>'MINI SSR 21-22'!H10</f>
        <v>575</v>
      </c>
      <c r="G2127" s="1231">
        <f>ROUND(F2127*E2127,2)</f>
        <v>1437.5</v>
      </c>
      <c r="H2127" s="1205" t="s">
        <v>2321</v>
      </c>
    </row>
    <row r="2128" spans="1:8" s="1232" customFormat="1" hidden="1">
      <c r="A2128" s="1228"/>
      <c r="B2128" s="1229"/>
      <c r="C2128" s="1229" t="s">
        <v>1340</v>
      </c>
      <c r="D2128" s="1228" t="s">
        <v>27</v>
      </c>
      <c r="E2128" s="1234">
        <v>10</v>
      </c>
      <c r="F2128" s="1236">
        <f>'MINI SSR 21-22'!H11</f>
        <v>550</v>
      </c>
      <c r="G2128" s="1231">
        <f>ROUND(F2128*E2128,2)</f>
        <v>5500</v>
      </c>
      <c r="H2128" s="1205" t="s">
        <v>2321</v>
      </c>
    </row>
    <row r="2129" spans="1:8" s="1232" customFormat="1" hidden="1">
      <c r="A2129" s="1228"/>
      <c r="B2129" s="1229"/>
      <c r="C2129" s="1229" t="s">
        <v>1341</v>
      </c>
      <c r="D2129" s="1228" t="s">
        <v>27</v>
      </c>
      <c r="E2129" s="1234">
        <v>10</v>
      </c>
      <c r="F2129" s="1236">
        <f>'MINI SSR 21-22'!H5</f>
        <v>490</v>
      </c>
      <c r="G2129" s="1231">
        <f>ROUND(F2129*E2129,2)</f>
        <v>4900</v>
      </c>
      <c r="H2129" s="1205" t="s">
        <v>2321</v>
      </c>
    </row>
    <row r="2130" spans="1:8" s="1232" customFormat="1" ht="25.5" hidden="1">
      <c r="A2130" s="1228"/>
      <c r="B2130" s="1229"/>
      <c r="C2130" s="1229" t="s">
        <v>1342</v>
      </c>
      <c r="D2130" s="1228" t="s">
        <v>1343</v>
      </c>
      <c r="E2130" s="1234">
        <v>10</v>
      </c>
      <c r="F2130" s="1236">
        <f>'MINI SSR 21-22'!C34</f>
        <v>116.6</v>
      </c>
      <c r="G2130" s="1231">
        <f>ROUND(F2130*E2130,2)</f>
        <v>1166</v>
      </c>
      <c r="H2130" s="1205" t="s">
        <v>2321</v>
      </c>
    </row>
    <row r="2131" spans="1:8" s="1232" customFormat="1" hidden="1">
      <c r="A2131" s="1228"/>
      <c r="B2131" s="1229"/>
      <c r="C2131" s="1229" t="s">
        <v>1344</v>
      </c>
      <c r="D2131" s="1228"/>
      <c r="E2131" s="1234"/>
      <c r="F2131" s="1235"/>
      <c r="G2131" s="1237">
        <f>SUM(G2123:G2130)</f>
        <v>77069.5</v>
      </c>
      <c r="H2131" s="1205" t="s">
        <v>2321</v>
      </c>
    </row>
    <row r="2132" spans="1:8" s="1232" customFormat="1" hidden="1">
      <c r="A2132" s="1228"/>
      <c r="B2132" s="1229"/>
      <c r="C2132" s="1229" t="s">
        <v>1345</v>
      </c>
      <c r="D2132" s="1228"/>
      <c r="E2132" s="1234"/>
      <c r="F2132" s="1235"/>
      <c r="G2132" s="1237">
        <f>ROUND(G2131/1000,2)</f>
        <v>77.069999999999993</v>
      </c>
      <c r="H2132" s="1205" t="s">
        <v>2321</v>
      </c>
    </row>
    <row r="2133" spans="1:8" ht="63.75" hidden="1">
      <c r="A2133" s="1156">
        <v>26</v>
      </c>
      <c r="B2133" s="1218"/>
      <c r="C2133" s="1752" t="s">
        <v>185</v>
      </c>
      <c r="D2133" s="1212"/>
      <c r="E2133" s="1212"/>
      <c r="F2133" s="1212"/>
      <c r="G2133" s="1169"/>
      <c r="H2133" s="1205" t="s">
        <v>2321</v>
      </c>
    </row>
    <row r="2134" spans="1:8" hidden="1">
      <c r="A2134" s="1156"/>
      <c r="B2134" s="1218"/>
      <c r="C2134" s="1754" t="s">
        <v>186</v>
      </c>
      <c r="D2134" s="1212"/>
      <c r="E2134" s="1212"/>
      <c r="F2134" s="1212"/>
      <c r="G2134" s="1169"/>
      <c r="H2134" s="1205" t="s">
        <v>2321</v>
      </c>
    </row>
    <row r="2135" spans="1:8" hidden="1">
      <c r="A2135" s="1156"/>
      <c r="B2135" s="1219" t="s">
        <v>18</v>
      </c>
      <c r="C2135" s="1754" t="s">
        <v>22</v>
      </c>
      <c r="D2135" s="1212"/>
      <c r="E2135" s="1212"/>
      <c r="F2135" s="1212"/>
      <c r="G2135" s="1169"/>
      <c r="H2135" s="1205" t="s">
        <v>2321</v>
      </c>
    </row>
    <row r="2136" spans="1:8" ht="25.5" hidden="1">
      <c r="A2136" s="1169"/>
      <c r="B2136" s="1169"/>
      <c r="C2136" s="1752" t="s">
        <v>187</v>
      </c>
      <c r="D2136" s="1156" t="s">
        <v>4</v>
      </c>
      <c r="E2136" s="1166">
        <v>1.0249999999999999</v>
      </c>
      <c r="F2136" s="1221">
        <f>'lead 21-22'!L10/1000</f>
        <v>61.36</v>
      </c>
      <c r="G2136" s="1214">
        <f>ROUND(E2136*F2136,2)</f>
        <v>62.89</v>
      </c>
      <c r="H2136" s="1205" t="s">
        <v>2321</v>
      </c>
    </row>
    <row r="2137" spans="1:8" hidden="1">
      <c r="A2137" s="1169"/>
      <c r="B2137" s="1219" t="s">
        <v>20</v>
      </c>
      <c r="C2137" s="1752" t="s">
        <v>188</v>
      </c>
      <c r="D2137" s="1156" t="s">
        <v>4</v>
      </c>
      <c r="E2137" s="1221">
        <v>1</v>
      </c>
      <c r="F2137" s="1221">
        <f>'MINI SSR 21-22'!C35</f>
        <v>28</v>
      </c>
      <c r="G2137" s="1214">
        <f>ROUND(E2137*F2137,2)</f>
        <v>28</v>
      </c>
      <c r="H2137" s="1205" t="s">
        <v>2321</v>
      </c>
    </row>
    <row r="2138" spans="1:8" hidden="1">
      <c r="A2138" s="1169"/>
      <c r="B2138" s="1169"/>
      <c r="C2138" s="1752" t="s">
        <v>189</v>
      </c>
      <c r="D2138" s="1156" t="s">
        <v>27</v>
      </c>
      <c r="E2138" s="1221">
        <v>1</v>
      </c>
      <c r="F2138" s="1221">
        <f>'MINI SSR 21-22'!C36</f>
        <v>5</v>
      </c>
      <c r="G2138" s="1214">
        <f>ROUND(E2138*F2138,2)</f>
        <v>5</v>
      </c>
      <c r="H2138" s="1205" t="s">
        <v>2321</v>
      </c>
    </row>
    <row r="2139" spans="1:8" hidden="1">
      <c r="A2139" s="1169"/>
      <c r="B2139" s="1169"/>
      <c r="C2139" s="1754" t="s">
        <v>190</v>
      </c>
      <c r="D2139" s="1156"/>
      <c r="E2139" s="1221"/>
      <c r="F2139" s="1221"/>
      <c r="G2139" s="1220">
        <f>SUM(G2136:G2138)</f>
        <v>95.89</v>
      </c>
      <c r="H2139" s="1205" t="s">
        <v>2321</v>
      </c>
    </row>
    <row r="2140" spans="1:8" ht="114.75" hidden="1">
      <c r="A2140" s="1156">
        <v>18</v>
      </c>
      <c r="B2140" s="1218"/>
      <c r="C2140" s="1752" t="s">
        <v>969</v>
      </c>
      <c r="D2140" s="1212"/>
      <c r="E2140" s="1212"/>
      <c r="F2140" s="1212"/>
      <c r="G2140" s="1169"/>
      <c r="H2140" s="1205" t="s">
        <v>2321</v>
      </c>
    </row>
    <row r="2141" spans="1:8" hidden="1">
      <c r="A2141" s="1156"/>
      <c r="B2141" s="1219" t="s">
        <v>18</v>
      </c>
      <c r="C2141" s="1754" t="s">
        <v>22</v>
      </c>
      <c r="D2141" s="1212"/>
      <c r="E2141" s="1212"/>
      <c r="F2141" s="1212"/>
      <c r="G2141" s="1169"/>
      <c r="H2141" s="1205" t="s">
        <v>2321</v>
      </c>
    </row>
    <row r="2142" spans="1:8" hidden="1">
      <c r="A2142" s="1169"/>
      <c r="B2142" s="1169"/>
      <c r="C2142" s="1752" t="s">
        <v>934</v>
      </c>
      <c r="D2142" s="1156" t="s">
        <v>4</v>
      </c>
      <c r="E2142" s="1166">
        <v>43.51</v>
      </c>
      <c r="F2142" s="1221">
        <f>'lead 21-22'!L10/1000</f>
        <v>61.36</v>
      </c>
      <c r="G2142" s="1214">
        <f>ROUND(E2142*F2142,2)</f>
        <v>2669.77</v>
      </c>
      <c r="H2142" s="1205" t="s">
        <v>2321</v>
      </c>
    </row>
    <row r="2143" spans="1:8" hidden="1">
      <c r="A2143" s="1169"/>
      <c r="B2143" s="1169"/>
      <c r="C2143" s="1752" t="s">
        <v>935</v>
      </c>
      <c r="D2143" s="1156" t="s">
        <v>4</v>
      </c>
      <c r="E2143" s="1166">
        <v>14.4</v>
      </c>
      <c r="F2143" s="1221">
        <f>'lead 21-22'!L9/1000</f>
        <v>64.31</v>
      </c>
      <c r="G2143" s="1214">
        <f>ROUND(E2143*F2143,2)</f>
        <v>926.06</v>
      </c>
      <c r="H2143" s="1205" t="s">
        <v>2321</v>
      </c>
    </row>
    <row r="2144" spans="1:8" hidden="1">
      <c r="A2144" s="1169"/>
      <c r="B2144" s="1219" t="s">
        <v>20</v>
      </c>
      <c r="C2144" s="1752" t="s">
        <v>188</v>
      </c>
      <c r="D2144" s="1156" t="s">
        <v>4</v>
      </c>
      <c r="E2144" s="1221">
        <f>SUM(E2142:E2143)</f>
        <v>57.91</v>
      </c>
      <c r="F2144" s="1221">
        <f>'MINI SSR 21-22'!C35</f>
        <v>28</v>
      </c>
      <c r="G2144" s="1214">
        <f>ROUND(E2144*F2144,2)</f>
        <v>1621.48</v>
      </c>
      <c r="H2144" s="1205" t="s">
        <v>2321</v>
      </c>
    </row>
    <row r="2145" spans="1:8" hidden="1">
      <c r="A2145" s="1169"/>
      <c r="B2145" s="1169"/>
      <c r="C2145" s="1752" t="s">
        <v>189</v>
      </c>
      <c r="D2145" s="1156" t="s">
        <v>27</v>
      </c>
      <c r="E2145" s="1221">
        <f>E2144</f>
        <v>57.91</v>
      </c>
      <c r="F2145" s="1221">
        <f>'MINI SSR 21-22'!C36</f>
        <v>5</v>
      </c>
      <c r="G2145" s="1214">
        <f>ROUND(E2145*F2145,2)</f>
        <v>289.55</v>
      </c>
      <c r="H2145" s="1205" t="s">
        <v>2321</v>
      </c>
    </row>
    <row r="2146" spans="1:8" hidden="1">
      <c r="A2146" s="1169"/>
      <c r="B2146" s="1169"/>
      <c r="C2146" s="1754" t="s">
        <v>936</v>
      </c>
      <c r="D2146" s="1156"/>
      <c r="E2146" s="1221"/>
      <c r="F2146" s="1221"/>
      <c r="G2146" s="1220">
        <f>SUM(G2142:G2145)</f>
        <v>5506.86</v>
      </c>
      <c r="H2146" s="1205" t="s">
        <v>2321</v>
      </c>
    </row>
    <row r="2147" spans="1:8" hidden="1">
      <c r="A2147" s="1169"/>
      <c r="B2147" s="1169"/>
      <c r="C2147" s="1754" t="s">
        <v>121</v>
      </c>
      <c r="D2147" s="1156"/>
      <c r="E2147" s="1221"/>
      <c r="F2147" s="1221"/>
      <c r="G2147" s="1220">
        <f>ROUND(G2146/2.025,2)</f>
        <v>2719.44</v>
      </c>
      <c r="H2147" s="1205" t="s">
        <v>2321</v>
      </c>
    </row>
    <row r="2148" spans="1:8" ht="51" hidden="1">
      <c r="A2148" s="1156">
        <v>23</v>
      </c>
      <c r="B2148" s="1218"/>
      <c r="C2148" s="1752" t="s">
        <v>627</v>
      </c>
      <c r="D2148" s="1212"/>
      <c r="E2148" s="1212"/>
      <c r="F2148" s="1212"/>
      <c r="G2148" s="1169"/>
      <c r="H2148" s="1205" t="s">
        <v>2321</v>
      </c>
    </row>
    <row r="2149" spans="1:8" hidden="1">
      <c r="A2149" s="1156"/>
      <c r="B2149" s="1218"/>
      <c r="C2149" s="1754" t="s">
        <v>186</v>
      </c>
      <c r="D2149" s="1212"/>
      <c r="E2149" s="1212"/>
      <c r="F2149" s="1212"/>
      <c r="G2149" s="1169"/>
      <c r="H2149" s="1205" t="s">
        <v>2321</v>
      </c>
    </row>
    <row r="2150" spans="1:8" hidden="1">
      <c r="A2150" s="1156"/>
      <c r="B2150" s="1219" t="s">
        <v>18</v>
      </c>
      <c r="C2150" s="1754" t="s">
        <v>22</v>
      </c>
      <c r="D2150" s="1212"/>
      <c r="E2150" s="1212"/>
      <c r="F2150" s="1212"/>
      <c r="G2150" s="1169"/>
      <c r="H2150" s="1205" t="s">
        <v>2321</v>
      </c>
    </row>
    <row r="2151" spans="1:8" hidden="1">
      <c r="A2151" s="1169"/>
      <c r="B2151" s="1169"/>
      <c r="C2151" s="1752" t="s">
        <v>628</v>
      </c>
      <c r="D2151" s="1156" t="s">
        <v>4</v>
      </c>
      <c r="E2151" s="1166">
        <v>1.0249999999999999</v>
      </c>
      <c r="F2151" s="1221">
        <f>'MINI SSR 21-22'!C37</f>
        <v>66</v>
      </c>
      <c r="G2151" s="1214">
        <f>ROUND(E2151*F2151,2)</f>
        <v>67.650000000000006</v>
      </c>
      <c r="H2151" s="1205" t="s">
        <v>2321</v>
      </c>
    </row>
    <row r="2152" spans="1:8" hidden="1">
      <c r="A2152" s="1169"/>
      <c r="B2152" s="1219" t="s">
        <v>20</v>
      </c>
      <c r="C2152" s="1752" t="s">
        <v>629</v>
      </c>
      <c r="D2152" s="1156" t="s">
        <v>4</v>
      </c>
      <c r="E2152" s="1221">
        <v>1</v>
      </c>
      <c r="F2152" s="1221">
        <f>'MINI SSR 21-22'!C38</f>
        <v>25</v>
      </c>
      <c r="G2152" s="1214">
        <f>ROUND(E2152*F2152,2)</f>
        <v>25</v>
      </c>
      <c r="H2152" s="1205" t="s">
        <v>2321</v>
      </c>
    </row>
    <row r="2153" spans="1:8" hidden="1">
      <c r="A2153" s="1169"/>
      <c r="B2153" s="1169"/>
      <c r="C2153" s="1752" t="s">
        <v>630</v>
      </c>
      <c r="D2153" s="1156" t="s">
        <v>27</v>
      </c>
      <c r="E2153" s="1221">
        <v>1</v>
      </c>
      <c r="F2153" s="1221">
        <f>'MINI SSR 21-22'!C39</f>
        <v>22</v>
      </c>
      <c r="G2153" s="1214">
        <f>ROUND(E2153*F2153,2)</f>
        <v>22</v>
      </c>
      <c r="H2153" s="1205" t="s">
        <v>2321</v>
      </c>
    </row>
    <row r="2154" spans="1:8" hidden="1">
      <c r="A2154" s="1169"/>
      <c r="B2154" s="1169"/>
      <c r="C2154" s="1754" t="s">
        <v>190</v>
      </c>
      <c r="D2154" s="1156"/>
      <c r="E2154" s="1221"/>
      <c r="F2154" s="1221"/>
      <c r="G2154" s="1220">
        <f>SUM(G2151:G2153)</f>
        <v>114.65</v>
      </c>
      <c r="H2154" s="1205" t="s">
        <v>2321</v>
      </c>
    </row>
    <row r="2155" spans="1:8" ht="191.25" hidden="1">
      <c r="A2155" s="1156">
        <v>27</v>
      </c>
      <c r="B2155" s="1218"/>
      <c r="C2155" s="1752" t="s">
        <v>1298</v>
      </c>
      <c r="D2155" s="1212"/>
      <c r="E2155" s="1212"/>
      <c r="F2155" s="1212"/>
      <c r="G2155" s="1169"/>
      <c r="H2155" s="1205" t="s">
        <v>2321</v>
      </c>
    </row>
    <row r="2156" spans="1:8" hidden="1">
      <c r="A2156" s="1156"/>
      <c r="B2156" s="1218"/>
      <c r="C2156" s="1754" t="s">
        <v>919</v>
      </c>
      <c r="D2156" s="1212"/>
      <c r="E2156" s="1212"/>
      <c r="F2156" s="1212"/>
      <c r="G2156" s="1215"/>
      <c r="H2156" s="1205" t="s">
        <v>2321</v>
      </c>
    </row>
    <row r="2157" spans="1:8" hidden="1">
      <c r="A2157" s="1169"/>
      <c r="B2157" s="1169"/>
      <c r="C2157" s="1752" t="s">
        <v>913</v>
      </c>
      <c r="D2157" s="1221">
        <v>4.5999999999999996</v>
      </c>
      <c r="E2157" s="1166">
        <v>2.39</v>
      </c>
      <c r="F2157" s="1221">
        <f>ROUND(D2157*E2157,2)</f>
        <v>10.99</v>
      </c>
      <c r="G2157" s="1214"/>
      <c r="H2157" s="1205" t="s">
        <v>2321</v>
      </c>
    </row>
    <row r="2158" spans="1:8" hidden="1">
      <c r="A2158" s="1169"/>
      <c r="B2158" s="1169"/>
      <c r="C2158" s="1752" t="s">
        <v>914</v>
      </c>
      <c r="D2158" s="1221">
        <v>11.7</v>
      </c>
      <c r="E2158" s="1166">
        <v>0.89</v>
      </c>
      <c r="F2158" s="1221">
        <f>ROUND(D2158*E2158,2)</f>
        <v>10.41</v>
      </c>
      <c r="G2158" s="1214"/>
      <c r="H2158" s="1205" t="s">
        <v>2321</v>
      </c>
    </row>
    <row r="2159" spans="1:8" hidden="1">
      <c r="A2159" s="1169"/>
      <c r="B2159" s="1169"/>
      <c r="C2159" s="1752"/>
      <c r="D2159" s="1156"/>
      <c r="E2159" s="1166"/>
      <c r="F2159" s="1238">
        <f>SUM(F2157:F2158)</f>
        <v>21.4</v>
      </c>
      <c r="G2159" s="1214"/>
      <c r="H2159" s="1205" t="s">
        <v>2321</v>
      </c>
    </row>
    <row r="2160" spans="1:8" hidden="1">
      <c r="A2160" s="1169"/>
      <c r="B2160" s="1169"/>
      <c r="C2160" s="1752" t="s">
        <v>696</v>
      </c>
      <c r="D2160" s="1156" t="s">
        <v>4</v>
      </c>
      <c r="E2160" s="1166">
        <f>F2159</f>
        <v>21.4</v>
      </c>
      <c r="F2160" s="1221">
        <f>'MINI SSR 21-22'!C40</f>
        <v>360</v>
      </c>
      <c r="G2160" s="1214">
        <f t="shared" ref="G2160:G2165" si="9">ROUND(E2160*F2160,2)</f>
        <v>7704</v>
      </c>
      <c r="H2160" s="1205" t="s">
        <v>2321</v>
      </c>
    </row>
    <row r="2161" spans="1:8" ht="25.5" hidden="1">
      <c r="A2161" s="1169"/>
      <c r="B2161" s="1219"/>
      <c r="C2161" s="1752" t="s">
        <v>697</v>
      </c>
      <c r="D2161" s="1156" t="s">
        <v>4</v>
      </c>
      <c r="E2161" s="1221">
        <f>E2160</f>
        <v>21.4</v>
      </c>
      <c r="F2161" s="1221">
        <f>'MINI SSR 21-22'!C41</f>
        <v>139</v>
      </c>
      <c r="G2161" s="1214">
        <f t="shared" si="9"/>
        <v>2974.6</v>
      </c>
      <c r="H2161" s="1205" t="s">
        <v>2321</v>
      </c>
    </row>
    <row r="2162" spans="1:8" hidden="1">
      <c r="A2162" s="1169"/>
      <c r="B2162" s="1219"/>
      <c r="C2162" s="1752" t="s">
        <v>915</v>
      </c>
      <c r="D2162" s="1156" t="s">
        <v>277</v>
      </c>
      <c r="E2162" s="1221">
        <v>1.3</v>
      </c>
      <c r="F2162" s="1221">
        <f>'MINI SSR 21-22'!C42</f>
        <v>200</v>
      </c>
      <c r="G2162" s="1214">
        <f t="shared" si="9"/>
        <v>260</v>
      </c>
      <c r="H2162" s="1205" t="s">
        <v>2321</v>
      </c>
    </row>
    <row r="2163" spans="1:8" hidden="1">
      <c r="A2163" s="1169"/>
      <c r="B2163" s="1219"/>
      <c r="C2163" s="1752" t="s">
        <v>916</v>
      </c>
      <c r="D2163" s="1156" t="s">
        <v>115</v>
      </c>
      <c r="E2163" s="1221">
        <v>13</v>
      </c>
      <c r="F2163" s="1221">
        <v>80</v>
      </c>
      <c r="G2163" s="1214">
        <f t="shared" si="9"/>
        <v>1040</v>
      </c>
      <c r="H2163" s="1205" t="s">
        <v>2321</v>
      </c>
    </row>
    <row r="2164" spans="1:8" hidden="1">
      <c r="A2164" s="1169"/>
      <c r="B2164" s="1219"/>
      <c r="C2164" s="1752" t="s">
        <v>917</v>
      </c>
      <c r="D2164" s="1156" t="s">
        <v>115</v>
      </c>
      <c r="E2164" s="1221">
        <v>13</v>
      </c>
      <c r="F2164" s="1221">
        <v>30</v>
      </c>
      <c r="G2164" s="1214">
        <f t="shared" si="9"/>
        <v>390</v>
      </c>
      <c r="H2164" s="1205" t="s">
        <v>2321</v>
      </c>
    </row>
    <row r="2165" spans="1:8" hidden="1">
      <c r="A2165" s="1169"/>
      <c r="B2165" s="1219"/>
      <c r="C2165" s="1752" t="s">
        <v>918</v>
      </c>
      <c r="D2165" s="1156" t="s">
        <v>115</v>
      </c>
      <c r="E2165" s="1221">
        <v>13</v>
      </c>
      <c r="F2165" s="1221">
        <v>15</v>
      </c>
      <c r="G2165" s="1214">
        <f t="shared" si="9"/>
        <v>195</v>
      </c>
      <c r="H2165" s="1205" t="s">
        <v>2321</v>
      </c>
    </row>
    <row r="2166" spans="1:8" hidden="1">
      <c r="A2166" s="1169"/>
      <c r="B2166" s="1219"/>
      <c r="C2166" s="1752" t="s">
        <v>920</v>
      </c>
      <c r="D2166" s="1156"/>
      <c r="E2166" s="1221"/>
      <c r="F2166" s="1221"/>
      <c r="G2166" s="1214">
        <f>SUM(G2160:G2165)</f>
        <v>12563.6</v>
      </c>
      <c r="H2166" s="1205" t="s">
        <v>2321</v>
      </c>
    </row>
    <row r="2167" spans="1:8" hidden="1">
      <c r="A2167" s="1169"/>
      <c r="B2167" s="1219"/>
      <c r="C2167" s="1752" t="s">
        <v>377</v>
      </c>
      <c r="D2167" s="1156"/>
      <c r="E2167" s="1221"/>
      <c r="F2167" s="1221"/>
      <c r="G2167" s="1214">
        <f>ROUND(G2166/4.6,2)</f>
        <v>2731.22</v>
      </c>
      <c r="H2167" s="1205" t="s">
        <v>2321</v>
      </c>
    </row>
    <row r="2168" spans="1:8" hidden="1">
      <c r="A2168" s="1169"/>
      <c r="B2168" s="1169"/>
      <c r="C2168" s="1752" t="s">
        <v>921</v>
      </c>
      <c r="D2168" s="1156"/>
      <c r="E2168" s="1221"/>
      <c r="F2168" s="1221"/>
      <c r="G2168" s="1220">
        <f>ROUND(G2167/0.9,2)</f>
        <v>3034.69</v>
      </c>
      <c r="H2168" s="1205" t="s">
        <v>2321</v>
      </c>
    </row>
    <row r="2169" spans="1:8" ht="153" hidden="1">
      <c r="A2169" s="1156">
        <v>25</v>
      </c>
      <c r="B2169" s="1218"/>
      <c r="C2169" s="1752" t="s">
        <v>1299</v>
      </c>
      <c r="D2169" s="1212"/>
      <c r="E2169" s="1212"/>
      <c r="F2169" s="1212"/>
      <c r="G2169" s="1169"/>
      <c r="H2169" s="1205" t="s">
        <v>2321</v>
      </c>
    </row>
    <row r="2170" spans="1:8" hidden="1">
      <c r="A2170" s="1156"/>
      <c r="B2170" s="1218"/>
      <c r="C2170" s="1754" t="s">
        <v>924</v>
      </c>
      <c r="D2170" s="1212"/>
      <c r="E2170" s="1212"/>
      <c r="F2170" s="1212"/>
      <c r="G2170" s="1215"/>
      <c r="H2170" s="1205" t="s">
        <v>2321</v>
      </c>
    </row>
    <row r="2171" spans="1:8" hidden="1">
      <c r="A2171" s="1169"/>
      <c r="B2171" s="1169"/>
      <c r="C2171" s="1752" t="s">
        <v>922</v>
      </c>
      <c r="D2171" s="1221">
        <v>10</v>
      </c>
      <c r="E2171" s="1166">
        <v>2.39</v>
      </c>
      <c r="F2171" s="1221">
        <f>ROUND(D2171*E2171,2)</f>
        <v>23.9</v>
      </c>
      <c r="G2171" s="1214"/>
      <c r="H2171" s="1205" t="s">
        <v>2321</v>
      </c>
    </row>
    <row r="2172" spans="1:8" hidden="1">
      <c r="A2172" s="1169"/>
      <c r="B2172" s="1169"/>
      <c r="C2172" s="1752" t="s">
        <v>923</v>
      </c>
      <c r="D2172" s="1221">
        <v>2.7</v>
      </c>
      <c r="E2172" s="1166">
        <v>0.89</v>
      </c>
      <c r="F2172" s="1221">
        <f>ROUND(D2172*E2172,2)</f>
        <v>2.4</v>
      </c>
      <c r="G2172" s="1214"/>
      <c r="H2172" s="1205" t="s">
        <v>2321</v>
      </c>
    </row>
    <row r="2173" spans="1:8" hidden="1">
      <c r="A2173" s="1169"/>
      <c r="B2173" s="1169"/>
      <c r="C2173" s="1752"/>
      <c r="D2173" s="1156"/>
      <c r="E2173" s="1166"/>
      <c r="F2173" s="1238">
        <f>SUM(F2171:F2172)</f>
        <v>26.299999999999997</v>
      </c>
      <c r="G2173" s="1214"/>
      <c r="H2173" s="1205" t="s">
        <v>2321</v>
      </c>
    </row>
    <row r="2174" spans="1:8" hidden="1">
      <c r="A2174" s="1169"/>
      <c r="B2174" s="1169"/>
      <c r="C2174" s="1752" t="s">
        <v>696</v>
      </c>
      <c r="D2174" s="1156" t="s">
        <v>4</v>
      </c>
      <c r="E2174" s="1166">
        <f>F2173</f>
        <v>26.299999999999997</v>
      </c>
      <c r="F2174" s="1221">
        <f>'MINI SSR 21-22'!$C$40</f>
        <v>360</v>
      </c>
      <c r="G2174" s="1214">
        <f>ROUND(E2174*F2174,2)</f>
        <v>9468</v>
      </c>
      <c r="H2174" s="1205" t="s">
        <v>2321</v>
      </c>
    </row>
    <row r="2175" spans="1:8" ht="25.5" hidden="1">
      <c r="A2175" s="1169"/>
      <c r="B2175" s="1219"/>
      <c r="C2175" s="1752" t="s">
        <v>697</v>
      </c>
      <c r="D2175" s="1156" t="s">
        <v>4</v>
      </c>
      <c r="E2175" s="1221">
        <f>E2174</f>
        <v>26.299999999999997</v>
      </c>
      <c r="F2175" s="1221">
        <f>'MINI SSR 21-22'!$C$41</f>
        <v>139</v>
      </c>
      <c r="G2175" s="1214">
        <f>ROUND(E2175*F2175,2)</f>
        <v>3655.7</v>
      </c>
      <c r="H2175" s="1205" t="s">
        <v>2321</v>
      </c>
    </row>
    <row r="2176" spans="1:8" hidden="1">
      <c r="A2176" s="1169"/>
      <c r="B2176" s="1219"/>
      <c r="C2176" s="1752" t="s">
        <v>927</v>
      </c>
      <c r="D2176" s="1156" t="s">
        <v>277</v>
      </c>
      <c r="E2176" s="1221">
        <v>0.9</v>
      </c>
      <c r="F2176" s="1221">
        <f>'MINI SSR 21-22'!C42</f>
        <v>200</v>
      </c>
      <c r="G2176" s="1214">
        <f>ROUND(E2176*F2176,2)</f>
        <v>180</v>
      </c>
      <c r="H2176" s="1205" t="s">
        <v>2321</v>
      </c>
    </row>
    <row r="2177" spans="1:8" hidden="1">
      <c r="A2177" s="1169"/>
      <c r="B2177" s="1219"/>
      <c r="C2177" s="1752" t="s">
        <v>925</v>
      </c>
      <c r="D2177" s="1156" t="s">
        <v>115</v>
      </c>
      <c r="E2177" s="1221">
        <v>9</v>
      </c>
      <c r="F2177" s="1221">
        <v>30</v>
      </c>
      <c r="G2177" s="1214">
        <f>ROUND(E2177*F2177,2)</f>
        <v>270</v>
      </c>
      <c r="H2177" s="1205" t="s">
        <v>2321</v>
      </c>
    </row>
    <row r="2178" spans="1:8" hidden="1">
      <c r="A2178" s="1169"/>
      <c r="B2178" s="1219"/>
      <c r="C2178" s="1752" t="s">
        <v>926</v>
      </c>
      <c r="D2178" s="1156"/>
      <c r="E2178" s="1221"/>
      <c r="F2178" s="1221"/>
      <c r="G2178" s="1214">
        <f>SUM(G2174:G2177)</f>
        <v>13573.7</v>
      </c>
      <c r="H2178" s="1205" t="s">
        <v>2321</v>
      </c>
    </row>
    <row r="2179" spans="1:8" hidden="1">
      <c r="A2179" s="1169"/>
      <c r="B2179" s="1219"/>
      <c r="C2179" s="1752" t="s">
        <v>377</v>
      </c>
      <c r="D2179" s="1156"/>
      <c r="E2179" s="1221"/>
      <c r="F2179" s="1221"/>
      <c r="G2179" s="1220">
        <f>ROUND(G2178/10,2)</f>
        <v>1357.37</v>
      </c>
      <c r="H2179" s="1205" t="s">
        <v>2321</v>
      </c>
    </row>
    <row r="2180" spans="1:8" ht="51" hidden="1">
      <c r="A2180" s="1156">
        <v>25</v>
      </c>
      <c r="B2180" s="1218"/>
      <c r="C2180" s="1752" t="s">
        <v>2295</v>
      </c>
      <c r="D2180" s="1212"/>
      <c r="E2180" s="1212"/>
      <c r="F2180" s="1212"/>
      <c r="G2180" s="1169"/>
      <c r="H2180" s="1205" t="s">
        <v>2321</v>
      </c>
    </row>
    <row r="2181" spans="1:8" hidden="1">
      <c r="A2181" s="1169"/>
      <c r="B2181" s="1169"/>
      <c r="C2181" s="1752" t="s">
        <v>696</v>
      </c>
      <c r="D2181" s="1156" t="s">
        <v>4</v>
      </c>
      <c r="E2181" s="1166">
        <v>1.0249999999999999</v>
      </c>
      <c r="F2181" s="1221">
        <f>'MINI SSR 21-22'!$C$40</f>
        <v>360</v>
      </c>
      <c r="G2181" s="1214">
        <f>ROUND(E2181*F2181,2)</f>
        <v>369</v>
      </c>
      <c r="H2181" s="1205" t="s">
        <v>2321</v>
      </c>
    </row>
    <row r="2182" spans="1:8" ht="25.5" hidden="1">
      <c r="A2182" s="1169"/>
      <c r="B2182" s="1219"/>
      <c r="C2182" s="1752" t="s">
        <v>697</v>
      </c>
      <c r="D2182" s="1156" t="s">
        <v>4</v>
      </c>
      <c r="E2182" s="1221">
        <v>1</v>
      </c>
      <c r="F2182" s="1221">
        <f>'MINI SSR 21-22'!$C$41</f>
        <v>139</v>
      </c>
      <c r="G2182" s="1214">
        <f>ROUND(E2182*F2182,2)</f>
        <v>139</v>
      </c>
      <c r="H2182" s="1205" t="s">
        <v>2321</v>
      </c>
    </row>
    <row r="2183" spans="1:8" hidden="1">
      <c r="A2183" s="1169"/>
      <c r="B2183" s="1219"/>
      <c r="C2183" s="1752" t="s">
        <v>2296</v>
      </c>
      <c r="D2183" s="1156"/>
      <c r="E2183" s="1221"/>
      <c r="F2183" s="1221"/>
      <c r="G2183" s="1220">
        <f>SUM(G2181:G2182)</f>
        <v>508</v>
      </c>
      <c r="H2183" s="1205" t="s">
        <v>2321</v>
      </c>
    </row>
    <row r="2184" spans="1:8" ht="51" hidden="1">
      <c r="A2184" s="1156">
        <v>26</v>
      </c>
      <c r="B2184" s="1218" t="s">
        <v>1346</v>
      </c>
      <c r="C2184" s="1752" t="s">
        <v>1186</v>
      </c>
      <c r="D2184" s="1212"/>
      <c r="E2184" s="1212"/>
      <c r="F2184" s="1212"/>
      <c r="G2184" s="1218"/>
      <c r="H2184" s="1205" t="s">
        <v>2321</v>
      </c>
    </row>
    <row r="2185" spans="1:8" hidden="1">
      <c r="A2185" s="1156"/>
      <c r="B2185" s="1218"/>
      <c r="C2185" s="1754" t="s">
        <v>84</v>
      </c>
      <c r="D2185" s="1212"/>
      <c r="E2185" s="1212"/>
      <c r="F2185" s="1212"/>
      <c r="G2185" s="1215"/>
      <c r="H2185" s="1205" t="s">
        <v>2321</v>
      </c>
    </row>
    <row r="2186" spans="1:8" hidden="1">
      <c r="A2186" s="1156"/>
      <c r="B2186" s="1218"/>
      <c r="C2186" s="1754" t="s">
        <v>60</v>
      </c>
      <c r="D2186" s="1212"/>
      <c r="E2186" s="1212"/>
      <c r="F2186" s="1212"/>
      <c r="G2186" s="1215"/>
      <c r="H2186" s="1205" t="s">
        <v>2321</v>
      </c>
    </row>
    <row r="2187" spans="1:8" hidden="1">
      <c r="A2187" s="1156"/>
      <c r="B2187" s="1218"/>
      <c r="C2187" s="1752" t="s">
        <v>33</v>
      </c>
      <c r="D2187" s="1212" t="s">
        <v>4</v>
      </c>
      <c r="E2187" s="1213">
        <v>59.4</v>
      </c>
      <c r="F2187" s="1213">
        <f>'lead 21-22'!L8</f>
        <v>4700</v>
      </c>
      <c r="G2187" s="1214">
        <f>ROUND(E2187*F2187/1000,2)</f>
        <v>279.18</v>
      </c>
      <c r="H2187" s="1205" t="s">
        <v>2321</v>
      </c>
    </row>
    <row r="2188" spans="1:8" hidden="1">
      <c r="A2188" s="1156"/>
      <c r="B2188" s="1218"/>
      <c r="C2188" s="1752" t="s">
        <v>1194</v>
      </c>
      <c r="D2188" s="1212" t="s">
        <v>35</v>
      </c>
      <c r="E2188" s="1239">
        <v>1.1000000000000001</v>
      </c>
      <c r="F2188" s="1213">
        <f>'lead 21-22'!L21</f>
        <v>980.59999999999968</v>
      </c>
      <c r="G2188" s="1214">
        <f>ROUND(E2188*F2188,2)</f>
        <v>1078.6600000000001</v>
      </c>
      <c r="H2188" s="1205" t="s">
        <v>2321</v>
      </c>
    </row>
    <row r="2189" spans="1:8" hidden="1">
      <c r="A2189" s="1156"/>
      <c r="B2189" s="1218"/>
      <c r="C2189" s="1752" t="s">
        <v>1218</v>
      </c>
      <c r="D2189" s="1212" t="s">
        <v>35</v>
      </c>
      <c r="E2189" s="1213">
        <v>0.33</v>
      </c>
      <c r="F2189" s="1213">
        <f>'lead 21-22'!L12</f>
        <v>1743.4000000000019</v>
      </c>
      <c r="G2189" s="1214">
        <f>ROUND(E2189*F2189,2)</f>
        <v>575.32000000000005</v>
      </c>
      <c r="H2189" s="1205" t="s">
        <v>2321</v>
      </c>
    </row>
    <row r="2190" spans="1:8" hidden="1">
      <c r="A2190" s="1212"/>
      <c r="B2190" s="1212"/>
      <c r="C2190" s="1754" t="s">
        <v>68</v>
      </c>
      <c r="D2190" s="1212"/>
      <c r="E2190" s="1213"/>
      <c r="F2190" s="1213"/>
      <c r="G2190" s="1214"/>
      <c r="H2190" s="1205" t="s">
        <v>2321</v>
      </c>
    </row>
    <row r="2191" spans="1:8" hidden="1">
      <c r="A2191" s="1212"/>
      <c r="B2191" s="1212"/>
      <c r="C2191" s="1752" t="s">
        <v>64</v>
      </c>
      <c r="D2191" s="1212" t="s">
        <v>27</v>
      </c>
      <c r="E2191" s="1213">
        <v>1.2</v>
      </c>
      <c r="F2191" s="1213">
        <f>'MINI SSR 21-22'!$H$3</f>
        <v>585</v>
      </c>
      <c r="G2191" s="1214">
        <f>ROUND(E2191*F2191,2)</f>
        <v>702</v>
      </c>
      <c r="H2191" s="1205" t="s">
        <v>2321</v>
      </c>
    </row>
    <row r="2192" spans="1:8" hidden="1">
      <c r="A2192" s="1212"/>
      <c r="B2192" s="1212"/>
      <c r="C2192" s="1752" t="s">
        <v>85</v>
      </c>
      <c r="D2192" s="1212" t="s">
        <v>27</v>
      </c>
      <c r="E2192" s="1213">
        <v>2</v>
      </c>
      <c r="F2192" s="1213">
        <f>'MINI SSR 21-22'!$H$5</f>
        <v>490</v>
      </c>
      <c r="G2192" s="1214">
        <f>ROUND(E2192*F2192,2)</f>
        <v>980</v>
      </c>
      <c r="H2192" s="1205" t="s">
        <v>2321</v>
      </c>
    </row>
    <row r="2193" spans="1:8" hidden="1">
      <c r="A2193" s="1212"/>
      <c r="B2193" s="1212"/>
      <c r="C2193" s="1754" t="s">
        <v>86</v>
      </c>
      <c r="D2193" s="1212"/>
      <c r="E2193" s="1212"/>
      <c r="F2193" s="1212"/>
      <c r="G2193" s="1222">
        <f>SUM(G2187:G2192)</f>
        <v>3615.1600000000003</v>
      </c>
      <c r="H2193" s="1205" t="s">
        <v>2321</v>
      </c>
    </row>
    <row r="2194" spans="1:8" ht="142.5" hidden="1">
      <c r="A2194" s="1156">
        <v>28</v>
      </c>
      <c r="B2194" s="1218" t="s">
        <v>83</v>
      </c>
      <c r="C2194" s="1752" t="s">
        <v>1300</v>
      </c>
      <c r="D2194" s="1212"/>
      <c r="E2194" s="1212"/>
      <c r="F2194" s="1212"/>
      <c r="G2194" s="1218"/>
      <c r="H2194" s="1205" t="s">
        <v>2321</v>
      </c>
    </row>
    <row r="2195" spans="1:8" hidden="1">
      <c r="A2195" s="1156"/>
      <c r="B2195" s="1218"/>
      <c r="C2195" s="1754" t="s">
        <v>84</v>
      </c>
      <c r="D2195" s="1212"/>
      <c r="E2195" s="1212"/>
      <c r="F2195" s="1212"/>
      <c r="G2195" s="1215"/>
      <c r="H2195" s="1205" t="s">
        <v>2321</v>
      </c>
    </row>
    <row r="2196" spans="1:8" hidden="1">
      <c r="A2196" s="1156"/>
      <c r="B2196" s="1218"/>
      <c r="C2196" s="1754" t="s">
        <v>60</v>
      </c>
      <c r="D2196" s="1212"/>
      <c r="E2196" s="1212"/>
      <c r="F2196" s="1212"/>
      <c r="G2196" s="1215"/>
      <c r="H2196" s="1205" t="s">
        <v>2321</v>
      </c>
    </row>
    <row r="2197" spans="1:8" hidden="1">
      <c r="A2197" s="1156"/>
      <c r="B2197" s="1218"/>
      <c r="C2197" s="1752" t="s">
        <v>33</v>
      </c>
      <c r="D2197" s="1212" t="s">
        <v>4</v>
      </c>
      <c r="E2197" s="1213">
        <v>48</v>
      </c>
      <c r="F2197" s="1213">
        <f>'lead 21-22'!L8</f>
        <v>4700</v>
      </c>
      <c r="G2197" s="1214">
        <f>ROUND(E2197*F2197/1000,2)</f>
        <v>225.6</v>
      </c>
      <c r="H2197" s="1205" t="s">
        <v>2321</v>
      </c>
    </row>
    <row r="2198" spans="1:8" hidden="1">
      <c r="A2198" s="1156"/>
      <c r="B2198" s="1218"/>
      <c r="C2198" s="1752" t="s">
        <v>1301</v>
      </c>
      <c r="D2198" s="1212" t="s">
        <v>11</v>
      </c>
      <c r="E2198" s="1240">
        <v>512</v>
      </c>
      <c r="F2198" s="1213">
        <f>'lead 21-22'!L15</f>
        <v>7540.5</v>
      </c>
      <c r="G2198" s="1214">
        <f>ROUND(E2198*F2198/1000,2)</f>
        <v>3860.74</v>
      </c>
      <c r="H2198" s="1205" t="s">
        <v>2321</v>
      </c>
    </row>
    <row r="2199" spans="1:8" hidden="1">
      <c r="A2199" s="1156"/>
      <c r="B2199" s="1218"/>
      <c r="C2199" s="1752" t="s">
        <v>113</v>
      </c>
      <c r="D2199" s="1212" t="s">
        <v>35</v>
      </c>
      <c r="E2199" s="1213">
        <v>0.2</v>
      </c>
      <c r="F2199" s="1213">
        <f>'lead 21-22'!L12</f>
        <v>1743.4000000000019</v>
      </c>
      <c r="G2199" s="1214">
        <f>ROUND(E2199*F2199,2)</f>
        <v>348.68</v>
      </c>
      <c r="H2199" s="1205" t="s">
        <v>2321</v>
      </c>
    </row>
    <row r="2200" spans="1:8" hidden="1">
      <c r="A2200" s="1212"/>
      <c r="B2200" s="1212"/>
      <c r="C2200" s="1754" t="s">
        <v>68</v>
      </c>
      <c r="D2200" s="1212"/>
      <c r="E2200" s="1213"/>
      <c r="F2200" s="1213"/>
      <c r="G2200" s="1214"/>
      <c r="H2200" s="1205" t="s">
        <v>2321</v>
      </c>
    </row>
    <row r="2201" spans="1:8" hidden="1">
      <c r="A2201" s="1212"/>
      <c r="B2201" s="1212"/>
      <c r="C2201" s="1752" t="s">
        <v>64</v>
      </c>
      <c r="D2201" s="1212" t="s">
        <v>27</v>
      </c>
      <c r="E2201" s="1213">
        <v>0.24</v>
      </c>
      <c r="F2201" s="1213">
        <f>'MINI SSR 21-22'!$H$3</f>
        <v>585</v>
      </c>
      <c r="G2201" s="1214">
        <f>ROUND(E2201*F2201,2)</f>
        <v>140.4</v>
      </c>
      <c r="H2201" s="1205" t="s">
        <v>2321</v>
      </c>
    </row>
    <row r="2202" spans="1:8" hidden="1">
      <c r="A2202" s="1212"/>
      <c r="B2202" s="1212"/>
      <c r="C2202" s="1752" t="s">
        <v>69</v>
      </c>
      <c r="D2202" s="1212" t="s">
        <v>27</v>
      </c>
      <c r="E2202" s="1213">
        <v>0.56000000000000005</v>
      </c>
      <c r="F2202" s="1213">
        <f>'MINI SSR 21-22'!$H$4</f>
        <v>525</v>
      </c>
      <c r="G2202" s="1214">
        <f>ROUND(E2202*F2202,2)</f>
        <v>294</v>
      </c>
      <c r="H2202" s="1205" t="s">
        <v>2321</v>
      </c>
    </row>
    <row r="2203" spans="1:8" hidden="1">
      <c r="A2203" s="1212"/>
      <c r="B2203" s="1212"/>
      <c r="C2203" s="1752" t="s">
        <v>85</v>
      </c>
      <c r="D2203" s="1212" t="s">
        <v>27</v>
      </c>
      <c r="E2203" s="1213">
        <v>1.89</v>
      </c>
      <c r="F2203" s="1213">
        <f>'MINI SSR 21-22'!$H$5</f>
        <v>490</v>
      </c>
      <c r="G2203" s="1214">
        <f>ROUND(E2203*F2203,2)</f>
        <v>926.1</v>
      </c>
      <c r="H2203" s="1205" t="s">
        <v>2321</v>
      </c>
    </row>
    <row r="2204" spans="1:8" hidden="1">
      <c r="A2204" s="1212"/>
      <c r="B2204" s="1212"/>
      <c r="C2204" s="1754" t="s">
        <v>86</v>
      </c>
      <c r="D2204" s="1212"/>
      <c r="E2204" s="1212"/>
      <c r="F2204" s="1212"/>
      <c r="G2204" s="1222">
        <f>SUM(G2197:G2203)</f>
        <v>5795.5199999999995</v>
      </c>
      <c r="H2204" s="1205" t="s">
        <v>2321</v>
      </c>
    </row>
    <row r="2205" spans="1:8" hidden="1">
      <c r="A2205" s="1212"/>
      <c r="B2205" s="1212"/>
      <c r="C2205" s="1754"/>
      <c r="D2205" s="1212"/>
      <c r="E2205" s="1218" t="s">
        <v>161</v>
      </c>
      <c r="F2205" s="1218" t="s">
        <v>162</v>
      </c>
      <c r="G2205" s="1217" t="s">
        <v>163</v>
      </c>
      <c r="H2205" s="1205" t="s">
        <v>2321</v>
      </c>
    </row>
    <row r="2206" spans="1:8" hidden="1">
      <c r="A2206" s="1212"/>
      <c r="B2206" s="1212"/>
      <c r="C2206" s="1754" t="s">
        <v>192</v>
      </c>
      <c r="D2206" s="1212"/>
      <c r="E2206" s="1213">
        <f>G2204</f>
        <v>5795.5199999999995</v>
      </c>
      <c r="F2206" s="1213">
        <f>E2206</f>
        <v>5795.5199999999995</v>
      </c>
      <c r="G2206" s="1215">
        <f>F2206</f>
        <v>5795.5199999999995</v>
      </c>
      <c r="H2206" s="1205" t="s">
        <v>2321</v>
      </c>
    </row>
    <row r="2207" spans="1:8" hidden="1">
      <c r="A2207" s="1212"/>
      <c r="B2207" s="1212"/>
      <c r="C2207" s="1752" t="s">
        <v>191</v>
      </c>
      <c r="D2207" s="1223">
        <v>4.3499999999999996</v>
      </c>
      <c r="E2207" s="1212">
        <f>ROUND(D2207*'MINI SSR 21-22'!E30,2)</f>
        <v>46.89</v>
      </c>
      <c r="F2207" s="1212">
        <f>E2207</f>
        <v>46.89</v>
      </c>
      <c r="G2207" s="1212">
        <f>E2207</f>
        <v>46.89</v>
      </c>
      <c r="H2207" s="1205" t="s">
        <v>2321</v>
      </c>
    </row>
    <row r="2208" spans="1:8" hidden="1">
      <c r="A2208" s="1212"/>
      <c r="B2208" s="1212"/>
      <c r="C2208" s="1752" t="s">
        <v>193</v>
      </c>
      <c r="D2208" s="1223">
        <v>4.3499999999999996</v>
      </c>
      <c r="E2208" s="1212">
        <f>ROUND(D2208*'MINI SSR 21-22'!F30,2)</f>
        <v>368.1</v>
      </c>
      <c r="F2208" s="1212">
        <f>ROUND(D2208*'MINI SSR 21-22'!G30,2)</f>
        <v>527.13</v>
      </c>
      <c r="G2208" s="1212">
        <f>ROUND(D2208*'MINI SSR 21-22'!H30,2)</f>
        <v>686.08</v>
      </c>
      <c r="H2208" s="1205" t="s">
        <v>2321</v>
      </c>
    </row>
    <row r="2209" spans="1:8" ht="25.5" hidden="1">
      <c r="A2209" s="1212"/>
      <c r="B2209" s="1212"/>
      <c r="C2209" s="1752" t="s">
        <v>1286</v>
      </c>
      <c r="D2209" s="1212"/>
      <c r="E2209" s="1212"/>
      <c r="F2209" s="1213">
        <f>ROUND((G2201+G2202+G2203+F2208)*0.1,2)</f>
        <v>188.76</v>
      </c>
      <c r="G2209" s="1213">
        <f>ROUND((G2201+G2202+G2203+G2208)*0.2,2)</f>
        <v>409.32</v>
      </c>
      <c r="H2209" s="1205" t="s">
        <v>2321</v>
      </c>
    </row>
    <row r="2210" spans="1:8" hidden="1">
      <c r="A2210" s="1212"/>
      <c r="B2210" s="1212"/>
      <c r="C2210" s="1754" t="s">
        <v>86</v>
      </c>
      <c r="D2210" s="1212"/>
      <c r="E2210" s="1217">
        <f>SUM(E2206:E2209)</f>
        <v>6210.51</v>
      </c>
      <c r="F2210" s="1217">
        <f>SUM(F2206:F2209)</f>
        <v>6558.3</v>
      </c>
      <c r="G2210" s="1222">
        <f>SUM(G2206:G2209)</f>
        <v>6937.8099999999995</v>
      </c>
      <c r="H2210" s="1205" t="s">
        <v>2321</v>
      </c>
    </row>
    <row r="2211" spans="1:8" ht="142.5" hidden="1">
      <c r="A2211" s="1156">
        <v>29</v>
      </c>
      <c r="B2211" s="1218" t="s">
        <v>1347</v>
      </c>
      <c r="C2211" s="1752" t="s">
        <v>1302</v>
      </c>
      <c r="D2211" s="1212"/>
      <c r="E2211" s="1212"/>
      <c r="F2211" s="1212"/>
      <c r="G2211" s="1218"/>
      <c r="H2211" s="1205" t="s">
        <v>2321</v>
      </c>
    </row>
    <row r="2212" spans="1:8" hidden="1">
      <c r="A2212" s="1156"/>
      <c r="B2212" s="1218"/>
      <c r="C2212" s="1754" t="s">
        <v>84</v>
      </c>
      <c r="D2212" s="1212"/>
      <c r="E2212" s="1212"/>
      <c r="F2212" s="1212"/>
      <c r="G2212" s="1215"/>
      <c r="H2212" s="1205" t="s">
        <v>2321</v>
      </c>
    </row>
    <row r="2213" spans="1:8" hidden="1">
      <c r="A2213" s="1156"/>
      <c r="B2213" s="1218"/>
      <c r="C2213" s="1754" t="s">
        <v>60</v>
      </c>
      <c r="D2213" s="1212"/>
      <c r="E2213" s="1212"/>
      <c r="F2213" s="1212"/>
      <c r="G2213" s="1215"/>
      <c r="H2213" s="1205" t="s">
        <v>2321</v>
      </c>
    </row>
    <row r="2214" spans="1:8" hidden="1">
      <c r="A2214" s="1156"/>
      <c r="B2214" s="1218"/>
      <c r="C2214" s="1752" t="s">
        <v>33</v>
      </c>
      <c r="D2214" s="1212" t="s">
        <v>4</v>
      </c>
      <c r="E2214" s="1213">
        <v>36</v>
      </c>
      <c r="F2214" s="1213">
        <f>'lead 21-22'!L8</f>
        <v>4700</v>
      </c>
      <c r="G2214" s="1214">
        <f>ROUND(E2214*F2214/1000,2)</f>
        <v>169.2</v>
      </c>
      <c r="H2214" s="1205" t="s">
        <v>2321</v>
      </c>
    </row>
    <row r="2215" spans="1:8" hidden="1">
      <c r="A2215" s="1156"/>
      <c r="B2215" s="1218"/>
      <c r="C2215" s="1752" t="s">
        <v>1301</v>
      </c>
      <c r="D2215" s="1212" t="s">
        <v>11</v>
      </c>
      <c r="E2215" s="1240">
        <v>512</v>
      </c>
      <c r="F2215" s="1213">
        <f>'lead 21-22'!L15</f>
        <v>7540.5</v>
      </c>
      <c r="G2215" s="1214">
        <f>ROUND(E2215*F2215/1000,2)</f>
        <v>3860.74</v>
      </c>
      <c r="H2215" s="1205" t="s">
        <v>2321</v>
      </c>
    </row>
    <row r="2216" spans="1:8" hidden="1">
      <c r="A2216" s="1156"/>
      <c r="B2216" s="1218"/>
      <c r="C2216" s="1752" t="s">
        <v>113</v>
      </c>
      <c r="D2216" s="1212" t="s">
        <v>35</v>
      </c>
      <c r="E2216" s="1213">
        <v>0.2</v>
      </c>
      <c r="F2216" s="1213">
        <f>'lead 21-22'!L12</f>
        <v>1743.4000000000019</v>
      </c>
      <c r="G2216" s="1214">
        <f>ROUND(E2216*F2216,2)</f>
        <v>348.68</v>
      </c>
      <c r="H2216" s="1205" t="s">
        <v>2321</v>
      </c>
    </row>
    <row r="2217" spans="1:8" hidden="1">
      <c r="A2217" s="1212"/>
      <c r="B2217" s="1212"/>
      <c r="C2217" s="1754" t="s">
        <v>68</v>
      </c>
      <c r="D2217" s="1212"/>
      <c r="E2217" s="1213"/>
      <c r="F2217" s="1213"/>
      <c r="G2217" s="1214"/>
      <c r="H2217" s="1205" t="s">
        <v>2321</v>
      </c>
    </row>
    <row r="2218" spans="1:8" hidden="1">
      <c r="A2218" s="1212"/>
      <c r="B2218" s="1212"/>
      <c r="C2218" s="1752" t="s">
        <v>64</v>
      </c>
      <c r="D2218" s="1212" t="s">
        <v>27</v>
      </c>
      <c r="E2218" s="1213">
        <v>0.24</v>
      </c>
      <c r="F2218" s="1213">
        <f>'MINI SSR 21-22'!$H$3</f>
        <v>585</v>
      </c>
      <c r="G2218" s="1214">
        <f>ROUND(E2218*F2218,2)</f>
        <v>140.4</v>
      </c>
      <c r="H2218" s="1205" t="s">
        <v>2321</v>
      </c>
    </row>
    <row r="2219" spans="1:8" hidden="1">
      <c r="A2219" s="1212"/>
      <c r="B2219" s="1212"/>
      <c r="C2219" s="1752" t="s">
        <v>69</v>
      </c>
      <c r="D2219" s="1212" t="s">
        <v>27</v>
      </c>
      <c r="E2219" s="1213">
        <v>0.56000000000000005</v>
      </c>
      <c r="F2219" s="1213">
        <f>'MINI SSR 21-22'!$H$4</f>
        <v>525</v>
      </c>
      <c r="G2219" s="1214">
        <f>ROUND(E2219*F2219,2)</f>
        <v>294</v>
      </c>
      <c r="H2219" s="1205" t="s">
        <v>2321</v>
      </c>
    </row>
    <row r="2220" spans="1:8" hidden="1">
      <c r="A2220" s="1212"/>
      <c r="B2220" s="1212"/>
      <c r="C2220" s="1752" t="s">
        <v>85</v>
      </c>
      <c r="D2220" s="1212" t="s">
        <v>27</v>
      </c>
      <c r="E2220" s="1213">
        <v>1.89</v>
      </c>
      <c r="F2220" s="1213">
        <f>'MINI SSR 21-22'!$H$5</f>
        <v>490</v>
      </c>
      <c r="G2220" s="1214">
        <f>ROUND(E2220*F2220,2)</f>
        <v>926.1</v>
      </c>
      <c r="H2220" s="1205" t="s">
        <v>2321</v>
      </c>
    </row>
    <row r="2221" spans="1:8" hidden="1">
      <c r="A2221" s="1212"/>
      <c r="B2221" s="1212"/>
      <c r="C2221" s="1754" t="s">
        <v>86</v>
      </c>
      <c r="D2221" s="1212"/>
      <c r="E2221" s="1212"/>
      <c r="F2221" s="1212"/>
      <c r="G2221" s="1222">
        <f>SUM(G2214:G2220)</f>
        <v>5739.12</v>
      </c>
      <c r="H2221" s="1205" t="s">
        <v>2321</v>
      </c>
    </row>
    <row r="2222" spans="1:8" hidden="1">
      <c r="A2222" s="1212"/>
      <c r="B2222" s="1212"/>
      <c r="C2222" s="1754"/>
      <c r="D2222" s="1212"/>
      <c r="E2222" s="1218" t="s">
        <v>161</v>
      </c>
      <c r="F2222" s="1218" t="s">
        <v>162</v>
      </c>
      <c r="G2222" s="1217" t="s">
        <v>163</v>
      </c>
      <c r="H2222" s="1205" t="s">
        <v>2321</v>
      </c>
    </row>
    <row r="2223" spans="1:8" hidden="1">
      <c r="A2223" s="1212"/>
      <c r="B2223" s="1212"/>
      <c r="C2223" s="1754" t="s">
        <v>192</v>
      </c>
      <c r="D2223" s="1212"/>
      <c r="E2223" s="1213">
        <f>G2221</f>
        <v>5739.12</v>
      </c>
      <c r="F2223" s="1213">
        <f>E2223</f>
        <v>5739.12</v>
      </c>
      <c r="G2223" s="1215">
        <f>F2223</f>
        <v>5739.12</v>
      </c>
      <c r="H2223" s="1205" t="s">
        <v>2321</v>
      </c>
    </row>
    <row r="2224" spans="1:8" hidden="1">
      <c r="A2224" s="1212"/>
      <c r="B2224" s="1212"/>
      <c r="C2224" s="1752" t="s">
        <v>191</v>
      </c>
      <c r="D2224" s="1223">
        <v>4.3499999999999996</v>
      </c>
      <c r="E2224" s="1212">
        <f>ROUND(D2224*'MINI SSR 21-22'!E30,2)</f>
        <v>46.89</v>
      </c>
      <c r="F2224" s="1212">
        <f>E2224</f>
        <v>46.89</v>
      </c>
      <c r="G2224" s="1212">
        <f>F2224</f>
        <v>46.89</v>
      </c>
      <c r="H2224" s="1205" t="s">
        <v>2321</v>
      </c>
    </row>
    <row r="2225" spans="1:8" hidden="1">
      <c r="A2225" s="1212"/>
      <c r="B2225" s="1212"/>
      <c r="C2225" s="1752" t="s">
        <v>193</v>
      </c>
      <c r="D2225" s="1223">
        <v>4.3499999999999996</v>
      </c>
      <c r="E2225" s="1212">
        <f>ROUND(D2225*'MINI SSR 21-22'!F30,2)</f>
        <v>368.1</v>
      </c>
      <c r="F2225" s="1212">
        <f>ROUND(D2225*'MINI SSR 21-22'!G30,2)</f>
        <v>527.13</v>
      </c>
      <c r="G2225" s="1212">
        <f>ROUND(D2225*'MINI SSR 21-22'!H30,2)</f>
        <v>686.08</v>
      </c>
      <c r="H2225" s="1205" t="s">
        <v>2321</v>
      </c>
    </row>
    <row r="2226" spans="1:8" ht="25.5" hidden="1">
      <c r="A2226" s="1212"/>
      <c r="B2226" s="1212"/>
      <c r="C2226" s="1752" t="s">
        <v>1286</v>
      </c>
      <c r="D2226" s="1212"/>
      <c r="E2226" s="1212"/>
      <c r="F2226" s="1213">
        <f>ROUND((G2218+G2219+G2220+F2225)*0.1,2)</f>
        <v>188.76</v>
      </c>
      <c r="G2226" s="1213">
        <f>ROUND((G2218+G2219+G2220+G2225)*0.2,2)</f>
        <v>409.32</v>
      </c>
      <c r="H2226" s="1205" t="s">
        <v>2321</v>
      </c>
    </row>
    <row r="2227" spans="1:8" hidden="1">
      <c r="A2227" s="1212"/>
      <c r="B2227" s="1212"/>
      <c r="C2227" s="1754" t="s">
        <v>86</v>
      </c>
      <c r="D2227" s="1212"/>
      <c r="E2227" s="1217">
        <f>SUM(E2223:E2226)</f>
        <v>6154.1100000000006</v>
      </c>
      <c r="F2227" s="1217">
        <f>SUM(F2223:F2226)</f>
        <v>6501.9000000000005</v>
      </c>
      <c r="G2227" s="1222">
        <f>SUM(G2223:G2226)</f>
        <v>6881.41</v>
      </c>
      <c r="H2227" s="1205" t="s">
        <v>2321</v>
      </c>
    </row>
    <row r="2228" spans="1:8" ht="102" hidden="1">
      <c r="A2228" s="1156">
        <v>13</v>
      </c>
      <c r="B2228" s="1218" t="s">
        <v>221</v>
      </c>
      <c r="C2228" s="1752" t="s">
        <v>3636</v>
      </c>
      <c r="D2228" s="1212"/>
      <c r="E2228" s="1212"/>
      <c r="F2228" s="1212"/>
      <c r="G2228" s="1218"/>
      <c r="H2228" s="1205" t="s">
        <v>2321</v>
      </c>
    </row>
    <row r="2229" spans="1:8" hidden="1">
      <c r="A2229" s="1156"/>
      <c r="B2229" s="1218"/>
      <c r="C2229" s="1754" t="s">
        <v>222</v>
      </c>
      <c r="D2229" s="1212"/>
      <c r="E2229" s="1212"/>
      <c r="F2229" s="1212"/>
      <c r="G2229" s="1215"/>
      <c r="H2229" s="1205" t="s">
        <v>2321</v>
      </c>
    </row>
    <row r="2230" spans="1:8" hidden="1">
      <c r="A2230" s="1156"/>
      <c r="B2230" s="1218"/>
      <c r="C2230" s="1754" t="s">
        <v>60</v>
      </c>
      <c r="D2230" s="1212"/>
      <c r="E2230" s="1212"/>
      <c r="F2230" s="1212"/>
      <c r="G2230" s="1215"/>
      <c r="H2230" s="1205" t="s">
        <v>2321</v>
      </c>
    </row>
    <row r="2231" spans="1:8" hidden="1">
      <c r="A2231" s="1156"/>
      <c r="B2231" s="1218"/>
      <c r="C2231" s="1752" t="s">
        <v>33</v>
      </c>
      <c r="D2231" s="1212" t="s">
        <v>4</v>
      </c>
      <c r="E2231" s="1213">
        <v>72</v>
      </c>
      <c r="F2231" s="1213">
        <f>'lead 21-22'!L8</f>
        <v>4700</v>
      </c>
      <c r="G2231" s="1214">
        <f>ROUND(E2231*F2231/1000,2)</f>
        <v>338.4</v>
      </c>
      <c r="H2231" s="1205" t="s">
        <v>2321</v>
      </c>
    </row>
    <row r="2232" spans="1:8" hidden="1">
      <c r="A2232" s="1156"/>
      <c r="B2232" s="1218"/>
      <c r="C2232" s="1752" t="s">
        <v>1303</v>
      </c>
      <c r="D2232" s="1212" t="s">
        <v>11</v>
      </c>
      <c r="E2232" s="1240">
        <v>565</v>
      </c>
      <c r="F2232" s="1213">
        <f>'lead 21-22'!L15</f>
        <v>7540.5</v>
      </c>
      <c r="G2232" s="1214">
        <f>ROUND(E2232*F2232/1000,2)</f>
        <v>4260.38</v>
      </c>
      <c r="H2232" s="1205" t="s">
        <v>2321</v>
      </c>
    </row>
    <row r="2233" spans="1:8" hidden="1">
      <c r="A2233" s="1156"/>
      <c r="B2233" s="1218"/>
      <c r="C2233" s="1752" t="s">
        <v>113</v>
      </c>
      <c r="D2233" s="1212" t="s">
        <v>35</v>
      </c>
      <c r="E2233" s="1213">
        <v>0.22</v>
      </c>
      <c r="F2233" s="1213">
        <f>'lead 21-22'!L12</f>
        <v>1743.4000000000019</v>
      </c>
      <c r="G2233" s="1214">
        <f>ROUND(E2233*F2233,2)</f>
        <v>383.55</v>
      </c>
      <c r="H2233" s="1205" t="s">
        <v>2321</v>
      </c>
    </row>
    <row r="2234" spans="1:8" hidden="1">
      <c r="A2234" s="1212"/>
      <c r="B2234" s="1212"/>
      <c r="C2234" s="1754" t="s">
        <v>68</v>
      </c>
      <c r="D2234" s="1212"/>
      <c r="E2234" s="1213"/>
      <c r="F2234" s="1213"/>
      <c r="G2234" s="1214"/>
      <c r="H2234" s="1205" t="s">
        <v>2321</v>
      </c>
    </row>
    <row r="2235" spans="1:8" hidden="1">
      <c r="A2235" s="1212"/>
      <c r="B2235" s="1212"/>
      <c r="C2235" s="1752" t="s">
        <v>64</v>
      </c>
      <c r="D2235" s="1212" t="s">
        <v>27</v>
      </c>
      <c r="E2235" s="1213">
        <v>0.6</v>
      </c>
      <c r="F2235" s="1213">
        <f>'MINI SSR 21-22'!$H$3</f>
        <v>585</v>
      </c>
      <c r="G2235" s="1214">
        <f>ROUND(E2235*F2235,2)</f>
        <v>351</v>
      </c>
      <c r="H2235" s="1205" t="s">
        <v>2321</v>
      </c>
    </row>
    <row r="2236" spans="1:8" hidden="1">
      <c r="A2236" s="1212"/>
      <c r="B2236" s="1212"/>
      <c r="C2236" s="1752" t="s">
        <v>69</v>
      </c>
      <c r="D2236" s="1212" t="s">
        <v>27</v>
      </c>
      <c r="E2236" s="1213">
        <v>0.6</v>
      </c>
      <c r="F2236" s="1213">
        <f>'MINI SSR 21-22'!$H$4</f>
        <v>525</v>
      </c>
      <c r="G2236" s="1214">
        <f>ROUND(E2236*F2236,2)</f>
        <v>315</v>
      </c>
      <c r="H2236" s="1205" t="s">
        <v>2321</v>
      </c>
    </row>
    <row r="2237" spans="1:8" hidden="1">
      <c r="A2237" s="1212"/>
      <c r="B2237" s="1212"/>
      <c r="C2237" s="1752" t="s">
        <v>85</v>
      </c>
      <c r="D2237" s="1212" t="s">
        <v>27</v>
      </c>
      <c r="E2237" s="1213">
        <v>2.75</v>
      </c>
      <c r="F2237" s="1213">
        <f>'MINI SSR 21-22'!$H$5</f>
        <v>490</v>
      </c>
      <c r="G2237" s="1214">
        <f>ROUND(E2237*F2237,2)</f>
        <v>1347.5</v>
      </c>
      <c r="H2237" s="1205" t="s">
        <v>2321</v>
      </c>
    </row>
    <row r="2238" spans="1:8" hidden="1">
      <c r="A2238" s="1212"/>
      <c r="B2238" s="1212"/>
      <c r="C2238" s="1754" t="s">
        <v>88</v>
      </c>
      <c r="D2238" s="1212"/>
      <c r="E2238" s="1213"/>
      <c r="F2238" s="1213"/>
      <c r="G2238" s="1214">
        <f>SUM(G2231:G2237)</f>
        <v>6995.83</v>
      </c>
      <c r="H2238" s="1205" t="s">
        <v>2321</v>
      </c>
    </row>
    <row r="2239" spans="1:8" hidden="1">
      <c r="A2239" s="1212"/>
      <c r="B2239" s="1212"/>
      <c r="C2239" s="1754"/>
      <c r="D2239" s="1212"/>
      <c r="E2239" s="1218" t="s">
        <v>161</v>
      </c>
      <c r="F2239" s="1217" t="s">
        <v>162</v>
      </c>
      <c r="G2239" s="1217" t="s">
        <v>163</v>
      </c>
      <c r="H2239" s="1205" t="s">
        <v>2321</v>
      </c>
    </row>
    <row r="2240" spans="1:8" hidden="1">
      <c r="A2240" s="1212"/>
      <c r="B2240" s="1212"/>
      <c r="C2240" s="1754" t="s">
        <v>192</v>
      </c>
      <c r="D2240" s="1212"/>
      <c r="E2240" s="1213">
        <f>G2238</f>
        <v>6995.83</v>
      </c>
      <c r="F2240" s="1215">
        <f>G2238</f>
        <v>6995.83</v>
      </c>
      <c r="G2240" s="1215">
        <f>G2238</f>
        <v>6995.83</v>
      </c>
      <c r="H2240" s="1205" t="s">
        <v>2321</v>
      </c>
    </row>
    <row r="2241" spans="1:8" hidden="1">
      <c r="A2241" s="1212"/>
      <c r="B2241" s="1212"/>
      <c r="C2241" s="1752" t="s">
        <v>1649</v>
      </c>
      <c r="D2241" s="1223">
        <v>8.6999999999999993</v>
      </c>
      <c r="E2241" s="1212">
        <f>ROUND(D2241*'MINI SSR 21-22'!E30,2)</f>
        <v>93.79</v>
      </c>
      <c r="F2241" s="1225">
        <f>E2241</f>
        <v>93.79</v>
      </c>
      <c r="G2241" s="1225">
        <f>F2241</f>
        <v>93.79</v>
      </c>
      <c r="H2241" s="1205" t="s">
        <v>2321</v>
      </c>
    </row>
    <row r="2242" spans="1:8" hidden="1">
      <c r="A2242" s="1212"/>
      <c r="B2242" s="1212"/>
      <c r="C2242" s="1752" t="s">
        <v>1650</v>
      </c>
      <c r="D2242" s="1223">
        <v>8.6999999999999993</v>
      </c>
      <c r="E2242" s="1213">
        <f>8.7*'MINI SSR 21-22'!F30</f>
        <v>736.19399999999996</v>
      </c>
      <c r="F2242" s="1213">
        <f>8.7*'MINI SSR 21-22'!G30</f>
        <v>1054.2660000000001</v>
      </c>
      <c r="G2242" s="1213">
        <f>8.7*'MINI SSR 21-22'!H30</f>
        <v>1372.164</v>
      </c>
      <c r="H2242" s="1205" t="s">
        <v>2321</v>
      </c>
    </row>
    <row r="2243" spans="1:8" ht="25.5" hidden="1">
      <c r="A2243" s="1212"/>
      <c r="B2243" s="1212"/>
      <c r="C2243" s="1752" t="s">
        <v>1286</v>
      </c>
      <c r="D2243" s="1212"/>
      <c r="E2243" s="1212"/>
      <c r="F2243" s="1241">
        <f>(SUM(G2235:G2237)+F2242)*10%</f>
        <v>306.77660000000003</v>
      </c>
      <c r="G2243" s="1241">
        <f>(SUM(G2235:G2237)+G2242)*20%</f>
        <v>677.13279999999997</v>
      </c>
      <c r="H2243" s="1205" t="s">
        <v>2321</v>
      </c>
    </row>
    <row r="2244" spans="1:8" hidden="1">
      <c r="A2244" s="1212"/>
      <c r="B2244" s="1212"/>
      <c r="C2244" s="1754" t="s">
        <v>900</v>
      </c>
      <c r="D2244" s="1212"/>
      <c r="E2244" s="1217">
        <f>SUM(E2240:E2243)</f>
        <v>7825.8140000000003</v>
      </c>
      <c r="F2244" s="1222">
        <f>SUM(F2240:F2243)</f>
        <v>8450.6625999999997</v>
      </c>
      <c r="G2244" s="1222">
        <f>SUM(G2240:G2243)</f>
        <v>9138.9167999999991</v>
      </c>
      <c r="H2244" s="1205" t="s">
        <v>2321</v>
      </c>
    </row>
    <row r="2245" spans="1:8" hidden="1">
      <c r="A2245" s="1212"/>
      <c r="B2245" s="1212"/>
      <c r="C2245" s="1754" t="s">
        <v>121</v>
      </c>
      <c r="D2245" s="1212"/>
      <c r="E2245" s="1217">
        <f>ROUND(E2244/10,2)</f>
        <v>782.58</v>
      </c>
      <c r="F2245" s="1222">
        <f>ROUND(F2244/10,2)</f>
        <v>845.07</v>
      </c>
      <c r="G2245" s="1222">
        <f>ROUND(G2244/10,2)</f>
        <v>913.89</v>
      </c>
      <c r="H2245" s="1205" t="s">
        <v>2321</v>
      </c>
    </row>
    <row r="2246" spans="1:8" ht="127.5" hidden="1">
      <c r="A2246" s="1156">
        <v>30</v>
      </c>
      <c r="B2246" s="1218" t="s">
        <v>1319</v>
      </c>
      <c r="C2246" s="1752" t="s">
        <v>1195</v>
      </c>
      <c r="D2246" s="1212"/>
      <c r="E2246" s="1212"/>
      <c r="F2246" s="1212"/>
      <c r="G2246" s="1218"/>
      <c r="H2246" s="1205" t="s">
        <v>2321</v>
      </c>
    </row>
    <row r="2247" spans="1:8" hidden="1">
      <c r="A2247" s="1156"/>
      <c r="B2247" s="1218"/>
      <c r="C2247" s="1754" t="s">
        <v>84</v>
      </c>
      <c r="D2247" s="1212"/>
      <c r="E2247" s="1212"/>
      <c r="F2247" s="1212"/>
      <c r="G2247" s="1215"/>
      <c r="H2247" s="1205" t="s">
        <v>2321</v>
      </c>
    </row>
    <row r="2248" spans="1:8" hidden="1">
      <c r="A2248" s="1156"/>
      <c r="B2248" s="1218"/>
      <c r="C2248" s="1754" t="s">
        <v>60</v>
      </c>
      <c r="D2248" s="1212"/>
      <c r="E2248" s="1212"/>
      <c r="F2248" s="1212"/>
      <c r="G2248" s="1215"/>
      <c r="H2248" s="1205" t="s">
        <v>2321</v>
      </c>
    </row>
    <row r="2249" spans="1:8" ht="25.5" hidden="1">
      <c r="A2249" s="1156"/>
      <c r="B2249" s="1218"/>
      <c r="C2249" s="1752" t="s">
        <v>1198</v>
      </c>
      <c r="D2249" s="1212" t="s">
        <v>11</v>
      </c>
      <c r="E2249" s="1240">
        <v>110</v>
      </c>
      <c r="F2249" s="1213">
        <f>'MINI SSR 21-22'!C27</f>
        <v>28</v>
      </c>
      <c r="G2249" s="1214">
        <f>ROUND(E2249*F2249,2)</f>
        <v>3080</v>
      </c>
      <c r="H2249" s="1205" t="s">
        <v>2321</v>
      </c>
    </row>
    <row r="2250" spans="1:8" hidden="1">
      <c r="A2250" s="1156"/>
      <c r="B2250" s="1218"/>
      <c r="C2250" s="1752" t="s">
        <v>1196</v>
      </c>
      <c r="D2250" s="1212" t="s">
        <v>35</v>
      </c>
      <c r="E2250" s="1213">
        <v>0.1</v>
      </c>
      <c r="F2250" s="1213">
        <f>G1860</f>
        <v>3056.5699999999997</v>
      </c>
      <c r="G2250" s="1214">
        <f>ROUND(E2250*F2250,2)</f>
        <v>305.66000000000003</v>
      </c>
      <c r="H2250" s="1205" t="s">
        <v>2321</v>
      </c>
    </row>
    <row r="2251" spans="1:8" hidden="1">
      <c r="A2251" s="1212"/>
      <c r="B2251" s="1212"/>
      <c r="C2251" s="1754" t="s">
        <v>68</v>
      </c>
      <c r="D2251" s="1212"/>
      <c r="E2251" s="1213"/>
      <c r="F2251" s="1213"/>
      <c r="G2251" s="1214"/>
      <c r="H2251" s="1205" t="s">
        <v>2321</v>
      </c>
    </row>
    <row r="2252" spans="1:8" hidden="1">
      <c r="A2252" s="1212"/>
      <c r="B2252" s="1212"/>
      <c r="C2252" s="1752" t="s">
        <v>64</v>
      </c>
      <c r="D2252" s="1212" t="s">
        <v>27</v>
      </c>
      <c r="E2252" s="1213">
        <v>0.42</v>
      </c>
      <c r="F2252" s="1213">
        <f>'MINI SSR 21-22'!$H$3</f>
        <v>585</v>
      </c>
      <c r="G2252" s="1214">
        <f>ROUND(E2252*F2252,2)</f>
        <v>245.7</v>
      </c>
      <c r="H2252" s="1205" t="s">
        <v>2321</v>
      </c>
    </row>
    <row r="2253" spans="1:8" hidden="1">
      <c r="A2253" s="1212"/>
      <c r="B2253" s="1212"/>
      <c r="C2253" s="1752" t="s">
        <v>69</v>
      </c>
      <c r="D2253" s="1212" t="s">
        <v>27</v>
      </c>
      <c r="E2253" s="1213">
        <v>0.92</v>
      </c>
      <c r="F2253" s="1213">
        <f>'MINI SSR 21-22'!$H$4</f>
        <v>525</v>
      </c>
      <c r="G2253" s="1214">
        <f>ROUND(E2253*F2253,2)</f>
        <v>483</v>
      </c>
      <c r="H2253" s="1205" t="s">
        <v>2321</v>
      </c>
    </row>
    <row r="2254" spans="1:8" hidden="1">
      <c r="A2254" s="1212"/>
      <c r="B2254" s="1212"/>
      <c r="C2254" s="1752" t="s">
        <v>375</v>
      </c>
      <c r="D2254" s="1212" t="s">
        <v>27</v>
      </c>
      <c r="E2254" s="1213">
        <v>0.7</v>
      </c>
      <c r="F2254" s="1213">
        <f>'MINI SSR 21-22'!$H$5</f>
        <v>490</v>
      </c>
      <c r="G2254" s="1214">
        <f>ROUND(E2254*F2254,2)</f>
        <v>343</v>
      </c>
      <c r="H2254" s="1205" t="s">
        <v>2321</v>
      </c>
    </row>
    <row r="2255" spans="1:8" hidden="1">
      <c r="A2255" s="1212"/>
      <c r="B2255" s="1212"/>
      <c r="C2255" s="1752" t="s">
        <v>1197</v>
      </c>
      <c r="D2255" s="1212" t="s">
        <v>27</v>
      </c>
      <c r="E2255" s="1213">
        <v>2.1</v>
      </c>
      <c r="F2255" s="1213">
        <f>'MINI SSR 21-22'!$H$5</f>
        <v>490</v>
      </c>
      <c r="G2255" s="1214">
        <f>ROUND(E2255*F2255,2)</f>
        <v>1029</v>
      </c>
      <c r="H2255" s="1205" t="s">
        <v>2321</v>
      </c>
    </row>
    <row r="2256" spans="1:8" hidden="1">
      <c r="A2256" s="1212"/>
      <c r="B2256" s="1212"/>
      <c r="C2256" s="1754" t="s">
        <v>86</v>
      </c>
      <c r="D2256" s="1212"/>
      <c r="E2256" s="1212"/>
      <c r="F2256" s="1212"/>
      <c r="G2256" s="1222">
        <f>SUM(G2249:G2255)</f>
        <v>5486.36</v>
      </c>
      <c r="H2256" s="1205" t="s">
        <v>2321</v>
      </c>
    </row>
    <row r="2257" spans="1:8" hidden="1">
      <c r="A2257" s="1212"/>
      <c r="B2257" s="1212"/>
      <c r="C2257" s="1754"/>
      <c r="D2257" s="1212"/>
      <c r="E2257" s="1218" t="s">
        <v>161</v>
      </c>
      <c r="F2257" s="1217" t="s">
        <v>162</v>
      </c>
      <c r="G2257" s="1217" t="s">
        <v>163</v>
      </c>
      <c r="H2257" s="1205" t="s">
        <v>2321</v>
      </c>
    </row>
    <row r="2258" spans="1:8" hidden="1">
      <c r="A2258" s="1212"/>
      <c r="B2258" s="1212"/>
      <c r="C2258" s="1754" t="s">
        <v>192</v>
      </c>
      <c r="D2258" s="1212"/>
      <c r="E2258" s="1213">
        <f>G2256</f>
        <v>5486.36</v>
      </c>
      <c r="F2258" s="1215">
        <f>G2256</f>
        <v>5486.36</v>
      </c>
      <c r="G2258" s="1215">
        <f>G2256*1</f>
        <v>5486.36</v>
      </c>
      <c r="H2258" s="1205" t="s">
        <v>2321</v>
      </c>
    </row>
    <row r="2259" spans="1:8" hidden="1">
      <c r="A2259" s="1212"/>
      <c r="B2259" s="1212"/>
      <c r="C2259" s="1752" t="s">
        <v>1651</v>
      </c>
      <c r="D2259" s="1223">
        <v>4.3499999999999996</v>
      </c>
      <c r="E2259" s="1212">
        <f>ROUND(10.32*D2259,2)</f>
        <v>44.89</v>
      </c>
      <c r="F2259" s="1225">
        <f>E2259</f>
        <v>44.89</v>
      </c>
      <c r="G2259" s="1225">
        <f>F2259</f>
        <v>44.89</v>
      </c>
      <c r="H2259" s="1205" t="s">
        <v>2321</v>
      </c>
    </row>
    <row r="2260" spans="1:8" hidden="1">
      <c r="A2260" s="1212"/>
      <c r="B2260" s="1212"/>
      <c r="C2260" s="1752" t="s">
        <v>1652</v>
      </c>
      <c r="D2260" s="1223">
        <v>4.3499999999999996</v>
      </c>
      <c r="E2260" s="1212">
        <f>ROUND('MINI SSR 21-22'!F30*$D$2260,2)</f>
        <v>368.1</v>
      </c>
      <c r="F2260" s="1212">
        <f>ROUND('MINI SSR 21-22'!G30*$D$2260,2)</f>
        <v>527.13</v>
      </c>
      <c r="G2260" s="1212">
        <f>ROUND('MINI SSR 21-22'!H30*$D$2260,2)</f>
        <v>686.08</v>
      </c>
      <c r="H2260" s="1205" t="s">
        <v>2321</v>
      </c>
    </row>
    <row r="2261" spans="1:8" ht="25.5" hidden="1">
      <c r="A2261" s="1212"/>
      <c r="B2261" s="1212"/>
      <c r="C2261" s="1752" t="s">
        <v>1286</v>
      </c>
      <c r="D2261" s="1212"/>
      <c r="E2261" s="1212"/>
      <c r="F2261" s="1225">
        <f>ROUND((G2252+G2253+G2255+G2254+F2260)*0.1,2)</f>
        <v>262.77999999999997</v>
      </c>
      <c r="G2261" s="1225">
        <f>ROUND((G2252+G2253+G2255+G2254+G2260)*0.2,2)</f>
        <v>557.36</v>
      </c>
      <c r="H2261" s="1205" t="s">
        <v>2321</v>
      </c>
    </row>
    <row r="2262" spans="1:8" hidden="1">
      <c r="A2262" s="1212"/>
      <c r="B2262" s="1212"/>
      <c r="C2262" s="1754" t="s">
        <v>86</v>
      </c>
      <c r="D2262" s="1212"/>
      <c r="E2262" s="1217">
        <f>SUM(E2258:E2261)</f>
        <v>5899.35</v>
      </c>
      <c r="F2262" s="1222">
        <f>SUM(F2258:F2261)</f>
        <v>6321.16</v>
      </c>
      <c r="G2262" s="1222">
        <f>SUM(G2258:G2261)</f>
        <v>6774.69</v>
      </c>
      <c r="H2262" s="1205" t="s">
        <v>2321</v>
      </c>
    </row>
    <row r="2263" spans="1:8" ht="89.25" hidden="1">
      <c r="A2263" s="1156">
        <v>30</v>
      </c>
      <c r="B2263" s="1218" t="s">
        <v>87</v>
      </c>
      <c r="C2263" s="1752" t="s">
        <v>1304</v>
      </c>
      <c r="D2263" s="1212"/>
      <c r="E2263" s="1212"/>
      <c r="F2263" s="1212"/>
      <c r="G2263" s="1218"/>
      <c r="H2263" s="1205" t="s">
        <v>2321</v>
      </c>
    </row>
    <row r="2264" spans="1:8" hidden="1">
      <c r="A2264" s="1156"/>
      <c r="B2264" s="1218"/>
      <c r="C2264" s="1754" t="s">
        <v>42</v>
      </c>
      <c r="D2264" s="1212"/>
      <c r="E2264" s="1212"/>
      <c r="F2264" s="1212"/>
      <c r="G2264" s="1215"/>
      <c r="H2264" s="1205" t="s">
        <v>2321</v>
      </c>
    </row>
    <row r="2265" spans="1:8" hidden="1">
      <c r="A2265" s="1156"/>
      <c r="B2265" s="1218"/>
      <c r="C2265" s="1754" t="s">
        <v>60</v>
      </c>
      <c r="D2265" s="1218"/>
      <c r="E2265" s="1218"/>
      <c r="F2265" s="1218"/>
      <c r="G2265" s="1215"/>
      <c r="H2265" s="1205" t="s">
        <v>2321</v>
      </c>
    </row>
    <row r="2266" spans="1:8" hidden="1">
      <c r="A2266" s="1156"/>
      <c r="B2266" s="1218"/>
      <c r="C2266" s="1752" t="s">
        <v>43</v>
      </c>
      <c r="D2266" s="1212" t="s">
        <v>35</v>
      </c>
      <c r="E2266" s="1213">
        <v>0.15</v>
      </c>
      <c r="F2266" s="1213">
        <f>G1845</f>
        <v>4184.57</v>
      </c>
      <c r="G2266" s="1214">
        <f>ROUND(E2266*F2266,2)</f>
        <v>627.69000000000005</v>
      </c>
      <c r="H2266" s="1205" t="s">
        <v>2321</v>
      </c>
    </row>
    <row r="2267" spans="1:8" hidden="1">
      <c r="A2267" s="1212"/>
      <c r="B2267" s="1212"/>
      <c r="C2267" s="1754" t="s">
        <v>68</v>
      </c>
      <c r="D2267" s="1212"/>
      <c r="E2267" s="1213"/>
      <c r="F2267" s="1213"/>
      <c r="G2267" s="1214"/>
      <c r="H2267" s="1205" t="s">
        <v>2321</v>
      </c>
    </row>
    <row r="2268" spans="1:8" hidden="1">
      <c r="A2268" s="1212"/>
      <c r="B2268" s="1212"/>
      <c r="C2268" s="1752" t="s">
        <v>64</v>
      </c>
      <c r="D2268" s="1212" t="s">
        <v>27</v>
      </c>
      <c r="E2268" s="1213">
        <v>0.45</v>
      </c>
      <c r="F2268" s="1213">
        <f>'MINI SSR 21-22'!$H$3</f>
        <v>585</v>
      </c>
      <c r="G2268" s="1214">
        <f>ROUND(E2268*F2268,2)</f>
        <v>263.25</v>
      </c>
      <c r="H2268" s="1205" t="s">
        <v>2321</v>
      </c>
    </row>
    <row r="2269" spans="1:8" hidden="1">
      <c r="A2269" s="1212"/>
      <c r="B2269" s="1212"/>
      <c r="C2269" s="1752" t="s">
        <v>69</v>
      </c>
      <c r="D2269" s="1212" t="s">
        <v>27</v>
      </c>
      <c r="E2269" s="1213">
        <v>1.05</v>
      </c>
      <c r="F2269" s="1213">
        <f>'MINI SSR 21-22'!$H$4</f>
        <v>525</v>
      </c>
      <c r="G2269" s="1214">
        <f>ROUND(E2269*F2269,2)</f>
        <v>551.25</v>
      </c>
      <c r="H2269" s="1205" t="s">
        <v>2321</v>
      </c>
    </row>
    <row r="2270" spans="1:8" hidden="1">
      <c r="A2270" s="1212"/>
      <c r="B2270" s="1212"/>
      <c r="C2270" s="1752" t="s">
        <v>85</v>
      </c>
      <c r="D2270" s="1212" t="s">
        <v>27</v>
      </c>
      <c r="E2270" s="1213">
        <v>2.8</v>
      </c>
      <c r="F2270" s="1213">
        <f>'MINI SSR 21-22'!$H$5</f>
        <v>490</v>
      </c>
      <c r="G2270" s="1214">
        <f>ROUND(E2270*F2270,2)</f>
        <v>1372</v>
      </c>
      <c r="H2270" s="1205" t="s">
        <v>2321</v>
      </c>
    </row>
    <row r="2271" spans="1:8" hidden="1">
      <c r="A2271" s="1212"/>
      <c r="B2271" s="1212"/>
      <c r="C2271" s="1754" t="s">
        <v>88</v>
      </c>
      <c r="D2271" s="1212"/>
      <c r="E2271" s="1212"/>
      <c r="F2271" s="1212"/>
      <c r="G2271" s="1220">
        <f>SUM(G2266:G2270)</f>
        <v>2814.19</v>
      </c>
      <c r="H2271" s="1205" t="s">
        <v>2321</v>
      </c>
    </row>
    <row r="2272" spans="1:8" hidden="1">
      <c r="A2272" s="1212"/>
      <c r="B2272" s="1212"/>
      <c r="C2272" s="1754"/>
      <c r="D2272" s="1212"/>
      <c r="E2272" s="1218" t="s">
        <v>161</v>
      </c>
      <c r="F2272" s="1218" t="s">
        <v>162</v>
      </c>
      <c r="G2272" s="1217" t="s">
        <v>163</v>
      </c>
      <c r="H2272" s="1205" t="s">
        <v>2321</v>
      </c>
    </row>
    <row r="2273" spans="1:8" hidden="1">
      <c r="A2273" s="1212"/>
      <c r="B2273" s="1212"/>
      <c r="C2273" s="1754" t="s">
        <v>1274</v>
      </c>
      <c r="D2273" s="1212"/>
      <c r="E2273" s="1213">
        <f>G2271</f>
        <v>2814.19</v>
      </c>
      <c r="F2273" s="1213">
        <f>G2271</f>
        <v>2814.19</v>
      </c>
      <c r="G2273" s="1215">
        <f>G2271</f>
        <v>2814.19</v>
      </c>
      <c r="H2273" s="1205" t="s">
        <v>2321</v>
      </c>
    </row>
    <row r="2274" spans="1:8" hidden="1">
      <c r="A2274" s="1212"/>
      <c r="B2274" s="1212"/>
      <c r="C2274" s="1752" t="s">
        <v>1653</v>
      </c>
      <c r="D2274" s="1213">
        <v>10</v>
      </c>
      <c r="E2274" s="1213">
        <f>ROUND(D2274*'MINI SSR 21-22'!E33,2)</f>
        <v>25.7</v>
      </c>
      <c r="F2274" s="1213">
        <f>E2274</f>
        <v>25.7</v>
      </c>
      <c r="G2274" s="1215">
        <f>E2274</f>
        <v>25.7</v>
      </c>
      <c r="H2274" s="1205" t="s">
        <v>2321</v>
      </c>
    </row>
    <row r="2275" spans="1:8" hidden="1">
      <c r="A2275" s="1212"/>
      <c r="B2275" s="1212"/>
      <c r="C2275" s="1752" t="s">
        <v>1654</v>
      </c>
      <c r="D2275" s="1213">
        <v>10</v>
      </c>
      <c r="E2275" s="1213">
        <f>ROUND(D2275*'MINI SSR 21-22'!F33,2)</f>
        <v>169.4</v>
      </c>
      <c r="F2275" s="1213">
        <f>ROUND(D2275*'MINI SSR 21-22'!G33,2)</f>
        <v>240.4</v>
      </c>
      <c r="G2275" s="1215">
        <f>ROUND(D2275*'MINI SSR 21-22'!H33,2)</f>
        <v>311.3</v>
      </c>
      <c r="H2275" s="1205" t="s">
        <v>2321</v>
      </c>
    </row>
    <row r="2276" spans="1:8" ht="25.5" hidden="1">
      <c r="A2276" s="1212"/>
      <c r="B2276" s="1212"/>
      <c r="C2276" s="1752" t="s">
        <v>1286</v>
      </c>
      <c r="D2276" s="1212"/>
      <c r="E2276" s="1212"/>
      <c r="F2276" s="1213">
        <f>ROUND((G2268+G2269+G2270+F2275)*0.1,2)</f>
        <v>242.69</v>
      </c>
      <c r="G2276" s="1215">
        <f>ROUND((G2268+G2269+G2270+G2275)*0.2,2)</f>
        <v>499.56</v>
      </c>
      <c r="H2276" s="1205" t="s">
        <v>2321</v>
      </c>
    </row>
    <row r="2277" spans="1:8" hidden="1">
      <c r="A2277" s="1212"/>
      <c r="B2277" s="1212"/>
      <c r="C2277" s="1754" t="s">
        <v>88</v>
      </c>
      <c r="D2277" s="1212"/>
      <c r="E2277" s="1213">
        <f>SUM(E2273:E2276)</f>
        <v>3009.29</v>
      </c>
      <c r="F2277" s="1213">
        <f>SUM(F2273:F2276)</f>
        <v>3322.98</v>
      </c>
      <c r="G2277" s="1215">
        <f>SUM(G2273:G2276)</f>
        <v>3650.75</v>
      </c>
      <c r="H2277" s="1205" t="s">
        <v>2321</v>
      </c>
    </row>
    <row r="2278" spans="1:8" hidden="1">
      <c r="A2278" s="1212"/>
      <c r="B2278" s="1212"/>
      <c r="C2278" s="1754" t="s">
        <v>121</v>
      </c>
      <c r="D2278" s="1212"/>
      <c r="E2278" s="1217">
        <f>ROUND(E2277/10,2)</f>
        <v>300.93</v>
      </c>
      <c r="F2278" s="1217">
        <f>ROUND(F2277/10,2)</f>
        <v>332.3</v>
      </c>
      <c r="G2278" s="1222">
        <f>ROUND(G2277/10,2)</f>
        <v>365.08</v>
      </c>
      <c r="H2278" s="1205" t="s">
        <v>2321</v>
      </c>
    </row>
    <row r="2279" spans="1:8" ht="89.25" hidden="1">
      <c r="A2279" s="1156">
        <v>5</v>
      </c>
      <c r="B2279" s="1218" t="s">
        <v>89</v>
      </c>
      <c r="C2279" s="1752" t="s">
        <v>1305</v>
      </c>
      <c r="D2279" s="1212"/>
      <c r="E2279" s="1212"/>
      <c r="F2279" s="1212"/>
      <c r="G2279" s="1218"/>
      <c r="H2279" s="1205" t="s">
        <v>2321</v>
      </c>
    </row>
    <row r="2280" spans="1:8" hidden="1">
      <c r="A2280" s="1156"/>
      <c r="B2280" s="1218"/>
      <c r="C2280" s="1754" t="s">
        <v>42</v>
      </c>
      <c r="D2280" s="1212"/>
      <c r="E2280" s="1212"/>
      <c r="F2280" s="1212"/>
      <c r="G2280" s="1215"/>
      <c r="H2280" s="1205" t="s">
        <v>2321</v>
      </c>
    </row>
    <row r="2281" spans="1:8" hidden="1">
      <c r="A2281" s="1156"/>
      <c r="B2281" s="1218"/>
      <c r="C2281" s="1754" t="s">
        <v>60</v>
      </c>
      <c r="D2281" s="1218"/>
      <c r="E2281" s="1218"/>
      <c r="F2281" s="1218"/>
      <c r="G2281" s="1215"/>
      <c r="H2281" s="1205" t="s">
        <v>2321</v>
      </c>
    </row>
    <row r="2282" spans="1:8" hidden="1">
      <c r="A2282" s="1156"/>
      <c r="B2282" s="1218"/>
      <c r="C2282" s="1752" t="s">
        <v>48</v>
      </c>
      <c r="D2282" s="1212" t="s">
        <v>35</v>
      </c>
      <c r="E2282" s="1213">
        <v>0.15</v>
      </c>
      <c r="F2282" s="1213">
        <f>G1855</f>
        <v>3282.17</v>
      </c>
      <c r="G2282" s="1214">
        <f>ROUND(E2282*F2282,2)</f>
        <v>492.33</v>
      </c>
      <c r="H2282" s="1205" t="s">
        <v>2321</v>
      </c>
    </row>
    <row r="2283" spans="1:8" hidden="1">
      <c r="A2283" s="1212"/>
      <c r="B2283" s="1212"/>
      <c r="C2283" s="1754" t="s">
        <v>68</v>
      </c>
      <c r="D2283" s="1212"/>
      <c r="E2283" s="1213"/>
      <c r="F2283" s="1213"/>
      <c r="G2283" s="1214"/>
      <c r="H2283" s="1205" t="s">
        <v>2321</v>
      </c>
    </row>
    <row r="2284" spans="1:8" hidden="1">
      <c r="A2284" s="1212"/>
      <c r="B2284" s="1212"/>
      <c r="C2284" s="1752" t="s">
        <v>64</v>
      </c>
      <c r="D2284" s="1212" t="s">
        <v>27</v>
      </c>
      <c r="E2284" s="1213">
        <v>0.45</v>
      </c>
      <c r="F2284" s="1213">
        <f>'MINI SSR 21-22'!$H$3</f>
        <v>585</v>
      </c>
      <c r="G2284" s="1214">
        <f>ROUND(E2284*F2284,2)</f>
        <v>263.25</v>
      </c>
      <c r="H2284" s="1205" t="s">
        <v>2321</v>
      </c>
    </row>
    <row r="2285" spans="1:8" hidden="1">
      <c r="A2285" s="1212"/>
      <c r="B2285" s="1212"/>
      <c r="C2285" s="1752" t="s">
        <v>69</v>
      </c>
      <c r="D2285" s="1212" t="s">
        <v>27</v>
      </c>
      <c r="E2285" s="1213">
        <v>1.05</v>
      </c>
      <c r="F2285" s="1213">
        <f>'MINI SSR 21-22'!$H$4</f>
        <v>525</v>
      </c>
      <c r="G2285" s="1214">
        <f>ROUND(E2285*F2285,2)</f>
        <v>551.25</v>
      </c>
      <c r="H2285" s="1205" t="s">
        <v>2321</v>
      </c>
    </row>
    <row r="2286" spans="1:8" hidden="1">
      <c r="A2286" s="1212"/>
      <c r="B2286" s="1212"/>
      <c r="C2286" s="1752" t="s">
        <v>85</v>
      </c>
      <c r="D2286" s="1212" t="s">
        <v>27</v>
      </c>
      <c r="E2286" s="1213">
        <v>2.8</v>
      </c>
      <c r="F2286" s="1213">
        <f>'MINI SSR 21-22'!$H$5</f>
        <v>490</v>
      </c>
      <c r="G2286" s="1214">
        <f>ROUND(E2286*F2286,2)</f>
        <v>1372</v>
      </c>
      <c r="H2286" s="1205" t="s">
        <v>2321</v>
      </c>
    </row>
    <row r="2287" spans="1:8" hidden="1">
      <c r="A2287" s="1212"/>
      <c r="B2287" s="1212"/>
      <c r="C2287" s="1754" t="s">
        <v>88</v>
      </c>
      <c r="D2287" s="1212"/>
      <c r="E2287" s="1212"/>
      <c r="F2287" s="1212"/>
      <c r="G2287" s="1222">
        <f>SUM(G2282:G2286)</f>
        <v>2678.83</v>
      </c>
      <c r="H2287" s="1205" t="s">
        <v>2321</v>
      </c>
    </row>
    <row r="2288" spans="1:8" hidden="1">
      <c r="A2288" s="1212"/>
      <c r="B2288" s="1212"/>
      <c r="C2288" s="1754"/>
      <c r="D2288" s="1212"/>
      <c r="E2288" s="1218" t="s">
        <v>161</v>
      </c>
      <c r="F2288" s="1218" t="s">
        <v>162</v>
      </c>
      <c r="G2288" s="1217" t="s">
        <v>163</v>
      </c>
      <c r="H2288" s="1205" t="s">
        <v>2321</v>
      </c>
    </row>
    <row r="2289" spans="1:8" hidden="1">
      <c r="A2289" s="1212"/>
      <c r="B2289" s="1212"/>
      <c r="C2289" s="1754" t="s">
        <v>1274</v>
      </c>
      <c r="D2289" s="1212"/>
      <c r="E2289" s="1213">
        <f>G2287</f>
        <v>2678.83</v>
      </c>
      <c r="F2289" s="1213">
        <f>G2287</f>
        <v>2678.83</v>
      </c>
      <c r="G2289" s="1215">
        <f>G2287</f>
        <v>2678.83</v>
      </c>
      <c r="H2289" s="1205" t="s">
        <v>2321</v>
      </c>
    </row>
    <row r="2290" spans="1:8" hidden="1">
      <c r="A2290" s="1212"/>
      <c r="B2290" s="1212"/>
      <c r="C2290" s="1752" t="s">
        <v>1653</v>
      </c>
      <c r="D2290" s="1213">
        <v>10</v>
      </c>
      <c r="E2290" s="1213">
        <f>D2290*'MINI SSR 21-22'!E36</f>
        <v>10.8</v>
      </c>
      <c r="F2290" s="1213">
        <f>E2290</f>
        <v>10.8</v>
      </c>
      <c r="G2290" s="1215">
        <f>E2290</f>
        <v>10.8</v>
      </c>
      <c r="H2290" s="1205" t="s">
        <v>2321</v>
      </c>
    </row>
    <row r="2291" spans="1:8" hidden="1">
      <c r="A2291" s="1212"/>
      <c r="B2291" s="1212"/>
      <c r="C2291" s="1752" t="s">
        <v>1655</v>
      </c>
      <c r="D2291" s="1213">
        <v>10</v>
      </c>
      <c r="E2291" s="1213">
        <f>ROUND(D2291*'MINI SSR 21-22'!F36,2)</f>
        <v>84.7</v>
      </c>
      <c r="F2291" s="1213">
        <f>ROUND(D2291*'MINI SSR 21-22'!G36,2)</f>
        <v>121.2</v>
      </c>
      <c r="G2291" s="1215">
        <f>ROUND(D2291*'MINI SSR 21-22'!H36,2)</f>
        <v>157.69999999999999</v>
      </c>
      <c r="H2291" s="1205" t="s">
        <v>2321</v>
      </c>
    </row>
    <row r="2292" spans="1:8" ht="25.5" hidden="1">
      <c r="A2292" s="1212"/>
      <c r="B2292" s="1212"/>
      <c r="C2292" s="1752" t="s">
        <v>1286</v>
      </c>
      <c r="D2292" s="1212"/>
      <c r="E2292" s="1212"/>
      <c r="F2292" s="1213">
        <f>ROUND((G2284+G2285+G2286+F2291)*0.1,2)</f>
        <v>230.77</v>
      </c>
      <c r="G2292" s="1215">
        <f>ROUND((G2284+G2285+G2286+G2291)*0.2,2)</f>
        <v>468.84</v>
      </c>
      <c r="H2292" s="1205" t="s">
        <v>2321</v>
      </c>
    </row>
    <row r="2293" spans="1:8" hidden="1">
      <c r="A2293" s="1212"/>
      <c r="B2293" s="1212"/>
      <c r="C2293" s="1754" t="s">
        <v>88</v>
      </c>
      <c r="D2293" s="1212"/>
      <c r="E2293" s="1213">
        <f>SUM(E2289:E2292)</f>
        <v>2774.33</v>
      </c>
      <c r="F2293" s="1213">
        <f>SUM(F2289:F2292)</f>
        <v>3041.6</v>
      </c>
      <c r="G2293" s="1215">
        <f>SUM(G2289:G2292)</f>
        <v>3316.17</v>
      </c>
      <c r="H2293" s="1205" t="s">
        <v>2321</v>
      </c>
    </row>
    <row r="2294" spans="1:8" hidden="1">
      <c r="A2294" s="1212"/>
      <c r="B2294" s="1212"/>
      <c r="C2294" s="1754" t="s">
        <v>121</v>
      </c>
      <c r="D2294" s="1212"/>
      <c r="E2294" s="1217">
        <f>ROUND(E2293/10,2)</f>
        <v>277.43</v>
      </c>
      <c r="F2294" s="1217">
        <f>ROUND(F2293/10,2)</f>
        <v>304.16000000000003</v>
      </c>
      <c r="G2294" s="1222">
        <f>ROUND(G2293/10,2)</f>
        <v>331.62</v>
      </c>
      <c r="H2294" s="1205" t="s">
        <v>2321</v>
      </c>
    </row>
    <row r="2295" spans="1:8" ht="89.25" hidden="1">
      <c r="A2295" s="1156">
        <v>6</v>
      </c>
      <c r="B2295" s="1218" t="s">
        <v>89</v>
      </c>
      <c r="C2295" s="1752" t="s">
        <v>1306</v>
      </c>
      <c r="D2295" s="1212"/>
      <c r="E2295" s="1212"/>
      <c r="F2295" s="1212"/>
      <c r="G2295" s="1218"/>
      <c r="H2295" s="1205" t="s">
        <v>2321</v>
      </c>
    </row>
    <row r="2296" spans="1:8" hidden="1">
      <c r="A2296" s="1156"/>
      <c r="B2296" s="1218"/>
      <c r="C2296" s="1754" t="s">
        <v>42</v>
      </c>
      <c r="D2296" s="1212"/>
      <c r="E2296" s="1212"/>
      <c r="F2296" s="1212"/>
      <c r="G2296" s="1215"/>
      <c r="H2296" s="1205" t="s">
        <v>2321</v>
      </c>
    </row>
    <row r="2297" spans="1:8" hidden="1">
      <c r="A2297" s="1156"/>
      <c r="B2297" s="1218"/>
      <c r="C2297" s="1754" t="s">
        <v>60</v>
      </c>
      <c r="D2297" s="1212"/>
      <c r="E2297" s="1212"/>
      <c r="F2297" s="1212"/>
      <c r="G2297" s="1215"/>
      <c r="H2297" s="1205" t="s">
        <v>2321</v>
      </c>
    </row>
    <row r="2298" spans="1:8" hidden="1">
      <c r="A2298" s="1156"/>
      <c r="B2298" s="1218"/>
      <c r="C2298" s="1752" t="s">
        <v>48</v>
      </c>
      <c r="D2298" s="1212" t="s">
        <v>35</v>
      </c>
      <c r="E2298" s="1213">
        <v>0.21</v>
      </c>
      <c r="F2298" s="1213">
        <f>G1855</f>
        <v>3282.17</v>
      </c>
      <c r="G2298" s="1214">
        <f>ROUND(E2298*F2298,2)</f>
        <v>689.26</v>
      </c>
      <c r="H2298" s="1205" t="s">
        <v>2321</v>
      </c>
    </row>
    <row r="2299" spans="1:8" hidden="1">
      <c r="A2299" s="1212"/>
      <c r="B2299" s="1212"/>
      <c r="C2299" s="1754" t="s">
        <v>68</v>
      </c>
      <c r="D2299" s="1212"/>
      <c r="E2299" s="1213"/>
      <c r="F2299" s="1213"/>
      <c r="G2299" s="1214"/>
      <c r="H2299" s="1205" t="s">
        <v>2321</v>
      </c>
    </row>
    <row r="2300" spans="1:8" hidden="1">
      <c r="A2300" s="1212"/>
      <c r="B2300" s="1212"/>
      <c r="C2300" s="1752" t="s">
        <v>64</v>
      </c>
      <c r="D2300" s="1212" t="s">
        <v>27</v>
      </c>
      <c r="E2300" s="1213">
        <v>0.45</v>
      </c>
      <c r="F2300" s="1213">
        <f>'MINI SSR 21-22'!$H$3</f>
        <v>585</v>
      </c>
      <c r="G2300" s="1214">
        <f>ROUND(E2300*F2300,2)</f>
        <v>263.25</v>
      </c>
      <c r="H2300" s="1205" t="s">
        <v>2321</v>
      </c>
    </row>
    <row r="2301" spans="1:8" hidden="1">
      <c r="A2301" s="1212"/>
      <c r="B2301" s="1212"/>
      <c r="C2301" s="1752" t="s">
        <v>69</v>
      </c>
      <c r="D2301" s="1212" t="s">
        <v>27</v>
      </c>
      <c r="E2301" s="1213">
        <v>1.05</v>
      </c>
      <c r="F2301" s="1213">
        <f>'MINI SSR 21-22'!$H$4</f>
        <v>525</v>
      </c>
      <c r="G2301" s="1214">
        <f>ROUND(E2301*F2301,2)</f>
        <v>551.25</v>
      </c>
      <c r="H2301" s="1205" t="s">
        <v>2321</v>
      </c>
    </row>
    <row r="2302" spans="1:8" hidden="1">
      <c r="A2302" s="1212"/>
      <c r="B2302" s="1212"/>
      <c r="C2302" s="1752" t="s">
        <v>85</v>
      </c>
      <c r="D2302" s="1212" t="s">
        <v>27</v>
      </c>
      <c r="E2302" s="1213">
        <v>2.8</v>
      </c>
      <c r="F2302" s="1213">
        <f>'MINI SSR 21-22'!$H$5</f>
        <v>490</v>
      </c>
      <c r="G2302" s="1214">
        <f>ROUND(E2302*F2302,2)</f>
        <v>1372</v>
      </c>
      <c r="H2302" s="1205" t="s">
        <v>2321</v>
      </c>
    </row>
    <row r="2303" spans="1:8" hidden="1">
      <c r="A2303" s="1212"/>
      <c r="B2303" s="1212"/>
      <c r="C2303" s="1754" t="s">
        <v>88</v>
      </c>
      <c r="D2303" s="1212"/>
      <c r="E2303" s="1212"/>
      <c r="F2303" s="1212"/>
      <c r="G2303" s="1222">
        <f>SUM(G2298:G2302)</f>
        <v>2875.76</v>
      </c>
      <c r="H2303" s="1205" t="s">
        <v>2321</v>
      </c>
    </row>
    <row r="2304" spans="1:8" hidden="1">
      <c r="A2304" s="1212"/>
      <c r="B2304" s="1212"/>
      <c r="C2304" s="1754"/>
      <c r="D2304" s="1212"/>
      <c r="E2304" s="1218" t="s">
        <v>161</v>
      </c>
      <c r="F2304" s="1218" t="s">
        <v>162</v>
      </c>
      <c r="G2304" s="1217" t="s">
        <v>163</v>
      </c>
      <c r="H2304" s="1205" t="s">
        <v>2321</v>
      </c>
    </row>
    <row r="2305" spans="1:8" hidden="1">
      <c r="A2305" s="1212"/>
      <c r="B2305" s="1212"/>
      <c r="C2305" s="1754" t="s">
        <v>1274</v>
      </c>
      <c r="D2305" s="1212"/>
      <c r="E2305" s="1213">
        <f>G2303</f>
        <v>2875.76</v>
      </c>
      <c r="F2305" s="1213">
        <f>G2303</f>
        <v>2875.76</v>
      </c>
      <c r="G2305" s="1215">
        <f>G2303</f>
        <v>2875.76</v>
      </c>
      <c r="H2305" s="1205" t="s">
        <v>2321</v>
      </c>
    </row>
    <row r="2306" spans="1:8" hidden="1">
      <c r="A2306" s="1212"/>
      <c r="B2306" s="1212"/>
      <c r="C2306" s="1752" t="s">
        <v>1653</v>
      </c>
      <c r="D2306" s="1213">
        <v>10</v>
      </c>
      <c r="E2306" s="1213">
        <f>D2306*'MINI SSR 21-22'!$E$36</f>
        <v>10.8</v>
      </c>
      <c r="F2306" s="1213">
        <f>E2306</f>
        <v>10.8</v>
      </c>
      <c r="G2306" s="1215">
        <f>E2306</f>
        <v>10.8</v>
      </c>
      <c r="H2306" s="1205" t="s">
        <v>2321</v>
      </c>
    </row>
    <row r="2307" spans="1:8" hidden="1">
      <c r="A2307" s="1212"/>
      <c r="B2307" s="1212"/>
      <c r="C2307" s="1752" t="s">
        <v>1656</v>
      </c>
      <c r="D2307" s="1213">
        <v>10</v>
      </c>
      <c r="E2307" s="1213">
        <f>ROUND(D2307*'MINI SSR 21-22'!F36,2)</f>
        <v>84.7</v>
      </c>
      <c r="F2307" s="1213">
        <f>ROUND(D2307*'MINI SSR 21-22'!G36,2)</f>
        <v>121.2</v>
      </c>
      <c r="G2307" s="1215">
        <f>ROUND(D2307*'MINI SSR 21-22'!H36,2)</f>
        <v>157.69999999999999</v>
      </c>
      <c r="H2307" s="1205" t="s">
        <v>2321</v>
      </c>
    </row>
    <row r="2308" spans="1:8" ht="25.5" hidden="1">
      <c r="A2308" s="1212"/>
      <c r="B2308" s="1212"/>
      <c r="C2308" s="1752" t="s">
        <v>1286</v>
      </c>
      <c r="D2308" s="1212"/>
      <c r="E2308" s="1212"/>
      <c r="F2308" s="1213">
        <f>ROUND((G2300+G2301+G2302+F2307)*0.1,2)</f>
        <v>230.77</v>
      </c>
      <c r="G2308" s="1215">
        <f>ROUND((G2300+G2301+G2302+G2307)*0.2,2)</f>
        <v>468.84</v>
      </c>
      <c r="H2308" s="1205" t="s">
        <v>2321</v>
      </c>
    </row>
    <row r="2309" spans="1:8" hidden="1">
      <c r="A2309" s="1212"/>
      <c r="B2309" s="1212"/>
      <c r="C2309" s="1754" t="s">
        <v>88</v>
      </c>
      <c r="D2309" s="1212"/>
      <c r="E2309" s="1213">
        <f>SUM(E2305:E2308)</f>
        <v>2971.26</v>
      </c>
      <c r="F2309" s="1213">
        <f>SUM(F2305:F2308)</f>
        <v>3238.53</v>
      </c>
      <c r="G2309" s="1215">
        <f>SUM(G2305:G2308)</f>
        <v>3513.1000000000004</v>
      </c>
      <c r="H2309" s="1205" t="s">
        <v>2321</v>
      </c>
    </row>
    <row r="2310" spans="1:8" hidden="1">
      <c r="A2310" s="1212"/>
      <c r="B2310" s="1212"/>
      <c r="C2310" s="1754" t="s">
        <v>121</v>
      </c>
      <c r="D2310" s="1212"/>
      <c r="E2310" s="1217">
        <f>ROUND(E2309/10,2)</f>
        <v>297.13</v>
      </c>
      <c r="F2310" s="1217">
        <f>ROUND(F2309/10,2)</f>
        <v>323.85000000000002</v>
      </c>
      <c r="G2310" s="1222">
        <f>ROUND(G2309/10,2)</f>
        <v>351.31</v>
      </c>
      <c r="H2310" s="1205" t="s">
        <v>2321</v>
      </c>
    </row>
    <row r="2311" spans="1:8" ht="89.25" hidden="1">
      <c r="A2311" s="1156">
        <v>34</v>
      </c>
      <c r="B2311" s="1218" t="s">
        <v>89</v>
      </c>
      <c r="C2311" s="1752" t="s">
        <v>1307</v>
      </c>
      <c r="D2311" s="1212"/>
      <c r="E2311" s="1212"/>
      <c r="F2311" s="1212"/>
      <c r="G2311" s="1218" t="s">
        <v>89</v>
      </c>
      <c r="H2311" s="1205" t="s">
        <v>2321</v>
      </c>
    </row>
    <row r="2312" spans="1:8" hidden="1">
      <c r="A2312" s="1156"/>
      <c r="B2312" s="1218"/>
      <c r="C2312" s="1754" t="s">
        <v>42</v>
      </c>
      <c r="D2312" s="1212"/>
      <c r="E2312" s="1212"/>
      <c r="F2312" s="1212"/>
      <c r="G2312" s="1215"/>
      <c r="H2312" s="1205" t="s">
        <v>2321</v>
      </c>
    </row>
    <row r="2313" spans="1:8" hidden="1">
      <c r="A2313" s="1156"/>
      <c r="B2313" s="1218"/>
      <c r="C2313" s="1754" t="s">
        <v>60</v>
      </c>
      <c r="D2313" s="1212"/>
      <c r="E2313" s="1212"/>
      <c r="F2313" s="1212"/>
      <c r="G2313" s="1215"/>
      <c r="H2313" s="1205" t="s">
        <v>2321</v>
      </c>
    </row>
    <row r="2314" spans="1:8" hidden="1">
      <c r="A2314" s="1156"/>
      <c r="B2314" s="1218"/>
      <c r="C2314" s="1752" t="s">
        <v>43</v>
      </c>
      <c r="D2314" s="1212" t="s">
        <v>35</v>
      </c>
      <c r="E2314" s="1213">
        <v>0.21</v>
      </c>
      <c r="F2314" s="1213">
        <f>G1845</f>
        <v>4184.57</v>
      </c>
      <c r="G2314" s="1214">
        <f>ROUND(E2314*F2314,2)</f>
        <v>878.76</v>
      </c>
      <c r="H2314" s="1205" t="s">
        <v>2321</v>
      </c>
    </row>
    <row r="2315" spans="1:8" hidden="1">
      <c r="A2315" s="1212"/>
      <c r="B2315" s="1212"/>
      <c r="C2315" s="1754" t="s">
        <v>68</v>
      </c>
      <c r="D2315" s="1212"/>
      <c r="E2315" s="1213"/>
      <c r="F2315" s="1213"/>
      <c r="G2315" s="1214"/>
      <c r="H2315" s="1205" t="s">
        <v>2321</v>
      </c>
    </row>
    <row r="2316" spans="1:8" hidden="1">
      <c r="A2316" s="1212"/>
      <c r="B2316" s="1212"/>
      <c r="C2316" s="1752" t="s">
        <v>64</v>
      </c>
      <c r="D2316" s="1212" t="s">
        <v>27</v>
      </c>
      <c r="E2316" s="1213">
        <v>0.45</v>
      </c>
      <c r="F2316" s="1213">
        <f>'MINI SSR 21-22'!$H$3</f>
        <v>585</v>
      </c>
      <c r="G2316" s="1214">
        <f>ROUND(E2316*F2316,2)</f>
        <v>263.25</v>
      </c>
      <c r="H2316" s="1205" t="s">
        <v>2321</v>
      </c>
    </row>
    <row r="2317" spans="1:8" hidden="1">
      <c r="A2317" s="1212"/>
      <c r="B2317" s="1212"/>
      <c r="C2317" s="1752" t="s">
        <v>69</v>
      </c>
      <c r="D2317" s="1212" t="s">
        <v>27</v>
      </c>
      <c r="E2317" s="1213">
        <v>1.05</v>
      </c>
      <c r="F2317" s="1213">
        <f>'MINI SSR 21-22'!$H$4</f>
        <v>525</v>
      </c>
      <c r="G2317" s="1214">
        <f>ROUND(E2317*F2317,2)</f>
        <v>551.25</v>
      </c>
      <c r="H2317" s="1205" t="s">
        <v>2321</v>
      </c>
    </row>
    <row r="2318" spans="1:8" hidden="1">
      <c r="A2318" s="1212"/>
      <c r="B2318" s="1212"/>
      <c r="C2318" s="1752" t="s">
        <v>85</v>
      </c>
      <c r="D2318" s="1212" t="s">
        <v>27</v>
      </c>
      <c r="E2318" s="1213">
        <v>2.8</v>
      </c>
      <c r="F2318" s="1213">
        <f>'MINI SSR 21-22'!$H$5</f>
        <v>490</v>
      </c>
      <c r="G2318" s="1214">
        <f>ROUND(E2318*F2318,2)</f>
        <v>1372</v>
      </c>
      <c r="H2318" s="1205" t="s">
        <v>2321</v>
      </c>
    </row>
    <row r="2319" spans="1:8" hidden="1">
      <c r="A2319" s="1212"/>
      <c r="B2319" s="1212"/>
      <c r="C2319" s="1754" t="s">
        <v>88</v>
      </c>
      <c r="D2319" s="1212"/>
      <c r="E2319" s="1212"/>
      <c r="F2319" s="1212"/>
      <c r="G2319" s="1222">
        <f>SUM(G2314:G2318)</f>
        <v>3065.26</v>
      </c>
      <c r="H2319" s="1205" t="s">
        <v>2321</v>
      </c>
    </row>
    <row r="2320" spans="1:8" hidden="1">
      <c r="A2320" s="1212"/>
      <c r="B2320" s="1212"/>
      <c r="C2320" s="1754"/>
      <c r="D2320" s="1212"/>
      <c r="E2320" s="1218" t="s">
        <v>161</v>
      </c>
      <c r="F2320" s="1218" t="s">
        <v>162</v>
      </c>
      <c r="G2320" s="1217" t="s">
        <v>163</v>
      </c>
      <c r="H2320" s="1205" t="s">
        <v>2321</v>
      </c>
    </row>
    <row r="2321" spans="1:8" hidden="1">
      <c r="A2321" s="1212"/>
      <c r="B2321" s="1212"/>
      <c r="C2321" s="1754" t="s">
        <v>1274</v>
      </c>
      <c r="D2321" s="1212"/>
      <c r="E2321" s="1213">
        <f>G2319</f>
        <v>3065.26</v>
      </c>
      <c r="F2321" s="1213">
        <f>G2319</f>
        <v>3065.26</v>
      </c>
      <c r="G2321" s="1215">
        <f>G2319</f>
        <v>3065.26</v>
      </c>
      <c r="H2321" s="1205" t="s">
        <v>2321</v>
      </c>
    </row>
    <row r="2322" spans="1:8" hidden="1">
      <c r="A2322" s="1212"/>
      <c r="B2322" s="1212"/>
      <c r="C2322" s="1752" t="s">
        <v>1653</v>
      </c>
      <c r="D2322" s="1213">
        <v>10</v>
      </c>
      <c r="E2322" s="1213">
        <f>D2322*'MINI SSR 21-22'!$E$36</f>
        <v>10.8</v>
      </c>
      <c r="F2322" s="1213">
        <f>E2322</f>
        <v>10.8</v>
      </c>
      <c r="G2322" s="1215">
        <f>E2322</f>
        <v>10.8</v>
      </c>
      <c r="H2322" s="1205" t="s">
        <v>2321</v>
      </c>
    </row>
    <row r="2323" spans="1:8" hidden="1">
      <c r="A2323" s="1212"/>
      <c r="B2323" s="1212"/>
      <c r="C2323" s="1752" t="s">
        <v>1656</v>
      </c>
      <c r="D2323" s="1213">
        <v>10</v>
      </c>
      <c r="E2323" s="1213">
        <f>ROUND(D2323*'MINI SSR 21-22'!F36,2)</f>
        <v>84.7</v>
      </c>
      <c r="F2323" s="1213">
        <f>ROUND(D2323*'MINI SSR 21-22'!G36,2)</f>
        <v>121.2</v>
      </c>
      <c r="G2323" s="1215">
        <f>ROUND(D2323*'MINI SSR 21-22'!H36,2)</f>
        <v>157.69999999999999</v>
      </c>
      <c r="H2323" s="1205" t="s">
        <v>2321</v>
      </c>
    </row>
    <row r="2324" spans="1:8" ht="25.5" hidden="1">
      <c r="A2324" s="1212"/>
      <c r="B2324" s="1212"/>
      <c r="C2324" s="1752" t="s">
        <v>1286</v>
      </c>
      <c r="D2324" s="1212"/>
      <c r="E2324" s="1212"/>
      <c r="F2324" s="1213">
        <f>ROUND((G2316+G2317+G2318+F2323)*0.1,2)</f>
        <v>230.77</v>
      </c>
      <c r="G2324" s="1215">
        <f>ROUND((G2316+G2317+G2318+G2323)*0.2,2)</f>
        <v>468.84</v>
      </c>
      <c r="H2324" s="1205" t="s">
        <v>2321</v>
      </c>
    </row>
    <row r="2325" spans="1:8" hidden="1">
      <c r="A2325" s="1212"/>
      <c r="B2325" s="1212"/>
      <c r="C2325" s="1754" t="s">
        <v>88</v>
      </c>
      <c r="D2325" s="1212"/>
      <c r="E2325" s="1213">
        <f>SUM(E2321:E2324)</f>
        <v>3160.76</v>
      </c>
      <c r="F2325" s="1213">
        <f>SUM(F2321:F2324)</f>
        <v>3428.03</v>
      </c>
      <c r="G2325" s="1215">
        <f>SUM(G2321:G2324)</f>
        <v>3702.6000000000004</v>
      </c>
      <c r="H2325" s="1205" t="s">
        <v>2321</v>
      </c>
    </row>
    <row r="2326" spans="1:8" hidden="1">
      <c r="A2326" s="1212"/>
      <c r="B2326" s="1212"/>
      <c r="C2326" s="1754" t="s">
        <v>121</v>
      </c>
      <c r="D2326" s="1212"/>
      <c r="E2326" s="1217">
        <f>ROUND(E2325/10,2)</f>
        <v>316.08</v>
      </c>
      <c r="F2326" s="1217">
        <f>ROUND(F2325/10,2)</f>
        <v>342.8</v>
      </c>
      <c r="G2326" s="1222">
        <f>ROUND(G2325/10,2)</f>
        <v>370.26</v>
      </c>
      <c r="H2326" s="1205" t="s">
        <v>2321</v>
      </c>
    </row>
    <row r="2327" spans="1:8" ht="102" hidden="1">
      <c r="A2327" s="1156">
        <v>31</v>
      </c>
      <c r="B2327" s="1218" t="s">
        <v>1348</v>
      </c>
      <c r="C2327" s="1752" t="s">
        <v>808</v>
      </c>
      <c r="D2327" s="1212"/>
      <c r="E2327" s="1212"/>
      <c r="F2327" s="1212"/>
      <c r="G2327" s="1218"/>
      <c r="H2327" s="1205" t="s">
        <v>2321</v>
      </c>
    </row>
    <row r="2328" spans="1:8" hidden="1">
      <c r="A2328" s="1156"/>
      <c r="B2328" s="1218"/>
      <c r="C2328" s="1754" t="s">
        <v>42</v>
      </c>
      <c r="D2328" s="1212"/>
      <c r="E2328" s="1212"/>
      <c r="F2328" s="1212"/>
      <c r="G2328" s="1215"/>
      <c r="H2328" s="1205" t="s">
        <v>2321</v>
      </c>
    </row>
    <row r="2329" spans="1:8" hidden="1">
      <c r="A2329" s="1156"/>
      <c r="B2329" s="1218"/>
      <c r="C2329" s="1754" t="s">
        <v>317</v>
      </c>
      <c r="D2329" s="1212"/>
      <c r="E2329" s="1212"/>
      <c r="F2329" s="1212"/>
      <c r="G2329" s="1215"/>
      <c r="H2329" s="1205" t="s">
        <v>2321</v>
      </c>
    </row>
    <row r="2330" spans="1:8" hidden="1">
      <c r="A2330" s="1156"/>
      <c r="B2330" s="1218"/>
      <c r="C2330" s="1752" t="s">
        <v>107</v>
      </c>
      <c r="D2330" s="1212" t="s">
        <v>4</v>
      </c>
      <c r="E2330" s="1213">
        <v>31.7</v>
      </c>
      <c r="F2330" s="1213">
        <f>'lead 21-22'!L8</f>
        <v>4700</v>
      </c>
      <c r="G2330" s="1214">
        <f>ROUND(E2330*F2330/1000,2)</f>
        <v>148.99</v>
      </c>
      <c r="H2330" s="1205" t="s">
        <v>2321</v>
      </c>
    </row>
    <row r="2331" spans="1:8" hidden="1">
      <c r="A2331" s="1156"/>
      <c r="B2331" s="1218"/>
      <c r="C2331" s="1752" t="s">
        <v>318</v>
      </c>
      <c r="D2331" s="1212" t="s">
        <v>35</v>
      </c>
      <c r="E2331" s="1213">
        <v>0.11</v>
      </c>
      <c r="F2331" s="1213">
        <f>'lead 21-22'!L12</f>
        <v>1743.4000000000019</v>
      </c>
      <c r="G2331" s="1214">
        <f>ROUND(E2331*F2331,2)</f>
        <v>191.77</v>
      </c>
      <c r="H2331" s="1205" t="s">
        <v>2321</v>
      </c>
    </row>
    <row r="2332" spans="1:8" hidden="1">
      <c r="A2332" s="1156"/>
      <c r="B2332" s="1218"/>
      <c r="C2332" s="1754" t="s">
        <v>319</v>
      </c>
      <c r="D2332" s="1212"/>
      <c r="E2332" s="1212"/>
      <c r="F2332" s="1212"/>
      <c r="G2332" s="1215"/>
      <c r="H2332" s="1205" t="s">
        <v>2321</v>
      </c>
    </row>
    <row r="2333" spans="1:8" hidden="1">
      <c r="A2333" s="1156"/>
      <c r="B2333" s="1218"/>
      <c r="C2333" s="1752" t="s">
        <v>107</v>
      </c>
      <c r="D2333" s="1212" t="s">
        <v>4</v>
      </c>
      <c r="E2333" s="1213">
        <v>19.2</v>
      </c>
      <c r="F2333" s="1213">
        <f>F2330</f>
        <v>4700</v>
      </c>
      <c r="G2333" s="1214">
        <f>ROUND(E2333*F2333/1000,2)</f>
        <v>90.24</v>
      </c>
      <c r="H2333" s="1205" t="s">
        <v>2321</v>
      </c>
    </row>
    <row r="2334" spans="1:8" hidden="1">
      <c r="A2334" s="1156"/>
      <c r="B2334" s="1218"/>
      <c r="C2334" s="1752" t="s">
        <v>318</v>
      </c>
      <c r="D2334" s="1212" t="s">
        <v>35</v>
      </c>
      <c r="E2334" s="1213">
        <v>0.04</v>
      </c>
      <c r="F2334" s="1213">
        <f>F2331</f>
        <v>1743.4000000000019</v>
      </c>
      <c r="G2334" s="1214">
        <f>ROUND(E2334*F2334,2)</f>
        <v>69.739999999999995</v>
      </c>
      <c r="H2334" s="1205" t="s">
        <v>2321</v>
      </c>
    </row>
    <row r="2335" spans="1:8" hidden="1">
      <c r="A2335" s="1212"/>
      <c r="B2335" s="1212"/>
      <c r="C2335" s="1754" t="s">
        <v>68</v>
      </c>
      <c r="D2335" s="1212"/>
      <c r="E2335" s="1213"/>
      <c r="F2335" s="1213"/>
      <c r="G2335" s="1214"/>
      <c r="H2335" s="1205" t="s">
        <v>2321</v>
      </c>
    </row>
    <row r="2336" spans="1:8" hidden="1">
      <c r="A2336" s="1212"/>
      <c r="B2336" s="1212"/>
      <c r="C2336" s="1752" t="s">
        <v>64</v>
      </c>
      <c r="D2336" s="1212" t="s">
        <v>27</v>
      </c>
      <c r="E2336" s="1213">
        <v>0.63</v>
      </c>
      <c r="F2336" s="1213">
        <f>'MINI SSR 21-22'!$H$3</f>
        <v>585</v>
      </c>
      <c r="G2336" s="1214">
        <f>ROUND(E2336*F2336,2)</f>
        <v>368.55</v>
      </c>
      <c r="H2336" s="1205" t="s">
        <v>2321</v>
      </c>
    </row>
    <row r="2337" spans="1:8" hidden="1">
      <c r="A2337" s="1212"/>
      <c r="B2337" s="1212"/>
      <c r="C2337" s="1752" t="s">
        <v>69</v>
      </c>
      <c r="D2337" s="1212" t="s">
        <v>27</v>
      </c>
      <c r="E2337" s="1213">
        <v>1.47</v>
      </c>
      <c r="F2337" s="1213">
        <f>'MINI SSR 21-22'!$H$4</f>
        <v>525</v>
      </c>
      <c r="G2337" s="1214">
        <f>ROUND(E2337*F2337,2)</f>
        <v>771.75</v>
      </c>
      <c r="H2337" s="1205" t="s">
        <v>2321</v>
      </c>
    </row>
    <row r="2338" spans="1:8" hidden="1">
      <c r="A2338" s="1212"/>
      <c r="B2338" s="1212"/>
      <c r="C2338" s="1752" t="s">
        <v>85</v>
      </c>
      <c r="D2338" s="1212" t="s">
        <v>27</v>
      </c>
      <c r="E2338" s="1213">
        <v>3.9</v>
      </c>
      <c r="F2338" s="1213">
        <f>'MINI SSR 21-22'!$H$5</f>
        <v>490</v>
      </c>
      <c r="G2338" s="1214">
        <f>ROUND(E2338*F2338,2)</f>
        <v>1911</v>
      </c>
      <c r="H2338" s="1205" t="s">
        <v>2321</v>
      </c>
    </row>
    <row r="2339" spans="1:8" hidden="1">
      <c r="A2339" s="1212"/>
      <c r="B2339" s="1212"/>
      <c r="C2339" s="1754" t="s">
        <v>88</v>
      </c>
      <c r="D2339" s="1212"/>
      <c r="E2339" s="1212"/>
      <c r="F2339" s="1212"/>
      <c r="G2339" s="1222">
        <f>SUM(G2330:G2338)</f>
        <v>3552.04</v>
      </c>
      <c r="H2339" s="1205" t="s">
        <v>2321</v>
      </c>
    </row>
    <row r="2340" spans="1:8" hidden="1">
      <c r="A2340" s="1212"/>
      <c r="B2340" s="1212"/>
      <c r="C2340" s="1754"/>
      <c r="D2340" s="1212"/>
      <c r="E2340" s="1218" t="s">
        <v>161</v>
      </c>
      <c r="F2340" s="1218" t="s">
        <v>162</v>
      </c>
      <c r="G2340" s="1217" t="s">
        <v>163</v>
      </c>
      <c r="H2340" s="1205" t="s">
        <v>2321</v>
      </c>
    </row>
    <row r="2341" spans="1:8" hidden="1">
      <c r="A2341" s="1212"/>
      <c r="B2341" s="1212"/>
      <c r="C2341" s="1754" t="s">
        <v>1274</v>
      </c>
      <c r="D2341" s="1212"/>
      <c r="E2341" s="1213">
        <f>G2339</f>
        <v>3552.04</v>
      </c>
      <c r="F2341" s="1213">
        <f>G2339</f>
        <v>3552.04</v>
      </c>
      <c r="G2341" s="1215">
        <f>F2341</f>
        <v>3552.04</v>
      </c>
      <c r="H2341" s="1205" t="s">
        <v>2321</v>
      </c>
    </row>
    <row r="2342" spans="1:8" hidden="1">
      <c r="A2342" s="1212"/>
      <c r="B2342" s="1212"/>
      <c r="C2342" s="1752" t="s">
        <v>1653</v>
      </c>
      <c r="D2342" s="1213">
        <v>10</v>
      </c>
      <c r="E2342" s="1213">
        <f>D2342*'MINI SSR 21-22'!$E$36</f>
        <v>10.8</v>
      </c>
      <c r="F2342" s="1213">
        <f>E2342</f>
        <v>10.8</v>
      </c>
      <c r="G2342" s="1215">
        <f>F2342</f>
        <v>10.8</v>
      </c>
      <c r="H2342" s="1205" t="s">
        <v>2321</v>
      </c>
    </row>
    <row r="2343" spans="1:8" hidden="1">
      <c r="A2343" s="1212"/>
      <c r="B2343" s="1212"/>
      <c r="C2343" s="1752" t="s">
        <v>1654</v>
      </c>
      <c r="D2343" s="1213">
        <v>10</v>
      </c>
      <c r="E2343" s="1213">
        <f>ROUND(D2343*'MINI SSR 21-22'!F36,2)</f>
        <v>84.7</v>
      </c>
      <c r="F2343" s="1213">
        <f>ROUND(D2343*'MINI SSR 21-22'!G36,2)</f>
        <v>121.2</v>
      </c>
      <c r="G2343" s="1215">
        <f>ROUND(D2343*'MINI SSR 21-22'!H36,2)</f>
        <v>157.69999999999999</v>
      </c>
      <c r="H2343" s="1205" t="s">
        <v>2321</v>
      </c>
    </row>
    <row r="2344" spans="1:8" ht="25.5" hidden="1">
      <c r="A2344" s="1212"/>
      <c r="B2344" s="1212"/>
      <c r="C2344" s="1752" t="s">
        <v>1286</v>
      </c>
      <c r="D2344" s="1212"/>
      <c r="E2344" s="1212"/>
      <c r="F2344" s="1213">
        <f>ROUND((G2336+G2337+G2338+F2343)*0.1,2)</f>
        <v>317.25</v>
      </c>
      <c r="G2344" s="1215">
        <f>ROUND((G2336+G2337+G2338+G2343)*0.2,2)</f>
        <v>641.79999999999995</v>
      </c>
      <c r="H2344" s="1205" t="s">
        <v>2321</v>
      </c>
    </row>
    <row r="2345" spans="1:8" hidden="1">
      <c r="A2345" s="1212"/>
      <c r="B2345" s="1212"/>
      <c r="C2345" s="1754" t="s">
        <v>88</v>
      </c>
      <c r="D2345" s="1212"/>
      <c r="E2345" s="1213">
        <f>SUM(E2341:E2344)</f>
        <v>3647.54</v>
      </c>
      <c r="F2345" s="1213">
        <f>SUM(F2341:F2344)</f>
        <v>4001.29</v>
      </c>
      <c r="G2345" s="1215">
        <f>SUM(G2341:G2344)</f>
        <v>4362.34</v>
      </c>
      <c r="H2345" s="1205" t="s">
        <v>2321</v>
      </c>
    </row>
    <row r="2346" spans="1:8" hidden="1">
      <c r="A2346" s="1212"/>
      <c r="B2346" s="1212"/>
      <c r="C2346" s="1754" t="s">
        <v>121</v>
      </c>
      <c r="D2346" s="1212"/>
      <c r="E2346" s="1217">
        <f>ROUND(E2345/10,2)</f>
        <v>364.75</v>
      </c>
      <c r="F2346" s="1217">
        <f>ROUND(F2345/10,2)</f>
        <v>400.13</v>
      </c>
      <c r="G2346" s="1222">
        <f>ROUND(G2345/10,2)</f>
        <v>436.23</v>
      </c>
      <c r="H2346" s="1205" t="s">
        <v>2321</v>
      </c>
    </row>
    <row r="2347" spans="1:8" ht="102" hidden="1">
      <c r="A2347" s="1156">
        <v>32</v>
      </c>
      <c r="B2347" s="1218" t="s">
        <v>1349</v>
      </c>
      <c r="C2347" s="1752" t="s">
        <v>316</v>
      </c>
      <c r="D2347" s="1212"/>
      <c r="E2347" s="1212"/>
      <c r="F2347" s="1212"/>
      <c r="G2347" s="1218"/>
      <c r="H2347" s="1205" t="s">
        <v>2321</v>
      </c>
    </row>
    <row r="2348" spans="1:8" hidden="1">
      <c r="A2348" s="1156"/>
      <c r="B2348" s="1218"/>
      <c r="C2348" s="1754" t="s">
        <v>42</v>
      </c>
      <c r="D2348" s="1212"/>
      <c r="E2348" s="1212"/>
      <c r="F2348" s="1212"/>
      <c r="G2348" s="1215"/>
      <c r="H2348" s="1205" t="s">
        <v>2321</v>
      </c>
    </row>
    <row r="2349" spans="1:8" hidden="1">
      <c r="A2349" s="1156"/>
      <c r="B2349" s="1218"/>
      <c r="C2349" s="1754" t="s">
        <v>317</v>
      </c>
      <c r="D2349" s="1212"/>
      <c r="E2349" s="1212"/>
      <c r="F2349" s="1212"/>
      <c r="G2349" s="1215"/>
      <c r="H2349" s="1205" t="s">
        <v>2321</v>
      </c>
    </row>
    <row r="2350" spans="1:8" hidden="1">
      <c r="A2350" s="1156"/>
      <c r="B2350" s="1218"/>
      <c r="C2350" s="1752" t="s">
        <v>107</v>
      </c>
      <c r="D2350" s="1212" t="s">
        <v>4</v>
      </c>
      <c r="E2350" s="1213">
        <v>43</v>
      </c>
      <c r="F2350" s="1213">
        <f>F2330</f>
        <v>4700</v>
      </c>
      <c r="G2350" s="1214">
        <f>ROUND(E2350*F2350/1000,2)</f>
        <v>202.1</v>
      </c>
      <c r="H2350" s="1205" t="s">
        <v>2321</v>
      </c>
    </row>
    <row r="2351" spans="1:8" hidden="1">
      <c r="A2351" s="1156"/>
      <c r="B2351" s="1218"/>
      <c r="C2351" s="1752" t="s">
        <v>318</v>
      </c>
      <c r="D2351" s="1212" t="s">
        <v>35</v>
      </c>
      <c r="E2351" s="1213">
        <v>0.18</v>
      </c>
      <c r="F2351" s="1213">
        <f>F2331</f>
        <v>1743.4000000000019</v>
      </c>
      <c r="G2351" s="1214">
        <f>ROUND(E2351*F2351,2)</f>
        <v>313.81</v>
      </c>
      <c r="H2351" s="1205" t="s">
        <v>2321</v>
      </c>
    </row>
    <row r="2352" spans="1:8" hidden="1">
      <c r="A2352" s="1156"/>
      <c r="B2352" s="1218"/>
      <c r="C2352" s="1754" t="s">
        <v>319</v>
      </c>
      <c r="D2352" s="1212"/>
      <c r="E2352" s="1212"/>
      <c r="F2352" s="1212"/>
      <c r="G2352" s="1215"/>
      <c r="H2352" s="1205" t="s">
        <v>2321</v>
      </c>
    </row>
    <row r="2353" spans="1:8" hidden="1">
      <c r="A2353" s="1156"/>
      <c r="B2353" s="1218"/>
      <c r="C2353" s="1752" t="s">
        <v>107</v>
      </c>
      <c r="D2353" s="1212" t="s">
        <v>4</v>
      </c>
      <c r="E2353" s="1213">
        <v>14.5</v>
      </c>
      <c r="F2353" s="1213">
        <f>F2350</f>
        <v>4700</v>
      </c>
      <c r="G2353" s="1214">
        <f>ROUND(E2353*F2353/1000,2)</f>
        <v>68.150000000000006</v>
      </c>
      <c r="H2353" s="1205" t="s">
        <v>2321</v>
      </c>
    </row>
    <row r="2354" spans="1:8" hidden="1">
      <c r="A2354" s="1156"/>
      <c r="B2354" s="1218"/>
      <c r="C2354" s="1752" t="s">
        <v>318</v>
      </c>
      <c r="D2354" s="1212" t="s">
        <v>35</v>
      </c>
      <c r="E2354" s="1213">
        <v>0.04</v>
      </c>
      <c r="F2354" s="1213">
        <f>F2351</f>
        <v>1743.4000000000019</v>
      </c>
      <c r="G2354" s="1214">
        <f>ROUND(E2354*F2354,2)</f>
        <v>69.739999999999995</v>
      </c>
      <c r="H2354" s="1205" t="s">
        <v>2321</v>
      </c>
    </row>
    <row r="2355" spans="1:8" hidden="1">
      <c r="A2355" s="1212"/>
      <c r="B2355" s="1212"/>
      <c r="C2355" s="1754" t="s">
        <v>68</v>
      </c>
      <c r="D2355" s="1212"/>
      <c r="E2355" s="1213"/>
      <c r="F2355" s="1213"/>
      <c r="G2355" s="1214"/>
      <c r="H2355" s="1205" t="s">
        <v>2321</v>
      </c>
    </row>
    <row r="2356" spans="1:8" hidden="1">
      <c r="A2356" s="1212"/>
      <c r="B2356" s="1212"/>
      <c r="C2356" s="1752" t="s">
        <v>64</v>
      </c>
      <c r="D2356" s="1212" t="s">
        <v>27</v>
      </c>
      <c r="E2356" s="1213">
        <v>0.63</v>
      </c>
      <c r="F2356" s="1213">
        <f>'MINI SSR 21-22'!$H$3</f>
        <v>585</v>
      </c>
      <c r="G2356" s="1214">
        <f>ROUND(E2356*F2356,2)</f>
        <v>368.55</v>
      </c>
      <c r="H2356" s="1205" t="s">
        <v>2321</v>
      </c>
    </row>
    <row r="2357" spans="1:8" hidden="1">
      <c r="A2357" s="1212"/>
      <c r="B2357" s="1212"/>
      <c r="C2357" s="1752" t="s">
        <v>69</v>
      </c>
      <c r="D2357" s="1212" t="s">
        <v>27</v>
      </c>
      <c r="E2357" s="1213">
        <v>1.47</v>
      </c>
      <c r="F2357" s="1213">
        <f>'MINI SSR 21-22'!$H$4</f>
        <v>525</v>
      </c>
      <c r="G2357" s="1214">
        <f>ROUND(E2357*F2357,2)</f>
        <v>771.75</v>
      </c>
      <c r="H2357" s="1205" t="s">
        <v>2321</v>
      </c>
    </row>
    <row r="2358" spans="1:8" hidden="1">
      <c r="A2358" s="1212"/>
      <c r="B2358" s="1212"/>
      <c r="C2358" s="1752" t="s">
        <v>85</v>
      </c>
      <c r="D2358" s="1212" t="s">
        <v>27</v>
      </c>
      <c r="E2358" s="1213">
        <v>3.9</v>
      </c>
      <c r="F2358" s="1213">
        <f>'MINI SSR 21-22'!$H$5</f>
        <v>490</v>
      </c>
      <c r="G2358" s="1214">
        <f>ROUND(E2358*F2358,2)</f>
        <v>1911</v>
      </c>
      <c r="H2358" s="1205" t="s">
        <v>2321</v>
      </c>
    </row>
    <row r="2359" spans="1:8" hidden="1">
      <c r="A2359" s="1212"/>
      <c r="B2359" s="1212"/>
      <c r="C2359" s="1754" t="s">
        <v>88</v>
      </c>
      <c r="D2359" s="1212"/>
      <c r="E2359" s="1212"/>
      <c r="F2359" s="1212"/>
      <c r="G2359" s="1222">
        <f>SUM(G2350:G2358)</f>
        <v>3705.1</v>
      </c>
      <c r="H2359" s="1205" t="s">
        <v>2321</v>
      </c>
    </row>
    <row r="2360" spans="1:8" hidden="1">
      <c r="A2360" s="1212"/>
      <c r="B2360" s="1212"/>
      <c r="C2360" s="1754"/>
      <c r="D2360" s="1212"/>
      <c r="E2360" s="1218" t="s">
        <v>161</v>
      </c>
      <c r="F2360" s="1218" t="s">
        <v>162</v>
      </c>
      <c r="G2360" s="1217" t="s">
        <v>163</v>
      </c>
      <c r="H2360" s="1205" t="s">
        <v>2321</v>
      </c>
    </row>
    <row r="2361" spans="1:8" hidden="1">
      <c r="A2361" s="1212"/>
      <c r="B2361" s="1212"/>
      <c r="C2361" s="1754" t="s">
        <v>1274</v>
      </c>
      <c r="D2361" s="1212"/>
      <c r="E2361" s="1213">
        <f>G2359</f>
        <v>3705.1</v>
      </c>
      <c r="F2361" s="1213">
        <f>G2359</f>
        <v>3705.1</v>
      </c>
      <c r="G2361" s="1215">
        <f>F2361</f>
        <v>3705.1</v>
      </c>
      <c r="H2361" s="1205" t="s">
        <v>2321</v>
      </c>
    </row>
    <row r="2362" spans="1:8" hidden="1">
      <c r="A2362" s="1212"/>
      <c r="B2362" s="1212"/>
      <c r="C2362" s="1752" t="s">
        <v>1653</v>
      </c>
      <c r="D2362" s="1213">
        <v>10</v>
      </c>
      <c r="E2362" s="1213">
        <f>D2362*'MINI SSR 21-22'!$E$36</f>
        <v>10.8</v>
      </c>
      <c r="F2362" s="1213">
        <f>E2362</f>
        <v>10.8</v>
      </c>
      <c r="G2362" s="1215">
        <f>F2362</f>
        <v>10.8</v>
      </c>
      <c r="H2362" s="1205" t="s">
        <v>2321</v>
      </c>
    </row>
    <row r="2363" spans="1:8" hidden="1">
      <c r="A2363" s="1212"/>
      <c r="B2363" s="1212"/>
      <c r="C2363" s="1752" t="s">
        <v>1656</v>
      </c>
      <c r="D2363" s="1213">
        <v>10</v>
      </c>
      <c r="E2363" s="1213">
        <f>ROUND(D2363*'MINI SSR 21-22'!F36,2)</f>
        <v>84.7</v>
      </c>
      <c r="F2363" s="1213">
        <f>ROUND(D2363*'MINI SSR 21-22'!G36,2)</f>
        <v>121.2</v>
      </c>
      <c r="G2363" s="1215">
        <f>ROUND(D2363*'MINI SSR 21-22'!H36,2)</f>
        <v>157.69999999999999</v>
      </c>
      <c r="H2363" s="1205" t="s">
        <v>2321</v>
      </c>
    </row>
    <row r="2364" spans="1:8" ht="25.5" hidden="1">
      <c r="A2364" s="1212"/>
      <c r="B2364" s="1212"/>
      <c r="C2364" s="1752" t="s">
        <v>1286</v>
      </c>
      <c r="D2364" s="1212"/>
      <c r="E2364" s="1212"/>
      <c r="F2364" s="1213">
        <f>ROUND((G2356+G2357+G2358+F2363)*0.1,2)</f>
        <v>317.25</v>
      </c>
      <c r="G2364" s="1215">
        <f>ROUND((G2356+G2357+G2358+G2363)*0.2,2)</f>
        <v>641.79999999999995</v>
      </c>
      <c r="H2364" s="1205" t="s">
        <v>2321</v>
      </c>
    </row>
    <row r="2365" spans="1:8" hidden="1">
      <c r="A2365" s="1212"/>
      <c r="B2365" s="1212"/>
      <c r="C2365" s="1754" t="s">
        <v>88</v>
      </c>
      <c r="D2365" s="1212"/>
      <c r="E2365" s="1213">
        <f>SUM(E2361:E2364)</f>
        <v>3800.6</v>
      </c>
      <c r="F2365" s="1213">
        <f>SUM(F2361:F2364)</f>
        <v>4154.3500000000004</v>
      </c>
      <c r="G2365" s="1215">
        <f>SUM(G2361:G2364)</f>
        <v>4515.3999999999996</v>
      </c>
      <c r="H2365" s="1205" t="s">
        <v>2321</v>
      </c>
    </row>
    <row r="2366" spans="1:8" hidden="1">
      <c r="A2366" s="1212"/>
      <c r="B2366" s="1212"/>
      <c r="C2366" s="1754" t="s">
        <v>121</v>
      </c>
      <c r="D2366" s="1212"/>
      <c r="E2366" s="1217">
        <f>ROUND(E2365/10,2)</f>
        <v>380.06</v>
      </c>
      <c r="F2366" s="1217">
        <f>ROUND(F2365/10,2)</f>
        <v>415.44</v>
      </c>
      <c r="G2366" s="1222">
        <f>ROUND(G2365/10,2)</f>
        <v>451.54</v>
      </c>
      <c r="H2366" s="1205" t="s">
        <v>2321</v>
      </c>
    </row>
    <row r="2367" spans="1:8" ht="165.75" hidden="1">
      <c r="A2367" s="1156">
        <v>33</v>
      </c>
      <c r="B2367" s="1218"/>
      <c r="C2367" s="1752" t="s">
        <v>1171</v>
      </c>
      <c r="D2367" s="1212"/>
      <c r="E2367" s="1212"/>
      <c r="F2367" s="1212"/>
      <c r="G2367" s="1215"/>
      <c r="H2367" s="1205" t="s">
        <v>2321</v>
      </c>
    </row>
    <row r="2368" spans="1:8" hidden="1">
      <c r="A2368" s="1212"/>
      <c r="B2368" s="1212"/>
      <c r="C2368" s="1752" t="s">
        <v>868</v>
      </c>
      <c r="D2368" s="1212"/>
      <c r="E2368" s="1213"/>
      <c r="F2368" s="1213"/>
      <c r="G2368" s="1214"/>
      <c r="H2368" s="1205" t="s">
        <v>2321</v>
      </c>
    </row>
    <row r="2369" spans="1:8" hidden="1">
      <c r="A2369" s="1212"/>
      <c r="B2369" s="1212"/>
      <c r="C2369" s="1752" t="s">
        <v>863</v>
      </c>
      <c r="D2369" s="1212"/>
      <c r="E2369" s="1213"/>
      <c r="F2369" s="1213"/>
      <c r="G2369" s="1214"/>
      <c r="H2369" s="1205" t="s">
        <v>2321</v>
      </c>
    </row>
    <row r="2370" spans="1:8" hidden="1">
      <c r="A2370" s="1212"/>
      <c r="B2370" s="1212"/>
      <c r="C2370" s="1752" t="s">
        <v>1172</v>
      </c>
      <c r="D2370" s="1213" t="s">
        <v>77</v>
      </c>
      <c r="E2370" s="1213">
        <v>13.3</v>
      </c>
      <c r="F2370" s="1216">
        <f>'MINI SSR 21-22'!C43</f>
        <v>18.5</v>
      </c>
      <c r="G2370" s="1214">
        <f>ROUND(E2370*F2370,2)</f>
        <v>246.05</v>
      </c>
      <c r="H2370" s="1205" t="s">
        <v>2321</v>
      </c>
    </row>
    <row r="2371" spans="1:8" hidden="1">
      <c r="A2371" s="1156"/>
      <c r="B2371" s="1218"/>
      <c r="C2371" s="1752" t="s">
        <v>1173</v>
      </c>
      <c r="D2371" s="1213" t="s">
        <v>35</v>
      </c>
      <c r="E2371" s="1213">
        <v>0.25</v>
      </c>
      <c r="F2371" s="1216">
        <f>G1845</f>
        <v>4184.57</v>
      </c>
      <c r="G2371" s="1214">
        <f>ROUND(E2371*F2371,2)</f>
        <v>1046.1400000000001</v>
      </c>
      <c r="H2371" s="1205" t="s">
        <v>2321</v>
      </c>
    </row>
    <row r="2372" spans="1:8" hidden="1">
      <c r="A2372" s="1156"/>
      <c r="B2372" s="1218"/>
      <c r="C2372" s="1752" t="s">
        <v>1174</v>
      </c>
      <c r="D2372" s="1213" t="s">
        <v>90</v>
      </c>
      <c r="E2372" s="1213">
        <v>50</v>
      </c>
      <c r="F2372" s="1216">
        <f>'lead 21-22'!L8</f>
        <v>4700</v>
      </c>
      <c r="G2372" s="1214">
        <f>ROUND(E2372*F2372/1000,2)</f>
        <v>235</v>
      </c>
      <c r="H2372" s="1205" t="s">
        <v>2321</v>
      </c>
    </row>
    <row r="2373" spans="1:8" ht="25.5" hidden="1">
      <c r="A2373" s="1156"/>
      <c r="B2373" s="1218"/>
      <c r="C2373" s="1752" t="s">
        <v>1175</v>
      </c>
      <c r="D2373" s="1213" t="s">
        <v>77</v>
      </c>
      <c r="E2373" s="1213">
        <v>21.8</v>
      </c>
      <c r="F2373" s="1216">
        <f>E2346</f>
        <v>364.75</v>
      </c>
      <c r="G2373" s="1214">
        <f>ROUND(E2373*F2373,2)</f>
        <v>7951.55</v>
      </c>
      <c r="H2373" s="1205" t="s">
        <v>2321</v>
      </c>
    </row>
    <row r="2374" spans="1:8" hidden="1">
      <c r="A2374" s="1156"/>
      <c r="B2374" s="1218"/>
      <c r="C2374" s="1754" t="s">
        <v>1176</v>
      </c>
      <c r="D2374" s="1212"/>
      <c r="E2374" s="1212"/>
      <c r="F2374" s="1216"/>
      <c r="G2374" s="1214"/>
      <c r="H2374" s="1205" t="s">
        <v>2321</v>
      </c>
    </row>
    <row r="2375" spans="1:8" hidden="1">
      <c r="A2375" s="1156"/>
      <c r="B2375" s="1218"/>
      <c r="C2375" s="1752" t="s">
        <v>865</v>
      </c>
      <c r="D2375" s="1213" t="s">
        <v>27</v>
      </c>
      <c r="E2375" s="1213">
        <v>8</v>
      </c>
      <c r="F2375" s="1216">
        <f>'MINI SSR 21-22'!$H$3</f>
        <v>585</v>
      </c>
      <c r="G2375" s="1214">
        <f>ROUND(E2375*F2375,2)</f>
        <v>4680</v>
      </c>
      <c r="H2375" s="1205" t="s">
        <v>2321</v>
      </c>
    </row>
    <row r="2376" spans="1:8" hidden="1">
      <c r="A2376" s="1156"/>
      <c r="B2376" s="1218"/>
      <c r="C2376" s="1752" t="s">
        <v>1177</v>
      </c>
      <c r="D2376" s="1213" t="s">
        <v>27</v>
      </c>
      <c r="E2376" s="1213">
        <v>1</v>
      </c>
      <c r="F2376" s="1216">
        <f>'MINI SSR 21-22'!$H$4</f>
        <v>525</v>
      </c>
      <c r="G2376" s="1214">
        <f>ROUND(E2376*F2376,2)</f>
        <v>525</v>
      </c>
      <c r="H2376" s="1205" t="s">
        <v>2321</v>
      </c>
    </row>
    <row r="2377" spans="1:8" hidden="1">
      <c r="A2377" s="1156"/>
      <c r="B2377" s="1218"/>
      <c r="C2377" s="1752" t="s">
        <v>864</v>
      </c>
      <c r="D2377" s="1213" t="s">
        <v>27</v>
      </c>
      <c r="E2377" s="1213">
        <v>10</v>
      </c>
      <c r="F2377" s="1216">
        <f>'MINI SSR 21-22'!$H$5</f>
        <v>490</v>
      </c>
      <c r="G2377" s="1214">
        <f>ROUND(E2377*F2377,2)</f>
        <v>4900</v>
      </c>
      <c r="H2377" s="1205" t="s">
        <v>2321</v>
      </c>
    </row>
    <row r="2378" spans="1:8" hidden="1">
      <c r="A2378" s="1156"/>
      <c r="B2378" s="1218"/>
      <c r="C2378" s="1754" t="s">
        <v>1178</v>
      </c>
      <c r="D2378" s="1213"/>
      <c r="E2378" s="1213"/>
      <c r="F2378" s="1216"/>
      <c r="G2378" s="1214"/>
      <c r="H2378" s="1205" t="s">
        <v>2321</v>
      </c>
    </row>
    <row r="2379" spans="1:8" ht="25.5" hidden="1">
      <c r="A2379" s="1156"/>
      <c r="B2379" s="1218"/>
      <c r="C2379" s="1752" t="s">
        <v>1179</v>
      </c>
      <c r="D2379" s="1213" t="s">
        <v>1180</v>
      </c>
      <c r="E2379" s="1213">
        <v>2</v>
      </c>
      <c r="F2379" s="1216">
        <f>'MINI SSR 21-22'!$C$30</f>
        <v>626.20000000000005</v>
      </c>
      <c r="G2379" s="1214">
        <f>ROUND(E2379*F2379,2)</f>
        <v>1252.4000000000001</v>
      </c>
      <c r="H2379" s="1205" t="s">
        <v>2321</v>
      </c>
    </row>
    <row r="2380" spans="1:8" hidden="1">
      <c r="A2380" s="1156"/>
      <c r="B2380" s="1218"/>
      <c r="C2380" s="1754" t="s">
        <v>869</v>
      </c>
      <c r="D2380" s="1242"/>
      <c r="E2380" s="1242"/>
      <c r="F2380" s="1242" t="s">
        <v>104</v>
      </c>
      <c r="G2380" s="1214">
        <f>SUM(G2370:G2379)</f>
        <v>20836.14</v>
      </c>
      <c r="H2380" s="1205" t="s">
        <v>2321</v>
      </c>
    </row>
    <row r="2381" spans="1:8" hidden="1">
      <c r="A2381" s="1156"/>
      <c r="B2381" s="1218"/>
      <c r="C2381" s="1752"/>
      <c r="D2381" s="1216"/>
      <c r="E2381" s="1242" t="s">
        <v>161</v>
      </c>
      <c r="F2381" s="1242" t="s">
        <v>162</v>
      </c>
      <c r="G2381" s="1214"/>
      <c r="H2381" s="1205" t="s">
        <v>2321</v>
      </c>
    </row>
    <row r="2382" spans="1:8" hidden="1">
      <c r="A2382" s="1156"/>
      <c r="B2382" s="1218"/>
      <c r="C2382" s="1752" t="s">
        <v>867</v>
      </c>
      <c r="D2382" s="1216"/>
      <c r="E2382" s="1216">
        <f>G2380</f>
        <v>20836.14</v>
      </c>
      <c r="F2382" s="1216">
        <f>G2380</f>
        <v>20836.14</v>
      </c>
      <c r="G2382" s="1214"/>
      <c r="H2382" s="1205" t="s">
        <v>2321</v>
      </c>
    </row>
    <row r="2383" spans="1:8" hidden="1">
      <c r="A2383" s="1156"/>
      <c r="B2383" s="1218"/>
      <c r="C2383" s="1752" t="s">
        <v>1657</v>
      </c>
      <c r="D2383" s="1243" t="s">
        <v>326</v>
      </c>
      <c r="E2383" s="1216">
        <f>ROUND(D2383*'MINI SSR 21-22'!E36,2)</f>
        <v>10.8</v>
      </c>
      <c r="F2383" s="1216">
        <f>ROUND(D2383*1.03,2)</f>
        <v>10.3</v>
      </c>
      <c r="G2383" s="1214"/>
      <c r="H2383" s="1205" t="s">
        <v>2321</v>
      </c>
    </row>
    <row r="2384" spans="1:8" hidden="1">
      <c r="A2384" s="1156"/>
      <c r="B2384" s="1218"/>
      <c r="C2384" s="1752" t="s">
        <v>1658</v>
      </c>
      <c r="D2384" s="1243" t="s">
        <v>326</v>
      </c>
      <c r="E2384" s="1216">
        <f>ROUND(D2384*'MINI SSR 21-22'!F36,2)</f>
        <v>84.7</v>
      </c>
      <c r="F2384" s="1216">
        <f>ROUND(D2384*'MINI SSR 21-22'!G36,2)</f>
        <v>121.2</v>
      </c>
      <c r="G2384" s="1214"/>
      <c r="H2384" s="1205" t="s">
        <v>2321</v>
      </c>
    </row>
    <row r="2385" spans="1:8" hidden="1">
      <c r="A2385" s="1156"/>
      <c r="B2385" s="1218"/>
      <c r="C2385" s="1752" t="s">
        <v>870</v>
      </c>
      <c r="D2385" s="688" t="s">
        <v>326</v>
      </c>
      <c r="E2385" s="1244">
        <v>0</v>
      </c>
      <c r="F2385" s="1244">
        <f>ROUND(((SUM(G2375:G2377)+F2384)*D2385/100),2)</f>
        <v>1022.62</v>
      </c>
      <c r="G2385" s="1214"/>
      <c r="H2385" s="1205" t="s">
        <v>2321</v>
      </c>
    </row>
    <row r="2386" spans="1:8" hidden="1">
      <c r="A2386" s="1156"/>
      <c r="B2386" s="1218"/>
      <c r="C2386" s="1754" t="s">
        <v>869</v>
      </c>
      <c r="D2386" s="688"/>
      <c r="E2386" s="1216">
        <f>SUM(E2382:E2385)</f>
        <v>20931.64</v>
      </c>
      <c r="F2386" s="1216">
        <f>SUM(F2382:F2385)</f>
        <v>21990.26</v>
      </c>
      <c r="G2386" s="1214"/>
      <c r="H2386" s="1205" t="s">
        <v>2321</v>
      </c>
    </row>
    <row r="2387" spans="1:8" hidden="1">
      <c r="A2387" s="1156"/>
      <c r="B2387" s="1218"/>
      <c r="C2387" s="1754" t="s">
        <v>871</v>
      </c>
      <c r="D2387" s="1213"/>
      <c r="E2387" s="1242">
        <f>ROUND(E2386/10,2)</f>
        <v>2093.16</v>
      </c>
      <c r="F2387" s="1242">
        <f>ROUND(F2386/10,2)</f>
        <v>2199.0300000000002</v>
      </c>
      <c r="G2387" s="1214"/>
      <c r="H2387" s="1205" t="s">
        <v>2321</v>
      </c>
    </row>
    <row r="2388" spans="1:8" ht="102" hidden="1">
      <c r="A2388" s="1156">
        <v>12</v>
      </c>
      <c r="B2388" s="1218" t="s">
        <v>1313</v>
      </c>
      <c r="C2388" s="1752" t="s">
        <v>1312</v>
      </c>
      <c r="D2388" s="1212"/>
      <c r="E2388" s="1212"/>
      <c r="F2388" s="1212"/>
      <c r="G2388" s="1218"/>
      <c r="H2388" s="1205" t="s">
        <v>2321</v>
      </c>
    </row>
    <row r="2389" spans="1:8" hidden="1">
      <c r="A2389" s="1156"/>
      <c r="B2389" s="1218"/>
      <c r="C2389" s="1754" t="s">
        <v>42</v>
      </c>
      <c r="D2389" s="1212"/>
      <c r="E2389" s="1212"/>
      <c r="F2389" s="1212"/>
      <c r="G2389" s="1215"/>
      <c r="H2389" s="1205" t="s">
        <v>2321</v>
      </c>
    </row>
    <row r="2390" spans="1:8" hidden="1">
      <c r="A2390" s="1156"/>
      <c r="B2390" s="1218"/>
      <c r="C2390" s="1754" t="s">
        <v>60</v>
      </c>
      <c r="D2390" s="1212"/>
      <c r="E2390" s="1212"/>
      <c r="F2390" s="1212"/>
      <c r="G2390" s="1215"/>
      <c r="H2390" s="1205" t="s">
        <v>2321</v>
      </c>
    </row>
    <row r="2391" spans="1:8" hidden="1">
      <c r="A2391" s="1156"/>
      <c r="B2391" s="1218"/>
      <c r="C2391" s="1752" t="s">
        <v>43</v>
      </c>
      <c r="D2391" s="1212" t="s">
        <v>35</v>
      </c>
      <c r="E2391" s="1213">
        <v>0.15</v>
      </c>
      <c r="F2391" s="1213">
        <f>G1845</f>
        <v>4184.57</v>
      </c>
      <c r="G2391" s="1214">
        <f>ROUND(E2391*F2391,2)</f>
        <v>627.69000000000005</v>
      </c>
      <c r="H2391" s="1205" t="s">
        <v>2321</v>
      </c>
    </row>
    <row r="2392" spans="1:8" ht="25.5" hidden="1">
      <c r="A2392" s="1156"/>
      <c r="B2392" s="1218"/>
      <c r="C2392" s="1752" t="s">
        <v>3460</v>
      </c>
      <c r="D2392" s="1212" t="s">
        <v>4</v>
      </c>
      <c r="E2392" s="1213">
        <v>2</v>
      </c>
      <c r="F2392" s="1213">
        <f>'MINI SSR 21-22'!$C$44</f>
        <v>79</v>
      </c>
      <c r="G2392" s="1214">
        <f>ROUND(E2392*F2392,2)</f>
        <v>158</v>
      </c>
      <c r="H2392" s="1205" t="s">
        <v>2321</v>
      </c>
    </row>
    <row r="2393" spans="1:8" hidden="1">
      <c r="A2393" s="1212"/>
      <c r="B2393" s="1212"/>
      <c r="C2393" s="1754" t="s">
        <v>68</v>
      </c>
      <c r="D2393" s="1212"/>
      <c r="E2393" s="1213"/>
      <c r="F2393" s="1213"/>
      <c r="G2393" s="1214"/>
      <c r="H2393" s="1205" t="s">
        <v>2321</v>
      </c>
    </row>
    <row r="2394" spans="1:8" hidden="1">
      <c r="A2394" s="1212"/>
      <c r="B2394" s="1212"/>
      <c r="C2394" s="1752" t="s">
        <v>64</v>
      </c>
      <c r="D2394" s="1212" t="s">
        <v>27</v>
      </c>
      <c r="E2394" s="1213">
        <v>0.45</v>
      </c>
      <c r="F2394" s="1216">
        <f>'MINI SSR 21-22'!$H$3</f>
        <v>585</v>
      </c>
      <c r="G2394" s="1214">
        <f>ROUND(E2394*F2394,2)</f>
        <v>263.25</v>
      </c>
      <c r="H2394" s="1205" t="s">
        <v>2321</v>
      </c>
    </row>
    <row r="2395" spans="1:8" hidden="1">
      <c r="A2395" s="1212"/>
      <c r="B2395" s="1212"/>
      <c r="C2395" s="1752" t="s">
        <v>69</v>
      </c>
      <c r="D2395" s="1212" t="s">
        <v>27</v>
      </c>
      <c r="E2395" s="1213">
        <v>1.05</v>
      </c>
      <c r="F2395" s="1216">
        <f>'MINI SSR 21-22'!$H$4</f>
        <v>525</v>
      </c>
      <c r="G2395" s="1214">
        <f>ROUND(E2395*F2395,2)</f>
        <v>551.25</v>
      </c>
      <c r="H2395" s="1205" t="s">
        <v>2321</v>
      </c>
    </row>
    <row r="2396" spans="1:8" hidden="1">
      <c r="A2396" s="1212"/>
      <c r="B2396" s="1212"/>
      <c r="C2396" s="1752" t="s">
        <v>85</v>
      </c>
      <c r="D2396" s="1212" t="s">
        <v>27</v>
      </c>
      <c r="E2396" s="1213">
        <v>2.8</v>
      </c>
      <c r="F2396" s="1216">
        <f>'MINI SSR 21-22'!$H$5</f>
        <v>490</v>
      </c>
      <c r="G2396" s="1214">
        <f>ROUND(E2396*F2396,2)</f>
        <v>1372</v>
      </c>
      <c r="H2396" s="1205" t="s">
        <v>2321</v>
      </c>
    </row>
    <row r="2397" spans="1:8" hidden="1">
      <c r="A2397" s="1212"/>
      <c r="B2397" s="1212"/>
      <c r="C2397" s="1754" t="s">
        <v>88</v>
      </c>
      <c r="D2397" s="1212"/>
      <c r="E2397" s="1212"/>
      <c r="F2397" s="1212"/>
      <c r="G2397" s="1222">
        <f>SUM(G2391:G2396)</f>
        <v>2972.19</v>
      </c>
      <c r="H2397" s="1205" t="s">
        <v>2321</v>
      </c>
    </row>
    <row r="2398" spans="1:8" hidden="1">
      <c r="A2398" s="1212"/>
      <c r="B2398" s="1212"/>
      <c r="C2398" s="1754"/>
      <c r="D2398" s="1212"/>
      <c r="E2398" s="1218" t="s">
        <v>161</v>
      </c>
      <c r="F2398" s="1218" t="s">
        <v>162</v>
      </c>
      <c r="G2398" s="1217" t="s">
        <v>162</v>
      </c>
      <c r="H2398" s="1205" t="s">
        <v>2321</v>
      </c>
    </row>
    <row r="2399" spans="1:8" hidden="1">
      <c r="A2399" s="1212"/>
      <c r="B2399" s="1212"/>
      <c r="C2399" s="1754" t="s">
        <v>1274</v>
      </c>
      <c r="D2399" s="1212"/>
      <c r="E2399" s="1213">
        <f>G2397</f>
        <v>2972.19</v>
      </c>
      <c r="F2399" s="1213">
        <f>G2397</f>
        <v>2972.19</v>
      </c>
      <c r="G2399" s="1215">
        <f>G2397</f>
        <v>2972.19</v>
      </c>
      <c r="H2399" s="1205" t="s">
        <v>2321</v>
      </c>
    </row>
    <row r="2400" spans="1:8" ht="25.5" hidden="1">
      <c r="A2400" s="1212"/>
      <c r="B2400" s="1212"/>
      <c r="C2400" s="1752" t="s">
        <v>1286</v>
      </c>
      <c r="D2400" s="1212"/>
      <c r="E2400" s="1212"/>
      <c r="F2400" s="1215">
        <f>(SUM(G2394:G2396)*10%)</f>
        <v>218.65</v>
      </c>
      <c r="G2400" s="1215">
        <f>(SUM(G2394:G2396)*20%)</f>
        <v>437.3</v>
      </c>
      <c r="H2400" s="1205" t="s">
        <v>2321</v>
      </c>
    </row>
    <row r="2401" spans="1:8" hidden="1">
      <c r="A2401" s="1212"/>
      <c r="B2401" s="1212"/>
      <c r="C2401" s="1754" t="s">
        <v>88</v>
      </c>
      <c r="D2401" s="1212"/>
      <c r="E2401" s="1213">
        <f>SUM(E2399:E2400)</f>
        <v>2972.19</v>
      </c>
      <c r="F2401" s="1213">
        <f>SUM(F2399:F2400)</f>
        <v>3190.84</v>
      </c>
      <c r="G2401" s="1215">
        <f>SUM(G2399:G2400)</f>
        <v>3409.4900000000002</v>
      </c>
      <c r="H2401" s="1205" t="s">
        <v>2321</v>
      </c>
    </row>
    <row r="2402" spans="1:8" hidden="1">
      <c r="A2402" s="1212"/>
      <c r="B2402" s="1212"/>
      <c r="C2402" s="1754" t="s">
        <v>121</v>
      </c>
      <c r="D2402" s="1212"/>
      <c r="E2402" s="1217">
        <f>ROUND(E2401/10,2)</f>
        <v>297.22000000000003</v>
      </c>
      <c r="F2402" s="1217">
        <f>ROUND(F2401/10,2)</f>
        <v>319.08</v>
      </c>
      <c r="G2402" s="1222">
        <f>ROUND(G2401/10,2)</f>
        <v>340.95</v>
      </c>
      <c r="H2402" s="1205" t="s">
        <v>2321</v>
      </c>
    </row>
    <row r="2403" spans="1:8" ht="102" hidden="1">
      <c r="A2403" s="1156">
        <v>39</v>
      </c>
      <c r="B2403" s="1218" t="s">
        <v>1313</v>
      </c>
      <c r="C2403" s="1752" t="s">
        <v>899</v>
      </c>
      <c r="D2403" s="1212"/>
      <c r="E2403" s="1212"/>
      <c r="F2403" s="1212"/>
      <c r="G2403" s="1218" t="s">
        <v>148</v>
      </c>
      <c r="H2403" s="1205" t="s">
        <v>2321</v>
      </c>
    </row>
    <row r="2404" spans="1:8" hidden="1">
      <c r="A2404" s="1156"/>
      <c r="B2404" s="1218"/>
      <c r="C2404" s="1754" t="s">
        <v>42</v>
      </c>
      <c r="D2404" s="1212"/>
      <c r="E2404" s="1212"/>
      <c r="F2404" s="1212"/>
      <c r="G2404" s="1215"/>
      <c r="H2404" s="1205" t="s">
        <v>2321</v>
      </c>
    </row>
    <row r="2405" spans="1:8" hidden="1">
      <c r="A2405" s="1156"/>
      <c r="B2405" s="1218"/>
      <c r="C2405" s="1754" t="s">
        <v>60</v>
      </c>
      <c r="D2405" s="1212"/>
      <c r="E2405" s="1212"/>
      <c r="F2405" s="1212"/>
      <c r="G2405" s="1215"/>
      <c r="H2405" s="1205" t="s">
        <v>2321</v>
      </c>
    </row>
    <row r="2406" spans="1:8" hidden="1">
      <c r="A2406" s="1156"/>
      <c r="B2406" s="1218"/>
      <c r="C2406" s="1752" t="s">
        <v>43</v>
      </c>
      <c r="D2406" s="1212" t="s">
        <v>35</v>
      </c>
      <c r="E2406" s="1213">
        <v>0.21</v>
      </c>
      <c r="F2406" s="1213">
        <f>G1860</f>
        <v>3056.5699999999997</v>
      </c>
      <c r="G2406" s="1214">
        <f>ROUND(E2406*F2406,2)</f>
        <v>641.88</v>
      </c>
      <c r="H2406" s="1205" t="s">
        <v>2321</v>
      </c>
    </row>
    <row r="2407" spans="1:8" ht="25.5" hidden="1">
      <c r="A2407" s="1156"/>
      <c r="B2407" s="1218"/>
      <c r="C2407" s="1752" t="s">
        <v>3460</v>
      </c>
      <c r="D2407" s="1212" t="s">
        <v>4</v>
      </c>
      <c r="E2407" s="1213">
        <v>2</v>
      </c>
      <c r="F2407" s="1213">
        <f>'MINI SSR 21-22'!$C$44</f>
        <v>79</v>
      </c>
      <c r="G2407" s="1214">
        <f>ROUND(E2407*F2407,2)</f>
        <v>158</v>
      </c>
      <c r="H2407" s="1205" t="s">
        <v>2321</v>
      </c>
    </row>
    <row r="2408" spans="1:8" hidden="1">
      <c r="A2408" s="1212"/>
      <c r="B2408" s="1212"/>
      <c r="C2408" s="1754" t="s">
        <v>68</v>
      </c>
      <c r="D2408" s="1212"/>
      <c r="E2408" s="1213"/>
      <c r="F2408" s="1213"/>
      <c r="G2408" s="1214"/>
      <c r="H2408" s="1205" t="s">
        <v>2321</v>
      </c>
    </row>
    <row r="2409" spans="1:8" hidden="1">
      <c r="A2409" s="1212"/>
      <c r="B2409" s="1212"/>
      <c r="C2409" s="1752" t="s">
        <v>64</v>
      </c>
      <c r="D2409" s="1212" t="s">
        <v>27</v>
      </c>
      <c r="E2409" s="1213">
        <v>0.66</v>
      </c>
      <c r="F2409" s="1216">
        <f>'MINI SSR 21-22'!$H$3</f>
        <v>585</v>
      </c>
      <c r="G2409" s="1214">
        <f>ROUND(E2409*F2409,2)</f>
        <v>386.1</v>
      </c>
      <c r="H2409" s="1205" t="s">
        <v>2321</v>
      </c>
    </row>
    <row r="2410" spans="1:8" hidden="1">
      <c r="A2410" s="1212"/>
      <c r="B2410" s="1212"/>
      <c r="C2410" s="1752" t="s">
        <v>69</v>
      </c>
      <c r="D2410" s="1212" t="s">
        <v>27</v>
      </c>
      <c r="E2410" s="1213">
        <v>1.54</v>
      </c>
      <c r="F2410" s="1216">
        <f>'MINI SSR 21-22'!$H$4</f>
        <v>525</v>
      </c>
      <c r="G2410" s="1214">
        <f>ROUND(E2410*F2410,2)</f>
        <v>808.5</v>
      </c>
      <c r="H2410" s="1205" t="s">
        <v>2321</v>
      </c>
    </row>
    <row r="2411" spans="1:8" hidden="1">
      <c r="A2411" s="1212"/>
      <c r="B2411" s="1212"/>
      <c r="C2411" s="1752" t="s">
        <v>85</v>
      </c>
      <c r="D2411" s="1212" t="s">
        <v>27</v>
      </c>
      <c r="E2411" s="1213">
        <v>3.7</v>
      </c>
      <c r="F2411" s="1216">
        <f>'MINI SSR 21-22'!$H$5</f>
        <v>490</v>
      </c>
      <c r="G2411" s="1214">
        <f>ROUND(E2411*F2411,2)</f>
        <v>1813</v>
      </c>
      <c r="H2411" s="1205" t="s">
        <v>2321</v>
      </c>
    </row>
    <row r="2412" spans="1:8" hidden="1">
      <c r="A2412" s="1212"/>
      <c r="B2412" s="1212"/>
      <c r="C2412" s="1754" t="s">
        <v>88</v>
      </c>
      <c r="D2412" s="1212"/>
      <c r="E2412" s="1212"/>
      <c r="F2412" s="1212"/>
      <c r="G2412" s="1222">
        <f>SUM(G2406:G2411)</f>
        <v>3807.48</v>
      </c>
      <c r="H2412" s="1205" t="s">
        <v>2321</v>
      </c>
    </row>
    <row r="2413" spans="1:8" hidden="1">
      <c r="A2413" s="1212"/>
      <c r="B2413" s="1212"/>
      <c r="C2413" s="1754"/>
      <c r="D2413" s="1212"/>
      <c r="E2413" s="1218" t="s">
        <v>161</v>
      </c>
      <c r="F2413" s="1218" t="s">
        <v>162</v>
      </c>
      <c r="G2413" s="1217" t="s">
        <v>163</v>
      </c>
      <c r="H2413" s="1205" t="s">
        <v>2321</v>
      </c>
    </row>
    <row r="2414" spans="1:8" hidden="1">
      <c r="A2414" s="1212"/>
      <c r="B2414" s="1212"/>
      <c r="C2414" s="1754" t="s">
        <v>1274</v>
      </c>
      <c r="D2414" s="1212"/>
      <c r="E2414" s="1213">
        <f>G2412</f>
        <v>3807.48</v>
      </c>
      <c r="F2414" s="1213">
        <f>G2412</f>
        <v>3807.48</v>
      </c>
      <c r="G2414" s="1215">
        <f>G2412</f>
        <v>3807.48</v>
      </c>
      <c r="H2414" s="1205" t="s">
        <v>2321</v>
      </c>
    </row>
    <row r="2415" spans="1:8" ht="25.5" hidden="1">
      <c r="A2415" s="1212"/>
      <c r="B2415" s="1212"/>
      <c r="C2415" s="1752" t="s">
        <v>1286</v>
      </c>
      <c r="D2415" s="1212"/>
      <c r="E2415" s="1212"/>
      <c r="F2415" s="1215">
        <f>(SUM(G2409:G2411)*10%)</f>
        <v>300.76</v>
      </c>
      <c r="G2415" s="1215">
        <f>(SUM(G2409:G2411)*20%)</f>
        <v>601.52</v>
      </c>
      <c r="H2415" s="1205" t="s">
        <v>2321</v>
      </c>
    </row>
    <row r="2416" spans="1:8" hidden="1">
      <c r="A2416" s="1212"/>
      <c r="B2416" s="1212"/>
      <c r="C2416" s="1754" t="s">
        <v>88</v>
      </c>
      <c r="D2416" s="1212"/>
      <c r="E2416" s="1213">
        <f>SUM(E2414:E2415)</f>
        <v>3807.48</v>
      </c>
      <c r="F2416" s="1213">
        <f>SUM(F2414:F2415)</f>
        <v>4108.24</v>
      </c>
      <c r="G2416" s="1215">
        <f>SUM(G2414:G2415)</f>
        <v>4409</v>
      </c>
      <c r="H2416" s="1205" t="s">
        <v>2321</v>
      </c>
    </row>
    <row r="2417" spans="1:8" hidden="1">
      <c r="A2417" s="1212"/>
      <c r="B2417" s="1212"/>
      <c r="C2417" s="1754" t="s">
        <v>121</v>
      </c>
      <c r="D2417" s="1212"/>
      <c r="E2417" s="1217">
        <f>ROUND(E2416/10,2)</f>
        <v>380.75</v>
      </c>
      <c r="F2417" s="1217">
        <f>ROUND(F2416/10,2)</f>
        <v>410.82</v>
      </c>
      <c r="G2417" s="1222">
        <f>ROUND(G2416/10,2)</f>
        <v>440.9</v>
      </c>
      <c r="H2417" s="1205" t="s">
        <v>2321</v>
      </c>
    </row>
    <row r="2418" spans="1:8" ht="165.75" hidden="1">
      <c r="A2418" s="1156">
        <v>34</v>
      </c>
      <c r="B2418" s="1218" t="s">
        <v>666</v>
      </c>
      <c r="C2418" s="1752" t="s">
        <v>665</v>
      </c>
      <c r="D2418" s="1212"/>
      <c r="E2418" s="1212"/>
      <c r="F2418" s="1212"/>
      <c r="G2418" s="1218" t="s">
        <v>666</v>
      </c>
      <c r="H2418" s="1205" t="s">
        <v>2321</v>
      </c>
    </row>
    <row r="2419" spans="1:8" hidden="1">
      <c r="A2419" s="1156"/>
      <c r="B2419" s="1218"/>
      <c r="C2419" s="1754" t="s">
        <v>42</v>
      </c>
      <c r="D2419" s="1212"/>
      <c r="E2419" s="1212"/>
      <c r="F2419" s="1212"/>
      <c r="G2419" s="1215"/>
      <c r="H2419" s="1205" t="s">
        <v>2321</v>
      </c>
    </row>
    <row r="2420" spans="1:8" hidden="1">
      <c r="A2420" s="1156"/>
      <c r="B2420" s="1218"/>
      <c r="C2420" s="1754" t="s">
        <v>60</v>
      </c>
      <c r="D2420" s="1212"/>
      <c r="E2420" s="1212"/>
      <c r="F2420" s="1212"/>
      <c r="G2420" s="1215"/>
      <c r="H2420" s="1205" t="s">
        <v>2321</v>
      </c>
    </row>
    <row r="2421" spans="1:8" ht="25.5" hidden="1">
      <c r="A2421" s="1156"/>
      <c r="B2421" s="1218"/>
      <c r="C2421" s="1752" t="s">
        <v>667</v>
      </c>
      <c r="D2421" s="1212" t="s">
        <v>77</v>
      </c>
      <c r="E2421" s="1213">
        <v>10.5</v>
      </c>
      <c r="F2421" s="1213">
        <f>'lead 21-22'!L22</f>
        <v>2138.6639999999998</v>
      </c>
      <c r="G2421" s="1214">
        <f>ROUND(E2421*F2421/1,2)</f>
        <v>22455.97</v>
      </c>
      <c r="H2421" s="1205" t="s">
        <v>2321</v>
      </c>
    </row>
    <row r="2422" spans="1:8" hidden="1">
      <c r="A2422" s="1156"/>
      <c r="B2422" s="1218"/>
      <c r="C2422" s="1752" t="s">
        <v>91</v>
      </c>
      <c r="D2422" s="1212" t="s">
        <v>4</v>
      </c>
      <c r="E2422" s="1213">
        <v>36</v>
      </c>
      <c r="F2422" s="1213">
        <f>'lead 21-22'!L8</f>
        <v>4700</v>
      </c>
      <c r="G2422" s="1214">
        <f>ROUND(E2422*F2422/1000,2)</f>
        <v>169.2</v>
      </c>
      <c r="H2422" s="1205" t="s">
        <v>2321</v>
      </c>
    </row>
    <row r="2423" spans="1:8" hidden="1">
      <c r="A2423" s="1156"/>
      <c r="B2423" s="1218"/>
      <c r="C2423" s="1752" t="s">
        <v>92</v>
      </c>
      <c r="D2423" s="1212" t="s">
        <v>4</v>
      </c>
      <c r="E2423" s="1213">
        <v>33</v>
      </c>
      <c r="F2423" s="1213">
        <f>F2422</f>
        <v>4700</v>
      </c>
      <c r="G2423" s="1214">
        <f>ROUND(E2423*F2423/1000,2)</f>
        <v>155.1</v>
      </c>
      <c r="H2423" s="1205" t="s">
        <v>2321</v>
      </c>
    </row>
    <row r="2424" spans="1:8" hidden="1">
      <c r="A2424" s="1156"/>
      <c r="B2424" s="1218"/>
      <c r="C2424" s="1752" t="s">
        <v>93</v>
      </c>
      <c r="D2424" s="1212" t="s">
        <v>4</v>
      </c>
      <c r="E2424" s="1213">
        <v>6</v>
      </c>
      <c r="F2424" s="1213">
        <f>F2423</f>
        <v>4700</v>
      </c>
      <c r="G2424" s="1214">
        <f>ROUND(E2424*F2424/1000,2)</f>
        <v>28.2</v>
      </c>
      <c r="H2424" s="1205" t="s">
        <v>2321</v>
      </c>
    </row>
    <row r="2425" spans="1:8" hidden="1">
      <c r="A2425" s="1156"/>
      <c r="B2425" s="1218"/>
      <c r="C2425" s="1752" t="s">
        <v>114</v>
      </c>
      <c r="D2425" s="1212" t="s">
        <v>35</v>
      </c>
      <c r="E2425" s="1213">
        <v>0.2</v>
      </c>
      <c r="F2425" s="1213">
        <f>'lead 21-22'!L12</f>
        <v>1743.4000000000019</v>
      </c>
      <c r="G2425" s="1214">
        <f>ROUND(E2425*F2425,2)</f>
        <v>348.68</v>
      </c>
      <c r="H2425" s="1205" t="s">
        <v>2321</v>
      </c>
    </row>
    <row r="2426" spans="1:8" hidden="1">
      <c r="A2426" s="1212"/>
      <c r="B2426" s="1212"/>
      <c r="C2426" s="1754" t="s">
        <v>68</v>
      </c>
      <c r="D2426" s="1212"/>
      <c r="E2426" s="1213"/>
      <c r="F2426" s="1213"/>
      <c r="G2426" s="1214"/>
      <c r="H2426" s="1205" t="s">
        <v>2321</v>
      </c>
    </row>
    <row r="2427" spans="1:8" hidden="1">
      <c r="A2427" s="1212"/>
      <c r="B2427" s="1212"/>
      <c r="C2427" s="1752" t="s">
        <v>64</v>
      </c>
      <c r="D2427" s="1212" t="s">
        <v>27</v>
      </c>
      <c r="E2427" s="1213">
        <v>3</v>
      </c>
      <c r="F2427" s="1216">
        <f>'MINI SSR 21-22'!$H$3</f>
        <v>585</v>
      </c>
      <c r="G2427" s="1214">
        <f>ROUND(E2427*F2427,2)</f>
        <v>1755</v>
      </c>
      <c r="H2427" s="1205" t="s">
        <v>2321</v>
      </c>
    </row>
    <row r="2428" spans="1:8" hidden="1">
      <c r="A2428" s="1212"/>
      <c r="B2428" s="1212"/>
      <c r="C2428" s="1752" t="s">
        <v>69</v>
      </c>
      <c r="D2428" s="1212" t="s">
        <v>27</v>
      </c>
      <c r="E2428" s="1213">
        <v>1</v>
      </c>
      <c r="F2428" s="1216">
        <f>'MINI SSR 21-22'!$H$4</f>
        <v>525</v>
      </c>
      <c r="G2428" s="1214">
        <f>ROUND(E2428*F2428,2)</f>
        <v>525</v>
      </c>
      <c r="H2428" s="1205" t="s">
        <v>2321</v>
      </c>
    </row>
    <row r="2429" spans="1:8" hidden="1">
      <c r="A2429" s="1212"/>
      <c r="B2429" s="1212"/>
      <c r="C2429" s="1752" t="s">
        <v>85</v>
      </c>
      <c r="D2429" s="1212" t="s">
        <v>27</v>
      </c>
      <c r="E2429" s="1213">
        <v>8</v>
      </c>
      <c r="F2429" s="1216">
        <f>'MINI SSR 21-22'!$H$5</f>
        <v>490</v>
      </c>
      <c r="G2429" s="1214">
        <f>ROUND(E2429*F2429,2)</f>
        <v>3920</v>
      </c>
      <c r="H2429" s="1205" t="s">
        <v>2321</v>
      </c>
    </row>
    <row r="2430" spans="1:8" hidden="1">
      <c r="A2430" s="1212"/>
      <c r="B2430" s="1212"/>
      <c r="C2430" s="1752" t="s">
        <v>895</v>
      </c>
      <c r="D2430" s="1212"/>
      <c r="E2430" s="1213">
        <v>0.01</v>
      </c>
      <c r="F2430" s="1213">
        <f>SUM(G2422:G2429)</f>
        <v>6901.18</v>
      </c>
      <c r="G2430" s="1214">
        <f>ROUND(E2430*F2430,2)</f>
        <v>69.010000000000005</v>
      </c>
      <c r="H2430" s="1205" t="s">
        <v>2321</v>
      </c>
    </row>
    <row r="2431" spans="1:8" hidden="1">
      <c r="A2431" s="1212"/>
      <c r="B2431" s="1212"/>
      <c r="C2431" s="1754" t="s">
        <v>88</v>
      </c>
      <c r="D2431" s="1212"/>
      <c r="E2431" s="1212"/>
      <c r="F2431" s="1212"/>
      <c r="G2431" s="1222">
        <f>SUM(G2421:G2430)</f>
        <v>29426.16</v>
      </c>
      <c r="H2431" s="1205" t="s">
        <v>2321</v>
      </c>
    </row>
    <row r="2432" spans="1:8" hidden="1">
      <c r="A2432" s="1212"/>
      <c r="B2432" s="1212"/>
      <c r="C2432" s="1754"/>
      <c r="D2432" s="1212"/>
      <c r="E2432" s="1218" t="s">
        <v>161</v>
      </c>
      <c r="F2432" s="1218" t="s">
        <v>162</v>
      </c>
      <c r="G2432" s="1217" t="s">
        <v>163</v>
      </c>
      <c r="H2432" s="1205" t="s">
        <v>2321</v>
      </c>
    </row>
    <row r="2433" spans="1:8" hidden="1">
      <c r="A2433" s="1212"/>
      <c r="B2433" s="1212"/>
      <c r="C2433" s="1754" t="s">
        <v>1274</v>
      </c>
      <c r="D2433" s="1212"/>
      <c r="E2433" s="1213">
        <f>G2431</f>
        <v>29426.16</v>
      </c>
      <c r="F2433" s="1213">
        <f>G2431</f>
        <v>29426.16</v>
      </c>
      <c r="G2433" s="1215">
        <f>G2431</f>
        <v>29426.16</v>
      </c>
      <c r="H2433" s="1205" t="s">
        <v>2321</v>
      </c>
    </row>
    <row r="2434" spans="1:8" ht="25.5" hidden="1">
      <c r="A2434" s="1212"/>
      <c r="B2434" s="1212"/>
      <c r="C2434" s="1752" t="s">
        <v>1286</v>
      </c>
      <c r="D2434" s="1212"/>
      <c r="E2434" s="1213"/>
      <c r="F2434" s="1215">
        <f>ROUND((G2427+G2428+G2429)*0.1,2)</f>
        <v>620</v>
      </c>
      <c r="G2434" s="1215">
        <f>ROUND((G2427+G2428+G2429)*0.2,2)</f>
        <v>1240</v>
      </c>
      <c r="H2434" s="1205" t="s">
        <v>2321</v>
      </c>
    </row>
    <row r="2435" spans="1:8" hidden="1">
      <c r="A2435" s="1212"/>
      <c r="B2435" s="1212"/>
      <c r="C2435" s="1754" t="s">
        <v>88</v>
      </c>
      <c r="D2435" s="1212"/>
      <c r="E2435" s="1213">
        <f>SUM(E2433:E2434)</f>
        <v>29426.16</v>
      </c>
      <c r="F2435" s="1215">
        <f>SUM(F2433:F2434)</f>
        <v>30046.16</v>
      </c>
      <c r="G2435" s="1215">
        <f>SUM(G2433:G2434)</f>
        <v>30666.16</v>
      </c>
      <c r="H2435" s="1205" t="s">
        <v>2321</v>
      </c>
    </row>
    <row r="2436" spans="1:8" hidden="1">
      <c r="A2436" s="1212"/>
      <c r="B2436" s="1212"/>
      <c r="C2436" s="1754" t="s">
        <v>121</v>
      </c>
      <c r="D2436" s="1212"/>
      <c r="E2436" s="1217">
        <f>ROUND(E2435/10,2)</f>
        <v>2942.62</v>
      </c>
      <c r="F2436" s="1217">
        <f>ROUND(F2435/10,2)</f>
        <v>3004.62</v>
      </c>
      <c r="G2436" s="1222">
        <f>ROUND(G2435/10,2)</f>
        <v>3066.62</v>
      </c>
      <c r="H2436" s="1205" t="s">
        <v>2321</v>
      </c>
    </row>
    <row r="2437" spans="1:8" ht="153" hidden="1">
      <c r="A2437" s="1156">
        <v>35</v>
      </c>
      <c r="B2437" s="1218" t="s">
        <v>668</v>
      </c>
      <c r="C2437" s="1752" t="s">
        <v>671</v>
      </c>
      <c r="D2437" s="1212"/>
      <c r="E2437" s="1212"/>
      <c r="F2437" s="1212"/>
      <c r="G2437" s="1218"/>
      <c r="H2437" s="1205" t="s">
        <v>2321</v>
      </c>
    </row>
    <row r="2438" spans="1:8" hidden="1">
      <c r="A2438" s="1156"/>
      <c r="B2438" s="1218"/>
      <c r="C2438" s="1754" t="s">
        <v>42</v>
      </c>
      <c r="D2438" s="1212"/>
      <c r="E2438" s="1212"/>
      <c r="F2438" s="1212"/>
      <c r="G2438" s="1215"/>
      <c r="H2438" s="1205" t="s">
        <v>2321</v>
      </c>
    </row>
    <row r="2439" spans="1:8" hidden="1">
      <c r="A2439" s="1156"/>
      <c r="B2439" s="1218"/>
      <c r="C2439" s="1754" t="s">
        <v>60</v>
      </c>
      <c r="D2439" s="1212"/>
      <c r="E2439" s="1212"/>
      <c r="F2439" s="1212"/>
      <c r="G2439" s="1215"/>
      <c r="H2439" s="1205" t="s">
        <v>2321</v>
      </c>
    </row>
    <row r="2440" spans="1:8" ht="25.5" hidden="1">
      <c r="A2440" s="1156"/>
      <c r="B2440" s="1218"/>
      <c r="C2440" s="1752" t="s">
        <v>667</v>
      </c>
      <c r="D2440" s="1212" t="s">
        <v>77</v>
      </c>
      <c r="E2440" s="1213">
        <v>10.5</v>
      </c>
      <c r="F2440" s="1213">
        <f>F2421</f>
        <v>2138.6639999999998</v>
      </c>
      <c r="G2440" s="1214">
        <f>ROUND(E2440*F2440/1,2)</f>
        <v>22455.97</v>
      </c>
      <c r="H2440" s="1205" t="s">
        <v>2321</v>
      </c>
    </row>
    <row r="2441" spans="1:8" hidden="1">
      <c r="A2441" s="1156"/>
      <c r="B2441" s="1218"/>
      <c r="C2441" s="1752" t="s">
        <v>669</v>
      </c>
      <c r="D2441" s="1212" t="s">
        <v>35</v>
      </c>
      <c r="E2441" s="1213">
        <v>0.12</v>
      </c>
      <c r="F2441" s="1213">
        <f>F2425</f>
        <v>1743.4000000000019</v>
      </c>
      <c r="G2441" s="1214">
        <f>ROUND(E2441*F2441,2)</f>
        <v>209.21</v>
      </c>
      <c r="H2441" s="1205" t="s">
        <v>2321</v>
      </c>
    </row>
    <row r="2442" spans="1:8" hidden="1">
      <c r="A2442" s="1156"/>
      <c r="B2442" s="1218"/>
      <c r="C2442" s="1752" t="s">
        <v>105</v>
      </c>
      <c r="D2442" s="1212" t="s">
        <v>4</v>
      </c>
      <c r="E2442" s="1213">
        <v>57.6</v>
      </c>
      <c r="F2442" s="1213">
        <f>F2422</f>
        <v>4700</v>
      </c>
      <c r="G2442" s="1214">
        <f>ROUND(E2442*F2442/1000,2)</f>
        <v>270.72000000000003</v>
      </c>
      <c r="H2442" s="1205" t="s">
        <v>2321</v>
      </c>
    </row>
    <row r="2443" spans="1:8" hidden="1">
      <c r="A2443" s="1156"/>
      <c r="B2443" s="1218"/>
      <c r="C2443" s="1752" t="s">
        <v>92</v>
      </c>
      <c r="D2443" s="1212" t="s">
        <v>4</v>
      </c>
      <c r="E2443" s="1213">
        <v>33</v>
      </c>
      <c r="F2443" s="1213">
        <f>F2423</f>
        <v>4700</v>
      </c>
      <c r="G2443" s="1214">
        <f>ROUND(E2443*F2443/1000,2)</f>
        <v>155.1</v>
      </c>
      <c r="H2443" s="1205" t="s">
        <v>2321</v>
      </c>
    </row>
    <row r="2444" spans="1:8" hidden="1">
      <c r="A2444" s="1156"/>
      <c r="B2444" s="1218"/>
      <c r="C2444" s="1752" t="s">
        <v>670</v>
      </c>
      <c r="D2444" s="1212" t="s">
        <v>4</v>
      </c>
      <c r="E2444" s="1213">
        <v>5</v>
      </c>
      <c r="F2444" s="1213">
        <f>'MINI SSR 21-22'!C45</f>
        <v>27.95</v>
      </c>
      <c r="G2444" s="1214">
        <f>ROUND(E2444*F2444,2)</f>
        <v>139.75</v>
      </c>
      <c r="H2444" s="1205" t="s">
        <v>2321</v>
      </c>
    </row>
    <row r="2445" spans="1:8" hidden="1">
      <c r="A2445" s="1212"/>
      <c r="B2445" s="1212"/>
      <c r="C2445" s="1754" t="s">
        <v>68</v>
      </c>
      <c r="D2445" s="1212"/>
      <c r="E2445" s="1213"/>
      <c r="F2445" s="1213"/>
      <c r="G2445" s="1214"/>
      <c r="H2445" s="1205" t="s">
        <v>2321</v>
      </c>
    </row>
    <row r="2446" spans="1:8" hidden="1">
      <c r="A2446" s="1212"/>
      <c r="B2446" s="1212"/>
      <c r="C2446" s="1752" t="s">
        <v>64</v>
      </c>
      <c r="D2446" s="1212" t="s">
        <v>27</v>
      </c>
      <c r="E2446" s="1213">
        <v>2.1</v>
      </c>
      <c r="F2446" s="1216">
        <f>'MINI SSR 21-22'!$H$3</f>
        <v>585</v>
      </c>
      <c r="G2446" s="1214">
        <f>ROUND(E2446*F2446,2)</f>
        <v>1228.5</v>
      </c>
      <c r="H2446" s="1205" t="s">
        <v>2321</v>
      </c>
    </row>
    <row r="2447" spans="1:8" hidden="1">
      <c r="A2447" s="1212"/>
      <c r="B2447" s="1212"/>
      <c r="C2447" s="1752" t="s">
        <v>69</v>
      </c>
      <c r="D2447" s="1212" t="s">
        <v>27</v>
      </c>
      <c r="E2447" s="1213">
        <v>4.9000000000000004</v>
      </c>
      <c r="F2447" s="1216">
        <f>'MINI SSR 21-22'!$H$4</f>
        <v>525</v>
      </c>
      <c r="G2447" s="1214">
        <f>ROUND(E2447*F2447,2)</f>
        <v>2572.5</v>
      </c>
      <c r="H2447" s="1205" t="s">
        <v>2321</v>
      </c>
    </row>
    <row r="2448" spans="1:8" hidden="1">
      <c r="A2448" s="1212"/>
      <c r="B2448" s="1212"/>
      <c r="C2448" s="1752" t="s">
        <v>85</v>
      </c>
      <c r="D2448" s="1212" t="s">
        <v>27</v>
      </c>
      <c r="E2448" s="1213">
        <v>0.8</v>
      </c>
      <c r="F2448" s="1216">
        <f>'MINI SSR 21-22'!$H$5</f>
        <v>490</v>
      </c>
      <c r="G2448" s="1214">
        <f>ROUND(E2448*F2448,2)</f>
        <v>392</v>
      </c>
      <c r="H2448" s="1205" t="s">
        <v>2321</v>
      </c>
    </row>
    <row r="2449" spans="1:8" hidden="1">
      <c r="A2449" s="1212"/>
      <c r="B2449" s="1212"/>
      <c r="C2449" s="1752" t="s">
        <v>895</v>
      </c>
      <c r="D2449" s="1212"/>
      <c r="E2449" s="1213">
        <v>0.01</v>
      </c>
      <c r="F2449" s="1213">
        <f>SUM(G2441:G2448)</f>
        <v>4967.7800000000007</v>
      </c>
      <c r="G2449" s="1214">
        <f>ROUND(E2449*F2449,2)</f>
        <v>49.68</v>
      </c>
      <c r="H2449" s="1205" t="s">
        <v>2321</v>
      </c>
    </row>
    <row r="2450" spans="1:8" hidden="1">
      <c r="A2450" s="1212"/>
      <c r="B2450" s="1212"/>
      <c r="C2450" s="1754" t="s">
        <v>88</v>
      </c>
      <c r="D2450" s="1212"/>
      <c r="E2450" s="1212"/>
      <c r="F2450" s="1212"/>
      <c r="G2450" s="1222">
        <f>SUM(G2440:G2449)</f>
        <v>27473.43</v>
      </c>
      <c r="H2450" s="1205" t="s">
        <v>2321</v>
      </c>
    </row>
    <row r="2451" spans="1:8" hidden="1">
      <c r="A2451" s="1212"/>
      <c r="B2451" s="1212"/>
      <c r="C2451" s="1754"/>
      <c r="D2451" s="1212"/>
      <c r="E2451" s="1218" t="s">
        <v>161</v>
      </c>
      <c r="F2451" s="1218" t="s">
        <v>161</v>
      </c>
      <c r="G2451" s="1217" t="s">
        <v>162</v>
      </c>
      <c r="H2451" s="1205" t="s">
        <v>2321</v>
      </c>
    </row>
    <row r="2452" spans="1:8" hidden="1">
      <c r="A2452" s="1212"/>
      <c r="B2452" s="1212"/>
      <c r="C2452" s="1754" t="s">
        <v>1274</v>
      </c>
      <c r="D2452" s="1212"/>
      <c r="E2452" s="1213">
        <f>G2450</f>
        <v>27473.43</v>
      </c>
      <c r="F2452" s="1213">
        <f>G2450</f>
        <v>27473.43</v>
      </c>
      <c r="G2452" s="1215">
        <f>G2450</f>
        <v>27473.43</v>
      </c>
      <c r="H2452" s="1205" t="s">
        <v>2321</v>
      </c>
    </row>
    <row r="2453" spans="1:8" hidden="1">
      <c r="A2453" s="1212"/>
      <c r="B2453" s="1212"/>
      <c r="C2453" s="1752" t="s">
        <v>1350</v>
      </c>
      <c r="D2453" s="1212"/>
      <c r="E2453" s="1213"/>
      <c r="F2453" s="1215">
        <f>ROUND((G2446+G2447+G2448)*0.1,2)</f>
        <v>419.3</v>
      </c>
      <c r="G2453" s="1215">
        <f>ROUND((G2446+G2447+G2448)*0.2,2)</f>
        <v>838.6</v>
      </c>
      <c r="H2453" s="1205" t="s">
        <v>2321</v>
      </c>
    </row>
    <row r="2454" spans="1:8" hidden="1">
      <c r="A2454" s="1212"/>
      <c r="B2454" s="1212"/>
      <c r="C2454" s="1754" t="s">
        <v>88</v>
      </c>
      <c r="D2454" s="1212"/>
      <c r="E2454" s="1213">
        <f>SUM(E2452:E2453)</f>
        <v>27473.43</v>
      </c>
      <c r="F2454" s="1213">
        <f>SUM(F2452:F2453)</f>
        <v>27892.73</v>
      </c>
      <c r="G2454" s="1215">
        <f>SUM(G2452:G2453)</f>
        <v>28312.03</v>
      </c>
      <c r="H2454" s="1205" t="s">
        <v>2321</v>
      </c>
    </row>
    <row r="2455" spans="1:8" hidden="1">
      <c r="A2455" s="1212"/>
      <c r="B2455" s="1212"/>
      <c r="C2455" s="1754" t="s">
        <v>121</v>
      </c>
      <c r="D2455" s="1212"/>
      <c r="E2455" s="1217">
        <f>ROUND(E2454/10,2)</f>
        <v>2747.34</v>
      </c>
      <c r="F2455" s="1217">
        <f>ROUND(F2454/10,2)</f>
        <v>2789.27</v>
      </c>
      <c r="G2455" s="1222">
        <f>ROUND(G2454/10,2)</f>
        <v>2831.2</v>
      </c>
      <c r="H2455" s="1205" t="s">
        <v>2321</v>
      </c>
    </row>
    <row r="2456" spans="1:8" ht="38.25" hidden="1">
      <c r="A2456" s="1156">
        <v>41</v>
      </c>
      <c r="B2456" s="1218"/>
      <c r="C2456" s="1752" t="s">
        <v>937</v>
      </c>
      <c r="D2456" s="1212"/>
      <c r="E2456" s="1212"/>
      <c r="F2456" s="1212"/>
      <c r="G2456" s="1169"/>
      <c r="H2456" s="1205" t="s">
        <v>2321</v>
      </c>
    </row>
    <row r="2457" spans="1:8" hidden="1">
      <c r="A2457" s="1169"/>
      <c r="B2457" s="1169"/>
      <c r="C2457" s="1752" t="s">
        <v>938</v>
      </c>
      <c r="D2457" s="1156" t="s">
        <v>277</v>
      </c>
      <c r="E2457" s="1166">
        <v>1</v>
      </c>
      <c r="F2457" s="1221">
        <f>'MINI SSR 21-22'!C46</f>
        <v>438</v>
      </c>
      <c r="G2457" s="1214">
        <f>ROUND(E2457*F2457,2)</f>
        <v>438</v>
      </c>
      <c r="H2457" s="1205" t="s">
        <v>2321</v>
      </c>
    </row>
    <row r="2458" spans="1:8" hidden="1">
      <c r="A2458" s="1169"/>
      <c r="B2458" s="1169"/>
      <c r="C2458" s="1754" t="s">
        <v>377</v>
      </c>
      <c r="D2458" s="1156"/>
      <c r="E2458" s="1221"/>
      <c r="F2458" s="1221"/>
      <c r="G2458" s="1220">
        <f>SUM(G2457:G2457)</f>
        <v>438</v>
      </c>
      <c r="H2458" s="1205" t="s">
        <v>2321</v>
      </c>
    </row>
    <row r="2459" spans="1:8" ht="140.25" hidden="1">
      <c r="A2459" s="1156">
        <v>43</v>
      </c>
      <c r="B2459" s="1218" t="s">
        <v>674</v>
      </c>
      <c r="C2459" s="1752" t="s">
        <v>673</v>
      </c>
      <c r="D2459" s="1212"/>
      <c r="E2459" s="1212"/>
      <c r="F2459" s="1212"/>
      <c r="G2459" s="1218"/>
      <c r="H2459" s="1205" t="s">
        <v>2321</v>
      </c>
    </row>
    <row r="2460" spans="1:8" hidden="1">
      <c r="A2460" s="1156"/>
      <c r="B2460" s="1218"/>
      <c r="C2460" s="1754" t="s">
        <v>42</v>
      </c>
      <c r="D2460" s="1212"/>
      <c r="E2460" s="1212"/>
      <c r="F2460" s="1212"/>
      <c r="G2460" s="1215"/>
      <c r="H2460" s="1205" t="s">
        <v>2321</v>
      </c>
    </row>
    <row r="2461" spans="1:8" hidden="1">
      <c r="A2461" s="1156"/>
      <c r="B2461" s="1218"/>
      <c r="C2461" s="1754" t="s">
        <v>60</v>
      </c>
      <c r="D2461" s="1212"/>
      <c r="E2461" s="1212"/>
      <c r="F2461" s="1212"/>
      <c r="G2461" s="1215"/>
      <c r="H2461" s="1205" t="s">
        <v>2321</v>
      </c>
    </row>
    <row r="2462" spans="1:8" ht="25.5" hidden="1">
      <c r="A2462" s="1156"/>
      <c r="B2462" s="1218"/>
      <c r="C2462" s="1752" t="s">
        <v>677</v>
      </c>
      <c r="D2462" s="1212" t="s">
        <v>77</v>
      </c>
      <c r="E2462" s="1213">
        <v>10.5</v>
      </c>
      <c r="F2462" s="1213">
        <f>'MINI SSR 21-22'!C20</f>
        <v>266</v>
      </c>
      <c r="G2462" s="1214">
        <f>ROUND(E2462*F2462/1,2)</f>
        <v>2793</v>
      </c>
      <c r="H2462" s="1205" t="s">
        <v>2321</v>
      </c>
    </row>
    <row r="2463" spans="1:8" hidden="1">
      <c r="A2463" s="1156"/>
      <c r="B2463" s="1218"/>
      <c r="C2463" s="1752" t="s">
        <v>675</v>
      </c>
      <c r="D2463" s="1212" t="s">
        <v>4</v>
      </c>
      <c r="E2463" s="1213">
        <v>28.8</v>
      </c>
      <c r="F2463" s="1213">
        <f>F2442</f>
        <v>4700</v>
      </c>
      <c r="G2463" s="1214">
        <f>ROUND(E2463*F2463/1000,2)</f>
        <v>135.36000000000001</v>
      </c>
      <c r="H2463" s="1205" t="s">
        <v>2321</v>
      </c>
    </row>
    <row r="2464" spans="1:8" hidden="1">
      <c r="A2464" s="1156"/>
      <c r="B2464" s="1218"/>
      <c r="C2464" s="1752" t="s">
        <v>92</v>
      </c>
      <c r="D2464" s="1212" t="s">
        <v>4</v>
      </c>
      <c r="E2464" s="1213">
        <v>33</v>
      </c>
      <c r="F2464" s="1213">
        <f>F2463</f>
        <v>4700</v>
      </c>
      <c r="G2464" s="1214">
        <f>ROUND(E2464*F2464/1000,2)</f>
        <v>155.1</v>
      </c>
      <c r="H2464" s="1205" t="s">
        <v>2321</v>
      </c>
    </row>
    <row r="2465" spans="1:8" hidden="1">
      <c r="A2465" s="1156"/>
      <c r="B2465" s="1218"/>
      <c r="C2465" s="1752" t="s">
        <v>93</v>
      </c>
      <c r="D2465" s="1212" t="s">
        <v>4</v>
      </c>
      <c r="E2465" s="1213">
        <v>6</v>
      </c>
      <c r="F2465" s="1213">
        <f>F2464</f>
        <v>4700</v>
      </c>
      <c r="G2465" s="1214">
        <f>ROUND(E2465*F2465/1000,2)</f>
        <v>28.2</v>
      </c>
      <c r="H2465" s="1205" t="s">
        <v>2321</v>
      </c>
    </row>
    <row r="2466" spans="1:8" hidden="1">
      <c r="A2466" s="1156"/>
      <c r="B2466" s="1218"/>
      <c r="C2466" s="1752" t="s">
        <v>676</v>
      </c>
      <c r="D2466" s="1212" t="s">
        <v>35</v>
      </c>
      <c r="E2466" s="1213">
        <v>0.12</v>
      </c>
      <c r="F2466" s="1213">
        <f>'lead 21-22'!L12</f>
        <v>1743.4000000000019</v>
      </c>
      <c r="G2466" s="1214">
        <f>ROUND(E2466*F2466,2)</f>
        <v>209.21</v>
      </c>
      <c r="H2466" s="1205" t="s">
        <v>2321</v>
      </c>
    </row>
    <row r="2467" spans="1:8" hidden="1">
      <c r="A2467" s="1212"/>
      <c r="B2467" s="1212"/>
      <c r="C2467" s="1754" t="s">
        <v>68</v>
      </c>
      <c r="D2467" s="1212"/>
      <c r="E2467" s="1213"/>
      <c r="F2467" s="1213"/>
      <c r="G2467" s="1214"/>
      <c r="H2467" s="1205" t="s">
        <v>2321</v>
      </c>
    </row>
    <row r="2468" spans="1:8" hidden="1">
      <c r="A2468" s="1212"/>
      <c r="B2468" s="1212"/>
      <c r="C2468" s="1752" t="s">
        <v>69</v>
      </c>
      <c r="D2468" s="1212" t="s">
        <v>27</v>
      </c>
      <c r="E2468" s="1213">
        <v>0.96</v>
      </c>
      <c r="F2468" s="1216">
        <f>'MINI SSR 21-22'!$H$4</f>
        <v>525</v>
      </c>
      <c r="G2468" s="1214">
        <f>ROUND(E2468*F2468,2)</f>
        <v>504</v>
      </c>
      <c r="H2468" s="1205" t="s">
        <v>2321</v>
      </c>
    </row>
    <row r="2469" spans="1:8" hidden="1">
      <c r="A2469" s="1212"/>
      <c r="B2469" s="1212"/>
      <c r="C2469" s="1752" t="s">
        <v>218</v>
      </c>
      <c r="D2469" s="1212" t="s">
        <v>27</v>
      </c>
      <c r="E2469" s="1213">
        <v>2.2400000000000002</v>
      </c>
      <c r="F2469" s="1216">
        <f>'MINI SSR 21-22'!$H$5</f>
        <v>490</v>
      </c>
      <c r="G2469" s="1214">
        <f>ROUND(E2469*F2469,2)</f>
        <v>1097.5999999999999</v>
      </c>
      <c r="H2469" s="1205" t="s">
        <v>2321</v>
      </c>
    </row>
    <row r="2470" spans="1:8" hidden="1">
      <c r="A2470" s="1212"/>
      <c r="B2470" s="1212"/>
      <c r="C2470" s="1752" t="s">
        <v>85</v>
      </c>
      <c r="D2470" s="1212" t="s">
        <v>27</v>
      </c>
      <c r="E2470" s="1213">
        <v>3.3</v>
      </c>
      <c r="F2470" s="1216">
        <f>'MINI SSR 21-22'!$H$5</f>
        <v>490</v>
      </c>
      <c r="G2470" s="1214">
        <f>ROUND(E2470*F2470,2)</f>
        <v>1617</v>
      </c>
      <c r="H2470" s="1205" t="s">
        <v>2321</v>
      </c>
    </row>
    <row r="2471" spans="1:8" hidden="1">
      <c r="A2471" s="1212"/>
      <c r="B2471" s="1212"/>
      <c r="C2471" s="1754" t="s">
        <v>88</v>
      </c>
      <c r="D2471" s="1212"/>
      <c r="E2471" s="1212"/>
      <c r="F2471" s="1212"/>
      <c r="G2471" s="1222">
        <f>SUM(G2462:G2470)</f>
        <v>6539.4699999999993</v>
      </c>
      <c r="H2471" s="1205" t="s">
        <v>2321</v>
      </c>
    </row>
    <row r="2472" spans="1:8" hidden="1">
      <c r="A2472" s="1212"/>
      <c r="B2472" s="1212"/>
      <c r="C2472" s="1754"/>
      <c r="D2472" s="1212"/>
      <c r="E2472" s="1218" t="s">
        <v>161</v>
      </c>
      <c r="F2472" s="1218" t="s">
        <v>162</v>
      </c>
      <c r="G2472" s="1217" t="s">
        <v>163</v>
      </c>
      <c r="H2472" s="1205" t="s">
        <v>2321</v>
      </c>
    </row>
    <row r="2473" spans="1:8" hidden="1">
      <c r="A2473" s="1212"/>
      <c r="B2473" s="1212"/>
      <c r="C2473" s="1754" t="s">
        <v>1274</v>
      </c>
      <c r="D2473" s="1212"/>
      <c r="E2473" s="1213">
        <f>G2471</f>
        <v>6539.4699999999993</v>
      </c>
      <c r="F2473" s="1213">
        <f>G2471</f>
        <v>6539.4699999999993</v>
      </c>
      <c r="G2473" s="1215">
        <f>G2471</f>
        <v>6539.4699999999993</v>
      </c>
      <c r="H2473" s="1205" t="s">
        <v>2321</v>
      </c>
    </row>
    <row r="2474" spans="1:8" ht="25.5" hidden="1">
      <c r="A2474" s="1212"/>
      <c r="B2474" s="1212"/>
      <c r="C2474" s="1752" t="s">
        <v>1286</v>
      </c>
      <c r="D2474" s="1212"/>
      <c r="E2474" s="1213"/>
      <c r="F2474" s="1215">
        <f>ROUND((G2469+G2468+G2470)*0.1,2)</f>
        <v>321.86</v>
      </c>
      <c r="G2474" s="1215">
        <f>ROUND((G2470+G2468+G2469)*0.2,2)</f>
        <v>643.72</v>
      </c>
      <c r="H2474" s="1205" t="s">
        <v>2321</v>
      </c>
    </row>
    <row r="2475" spans="1:8" hidden="1">
      <c r="A2475" s="1212"/>
      <c r="B2475" s="1212"/>
      <c r="C2475" s="1754" t="s">
        <v>88</v>
      </c>
      <c r="D2475" s="1212"/>
      <c r="E2475" s="1213">
        <f>SUM(E2473:E2474)</f>
        <v>6539.4699999999993</v>
      </c>
      <c r="F2475" s="1213">
        <f>SUM(F2473:F2474)</f>
        <v>6861.329999999999</v>
      </c>
      <c r="G2475" s="1215">
        <f>SUM(G2473:G2474)</f>
        <v>7183.19</v>
      </c>
      <c r="H2475" s="1205" t="s">
        <v>2321</v>
      </c>
    </row>
    <row r="2476" spans="1:8" hidden="1">
      <c r="A2476" s="1212"/>
      <c r="B2476" s="1212"/>
      <c r="C2476" s="1754" t="s">
        <v>121</v>
      </c>
      <c r="D2476" s="1212"/>
      <c r="E2476" s="1217">
        <f>ROUND(E2475/10,2)</f>
        <v>653.95000000000005</v>
      </c>
      <c r="F2476" s="1217">
        <f>ROUND(F2475/10,2)</f>
        <v>686.13</v>
      </c>
      <c r="G2476" s="1222">
        <f>ROUND(G2475/10,2)</f>
        <v>718.32</v>
      </c>
      <c r="H2476" s="1205" t="s">
        <v>2321</v>
      </c>
    </row>
    <row r="2477" spans="1:8" ht="127.5" hidden="1">
      <c r="A2477" s="1156">
        <v>44</v>
      </c>
      <c r="B2477" s="1218" t="s">
        <v>199</v>
      </c>
      <c r="C2477" s="1752" t="s">
        <v>679</v>
      </c>
      <c r="D2477" s="1212"/>
      <c r="E2477" s="1212"/>
      <c r="F2477" s="1212"/>
      <c r="G2477" s="1218"/>
      <c r="H2477" s="1205" t="s">
        <v>2321</v>
      </c>
    </row>
    <row r="2478" spans="1:8" hidden="1">
      <c r="A2478" s="1156"/>
      <c r="B2478" s="1218"/>
      <c r="C2478" s="1754" t="s">
        <v>42</v>
      </c>
      <c r="D2478" s="1212"/>
      <c r="E2478" s="1212"/>
      <c r="F2478" s="1212"/>
      <c r="G2478" s="1215"/>
      <c r="H2478" s="1205" t="s">
        <v>2321</v>
      </c>
    </row>
    <row r="2479" spans="1:8" hidden="1">
      <c r="A2479" s="1156"/>
      <c r="B2479" s="1218"/>
      <c r="C2479" s="1754" t="s">
        <v>60</v>
      </c>
      <c r="D2479" s="1212"/>
      <c r="E2479" s="1212"/>
      <c r="F2479" s="1212"/>
      <c r="G2479" s="1215"/>
      <c r="H2479" s="1205" t="s">
        <v>2321</v>
      </c>
    </row>
    <row r="2480" spans="1:8" ht="25.5" hidden="1">
      <c r="A2480" s="1156"/>
      <c r="B2480" s="1218"/>
      <c r="C2480" s="1752" t="s">
        <v>677</v>
      </c>
      <c r="D2480" s="1212" t="s">
        <v>77</v>
      </c>
      <c r="E2480" s="1213">
        <v>10.5</v>
      </c>
      <c r="F2480" s="1213">
        <f>'MINI SSR 21-22'!C20</f>
        <v>266</v>
      </c>
      <c r="G2480" s="1214">
        <f>ROUND(E2480*F2480/1,2)</f>
        <v>2793</v>
      </c>
      <c r="H2480" s="1205" t="s">
        <v>2321</v>
      </c>
    </row>
    <row r="2481" spans="1:8" hidden="1">
      <c r="A2481" s="1156"/>
      <c r="B2481" s="1218"/>
      <c r="C2481" s="1752" t="s">
        <v>200</v>
      </c>
      <c r="D2481" s="1212" t="s">
        <v>35</v>
      </c>
      <c r="E2481" s="1213">
        <v>0.12</v>
      </c>
      <c r="F2481" s="1213">
        <f>F2466</f>
        <v>1743.4000000000019</v>
      </c>
      <c r="G2481" s="1214">
        <f>ROUND(E2481*F2481,2)</f>
        <v>209.21</v>
      </c>
      <c r="H2481" s="1205" t="s">
        <v>2321</v>
      </c>
    </row>
    <row r="2482" spans="1:8" hidden="1">
      <c r="A2482" s="1156"/>
      <c r="B2482" s="1218"/>
      <c r="C2482" s="1752" t="s">
        <v>201</v>
      </c>
      <c r="D2482" s="1212" t="s">
        <v>4</v>
      </c>
      <c r="E2482" s="1213">
        <v>34.56</v>
      </c>
      <c r="F2482" s="1213">
        <f>F2463</f>
        <v>4700</v>
      </c>
      <c r="G2482" s="1214">
        <f>ROUND(E2482*F2482/1000,2)</f>
        <v>162.43</v>
      </c>
      <c r="H2482" s="1205" t="s">
        <v>2321</v>
      </c>
    </row>
    <row r="2483" spans="1:8" hidden="1">
      <c r="A2483" s="1156"/>
      <c r="B2483" s="1218"/>
      <c r="C2483" s="1752" t="s">
        <v>202</v>
      </c>
      <c r="D2483" s="1212" t="s">
        <v>4</v>
      </c>
      <c r="E2483" s="1213">
        <v>33</v>
      </c>
      <c r="F2483" s="1213">
        <f>F2482</f>
        <v>4700</v>
      </c>
      <c r="G2483" s="1214">
        <f>ROUND(E2483*F2483/1000,2)</f>
        <v>155.1</v>
      </c>
      <c r="H2483" s="1205" t="s">
        <v>2321</v>
      </c>
    </row>
    <row r="2484" spans="1:8" hidden="1">
      <c r="A2484" s="1156"/>
      <c r="B2484" s="1218"/>
      <c r="C2484" s="1752" t="s">
        <v>204</v>
      </c>
      <c r="D2484" s="1212" t="s">
        <v>4</v>
      </c>
      <c r="E2484" s="1213">
        <v>2</v>
      </c>
      <c r="F2484" s="1213">
        <f>'MINI SSR 21-22'!C45</f>
        <v>27.95</v>
      </c>
      <c r="G2484" s="1214">
        <f>ROUND(E2484*F2484,2)</f>
        <v>55.9</v>
      </c>
      <c r="H2484" s="1205" t="s">
        <v>2321</v>
      </c>
    </row>
    <row r="2485" spans="1:8" hidden="1">
      <c r="A2485" s="1212"/>
      <c r="B2485" s="1212"/>
      <c r="C2485" s="1754" t="s">
        <v>68</v>
      </c>
      <c r="D2485" s="1212"/>
      <c r="E2485" s="1213"/>
      <c r="F2485" s="1213"/>
      <c r="G2485" s="1214"/>
      <c r="H2485" s="1205" t="s">
        <v>2321</v>
      </c>
    </row>
    <row r="2486" spans="1:8" hidden="1">
      <c r="A2486" s="1212"/>
      <c r="B2486" s="1212"/>
      <c r="C2486" s="1752" t="s">
        <v>64</v>
      </c>
      <c r="D2486" s="1212" t="s">
        <v>27</v>
      </c>
      <c r="E2486" s="1213">
        <v>0.96</v>
      </c>
      <c r="F2486" s="1216">
        <f>'MINI SSR 21-22'!$H$3</f>
        <v>585</v>
      </c>
      <c r="G2486" s="1214">
        <f>ROUND(E2486*F2486,2)</f>
        <v>561.6</v>
      </c>
      <c r="H2486" s="1205" t="s">
        <v>2321</v>
      </c>
    </row>
    <row r="2487" spans="1:8" hidden="1">
      <c r="A2487" s="1212"/>
      <c r="B2487" s="1212"/>
      <c r="C2487" s="1752" t="s">
        <v>69</v>
      </c>
      <c r="D2487" s="1212" t="s">
        <v>27</v>
      </c>
      <c r="E2487" s="1213">
        <v>2.2400000000000002</v>
      </c>
      <c r="F2487" s="1216">
        <f>'MINI SSR 21-22'!$H$4</f>
        <v>525</v>
      </c>
      <c r="G2487" s="1214">
        <f>ROUND(E2487*F2487,2)</f>
        <v>1176</v>
      </c>
      <c r="H2487" s="1205" t="s">
        <v>2321</v>
      </c>
    </row>
    <row r="2488" spans="1:8" hidden="1">
      <c r="A2488" s="1212"/>
      <c r="B2488" s="1212"/>
      <c r="C2488" s="1752" t="s">
        <v>85</v>
      </c>
      <c r="D2488" s="1212" t="s">
        <v>27</v>
      </c>
      <c r="E2488" s="1213">
        <v>3.3</v>
      </c>
      <c r="F2488" s="1216">
        <f>'MINI SSR 21-22'!$H$5</f>
        <v>490</v>
      </c>
      <c r="G2488" s="1214">
        <f>ROUND(E2488*F2488,2)</f>
        <v>1617</v>
      </c>
      <c r="H2488" s="1205" t="s">
        <v>2321</v>
      </c>
    </row>
    <row r="2489" spans="1:8" hidden="1">
      <c r="A2489" s="1212"/>
      <c r="B2489" s="1212"/>
      <c r="C2489" s="1754" t="s">
        <v>88</v>
      </c>
      <c r="D2489" s="1212"/>
      <c r="E2489" s="1212"/>
      <c r="F2489" s="1212"/>
      <c r="G2489" s="1222">
        <f>SUM(G2480:G2488)</f>
        <v>6730.24</v>
      </c>
      <c r="H2489" s="1205" t="s">
        <v>2321</v>
      </c>
    </row>
    <row r="2490" spans="1:8" hidden="1">
      <c r="A2490" s="1212"/>
      <c r="B2490" s="1212"/>
      <c r="C2490" s="1754"/>
      <c r="D2490" s="1212"/>
      <c r="E2490" s="1218" t="s">
        <v>161</v>
      </c>
      <c r="F2490" s="1218" t="s">
        <v>162</v>
      </c>
      <c r="G2490" s="1217" t="s">
        <v>163</v>
      </c>
      <c r="H2490" s="1205" t="s">
        <v>2321</v>
      </c>
    </row>
    <row r="2491" spans="1:8" hidden="1">
      <c r="A2491" s="1212"/>
      <c r="B2491" s="1212"/>
      <c r="C2491" s="1754" t="s">
        <v>1275</v>
      </c>
      <c r="D2491" s="1212"/>
      <c r="E2491" s="1213">
        <f>G2489</f>
        <v>6730.24</v>
      </c>
      <c r="F2491" s="1213">
        <f>G2489</f>
        <v>6730.24</v>
      </c>
      <c r="G2491" s="1215">
        <f>G2489</f>
        <v>6730.24</v>
      </c>
      <c r="H2491" s="1205" t="s">
        <v>2321</v>
      </c>
    </row>
    <row r="2492" spans="1:8" ht="25.5" hidden="1">
      <c r="A2492" s="1212"/>
      <c r="B2492" s="1212"/>
      <c r="C2492" s="1752" t="s">
        <v>170</v>
      </c>
      <c r="D2492" s="1212"/>
      <c r="E2492" s="1213"/>
      <c r="F2492" s="1215">
        <f>ROUND((G2487+G2486+G2488)*0.1,2)</f>
        <v>335.46</v>
      </c>
      <c r="G2492" s="1215">
        <f>ROUND((G2488+G2486+G2487)*0.2,2)</f>
        <v>670.92</v>
      </c>
      <c r="H2492" s="1205" t="s">
        <v>2321</v>
      </c>
    </row>
    <row r="2493" spans="1:8" hidden="1">
      <c r="A2493" s="1212"/>
      <c r="B2493" s="1212"/>
      <c r="C2493" s="1754" t="s">
        <v>194</v>
      </c>
      <c r="D2493" s="1212"/>
      <c r="E2493" s="1213">
        <f>SUM(E2491:E2492)</f>
        <v>6730.24</v>
      </c>
      <c r="F2493" s="1213">
        <f>SUM(F2491:F2492)</f>
        <v>7065.7</v>
      </c>
      <c r="G2493" s="1215">
        <f>SUM(G2491:G2492)</f>
        <v>7401.16</v>
      </c>
      <c r="H2493" s="1205" t="s">
        <v>2321</v>
      </c>
    </row>
    <row r="2494" spans="1:8" hidden="1">
      <c r="A2494" s="1212"/>
      <c r="B2494" s="1212"/>
      <c r="C2494" s="1754" t="s">
        <v>181</v>
      </c>
      <c r="D2494" s="1212"/>
      <c r="E2494" s="1217">
        <f>ROUND(E2493/10,2)</f>
        <v>673.02</v>
      </c>
      <c r="F2494" s="1217">
        <f>ROUND(F2493/10,2)</f>
        <v>706.57</v>
      </c>
      <c r="G2494" s="1222">
        <f>ROUND(G2493/10,2)</f>
        <v>740.12</v>
      </c>
      <c r="H2494" s="1205" t="s">
        <v>2321</v>
      </c>
    </row>
    <row r="2495" spans="1:8" ht="165.75" hidden="1">
      <c r="A2495" s="1156">
        <v>36</v>
      </c>
      <c r="B2495" s="1218" t="s">
        <v>195</v>
      </c>
      <c r="C2495" s="1752" t="s">
        <v>212</v>
      </c>
      <c r="D2495" s="1212"/>
      <c r="E2495" s="1212"/>
      <c r="F2495" s="1212"/>
      <c r="G2495" s="1218"/>
      <c r="H2495" s="1205" t="s">
        <v>2321</v>
      </c>
    </row>
    <row r="2496" spans="1:8" hidden="1">
      <c r="A2496" s="1156"/>
      <c r="B2496" s="1218"/>
      <c r="C2496" s="1754" t="s">
        <v>42</v>
      </c>
      <c r="D2496" s="1212"/>
      <c r="E2496" s="1212"/>
      <c r="F2496" s="1212"/>
      <c r="G2496" s="1215"/>
      <c r="H2496" s="1205" t="s">
        <v>2321</v>
      </c>
    </row>
    <row r="2497" spans="1:8" hidden="1">
      <c r="A2497" s="1156"/>
      <c r="B2497" s="1218"/>
      <c r="C2497" s="1754" t="s">
        <v>60</v>
      </c>
      <c r="D2497" s="1212"/>
      <c r="E2497" s="1212"/>
      <c r="F2497" s="1212"/>
      <c r="G2497" s="1215"/>
      <c r="H2497" s="1205" t="s">
        <v>2321</v>
      </c>
    </row>
    <row r="2498" spans="1:8" hidden="1">
      <c r="A2498" s="1156"/>
      <c r="B2498" s="1218"/>
      <c r="C2498" s="1752" t="s">
        <v>203</v>
      </c>
      <c r="D2498" s="1212" t="s">
        <v>77</v>
      </c>
      <c r="E2498" s="1213">
        <v>10.5</v>
      </c>
      <c r="F2498" s="1213">
        <f>'MINI SSR 21-22'!C21</f>
        <v>612</v>
      </c>
      <c r="G2498" s="1214">
        <f>ROUND(E2498*F2498,2)</f>
        <v>6426</v>
      </c>
      <c r="H2498" s="1205" t="s">
        <v>2321</v>
      </c>
    </row>
    <row r="2499" spans="1:8" hidden="1">
      <c r="A2499" s="1156"/>
      <c r="B2499" s="1218"/>
      <c r="C2499" s="1752" t="s">
        <v>91</v>
      </c>
      <c r="D2499" s="1212" t="s">
        <v>4</v>
      </c>
      <c r="E2499" s="1213">
        <v>21.6</v>
      </c>
      <c r="F2499" s="1213">
        <f>'lead 21-22'!L8</f>
        <v>4700</v>
      </c>
      <c r="G2499" s="1214">
        <f>ROUND(E2499*F2499/1000,2)</f>
        <v>101.52</v>
      </c>
      <c r="H2499" s="1205" t="s">
        <v>2321</v>
      </c>
    </row>
    <row r="2500" spans="1:8" hidden="1">
      <c r="A2500" s="1156"/>
      <c r="B2500" s="1218"/>
      <c r="C2500" s="1752" t="s">
        <v>92</v>
      </c>
      <c r="D2500" s="1212" t="s">
        <v>4</v>
      </c>
      <c r="E2500" s="1213">
        <v>33</v>
      </c>
      <c r="F2500" s="1213">
        <f>F2499</f>
        <v>4700</v>
      </c>
      <c r="G2500" s="1214">
        <f>ROUND(E2500*F2500/1000,2)</f>
        <v>155.1</v>
      </c>
      <c r="H2500" s="1205" t="s">
        <v>2321</v>
      </c>
    </row>
    <row r="2501" spans="1:8" hidden="1">
      <c r="A2501" s="1156"/>
      <c r="B2501" s="1218"/>
      <c r="C2501" s="1752" t="s">
        <v>196</v>
      </c>
      <c r="D2501" s="1212" t="s">
        <v>4</v>
      </c>
      <c r="E2501" s="1213">
        <v>6</v>
      </c>
      <c r="F2501" s="1213">
        <f>F2500</f>
        <v>4700</v>
      </c>
      <c r="G2501" s="1214">
        <f>ROUND(E2501*F2501/1000,2)</f>
        <v>28.2</v>
      </c>
      <c r="H2501" s="1205" t="s">
        <v>2321</v>
      </c>
    </row>
    <row r="2502" spans="1:8" hidden="1">
      <c r="A2502" s="1156"/>
      <c r="B2502" s="1218"/>
      <c r="C2502" s="1752" t="s">
        <v>197</v>
      </c>
      <c r="D2502" s="1212" t="s">
        <v>35</v>
      </c>
      <c r="E2502" s="1213">
        <v>0.12</v>
      </c>
      <c r="F2502" s="1213">
        <f>'lead 21-22'!L12</f>
        <v>1743.4000000000019</v>
      </c>
      <c r="G2502" s="1214">
        <f>ROUND(E2502*F2502,2)</f>
        <v>209.21</v>
      </c>
      <c r="H2502" s="1205" t="s">
        <v>2321</v>
      </c>
    </row>
    <row r="2503" spans="1:8" hidden="1">
      <c r="A2503" s="1156"/>
      <c r="B2503" s="1218"/>
      <c r="C2503" s="1752" t="s">
        <v>198</v>
      </c>
      <c r="D2503" s="1212" t="s">
        <v>35</v>
      </c>
      <c r="E2503" s="1213">
        <v>0.02</v>
      </c>
      <c r="F2503" s="1213">
        <f>F2502</f>
        <v>1743.4000000000019</v>
      </c>
      <c r="G2503" s="1214">
        <f>ROUND(E2503*F2503,2)</f>
        <v>34.869999999999997</v>
      </c>
      <c r="H2503" s="1205" t="s">
        <v>2321</v>
      </c>
    </row>
    <row r="2504" spans="1:8" hidden="1">
      <c r="A2504" s="1212"/>
      <c r="B2504" s="1212"/>
      <c r="C2504" s="1754" t="s">
        <v>68</v>
      </c>
      <c r="D2504" s="1212"/>
      <c r="E2504" s="1213"/>
      <c r="F2504" s="1213"/>
      <c r="G2504" s="1214"/>
      <c r="H2504" s="1205" t="s">
        <v>2321</v>
      </c>
    </row>
    <row r="2505" spans="1:8" hidden="1">
      <c r="A2505" s="1212"/>
      <c r="B2505" s="1212"/>
      <c r="C2505" s="1752" t="s">
        <v>64</v>
      </c>
      <c r="D2505" s="1212" t="s">
        <v>27</v>
      </c>
      <c r="E2505" s="1213">
        <v>0.96</v>
      </c>
      <c r="F2505" s="1216">
        <f>'MINI SSR 21-22'!$H$3</f>
        <v>585</v>
      </c>
      <c r="G2505" s="1214">
        <f>ROUND(E2505*F2505,2)</f>
        <v>561.6</v>
      </c>
      <c r="H2505" s="1205" t="s">
        <v>2321</v>
      </c>
    </row>
    <row r="2506" spans="1:8" hidden="1">
      <c r="A2506" s="1212"/>
      <c r="B2506" s="1212"/>
      <c r="C2506" s="1752" t="s">
        <v>69</v>
      </c>
      <c r="D2506" s="1212" t="s">
        <v>27</v>
      </c>
      <c r="E2506" s="1213">
        <v>2.2400000000000002</v>
      </c>
      <c r="F2506" s="1216">
        <f>'MINI SSR 21-22'!$H$4</f>
        <v>525</v>
      </c>
      <c r="G2506" s="1214">
        <f>ROUND(E2506*F2506,2)</f>
        <v>1176</v>
      </c>
      <c r="H2506" s="1205" t="s">
        <v>2321</v>
      </c>
    </row>
    <row r="2507" spans="1:8" hidden="1">
      <c r="A2507" s="1212"/>
      <c r="B2507" s="1212"/>
      <c r="C2507" s="1752" t="s">
        <v>85</v>
      </c>
      <c r="D2507" s="1212" t="s">
        <v>27</v>
      </c>
      <c r="E2507" s="1213">
        <v>3.3</v>
      </c>
      <c r="F2507" s="1216">
        <f>'MINI SSR 21-22'!$H$5</f>
        <v>490</v>
      </c>
      <c r="G2507" s="1214">
        <f>ROUND(E2507*F2507,2)</f>
        <v>1617</v>
      </c>
      <c r="H2507" s="1205" t="s">
        <v>2321</v>
      </c>
    </row>
    <row r="2508" spans="1:8" hidden="1">
      <c r="A2508" s="1212"/>
      <c r="B2508" s="1212"/>
      <c r="C2508" s="1752" t="s">
        <v>1221</v>
      </c>
      <c r="D2508" s="1212"/>
      <c r="E2508" s="1213">
        <v>0.01</v>
      </c>
      <c r="F2508" s="1213">
        <f>SUM(G2498:G2507)</f>
        <v>10309.5</v>
      </c>
      <c r="G2508" s="1214">
        <f>ROUND(E2508*F2508,2)</f>
        <v>103.1</v>
      </c>
      <c r="H2508" s="1205" t="s">
        <v>2321</v>
      </c>
    </row>
    <row r="2509" spans="1:8" hidden="1">
      <c r="A2509" s="1212"/>
      <c r="B2509" s="1212"/>
      <c r="C2509" s="1754" t="s">
        <v>88</v>
      </c>
      <c r="D2509" s="1212"/>
      <c r="E2509" s="1212"/>
      <c r="F2509" s="1212"/>
      <c r="G2509" s="1222">
        <f>SUM(G2498:G2508)</f>
        <v>10412.6</v>
      </c>
      <c r="H2509" s="1205" t="s">
        <v>2321</v>
      </c>
    </row>
    <row r="2510" spans="1:8" hidden="1">
      <c r="A2510" s="1212"/>
      <c r="B2510" s="1212"/>
      <c r="C2510" s="1754"/>
      <c r="D2510" s="1212"/>
      <c r="E2510" s="1218" t="s">
        <v>161</v>
      </c>
      <c r="F2510" s="1218" t="s">
        <v>162</v>
      </c>
      <c r="G2510" s="1217" t="s">
        <v>163</v>
      </c>
      <c r="H2510" s="1205" t="s">
        <v>2321</v>
      </c>
    </row>
    <row r="2511" spans="1:8" hidden="1">
      <c r="A2511" s="1212"/>
      <c r="B2511" s="1212"/>
      <c r="C2511" s="1754" t="s">
        <v>1275</v>
      </c>
      <c r="D2511" s="1212"/>
      <c r="E2511" s="1213">
        <f>G2509</f>
        <v>10412.6</v>
      </c>
      <c r="F2511" s="1213">
        <f>G2509</f>
        <v>10412.6</v>
      </c>
      <c r="G2511" s="1215">
        <f>G2509</f>
        <v>10412.6</v>
      </c>
      <c r="H2511" s="1205" t="s">
        <v>2321</v>
      </c>
    </row>
    <row r="2512" spans="1:8" ht="25.5" hidden="1">
      <c r="A2512" s="1212"/>
      <c r="B2512" s="1212"/>
      <c r="C2512" s="1752" t="s">
        <v>170</v>
      </c>
      <c r="D2512" s="1212"/>
      <c r="E2512" s="1212"/>
      <c r="F2512" s="1213">
        <f>ROUND((G2505+G2506+G2507)*0.1,2)</f>
        <v>335.46</v>
      </c>
      <c r="G2512" s="1225">
        <f>ROUND((G2505+G2506+G2507)*0.2,2)</f>
        <v>670.92</v>
      </c>
      <c r="H2512" s="1205" t="s">
        <v>2321</v>
      </c>
    </row>
    <row r="2513" spans="1:8" hidden="1">
      <c r="A2513" s="1212"/>
      <c r="B2513" s="1212"/>
      <c r="C2513" s="1754" t="s">
        <v>194</v>
      </c>
      <c r="D2513" s="1212"/>
      <c r="E2513" s="1217">
        <f>SUM(E2511:E2512)</f>
        <v>10412.6</v>
      </c>
      <c r="F2513" s="1217">
        <f>SUM(F2511:F2512)</f>
        <v>10748.06</v>
      </c>
      <c r="G2513" s="1222">
        <f>SUM(G2511:G2512)</f>
        <v>11083.52</v>
      </c>
      <c r="H2513" s="1205" t="s">
        <v>2321</v>
      </c>
    </row>
    <row r="2514" spans="1:8" hidden="1">
      <c r="A2514" s="1212"/>
      <c r="B2514" s="1212"/>
      <c r="C2514" s="1754" t="s">
        <v>181</v>
      </c>
      <c r="D2514" s="1212"/>
      <c r="E2514" s="1217">
        <f>ROUND(E2513/10,2)</f>
        <v>1041.26</v>
      </c>
      <c r="F2514" s="1217">
        <f>ROUND(F2513/10,2)</f>
        <v>1074.81</v>
      </c>
      <c r="G2514" s="1222">
        <f>ROUND(G2513/10,2)</f>
        <v>1108.3499999999999</v>
      </c>
      <c r="H2514" s="1205" t="s">
        <v>2321</v>
      </c>
    </row>
    <row r="2515" spans="1:8" ht="127.5" hidden="1">
      <c r="A2515" s="1156">
        <v>37</v>
      </c>
      <c r="B2515" s="1218" t="s">
        <v>199</v>
      </c>
      <c r="C2515" s="1752" t="s">
        <v>213</v>
      </c>
      <c r="D2515" s="1212"/>
      <c r="E2515" s="1212"/>
      <c r="F2515" s="1212"/>
      <c r="G2515" s="1218"/>
      <c r="H2515" s="1205" t="s">
        <v>2321</v>
      </c>
    </row>
    <row r="2516" spans="1:8" hidden="1">
      <c r="A2516" s="1156"/>
      <c r="B2516" s="1218"/>
      <c r="C2516" s="1754" t="s">
        <v>42</v>
      </c>
      <c r="D2516" s="1212"/>
      <c r="E2516" s="1212"/>
      <c r="F2516" s="1212"/>
      <c r="G2516" s="1215"/>
      <c r="H2516" s="1205" t="s">
        <v>2321</v>
      </c>
    </row>
    <row r="2517" spans="1:8" hidden="1">
      <c r="A2517" s="1156"/>
      <c r="B2517" s="1218"/>
      <c r="C2517" s="1754" t="s">
        <v>60</v>
      </c>
      <c r="D2517" s="1212"/>
      <c r="E2517" s="1212"/>
      <c r="F2517" s="1212"/>
      <c r="G2517" s="1215"/>
      <c r="H2517" s="1205" t="s">
        <v>2321</v>
      </c>
    </row>
    <row r="2518" spans="1:8" hidden="1">
      <c r="A2518" s="1156"/>
      <c r="B2518" s="1218"/>
      <c r="C2518" s="1752" t="s">
        <v>203</v>
      </c>
      <c r="D2518" s="1212" t="s">
        <v>77</v>
      </c>
      <c r="E2518" s="1213">
        <v>10.5</v>
      </c>
      <c r="F2518" s="1213">
        <f>'MINI SSR 21-22'!C21</f>
        <v>612</v>
      </c>
      <c r="G2518" s="1214">
        <f>ROUND(E2518*F2518,2)</f>
        <v>6426</v>
      </c>
      <c r="H2518" s="1205" t="s">
        <v>2321</v>
      </c>
    </row>
    <row r="2519" spans="1:8" hidden="1">
      <c r="A2519" s="1156"/>
      <c r="B2519" s="1218"/>
      <c r="C2519" s="1752" t="s">
        <v>200</v>
      </c>
      <c r="D2519" s="1212" t="s">
        <v>35</v>
      </c>
      <c r="E2519" s="1213">
        <v>0.12</v>
      </c>
      <c r="F2519" s="1213">
        <f>'lead 21-22'!L12</f>
        <v>1743.4000000000019</v>
      </c>
      <c r="G2519" s="1214">
        <f>ROUND(E2519*F2519,2)</f>
        <v>209.21</v>
      </c>
      <c r="H2519" s="1205" t="s">
        <v>2321</v>
      </c>
    </row>
    <row r="2520" spans="1:8" hidden="1">
      <c r="A2520" s="1156"/>
      <c r="B2520" s="1218"/>
      <c r="C2520" s="1752" t="s">
        <v>201</v>
      </c>
      <c r="D2520" s="1212" t="s">
        <v>4</v>
      </c>
      <c r="E2520" s="1213">
        <v>34.56</v>
      </c>
      <c r="F2520" s="1213">
        <f>'lead 21-22'!L8</f>
        <v>4700</v>
      </c>
      <c r="G2520" s="1214">
        <f>ROUND(E2520*F2520/1000,2)</f>
        <v>162.43</v>
      </c>
      <c r="H2520" s="1205" t="s">
        <v>2321</v>
      </c>
    </row>
    <row r="2521" spans="1:8" hidden="1">
      <c r="A2521" s="1156"/>
      <c r="B2521" s="1218"/>
      <c r="C2521" s="1752" t="s">
        <v>202</v>
      </c>
      <c r="D2521" s="1212" t="s">
        <v>4</v>
      </c>
      <c r="E2521" s="1213">
        <v>33</v>
      </c>
      <c r="F2521" s="1213">
        <f>F2520</f>
        <v>4700</v>
      </c>
      <c r="G2521" s="1214">
        <f>ROUND(E2521*F2521/1000,2)</f>
        <v>155.1</v>
      </c>
      <c r="H2521" s="1205" t="s">
        <v>2321</v>
      </c>
    </row>
    <row r="2522" spans="1:8" hidden="1">
      <c r="A2522" s="1156"/>
      <c r="B2522" s="1218"/>
      <c r="C2522" s="1752" t="s">
        <v>204</v>
      </c>
      <c r="D2522" s="1212" t="s">
        <v>4</v>
      </c>
      <c r="E2522" s="1213">
        <v>2</v>
      </c>
      <c r="F2522" s="1213">
        <f>'MINI SSR 21-22'!C45</f>
        <v>27.95</v>
      </c>
      <c r="G2522" s="1214">
        <f>ROUND(E2522*F2522,2)</f>
        <v>55.9</v>
      </c>
      <c r="H2522" s="1205" t="s">
        <v>2321</v>
      </c>
    </row>
    <row r="2523" spans="1:8" hidden="1">
      <c r="A2523" s="1212"/>
      <c r="B2523" s="1212"/>
      <c r="C2523" s="1754" t="s">
        <v>68</v>
      </c>
      <c r="D2523" s="1212"/>
      <c r="E2523" s="1213"/>
      <c r="F2523" s="1213"/>
      <c r="G2523" s="1214"/>
      <c r="H2523" s="1205" t="s">
        <v>2321</v>
      </c>
    </row>
    <row r="2524" spans="1:8" hidden="1">
      <c r="A2524" s="1212"/>
      <c r="B2524" s="1212"/>
      <c r="C2524" s="1752" t="s">
        <v>64</v>
      </c>
      <c r="D2524" s="1212" t="s">
        <v>27</v>
      </c>
      <c r="E2524" s="1213">
        <v>0.96</v>
      </c>
      <c r="F2524" s="1216">
        <f>'MINI SSR 21-22'!$H$3</f>
        <v>585</v>
      </c>
      <c r="G2524" s="1214">
        <f>ROUND(E2524*F2524,2)</f>
        <v>561.6</v>
      </c>
      <c r="H2524" s="1205" t="s">
        <v>2321</v>
      </c>
    </row>
    <row r="2525" spans="1:8" hidden="1">
      <c r="A2525" s="1212"/>
      <c r="B2525" s="1212"/>
      <c r="C2525" s="1752" t="s">
        <v>69</v>
      </c>
      <c r="D2525" s="1212" t="s">
        <v>27</v>
      </c>
      <c r="E2525" s="1213">
        <v>2.2400000000000002</v>
      </c>
      <c r="F2525" s="1216">
        <f>'MINI SSR 21-22'!$H$4</f>
        <v>525</v>
      </c>
      <c r="G2525" s="1214">
        <f>ROUND(E2525*F2525,2)</f>
        <v>1176</v>
      </c>
      <c r="H2525" s="1205" t="s">
        <v>2321</v>
      </c>
    </row>
    <row r="2526" spans="1:8" hidden="1">
      <c r="A2526" s="1212"/>
      <c r="B2526" s="1212"/>
      <c r="C2526" s="1752" t="s">
        <v>85</v>
      </c>
      <c r="D2526" s="1212" t="s">
        <v>27</v>
      </c>
      <c r="E2526" s="1213">
        <v>3.3</v>
      </c>
      <c r="F2526" s="1216">
        <f>'MINI SSR 21-22'!$H$5</f>
        <v>490</v>
      </c>
      <c r="G2526" s="1214">
        <f>ROUND(E2526*F2526,2)</f>
        <v>1617</v>
      </c>
      <c r="H2526" s="1205" t="s">
        <v>2321</v>
      </c>
    </row>
    <row r="2527" spans="1:8" hidden="1">
      <c r="A2527" s="1212"/>
      <c r="B2527" s="1212"/>
      <c r="C2527" s="1754" t="s">
        <v>88</v>
      </c>
      <c r="D2527" s="1212"/>
      <c r="E2527" s="1212"/>
      <c r="F2527" s="1212"/>
      <c r="G2527" s="1222">
        <f>SUM(G2518:G2526)</f>
        <v>10363.240000000002</v>
      </c>
      <c r="H2527" s="1205" t="s">
        <v>2321</v>
      </c>
    </row>
    <row r="2528" spans="1:8" hidden="1">
      <c r="A2528" s="1212"/>
      <c r="B2528" s="1212"/>
      <c r="C2528" s="1754"/>
      <c r="D2528" s="1212"/>
      <c r="E2528" s="1218" t="s">
        <v>161</v>
      </c>
      <c r="F2528" s="1218" t="s">
        <v>162</v>
      </c>
      <c r="G2528" s="1217" t="s">
        <v>163</v>
      </c>
      <c r="H2528" s="1205" t="s">
        <v>2321</v>
      </c>
    </row>
    <row r="2529" spans="1:8" hidden="1">
      <c r="A2529" s="1212"/>
      <c r="B2529" s="1212"/>
      <c r="C2529" s="1754" t="s">
        <v>1275</v>
      </c>
      <c r="D2529" s="1212"/>
      <c r="E2529" s="1213">
        <f>G2527</f>
        <v>10363.240000000002</v>
      </c>
      <c r="F2529" s="1213">
        <f>G2527</f>
        <v>10363.240000000002</v>
      </c>
      <c r="G2529" s="1215">
        <f>G2527</f>
        <v>10363.240000000002</v>
      </c>
      <c r="H2529" s="1205" t="s">
        <v>2321</v>
      </c>
    </row>
    <row r="2530" spans="1:8" ht="25.5" hidden="1">
      <c r="A2530" s="1212"/>
      <c r="B2530" s="1212"/>
      <c r="C2530" s="1752" t="s">
        <v>170</v>
      </c>
      <c r="D2530" s="1212"/>
      <c r="E2530" s="1212"/>
      <c r="F2530" s="1213">
        <f>ROUND((G2524+G2525+G2526)*0.1,2)</f>
        <v>335.46</v>
      </c>
      <c r="G2530" s="1225">
        <f>ROUND((G2524+G2525+G2526)*0.2,2)</f>
        <v>670.92</v>
      </c>
      <c r="H2530" s="1205" t="s">
        <v>2321</v>
      </c>
    </row>
    <row r="2531" spans="1:8" hidden="1">
      <c r="A2531" s="1212"/>
      <c r="B2531" s="1212"/>
      <c r="C2531" s="1754" t="s">
        <v>194</v>
      </c>
      <c r="D2531" s="1212"/>
      <c r="E2531" s="1217">
        <f>SUM(E2529:E2530)</f>
        <v>10363.240000000002</v>
      </c>
      <c r="F2531" s="1217">
        <f>SUM(F2529:F2530)</f>
        <v>10698.7</v>
      </c>
      <c r="G2531" s="1222">
        <f>SUM(G2529:G2530)</f>
        <v>11034.160000000002</v>
      </c>
      <c r="H2531" s="1205" t="s">
        <v>2321</v>
      </c>
    </row>
    <row r="2532" spans="1:8" hidden="1">
      <c r="A2532" s="1212"/>
      <c r="B2532" s="1212"/>
      <c r="C2532" s="1754" t="s">
        <v>181</v>
      </c>
      <c r="D2532" s="1212"/>
      <c r="E2532" s="1217">
        <f>ROUND(E2531/10,2)</f>
        <v>1036.32</v>
      </c>
      <c r="F2532" s="1217">
        <f>ROUND(F2531/10,2)</f>
        <v>1069.8699999999999</v>
      </c>
      <c r="G2532" s="1222">
        <f>ROUND(G2531/10,2)</f>
        <v>1103.42</v>
      </c>
      <c r="H2532" s="1205" t="s">
        <v>2321</v>
      </c>
    </row>
    <row r="2533" spans="1:8" ht="140.25" hidden="1">
      <c r="A2533" s="1156">
        <v>38</v>
      </c>
      <c r="B2533" s="1218" t="s">
        <v>205</v>
      </c>
      <c r="C2533" s="1752" t="s">
        <v>211</v>
      </c>
      <c r="D2533" s="1212"/>
      <c r="E2533" s="1212"/>
      <c r="F2533" s="1212"/>
      <c r="G2533" s="1218"/>
      <c r="H2533" s="1205" t="s">
        <v>2321</v>
      </c>
    </row>
    <row r="2534" spans="1:8" hidden="1">
      <c r="A2534" s="1156"/>
      <c r="B2534" s="1218"/>
      <c r="C2534" s="1754" t="s">
        <v>42</v>
      </c>
      <c r="D2534" s="1212"/>
      <c r="E2534" s="1212"/>
      <c r="F2534" s="1212"/>
      <c r="G2534" s="1215"/>
      <c r="H2534" s="1205" t="s">
        <v>2321</v>
      </c>
    </row>
    <row r="2535" spans="1:8" hidden="1">
      <c r="A2535" s="1156"/>
      <c r="B2535" s="1218"/>
      <c r="C2535" s="1754" t="s">
        <v>60</v>
      </c>
      <c r="D2535" s="1212"/>
      <c r="E2535" s="1212"/>
      <c r="F2535" s="1212"/>
      <c r="G2535" s="1215"/>
      <c r="H2535" s="1205" t="s">
        <v>2321</v>
      </c>
    </row>
    <row r="2536" spans="1:8" hidden="1">
      <c r="A2536" s="1156"/>
      <c r="B2536" s="1218"/>
      <c r="C2536" s="1752" t="s">
        <v>206</v>
      </c>
      <c r="D2536" s="1212" t="s">
        <v>77</v>
      </c>
      <c r="E2536" s="1213">
        <v>10.5</v>
      </c>
      <c r="F2536" s="1213">
        <f>'MINI SSR 21-22'!C22</f>
        <v>370</v>
      </c>
      <c r="G2536" s="1214">
        <f>ROUND(E2536*F2536,2)</f>
        <v>3885</v>
      </c>
      <c r="H2536" s="1205" t="s">
        <v>2321</v>
      </c>
    </row>
    <row r="2537" spans="1:8" hidden="1">
      <c r="A2537" s="1156"/>
      <c r="B2537" s="1218"/>
      <c r="C2537" s="1752" t="s">
        <v>91</v>
      </c>
      <c r="D2537" s="1212" t="s">
        <v>4</v>
      </c>
      <c r="E2537" s="1213">
        <v>21.6</v>
      </c>
      <c r="F2537" s="1213">
        <f>'lead 21-22'!L8</f>
        <v>4700</v>
      </c>
      <c r="G2537" s="1214">
        <f>ROUND(E2537*F2537/1000,2)</f>
        <v>101.52</v>
      </c>
      <c r="H2537" s="1205" t="s">
        <v>2321</v>
      </c>
    </row>
    <row r="2538" spans="1:8" hidden="1">
      <c r="A2538" s="1156"/>
      <c r="B2538" s="1218"/>
      <c r="C2538" s="1752" t="s">
        <v>92</v>
      </c>
      <c r="D2538" s="1212" t="s">
        <v>4</v>
      </c>
      <c r="E2538" s="1213">
        <v>33</v>
      </c>
      <c r="F2538" s="1213">
        <f>F2537</f>
        <v>4700</v>
      </c>
      <c r="G2538" s="1214">
        <f>ROUND(E2538*F2538/1000,2)</f>
        <v>155.1</v>
      </c>
      <c r="H2538" s="1205" t="s">
        <v>2321</v>
      </c>
    </row>
    <row r="2539" spans="1:8" hidden="1">
      <c r="A2539" s="1156"/>
      <c r="B2539" s="1218"/>
      <c r="C2539" s="1752" t="s">
        <v>204</v>
      </c>
      <c r="D2539" s="1212" t="s">
        <v>4</v>
      </c>
      <c r="E2539" s="1213">
        <v>2</v>
      </c>
      <c r="F2539" s="1213">
        <f>F2522</f>
        <v>27.95</v>
      </c>
      <c r="G2539" s="1214">
        <f>ROUND(E2539*F2539,2)</f>
        <v>55.9</v>
      </c>
      <c r="H2539" s="1205" t="s">
        <v>2321</v>
      </c>
    </row>
    <row r="2540" spans="1:8" hidden="1">
      <c r="A2540" s="1156"/>
      <c r="B2540" s="1218"/>
      <c r="C2540" s="1752" t="s">
        <v>114</v>
      </c>
      <c r="D2540" s="1212" t="s">
        <v>35</v>
      </c>
      <c r="E2540" s="1213">
        <v>0.12</v>
      </c>
      <c r="F2540" s="1213">
        <f>'lead 21-22'!L12</f>
        <v>1743.4000000000019</v>
      </c>
      <c r="G2540" s="1214">
        <f>ROUND(E2540*F2540,2)</f>
        <v>209.21</v>
      </c>
      <c r="H2540" s="1205" t="s">
        <v>2321</v>
      </c>
    </row>
    <row r="2541" spans="1:8" hidden="1">
      <c r="A2541" s="1212"/>
      <c r="B2541" s="1212"/>
      <c r="C2541" s="1754" t="s">
        <v>68</v>
      </c>
      <c r="D2541" s="1212"/>
      <c r="E2541" s="1213"/>
      <c r="F2541" s="1213"/>
      <c r="G2541" s="1214"/>
      <c r="H2541" s="1205" t="s">
        <v>2321</v>
      </c>
    </row>
    <row r="2542" spans="1:8" hidden="1">
      <c r="A2542" s="1212"/>
      <c r="B2542" s="1212"/>
      <c r="C2542" s="1752" t="s">
        <v>64</v>
      </c>
      <c r="D2542" s="1212" t="s">
        <v>27</v>
      </c>
      <c r="E2542" s="1213">
        <v>0.96</v>
      </c>
      <c r="F2542" s="1216">
        <f>'MINI SSR 21-22'!$H$3</f>
        <v>585</v>
      </c>
      <c r="G2542" s="1214">
        <f>ROUND(E2542*F2542,2)</f>
        <v>561.6</v>
      </c>
      <c r="H2542" s="1205" t="s">
        <v>2321</v>
      </c>
    </row>
    <row r="2543" spans="1:8" hidden="1">
      <c r="A2543" s="1212"/>
      <c r="B2543" s="1212"/>
      <c r="C2543" s="1752" t="s">
        <v>69</v>
      </c>
      <c r="D2543" s="1212" t="s">
        <v>27</v>
      </c>
      <c r="E2543" s="1213">
        <v>2.2400000000000002</v>
      </c>
      <c r="F2543" s="1216">
        <f>'MINI SSR 21-22'!$H$4</f>
        <v>525</v>
      </c>
      <c r="G2543" s="1214">
        <f>ROUND(E2543*F2543,2)</f>
        <v>1176</v>
      </c>
      <c r="H2543" s="1205" t="s">
        <v>2321</v>
      </c>
    </row>
    <row r="2544" spans="1:8" hidden="1">
      <c r="A2544" s="1212"/>
      <c r="B2544" s="1212"/>
      <c r="C2544" s="1752" t="s">
        <v>85</v>
      </c>
      <c r="D2544" s="1212" t="s">
        <v>27</v>
      </c>
      <c r="E2544" s="1213">
        <v>3.3</v>
      </c>
      <c r="F2544" s="1216">
        <f>'MINI SSR 21-22'!$H$5</f>
        <v>490</v>
      </c>
      <c r="G2544" s="1214">
        <f>ROUND(E2544*F2544,2)</f>
        <v>1617</v>
      </c>
      <c r="H2544" s="1205" t="s">
        <v>2321</v>
      </c>
    </row>
    <row r="2545" spans="1:8" hidden="1">
      <c r="A2545" s="1212"/>
      <c r="B2545" s="1212"/>
      <c r="C2545" s="1754" t="s">
        <v>88</v>
      </c>
      <c r="D2545" s="1212"/>
      <c r="E2545" s="1212"/>
      <c r="F2545" s="1212"/>
      <c r="G2545" s="1222">
        <f>SUM(G2536:G2544)</f>
        <v>7761.33</v>
      </c>
      <c r="H2545" s="1205" t="s">
        <v>2321</v>
      </c>
    </row>
    <row r="2546" spans="1:8" hidden="1">
      <c r="A2546" s="1212"/>
      <c r="B2546" s="1212"/>
      <c r="C2546" s="1754"/>
      <c r="D2546" s="1212"/>
      <c r="E2546" s="1218" t="s">
        <v>161</v>
      </c>
      <c r="F2546" s="1218" t="s">
        <v>162</v>
      </c>
      <c r="G2546" s="1217" t="s">
        <v>163</v>
      </c>
      <c r="H2546" s="1205" t="s">
        <v>2321</v>
      </c>
    </row>
    <row r="2547" spans="1:8" hidden="1">
      <c r="A2547" s="1212"/>
      <c r="B2547" s="1212"/>
      <c r="C2547" s="1754" t="s">
        <v>1275</v>
      </c>
      <c r="D2547" s="1212"/>
      <c r="E2547" s="1213">
        <f>G2545</f>
        <v>7761.33</v>
      </c>
      <c r="F2547" s="1213">
        <f>G2545</f>
        <v>7761.33</v>
      </c>
      <c r="G2547" s="1215">
        <f>G2545</f>
        <v>7761.33</v>
      </c>
      <c r="H2547" s="1205" t="s">
        <v>2321</v>
      </c>
    </row>
    <row r="2548" spans="1:8" ht="25.5" hidden="1">
      <c r="A2548" s="1212"/>
      <c r="B2548" s="1212"/>
      <c r="C2548" s="1752" t="s">
        <v>170</v>
      </c>
      <c r="D2548" s="1212"/>
      <c r="E2548" s="1212"/>
      <c r="F2548" s="1213">
        <f>ROUND((G2542+G2543+G2544)*0.1,2)</f>
        <v>335.46</v>
      </c>
      <c r="G2548" s="1225">
        <f>ROUND((G2542+G2543+G2544)*0.2,2)</f>
        <v>670.92</v>
      </c>
      <c r="H2548" s="1205" t="s">
        <v>2321</v>
      </c>
    </row>
    <row r="2549" spans="1:8" hidden="1">
      <c r="A2549" s="1212"/>
      <c r="B2549" s="1212"/>
      <c r="C2549" s="1754" t="s">
        <v>194</v>
      </c>
      <c r="D2549" s="1212"/>
      <c r="E2549" s="1217">
        <f>SUM(E2547:E2548)</f>
        <v>7761.33</v>
      </c>
      <c r="F2549" s="1217">
        <f>SUM(F2547:F2548)</f>
        <v>8096.79</v>
      </c>
      <c r="G2549" s="1222">
        <f>SUM(G2547:G2548)</f>
        <v>8432.25</v>
      </c>
      <c r="H2549" s="1205" t="s">
        <v>2321</v>
      </c>
    </row>
    <row r="2550" spans="1:8" hidden="1">
      <c r="A2550" s="1212"/>
      <c r="B2550" s="1212"/>
      <c r="C2550" s="1754" t="s">
        <v>181</v>
      </c>
      <c r="D2550" s="1212"/>
      <c r="E2550" s="1217">
        <f>ROUND(E2549/10,2)</f>
        <v>776.13</v>
      </c>
      <c r="F2550" s="1217">
        <f>ROUND(F2549/10,2)</f>
        <v>809.68</v>
      </c>
      <c r="G2550" s="1222">
        <f>ROUND(G2549/10,2)</f>
        <v>843.23</v>
      </c>
      <c r="H2550" s="1205" t="s">
        <v>2321</v>
      </c>
    </row>
    <row r="2551" spans="1:8" ht="127.5" hidden="1">
      <c r="A2551" s="1156">
        <v>39</v>
      </c>
      <c r="B2551" s="1218" t="s">
        <v>207</v>
      </c>
      <c r="C2551" s="1752" t="s">
        <v>214</v>
      </c>
      <c r="D2551" s="1212"/>
      <c r="E2551" s="1212"/>
      <c r="F2551" s="1212"/>
      <c r="G2551" s="1218"/>
      <c r="H2551" s="1205" t="s">
        <v>2321</v>
      </c>
    </row>
    <row r="2552" spans="1:8" hidden="1">
      <c r="A2552" s="1156"/>
      <c r="B2552" s="1218"/>
      <c r="C2552" s="1754" t="s">
        <v>42</v>
      </c>
      <c r="D2552" s="1212"/>
      <c r="E2552" s="1212"/>
      <c r="F2552" s="1212"/>
      <c r="G2552" s="1215"/>
      <c r="H2552" s="1205" t="s">
        <v>2321</v>
      </c>
    </row>
    <row r="2553" spans="1:8" hidden="1">
      <c r="A2553" s="1156"/>
      <c r="B2553" s="1218"/>
      <c r="C2553" s="1754" t="s">
        <v>60</v>
      </c>
      <c r="D2553" s="1218"/>
      <c r="E2553" s="1218"/>
      <c r="F2553" s="1218"/>
      <c r="G2553" s="1215"/>
      <c r="H2553" s="1205" t="s">
        <v>2321</v>
      </c>
    </row>
    <row r="2554" spans="1:8" hidden="1">
      <c r="A2554" s="1156"/>
      <c r="B2554" s="1218"/>
      <c r="C2554" s="1752" t="s">
        <v>208</v>
      </c>
      <c r="D2554" s="1212" t="s">
        <v>77</v>
      </c>
      <c r="E2554" s="1213">
        <v>10.5</v>
      </c>
      <c r="F2554" s="1213">
        <f>'MINI SSR 21-22'!C23</f>
        <v>323</v>
      </c>
      <c r="G2554" s="1214">
        <f>ROUND(E2554*F2554,2)</f>
        <v>3391.5</v>
      </c>
      <c r="H2554" s="1205" t="s">
        <v>2321</v>
      </c>
    </row>
    <row r="2555" spans="1:8" hidden="1">
      <c r="A2555" s="1156"/>
      <c r="B2555" s="1218"/>
      <c r="C2555" s="1752" t="s">
        <v>209</v>
      </c>
      <c r="D2555" s="1212" t="s">
        <v>35</v>
      </c>
      <c r="E2555" s="1213">
        <v>0.12</v>
      </c>
      <c r="F2555" s="1213">
        <f>'lead 21-22'!L12</f>
        <v>1743.4000000000019</v>
      </c>
      <c r="G2555" s="1224">
        <f>ROUND(E2555*F2555,2)</f>
        <v>209.21</v>
      </c>
      <c r="H2555" s="1205" t="s">
        <v>2321</v>
      </c>
    </row>
    <row r="2556" spans="1:8" hidden="1">
      <c r="A2556" s="1156"/>
      <c r="B2556" s="1218"/>
      <c r="C2556" s="1752" t="s">
        <v>210</v>
      </c>
      <c r="D2556" s="1212" t="s">
        <v>4</v>
      </c>
      <c r="E2556" s="1213">
        <v>57.6</v>
      </c>
      <c r="F2556" s="1213">
        <f>'lead 21-22'!L8</f>
        <v>4700</v>
      </c>
      <c r="G2556" s="1224">
        <f>ROUND(E2556*F2556/1000,2)</f>
        <v>270.72000000000003</v>
      </c>
      <c r="H2556" s="1205" t="s">
        <v>2321</v>
      </c>
    </row>
    <row r="2557" spans="1:8" hidden="1">
      <c r="A2557" s="1156"/>
      <c r="B2557" s="1218"/>
      <c r="C2557" s="1752" t="s">
        <v>202</v>
      </c>
      <c r="D2557" s="1212" t="s">
        <v>4</v>
      </c>
      <c r="E2557" s="1213">
        <v>33</v>
      </c>
      <c r="F2557" s="1213">
        <f>F2556</f>
        <v>4700</v>
      </c>
      <c r="G2557" s="1224">
        <f>ROUND(E2557*F2557/1000,2)</f>
        <v>155.1</v>
      </c>
      <c r="H2557" s="1205" t="s">
        <v>2321</v>
      </c>
    </row>
    <row r="2558" spans="1:8" hidden="1">
      <c r="A2558" s="1156"/>
      <c r="B2558" s="1218"/>
      <c r="C2558" s="1752" t="s">
        <v>215</v>
      </c>
      <c r="D2558" s="1212" t="s">
        <v>4</v>
      </c>
      <c r="E2558" s="1213">
        <v>6</v>
      </c>
      <c r="F2558" s="1213">
        <f>F2522</f>
        <v>27.95</v>
      </c>
      <c r="G2558" s="1224">
        <f>ROUND(E2558*F2558,2)</f>
        <v>167.7</v>
      </c>
      <c r="H2558" s="1205" t="s">
        <v>2321</v>
      </c>
    </row>
    <row r="2559" spans="1:8" hidden="1">
      <c r="A2559" s="1212"/>
      <c r="B2559" s="1212"/>
      <c r="C2559" s="1754" t="s">
        <v>68</v>
      </c>
      <c r="D2559" s="1212"/>
      <c r="E2559" s="1213"/>
      <c r="F2559" s="1213"/>
      <c r="G2559" s="1224"/>
      <c r="H2559" s="1205" t="s">
        <v>2321</v>
      </c>
    </row>
    <row r="2560" spans="1:8" hidden="1">
      <c r="A2560" s="1212"/>
      <c r="B2560" s="1212"/>
      <c r="C2560" s="1752" t="s">
        <v>64</v>
      </c>
      <c r="D2560" s="1212" t="s">
        <v>27</v>
      </c>
      <c r="E2560" s="1213">
        <v>0.77</v>
      </c>
      <c r="F2560" s="1216">
        <f>'MINI SSR 21-22'!$H$3</f>
        <v>585</v>
      </c>
      <c r="G2560" s="1224">
        <f>ROUND(E2560*F2560,2)</f>
        <v>450.45</v>
      </c>
      <c r="H2560" s="1205" t="s">
        <v>2321</v>
      </c>
    </row>
    <row r="2561" spans="1:8" hidden="1">
      <c r="A2561" s="1212"/>
      <c r="B2561" s="1212"/>
      <c r="C2561" s="1752" t="s">
        <v>85</v>
      </c>
      <c r="D2561" s="1212" t="s">
        <v>27</v>
      </c>
      <c r="E2561" s="1213">
        <v>0.8</v>
      </c>
      <c r="F2561" s="1216">
        <f>'MINI SSR 21-22'!$H$5</f>
        <v>490</v>
      </c>
      <c r="G2561" s="1224">
        <f>ROUND(E2561*F2561,2)</f>
        <v>392</v>
      </c>
      <c r="H2561" s="1205" t="s">
        <v>2321</v>
      </c>
    </row>
    <row r="2562" spans="1:8" hidden="1">
      <c r="A2562" s="1212"/>
      <c r="B2562" s="1212"/>
      <c r="C2562" s="1754" t="s">
        <v>88</v>
      </c>
      <c r="D2562" s="1212"/>
      <c r="E2562" s="1212"/>
      <c r="F2562" s="1212"/>
      <c r="G2562" s="1222">
        <f>SUM(G2554:G2561)</f>
        <v>5036.68</v>
      </c>
      <c r="H2562" s="1205" t="s">
        <v>2321</v>
      </c>
    </row>
    <row r="2563" spans="1:8" hidden="1">
      <c r="A2563" s="1212"/>
      <c r="B2563" s="1212"/>
      <c r="C2563" s="1754"/>
      <c r="D2563" s="1212"/>
      <c r="E2563" s="1218" t="s">
        <v>161</v>
      </c>
      <c r="F2563" s="1218" t="s">
        <v>162</v>
      </c>
      <c r="G2563" s="1217" t="s">
        <v>163</v>
      </c>
      <c r="H2563" s="1205" t="s">
        <v>2321</v>
      </c>
    </row>
    <row r="2564" spans="1:8" hidden="1">
      <c r="A2564" s="1212"/>
      <c r="B2564" s="1212"/>
      <c r="C2564" s="1754" t="s">
        <v>1275</v>
      </c>
      <c r="D2564" s="1212"/>
      <c r="E2564" s="1213">
        <f>G2562</f>
        <v>5036.68</v>
      </c>
      <c r="F2564" s="1213">
        <f>G2562</f>
        <v>5036.68</v>
      </c>
      <c r="G2564" s="1215">
        <f>G2562</f>
        <v>5036.68</v>
      </c>
      <c r="H2564" s="1205" t="s">
        <v>2321</v>
      </c>
    </row>
    <row r="2565" spans="1:8" ht="25.5" hidden="1">
      <c r="A2565" s="1212"/>
      <c r="B2565" s="1212"/>
      <c r="C2565" s="1752" t="s">
        <v>170</v>
      </c>
      <c r="D2565" s="1212"/>
      <c r="E2565" s="1212"/>
      <c r="F2565" s="1213">
        <f>ROUND((G2560+G2561)*0.1,2)</f>
        <v>84.25</v>
      </c>
      <c r="G2565" s="1215">
        <f>ROUND((G2560+G2561)*0.2,2)</f>
        <v>168.49</v>
      </c>
      <c r="H2565" s="1205" t="s">
        <v>2321</v>
      </c>
    </row>
    <row r="2566" spans="1:8" hidden="1">
      <c r="A2566" s="1212"/>
      <c r="B2566" s="1212"/>
      <c r="C2566" s="1754" t="s">
        <v>194</v>
      </c>
      <c r="D2566" s="1212"/>
      <c r="E2566" s="1217">
        <f>SUM(E2564:E2565)</f>
        <v>5036.68</v>
      </c>
      <c r="F2566" s="1217">
        <f>SUM(F2564:F2565)</f>
        <v>5120.93</v>
      </c>
      <c r="G2566" s="1222">
        <f>SUM(G2564:G2565)</f>
        <v>5205.17</v>
      </c>
      <c r="H2566" s="1205" t="s">
        <v>2321</v>
      </c>
    </row>
    <row r="2567" spans="1:8" hidden="1">
      <c r="A2567" s="1212"/>
      <c r="B2567" s="1212"/>
      <c r="C2567" s="1754" t="s">
        <v>181</v>
      </c>
      <c r="D2567" s="1212"/>
      <c r="E2567" s="1217">
        <f>ROUND(E2566/10,2)</f>
        <v>503.67</v>
      </c>
      <c r="F2567" s="1217">
        <f>ROUND(F2566/10,2)</f>
        <v>512.09</v>
      </c>
      <c r="G2567" s="1222">
        <f>ROUND(G2566/10,2)</f>
        <v>520.52</v>
      </c>
      <c r="H2567" s="1205" t="s">
        <v>2321</v>
      </c>
    </row>
    <row r="2568" spans="1:8" ht="25.5" hidden="1">
      <c r="A2568" s="1156">
        <v>40</v>
      </c>
      <c r="B2568" s="1218" t="s">
        <v>1351</v>
      </c>
      <c r="C2568" s="1752" t="s">
        <v>1202</v>
      </c>
      <c r="D2568" s="1212"/>
      <c r="E2568" s="1212"/>
      <c r="F2568" s="1212"/>
      <c r="G2568" s="1218"/>
      <c r="H2568" s="1205" t="s">
        <v>2321</v>
      </c>
    </row>
    <row r="2569" spans="1:8" hidden="1">
      <c r="A2569" s="1156"/>
      <c r="B2569" s="1218"/>
      <c r="C2569" s="1754" t="s">
        <v>868</v>
      </c>
      <c r="D2569" s="1212"/>
      <c r="E2569" s="1212"/>
      <c r="F2569" s="1212"/>
      <c r="G2569" s="1215"/>
      <c r="H2569" s="1205" t="s">
        <v>2321</v>
      </c>
    </row>
    <row r="2570" spans="1:8" hidden="1">
      <c r="A2570" s="1156"/>
      <c r="B2570" s="1218"/>
      <c r="C2570" s="1754" t="s">
        <v>60</v>
      </c>
      <c r="D2570" s="1212"/>
      <c r="E2570" s="1212"/>
      <c r="F2570" s="1212"/>
      <c r="G2570" s="1215"/>
      <c r="H2570" s="1205" t="s">
        <v>2321</v>
      </c>
    </row>
    <row r="2571" spans="1:8" hidden="1">
      <c r="A2571" s="1156"/>
      <c r="B2571" s="1218"/>
      <c r="C2571" s="1752" t="s">
        <v>33</v>
      </c>
      <c r="D2571" s="1212" t="s">
        <v>4</v>
      </c>
      <c r="E2571" s="1213">
        <v>14.4</v>
      </c>
      <c r="F2571" s="1213">
        <f>'lead 21-22'!L8</f>
        <v>4700</v>
      </c>
      <c r="G2571" s="1214">
        <f>ROUND(E2571*F2571/1000,2)</f>
        <v>67.680000000000007</v>
      </c>
      <c r="H2571" s="1205" t="s">
        <v>2321</v>
      </c>
    </row>
    <row r="2572" spans="1:8" hidden="1">
      <c r="A2572" s="1156"/>
      <c r="B2572" s="1218"/>
      <c r="C2572" s="1752" t="s">
        <v>113</v>
      </c>
      <c r="D2572" s="1212" t="s">
        <v>35</v>
      </c>
      <c r="E2572" s="1213">
        <v>0.03</v>
      </c>
      <c r="F2572" s="1213">
        <f>'lead 21-22'!L12</f>
        <v>1743.4000000000019</v>
      </c>
      <c r="G2572" s="1214">
        <f>ROUND(E2572*F2572,2)</f>
        <v>52.3</v>
      </c>
      <c r="H2572" s="1205" t="s">
        <v>2321</v>
      </c>
    </row>
    <row r="2573" spans="1:8" hidden="1">
      <c r="A2573" s="1212"/>
      <c r="B2573" s="1212"/>
      <c r="C2573" s="1754" t="s">
        <v>68</v>
      </c>
      <c r="D2573" s="1212"/>
      <c r="E2573" s="1213"/>
      <c r="F2573" s="1213"/>
      <c r="G2573" s="1214"/>
      <c r="H2573" s="1205" t="s">
        <v>2321</v>
      </c>
    </row>
    <row r="2574" spans="1:8" hidden="1">
      <c r="A2574" s="1212"/>
      <c r="B2574" s="1212"/>
      <c r="C2574" s="1752" t="s">
        <v>69</v>
      </c>
      <c r="D2574" s="1212" t="s">
        <v>27</v>
      </c>
      <c r="E2574" s="1213">
        <v>0.5</v>
      </c>
      <c r="F2574" s="1216">
        <f>'MINI SSR 21-22'!$H$4</f>
        <v>525</v>
      </c>
      <c r="G2574" s="1214">
        <f>ROUND(E2574*F2574,2)</f>
        <v>262.5</v>
      </c>
      <c r="H2574" s="1205" t="s">
        <v>2321</v>
      </c>
    </row>
    <row r="2575" spans="1:8" hidden="1">
      <c r="A2575" s="1212"/>
      <c r="B2575" s="1212"/>
      <c r="C2575" s="1752" t="s">
        <v>85</v>
      </c>
      <c r="D2575" s="1212" t="s">
        <v>27</v>
      </c>
      <c r="E2575" s="1213">
        <v>0.74</v>
      </c>
      <c r="F2575" s="1216">
        <f>'MINI SSR 21-22'!$H$5</f>
        <v>490</v>
      </c>
      <c r="G2575" s="1214">
        <f>ROUND(E2575*F2575,2)</f>
        <v>362.6</v>
      </c>
      <c r="H2575" s="1205" t="s">
        <v>2321</v>
      </c>
    </row>
    <row r="2576" spans="1:8" hidden="1">
      <c r="A2576" s="1212"/>
      <c r="B2576" s="1212"/>
      <c r="C2576" s="1754" t="s">
        <v>88</v>
      </c>
      <c r="D2576" s="1212"/>
      <c r="E2576" s="1213"/>
      <c r="F2576" s="1213"/>
      <c r="G2576" s="1214">
        <f>SUM(G2571:G2575)</f>
        <v>745.08</v>
      </c>
      <c r="H2576" s="1205" t="s">
        <v>2321</v>
      </c>
    </row>
    <row r="2577" spans="1:8" ht="114.75" hidden="1">
      <c r="A2577" s="1156">
        <v>41</v>
      </c>
      <c r="B2577" s="1218" t="s">
        <v>1352</v>
      </c>
      <c r="C2577" s="1752" t="s">
        <v>1203</v>
      </c>
      <c r="D2577" s="1212"/>
      <c r="E2577" s="1212"/>
      <c r="F2577" s="1212"/>
      <c r="G2577" s="1218"/>
      <c r="H2577" s="1205" t="s">
        <v>2321</v>
      </c>
    </row>
    <row r="2578" spans="1:8" hidden="1">
      <c r="A2578" s="1156"/>
      <c r="B2578" s="1218"/>
      <c r="C2578" s="1754" t="s">
        <v>868</v>
      </c>
      <c r="D2578" s="1212"/>
      <c r="E2578" s="1212"/>
      <c r="F2578" s="1212"/>
      <c r="G2578" s="1215"/>
      <c r="H2578" s="1205" t="s">
        <v>2321</v>
      </c>
    </row>
    <row r="2579" spans="1:8" hidden="1">
      <c r="A2579" s="1156"/>
      <c r="B2579" s="1218"/>
      <c r="C2579" s="1754" t="s">
        <v>60</v>
      </c>
      <c r="D2579" s="1212"/>
      <c r="E2579" s="1212"/>
      <c r="F2579" s="1212"/>
      <c r="G2579" s="1215"/>
      <c r="H2579" s="1205" t="s">
        <v>2321</v>
      </c>
    </row>
    <row r="2580" spans="1:8" hidden="1">
      <c r="A2580" s="1156"/>
      <c r="B2580" s="1218"/>
      <c r="C2580" s="1752" t="s">
        <v>1204</v>
      </c>
      <c r="D2580" s="1212" t="s">
        <v>11</v>
      </c>
      <c r="E2580" s="1223">
        <v>0.255</v>
      </c>
      <c r="F2580" s="1213">
        <f>'lead 21-22'!L23</f>
        <v>19447.099999999999</v>
      </c>
      <c r="G2580" s="1214">
        <f>ROUND(E2580*F2580/1,2)</f>
        <v>4959.01</v>
      </c>
      <c r="H2580" s="1205" t="s">
        <v>2321</v>
      </c>
    </row>
    <row r="2581" spans="1:8" hidden="1">
      <c r="A2581" s="1156"/>
      <c r="B2581" s="1218"/>
      <c r="C2581" s="1752" t="s">
        <v>873</v>
      </c>
      <c r="D2581" s="1212" t="s">
        <v>141</v>
      </c>
      <c r="E2581" s="1213">
        <v>21.6</v>
      </c>
      <c r="F2581" s="1213">
        <f>'lead 21-22'!L8</f>
        <v>4700</v>
      </c>
      <c r="G2581" s="1214">
        <f>ROUND(E2581*F2581/1000,2)</f>
        <v>101.52</v>
      </c>
      <c r="H2581" s="1205" t="s">
        <v>2321</v>
      </c>
    </row>
    <row r="2582" spans="1:8" hidden="1">
      <c r="A2582" s="1156"/>
      <c r="B2582" s="1218"/>
      <c r="C2582" s="1752" t="s">
        <v>1205</v>
      </c>
      <c r="D2582" s="1212" t="s">
        <v>141</v>
      </c>
      <c r="E2582" s="1213">
        <v>6</v>
      </c>
      <c r="F2582" s="1213">
        <f>F2581</f>
        <v>4700</v>
      </c>
      <c r="G2582" s="1214">
        <f>ROUND(E2582*F2582/1000,2)</f>
        <v>28.2</v>
      </c>
      <c r="H2582" s="1205" t="s">
        <v>2321</v>
      </c>
    </row>
    <row r="2583" spans="1:8" hidden="1">
      <c r="A2583" s="1156"/>
      <c r="B2583" s="1218"/>
      <c r="C2583" s="1752" t="s">
        <v>1206</v>
      </c>
      <c r="D2583" s="1212" t="s">
        <v>102</v>
      </c>
      <c r="E2583" s="1213">
        <v>1</v>
      </c>
      <c r="F2583" s="1213">
        <f>G2576</f>
        <v>745.08</v>
      </c>
      <c r="G2583" s="1214">
        <f>ROUND(E2583*F2583/1,2)</f>
        <v>745.08</v>
      </c>
      <c r="H2583" s="1205" t="s">
        <v>2321</v>
      </c>
    </row>
    <row r="2584" spans="1:8" hidden="1">
      <c r="A2584" s="1156"/>
      <c r="B2584" s="1218"/>
      <c r="C2584" s="1752" t="s">
        <v>1207</v>
      </c>
      <c r="D2584" s="1212" t="s">
        <v>35</v>
      </c>
      <c r="E2584" s="1213">
        <v>0.04</v>
      </c>
      <c r="F2584" s="1213">
        <f>'lead 21-22'!L12</f>
        <v>1743.4000000000019</v>
      </c>
      <c r="G2584" s="1214">
        <f>-ROUND(E2584*F2584,2)</f>
        <v>-69.739999999999995</v>
      </c>
      <c r="H2584" s="1205" t="s">
        <v>2321</v>
      </c>
    </row>
    <row r="2585" spans="1:8" hidden="1">
      <c r="A2585" s="1156"/>
      <c r="B2585" s="1218"/>
      <c r="C2585" s="1752" t="s">
        <v>1208</v>
      </c>
      <c r="D2585" s="1212" t="s">
        <v>35</v>
      </c>
      <c r="E2585" s="1213">
        <v>0.12</v>
      </c>
      <c r="F2585" s="1213">
        <f>F2584</f>
        <v>1743.4000000000019</v>
      </c>
      <c r="G2585" s="1214">
        <f>ROUND(E2585*F2585,2)</f>
        <v>209.21</v>
      </c>
      <c r="H2585" s="1205" t="s">
        <v>2321</v>
      </c>
    </row>
    <row r="2586" spans="1:8" hidden="1">
      <c r="A2586" s="1212"/>
      <c r="B2586" s="1212"/>
      <c r="C2586" s="1754" t="s">
        <v>68</v>
      </c>
      <c r="D2586" s="1212"/>
      <c r="E2586" s="1213"/>
      <c r="F2586" s="1213"/>
      <c r="G2586" s="1214"/>
      <c r="H2586" s="1205" t="s">
        <v>2321</v>
      </c>
    </row>
    <row r="2587" spans="1:8" hidden="1">
      <c r="A2587" s="1212"/>
      <c r="B2587" s="1212"/>
      <c r="C2587" s="1752" t="s">
        <v>64</v>
      </c>
      <c r="D2587" s="1212" t="s">
        <v>27</v>
      </c>
      <c r="E2587" s="1213">
        <v>0.96</v>
      </c>
      <c r="F2587" s="1216">
        <f>'MINI SSR 21-22'!$H$3</f>
        <v>585</v>
      </c>
      <c r="G2587" s="1214">
        <f>ROUND(E2587*F2587,2)</f>
        <v>561.6</v>
      </c>
      <c r="H2587" s="1205" t="s">
        <v>2321</v>
      </c>
    </row>
    <row r="2588" spans="1:8" hidden="1">
      <c r="A2588" s="1212"/>
      <c r="B2588" s="1212"/>
      <c r="C2588" s="1752" t="s">
        <v>69</v>
      </c>
      <c r="D2588" s="1212" t="s">
        <v>27</v>
      </c>
      <c r="E2588" s="1213">
        <v>2.2400000000000002</v>
      </c>
      <c r="F2588" s="1216">
        <f>'MINI SSR 21-22'!$H$4</f>
        <v>525</v>
      </c>
      <c r="G2588" s="1214">
        <f>ROUND(E2588*F2588,2)</f>
        <v>1176</v>
      </c>
      <c r="H2588" s="1205" t="s">
        <v>2321</v>
      </c>
    </row>
    <row r="2589" spans="1:8" hidden="1">
      <c r="A2589" s="1212"/>
      <c r="B2589" s="1212"/>
      <c r="C2589" s="1752" t="s">
        <v>85</v>
      </c>
      <c r="D2589" s="1212" t="s">
        <v>27</v>
      </c>
      <c r="E2589" s="1213">
        <v>4.3</v>
      </c>
      <c r="F2589" s="1216">
        <f>'MINI SSR 21-22'!$H$5</f>
        <v>490</v>
      </c>
      <c r="G2589" s="1214">
        <f>ROUND(E2589*F2589,2)</f>
        <v>2107</v>
      </c>
      <c r="H2589" s="1205" t="s">
        <v>2321</v>
      </c>
    </row>
    <row r="2590" spans="1:8" hidden="1">
      <c r="A2590" s="1212"/>
      <c r="B2590" s="1212"/>
      <c r="C2590" s="1754" t="s">
        <v>88</v>
      </c>
      <c r="D2590" s="1212"/>
      <c r="E2590" s="1213"/>
      <c r="F2590" s="1213"/>
      <c r="G2590" s="1214">
        <f>SUM(G2580:G2589)</f>
        <v>9817.880000000001</v>
      </c>
      <c r="H2590" s="1205" t="s">
        <v>2321</v>
      </c>
    </row>
    <row r="2591" spans="1:8" hidden="1">
      <c r="A2591" s="1212"/>
      <c r="B2591" s="1212"/>
      <c r="C2591" s="1754"/>
      <c r="D2591" s="1212"/>
      <c r="E2591" s="1213" t="s">
        <v>161</v>
      </c>
      <c r="F2591" s="1213" t="s">
        <v>162</v>
      </c>
      <c r="G2591" s="1221" t="s">
        <v>163</v>
      </c>
      <c r="H2591" s="1205" t="s">
        <v>2321</v>
      </c>
    </row>
    <row r="2592" spans="1:8" hidden="1">
      <c r="A2592" s="1212"/>
      <c r="B2592" s="1212"/>
      <c r="C2592" s="1754" t="s">
        <v>1275</v>
      </c>
      <c r="D2592" s="1212"/>
      <c r="E2592" s="1213">
        <f>G2590</f>
        <v>9817.880000000001</v>
      </c>
      <c r="F2592" s="1213">
        <f>G2590</f>
        <v>9817.880000000001</v>
      </c>
      <c r="G2592" s="1215">
        <f>G2590</f>
        <v>9817.880000000001</v>
      </c>
      <c r="H2592" s="1205" t="s">
        <v>2321</v>
      </c>
    </row>
    <row r="2593" spans="1:8" ht="25.5" hidden="1">
      <c r="A2593" s="1212"/>
      <c r="B2593" s="1212"/>
      <c r="C2593" s="1752" t="s">
        <v>170</v>
      </c>
      <c r="D2593" s="1212"/>
      <c r="E2593" s="1212"/>
      <c r="F2593" s="1213">
        <f>ROUND((G2588+G2589+G2587)*0.1,2)</f>
        <v>384.46</v>
      </c>
      <c r="G2593" s="1215">
        <f>ROUND((G2588+G2589+G2587)*0.2,2)</f>
        <v>768.92</v>
      </c>
      <c r="H2593" s="1205" t="s">
        <v>2321</v>
      </c>
    </row>
    <row r="2594" spans="1:8" hidden="1">
      <c r="A2594" s="1212"/>
      <c r="B2594" s="1212"/>
      <c r="C2594" s="1754" t="s">
        <v>194</v>
      </c>
      <c r="D2594" s="1212"/>
      <c r="E2594" s="1217">
        <f>SUM(E2592:E2593)</f>
        <v>9817.880000000001</v>
      </c>
      <c r="F2594" s="1217">
        <f>SUM(F2592:F2593)</f>
        <v>10202.34</v>
      </c>
      <c r="G2594" s="1222">
        <f>SUM(G2592:G2593)</f>
        <v>10586.800000000001</v>
      </c>
      <c r="H2594" s="1205" t="s">
        <v>2321</v>
      </c>
    </row>
    <row r="2595" spans="1:8" hidden="1">
      <c r="A2595" s="1212"/>
      <c r="B2595" s="1212"/>
      <c r="C2595" s="1754" t="s">
        <v>181</v>
      </c>
      <c r="D2595" s="1212"/>
      <c r="E2595" s="1217">
        <f>ROUND(E2594/10,2)</f>
        <v>981.79</v>
      </c>
      <c r="F2595" s="1217">
        <f>ROUND(F2594/10,2)</f>
        <v>1020.23</v>
      </c>
      <c r="G2595" s="1222">
        <f>ROUND(G2594/10,2)</f>
        <v>1058.68</v>
      </c>
      <c r="H2595" s="1205" t="s">
        <v>2321</v>
      </c>
    </row>
    <row r="2596" spans="1:8" ht="114.75" hidden="1">
      <c r="A2596" s="1156">
        <v>26</v>
      </c>
      <c r="B2596" s="1218"/>
      <c r="C2596" s="1752" t="s">
        <v>2255</v>
      </c>
      <c r="D2596" s="1212"/>
      <c r="E2596" s="1212"/>
      <c r="F2596" s="1212"/>
      <c r="G2596" s="1218"/>
      <c r="H2596" s="1205" t="s">
        <v>2321</v>
      </c>
    </row>
    <row r="2597" spans="1:8" hidden="1">
      <c r="A2597" s="1156"/>
      <c r="B2597" s="1218"/>
      <c r="C2597" s="1754" t="s">
        <v>60</v>
      </c>
      <c r="D2597" s="1212"/>
      <c r="E2597" s="1212"/>
      <c r="F2597" s="1212"/>
      <c r="G2597" s="1215"/>
      <c r="H2597" s="1205" t="s">
        <v>2321</v>
      </c>
    </row>
    <row r="2598" spans="1:8" hidden="1">
      <c r="A2598" s="1156"/>
      <c r="B2598" s="1218"/>
      <c r="C2598" s="1752" t="s">
        <v>2256</v>
      </c>
      <c r="D2598" s="1212" t="s">
        <v>102</v>
      </c>
      <c r="E2598" s="1223">
        <v>1</v>
      </c>
      <c r="F2598" s="1213">
        <f>'MINI SSR 21-22'!H79</f>
        <v>320</v>
      </c>
      <c r="G2598" s="1214">
        <f>ROUND(E2598*F2598/1,2)</f>
        <v>320</v>
      </c>
      <c r="H2598" s="1205" t="s">
        <v>2321</v>
      </c>
    </row>
    <row r="2599" spans="1:8" hidden="1">
      <c r="A2599" s="1156"/>
      <c r="B2599" s="1218"/>
      <c r="C2599" s="1752" t="s">
        <v>2257</v>
      </c>
      <c r="D2599" s="1212" t="s">
        <v>102</v>
      </c>
      <c r="E2599" s="1223">
        <v>1</v>
      </c>
      <c r="F2599" s="1213">
        <f>'MINI SSR 21-22'!H80</f>
        <v>190</v>
      </c>
      <c r="G2599" s="1214">
        <f>ROUND(E2599*F2599/1,2)</f>
        <v>190</v>
      </c>
      <c r="H2599" s="1205" t="s">
        <v>2321</v>
      </c>
    </row>
    <row r="2600" spans="1:8" hidden="1">
      <c r="A2600" s="1212"/>
      <c r="B2600" s="1212"/>
      <c r="C2600" s="1754" t="s">
        <v>181</v>
      </c>
      <c r="D2600" s="1212"/>
      <c r="E2600" s="1217"/>
      <c r="F2600" s="1217"/>
      <c r="G2600" s="1222">
        <f>SUM(G2598:G2599)</f>
        <v>510</v>
      </c>
      <c r="H2600" s="1205" t="s">
        <v>2321</v>
      </c>
    </row>
    <row r="2601" spans="1:8" ht="140.25" hidden="1">
      <c r="A2601" s="1156">
        <v>28</v>
      </c>
      <c r="B2601" s="1218" t="s">
        <v>2258</v>
      </c>
      <c r="C2601" s="1752" t="s">
        <v>2259</v>
      </c>
      <c r="D2601" s="1212"/>
      <c r="E2601" s="1212"/>
      <c r="F2601" s="1212"/>
      <c r="G2601" s="1218"/>
      <c r="H2601" s="1205" t="s">
        <v>2321</v>
      </c>
    </row>
    <row r="2602" spans="1:8" hidden="1">
      <c r="A2602" s="1156"/>
      <c r="B2602" s="1218"/>
      <c r="C2602" s="1754" t="s">
        <v>42</v>
      </c>
      <c r="D2602" s="1212"/>
      <c r="E2602" s="1212"/>
      <c r="F2602" s="1212"/>
      <c r="G2602" s="1215"/>
      <c r="H2602" s="1205" t="s">
        <v>2321</v>
      </c>
    </row>
    <row r="2603" spans="1:8" hidden="1">
      <c r="A2603" s="1156"/>
      <c r="B2603" s="1218"/>
      <c r="C2603" s="1754" t="s">
        <v>60</v>
      </c>
      <c r="D2603" s="1212"/>
      <c r="E2603" s="1212"/>
      <c r="F2603" s="1212"/>
      <c r="G2603" s="1215"/>
      <c r="H2603" s="1205" t="s">
        <v>2321</v>
      </c>
    </row>
    <row r="2604" spans="1:8" hidden="1">
      <c r="A2604" s="1156"/>
      <c r="B2604" s="1218"/>
      <c r="C2604" s="1752" t="s">
        <v>2260</v>
      </c>
      <c r="D2604" s="1212" t="s">
        <v>35</v>
      </c>
      <c r="E2604" s="1213">
        <v>0.17</v>
      </c>
      <c r="F2604" s="1213">
        <f>F1871</f>
        <v>1876.2299999999998</v>
      </c>
      <c r="G2604" s="1214">
        <f>ROUND(E2604*F2604,2)</f>
        <v>318.95999999999998</v>
      </c>
      <c r="H2604" s="1205" t="s">
        <v>2321</v>
      </c>
    </row>
    <row r="2605" spans="1:8" hidden="1">
      <c r="A2605" s="1156"/>
      <c r="B2605" s="1218"/>
      <c r="C2605" s="1752" t="s">
        <v>847</v>
      </c>
      <c r="D2605" s="1212" t="s">
        <v>4</v>
      </c>
      <c r="E2605" s="1213">
        <v>120</v>
      </c>
      <c r="F2605" s="1213">
        <f>'lead 21-22'!L8</f>
        <v>4700</v>
      </c>
      <c r="G2605" s="1214">
        <f>ROUND(E2605*F2605/1000,2)</f>
        <v>564</v>
      </c>
      <c r="H2605" s="1205" t="s">
        <v>2321</v>
      </c>
    </row>
    <row r="2606" spans="1:8" hidden="1">
      <c r="A2606" s="1156"/>
      <c r="B2606" s="1218"/>
      <c r="C2606" s="1752" t="s">
        <v>837</v>
      </c>
      <c r="D2606" s="1212" t="s">
        <v>35</v>
      </c>
      <c r="E2606" s="1213">
        <v>8.5000000000000006E-2</v>
      </c>
      <c r="F2606" s="1213">
        <f>'lead 21-22'!L13</f>
        <v>1648.4000000000019</v>
      </c>
      <c r="G2606" s="1214">
        <f>ROUND(E2606*F2606,2)</f>
        <v>140.11000000000001</v>
      </c>
      <c r="H2606" s="1205" t="s">
        <v>2321</v>
      </c>
    </row>
    <row r="2607" spans="1:8" hidden="1">
      <c r="A2607" s="1212"/>
      <c r="B2607" s="1212"/>
      <c r="C2607" s="1754" t="s">
        <v>68</v>
      </c>
      <c r="D2607" s="1212"/>
      <c r="E2607" s="1213"/>
      <c r="F2607" s="1213"/>
      <c r="G2607" s="1214"/>
      <c r="H2607" s="1205" t="s">
        <v>2321</v>
      </c>
    </row>
    <row r="2608" spans="1:8" hidden="1">
      <c r="A2608" s="1212"/>
      <c r="B2608" s="1212"/>
      <c r="C2608" s="1752" t="s">
        <v>64</v>
      </c>
      <c r="D2608" s="1212" t="s">
        <v>27</v>
      </c>
      <c r="E2608" s="1213">
        <v>1.25</v>
      </c>
      <c r="F2608" s="1216">
        <f>'MINI SSR 21-22'!H3</f>
        <v>585</v>
      </c>
      <c r="G2608" s="1214">
        <f>ROUND(E2608*F2608,2)</f>
        <v>731.25</v>
      </c>
      <c r="H2608" s="1205" t="s">
        <v>2321</v>
      </c>
    </row>
    <row r="2609" spans="1:8" hidden="1">
      <c r="A2609" s="1212"/>
      <c r="B2609" s="1212"/>
      <c r="C2609" s="1752" t="s">
        <v>69</v>
      </c>
      <c r="D2609" s="1212" t="s">
        <v>27</v>
      </c>
      <c r="E2609" s="1213">
        <v>0.06</v>
      </c>
      <c r="F2609" s="1216">
        <f>'MINI SSR 21-22'!H4</f>
        <v>525</v>
      </c>
      <c r="G2609" s="1214">
        <f>ROUND(E2609*F2609,2)</f>
        <v>31.5</v>
      </c>
      <c r="H2609" s="1205" t="s">
        <v>2321</v>
      </c>
    </row>
    <row r="2610" spans="1:8" hidden="1">
      <c r="A2610" s="1212"/>
      <c r="B2610" s="1212"/>
      <c r="C2610" s="1752" t="s">
        <v>85</v>
      </c>
      <c r="D2610" s="1212" t="s">
        <v>27</v>
      </c>
      <c r="E2610" s="1213">
        <v>3</v>
      </c>
      <c r="F2610" s="1216">
        <f>'MINI SSR 21-22'!H5</f>
        <v>490</v>
      </c>
      <c r="G2610" s="1214">
        <f>ROUND(E2610*F2610,2)</f>
        <v>1470</v>
      </c>
      <c r="H2610" s="1205" t="s">
        <v>2321</v>
      </c>
    </row>
    <row r="2611" spans="1:8" hidden="1">
      <c r="A2611" s="1212"/>
      <c r="B2611" s="1212"/>
      <c r="C2611" s="1754" t="s">
        <v>88</v>
      </c>
      <c r="D2611" s="1212"/>
      <c r="E2611" s="1212"/>
      <c r="F2611" s="1212"/>
      <c r="G2611" s="1222">
        <f>SUM(G2604:G2610)</f>
        <v>3255.82</v>
      </c>
      <c r="H2611" s="1205" t="s">
        <v>2321</v>
      </c>
    </row>
    <row r="2612" spans="1:8" hidden="1">
      <c r="A2612" s="1212"/>
      <c r="B2612" s="1212"/>
      <c r="C2612" s="1754"/>
      <c r="D2612" s="1212"/>
      <c r="E2612" s="1218" t="s">
        <v>161</v>
      </c>
      <c r="F2612" s="1218" t="s">
        <v>162</v>
      </c>
      <c r="G2612" s="1217" t="s">
        <v>163</v>
      </c>
      <c r="H2612" s="1205" t="s">
        <v>2321</v>
      </c>
    </row>
    <row r="2613" spans="1:8" hidden="1">
      <c r="A2613" s="1212"/>
      <c r="B2613" s="1212"/>
      <c r="C2613" s="1754" t="s">
        <v>1275</v>
      </c>
      <c r="D2613" s="1212"/>
      <c r="E2613" s="1213">
        <f>G2611</f>
        <v>3255.82</v>
      </c>
      <c r="F2613" s="1213">
        <f>G2611</f>
        <v>3255.82</v>
      </c>
      <c r="G2613" s="1215">
        <f>G2611</f>
        <v>3255.82</v>
      </c>
      <c r="H2613" s="1205" t="s">
        <v>2321</v>
      </c>
    </row>
    <row r="2614" spans="1:8" ht="25.5" hidden="1">
      <c r="A2614" s="1212"/>
      <c r="B2614" s="1212"/>
      <c r="C2614" s="1752" t="s">
        <v>170</v>
      </c>
      <c r="D2614" s="1212"/>
      <c r="E2614" s="1212"/>
      <c r="F2614" s="1213">
        <f>ROUND((G2608+G2609+G2610)*0.1,2)</f>
        <v>223.28</v>
      </c>
      <c r="G2614" s="1225">
        <f>ROUND((G2608+G2609+G2610)*0.2,2)</f>
        <v>446.55</v>
      </c>
      <c r="H2614" s="1205" t="s">
        <v>2321</v>
      </c>
    </row>
    <row r="2615" spans="1:8" hidden="1">
      <c r="A2615" s="1212"/>
      <c r="B2615" s="1212"/>
      <c r="C2615" s="1754" t="s">
        <v>194</v>
      </c>
      <c r="D2615" s="1212"/>
      <c r="E2615" s="1217">
        <f>SUM(E2613:E2614)</f>
        <v>3255.82</v>
      </c>
      <c r="F2615" s="1217">
        <f>SUM(F2613:F2614)</f>
        <v>3479.1000000000004</v>
      </c>
      <c r="G2615" s="1222">
        <f>SUM(G2613:G2614)</f>
        <v>3702.3700000000003</v>
      </c>
      <c r="H2615" s="1205" t="s">
        <v>2321</v>
      </c>
    </row>
    <row r="2616" spans="1:8" hidden="1">
      <c r="A2616" s="1212"/>
      <c r="B2616" s="1212"/>
      <c r="C2616" s="1754" t="s">
        <v>181</v>
      </c>
      <c r="D2616" s="1212"/>
      <c r="E2616" s="1217">
        <f>ROUND(E2615/10,2)</f>
        <v>325.58</v>
      </c>
      <c r="F2616" s="1217">
        <f>ROUND(F2615/10,2)</f>
        <v>347.91</v>
      </c>
      <c r="G2616" s="1222">
        <f>ROUND(G2615/10,2)</f>
        <v>370.24</v>
      </c>
      <c r="H2616" s="1205" t="s">
        <v>2321</v>
      </c>
    </row>
    <row r="2617" spans="1:8" ht="102" hidden="1">
      <c r="A2617" s="1156">
        <v>51</v>
      </c>
      <c r="B2617" s="1218" t="s">
        <v>878</v>
      </c>
      <c r="C2617" s="1752" t="s">
        <v>879</v>
      </c>
      <c r="D2617" s="1212"/>
      <c r="E2617" s="1212"/>
      <c r="F2617" s="1212"/>
      <c r="G2617" s="1218"/>
      <c r="H2617" s="1205" t="s">
        <v>2321</v>
      </c>
    </row>
    <row r="2618" spans="1:8" hidden="1">
      <c r="A2618" s="1156"/>
      <c r="B2618" s="1218"/>
      <c r="C2618" s="1754" t="s">
        <v>42</v>
      </c>
      <c r="D2618" s="1212"/>
      <c r="E2618" s="1212"/>
      <c r="F2618" s="1212"/>
      <c r="G2618" s="1215"/>
      <c r="H2618" s="1205" t="s">
        <v>2321</v>
      </c>
    </row>
    <row r="2619" spans="1:8" hidden="1">
      <c r="A2619" s="1156"/>
      <c r="B2619" s="1218"/>
      <c r="C2619" s="1754" t="s">
        <v>60</v>
      </c>
      <c r="D2619" s="1212"/>
      <c r="E2619" s="1212"/>
      <c r="F2619" s="1212"/>
      <c r="G2619" s="1215"/>
      <c r="H2619" s="1205" t="s">
        <v>2321</v>
      </c>
    </row>
    <row r="2620" spans="1:8" hidden="1">
      <c r="A2620" s="1156"/>
      <c r="B2620" s="1218"/>
      <c r="C2620" s="1752" t="s">
        <v>1276</v>
      </c>
      <c r="D2620" s="1212" t="s">
        <v>1353</v>
      </c>
      <c r="E2620" s="1213">
        <v>1.2</v>
      </c>
      <c r="F2620" s="1213">
        <f>'MINI SSR 21-22'!$G$40</f>
        <v>550</v>
      </c>
      <c r="G2620" s="1214">
        <f>ROUND(F2620/20*E2620,2)</f>
        <v>33</v>
      </c>
      <c r="H2620" s="1205" t="s">
        <v>2321</v>
      </c>
    </row>
    <row r="2621" spans="1:8" hidden="1">
      <c r="A2621" s="1212"/>
      <c r="B2621" s="1212"/>
      <c r="C2621" s="1754" t="s">
        <v>68</v>
      </c>
      <c r="D2621" s="1212"/>
      <c r="E2621" s="1213"/>
      <c r="F2621" s="1213"/>
      <c r="G2621" s="1214"/>
      <c r="H2621" s="1205" t="s">
        <v>2321</v>
      </c>
    </row>
    <row r="2622" spans="1:8" hidden="1">
      <c r="A2622" s="1212"/>
      <c r="B2622" s="1212"/>
      <c r="C2622" s="1752" t="s">
        <v>150</v>
      </c>
      <c r="D2622" s="1212" t="s">
        <v>27</v>
      </c>
      <c r="E2622" s="1213">
        <v>0.11</v>
      </c>
      <c r="F2622" s="1213">
        <f>'MINI SSR 21-22'!$H$8</f>
        <v>655</v>
      </c>
      <c r="G2622" s="1214">
        <f>ROUND(E2622*F2622,2)</f>
        <v>72.05</v>
      </c>
      <c r="H2622" s="1205" t="s">
        <v>2321</v>
      </c>
    </row>
    <row r="2623" spans="1:8" hidden="1">
      <c r="A2623" s="1212"/>
      <c r="B2623" s="1212"/>
      <c r="C2623" s="1752" t="s">
        <v>85</v>
      </c>
      <c r="D2623" s="1212" t="s">
        <v>27</v>
      </c>
      <c r="E2623" s="1213">
        <v>0.22</v>
      </c>
      <c r="F2623" s="1213">
        <f>'MINI SSR 21-22'!$H$5</f>
        <v>490</v>
      </c>
      <c r="G2623" s="1214">
        <f>ROUND(E2623*F2623,2)</f>
        <v>107.8</v>
      </c>
      <c r="H2623" s="1205" t="s">
        <v>2321</v>
      </c>
    </row>
    <row r="2624" spans="1:8" hidden="1">
      <c r="A2624" s="1212"/>
      <c r="B2624" s="1212"/>
      <c r="C2624" s="1752" t="s">
        <v>880</v>
      </c>
      <c r="D2624" s="1212"/>
      <c r="E2624" s="1213">
        <v>0.05</v>
      </c>
      <c r="F2624" s="1213">
        <f>SUM(G2620:G2623)</f>
        <v>212.85</v>
      </c>
      <c r="G2624" s="1214">
        <f>ROUND(E2624*F2624,2)</f>
        <v>10.64</v>
      </c>
      <c r="H2624" s="1205" t="s">
        <v>2321</v>
      </c>
    </row>
    <row r="2625" spans="1:8" hidden="1">
      <c r="A2625" s="1212"/>
      <c r="B2625" s="1212"/>
      <c r="C2625" s="1754" t="s">
        <v>88</v>
      </c>
      <c r="D2625" s="1212"/>
      <c r="E2625" s="1212"/>
      <c r="F2625" s="1212"/>
      <c r="G2625" s="1222">
        <f>SUM(G2620:G2624)</f>
        <v>223.49</v>
      </c>
      <c r="H2625" s="1205" t="s">
        <v>2321</v>
      </c>
    </row>
    <row r="2626" spans="1:8" hidden="1">
      <c r="A2626" s="1212"/>
      <c r="B2626" s="1212"/>
      <c r="C2626" s="1754"/>
      <c r="D2626" s="1212"/>
      <c r="E2626" s="1218" t="s">
        <v>161</v>
      </c>
      <c r="F2626" s="1218" t="s">
        <v>162</v>
      </c>
      <c r="G2626" s="1217" t="s">
        <v>163</v>
      </c>
      <c r="H2626" s="1205" t="s">
        <v>2321</v>
      </c>
    </row>
    <row r="2627" spans="1:8" hidden="1">
      <c r="A2627" s="1212"/>
      <c r="B2627" s="1212"/>
      <c r="C2627" s="1754" t="s">
        <v>1277</v>
      </c>
      <c r="D2627" s="1212"/>
      <c r="E2627" s="1213">
        <f>G2625</f>
        <v>223.49</v>
      </c>
      <c r="F2627" s="1213">
        <f>E2627</f>
        <v>223.49</v>
      </c>
      <c r="G2627" s="1215">
        <f>F2627</f>
        <v>223.49</v>
      </c>
      <c r="H2627" s="1205" t="s">
        <v>2321</v>
      </c>
    </row>
    <row r="2628" spans="1:8" ht="25.5" hidden="1">
      <c r="A2628" s="1212"/>
      <c r="B2628" s="1212"/>
      <c r="C2628" s="1752" t="s">
        <v>170</v>
      </c>
      <c r="D2628" s="1212"/>
      <c r="E2628" s="1212"/>
      <c r="F2628" s="1213">
        <f>ROUND((G2622+G2623)*0.1,2)</f>
        <v>17.989999999999998</v>
      </c>
      <c r="G2628" s="1215">
        <f>ROUND((G2622+G2623)*0.2,2)</f>
        <v>35.97</v>
      </c>
      <c r="H2628" s="1205" t="s">
        <v>2321</v>
      </c>
    </row>
    <row r="2629" spans="1:8" hidden="1">
      <c r="A2629" s="1212"/>
      <c r="B2629" s="1212"/>
      <c r="C2629" s="1754" t="s">
        <v>194</v>
      </c>
      <c r="D2629" s="1212"/>
      <c r="E2629" s="1217">
        <f>SUM(E2627:E2628)</f>
        <v>223.49</v>
      </c>
      <c r="F2629" s="1217">
        <f>SUM(F2627:F2628)</f>
        <v>241.48000000000002</v>
      </c>
      <c r="G2629" s="1222">
        <f>SUM(G2627:G2628)</f>
        <v>259.46000000000004</v>
      </c>
      <c r="H2629" s="1205" t="s">
        <v>2321</v>
      </c>
    </row>
    <row r="2630" spans="1:8" hidden="1">
      <c r="A2630" s="1212"/>
      <c r="B2630" s="1212"/>
      <c r="C2630" s="1754" t="s">
        <v>181</v>
      </c>
      <c r="D2630" s="1212"/>
      <c r="E2630" s="1217">
        <f>ROUND(E2629/10,2)</f>
        <v>22.35</v>
      </c>
      <c r="F2630" s="1217">
        <f>ROUND(F2629/10,2)</f>
        <v>24.15</v>
      </c>
      <c r="G2630" s="1222">
        <f>ROUND(G2629/10,2)</f>
        <v>25.95</v>
      </c>
      <c r="H2630" s="1205" t="s">
        <v>2321</v>
      </c>
    </row>
    <row r="2631" spans="1:8" ht="191.25" hidden="1">
      <c r="A2631" s="1156">
        <v>42</v>
      </c>
      <c r="B2631" s="1218" t="s">
        <v>1330</v>
      </c>
      <c r="C2631" s="1752" t="s">
        <v>891</v>
      </c>
      <c r="D2631" s="1212"/>
      <c r="E2631" s="1212"/>
      <c r="F2631" s="1212"/>
      <c r="G2631" s="1218"/>
      <c r="H2631" s="1205" t="s">
        <v>2321</v>
      </c>
    </row>
    <row r="2632" spans="1:8" hidden="1">
      <c r="A2632" s="1156"/>
      <c r="B2632" s="1218"/>
      <c r="C2632" s="1754" t="s">
        <v>42</v>
      </c>
      <c r="D2632" s="1212"/>
      <c r="E2632" s="1212"/>
      <c r="F2632" s="1212"/>
      <c r="G2632" s="1215"/>
      <c r="H2632" s="1205" t="s">
        <v>2321</v>
      </c>
    </row>
    <row r="2633" spans="1:8" hidden="1">
      <c r="A2633" s="1156"/>
      <c r="B2633" s="1218"/>
      <c r="C2633" s="1754" t="s">
        <v>60</v>
      </c>
      <c r="D2633" s="1212"/>
      <c r="E2633" s="1212"/>
      <c r="F2633" s="1212"/>
      <c r="G2633" s="1215"/>
      <c r="H2633" s="1205" t="s">
        <v>2321</v>
      </c>
    </row>
    <row r="2634" spans="1:8" hidden="1">
      <c r="A2634" s="1156"/>
      <c r="B2634" s="1218"/>
      <c r="C2634" s="1752" t="s">
        <v>892</v>
      </c>
      <c r="D2634" s="1212" t="s">
        <v>1353</v>
      </c>
      <c r="E2634" s="1213">
        <v>23</v>
      </c>
      <c r="F2634" s="1213">
        <f>'MINI SSR 21-22'!$G$40</f>
        <v>550</v>
      </c>
      <c r="G2634" s="1214">
        <f>ROUND(F2634/20*E2634,2)</f>
        <v>632.5</v>
      </c>
      <c r="H2634" s="1205" t="s">
        <v>2321</v>
      </c>
    </row>
    <row r="2635" spans="1:8" hidden="1">
      <c r="A2635" s="1212"/>
      <c r="B2635" s="1212"/>
      <c r="C2635" s="1754" t="s">
        <v>68</v>
      </c>
      <c r="D2635" s="1212"/>
      <c r="E2635" s="1213"/>
      <c r="F2635" s="1213"/>
      <c r="G2635" s="1214"/>
      <c r="H2635" s="1205" t="s">
        <v>2321</v>
      </c>
    </row>
    <row r="2636" spans="1:8" hidden="1">
      <c r="A2636" s="1212"/>
      <c r="B2636" s="1212"/>
      <c r="C2636" s="1752" t="s">
        <v>94</v>
      </c>
      <c r="D2636" s="1212" t="s">
        <v>27</v>
      </c>
      <c r="E2636" s="1223">
        <v>0.27300000000000002</v>
      </c>
      <c r="F2636" s="1213">
        <f>'MINI SSR 21-22'!$H$8</f>
        <v>655</v>
      </c>
      <c r="G2636" s="1214">
        <f>ROUND(E2636*F2636,2)</f>
        <v>178.82</v>
      </c>
      <c r="H2636" s="1205" t="s">
        <v>2321</v>
      </c>
    </row>
    <row r="2637" spans="1:8" hidden="1">
      <c r="A2637" s="1212"/>
      <c r="B2637" s="1212"/>
      <c r="C2637" s="1752" t="s">
        <v>874</v>
      </c>
      <c r="D2637" s="1212" t="s">
        <v>27</v>
      </c>
      <c r="E2637" s="1223">
        <v>0.63700000000000001</v>
      </c>
      <c r="F2637" s="1213">
        <f>'MINI SSR 21-22'!$H$9</f>
        <v>525</v>
      </c>
      <c r="G2637" s="1214">
        <f>ROUND(E2637*F2637,2)</f>
        <v>334.43</v>
      </c>
      <c r="H2637" s="1205" t="s">
        <v>2321</v>
      </c>
    </row>
    <row r="2638" spans="1:8" hidden="1">
      <c r="A2638" s="1212"/>
      <c r="B2638" s="1212"/>
      <c r="C2638" s="1752" t="s">
        <v>85</v>
      </c>
      <c r="D2638" s="1212" t="s">
        <v>27</v>
      </c>
      <c r="E2638" s="1223">
        <v>0.91</v>
      </c>
      <c r="F2638" s="1213">
        <f>'MINI SSR 21-22'!$H$5</f>
        <v>490</v>
      </c>
      <c r="G2638" s="1214">
        <f>ROUND(E2638*F2638,2)</f>
        <v>445.9</v>
      </c>
      <c r="H2638" s="1205" t="s">
        <v>2321</v>
      </c>
    </row>
    <row r="2639" spans="1:8" hidden="1">
      <c r="A2639" s="1212"/>
      <c r="B2639" s="1212"/>
      <c r="C2639" s="1752" t="s">
        <v>893</v>
      </c>
      <c r="D2639" s="1212"/>
      <c r="E2639" s="1213">
        <v>0.01</v>
      </c>
      <c r="F2639" s="1213">
        <f>SUM(G2634:G2638)</f>
        <v>1591.65</v>
      </c>
      <c r="G2639" s="1214">
        <f>ROUND(E2639*F2639,2)</f>
        <v>15.92</v>
      </c>
      <c r="H2639" s="1205" t="s">
        <v>2321</v>
      </c>
    </row>
    <row r="2640" spans="1:8" hidden="1">
      <c r="A2640" s="1212"/>
      <c r="B2640" s="1212"/>
      <c r="C2640" s="1754" t="s">
        <v>88</v>
      </c>
      <c r="D2640" s="1212"/>
      <c r="E2640" s="1212"/>
      <c r="F2640" s="1212"/>
      <c r="G2640" s="1222">
        <f>SUM(G2634:G2639)</f>
        <v>1607.5700000000002</v>
      </c>
      <c r="H2640" s="1205" t="s">
        <v>2321</v>
      </c>
    </row>
    <row r="2641" spans="1:8" hidden="1">
      <c r="A2641" s="1212"/>
      <c r="B2641" s="1212"/>
      <c r="C2641" s="1754"/>
      <c r="D2641" s="1212"/>
      <c r="E2641" s="1218" t="s">
        <v>161</v>
      </c>
      <c r="F2641" s="1218" t="s">
        <v>162</v>
      </c>
      <c r="G2641" s="1217" t="s">
        <v>163</v>
      </c>
      <c r="H2641" s="1205" t="s">
        <v>2321</v>
      </c>
    </row>
    <row r="2642" spans="1:8" hidden="1">
      <c r="A2642" s="1212"/>
      <c r="B2642" s="1212"/>
      <c r="C2642" s="1754" t="s">
        <v>1277</v>
      </c>
      <c r="D2642" s="1212"/>
      <c r="E2642" s="1213">
        <f>G2640</f>
        <v>1607.5700000000002</v>
      </c>
      <c r="F2642" s="1213">
        <f>E2642</f>
        <v>1607.5700000000002</v>
      </c>
      <c r="G2642" s="1215">
        <f>F2642</f>
        <v>1607.5700000000002</v>
      </c>
      <c r="H2642" s="1205" t="s">
        <v>2321</v>
      </c>
    </row>
    <row r="2643" spans="1:8" ht="25.5" hidden="1">
      <c r="A2643" s="1212"/>
      <c r="B2643" s="1212"/>
      <c r="C2643" s="1752" t="s">
        <v>170</v>
      </c>
      <c r="D2643" s="1212"/>
      <c r="E2643" s="1212"/>
      <c r="F2643" s="1213">
        <f>ROUND((G2636+G2637+G2638)*0.1,2)</f>
        <v>95.92</v>
      </c>
      <c r="G2643" s="1225">
        <f>ROUND(F2643*2,2)</f>
        <v>191.84</v>
      </c>
      <c r="H2643" s="1205" t="s">
        <v>2321</v>
      </c>
    </row>
    <row r="2644" spans="1:8" hidden="1">
      <c r="A2644" s="1212"/>
      <c r="B2644" s="1212"/>
      <c r="C2644" s="1754" t="s">
        <v>194</v>
      </c>
      <c r="D2644" s="1212"/>
      <c r="E2644" s="1217">
        <f>SUM(E2642:E2643)</f>
        <v>1607.5700000000002</v>
      </c>
      <c r="F2644" s="1217">
        <f>SUM(F2642:F2643)</f>
        <v>1703.4900000000002</v>
      </c>
      <c r="G2644" s="1222">
        <f>SUM(G2642:G2643)</f>
        <v>1799.41</v>
      </c>
      <c r="H2644" s="1205" t="s">
        <v>2321</v>
      </c>
    </row>
    <row r="2645" spans="1:8" hidden="1">
      <c r="A2645" s="1212"/>
      <c r="B2645" s="1212"/>
      <c r="C2645" s="1754" t="s">
        <v>181</v>
      </c>
      <c r="D2645" s="1212"/>
      <c r="E2645" s="1217">
        <f>ROUND(E2644/10,2)</f>
        <v>160.76</v>
      </c>
      <c r="F2645" s="1217">
        <f>ROUND(F2644/10,2)</f>
        <v>170.35</v>
      </c>
      <c r="G2645" s="1222">
        <f>ROUND(G2644/10,2)</f>
        <v>179.94</v>
      </c>
      <c r="H2645" s="1205" t="s">
        <v>2321</v>
      </c>
    </row>
    <row r="2646" spans="1:8" s="1247" customFormat="1" ht="25.5" hidden="1">
      <c r="A2646" s="1218">
        <v>43</v>
      </c>
      <c r="B2646" s="1245" t="s">
        <v>1354</v>
      </c>
      <c r="C2646" s="1752" t="s">
        <v>1355</v>
      </c>
      <c r="D2646" s="1212"/>
      <c r="E2646" s="1212"/>
      <c r="F2646" s="1246"/>
      <c r="G2646" s="1246"/>
      <c r="H2646" s="1205" t="s">
        <v>2321</v>
      </c>
    </row>
    <row r="2647" spans="1:8" hidden="1">
      <c r="A2647" s="1212"/>
      <c r="B2647" s="1218"/>
      <c r="C2647" s="1752" t="s">
        <v>1356</v>
      </c>
      <c r="D2647" s="1216"/>
      <c r="E2647" s="1216"/>
      <c r="F2647" s="1216"/>
      <c r="G2647" s="1241"/>
      <c r="H2647" s="1205" t="s">
        <v>2321</v>
      </c>
    </row>
    <row r="2648" spans="1:8" hidden="1">
      <c r="A2648" s="1212"/>
      <c r="B2648" s="1218"/>
      <c r="C2648" s="1752" t="s">
        <v>1357</v>
      </c>
      <c r="D2648" s="1216"/>
      <c r="E2648" s="1216"/>
      <c r="F2648" s="1216"/>
      <c r="G2648" s="1241"/>
      <c r="H2648" s="1205" t="s">
        <v>2321</v>
      </c>
    </row>
    <row r="2649" spans="1:8" hidden="1">
      <c r="A2649" s="1212"/>
      <c r="B2649" s="1218"/>
      <c r="C2649" s="1752" t="s">
        <v>3223</v>
      </c>
      <c r="D2649" s="1216" t="s">
        <v>90</v>
      </c>
      <c r="E2649" s="1216">
        <v>1</v>
      </c>
      <c r="F2649" s="1216">
        <f>'MINI SSR 21-22'!G41</f>
        <v>141</v>
      </c>
      <c r="G2649" s="1241">
        <f>ROUND(E2649*F2649,2)</f>
        <v>141</v>
      </c>
      <c r="H2649" s="1205" t="s">
        <v>2321</v>
      </c>
    </row>
    <row r="2650" spans="1:8" hidden="1">
      <c r="A2650" s="1212"/>
      <c r="B2650" s="1218"/>
      <c r="C2650" s="1752" t="s">
        <v>1358</v>
      </c>
      <c r="D2650" s="1216"/>
      <c r="E2650" s="1216"/>
      <c r="F2650" s="1216"/>
      <c r="G2650" s="1241"/>
      <c r="H2650" s="1205" t="s">
        <v>2321</v>
      </c>
    </row>
    <row r="2651" spans="1:8" hidden="1">
      <c r="A2651" s="1212"/>
      <c r="B2651" s="1218"/>
      <c r="C2651" s="1752" t="s">
        <v>94</v>
      </c>
      <c r="D2651" s="1216" t="s">
        <v>27</v>
      </c>
      <c r="E2651" s="1216">
        <v>0.21</v>
      </c>
      <c r="F2651" s="1213">
        <f>'MINI SSR 21-22'!$H$8</f>
        <v>655</v>
      </c>
      <c r="G2651" s="1241">
        <f>ROUND(E2651*F2651,2)</f>
        <v>137.55000000000001</v>
      </c>
      <c r="H2651" s="1205" t="s">
        <v>2321</v>
      </c>
    </row>
    <row r="2652" spans="1:8" hidden="1">
      <c r="A2652" s="1212"/>
      <c r="B2652" s="1218"/>
      <c r="C2652" s="1752" t="s">
        <v>874</v>
      </c>
      <c r="D2652" s="1216" t="s">
        <v>27</v>
      </c>
      <c r="E2652" s="1216">
        <v>0.49</v>
      </c>
      <c r="F2652" s="1213">
        <f>'MINI SSR 21-22'!$H$9</f>
        <v>525</v>
      </c>
      <c r="G2652" s="1241">
        <f>ROUND(E2652*F2652,2)</f>
        <v>257.25</v>
      </c>
      <c r="H2652" s="1205" t="s">
        <v>2321</v>
      </c>
    </row>
    <row r="2653" spans="1:8" hidden="1">
      <c r="A2653" s="1212"/>
      <c r="B2653" s="1218"/>
      <c r="C2653" s="1752" t="s">
        <v>875</v>
      </c>
      <c r="D2653" s="1216"/>
      <c r="E2653" s="1248">
        <v>5.0000000000000001E-3</v>
      </c>
      <c r="F2653" s="1216">
        <f>SUM(G2649:G2652)</f>
        <v>535.79999999999995</v>
      </c>
      <c r="G2653" s="1241">
        <f>ROUND(E2653*F2653,2)</f>
        <v>2.68</v>
      </c>
      <c r="H2653" s="1205" t="s">
        <v>2321</v>
      </c>
    </row>
    <row r="2654" spans="1:8" hidden="1">
      <c r="A2654" s="1212"/>
      <c r="B2654" s="1218"/>
      <c r="C2654" s="1752" t="s">
        <v>1359</v>
      </c>
      <c r="D2654" s="1216"/>
      <c r="E2654" s="1216"/>
      <c r="F2654" s="1216"/>
      <c r="G2654" s="1241">
        <f>SUM(G2649:G2653)</f>
        <v>538.4799999999999</v>
      </c>
      <c r="H2654" s="1205" t="s">
        <v>2321</v>
      </c>
    </row>
    <row r="2655" spans="1:8" s="1250" customFormat="1" hidden="1">
      <c r="A2655" s="1245"/>
      <c r="B2655" s="1245"/>
      <c r="C2655" s="1754" t="s">
        <v>869</v>
      </c>
      <c r="D2655" s="1242"/>
      <c r="E2655" s="1242"/>
      <c r="F2655" s="1242"/>
      <c r="G2655" s="1249">
        <f>ROUND(SUM(G2654:G2654),2)</f>
        <v>538.48</v>
      </c>
      <c r="H2655" s="1205" t="s">
        <v>2321</v>
      </c>
    </row>
    <row r="2656" spans="1:8" s="1247" customFormat="1" ht="25.5" hidden="1">
      <c r="A2656" s="1218">
        <v>44</v>
      </c>
      <c r="B2656" s="1218" t="s">
        <v>1354</v>
      </c>
      <c r="C2656" s="1752" t="s">
        <v>1360</v>
      </c>
      <c r="D2656" s="1212"/>
      <c r="E2656" s="1212"/>
      <c r="F2656" s="1246"/>
      <c r="G2656" s="1246"/>
      <c r="H2656" s="1205" t="s">
        <v>2321</v>
      </c>
    </row>
    <row r="2657" spans="1:8" hidden="1">
      <c r="A2657" s="1212"/>
      <c r="B2657" s="1218"/>
      <c r="C2657" s="1752" t="s">
        <v>1356</v>
      </c>
      <c r="D2657" s="1216"/>
      <c r="E2657" s="1216"/>
      <c r="F2657" s="1216"/>
      <c r="G2657" s="1241"/>
      <c r="H2657" s="1205" t="s">
        <v>2321</v>
      </c>
    </row>
    <row r="2658" spans="1:8" hidden="1">
      <c r="A2658" s="1212"/>
      <c r="B2658" s="1218"/>
      <c r="C2658" s="1752" t="s">
        <v>1357</v>
      </c>
      <c r="D2658" s="1216"/>
      <c r="E2658" s="1216"/>
      <c r="F2658" s="1216"/>
      <c r="G2658" s="1241"/>
      <c r="H2658" s="1205" t="s">
        <v>2321</v>
      </c>
    </row>
    <row r="2659" spans="1:8" hidden="1">
      <c r="A2659" s="1212"/>
      <c r="B2659" s="1218"/>
      <c r="C2659" s="1752" t="s">
        <v>3224</v>
      </c>
      <c r="D2659" s="1216" t="s">
        <v>90</v>
      </c>
      <c r="E2659" s="1216">
        <v>1</v>
      </c>
      <c r="F2659" s="1216">
        <f>'MINI SSR 21-22'!G42</f>
        <v>180</v>
      </c>
      <c r="G2659" s="1241">
        <f>ROUND(E2659*F2659,2)</f>
        <v>180</v>
      </c>
      <c r="H2659" s="1205" t="s">
        <v>2321</v>
      </c>
    </row>
    <row r="2660" spans="1:8" hidden="1">
      <c r="A2660" s="1212"/>
      <c r="B2660" s="1218"/>
      <c r="C2660" s="1752" t="s">
        <v>1358</v>
      </c>
      <c r="D2660" s="1216"/>
      <c r="E2660" s="1216"/>
      <c r="F2660" s="1216"/>
      <c r="G2660" s="1241"/>
      <c r="H2660" s="1205" t="s">
        <v>2321</v>
      </c>
    </row>
    <row r="2661" spans="1:8" hidden="1">
      <c r="A2661" s="1212"/>
      <c r="B2661" s="1218"/>
      <c r="C2661" s="1752" t="s">
        <v>94</v>
      </c>
      <c r="D2661" s="1216" t="s">
        <v>27</v>
      </c>
      <c r="E2661" s="1216">
        <v>0.21</v>
      </c>
      <c r="F2661" s="1213">
        <f>'MINI SSR 21-22'!$H$8</f>
        <v>655</v>
      </c>
      <c r="G2661" s="1241">
        <f>ROUND(E2661*F2661,2)</f>
        <v>137.55000000000001</v>
      </c>
      <c r="H2661" s="1205" t="s">
        <v>2321</v>
      </c>
    </row>
    <row r="2662" spans="1:8" hidden="1">
      <c r="A2662" s="1212"/>
      <c r="B2662" s="1218"/>
      <c r="C2662" s="1752" t="s">
        <v>874</v>
      </c>
      <c r="D2662" s="1216" t="s">
        <v>27</v>
      </c>
      <c r="E2662" s="1216">
        <v>0.49</v>
      </c>
      <c r="F2662" s="1213">
        <f>'MINI SSR 21-22'!$H$9</f>
        <v>525</v>
      </c>
      <c r="G2662" s="1241">
        <f>ROUND(E2662*F2662,2)</f>
        <v>257.25</v>
      </c>
      <c r="H2662" s="1205" t="s">
        <v>2321</v>
      </c>
    </row>
    <row r="2663" spans="1:8" hidden="1">
      <c r="A2663" s="1212"/>
      <c r="B2663" s="1218"/>
      <c r="C2663" s="1752" t="s">
        <v>875</v>
      </c>
      <c r="D2663" s="1216"/>
      <c r="E2663" s="1248">
        <v>5.0000000000000001E-3</v>
      </c>
      <c r="F2663" s="1216">
        <f>SUM(G2659:G2662)</f>
        <v>574.79999999999995</v>
      </c>
      <c r="G2663" s="1241">
        <f>ROUND(E2663*F2663,2)</f>
        <v>2.87</v>
      </c>
      <c r="H2663" s="1205" t="s">
        <v>2321</v>
      </c>
    </row>
    <row r="2664" spans="1:8" hidden="1">
      <c r="A2664" s="1212"/>
      <c r="B2664" s="1218"/>
      <c r="C2664" s="1752" t="s">
        <v>1359</v>
      </c>
      <c r="D2664" s="1216"/>
      <c r="E2664" s="1216"/>
      <c r="F2664" s="1216"/>
      <c r="G2664" s="1241">
        <f>SUM(G2659:G2663)</f>
        <v>577.66999999999996</v>
      </c>
      <c r="H2664" s="1205" t="s">
        <v>2321</v>
      </c>
    </row>
    <row r="2665" spans="1:8" s="1250" customFormat="1" hidden="1">
      <c r="A2665" s="1245"/>
      <c r="B2665" s="1245"/>
      <c r="C2665" s="1754" t="s">
        <v>869</v>
      </c>
      <c r="D2665" s="1242"/>
      <c r="E2665" s="1242"/>
      <c r="F2665" s="1242"/>
      <c r="G2665" s="1249">
        <f>ROUND(SUM(G2664:G2664),2)</f>
        <v>577.66999999999996</v>
      </c>
      <c r="H2665" s="1205" t="s">
        <v>2321</v>
      </c>
    </row>
    <row r="2666" spans="1:8" s="1247" customFormat="1" ht="140.25" hidden="1">
      <c r="A2666" s="1218"/>
      <c r="B2666" s="1218" t="s">
        <v>1330</v>
      </c>
      <c r="C2666" s="1752" t="s">
        <v>1167</v>
      </c>
      <c r="D2666" s="1212"/>
      <c r="E2666" s="1212"/>
      <c r="F2666" s="1246"/>
      <c r="G2666" s="1246"/>
      <c r="H2666" s="1205" t="s">
        <v>2321</v>
      </c>
    </row>
    <row r="2667" spans="1:8" hidden="1">
      <c r="A2667" s="1212"/>
      <c r="B2667" s="1218"/>
      <c r="C2667" s="1754" t="s">
        <v>1361</v>
      </c>
      <c r="D2667" s="1216"/>
      <c r="E2667" s="1216"/>
      <c r="F2667" s="1216"/>
      <c r="G2667" s="1241"/>
      <c r="H2667" s="1205" t="s">
        <v>2321</v>
      </c>
    </row>
    <row r="2668" spans="1:8" hidden="1">
      <c r="A2668" s="1212"/>
      <c r="B2668" s="1218"/>
      <c r="C2668" s="1752" t="s">
        <v>1371</v>
      </c>
      <c r="D2668" s="1216" t="s">
        <v>1362</v>
      </c>
      <c r="E2668" s="1216">
        <v>1</v>
      </c>
      <c r="F2668" s="1216">
        <f>G2655</f>
        <v>538.48</v>
      </c>
      <c r="G2668" s="1241">
        <f>ROUND(E2668*F2668,2)</f>
        <v>538.48</v>
      </c>
      <c r="H2668" s="1205" t="s">
        <v>2321</v>
      </c>
    </row>
    <row r="2669" spans="1:8" hidden="1">
      <c r="A2669" s="1212"/>
      <c r="B2669" s="1218"/>
      <c r="C2669" s="1752"/>
      <c r="D2669" s="1216"/>
      <c r="E2669" s="1216"/>
      <c r="F2669" s="1216"/>
      <c r="G2669" s="1241"/>
      <c r="H2669" s="1205" t="s">
        <v>2321</v>
      </c>
    </row>
    <row r="2670" spans="1:8" hidden="1">
      <c r="A2670" s="1212"/>
      <c r="B2670" s="1218"/>
      <c r="C2670" s="1251" t="s">
        <v>1363</v>
      </c>
      <c r="D2670" s="1216"/>
      <c r="E2670" s="1216"/>
      <c r="F2670" s="1216"/>
      <c r="G2670" s="1241"/>
      <c r="H2670" s="1205" t="s">
        <v>2321</v>
      </c>
    </row>
    <row r="2671" spans="1:8" hidden="1">
      <c r="A2671" s="1212">
        <v>45</v>
      </c>
      <c r="B2671" s="1218"/>
      <c r="C2671" s="1752" t="s">
        <v>3225</v>
      </c>
      <c r="D2671" s="1156" t="s">
        <v>291</v>
      </c>
      <c r="E2671" s="1221">
        <v>0.8</v>
      </c>
      <c r="F2671" s="1216">
        <f>'MINI SSR 21-22'!G43</f>
        <v>168</v>
      </c>
      <c r="G2671" s="1241">
        <f>ROUND(E2671*F2671,2)</f>
        <v>134.4</v>
      </c>
      <c r="H2671" s="1205" t="s">
        <v>2321</v>
      </c>
    </row>
    <row r="2672" spans="1:8" hidden="1">
      <c r="A2672" s="1212"/>
      <c r="B2672" s="1218"/>
      <c r="C2672" s="1251" t="s">
        <v>1365</v>
      </c>
      <c r="D2672" s="1156"/>
      <c r="E2672" s="1221"/>
      <c r="F2672" s="1216"/>
      <c r="G2672" s="1241"/>
      <c r="H2672" s="1205" t="s">
        <v>2321</v>
      </c>
    </row>
    <row r="2673" spans="1:8" hidden="1">
      <c r="A2673" s="1212"/>
      <c r="B2673" s="1218"/>
      <c r="C2673" s="1752" t="s">
        <v>1366</v>
      </c>
      <c r="D2673" s="1156" t="s">
        <v>27</v>
      </c>
      <c r="E2673" s="1213">
        <v>0.36</v>
      </c>
      <c r="F2673" s="1213">
        <f>'MINI SSR 21-22'!$H$8</f>
        <v>655</v>
      </c>
      <c r="G2673" s="1241">
        <f>ROUND(E2673*F2673,2)</f>
        <v>235.8</v>
      </c>
      <c r="H2673" s="1205" t="s">
        <v>2321</v>
      </c>
    </row>
    <row r="2674" spans="1:8" hidden="1">
      <c r="A2674" s="1212"/>
      <c r="B2674" s="1218"/>
      <c r="C2674" s="1752" t="s">
        <v>1367</v>
      </c>
      <c r="D2674" s="1156" t="s">
        <v>27</v>
      </c>
      <c r="E2674" s="1213">
        <v>0.84</v>
      </c>
      <c r="F2674" s="1213">
        <f>'MINI SSR 21-22'!$H$9</f>
        <v>525</v>
      </c>
      <c r="G2674" s="1241">
        <f>ROUND(E2674*F2674,2)</f>
        <v>441</v>
      </c>
      <c r="H2674" s="1205" t="s">
        <v>2321</v>
      </c>
    </row>
    <row r="2675" spans="1:8" hidden="1">
      <c r="A2675" s="1212"/>
      <c r="B2675" s="1218"/>
      <c r="C2675" s="1752" t="s">
        <v>0</v>
      </c>
      <c r="D2675" s="1216"/>
      <c r="E2675" s="1216"/>
      <c r="F2675" s="1216"/>
      <c r="G2675" s="1241">
        <f>SUM(G2668:G2674)</f>
        <v>1349.68</v>
      </c>
      <c r="H2675" s="1205" t="s">
        <v>2321</v>
      </c>
    </row>
    <row r="2676" spans="1:8" hidden="1">
      <c r="A2676" s="1212"/>
      <c r="B2676" s="1218"/>
      <c r="C2676" s="1752"/>
      <c r="D2676" s="1216"/>
      <c r="E2676" s="1242" t="s">
        <v>161</v>
      </c>
      <c r="F2676" s="1242" t="s">
        <v>162</v>
      </c>
      <c r="G2676" s="1242" t="s">
        <v>163</v>
      </c>
      <c r="H2676" s="1205" t="s">
        <v>2321</v>
      </c>
    </row>
    <row r="2677" spans="1:8" hidden="1">
      <c r="A2677" s="1212"/>
      <c r="B2677" s="1218"/>
      <c r="C2677" s="1752" t="s">
        <v>867</v>
      </c>
      <c r="D2677" s="1216"/>
      <c r="E2677" s="1216">
        <f>G2675</f>
        <v>1349.68</v>
      </c>
      <c r="F2677" s="1252">
        <f>G2675</f>
        <v>1349.68</v>
      </c>
      <c r="G2677" s="1252">
        <f>G2675</f>
        <v>1349.68</v>
      </c>
      <c r="H2677" s="1205" t="s">
        <v>2321</v>
      </c>
    </row>
    <row r="2678" spans="1:8" hidden="1">
      <c r="A2678" s="1212"/>
      <c r="B2678" s="1218"/>
      <c r="C2678" s="1752" t="s">
        <v>1368</v>
      </c>
      <c r="D2678" s="1216"/>
      <c r="E2678" s="1216"/>
      <c r="F2678" s="1241">
        <f>SUM(G2651+G2652+G2673+G2674)*10%</f>
        <v>107.16</v>
      </c>
      <c r="G2678" s="1241">
        <f>SUM(G2651+G2652+G2673+G2674)*20%</f>
        <v>214.32</v>
      </c>
      <c r="H2678" s="1205" t="s">
        <v>2321</v>
      </c>
    </row>
    <row r="2679" spans="1:8" s="1250" customFormat="1" hidden="1">
      <c r="A2679" s="1245"/>
      <c r="B2679" s="1245"/>
      <c r="C2679" s="1754" t="s">
        <v>869</v>
      </c>
      <c r="D2679" s="1242"/>
      <c r="E2679" s="1242">
        <f>SUM(E2677:E2678)</f>
        <v>1349.68</v>
      </c>
      <c r="F2679" s="1249">
        <f>SUM(F2677:F2678)</f>
        <v>1456.8400000000001</v>
      </c>
      <c r="G2679" s="1249">
        <f>SUM(G2677:G2678)</f>
        <v>1564</v>
      </c>
      <c r="H2679" s="1205" t="s">
        <v>2321</v>
      </c>
    </row>
    <row r="2680" spans="1:8" s="1250" customFormat="1" hidden="1">
      <c r="A2680" s="1245"/>
      <c r="B2680" s="1245"/>
      <c r="C2680" s="1754" t="s">
        <v>1369</v>
      </c>
      <c r="D2680" s="1242"/>
      <c r="E2680" s="1242">
        <f>ROUND(E2679/10,2)</f>
        <v>134.97</v>
      </c>
      <c r="F2680" s="1249">
        <f>ROUND(F2679/10,2)</f>
        <v>145.68</v>
      </c>
      <c r="G2680" s="1249">
        <f>ROUND(G2679/10,2)</f>
        <v>156.4</v>
      </c>
      <c r="H2680" s="1205" t="s">
        <v>2321</v>
      </c>
    </row>
    <row r="2681" spans="1:8" s="1247" customFormat="1" ht="140.25" hidden="1">
      <c r="A2681" s="1218">
        <v>46</v>
      </c>
      <c r="B2681" s="1218" t="s">
        <v>1330</v>
      </c>
      <c r="C2681" s="1752" t="s">
        <v>1370</v>
      </c>
      <c r="D2681" s="1212"/>
      <c r="E2681" s="1212"/>
      <c r="F2681" s="1246"/>
      <c r="G2681" s="1246"/>
      <c r="H2681" s="1205" t="s">
        <v>2321</v>
      </c>
    </row>
    <row r="2682" spans="1:8" hidden="1">
      <c r="A2682" s="1212"/>
      <c r="B2682" s="1218"/>
      <c r="C2682" s="1752" t="s">
        <v>1371</v>
      </c>
      <c r="D2682" s="1216" t="s">
        <v>1362</v>
      </c>
      <c r="E2682" s="1216">
        <v>1</v>
      </c>
      <c r="F2682" s="1216">
        <f>G2665</f>
        <v>577.66999999999996</v>
      </c>
      <c r="G2682" s="1241">
        <f>ROUND(E2682*F2682,2)</f>
        <v>577.66999999999996</v>
      </c>
      <c r="H2682" s="1205" t="s">
        <v>2321</v>
      </c>
    </row>
    <row r="2683" spans="1:8" hidden="1">
      <c r="A2683" s="1212"/>
      <c r="B2683" s="1218"/>
      <c r="C2683" s="1251" t="s">
        <v>1363</v>
      </c>
      <c r="D2683" s="1216"/>
      <c r="E2683" s="1216"/>
      <c r="F2683" s="1216"/>
      <c r="G2683" s="1241"/>
      <c r="H2683" s="1205" t="s">
        <v>2321</v>
      </c>
    </row>
    <row r="2684" spans="1:8" hidden="1">
      <c r="A2684" s="1212"/>
      <c r="B2684" s="1218"/>
      <c r="C2684" s="1752" t="s">
        <v>3226</v>
      </c>
      <c r="D2684" s="1156" t="s">
        <v>291</v>
      </c>
      <c r="E2684" s="1221">
        <v>0.8</v>
      </c>
      <c r="F2684" s="1216">
        <f>'MINI SSR 21-22'!G44</f>
        <v>194</v>
      </c>
      <c r="G2684" s="1241">
        <f>ROUND(E2684*F2684,2)</f>
        <v>155.19999999999999</v>
      </c>
      <c r="H2684" s="1205" t="s">
        <v>2321</v>
      </c>
    </row>
    <row r="2685" spans="1:8" hidden="1">
      <c r="A2685" s="1212"/>
      <c r="B2685" s="1218"/>
      <c r="C2685" s="1251" t="s">
        <v>1365</v>
      </c>
      <c r="D2685" s="1156"/>
      <c r="E2685" s="1221"/>
      <c r="F2685" s="1216"/>
      <c r="G2685" s="1241"/>
      <c r="H2685" s="1205" t="s">
        <v>2321</v>
      </c>
    </row>
    <row r="2686" spans="1:8" hidden="1">
      <c r="A2686" s="1212"/>
      <c r="B2686" s="1218"/>
      <c r="C2686" s="1752" t="s">
        <v>1366</v>
      </c>
      <c r="D2686" s="1156" t="s">
        <v>27</v>
      </c>
      <c r="E2686" s="1213">
        <v>0.21</v>
      </c>
      <c r="F2686" s="1213">
        <f>'MINI SSR 21-22'!$H$8</f>
        <v>655</v>
      </c>
      <c r="G2686" s="1241">
        <f>ROUND(E2686*F2686,2)</f>
        <v>137.55000000000001</v>
      </c>
      <c r="H2686" s="1205" t="s">
        <v>2321</v>
      </c>
    </row>
    <row r="2687" spans="1:8" hidden="1">
      <c r="A2687" s="1212"/>
      <c r="B2687" s="1218"/>
      <c r="C2687" s="1752" t="s">
        <v>1367</v>
      </c>
      <c r="D2687" s="1156" t="s">
        <v>27</v>
      </c>
      <c r="E2687" s="1213">
        <v>0.49</v>
      </c>
      <c r="F2687" s="1213">
        <f>'MINI SSR 21-22'!$H$9</f>
        <v>525</v>
      </c>
      <c r="G2687" s="1241">
        <f>ROUND(E2687*F2687,2)</f>
        <v>257.25</v>
      </c>
      <c r="H2687" s="1205" t="s">
        <v>2321</v>
      </c>
    </row>
    <row r="2688" spans="1:8" hidden="1">
      <c r="A2688" s="1212"/>
      <c r="B2688" s="1218"/>
      <c r="C2688" s="1752" t="s">
        <v>311</v>
      </c>
      <c r="D2688" s="1156" t="s">
        <v>27</v>
      </c>
      <c r="E2688" s="1213">
        <v>1.5</v>
      </c>
      <c r="F2688" s="1213">
        <f>'MINI SSR 21-22'!$H$5</f>
        <v>490</v>
      </c>
      <c r="G2688" s="1241">
        <f>ROUND(E2688*F2688,2)</f>
        <v>735</v>
      </c>
      <c r="H2688" s="1205" t="s">
        <v>2321</v>
      </c>
    </row>
    <row r="2689" spans="1:8" hidden="1">
      <c r="A2689" s="1212"/>
      <c r="B2689" s="1218"/>
      <c r="C2689" s="1752" t="s">
        <v>0</v>
      </c>
      <c r="D2689" s="1216"/>
      <c r="E2689" s="1216"/>
      <c r="F2689" s="1216"/>
      <c r="G2689" s="1241">
        <f>SUM(G2682:G2688)</f>
        <v>1862.6699999999998</v>
      </c>
      <c r="H2689" s="1205" t="s">
        <v>2321</v>
      </c>
    </row>
    <row r="2690" spans="1:8" hidden="1">
      <c r="A2690" s="1212"/>
      <c r="B2690" s="1218"/>
      <c r="C2690" s="1752"/>
      <c r="D2690" s="1216"/>
      <c r="E2690" s="1242" t="s">
        <v>161</v>
      </c>
      <c r="F2690" s="1242" t="s">
        <v>162</v>
      </c>
      <c r="G2690" s="1242" t="s">
        <v>163</v>
      </c>
      <c r="H2690" s="1205" t="s">
        <v>2321</v>
      </c>
    </row>
    <row r="2691" spans="1:8" hidden="1">
      <c r="A2691" s="1212"/>
      <c r="B2691" s="1218"/>
      <c r="C2691" s="1752" t="s">
        <v>867</v>
      </c>
      <c r="D2691" s="1216"/>
      <c r="E2691" s="1216">
        <f>G2689</f>
        <v>1862.6699999999998</v>
      </c>
      <c r="F2691" s="1252">
        <f>G2689</f>
        <v>1862.6699999999998</v>
      </c>
      <c r="G2691" s="1252">
        <f>G2689</f>
        <v>1862.6699999999998</v>
      </c>
      <c r="H2691" s="1205" t="s">
        <v>2321</v>
      </c>
    </row>
    <row r="2692" spans="1:8" hidden="1">
      <c r="A2692" s="1212"/>
      <c r="B2692" s="1218"/>
      <c r="C2692" s="1752" t="s">
        <v>870</v>
      </c>
      <c r="D2692" s="1216"/>
      <c r="E2692" s="1216"/>
      <c r="F2692" s="1241">
        <f>SUM(G2661+G2662+G2686+G2687+G2688)*10%</f>
        <v>152.46</v>
      </c>
      <c r="G2692" s="1241">
        <f>SUM(G2661+G2662+G2686+G2687+G2688)*20%</f>
        <v>304.92</v>
      </c>
      <c r="H2692" s="1205" t="s">
        <v>2321</v>
      </c>
    </row>
    <row r="2693" spans="1:8" s="1250" customFormat="1" hidden="1">
      <c r="A2693" s="1245"/>
      <c r="B2693" s="1245"/>
      <c r="C2693" s="1754" t="s">
        <v>869</v>
      </c>
      <c r="D2693" s="1242"/>
      <c r="E2693" s="1242">
        <f>SUM(E2691:E2692)</f>
        <v>1862.6699999999998</v>
      </c>
      <c r="F2693" s="1249">
        <f>SUM(F2691:F2692)</f>
        <v>2015.1299999999999</v>
      </c>
      <c r="G2693" s="1249">
        <f>SUM(G2691:G2692)</f>
        <v>2167.5899999999997</v>
      </c>
      <c r="H2693" s="1205" t="s">
        <v>2321</v>
      </c>
    </row>
    <row r="2694" spans="1:8" s="1250" customFormat="1" hidden="1">
      <c r="A2694" s="1245"/>
      <c r="B2694" s="1245"/>
      <c r="C2694" s="1754" t="s">
        <v>1369</v>
      </c>
      <c r="D2694" s="1242"/>
      <c r="E2694" s="1242">
        <f>ROUND(E2693/10,2)</f>
        <v>186.27</v>
      </c>
      <c r="F2694" s="1249">
        <f>ROUND(F2693/10,2)</f>
        <v>201.51</v>
      </c>
      <c r="G2694" s="1249">
        <f>ROUND(G2693/10,2)</f>
        <v>216.76</v>
      </c>
      <c r="H2694" s="1205" t="s">
        <v>2321</v>
      </c>
    </row>
    <row r="2695" spans="1:8" ht="140.25" hidden="1">
      <c r="A2695" s="1156">
        <v>58</v>
      </c>
      <c r="B2695" s="1218" t="s">
        <v>96</v>
      </c>
      <c r="C2695" s="1752" t="s">
        <v>1308</v>
      </c>
      <c r="D2695" s="1212"/>
      <c r="E2695" s="1212"/>
      <c r="F2695" s="1212"/>
      <c r="G2695" s="1218"/>
      <c r="H2695" s="1205" t="s">
        <v>2321</v>
      </c>
    </row>
    <row r="2696" spans="1:8" hidden="1">
      <c r="A2696" s="1156"/>
      <c r="B2696" s="1218"/>
      <c r="C2696" s="1754" t="s">
        <v>42</v>
      </c>
      <c r="D2696" s="1212"/>
      <c r="E2696" s="1212"/>
      <c r="F2696" s="1212"/>
      <c r="G2696" s="1215"/>
      <c r="H2696" s="1205" t="s">
        <v>2321</v>
      </c>
    </row>
    <row r="2697" spans="1:8" hidden="1">
      <c r="A2697" s="1156"/>
      <c r="B2697" s="1218"/>
      <c r="C2697" s="1754" t="s">
        <v>97</v>
      </c>
      <c r="D2697" s="1212"/>
      <c r="E2697" s="1212"/>
      <c r="F2697" s="1212"/>
      <c r="G2697" s="1215"/>
      <c r="H2697" s="1205" t="s">
        <v>2321</v>
      </c>
    </row>
    <row r="2698" spans="1:8" hidden="1">
      <c r="A2698" s="1156"/>
      <c r="B2698" s="1218"/>
      <c r="C2698" s="1754" t="s">
        <v>60</v>
      </c>
      <c r="D2698" s="1212"/>
      <c r="E2698" s="1212"/>
      <c r="F2698" s="1212"/>
      <c r="G2698" s="1215"/>
      <c r="H2698" s="1205" t="s">
        <v>2321</v>
      </c>
    </row>
    <row r="2699" spans="1:8" hidden="1">
      <c r="A2699" s="1156"/>
      <c r="B2699" s="1218"/>
      <c r="C2699" s="1752" t="s">
        <v>216</v>
      </c>
      <c r="D2699" s="1212" t="s">
        <v>30</v>
      </c>
      <c r="E2699" s="1213">
        <v>0.7</v>
      </c>
      <c r="F2699" s="1213">
        <f>'MINI SSR 21-22'!G45</f>
        <v>130</v>
      </c>
      <c r="G2699" s="1214">
        <f>ROUND(E2699*F2699,2)</f>
        <v>91</v>
      </c>
      <c r="H2699" s="1205" t="s">
        <v>2321</v>
      </c>
    </row>
    <row r="2700" spans="1:8" hidden="1">
      <c r="A2700" s="1212"/>
      <c r="B2700" s="1218"/>
      <c r="C2700" s="1754" t="s">
        <v>68</v>
      </c>
      <c r="D2700" s="1212"/>
      <c r="E2700" s="1213"/>
      <c r="F2700" s="1213"/>
      <c r="G2700" s="1214"/>
      <c r="H2700" s="1205" t="s">
        <v>2321</v>
      </c>
    </row>
    <row r="2701" spans="1:8" hidden="1">
      <c r="A2701" s="1212"/>
      <c r="B2701" s="1212"/>
      <c r="C2701" s="1752" t="s">
        <v>94</v>
      </c>
      <c r="D2701" s="1212" t="s">
        <v>27</v>
      </c>
      <c r="E2701" s="1213">
        <v>0.21</v>
      </c>
      <c r="F2701" s="1213">
        <f>'MINI SSR 21-22'!$H$8</f>
        <v>655</v>
      </c>
      <c r="G2701" s="1214">
        <f>ROUND(E2701*F2701,2)</f>
        <v>137.55000000000001</v>
      </c>
      <c r="H2701" s="1205" t="s">
        <v>2321</v>
      </c>
    </row>
    <row r="2702" spans="1:8" hidden="1">
      <c r="A2702" s="1212"/>
      <c r="B2702" s="1212"/>
      <c r="C2702" s="1752" t="s">
        <v>876</v>
      </c>
      <c r="D2702" s="1212" t="s">
        <v>27</v>
      </c>
      <c r="E2702" s="1213">
        <v>0.48</v>
      </c>
      <c r="F2702" s="1213">
        <f>'MINI SSR 21-22'!$H$9</f>
        <v>525</v>
      </c>
      <c r="G2702" s="1214">
        <f>ROUND(E2702*F2702,2)</f>
        <v>252</v>
      </c>
      <c r="H2702" s="1205" t="s">
        <v>2321</v>
      </c>
    </row>
    <row r="2703" spans="1:8" hidden="1">
      <c r="A2703" s="1212"/>
      <c r="B2703" s="1212"/>
      <c r="C2703" s="1752" t="s">
        <v>95</v>
      </c>
      <c r="D2703" s="1212"/>
      <c r="E2703" s="1213"/>
      <c r="F2703" s="1217">
        <f>SUM(G2699:G2701)</f>
        <v>228.55</v>
      </c>
      <c r="G2703" s="1214">
        <f>ROUND(F2703*0.01,2)</f>
        <v>2.29</v>
      </c>
      <c r="H2703" s="1205" t="s">
        <v>2321</v>
      </c>
    </row>
    <row r="2704" spans="1:8" hidden="1">
      <c r="A2704" s="1212"/>
      <c r="B2704" s="1212"/>
      <c r="C2704" s="1754" t="s">
        <v>98</v>
      </c>
      <c r="D2704" s="1212"/>
      <c r="E2704" s="1212"/>
      <c r="F2704" s="1212"/>
      <c r="G2704" s="1222"/>
      <c r="H2704" s="1205" t="s">
        <v>2321</v>
      </c>
    </row>
    <row r="2705" spans="1:8" hidden="1">
      <c r="A2705" s="1212"/>
      <c r="B2705" s="1212"/>
      <c r="C2705" s="1754" t="s">
        <v>60</v>
      </c>
      <c r="D2705" s="1212"/>
      <c r="E2705" s="1212"/>
      <c r="F2705" s="1212"/>
      <c r="G2705" s="1215"/>
      <c r="H2705" s="1205" t="s">
        <v>2321</v>
      </c>
    </row>
    <row r="2706" spans="1:8" hidden="1">
      <c r="A2706" s="1212"/>
      <c r="B2706" s="1212"/>
      <c r="C2706" s="1752" t="s">
        <v>217</v>
      </c>
      <c r="D2706" s="1212" t="s">
        <v>30</v>
      </c>
      <c r="E2706" s="1213">
        <v>1.1000000000000001</v>
      </c>
      <c r="F2706" s="1213">
        <f>'MINI SSR 21-22'!G46</f>
        <v>248</v>
      </c>
      <c r="G2706" s="1214">
        <f>ROUND(E2706*F2706,2)</f>
        <v>272.8</v>
      </c>
      <c r="H2706" s="1205" t="s">
        <v>2321</v>
      </c>
    </row>
    <row r="2707" spans="1:8" hidden="1">
      <c r="A2707" s="1212"/>
      <c r="B2707" s="1212"/>
      <c r="C2707" s="1754" t="s">
        <v>68</v>
      </c>
      <c r="D2707" s="1212"/>
      <c r="E2707" s="1213"/>
      <c r="F2707" s="1213"/>
      <c r="G2707" s="1214"/>
      <c r="H2707" s="1205" t="s">
        <v>2321</v>
      </c>
    </row>
    <row r="2708" spans="1:8" hidden="1">
      <c r="A2708" s="1212"/>
      <c r="B2708" s="1212"/>
      <c r="C2708" s="1752" t="s">
        <v>94</v>
      </c>
      <c r="D2708" s="1212" t="s">
        <v>27</v>
      </c>
      <c r="E2708" s="1213">
        <v>0.33</v>
      </c>
      <c r="F2708" s="1213">
        <f>'MINI SSR 21-22'!$H$8</f>
        <v>655</v>
      </c>
      <c r="G2708" s="1214">
        <f>ROUND(E2708*F2708,2)</f>
        <v>216.15</v>
      </c>
      <c r="H2708" s="1205" t="s">
        <v>2321</v>
      </c>
    </row>
    <row r="2709" spans="1:8" hidden="1">
      <c r="A2709" s="1212"/>
      <c r="B2709" s="1212"/>
      <c r="C2709" s="1752" t="s">
        <v>876</v>
      </c>
      <c r="D2709" s="1212" t="s">
        <v>27</v>
      </c>
      <c r="E2709" s="1213">
        <v>0.77</v>
      </c>
      <c r="F2709" s="1213">
        <f>'MINI SSR 21-22'!$H$9</f>
        <v>525</v>
      </c>
      <c r="G2709" s="1214">
        <f>ROUND(E2709*F2709,2)</f>
        <v>404.25</v>
      </c>
      <c r="H2709" s="1205" t="s">
        <v>2321</v>
      </c>
    </row>
    <row r="2710" spans="1:8" hidden="1">
      <c r="A2710" s="1212"/>
      <c r="B2710" s="1212"/>
      <c r="C2710" s="1754" t="s">
        <v>99</v>
      </c>
      <c r="D2710" s="1212"/>
      <c r="E2710" s="1212"/>
      <c r="F2710" s="1212"/>
      <c r="G2710" s="1222">
        <f>SUM(G2699:G2709)</f>
        <v>1376.04</v>
      </c>
      <c r="H2710" s="1205" t="s">
        <v>2321</v>
      </c>
    </row>
    <row r="2711" spans="1:8" hidden="1">
      <c r="A2711" s="1212"/>
      <c r="B2711" s="1212"/>
      <c r="C2711" s="1754" t="s">
        <v>121</v>
      </c>
      <c r="D2711" s="1212"/>
      <c r="E2711" s="1212"/>
      <c r="F2711" s="1212"/>
      <c r="G2711" s="1222">
        <f>ROUND(G2710/10,2)</f>
        <v>137.6</v>
      </c>
      <c r="H2711" s="1205" t="s">
        <v>2321</v>
      </c>
    </row>
    <row r="2712" spans="1:8" ht="63.75" hidden="1">
      <c r="A2712" s="1156">
        <v>59</v>
      </c>
      <c r="B2712" s="1218"/>
      <c r="C2712" s="1752" t="s">
        <v>1181</v>
      </c>
      <c r="D2712" s="1212"/>
      <c r="E2712" s="1212"/>
      <c r="F2712" s="1212"/>
      <c r="G2712" s="1215"/>
      <c r="H2712" s="1205" t="s">
        <v>2321</v>
      </c>
    </row>
    <row r="2713" spans="1:8" hidden="1">
      <c r="A2713" s="1212"/>
      <c r="B2713" s="1212" t="s">
        <v>1422</v>
      </c>
      <c r="C2713" s="1752" t="s">
        <v>1421</v>
      </c>
      <c r="D2713" s="1212" t="s">
        <v>102</v>
      </c>
      <c r="E2713" s="1213">
        <v>1</v>
      </c>
      <c r="F2713" s="1213">
        <v>205</v>
      </c>
      <c r="G2713" s="1214">
        <f>ROUND(E2713*F2713,2)</f>
        <v>205</v>
      </c>
      <c r="H2713" s="1205" t="s">
        <v>2321</v>
      </c>
    </row>
    <row r="2714" spans="1:8" hidden="1">
      <c r="A2714" s="1212"/>
      <c r="B2714" s="1212"/>
      <c r="C2714" s="1754"/>
      <c r="D2714" s="1212"/>
      <c r="E2714" s="1212"/>
      <c r="F2714" s="1212"/>
      <c r="G2714" s="1222">
        <f>SUM(G2713:G2713)</f>
        <v>205</v>
      </c>
      <c r="H2714" s="1205" t="s">
        <v>2321</v>
      </c>
    </row>
    <row r="2715" spans="1:8" ht="293.25" hidden="1">
      <c r="A2715" s="1156">
        <v>60</v>
      </c>
      <c r="B2715" s="1218"/>
      <c r="C2715" s="1752" t="s">
        <v>1183</v>
      </c>
      <c r="D2715" s="1212"/>
      <c r="E2715" s="1212"/>
      <c r="F2715" s="1212"/>
      <c r="G2715" s="1215"/>
      <c r="H2715" s="1205" t="s">
        <v>2321</v>
      </c>
    </row>
    <row r="2716" spans="1:8" hidden="1">
      <c r="A2716" s="1212"/>
      <c r="B2716" s="1212"/>
      <c r="C2716" s="1752" t="s">
        <v>222</v>
      </c>
      <c r="D2716" s="1212"/>
      <c r="E2716" s="1213"/>
      <c r="F2716" s="1213"/>
      <c r="G2716" s="1214"/>
      <c r="H2716" s="1205" t="s">
        <v>2321</v>
      </c>
    </row>
    <row r="2717" spans="1:8" hidden="1">
      <c r="A2717" s="1212"/>
      <c r="B2717" s="1212" t="s">
        <v>1424</v>
      </c>
      <c r="C2717" s="1752" t="s">
        <v>1423</v>
      </c>
      <c r="D2717" s="1213" t="s">
        <v>291</v>
      </c>
      <c r="E2717" s="1223">
        <v>6.5000000000000002E-2</v>
      </c>
      <c r="F2717" s="1216">
        <f>'MINI SSR 21-22'!G47</f>
        <v>708</v>
      </c>
      <c r="G2717" s="1214">
        <f>ROUND(E2717*F2717,2)</f>
        <v>46.02</v>
      </c>
      <c r="H2717" s="1205" t="s">
        <v>2321</v>
      </c>
    </row>
    <row r="2718" spans="1:8" hidden="1">
      <c r="A2718" s="1212"/>
      <c r="B2718" s="1212" t="s">
        <v>1424</v>
      </c>
      <c r="C2718" s="1752" t="s">
        <v>1425</v>
      </c>
      <c r="D2718" s="1213" t="s">
        <v>291</v>
      </c>
      <c r="E2718" s="1223">
        <v>3.3000000000000002E-2</v>
      </c>
      <c r="F2718" s="1216">
        <f>'MINI SSR 21-22'!G48</f>
        <v>244</v>
      </c>
      <c r="G2718" s="1214">
        <f>ROUND(E2718*F2718,2)</f>
        <v>8.0500000000000007</v>
      </c>
      <c r="H2718" s="1205" t="s">
        <v>2321</v>
      </c>
    </row>
    <row r="2719" spans="1:8" hidden="1">
      <c r="A2719" s="1156"/>
      <c r="B2719" s="1218"/>
      <c r="C2719" s="1752" t="s">
        <v>94</v>
      </c>
      <c r="D2719" s="1213" t="s">
        <v>27</v>
      </c>
      <c r="E2719" s="1213">
        <v>0.24</v>
      </c>
      <c r="F2719" s="1213">
        <f>'MINI SSR 21-22'!$H$8</f>
        <v>655</v>
      </c>
      <c r="G2719" s="1214">
        <f>ROUND(E2719*F2719,2)</f>
        <v>157.19999999999999</v>
      </c>
      <c r="H2719" s="1205" t="s">
        <v>2321</v>
      </c>
    </row>
    <row r="2720" spans="1:8" hidden="1">
      <c r="A2720" s="1156"/>
      <c r="B2720" s="1218"/>
      <c r="C2720" s="1752" t="s">
        <v>874</v>
      </c>
      <c r="D2720" s="1213" t="s">
        <v>27</v>
      </c>
      <c r="E2720" s="1213">
        <v>0.56000000000000005</v>
      </c>
      <c r="F2720" s="1213">
        <f>'MINI SSR 21-22'!$H$9</f>
        <v>525</v>
      </c>
      <c r="G2720" s="1214">
        <f>ROUND(E2720*F2720,2)</f>
        <v>294</v>
      </c>
      <c r="H2720" s="1205" t="s">
        <v>2321</v>
      </c>
    </row>
    <row r="2721" spans="1:8" hidden="1">
      <c r="A2721" s="1156"/>
      <c r="B2721" s="1218"/>
      <c r="C2721" s="1752" t="s">
        <v>157</v>
      </c>
      <c r="D2721" s="1213" t="s">
        <v>27</v>
      </c>
      <c r="E2721" s="1213">
        <v>0.8</v>
      </c>
      <c r="F2721" s="1213">
        <f>'MINI SSR 21-22'!$H$5</f>
        <v>490</v>
      </c>
      <c r="G2721" s="1214">
        <f>ROUND(E2721*F2721,2)</f>
        <v>392</v>
      </c>
      <c r="H2721" s="1205" t="s">
        <v>2321</v>
      </c>
    </row>
    <row r="2722" spans="1:8" hidden="1">
      <c r="A2722" s="1156"/>
      <c r="B2722" s="1218"/>
      <c r="C2722" s="1754" t="s">
        <v>1182</v>
      </c>
      <c r="D2722" s="1213"/>
      <c r="E2722" s="1242"/>
      <c r="F2722" s="1242"/>
      <c r="G2722" s="1214">
        <f>SUM(G2717:G2721)</f>
        <v>897.27</v>
      </c>
      <c r="H2722" s="1205" t="s">
        <v>2321</v>
      </c>
    </row>
    <row r="2723" spans="1:8" ht="89.25" hidden="1">
      <c r="A2723" s="1156">
        <v>61</v>
      </c>
      <c r="B2723" s="1218"/>
      <c r="C2723" s="1752" t="s">
        <v>1184</v>
      </c>
      <c r="D2723" s="1212"/>
      <c r="E2723" s="1212"/>
      <c r="F2723" s="1212"/>
      <c r="G2723" s="1215"/>
      <c r="H2723" s="1205" t="s">
        <v>2321</v>
      </c>
    </row>
    <row r="2724" spans="1:8" hidden="1">
      <c r="A2724" s="1212"/>
      <c r="B2724" s="1212"/>
      <c r="C2724" s="1752" t="s">
        <v>1185</v>
      </c>
      <c r="D2724" s="1212" t="s">
        <v>102</v>
      </c>
      <c r="E2724" s="1213">
        <v>1</v>
      </c>
      <c r="F2724" s="1213">
        <v>630</v>
      </c>
      <c r="G2724" s="1214">
        <f>ROUND(E2724*F2724,2)</f>
        <v>630</v>
      </c>
      <c r="H2724" s="1205" t="s">
        <v>2321</v>
      </c>
    </row>
    <row r="2725" spans="1:8" hidden="1">
      <c r="A2725" s="1212"/>
      <c r="B2725" s="1212"/>
      <c r="C2725" s="1754"/>
      <c r="D2725" s="1212"/>
      <c r="E2725" s="1212"/>
      <c r="F2725" s="1212"/>
      <c r="G2725" s="1222">
        <f>SUM(G2724:G2724)</f>
        <v>630</v>
      </c>
      <c r="H2725" s="1205" t="s">
        <v>2321</v>
      </c>
    </row>
    <row r="2726" spans="1:8" ht="165.75" hidden="1">
      <c r="A2726" s="1156">
        <v>24</v>
      </c>
      <c r="B2726" s="1218"/>
      <c r="C2726" s="1752" t="s">
        <v>680</v>
      </c>
      <c r="D2726" s="1212"/>
      <c r="E2726" s="1212"/>
      <c r="F2726" s="1212"/>
      <c r="G2726" s="1215"/>
      <c r="H2726" s="1205" t="s">
        <v>2321</v>
      </c>
    </row>
    <row r="2727" spans="1:8" hidden="1">
      <c r="A2727" s="1212"/>
      <c r="B2727" s="1212" t="s">
        <v>1373</v>
      </c>
      <c r="C2727" s="1752" t="s">
        <v>379</v>
      </c>
      <c r="D2727" s="1212" t="s">
        <v>102</v>
      </c>
      <c r="E2727" s="1213">
        <v>1</v>
      </c>
      <c r="F2727" s="1213">
        <f>'MINI SSR 21-22'!C47</f>
        <v>3500</v>
      </c>
      <c r="G2727" s="1214">
        <f>ROUND(E2727*F2727,2)</f>
        <v>3500</v>
      </c>
      <c r="H2727" s="1205" t="s">
        <v>2321</v>
      </c>
    </row>
    <row r="2728" spans="1:8" hidden="1">
      <c r="A2728" s="1212"/>
      <c r="B2728" s="1212"/>
      <c r="C2728" s="1754"/>
      <c r="D2728" s="1212"/>
      <c r="E2728" s="1212"/>
      <c r="F2728" s="1212"/>
      <c r="G2728" s="1222">
        <f>SUM(G2727:G2727)</f>
        <v>3500</v>
      </c>
      <c r="H2728" s="1205" t="s">
        <v>2321</v>
      </c>
    </row>
    <row r="2729" spans="1:8" ht="51" hidden="1">
      <c r="A2729" s="1156">
        <v>63</v>
      </c>
      <c r="B2729" s="1218"/>
      <c r="C2729" s="1752" t="s">
        <v>951</v>
      </c>
      <c r="D2729" s="1212"/>
      <c r="E2729" s="1212"/>
      <c r="F2729" s="1212"/>
      <c r="G2729" s="1215"/>
      <c r="H2729" s="1205" t="s">
        <v>2321</v>
      </c>
    </row>
    <row r="2730" spans="1:8" hidden="1">
      <c r="A2730" s="1212"/>
      <c r="B2730" s="1212" t="s">
        <v>1427</v>
      </c>
      <c r="C2730" s="1752" t="s">
        <v>1426</v>
      </c>
      <c r="D2730" s="1212" t="s">
        <v>275</v>
      </c>
      <c r="E2730" s="1166">
        <v>1</v>
      </c>
      <c r="F2730" s="1221">
        <v>275</v>
      </c>
      <c r="G2730" s="1214">
        <f>ROUND(E2730*F2730,2)</f>
        <v>275</v>
      </c>
      <c r="H2730" s="1205" t="s">
        <v>2321</v>
      </c>
    </row>
    <row r="2731" spans="1:8" hidden="1">
      <c r="A2731" s="1212"/>
      <c r="B2731" s="1212"/>
      <c r="C2731" s="1752" t="s">
        <v>953</v>
      </c>
      <c r="D2731" s="1212"/>
      <c r="E2731" s="1166"/>
      <c r="F2731" s="1221"/>
      <c r="G2731" s="1214"/>
      <c r="H2731" s="1205" t="s">
        <v>2321</v>
      </c>
    </row>
    <row r="2732" spans="1:8" hidden="1">
      <c r="A2732" s="1212"/>
      <c r="B2732" s="1212"/>
      <c r="C2732" s="1752" t="s">
        <v>3236</v>
      </c>
      <c r="D2732" s="1212"/>
      <c r="E2732" s="1166"/>
      <c r="F2732" s="1221"/>
      <c r="G2732" s="1214"/>
      <c r="H2732" s="1205" t="s">
        <v>2321</v>
      </c>
    </row>
    <row r="2733" spans="1:8" hidden="1">
      <c r="A2733" s="1212"/>
      <c r="B2733" s="1212"/>
      <c r="C2733" s="1752" t="s">
        <v>3238</v>
      </c>
      <c r="D2733" s="1212"/>
      <c r="E2733" s="1166"/>
      <c r="F2733" s="1221"/>
      <c r="G2733" s="1214"/>
      <c r="H2733" s="1205" t="s">
        <v>2321</v>
      </c>
    </row>
    <row r="2734" spans="1:8" hidden="1">
      <c r="A2734" s="1212"/>
      <c r="B2734" s="1212"/>
      <c r="C2734" s="1752" t="s">
        <v>3237</v>
      </c>
      <c r="D2734" s="1212"/>
      <c r="E2734" s="1166"/>
      <c r="F2734" s="1221"/>
      <c r="G2734" s="1214"/>
      <c r="H2734" s="1205" t="s">
        <v>2321</v>
      </c>
    </row>
    <row r="2735" spans="1:8" hidden="1">
      <c r="A2735" s="1212"/>
      <c r="B2735" s="1212"/>
      <c r="C2735" s="1752" t="s">
        <v>957</v>
      </c>
      <c r="D2735" s="1212" t="s">
        <v>275</v>
      </c>
      <c r="E2735" s="1166">
        <v>1</v>
      </c>
      <c r="F2735" s="1221">
        <v>733.33</v>
      </c>
      <c r="G2735" s="1214">
        <f>ROUND(E2735*F2735,2)</f>
        <v>733.33</v>
      </c>
      <c r="H2735" s="1205" t="s">
        <v>2321</v>
      </c>
    </row>
    <row r="2736" spans="1:8" hidden="1">
      <c r="A2736" s="1212"/>
      <c r="B2736" s="1212"/>
      <c r="C2736" s="1757"/>
      <c r="D2736" s="1156"/>
      <c r="E2736" s="1166"/>
      <c r="F2736" s="1221"/>
      <c r="G2736" s="1224"/>
      <c r="H2736" s="1205" t="s">
        <v>2321</v>
      </c>
    </row>
    <row r="2737" spans="1:8" hidden="1">
      <c r="A2737" s="1212"/>
      <c r="B2737" s="1212"/>
      <c r="C2737" s="1754"/>
      <c r="D2737" s="1212"/>
      <c r="E2737" s="1212"/>
      <c r="F2737" s="1212"/>
      <c r="G2737" s="1222">
        <f>SUM(G2735:G2736)</f>
        <v>733.33</v>
      </c>
      <c r="H2737" s="1205" t="s">
        <v>2321</v>
      </c>
    </row>
    <row r="2738" spans="1:8" ht="51" hidden="1">
      <c r="A2738" s="1156">
        <v>64</v>
      </c>
      <c r="B2738" s="1218"/>
      <c r="C2738" s="1752" t="s">
        <v>1232</v>
      </c>
      <c r="D2738" s="1212"/>
      <c r="E2738" s="1212"/>
      <c r="F2738" s="1212"/>
      <c r="G2738" s="1215"/>
      <c r="H2738" s="1205" t="s">
        <v>2321</v>
      </c>
    </row>
    <row r="2739" spans="1:8" hidden="1">
      <c r="A2739" s="1212"/>
      <c r="B2739" s="1212" t="s">
        <v>1427</v>
      </c>
      <c r="C2739" s="1752" t="s">
        <v>1426</v>
      </c>
      <c r="D2739" s="1212" t="s">
        <v>275</v>
      </c>
      <c r="E2739" s="1166">
        <v>1</v>
      </c>
      <c r="F2739" s="1221">
        <v>275</v>
      </c>
      <c r="G2739" s="1214">
        <f>ROUND(E2739*F2739,2)</f>
        <v>275</v>
      </c>
      <c r="H2739" s="1205" t="s">
        <v>2321</v>
      </c>
    </row>
    <row r="2740" spans="1:8" hidden="1">
      <c r="A2740" s="1212"/>
      <c r="B2740" s="1212"/>
      <c r="C2740" s="1752" t="s">
        <v>1236</v>
      </c>
      <c r="D2740" s="1212"/>
      <c r="E2740" s="1166"/>
      <c r="F2740" s="1221"/>
      <c r="G2740" s="1214"/>
      <c r="H2740" s="1205" t="s">
        <v>2321</v>
      </c>
    </row>
    <row r="2741" spans="1:8" hidden="1">
      <c r="A2741" s="1212"/>
      <c r="B2741" s="1212"/>
      <c r="C2741" s="1752" t="s">
        <v>3227</v>
      </c>
      <c r="D2741" s="1212"/>
      <c r="E2741" s="1166"/>
      <c r="F2741" s="1221"/>
      <c r="G2741" s="1214"/>
      <c r="H2741" s="1205" t="s">
        <v>2321</v>
      </c>
    </row>
    <row r="2742" spans="1:8" hidden="1">
      <c r="A2742" s="1212"/>
      <c r="B2742" s="1212"/>
      <c r="C2742" s="1752" t="s">
        <v>3228</v>
      </c>
      <c r="D2742" s="1212"/>
      <c r="E2742" s="1166"/>
      <c r="F2742" s="1221"/>
      <c r="G2742" s="1214"/>
      <c r="H2742" s="1205" t="s">
        <v>2321</v>
      </c>
    </row>
    <row r="2743" spans="1:8" hidden="1">
      <c r="A2743" s="1212"/>
      <c r="B2743" s="1212"/>
      <c r="C2743" s="1752" t="s">
        <v>3229</v>
      </c>
      <c r="D2743" s="1212"/>
      <c r="E2743" s="1166"/>
      <c r="F2743" s="1221"/>
      <c r="G2743" s="1214"/>
      <c r="H2743" s="1205" t="s">
        <v>2321</v>
      </c>
    </row>
    <row r="2744" spans="1:8" hidden="1">
      <c r="A2744" s="1212"/>
      <c r="B2744" s="1212"/>
      <c r="C2744" s="1752" t="s">
        <v>1236</v>
      </c>
      <c r="D2744" s="1212" t="s">
        <v>275</v>
      </c>
      <c r="E2744" s="1166">
        <v>1</v>
      </c>
      <c r="F2744" s="1221">
        <v>550</v>
      </c>
      <c r="G2744" s="1214">
        <f>ROUND(E2744*F2744,2)</f>
        <v>550</v>
      </c>
      <c r="H2744" s="1205" t="s">
        <v>2321</v>
      </c>
    </row>
    <row r="2745" spans="1:8" hidden="1">
      <c r="A2745" s="1212"/>
      <c r="B2745" s="1212"/>
      <c r="C2745" s="1757"/>
      <c r="D2745" s="1156"/>
      <c r="E2745" s="1166"/>
      <c r="F2745" s="1221"/>
      <c r="G2745" s="1224"/>
      <c r="H2745" s="1205" t="s">
        <v>2321</v>
      </c>
    </row>
    <row r="2746" spans="1:8" hidden="1">
      <c r="A2746" s="1212"/>
      <c r="B2746" s="1212"/>
      <c r="C2746" s="1754"/>
      <c r="D2746" s="1212"/>
      <c r="E2746" s="1212"/>
      <c r="F2746" s="1212"/>
      <c r="G2746" s="1222">
        <f>SUM(G2744:G2745)</f>
        <v>550</v>
      </c>
      <c r="H2746" s="1205" t="s">
        <v>2321</v>
      </c>
    </row>
    <row r="2747" spans="1:8" ht="51" hidden="1">
      <c r="A2747" s="1156">
        <v>65</v>
      </c>
      <c r="B2747" s="1218"/>
      <c r="C2747" s="1752" t="s">
        <v>952</v>
      </c>
      <c r="D2747" s="1212"/>
      <c r="E2747" s="1212"/>
      <c r="F2747" s="1212"/>
      <c r="G2747" s="1215"/>
      <c r="H2747" s="1205" t="s">
        <v>2321</v>
      </c>
    </row>
    <row r="2748" spans="1:8" hidden="1">
      <c r="A2748" s="1212"/>
      <c r="B2748" s="1212" t="s">
        <v>1429</v>
      </c>
      <c r="C2748" s="1752" t="s">
        <v>1428</v>
      </c>
      <c r="D2748" s="1212" t="s">
        <v>275</v>
      </c>
      <c r="E2748" s="1166">
        <v>1</v>
      </c>
      <c r="F2748" s="1221">
        <v>143</v>
      </c>
      <c r="G2748" s="1214">
        <f>ROUND(E2748*F2748,2)</f>
        <v>143</v>
      </c>
      <c r="H2748" s="1205" t="s">
        <v>2321</v>
      </c>
    </row>
    <row r="2749" spans="1:8" hidden="1">
      <c r="A2749" s="1212"/>
      <c r="B2749" s="1212"/>
      <c r="C2749" s="1757"/>
      <c r="D2749" s="1156"/>
      <c r="E2749" s="1166"/>
      <c r="F2749" s="1221"/>
      <c r="G2749" s="1224"/>
      <c r="H2749" s="1205" t="s">
        <v>2321</v>
      </c>
    </row>
    <row r="2750" spans="1:8" hidden="1">
      <c r="A2750" s="1212"/>
      <c r="B2750" s="1212"/>
      <c r="C2750" s="1754"/>
      <c r="D2750" s="1212"/>
      <c r="E2750" s="1212"/>
      <c r="F2750" s="1212"/>
      <c r="G2750" s="1222">
        <f>SUM(G2748:G2749)</f>
        <v>143</v>
      </c>
      <c r="H2750" s="1205" t="s">
        <v>2321</v>
      </c>
    </row>
    <row r="2751" spans="1:8" hidden="1">
      <c r="A2751" s="1156">
        <v>25</v>
      </c>
      <c r="B2751" s="1218"/>
      <c r="C2751" s="1253" t="s">
        <v>932</v>
      </c>
      <c r="D2751" s="1212"/>
      <c r="E2751" s="1212"/>
      <c r="F2751" s="1212"/>
      <c r="G2751" s="1212"/>
      <c r="H2751" s="1205" t="s">
        <v>2321</v>
      </c>
    </row>
    <row r="2752" spans="1:8" hidden="1">
      <c r="A2752" s="1212"/>
      <c r="B2752" s="1212" t="s">
        <v>1408</v>
      </c>
      <c r="C2752" s="1253" t="s">
        <v>379</v>
      </c>
      <c r="D2752" s="1212" t="s">
        <v>102</v>
      </c>
      <c r="E2752" s="1213">
        <v>1</v>
      </c>
      <c r="F2752" s="1213">
        <f>'D&amp;W data'!F672</f>
        <v>353</v>
      </c>
      <c r="G2752" s="1214">
        <f>ROUND(E2752*F2752,2)</f>
        <v>353</v>
      </c>
      <c r="H2752" s="1205" t="s">
        <v>2321</v>
      </c>
    </row>
    <row r="2753" spans="1:8" hidden="1">
      <c r="A2753" s="1212"/>
      <c r="B2753" s="1212"/>
      <c r="C2753" s="1253" t="s">
        <v>929</v>
      </c>
      <c r="D2753" s="1156" t="s">
        <v>108</v>
      </c>
      <c r="E2753" s="1221">
        <v>0.06</v>
      </c>
      <c r="F2753" s="1213">
        <f>'D&amp;W data'!F673</f>
        <v>585</v>
      </c>
      <c r="G2753" s="1224">
        <f>ROUND(E2753*F2753,2)</f>
        <v>35.1</v>
      </c>
      <c r="H2753" s="1205" t="s">
        <v>2321</v>
      </c>
    </row>
    <row r="2754" spans="1:8" hidden="1">
      <c r="A2754" s="1212"/>
      <c r="B2754" s="1212"/>
      <c r="C2754" s="1253" t="s">
        <v>930</v>
      </c>
      <c r="D2754" s="1156" t="s">
        <v>108</v>
      </c>
      <c r="E2754" s="1221">
        <v>0.06</v>
      </c>
      <c r="F2754" s="1213">
        <f>'D&amp;W data'!F674</f>
        <v>525</v>
      </c>
      <c r="G2754" s="1224">
        <f>ROUND(E2754*F2754,2)</f>
        <v>31.5</v>
      </c>
      <c r="H2754" s="1205" t="s">
        <v>2321</v>
      </c>
    </row>
    <row r="2755" spans="1:8" hidden="1">
      <c r="A2755" s="1212"/>
      <c r="B2755" s="1212"/>
      <c r="C2755" s="1254" t="s">
        <v>931</v>
      </c>
      <c r="D2755" s="1156" t="s">
        <v>108</v>
      </c>
      <c r="E2755" s="1166">
        <v>0.27500000000000002</v>
      </c>
      <c r="F2755" s="1213">
        <f>'D&amp;W data'!F675</f>
        <v>490</v>
      </c>
      <c r="G2755" s="1224">
        <f>ROUND(E2755*F2755,2)</f>
        <v>134.75</v>
      </c>
      <c r="H2755" s="1205" t="s">
        <v>2321</v>
      </c>
    </row>
    <row r="2756" spans="1:8" hidden="1">
      <c r="A2756" s="1212"/>
      <c r="B2756" s="1212"/>
      <c r="C2756" s="1255" t="s">
        <v>1404</v>
      </c>
      <c r="D2756" s="1212"/>
      <c r="E2756" s="1212"/>
      <c r="F2756" s="1212"/>
      <c r="G2756" s="1222">
        <f>SUM(G2752:G2755)</f>
        <v>554.35</v>
      </c>
      <c r="H2756" s="1205" t="s">
        <v>2321</v>
      </c>
    </row>
    <row r="2757" spans="1:8" hidden="1">
      <c r="A2757" s="1212"/>
      <c r="B2757" s="1212"/>
      <c r="C2757" s="1777" t="s">
        <v>2320</v>
      </c>
      <c r="D2757" s="1212"/>
      <c r="E2757" s="1212"/>
      <c r="F2757" s="1212"/>
      <c r="G2757" s="1222"/>
      <c r="H2757" s="1205" t="s">
        <v>2322</v>
      </c>
    </row>
    <row r="2758" spans="1:8" ht="25.5" hidden="1">
      <c r="A2758" s="1212">
        <v>47</v>
      </c>
      <c r="B2758" s="1212" t="s">
        <v>46</v>
      </c>
      <c r="C2758" s="1754" t="s">
        <v>43</v>
      </c>
      <c r="D2758" s="1212"/>
      <c r="E2758" s="1212"/>
      <c r="F2758" s="1212"/>
      <c r="G2758" s="1212"/>
      <c r="H2758" s="1205" t="s">
        <v>2322</v>
      </c>
    </row>
    <row r="2759" spans="1:8" hidden="1">
      <c r="A2759" s="1212"/>
      <c r="B2759" s="1212"/>
      <c r="C2759" s="1752" t="s">
        <v>44</v>
      </c>
      <c r="D2759" s="1212" t="s">
        <v>4</v>
      </c>
      <c r="E2759" s="1213">
        <f>1440/3</f>
        <v>480</v>
      </c>
      <c r="F2759" s="1213">
        <f>'lead 22-23'!$L$8</f>
        <v>4700</v>
      </c>
      <c r="G2759" s="1214">
        <f>ROUND(E2759*F2759/1000,2)</f>
        <v>2256</v>
      </c>
      <c r="H2759" s="1205" t="s">
        <v>2322</v>
      </c>
    </row>
    <row r="2760" spans="1:8" hidden="1">
      <c r="A2760" s="1212"/>
      <c r="B2760" s="1212"/>
      <c r="C2760" s="1752" t="s">
        <v>110</v>
      </c>
      <c r="D2760" s="1212" t="s">
        <v>35</v>
      </c>
      <c r="E2760" s="1213">
        <v>1.05</v>
      </c>
      <c r="F2760" s="1213">
        <f>'lead 22-23'!$L$12</f>
        <v>1815.9999999999998</v>
      </c>
      <c r="G2760" s="1214">
        <f>ROUND(E2760*F2760,2)</f>
        <v>1906.8</v>
      </c>
      <c r="H2760" s="1205" t="s">
        <v>2322</v>
      </c>
    </row>
    <row r="2761" spans="1:8" hidden="1">
      <c r="A2761" s="1212"/>
      <c r="B2761" s="1212"/>
      <c r="C2761" s="1752" t="s">
        <v>45</v>
      </c>
      <c r="D2761" s="1212" t="s">
        <v>27</v>
      </c>
      <c r="E2761" s="1213">
        <v>0.2</v>
      </c>
      <c r="F2761" s="1213">
        <f>'MINI SSR 2022-23'!H$5</f>
        <v>525</v>
      </c>
      <c r="G2761" s="1214">
        <f>ROUND(E2761*F2761,2)</f>
        <v>105</v>
      </c>
      <c r="H2761" s="1205" t="s">
        <v>2322</v>
      </c>
    </row>
    <row r="2762" spans="1:8" hidden="1">
      <c r="A2762" s="1212"/>
      <c r="B2762" s="1212"/>
      <c r="C2762" s="1752"/>
      <c r="D2762" s="1212"/>
      <c r="E2762" s="1212"/>
      <c r="F2762" s="1212"/>
      <c r="G2762" s="1215">
        <f>SUM(G2759:G2761)</f>
        <v>4267.8</v>
      </c>
      <c r="H2762" s="1205" t="s">
        <v>2322</v>
      </c>
    </row>
    <row r="2763" spans="1:8" ht="25.5" hidden="1">
      <c r="A2763" s="1212">
        <v>2</v>
      </c>
      <c r="B2763" s="1212" t="s">
        <v>51</v>
      </c>
      <c r="C2763" s="1754" t="s">
        <v>47</v>
      </c>
      <c r="D2763" s="1212"/>
      <c r="E2763" s="1212"/>
      <c r="F2763" s="1212"/>
      <c r="G2763" s="1212"/>
      <c r="H2763" s="1205" t="s">
        <v>2322</v>
      </c>
    </row>
    <row r="2764" spans="1:8" hidden="1">
      <c r="A2764" s="1212"/>
      <c r="B2764" s="1212"/>
      <c r="C2764" s="1752" t="s">
        <v>44</v>
      </c>
      <c r="D2764" s="1212" t="s">
        <v>4</v>
      </c>
      <c r="E2764" s="1213">
        <f>1440/4</f>
        <v>360</v>
      </c>
      <c r="F2764" s="1213">
        <f>'lead 22-23'!$L$8</f>
        <v>4700</v>
      </c>
      <c r="G2764" s="1214">
        <f>ROUND(E2764*F2764/1000,2)</f>
        <v>1692</v>
      </c>
      <c r="H2764" s="1205" t="s">
        <v>2322</v>
      </c>
    </row>
    <row r="2765" spans="1:8" hidden="1">
      <c r="A2765" s="1212"/>
      <c r="B2765" s="1212"/>
      <c r="C2765" s="1752" t="s">
        <v>110</v>
      </c>
      <c r="D2765" s="1212" t="s">
        <v>35</v>
      </c>
      <c r="E2765" s="1213">
        <v>1.05</v>
      </c>
      <c r="F2765" s="1213">
        <f>'lead 22-23'!$L$12</f>
        <v>1815.9999999999998</v>
      </c>
      <c r="G2765" s="1214">
        <f>ROUND(E2765*F2765,2)</f>
        <v>1906.8</v>
      </c>
      <c r="H2765" s="1205" t="s">
        <v>2322</v>
      </c>
    </row>
    <row r="2766" spans="1:8" hidden="1">
      <c r="A2766" s="1212"/>
      <c r="B2766" s="1212"/>
      <c r="C2766" s="1752" t="s">
        <v>45</v>
      </c>
      <c r="D2766" s="1212" t="s">
        <v>27</v>
      </c>
      <c r="E2766" s="1213">
        <v>0.2</v>
      </c>
      <c r="F2766" s="1213">
        <f>'MINI SSR 2022-23'!H$5</f>
        <v>525</v>
      </c>
      <c r="G2766" s="1214">
        <f>ROUND(E2766*F2766,2)</f>
        <v>105</v>
      </c>
      <c r="H2766" s="1205" t="s">
        <v>2322</v>
      </c>
    </row>
    <row r="2767" spans="1:8" hidden="1">
      <c r="A2767" s="1212"/>
      <c r="B2767" s="1212"/>
      <c r="C2767" s="1752"/>
      <c r="D2767" s="1212"/>
      <c r="E2767" s="1212"/>
      <c r="F2767" s="1212"/>
      <c r="G2767" s="1215">
        <f>SUM(G2764:G2766)</f>
        <v>3703.8</v>
      </c>
      <c r="H2767" s="1205" t="s">
        <v>2322</v>
      </c>
    </row>
    <row r="2768" spans="1:8" s="1256" customFormat="1" ht="25.5" hidden="1">
      <c r="A2768" s="1212">
        <v>2</v>
      </c>
      <c r="B2768" s="1212" t="s">
        <v>52</v>
      </c>
      <c r="C2768" s="1754" t="s">
        <v>48</v>
      </c>
      <c r="D2768" s="1212"/>
      <c r="E2768" s="1212"/>
      <c r="F2768" s="1212"/>
      <c r="G2768" s="1212"/>
      <c r="H2768" s="1205" t="s">
        <v>2322</v>
      </c>
    </row>
    <row r="2769" spans="1:8" s="1256" customFormat="1" hidden="1">
      <c r="A2769" s="1212"/>
      <c r="B2769" s="1212"/>
      <c r="C2769" s="1752" t="s">
        <v>44</v>
      </c>
      <c r="D2769" s="1212" t="s">
        <v>4</v>
      </c>
      <c r="E2769" s="1213">
        <f>1440/5</f>
        <v>288</v>
      </c>
      <c r="F2769" s="1213">
        <f>'lead 22-23'!$L$8</f>
        <v>4700</v>
      </c>
      <c r="G2769" s="1214">
        <f>ROUND(E2769*F2769/1000,2)</f>
        <v>1353.6</v>
      </c>
      <c r="H2769" s="1205" t="s">
        <v>2322</v>
      </c>
    </row>
    <row r="2770" spans="1:8" s="1256" customFormat="1" hidden="1">
      <c r="A2770" s="1212"/>
      <c r="B2770" s="1212"/>
      <c r="C2770" s="1752" t="s">
        <v>110</v>
      </c>
      <c r="D2770" s="1212" t="s">
        <v>35</v>
      </c>
      <c r="E2770" s="1213">
        <v>1.05</v>
      </c>
      <c r="F2770" s="1213">
        <f>'lead 22-23'!$L$12</f>
        <v>1815.9999999999998</v>
      </c>
      <c r="G2770" s="1214">
        <f>ROUND(E2770*F2770,2)</f>
        <v>1906.8</v>
      </c>
      <c r="H2770" s="1205" t="s">
        <v>2322</v>
      </c>
    </row>
    <row r="2771" spans="1:8" s="1256" customFormat="1" hidden="1">
      <c r="A2771" s="1212"/>
      <c r="B2771" s="1212"/>
      <c r="C2771" s="1752" t="s">
        <v>45</v>
      </c>
      <c r="D2771" s="1212" t="s">
        <v>27</v>
      </c>
      <c r="E2771" s="1213">
        <v>0.2</v>
      </c>
      <c r="F2771" s="1213">
        <f>'MINI SSR 2022-23'!H$5</f>
        <v>525</v>
      </c>
      <c r="G2771" s="1214">
        <f>ROUND(E2771*F2771,2)</f>
        <v>105</v>
      </c>
      <c r="H2771" s="1205" t="s">
        <v>2322</v>
      </c>
    </row>
    <row r="2772" spans="1:8" s="1256" customFormat="1" hidden="1">
      <c r="A2772" s="1212"/>
      <c r="B2772" s="1212"/>
      <c r="C2772" s="1752"/>
      <c r="D2772" s="1212"/>
      <c r="E2772" s="1212"/>
      <c r="F2772" s="1212"/>
      <c r="G2772" s="1215">
        <f>SUM(G2769:G2771)</f>
        <v>3365.3999999999996</v>
      </c>
      <c r="H2772" s="1205" t="s">
        <v>2322</v>
      </c>
    </row>
    <row r="2773" spans="1:8" s="1256" customFormat="1" ht="25.5" hidden="1">
      <c r="A2773" s="1212">
        <v>4</v>
      </c>
      <c r="B2773" s="1212" t="s">
        <v>53</v>
      </c>
      <c r="C2773" s="1754" t="s">
        <v>49</v>
      </c>
      <c r="D2773" s="1212"/>
      <c r="E2773" s="1212"/>
      <c r="F2773" s="1212"/>
      <c r="G2773" s="1212"/>
      <c r="H2773" s="1205" t="s">
        <v>2322</v>
      </c>
    </row>
    <row r="2774" spans="1:8" s="1256" customFormat="1" hidden="1">
      <c r="A2774" s="1212"/>
      <c r="B2774" s="1212"/>
      <c r="C2774" s="1752" t="s">
        <v>44</v>
      </c>
      <c r="D2774" s="1212" t="s">
        <v>4</v>
      </c>
      <c r="E2774" s="1213">
        <f>1440/6</f>
        <v>240</v>
      </c>
      <c r="F2774" s="1213">
        <f>'lead 22-23'!$L$8</f>
        <v>4700</v>
      </c>
      <c r="G2774" s="1214">
        <f>ROUND(E2774*F2774/1000,2)</f>
        <v>1128</v>
      </c>
      <c r="H2774" s="1205" t="s">
        <v>2322</v>
      </c>
    </row>
    <row r="2775" spans="1:8" s="1256" customFormat="1" hidden="1">
      <c r="A2775" s="1212"/>
      <c r="B2775" s="1212"/>
      <c r="C2775" s="1752" t="s">
        <v>111</v>
      </c>
      <c r="D2775" s="1212" t="s">
        <v>35</v>
      </c>
      <c r="E2775" s="1213">
        <v>1.05</v>
      </c>
      <c r="F2775" s="1213">
        <f>'lead 22-23'!$L$12</f>
        <v>1815.9999999999998</v>
      </c>
      <c r="G2775" s="1214">
        <f>ROUND(E2775*F2775,2)</f>
        <v>1906.8</v>
      </c>
      <c r="H2775" s="1205" t="s">
        <v>2322</v>
      </c>
    </row>
    <row r="2776" spans="1:8" s="1256" customFormat="1" hidden="1">
      <c r="A2776" s="1212"/>
      <c r="B2776" s="1212"/>
      <c r="C2776" s="1752" t="s">
        <v>45</v>
      </c>
      <c r="D2776" s="1212" t="s">
        <v>27</v>
      </c>
      <c r="E2776" s="1213">
        <v>0.2</v>
      </c>
      <c r="F2776" s="1213">
        <f>'MINI SSR 2022-23'!H$5</f>
        <v>525</v>
      </c>
      <c r="G2776" s="1214">
        <f>ROUND(E2776*F2776,2)</f>
        <v>105</v>
      </c>
      <c r="H2776" s="1205" t="s">
        <v>2322</v>
      </c>
    </row>
    <row r="2777" spans="1:8" s="1256" customFormat="1" hidden="1">
      <c r="A2777" s="1212"/>
      <c r="B2777" s="1212"/>
      <c r="C2777" s="1752"/>
      <c r="D2777" s="1212"/>
      <c r="E2777" s="1212"/>
      <c r="F2777" s="1212"/>
      <c r="G2777" s="1215">
        <f>SUM(G2774:G2776)</f>
        <v>3139.8</v>
      </c>
      <c r="H2777" s="1205" t="s">
        <v>2322</v>
      </c>
    </row>
    <row r="2778" spans="1:8" s="1256" customFormat="1" ht="25.5" hidden="1">
      <c r="A2778" s="1212">
        <v>5</v>
      </c>
      <c r="B2778" s="1212" t="s">
        <v>54</v>
      </c>
      <c r="C2778" s="1754" t="s">
        <v>50</v>
      </c>
      <c r="D2778" s="1212"/>
      <c r="E2778" s="1212"/>
      <c r="F2778" s="1212"/>
      <c r="G2778" s="1212"/>
      <c r="H2778" s="1205" t="s">
        <v>2322</v>
      </c>
    </row>
    <row r="2779" spans="1:8" s="1256" customFormat="1" hidden="1">
      <c r="A2779" s="1212"/>
      <c r="B2779" s="1212"/>
      <c r="C2779" s="1752" t="s">
        <v>44</v>
      </c>
      <c r="D2779" s="1212" t="s">
        <v>4</v>
      </c>
      <c r="E2779" s="1213">
        <f>1440/8</f>
        <v>180</v>
      </c>
      <c r="F2779" s="1213">
        <f>'lead 22-23'!$L$8</f>
        <v>4700</v>
      </c>
      <c r="G2779" s="1214">
        <f>ROUND(E2779*F2779/1000,2)</f>
        <v>846</v>
      </c>
      <c r="H2779" s="1205" t="s">
        <v>2322</v>
      </c>
    </row>
    <row r="2780" spans="1:8" s="1256" customFormat="1" hidden="1">
      <c r="A2780" s="1212"/>
      <c r="B2780" s="1212"/>
      <c r="C2780" s="1752" t="s">
        <v>111</v>
      </c>
      <c r="D2780" s="1212" t="s">
        <v>35</v>
      </c>
      <c r="E2780" s="1213">
        <v>1.05</v>
      </c>
      <c r="F2780" s="1213">
        <f>'lead 22-23'!$L$12</f>
        <v>1815.9999999999998</v>
      </c>
      <c r="G2780" s="1214">
        <f>ROUND(E2780*F2780,2)</f>
        <v>1906.8</v>
      </c>
      <c r="H2780" s="1205" t="s">
        <v>2322</v>
      </c>
    </row>
    <row r="2781" spans="1:8" s="1256" customFormat="1" hidden="1">
      <c r="A2781" s="1212"/>
      <c r="B2781" s="1212"/>
      <c r="C2781" s="1752" t="s">
        <v>45</v>
      </c>
      <c r="D2781" s="1212" t="s">
        <v>27</v>
      </c>
      <c r="E2781" s="1213">
        <v>0.2</v>
      </c>
      <c r="F2781" s="1213">
        <f>'MINI SSR 2022-23'!H$5</f>
        <v>525</v>
      </c>
      <c r="G2781" s="1214">
        <f>ROUND(E2781*F2781,2)</f>
        <v>105</v>
      </c>
      <c r="H2781" s="1205" t="s">
        <v>2322</v>
      </c>
    </row>
    <row r="2782" spans="1:8" s="1256" customFormat="1" hidden="1">
      <c r="A2782" s="1212"/>
      <c r="B2782" s="1212"/>
      <c r="C2782" s="1752"/>
      <c r="D2782" s="1212"/>
      <c r="E2782" s="1212"/>
      <c r="F2782" s="1212"/>
      <c r="G2782" s="1215">
        <f>SUM(G2779:G2781)</f>
        <v>2857.8</v>
      </c>
      <c r="H2782" s="1205" t="s">
        <v>2322</v>
      </c>
    </row>
    <row r="2783" spans="1:8" s="1256" customFormat="1" ht="25.5" hidden="1">
      <c r="A2783" s="1212"/>
      <c r="B2783" s="1212"/>
      <c r="C2783" s="1752" t="s">
        <v>827</v>
      </c>
      <c r="D2783" s="1212"/>
      <c r="E2783" s="1212"/>
      <c r="F2783" s="1212"/>
      <c r="G2783" s="1212"/>
      <c r="H2783" s="1205" t="s">
        <v>2322</v>
      </c>
    </row>
    <row r="2784" spans="1:8" s="1256" customFormat="1" hidden="1">
      <c r="A2784" s="1212"/>
      <c r="B2784" s="1212"/>
      <c r="C2784" s="1752" t="s">
        <v>822</v>
      </c>
      <c r="D2784" s="1216">
        <v>0.6</v>
      </c>
      <c r="E2784" s="1216">
        <f>'lead 22-23'!L17</f>
        <v>2236.9</v>
      </c>
      <c r="F2784" s="1216">
        <f>ROUND(D2784*E2784,2)</f>
        <v>1342.14</v>
      </c>
      <c r="G2784" s="1212"/>
      <c r="H2784" s="1205" t="s">
        <v>2322</v>
      </c>
    </row>
    <row r="2785" spans="1:8" s="1256" customFormat="1" hidden="1">
      <c r="A2785" s="1212"/>
      <c r="B2785" s="1212"/>
      <c r="C2785" s="1752" t="s">
        <v>823</v>
      </c>
      <c r="D2785" s="1216">
        <v>0.15</v>
      </c>
      <c r="E2785" s="1216">
        <f>'lead 22-23'!L18</f>
        <v>1931.9</v>
      </c>
      <c r="F2785" s="1216">
        <f>ROUND(D2785*E2785,2)</f>
        <v>289.79000000000002</v>
      </c>
      <c r="G2785" s="1212"/>
      <c r="H2785" s="1205" t="s">
        <v>2322</v>
      </c>
    </row>
    <row r="2786" spans="1:8" s="1256" customFormat="1" hidden="1">
      <c r="A2786" s="1212"/>
      <c r="B2786" s="1212"/>
      <c r="C2786" s="1752" t="s">
        <v>824</v>
      </c>
      <c r="D2786" s="1216">
        <v>0.15</v>
      </c>
      <c r="E2786" s="1216">
        <f>'lead 22-23'!L19</f>
        <v>1741.9</v>
      </c>
      <c r="F2786" s="1216">
        <f>ROUND(D2786*E2786,2)</f>
        <v>261.29000000000002</v>
      </c>
      <c r="G2786" s="1212"/>
      <c r="H2786" s="1205" t="s">
        <v>2322</v>
      </c>
    </row>
    <row r="2787" spans="1:8" s="1256" customFormat="1" hidden="1">
      <c r="A2787" s="1212"/>
      <c r="B2787" s="1212"/>
      <c r="C2787" s="1752" t="s">
        <v>825</v>
      </c>
      <c r="D2787" s="1216">
        <v>0.1</v>
      </c>
      <c r="E2787" s="1216">
        <f>'lead 22-23'!L20</f>
        <v>1536.9</v>
      </c>
      <c r="F2787" s="1216">
        <f>ROUND(D2787*E2787,2)</f>
        <v>153.69</v>
      </c>
      <c r="G2787" s="1212"/>
      <c r="H2787" s="1205" t="s">
        <v>2322</v>
      </c>
    </row>
    <row r="2788" spans="1:8" s="1256" customFormat="1" hidden="1">
      <c r="A2788" s="1212"/>
      <c r="B2788" s="1212"/>
      <c r="C2788" s="1754" t="s">
        <v>826</v>
      </c>
      <c r="D2788" s="1212"/>
      <c r="E2788" s="1212"/>
      <c r="F2788" s="1217">
        <f>SUM(F2784:F2787)</f>
        <v>2046.91</v>
      </c>
      <c r="G2788" s="1212"/>
      <c r="H2788" s="1205" t="s">
        <v>2322</v>
      </c>
    </row>
    <row r="2789" spans="1:8" s="1256" customFormat="1" hidden="1">
      <c r="A2789" s="1212"/>
      <c r="B2789" s="1212"/>
      <c r="C2789" s="1752"/>
      <c r="D2789" s="1212"/>
      <c r="E2789" s="1212"/>
      <c r="F2789" s="1212"/>
      <c r="G2789" s="1212"/>
      <c r="H2789" s="1205" t="s">
        <v>2322</v>
      </c>
    </row>
    <row r="2790" spans="1:8" s="1256" customFormat="1" ht="25.5" hidden="1">
      <c r="A2790" s="1156">
        <v>6</v>
      </c>
      <c r="B2790" s="1218"/>
      <c r="C2790" s="1752" t="s">
        <v>294</v>
      </c>
      <c r="D2790" s="1212"/>
      <c r="E2790" s="1212"/>
      <c r="F2790" s="1212"/>
      <c r="G2790" s="1169"/>
      <c r="H2790" s="1205" t="s">
        <v>2322</v>
      </c>
    </row>
    <row r="2791" spans="1:8" s="1256" customFormat="1" hidden="1">
      <c r="A2791" s="1156"/>
      <c r="B2791" s="1218"/>
      <c r="C2791" s="1752" t="s">
        <v>31</v>
      </c>
      <c r="D2791" s="1212"/>
      <c r="E2791" s="1212"/>
      <c r="F2791" s="1212"/>
      <c r="G2791" s="1169"/>
      <c r="H2791" s="1205" t="s">
        <v>2322</v>
      </c>
    </row>
    <row r="2792" spans="1:8" s="1256" customFormat="1" hidden="1">
      <c r="A2792" s="1156"/>
      <c r="B2792" s="1212"/>
      <c r="C2792" s="1752" t="s">
        <v>1324</v>
      </c>
      <c r="D2792" s="1212"/>
      <c r="E2792" s="1212"/>
      <c r="F2792" s="1212"/>
      <c r="G2792" s="1169"/>
      <c r="H2792" s="1205" t="s">
        <v>2322</v>
      </c>
    </row>
    <row r="2793" spans="1:8" s="1256" customFormat="1" hidden="1">
      <c r="A2793" s="1156"/>
      <c r="B2793" s="1219"/>
      <c r="C2793" s="1752" t="s">
        <v>122</v>
      </c>
      <c r="D2793" s="1212"/>
      <c r="E2793" s="1212"/>
      <c r="F2793" s="1212"/>
      <c r="G2793" s="1214">
        <f>'MINI SSR 2022-23'!H25</f>
        <v>6.06</v>
      </c>
      <c r="H2793" s="1205" t="s">
        <v>2322</v>
      </c>
    </row>
    <row r="2794" spans="1:8" s="1256" customFormat="1" hidden="1">
      <c r="A2794" s="1169"/>
      <c r="B2794" s="1169"/>
      <c r="C2794" s="1754" t="s">
        <v>119</v>
      </c>
      <c r="D2794" s="1156"/>
      <c r="E2794" s="1156"/>
      <c r="F2794" s="1156"/>
      <c r="G2794" s="1220">
        <f>SUM(G2793)</f>
        <v>6.06</v>
      </c>
      <c r="H2794" s="1205" t="s">
        <v>2322</v>
      </c>
    </row>
    <row r="2795" spans="1:8" s="1256" customFormat="1" ht="63.75" hidden="1">
      <c r="A2795" s="1156">
        <v>16</v>
      </c>
      <c r="B2795" s="1218"/>
      <c r="C2795" s="1752" t="s">
        <v>1278</v>
      </c>
      <c r="D2795" s="1212"/>
      <c r="E2795" s="1212"/>
      <c r="F2795" s="1212"/>
      <c r="G2795" s="1169"/>
      <c r="H2795" s="1205" t="s">
        <v>2322</v>
      </c>
    </row>
    <row r="2796" spans="1:8" s="1256" customFormat="1" hidden="1">
      <c r="A2796" s="1156"/>
      <c r="B2796" s="1218"/>
      <c r="C2796" s="1752" t="s">
        <v>31</v>
      </c>
      <c r="D2796" s="1212"/>
      <c r="E2796" s="1212"/>
      <c r="F2796" s="1212"/>
      <c r="G2796" s="1169"/>
      <c r="H2796" s="1205" t="s">
        <v>2322</v>
      </c>
    </row>
    <row r="2797" spans="1:8" s="1256" customFormat="1" hidden="1">
      <c r="A2797" s="1156"/>
      <c r="B2797" s="1212"/>
      <c r="C2797" s="1752" t="s">
        <v>1324</v>
      </c>
      <c r="D2797" s="1212"/>
      <c r="E2797" s="1212"/>
      <c r="F2797" s="1212"/>
      <c r="G2797" s="1169"/>
      <c r="H2797" s="1205" t="s">
        <v>2322</v>
      </c>
    </row>
    <row r="2798" spans="1:8" s="1256" customFormat="1" hidden="1">
      <c r="A2798" s="1156"/>
      <c r="B2798" s="1219"/>
      <c r="C2798" s="1752" t="s">
        <v>122</v>
      </c>
      <c r="D2798" s="1212"/>
      <c r="E2798" s="1212"/>
      <c r="F2798" s="1212"/>
      <c r="G2798" s="1214">
        <f>'MINI SSR 2022-23'!H26</f>
        <v>144.26</v>
      </c>
      <c r="H2798" s="1205" t="s">
        <v>2322</v>
      </c>
    </row>
    <row r="2799" spans="1:8" s="1256" customFormat="1" hidden="1">
      <c r="A2799" s="1169"/>
      <c r="B2799" s="1169"/>
      <c r="C2799" s="1754" t="s">
        <v>119</v>
      </c>
      <c r="D2799" s="1156"/>
      <c r="E2799" s="1156"/>
      <c r="F2799" s="1156"/>
      <c r="G2799" s="1220">
        <f>SUM(G2798)</f>
        <v>144.26</v>
      </c>
      <c r="H2799" s="1205" t="s">
        <v>2322</v>
      </c>
    </row>
    <row r="2800" spans="1:8" s="1256" customFormat="1" ht="89.25" hidden="1">
      <c r="A2800" s="1156">
        <v>8</v>
      </c>
      <c r="B2800" s="1218" t="s">
        <v>1327</v>
      </c>
      <c r="C2800" s="1752" t="s">
        <v>55</v>
      </c>
      <c r="D2800" s="1212"/>
      <c r="E2800" s="1212"/>
      <c r="F2800" s="1212"/>
      <c r="G2800" s="1218"/>
      <c r="H2800" s="1205" t="s">
        <v>2322</v>
      </c>
    </row>
    <row r="2801" spans="1:8" s="1256" customFormat="1" hidden="1">
      <c r="A2801" s="1156"/>
      <c r="B2801" s="1212"/>
      <c r="C2801" s="1754" t="s">
        <v>31</v>
      </c>
      <c r="D2801" s="1212"/>
      <c r="E2801" s="1212"/>
      <c r="F2801" s="1212"/>
      <c r="G2801" s="1169"/>
      <c r="H2801" s="1205" t="s">
        <v>2322</v>
      </c>
    </row>
    <row r="2802" spans="1:8" s="1256" customFormat="1" hidden="1">
      <c r="A2802" s="1156"/>
      <c r="B2802" s="1212"/>
      <c r="C2802" s="1754" t="s">
        <v>2423</v>
      </c>
      <c r="D2802" s="1212"/>
      <c r="E2802" s="1212"/>
      <c r="F2802" s="1212"/>
      <c r="G2802" s="1169"/>
      <c r="H2802" s="1205" t="s">
        <v>2322</v>
      </c>
    </row>
    <row r="2803" spans="1:8" s="1256" customFormat="1" hidden="1">
      <c r="A2803" s="1156"/>
      <c r="B2803" s="1219" t="s">
        <v>18</v>
      </c>
      <c r="C2803" s="1754" t="s">
        <v>26</v>
      </c>
      <c r="D2803" s="1212"/>
      <c r="E2803" s="1212"/>
      <c r="F2803" s="1212"/>
      <c r="G2803" s="1169"/>
      <c r="H2803" s="1205" t="s">
        <v>2322</v>
      </c>
    </row>
    <row r="2804" spans="1:8" s="1256" customFormat="1" hidden="1">
      <c r="A2804" s="1169"/>
      <c r="B2804" s="1169"/>
      <c r="C2804" s="1752" t="s">
        <v>118</v>
      </c>
      <c r="D2804" s="1156" t="s">
        <v>27</v>
      </c>
      <c r="E2804" s="1221">
        <v>0.31</v>
      </c>
      <c r="F2804" s="1213">
        <f>'MINI SSR 2022-23'!H$5</f>
        <v>525</v>
      </c>
      <c r="G2804" s="1214">
        <f>ROUND(E2804*F2804,2)</f>
        <v>162.75</v>
      </c>
      <c r="H2804" s="1205" t="s">
        <v>2322</v>
      </c>
    </row>
    <row r="2805" spans="1:8" s="1256" customFormat="1" hidden="1">
      <c r="A2805" s="1169"/>
      <c r="B2805" s="1219" t="s">
        <v>20</v>
      </c>
      <c r="C2805" s="1754" t="s">
        <v>22</v>
      </c>
      <c r="D2805" s="1156"/>
      <c r="E2805" s="1156"/>
      <c r="F2805" s="1156"/>
      <c r="G2805" s="1169"/>
      <c r="H2805" s="1205" t="s">
        <v>2322</v>
      </c>
    </row>
    <row r="2806" spans="1:8" s="1256" customFormat="1" hidden="1">
      <c r="A2806" s="1169"/>
      <c r="B2806" s="1169"/>
      <c r="C2806" s="1752" t="s">
        <v>32</v>
      </c>
      <c r="D2806" s="1156" t="s">
        <v>5</v>
      </c>
      <c r="E2806" s="1221">
        <v>6</v>
      </c>
      <c r="F2806" s="1221">
        <f>'lead 22-23'!L14</f>
        <v>1575.9999999999998</v>
      </c>
      <c r="G2806" s="1214">
        <f>ROUND(E2806*F2806,2)</f>
        <v>9456</v>
      </c>
      <c r="H2806" s="1205" t="s">
        <v>2322</v>
      </c>
    </row>
    <row r="2807" spans="1:8" s="1256" customFormat="1" hidden="1">
      <c r="A2807" s="1169"/>
      <c r="B2807" s="1169"/>
      <c r="C2807" s="1754" t="s">
        <v>2424</v>
      </c>
      <c r="D2807" s="1156"/>
      <c r="E2807" s="1221"/>
      <c r="F2807" s="1221"/>
      <c r="G2807" s="1214">
        <f>SUM(G2804:G2806)</f>
        <v>9618.75</v>
      </c>
      <c r="H2807" s="1205" t="s">
        <v>2322</v>
      </c>
    </row>
    <row r="2808" spans="1:8" s="1256" customFormat="1" hidden="1">
      <c r="A2808" s="1169"/>
      <c r="B2808" s="1169"/>
      <c r="C2808" s="1754" t="s">
        <v>28</v>
      </c>
      <c r="D2808" s="1156"/>
      <c r="E2808" s="1156"/>
      <c r="F2808" s="1156"/>
      <c r="G2808" s="1220">
        <f>ROUND(G2807/6,2)</f>
        <v>1603.13</v>
      </c>
      <c r="H2808" s="1205" t="s">
        <v>2322</v>
      </c>
    </row>
    <row r="2809" spans="1:8" s="1256" customFormat="1" ht="102" hidden="1">
      <c r="A2809" s="1156">
        <v>9</v>
      </c>
      <c r="B2809" s="1218" t="s">
        <v>1326</v>
      </c>
      <c r="C2809" s="1752" t="s">
        <v>1190</v>
      </c>
      <c r="D2809" s="1212"/>
      <c r="E2809" s="1212"/>
      <c r="F2809" s="1212"/>
      <c r="G2809" s="1218"/>
      <c r="H2809" s="1205" t="s">
        <v>2322</v>
      </c>
    </row>
    <row r="2810" spans="1:8" s="1256" customFormat="1" hidden="1">
      <c r="A2810" s="1156"/>
      <c r="B2810" s="1212"/>
      <c r="C2810" s="1754" t="s">
        <v>2425</v>
      </c>
      <c r="D2810" s="1212"/>
      <c r="E2810" s="1212"/>
      <c r="F2810" s="1212"/>
      <c r="G2810" s="1169"/>
      <c r="H2810" s="1205" t="s">
        <v>2322</v>
      </c>
    </row>
    <row r="2811" spans="1:8" s="1256" customFormat="1" hidden="1">
      <c r="A2811" s="1156"/>
      <c r="B2811" s="1219" t="s">
        <v>18</v>
      </c>
      <c r="C2811" s="1754" t="s">
        <v>26</v>
      </c>
      <c r="D2811" s="1212"/>
      <c r="E2811" s="1212"/>
      <c r="F2811" s="1212"/>
      <c r="G2811" s="1169"/>
      <c r="H2811" s="1205" t="s">
        <v>2322</v>
      </c>
    </row>
    <row r="2812" spans="1:8" s="1256" customFormat="1" hidden="1">
      <c r="A2812" s="1169"/>
      <c r="B2812" s="1169"/>
      <c r="C2812" s="1752" t="s">
        <v>118</v>
      </c>
      <c r="D2812" s="1156" t="s">
        <v>27</v>
      </c>
      <c r="E2812" s="1221">
        <v>0.31</v>
      </c>
      <c r="F2812" s="1213">
        <f>'MINI SSR 2022-23'!H$5</f>
        <v>525</v>
      </c>
      <c r="G2812" s="1214">
        <f>ROUND(E2812*F2812,2)</f>
        <v>162.75</v>
      </c>
      <c r="H2812" s="1205" t="s">
        <v>2322</v>
      </c>
    </row>
    <row r="2813" spans="1:8" s="1256" customFormat="1" hidden="1">
      <c r="A2813" s="1169"/>
      <c r="B2813" s="1219" t="s">
        <v>20</v>
      </c>
      <c r="C2813" s="1754" t="s">
        <v>22</v>
      </c>
      <c r="D2813" s="1156"/>
      <c r="E2813" s="1156"/>
      <c r="F2813" s="1156"/>
      <c r="G2813" s="1169"/>
      <c r="H2813" s="1205" t="s">
        <v>2322</v>
      </c>
    </row>
    <row r="2814" spans="1:8" s="1256" customFormat="1" hidden="1">
      <c r="A2814" s="1169"/>
      <c r="B2814" s="1169"/>
      <c r="C2814" s="1752" t="s">
        <v>860</v>
      </c>
      <c r="D2814" s="1156" t="s">
        <v>5</v>
      </c>
      <c r="E2814" s="1221">
        <v>6</v>
      </c>
      <c r="F2814" s="1221">
        <f>'lead 22-23'!L24</f>
        <v>189</v>
      </c>
      <c r="G2814" s="1214">
        <f>ROUND(E2814*F2814,2)</f>
        <v>1134</v>
      </c>
      <c r="H2814" s="1205" t="s">
        <v>2322</v>
      </c>
    </row>
    <row r="2815" spans="1:8" s="1256" customFormat="1" hidden="1">
      <c r="A2815" s="1169"/>
      <c r="B2815" s="1169"/>
      <c r="C2815" s="1754" t="s">
        <v>2424</v>
      </c>
      <c r="D2815" s="1156"/>
      <c r="E2815" s="1221"/>
      <c r="F2815" s="1221"/>
      <c r="G2815" s="1214">
        <f>SUM(G2812:G2814)</f>
        <v>1296.75</v>
      </c>
      <c r="H2815" s="1205" t="s">
        <v>2322</v>
      </c>
    </row>
    <row r="2816" spans="1:8" s="1256" customFormat="1" hidden="1">
      <c r="A2816" s="1169"/>
      <c r="B2816" s="1169"/>
      <c r="C2816" s="1754" t="s">
        <v>28</v>
      </c>
      <c r="D2816" s="1156"/>
      <c r="E2816" s="1156"/>
      <c r="F2816" s="1156"/>
      <c r="G2816" s="1220">
        <f>ROUND(G2815/6,2)</f>
        <v>216.13</v>
      </c>
      <c r="H2816" s="1205" t="s">
        <v>2322</v>
      </c>
    </row>
    <row r="2817" spans="1:8" s="1256" customFormat="1" ht="89.25" hidden="1">
      <c r="A2817" s="1156">
        <v>10</v>
      </c>
      <c r="B2817" s="1218" t="s">
        <v>1326</v>
      </c>
      <c r="C2817" s="1752" t="s">
        <v>662</v>
      </c>
      <c r="D2817" s="1212"/>
      <c r="E2817" s="1212"/>
      <c r="F2817" s="1212"/>
      <c r="G2817" s="1218"/>
      <c r="H2817" s="1205" t="s">
        <v>2322</v>
      </c>
    </row>
    <row r="2818" spans="1:8" s="1256" customFormat="1" hidden="1">
      <c r="A2818" s="1156"/>
      <c r="B2818" s="1212"/>
      <c r="C2818" s="1754" t="s">
        <v>2425</v>
      </c>
      <c r="D2818" s="1212"/>
      <c r="E2818" s="1212"/>
      <c r="F2818" s="1212"/>
      <c r="G2818" s="1169"/>
      <c r="H2818" s="1205" t="s">
        <v>2322</v>
      </c>
    </row>
    <row r="2819" spans="1:8" s="1256" customFormat="1" hidden="1">
      <c r="A2819" s="1156"/>
      <c r="B2819" s="1219" t="s">
        <v>18</v>
      </c>
      <c r="C2819" s="1754" t="s">
        <v>26</v>
      </c>
      <c r="D2819" s="1212"/>
      <c r="E2819" s="1212"/>
      <c r="F2819" s="1212"/>
      <c r="G2819" s="1169"/>
      <c r="H2819" s="1205" t="s">
        <v>2322</v>
      </c>
    </row>
    <row r="2820" spans="1:8" s="1256" customFormat="1" hidden="1">
      <c r="A2820" s="1169"/>
      <c r="B2820" s="1169"/>
      <c r="C2820" s="1752" t="s">
        <v>118</v>
      </c>
      <c r="D2820" s="1156" t="s">
        <v>27</v>
      </c>
      <c r="E2820" s="1221">
        <v>0.31</v>
      </c>
      <c r="F2820" s="1213">
        <f>'MINI SSR 2022-23'!H$5</f>
        <v>525</v>
      </c>
      <c r="G2820" s="1214">
        <f>ROUND(E2820*F2820,2)</f>
        <v>162.75</v>
      </c>
      <c r="H2820" s="1205" t="s">
        <v>2322</v>
      </c>
    </row>
    <row r="2821" spans="1:8" s="1256" customFormat="1" hidden="1">
      <c r="A2821" s="1169"/>
      <c r="B2821" s="1219" t="s">
        <v>20</v>
      </c>
      <c r="C2821" s="1754" t="s">
        <v>22</v>
      </c>
      <c r="D2821" s="1156"/>
      <c r="E2821" s="1156"/>
      <c r="F2821" s="1156"/>
      <c r="G2821" s="1169"/>
      <c r="H2821" s="1205" t="s">
        <v>2322</v>
      </c>
    </row>
    <row r="2822" spans="1:8" s="1256" customFormat="1" hidden="1">
      <c r="A2822" s="1169"/>
      <c r="B2822" s="1169"/>
      <c r="C2822" s="1752" t="s">
        <v>663</v>
      </c>
      <c r="D2822" s="1156" t="s">
        <v>5</v>
      </c>
      <c r="E2822" s="1221">
        <v>6</v>
      </c>
      <c r="F2822" s="1221">
        <f>'lead 22-23'!L25</f>
        <v>245</v>
      </c>
      <c r="G2822" s="1214">
        <f>ROUND(E2822*F2822,2)</f>
        <v>1470</v>
      </c>
      <c r="H2822" s="1205" t="s">
        <v>2322</v>
      </c>
    </row>
    <row r="2823" spans="1:8" s="1256" customFormat="1" hidden="1">
      <c r="A2823" s="1169"/>
      <c r="B2823" s="1169"/>
      <c r="C2823" s="1754" t="s">
        <v>2424</v>
      </c>
      <c r="D2823" s="1156"/>
      <c r="E2823" s="1221"/>
      <c r="F2823" s="1221"/>
      <c r="G2823" s="1214">
        <f>SUM(G2820:G2822)</f>
        <v>1632.75</v>
      </c>
      <c r="H2823" s="1205" t="s">
        <v>2322</v>
      </c>
    </row>
    <row r="2824" spans="1:8" s="1256" customFormat="1" hidden="1">
      <c r="A2824" s="1169"/>
      <c r="B2824" s="1169"/>
      <c r="C2824" s="1754" t="s">
        <v>28</v>
      </c>
      <c r="D2824" s="1156"/>
      <c r="E2824" s="1156"/>
      <c r="F2824" s="1156"/>
      <c r="G2824" s="1220">
        <f>ROUND(G2823/6,2)</f>
        <v>272.13</v>
      </c>
      <c r="H2824" s="1205" t="s">
        <v>2322</v>
      </c>
    </row>
    <row r="2825" spans="1:8" s="1256" customFormat="1" ht="63.75" hidden="1">
      <c r="A2825" s="1156">
        <v>11</v>
      </c>
      <c r="B2825" s="1218" t="s">
        <v>1325</v>
      </c>
      <c r="C2825" s="1752" t="s">
        <v>282</v>
      </c>
      <c r="D2825" s="1212"/>
      <c r="E2825" s="1212"/>
      <c r="F2825" s="1212"/>
      <c r="G2825" s="1218"/>
      <c r="H2825" s="1205" t="s">
        <v>2322</v>
      </c>
    </row>
    <row r="2826" spans="1:8" s="1256" customFormat="1" hidden="1">
      <c r="A2826" s="1212"/>
      <c r="B2826" s="1212"/>
      <c r="C2826" s="1752" t="s">
        <v>312</v>
      </c>
      <c r="D2826" s="1212"/>
      <c r="E2826" s="1213"/>
      <c r="F2826" s="1213"/>
      <c r="G2826" s="1214"/>
      <c r="H2826" s="1205" t="s">
        <v>2322</v>
      </c>
    </row>
    <row r="2827" spans="1:8" s="1256" customFormat="1" hidden="1">
      <c r="A2827" s="1212"/>
      <c r="B2827" s="1212"/>
      <c r="C2827" s="1752" t="s">
        <v>311</v>
      </c>
      <c r="D2827" s="1212" t="s">
        <v>27</v>
      </c>
      <c r="E2827" s="1213">
        <v>3.12</v>
      </c>
      <c r="F2827" s="1213">
        <f>'MINI SSR 2022-23'!H$5</f>
        <v>525</v>
      </c>
      <c r="G2827" s="1214">
        <f>ROUND(E2827*F2827,2)</f>
        <v>1638</v>
      </c>
      <c r="H2827" s="1205" t="s">
        <v>2322</v>
      </c>
    </row>
    <row r="2828" spans="1:8" s="1256" customFormat="1" hidden="1">
      <c r="A2828" s="1212"/>
      <c r="B2828" s="1212"/>
      <c r="C2828" s="1752" t="s">
        <v>57</v>
      </c>
      <c r="D2828" s="1212" t="s">
        <v>59</v>
      </c>
      <c r="E2828" s="1213">
        <v>0.72</v>
      </c>
      <c r="F2828" s="1221">
        <f>'MINI SSR 2022-23'!$C$29</f>
        <v>95</v>
      </c>
      <c r="G2828" s="1214">
        <f>ROUND(E2828*F2828,2)</f>
        <v>68.400000000000006</v>
      </c>
      <c r="H2828" s="1205" t="s">
        <v>2322</v>
      </c>
    </row>
    <row r="2829" spans="1:8" s="1256" customFormat="1" hidden="1">
      <c r="A2829" s="1212"/>
      <c r="B2829" s="1212"/>
      <c r="C2829" s="1752" t="s">
        <v>313</v>
      </c>
      <c r="D2829" s="1212"/>
      <c r="E2829" s="1213"/>
      <c r="F2829" s="1213"/>
      <c r="G2829" s="1214">
        <f>SUM(G2827:G2828)</f>
        <v>1706.4</v>
      </c>
      <c r="H2829" s="1205" t="s">
        <v>2322</v>
      </c>
    </row>
    <row r="2830" spans="1:8" s="1256" customFormat="1" hidden="1">
      <c r="A2830" s="1212"/>
      <c r="B2830" s="1212"/>
      <c r="C2830" s="1752" t="s">
        <v>313</v>
      </c>
      <c r="D2830" s="1212"/>
      <c r="E2830" s="1212"/>
      <c r="F2830" s="1212"/>
      <c r="G2830" s="1222">
        <f>ROUND(G2829/6,2)</f>
        <v>284.39999999999998</v>
      </c>
      <c r="H2830" s="1205" t="s">
        <v>2322</v>
      </c>
    </row>
    <row r="2831" spans="1:8" s="1256" customFormat="1" ht="89.25" hidden="1">
      <c r="A2831" s="1156">
        <v>17</v>
      </c>
      <c r="B2831" s="1218" t="s">
        <v>158</v>
      </c>
      <c r="C2831" s="1752" t="s">
        <v>159</v>
      </c>
      <c r="D2831" s="1212"/>
      <c r="E2831" s="1212"/>
      <c r="F2831" s="1212"/>
      <c r="G2831" s="1218"/>
      <c r="H2831" s="1205" t="s">
        <v>2322</v>
      </c>
    </row>
    <row r="2832" spans="1:8" s="1256" customFormat="1" hidden="1">
      <c r="A2832" s="1156"/>
      <c r="B2832" s="1218"/>
      <c r="C2832" s="1754" t="s">
        <v>60</v>
      </c>
      <c r="D2832" s="1212"/>
      <c r="E2832" s="1212"/>
      <c r="F2832" s="1212"/>
      <c r="G2832" s="1215"/>
      <c r="H2832" s="1205" t="s">
        <v>2322</v>
      </c>
    </row>
    <row r="2833" spans="1:8" s="1256" customFormat="1" hidden="1">
      <c r="A2833" s="1212"/>
      <c r="B2833" s="1212"/>
      <c r="C2833" s="1752" t="s">
        <v>44</v>
      </c>
      <c r="D2833" s="1212" t="s">
        <v>4</v>
      </c>
      <c r="E2833" s="1213">
        <v>162</v>
      </c>
      <c r="F2833" s="1213">
        <f>'lead 22-23'!L8</f>
        <v>4700</v>
      </c>
      <c r="G2833" s="1214">
        <f>ROUND(E2833*F2833/1000,2)</f>
        <v>761.4</v>
      </c>
      <c r="H2833" s="1205" t="s">
        <v>2322</v>
      </c>
    </row>
    <row r="2834" spans="1:8" s="1256" customFormat="1" hidden="1">
      <c r="A2834" s="1212"/>
      <c r="B2834" s="1212"/>
      <c r="C2834" s="1752" t="s">
        <v>56</v>
      </c>
      <c r="D2834" s="1212" t="s">
        <v>35</v>
      </c>
      <c r="E2834" s="1213">
        <v>0.9</v>
      </c>
      <c r="F2834" s="1213">
        <f>'lead 22-23'!L16</f>
        <v>1636.9</v>
      </c>
      <c r="G2834" s="1214">
        <f>ROUND(E2834*F2834,2)</f>
        <v>1473.21</v>
      </c>
      <c r="H2834" s="1205" t="s">
        <v>2322</v>
      </c>
    </row>
    <row r="2835" spans="1:8" s="1256" customFormat="1" hidden="1">
      <c r="A2835" s="1212"/>
      <c r="B2835" s="1212"/>
      <c r="C2835" s="1752" t="s">
        <v>112</v>
      </c>
      <c r="D2835" s="1212" t="s">
        <v>35</v>
      </c>
      <c r="E2835" s="1213">
        <v>0.45</v>
      </c>
      <c r="F2835" s="1213">
        <f>'lead 22-23'!L13</f>
        <v>1720.9999999999998</v>
      </c>
      <c r="G2835" s="1214">
        <f>ROUND(E2835*F2835,2)</f>
        <v>774.45</v>
      </c>
      <c r="H2835" s="1205" t="s">
        <v>2322</v>
      </c>
    </row>
    <row r="2836" spans="1:8" s="1256" customFormat="1" hidden="1">
      <c r="A2836" s="1212"/>
      <c r="B2836" s="1212"/>
      <c r="C2836" s="1752" t="s">
        <v>57</v>
      </c>
      <c r="D2836" s="1212" t="s">
        <v>58</v>
      </c>
      <c r="E2836" s="1213">
        <v>1.2</v>
      </c>
      <c r="F2836" s="1221">
        <f>'MINI SSR 2022-23'!$C$29</f>
        <v>95</v>
      </c>
      <c r="G2836" s="1214">
        <f>ROUND(E2836*F2836,2)</f>
        <v>114</v>
      </c>
      <c r="H2836" s="1205" t="s">
        <v>2322</v>
      </c>
    </row>
    <row r="2837" spans="1:8" s="1256" customFormat="1" hidden="1">
      <c r="A2837" s="1212"/>
      <c r="B2837" s="1212"/>
      <c r="C2837" s="1754" t="s">
        <v>61</v>
      </c>
      <c r="D2837" s="1212"/>
      <c r="E2837" s="1213"/>
      <c r="F2837" s="1213"/>
      <c r="G2837" s="1214"/>
      <c r="H2837" s="1205" t="s">
        <v>2322</v>
      </c>
    </row>
    <row r="2838" spans="1:8" s="1256" customFormat="1" hidden="1">
      <c r="A2838" s="1212"/>
      <c r="B2838" s="1212"/>
      <c r="C2838" s="1752" t="s">
        <v>62</v>
      </c>
      <c r="D2838" s="1212" t="s">
        <v>21</v>
      </c>
      <c r="E2838" s="1213">
        <v>1</v>
      </c>
      <c r="F2838" s="1213">
        <f>'MINI SSR 2022-23'!$C$30</f>
        <v>667.5</v>
      </c>
      <c r="G2838" s="1214">
        <f>ROUND(E2838*F2838,2)</f>
        <v>667.5</v>
      </c>
      <c r="H2838" s="1205" t="s">
        <v>2322</v>
      </c>
    </row>
    <row r="2839" spans="1:8" s="1256" customFormat="1" hidden="1">
      <c r="A2839" s="1212"/>
      <c r="B2839" s="1212"/>
      <c r="C2839" s="1754" t="s">
        <v>63</v>
      </c>
      <c r="D2839" s="1212"/>
      <c r="E2839" s="1213"/>
      <c r="F2839" s="1213"/>
      <c r="G2839" s="1214"/>
      <c r="H2839" s="1205" t="s">
        <v>2322</v>
      </c>
    </row>
    <row r="2840" spans="1:8" s="1256" customFormat="1" hidden="1">
      <c r="A2840" s="1212"/>
      <c r="B2840" s="1212"/>
      <c r="C2840" s="1752" t="s">
        <v>64</v>
      </c>
      <c r="D2840" s="1212" t="s">
        <v>27</v>
      </c>
      <c r="E2840" s="1213">
        <v>0.1</v>
      </c>
      <c r="F2840" s="1213">
        <f>'MINI SSR 2022-23'!$H$3</f>
        <v>630</v>
      </c>
      <c r="G2840" s="1214">
        <f>ROUND(E2840*F2840,2)</f>
        <v>63</v>
      </c>
      <c r="H2840" s="1205" t="s">
        <v>2322</v>
      </c>
    </row>
    <row r="2841" spans="1:8" s="1256" customFormat="1" hidden="1">
      <c r="A2841" s="1212"/>
      <c r="B2841" s="1212"/>
      <c r="C2841" s="1752" t="s">
        <v>19</v>
      </c>
      <c r="D2841" s="1212" t="s">
        <v>27</v>
      </c>
      <c r="E2841" s="1213">
        <v>1.39</v>
      </c>
      <c r="F2841" s="1213">
        <f>'MINI SSR 2022-23'!H$5</f>
        <v>525</v>
      </c>
      <c r="G2841" s="1214">
        <f>ROUND(E2841*F2841,2)</f>
        <v>729.75</v>
      </c>
      <c r="H2841" s="1205" t="s">
        <v>2322</v>
      </c>
    </row>
    <row r="2842" spans="1:8" s="1256" customFormat="1" hidden="1">
      <c r="A2842" s="1212"/>
      <c r="B2842" s="1212"/>
      <c r="C2842" s="1752"/>
      <c r="D2842" s="1212"/>
      <c r="E2842" s="1212"/>
      <c r="F2842" s="1212"/>
      <c r="G2842" s="1222">
        <f>SUM(G2833:G2841)</f>
        <v>4583.3100000000004</v>
      </c>
      <c r="H2842" s="1205" t="s">
        <v>2322</v>
      </c>
    </row>
    <row r="2843" spans="1:8" s="1256" customFormat="1" ht="89.25" hidden="1">
      <c r="A2843" s="1156">
        <v>13</v>
      </c>
      <c r="B2843" s="1218" t="s">
        <v>65</v>
      </c>
      <c r="C2843" s="1752" t="s">
        <v>67</v>
      </c>
      <c r="D2843" s="1212"/>
      <c r="E2843" s="1212"/>
      <c r="F2843" s="1212"/>
      <c r="G2843" s="1218"/>
      <c r="H2843" s="1205" t="s">
        <v>2322</v>
      </c>
    </row>
    <row r="2844" spans="1:8" s="1256" customFormat="1" hidden="1">
      <c r="A2844" s="1156"/>
      <c r="B2844" s="1218"/>
      <c r="C2844" s="1754" t="s">
        <v>60</v>
      </c>
      <c r="D2844" s="1212"/>
      <c r="E2844" s="1212"/>
      <c r="F2844" s="1212"/>
      <c r="G2844" s="1215"/>
      <c r="H2844" s="1205" t="s">
        <v>2322</v>
      </c>
    </row>
    <row r="2845" spans="1:8" s="1256" customFormat="1" hidden="1">
      <c r="A2845" s="1212"/>
      <c r="B2845" s="1212"/>
      <c r="C2845" s="1752" t="s">
        <v>44</v>
      </c>
      <c r="D2845" s="1212" t="s">
        <v>4</v>
      </c>
      <c r="E2845" s="1213">
        <v>129.6</v>
      </c>
      <c r="F2845" s="1213">
        <f>F2833</f>
        <v>4700</v>
      </c>
      <c r="G2845" s="1214">
        <f>ROUND(E2845*F2845/1000,2)</f>
        <v>609.12</v>
      </c>
      <c r="H2845" s="1205" t="s">
        <v>2322</v>
      </c>
    </row>
    <row r="2846" spans="1:8" s="1256" customFormat="1" hidden="1">
      <c r="A2846" s="1212"/>
      <c r="B2846" s="1212"/>
      <c r="C2846" s="1752" t="s">
        <v>56</v>
      </c>
      <c r="D2846" s="1212" t="s">
        <v>35</v>
      </c>
      <c r="E2846" s="1213">
        <v>0.9</v>
      </c>
      <c r="F2846" s="1213">
        <f>F2834</f>
        <v>1636.9</v>
      </c>
      <c r="G2846" s="1214">
        <f>ROUND(E2846*F2846,2)</f>
        <v>1473.21</v>
      </c>
      <c r="H2846" s="1205" t="s">
        <v>2322</v>
      </c>
    </row>
    <row r="2847" spans="1:8" s="1256" customFormat="1" hidden="1">
      <c r="A2847" s="1212"/>
      <c r="B2847" s="1212"/>
      <c r="C2847" s="1752" t="s">
        <v>112</v>
      </c>
      <c r="D2847" s="1212" t="s">
        <v>35</v>
      </c>
      <c r="E2847" s="1213">
        <v>0.45</v>
      </c>
      <c r="F2847" s="1213">
        <f>F2835</f>
        <v>1720.9999999999998</v>
      </c>
      <c r="G2847" s="1214">
        <f>ROUND(E2847*F2847,2)</f>
        <v>774.45</v>
      </c>
      <c r="H2847" s="1205" t="s">
        <v>2322</v>
      </c>
    </row>
    <row r="2848" spans="1:8" s="1256" customFormat="1" hidden="1">
      <c r="A2848" s="1212"/>
      <c r="B2848" s="1212"/>
      <c r="C2848" s="1752" t="s">
        <v>57</v>
      </c>
      <c r="D2848" s="1212" t="s">
        <v>58</v>
      </c>
      <c r="E2848" s="1213">
        <v>1.2</v>
      </c>
      <c r="F2848" s="1221">
        <f>'MINI SSR 2022-23'!$C$29</f>
        <v>95</v>
      </c>
      <c r="G2848" s="1214">
        <f>ROUND(E2848*F2848,2)</f>
        <v>114</v>
      </c>
      <c r="H2848" s="1205" t="s">
        <v>2322</v>
      </c>
    </row>
    <row r="2849" spans="1:8" s="1256" customFormat="1" hidden="1">
      <c r="A2849" s="1212"/>
      <c r="B2849" s="1212"/>
      <c r="C2849" s="1754" t="s">
        <v>61</v>
      </c>
      <c r="D2849" s="1212"/>
      <c r="E2849" s="1213"/>
      <c r="F2849" s="1213"/>
      <c r="G2849" s="1214"/>
      <c r="H2849" s="1205" t="s">
        <v>2322</v>
      </c>
    </row>
    <row r="2850" spans="1:8" s="1256" customFormat="1" hidden="1">
      <c r="A2850" s="1212"/>
      <c r="B2850" s="1212"/>
      <c r="C2850" s="1752" t="s">
        <v>62</v>
      </c>
      <c r="D2850" s="1212" t="s">
        <v>21</v>
      </c>
      <c r="E2850" s="1213">
        <v>1</v>
      </c>
      <c r="F2850" s="1213">
        <f>'MINI SSR 2022-23'!$C$30</f>
        <v>667.5</v>
      </c>
      <c r="G2850" s="1214">
        <f>ROUND(E2850*F2850,2)</f>
        <v>667.5</v>
      </c>
      <c r="H2850" s="1205" t="s">
        <v>2322</v>
      </c>
    </row>
    <row r="2851" spans="1:8" s="1256" customFormat="1" hidden="1">
      <c r="A2851" s="1212"/>
      <c r="B2851" s="1212"/>
      <c r="C2851" s="1754" t="s">
        <v>63</v>
      </c>
      <c r="D2851" s="1212"/>
      <c r="E2851" s="1213"/>
      <c r="F2851" s="1213"/>
      <c r="G2851" s="1214"/>
      <c r="H2851" s="1205" t="s">
        <v>2322</v>
      </c>
    </row>
    <row r="2852" spans="1:8" s="1256" customFormat="1" hidden="1">
      <c r="A2852" s="1212"/>
      <c r="B2852" s="1212"/>
      <c r="C2852" s="1752" t="s">
        <v>64</v>
      </c>
      <c r="D2852" s="1212" t="s">
        <v>27</v>
      </c>
      <c r="E2852" s="1213">
        <v>0.1</v>
      </c>
      <c r="F2852" s="1213">
        <f>'MINI SSR 2022-23'!$H$3</f>
        <v>630</v>
      </c>
      <c r="G2852" s="1214">
        <f>ROUND(E2852*F2852,2)</f>
        <v>63</v>
      </c>
      <c r="H2852" s="1205" t="s">
        <v>2322</v>
      </c>
    </row>
    <row r="2853" spans="1:8" s="1256" customFormat="1" hidden="1">
      <c r="A2853" s="1212"/>
      <c r="B2853" s="1212"/>
      <c r="C2853" s="1752" t="s">
        <v>19</v>
      </c>
      <c r="D2853" s="1212" t="s">
        <v>27</v>
      </c>
      <c r="E2853" s="1213">
        <v>1.39</v>
      </c>
      <c r="F2853" s="1213">
        <f>'MINI SSR 2022-23'!H$5</f>
        <v>525</v>
      </c>
      <c r="G2853" s="1214">
        <f>ROUND(E2853*F2853,2)</f>
        <v>729.75</v>
      </c>
      <c r="H2853" s="1205" t="s">
        <v>2322</v>
      </c>
    </row>
    <row r="2854" spans="1:8" s="1256" customFormat="1" hidden="1">
      <c r="A2854" s="1212"/>
      <c r="B2854" s="1212"/>
      <c r="C2854" s="1752"/>
      <c r="D2854" s="1212"/>
      <c r="E2854" s="1212"/>
      <c r="F2854" s="1212"/>
      <c r="G2854" s="1222">
        <f>SUM(G2845:G2853)</f>
        <v>4431.03</v>
      </c>
      <c r="H2854" s="1205" t="s">
        <v>2322</v>
      </c>
    </row>
    <row r="2855" spans="1:8" s="1256" customFormat="1" ht="178.5" hidden="1">
      <c r="A2855" s="1156">
        <v>14</v>
      </c>
      <c r="B2855" s="1218" t="s">
        <v>66</v>
      </c>
      <c r="C2855" s="1752" t="s">
        <v>225</v>
      </c>
      <c r="D2855" s="1212"/>
      <c r="E2855" s="1212"/>
      <c r="F2855" s="1212"/>
      <c r="G2855" s="1218"/>
      <c r="H2855" s="1205" t="s">
        <v>2322</v>
      </c>
    </row>
    <row r="2856" spans="1:8" s="1256" customFormat="1" hidden="1">
      <c r="A2856" s="1156"/>
      <c r="B2856" s="1218"/>
      <c r="C2856" s="1754" t="s">
        <v>81</v>
      </c>
      <c r="D2856" s="1212"/>
      <c r="E2856" s="1212"/>
      <c r="F2856" s="1212"/>
      <c r="G2856" s="1215"/>
      <c r="H2856" s="1205" t="s">
        <v>2322</v>
      </c>
    </row>
    <row r="2857" spans="1:8" s="1256" customFormat="1" hidden="1">
      <c r="A2857" s="1156"/>
      <c r="B2857" s="1218"/>
      <c r="C2857" s="1754" t="s">
        <v>60</v>
      </c>
      <c r="D2857" s="1212"/>
      <c r="E2857" s="1212"/>
      <c r="F2857" s="1212"/>
      <c r="G2857" s="1215"/>
      <c r="H2857" s="1205" t="s">
        <v>2322</v>
      </c>
    </row>
    <row r="2858" spans="1:8" s="1256" customFormat="1" hidden="1">
      <c r="A2858" s="1156"/>
      <c r="B2858" s="1218"/>
      <c r="C2858" s="1752" t="s">
        <v>154</v>
      </c>
      <c r="D2858" s="1212" t="s">
        <v>35</v>
      </c>
      <c r="E2858" s="1213">
        <v>0.8</v>
      </c>
      <c r="F2858" s="1213">
        <f>F2788</f>
        <v>2046.91</v>
      </c>
      <c r="G2858" s="1214">
        <f>ROUND(E2858*F2858,2)</f>
        <v>1637.53</v>
      </c>
      <c r="H2858" s="1205" t="s">
        <v>2322</v>
      </c>
    </row>
    <row r="2859" spans="1:8" s="1256" customFormat="1" hidden="1">
      <c r="A2859" s="1156"/>
      <c r="B2859" s="1218"/>
      <c r="C2859" s="1752" t="s">
        <v>112</v>
      </c>
      <c r="D2859" s="1212" t="s">
        <v>35</v>
      </c>
      <c r="E2859" s="1213">
        <v>0.4</v>
      </c>
      <c r="F2859" s="1213">
        <f>'lead 22-23'!L13</f>
        <v>1720.9999999999998</v>
      </c>
      <c r="G2859" s="1214">
        <f>ROUND(E2859*F2859,2)</f>
        <v>688.4</v>
      </c>
      <c r="H2859" s="1205" t="s">
        <v>2322</v>
      </c>
    </row>
    <row r="2860" spans="1:8" s="1256" customFormat="1" hidden="1">
      <c r="A2860" s="1212"/>
      <c r="B2860" s="1212"/>
      <c r="C2860" s="1752" t="s">
        <v>33</v>
      </c>
      <c r="D2860" s="1212" t="s">
        <v>4</v>
      </c>
      <c r="E2860" s="1213">
        <v>340</v>
      </c>
      <c r="F2860" s="1213">
        <f>'lead 22-23'!L8</f>
        <v>4700</v>
      </c>
      <c r="G2860" s="1214">
        <f>ROUND(E2860*F2860/1000,2)</f>
        <v>1598</v>
      </c>
      <c r="H2860" s="1205" t="s">
        <v>2322</v>
      </c>
    </row>
    <row r="2861" spans="1:8" s="1256" customFormat="1" hidden="1">
      <c r="A2861" s="1212"/>
      <c r="B2861" s="1212"/>
      <c r="C2861" s="1754" t="s">
        <v>68</v>
      </c>
      <c r="D2861" s="1212"/>
      <c r="E2861" s="1213"/>
      <c r="F2861" s="1213"/>
      <c r="G2861" s="1214"/>
      <c r="H2861" s="1205" t="s">
        <v>2322</v>
      </c>
    </row>
    <row r="2862" spans="1:8" s="1256" customFormat="1" hidden="1">
      <c r="A2862" s="1212"/>
      <c r="B2862" s="1212"/>
      <c r="C2862" s="1752" t="s">
        <v>64</v>
      </c>
      <c r="D2862" s="1212" t="s">
        <v>27</v>
      </c>
      <c r="E2862" s="1223">
        <v>0.13300000000000001</v>
      </c>
      <c r="F2862" s="1213">
        <f>'MINI SSR 2022-23'!$H$3</f>
        <v>630</v>
      </c>
      <c r="G2862" s="1214">
        <f>ROUND(E2862*F2862,2)</f>
        <v>83.79</v>
      </c>
      <c r="H2862" s="1205" t="s">
        <v>2322</v>
      </c>
    </row>
    <row r="2863" spans="1:8" s="1256" customFormat="1" hidden="1">
      <c r="A2863" s="1212"/>
      <c r="B2863" s="1212"/>
      <c r="C2863" s="1752" t="s">
        <v>69</v>
      </c>
      <c r="D2863" s="1212" t="s">
        <v>27</v>
      </c>
      <c r="E2863" s="1223">
        <v>0.26700000000000002</v>
      </c>
      <c r="F2863" s="1213">
        <f>'MINI SSR 2022-23'!$H$4</f>
        <v>565</v>
      </c>
      <c r="G2863" s="1214">
        <f>ROUND(E2863*F2863,2)</f>
        <v>150.86000000000001</v>
      </c>
      <c r="H2863" s="1205" t="s">
        <v>2322</v>
      </c>
    </row>
    <row r="2864" spans="1:8" s="1256" customFormat="1" hidden="1">
      <c r="A2864" s="1212"/>
      <c r="B2864" s="1212"/>
      <c r="C2864" s="1752" t="s">
        <v>70</v>
      </c>
      <c r="D2864" s="1212" t="s">
        <v>27</v>
      </c>
      <c r="E2864" s="1223">
        <v>3.6</v>
      </c>
      <c r="F2864" s="1213">
        <f>'MINI SSR 2022-23'!H$5</f>
        <v>525</v>
      </c>
      <c r="G2864" s="1214">
        <f>ROUND(E2864*F2864,2)</f>
        <v>1890</v>
      </c>
      <c r="H2864" s="1205" t="s">
        <v>2322</v>
      </c>
    </row>
    <row r="2865" spans="1:8" s="1256" customFormat="1" hidden="1">
      <c r="A2865" s="1212"/>
      <c r="B2865" s="1212"/>
      <c r="C2865" s="1754" t="s">
        <v>61</v>
      </c>
      <c r="D2865" s="1212"/>
      <c r="E2865" s="1213"/>
      <c r="F2865" s="1213"/>
      <c r="G2865" s="1214"/>
      <c r="H2865" s="1205" t="s">
        <v>2322</v>
      </c>
    </row>
    <row r="2866" spans="1:8" s="1256" customFormat="1" hidden="1">
      <c r="A2866" s="1212"/>
      <c r="B2866" s="1212"/>
      <c r="C2866" s="1752" t="s">
        <v>62</v>
      </c>
      <c r="D2866" s="1212" t="s">
        <v>21</v>
      </c>
      <c r="E2866" s="1213">
        <v>1</v>
      </c>
      <c r="F2866" s="1213">
        <f>'MINI SSR 2022-23'!$C$30</f>
        <v>667.5</v>
      </c>
      <c r="G2866" s="1214">
        <f>ROUND(E2866*F2866,2)</f>
        <v>667.5</v>
      </c>
      <c r="H2866" s="1205" t="s">
        <v>2322</v>
      </c>
    </row>
    <row r="2867" spans="1:8" s="1256" customFormat="1" hidden="1">
      <c r="A2867" s="1212"/>
      <c r="B2867" s="1212"/>
      <c r="C2867" s="1752" t="s">
        <v>160</v>
      </c>
      <c r="D2867" s="1212" t="s">
        <v>21</v>
      </c>
      <c r="E2867" s="1213">
        <v>1</v>
      </c>
      <c r="F2867" s="1213">
        <f>'MINI SSR 2022-23'!$C$31</f>
        <v>259.10000000000002</v>
      </c>
      <c r="G2867" s="1214">
        <f>ROUND(E2867*F2867,2)</f>
        <v>259.10000000000002</v>
      </c>
      <c r="H2867" s="1205" t="s">
        <v>2322</v>
      </c>
    </row>
    <row r="2868" spans="1:8" s="1256" customFormat="1" hidden="1">
      <c r="A2868" s="1212"/>
      <c r="B2868" s="1212"/>
      <c r="C2868" s="1752" t="s">
        <v>57</v>
      </c>
      <c r="D2868" s="1212" t="s">
        <v>58</v>
      </c>
      <c r="E2868" s="1213">
        <v>1.2</v>
      </c>
      <c r="F2868" s="1221">
        <f>'MINI SSR 2022-23'!$C$29</f>
        <v>95</v>
      </c>
      <c r="G2868" s="1214">
        <f>ROUND(E2868*F2868,2)</f>
        <v>114</v>
      </c>
      <c r="H2868" s="1205" t="s">
        <v>2322</v>
      </c>
    </row>
    <row r="2869" spans="1:8" s="1256" customFormat="1" hidden="1">
      <c r="A2869" s="1212"/>
      <c r="B2869" s="1212"/>
      <c r="C2869" s="1754" t="s">
        <v>71</v>
      </c>
      <c r="D2869" s="1212"/>
      <c r="E2869" s="1212"/>
      <c r="F2869" s="1212"/>
      <c r="G2869" s="1222">
        <f>SUM(G2858:G2868)</f>
        <v>7089.18</v>
      </c>
      <c r="H2869" s="1205" t="s">
        <v>2322</v>
      </c>
    </row>
    <row r="2870" spans="1:8" s="1256" customFormat="1" hidden="1">
      <c r="A2870" s="1212"/>
      <c r="B2870" s="1212"/>
      <c r="C2870" s="1754" t="s">
        <v>72</v>
      </c>
      <c r="D2870" s="1212"/>
      <c r="E2870" s="1212"/>
      <c r="F2870" s="1212"/>
      <c r="G2870" s="1215"/>
      <c r="H2870" s="1205" t="s">
        <v>2322</v>
      </c>
    </row>
    <row r="2871" spans="1:8" s="1256" customFormat="1" hidden="1">
      <c r="A2871" s="1212"/>
      <c r="B2871" s="1212"/>
      <c r="C2871" s="1752" t="s">
        <v>73</v>
      </c>
      <c r="D2871" s="1212" t="s">
        <v>35</v>
      </c>
      <c r="E2871" s="1213">
        <v>1</v>
      </c>
      <c r="F2871" s="1213">
        <f>G2869</f>
        <v>7089.18</v>
      </c>
      <c r="G2871" s="1214">
        <f>ROUND(E2871*F2871,2)</f>
        <v>7089.18</v>
      </c>
      <c r="H2871" s="1205" t="s">
        <v>2322</v>
      </c>
    </row>
    <row r="2872" spans="1:8" s="1256" customFormat="1" ht="25.5" hidden="1">
      <c r="A2872" s="1212"/>
      <c r="B2872" s="1212"/>
      <c r="C2872" s="1752" t="s">
        <v>1279</v>
      </c>
      <c r="D2872" s="1212" t="s">
        <v>35</v>
      </c>
      <c r="E2872" s="1213">
        <v>1</v>
      </c>
      <c r="F2872" s="1213">
        <f>'MINI SSR 2022-23'!C52</f>
        <v>301</v>
      </c>
      <c r="G2872" s="1214">
        <f>ROUND(E2872*F2872,2)</f>
        <v>301</v>
      </c>
      <c r="H2872" s="1205" t="s">
        <v>2322</v>
      </c>
    </row>
    <row r="2873" spans="1:8" s="1256" customFormat="1" hidden="1">
      <c r="A2873" s="1212"/>
      <c r="B2873" s="1212"/>
      <c r="C2873" s="1752" t="s">
        <v>1280</v>
      </c>
      <c r="D2873" s="1212" t="s">
        <v>35</v>
      </c>
      <c r="E2873" s="1213">
        <v>1</v>
      </c>
      <c r="F2873" s="1213">
        <f>'MINI SSR 2022-23'!D52</f>
        <v>672</v>
      </c>
      <c r="G2873" s="1214">
        <f>ROUND(E2873*F2873,2)</f>
        <v>672</v>
      </c>
      <c r="H2873" s="1205" t="s">
        <v>2322</v>
      </c>
    </row>
    <row r="2874" spans="1:8" s="1256" customFormat="1" hidden="1">
      <c r="A2874" s="1212"/>
      <c r="B2874" s="1212"/>
      <c r="C2874" s="1752"/>
      <c r="D2874" s="1212"/>
      <c r="E2874" s="1212"/>
      <c r="F2874" s="1212"/>
      <c r="G2874" s="1222">
        <f>SUM(G2871:G2873)</f>
        <v>8062.18</v>
      </c>
      <c r="H2874" s="1205" t="s">
        <v>2322</v>
      </c>
    </row>
    <row r="2875" spans="1:8" s="1256" customFormat="1" hidden="1">
      <c r="A2875" s="1212"/>
      <c r="B2875" s="1212"/>
      <c r="C2875" s="1754" t="s">
        <v>74</v>
      </c>
      <c r="D2875" s="1212"/>
      <c r="E2875" s="1212"/>
      <c r="F2875" s="1212"/>
      <c r="G2875" s="1215"/>
      <c r="H2875" s="1205" t="s">
        <v>2322</v>
      </c>
    </row>
    <row r="2876" spans="1:8" s="1256" customFormat="1" hidden="1">
      <c r="A2876" s="1212"/>
      <c r="B2876" s="1212"/>
      <c r="C2876" s="1752" t="s">
        <v>73</v>
      </c>
      <c r="D2876" s="1212" t="s">
        <v>35</v>
      </c>
      <c r="E2876" s="1213">
        <v>1</v>
      </c>
      <c r="F2876" s="1213">
        <f>G2869</f>
        <v>7089.18</v>
      </c>
      <c r="G2876" s="1214">
        <f>ROUND(E2876*F2876,2)</f>
        <v>7089.18</v>
      </c>
      <c r="H2876" s="1205" t="s">
        <v>2322</v>
      </c>
    </row>
    <row r="2877" spans="1:8" s="1256" customFormat="1" ht="25.5" hidden="1">
      <c r="A2877" s="1212"/>
      <c r="B2877" s="1212"/>
      <c r="C2877" s="1752" t="s">
        <v>1281</v>
      </c>
      <c r="D2877" s="1212" t="s">
        <v>35</v>
      </c>
      <c r="E2877" s="1213">
        <v>1</v>
      </c>
      <c r="F2877" s="1213">
        <f>'MINI SSR 2022-23'!C54</f>
        <v>343</v>
      </c>
      <c r="G2877" s="1214">
        <f>ROUND(E2877*F2877,2)</f>
        <v>343</v>
      </c>
      <c r="H2877" s="1205" t="s">
        <v>2322</v>
      </c>
    </row>
    <row r="2878" spans="1:8" s="1256" customFormat="1" hidden="1">
      <c r="A2878" s="1212"/>
      <c r="B2878" s="1212"/>
      <c r="C2878" s="1752" t="s">
        <v>1282</v>
      </c>
      <c r="D2878" s="1212" t="s">
        <v>35</v>
      </c>
      <c r="E2878" s="1213">
        <v>1</v>
      </c>
      <c r="F2878" s="1213">
        <f>'MINI SSR 2022-23'!D54</f>
        <v>1069</v>
      </c>
      <c r="G2878" s="1214">
        <f>ROUND(E2878*F2878,2)</f>
        <v>1069</v>
      </c>
      <c r="H2878" s="1205" t="s">
        <v>2322</v>
      </c>
    </row>
    <row r="2879" spans="1:8" s="1256" customFormat="1" hidden="1">
      <c r="A2879" s="1212"/>
      <c r="B2879" s="1212"/>
      <c r="C2879" s="1752"/>
      <c r="D2879" s="1212"/>
      <c r="E2879" s="1212"/>
      <c r="F2879" s="1212"/>
      <c r="G2879" s="1222">
        <f>SUM(G2876:G2878)</f>
        <v>8501.18</v>
      </c>
      <c r="H2879" s="1205" t="s">
        <v>2322</v>
      </c>
    </row>
    <row r="2880" spans="1:8" s="1256" customFormat="1" hidden="1">
      <c r="A2880" s="1212"/>
      <c r="B2880" s="1212"/>
      <c r="C2880" s="1754" t="s">
        <v>75</v>
      </c>
      <c r="D2880" s="1212"/>
      <c r="E2880" s="1212"/>
      <c r="F2880" s="1212"/>
      <c r="G2880" s="1215"/>
      <c r="H2880" s="1205" t="s">
        <v>2322</v>
      </c>
    </row>
    <row r="2881" spans="1:8" s="1256" customFormat="1" hidden="1">
      <c r="A2881" s="1212"/>
      <c r="B2881" s="1212"/>
      <c r="C2881" s="1752" t="s">
        <v>73</v>
      </c>
      <c r="D2881" s="1212" t="s">
        <v>35</v>
      </c>
      <c r="E2881" s="1213">
        <v>1</v>
      </c>
      <c r="F2881" s="1213">
        <f>G2869</f>
        <v>7089.18</v>
      </c>
      <c r="G2881" s="1214">
        <f>ROUND(E2881*F2881,2)</f>
        <v>7089.18</v>
      </c>
      <c r="H2881" s="1205" t="s">
        <v>2322</v>
      </c>
    </row>
    <row r="2882" spans="1:8" s="1256" customFormat="1" hidden="1">
      <c r="A2882" s="1212"/>
      <c r="B2882" s="1212"/>
      <c r="C2882" s="1752" t="s">
        <v>1283</v>
      </c>
      <c r="D2882" s="1212" t="s">
        <v>35</v>
      </c>
      <c r="E2882" s="1213">
        <v>1</v>
      </c>
      <c r="F2882" s="1213">
        <f>'MINI SSR 2022-23'!C55</f>
        <v>1453</v>
      </c>
      <c r="G2882" s="1214">
        <f>ROUND(E2882*F2882,2)</f>
        <v>1453</v>
      </c>
      <c r="H2882" s="1205" t="s">
        <v>2322</v>
      </c>
    </row>
    <row r="2883" spans="1:8" s="1256" customFormat="1" hidden="1">
      <c r="A2883" s="1212"/>
      <c r="B2883" s="1212"/>
      <c r="C2883" s="1752" t="s">
        <v>1284</v>
      </c>
      <c r="D2883" s="1212" t="s">
        <v>35</v>
      </c>
      <c r="E2883" s="1213">
        <v>1</v>
      </c>
      <c r="F2883" s="1213">
        <f>'MINI SSR 2022-23'!D55</f>
        <v>1620</v>
      </c>
      <c r="G2883" s="1214">
        <f>ROUND(E2883*F2883,2)</f>
        <v>1620</v>
      </c>
      <c r="H2883" s="1205" t="s">
        <v>2322</v>
      </c>
    </row>
    <row r="2884" spans="1:8" s="1256" customFormat="1" hidden="1">
      <c r="A2884" s="1212"/>
      <c r="B2884" s="1212"/>
      <c r="C2884" s="1752"/>
      <c r="D2884" s="1212"/>
      <c r="E2884" s="1212"/>
      <c r="F2884" s="1212"/>
      <c r="G2884" s="1222">
        <f>SUM(G2881:G2883)</f>
        <v>10162.18</v>
      </c>
      <c r="H2884" s="1205" t="s">
        <v>2322</v>
      </c>
    </row>
    <row r="2885" spans="1:8" s="1256" customFormat="1" ht="178.5" hidden="1">
      <c r="A2885" s="1156">
        <v>18</v>
      </c>
      <c r="B2885" s="1218" t="s">
        <v>76</v>
      </c>
      <c r="C2885" s="1752" t="s">
        <v>226</v>
      </c>
      <c r="D2885" s="1212"/>
      <c r="E2885" s="1212"/>
      <c r="F2885" s="1212"/>
      <c r="G2885" s="1218"/>
      <c r="H2885" s="1205" t="s">
        <v>2322</v>
      </c>
    </row>
    <row r="2886" spans="1:8" s="1256" customFormat="1" hidden="1">
      <c r="A2886" s="1156"/>
      <c r="B2886" s="1218"/>
      <c r="C2886" s="1754" t="s">
        <v>80</v>
      </c>
      <c r="D2886" s="1212"/>
      <c r="E2886" s="1212"/>
      <c r="F2886" s="1212"/>
      <c r="G2886" s="1215"/>
      <c r="H2886" s="1205" t="s">
        <v>2322</v>
      </c>
    </row>
    <row r="2887" spans="1:8" s="1256" customFormat="1" hidden="1">
      <c r="A2887" s="1156"/>
      <c r="B2887" s="1218"/>
      <c r="C2887" s="1754" t="s">
        <v>60</v>
      </c>
      <c r="D2887" s="1212"/>
      <c r="E2887" s="1212"/>
      <c r="F2887" s="1212"/>
      <c r="G2887" s="1215"/>
      <c r="H2887" s="1205" t="s">
        <v>2322</v>
      </c>
    </row>
    <row r="2888" spans="1:8" s="1256" customFormat="1" hidden="1">
      <c r="A2888" s="1156"/>
      <c r="B2888" s="1218"/>
      <c r="C2888" s="1752" t="s">
        <v>154</v>
      </c>
      <c r="D2888" s="1212" t="s">
        <v>35</v>
      </c>
      <c r="E2888" s="1213">
        <v>0.8</v>
      </c>
      <c r="F2888" s="1213">
        <f>F2858</f>
        <v>2046.91</v>
      </c>
      <c r="G2888" s="1214">
        <f>ROUND(E2888*F2888,2)</f>
        <v>1637.53</v>
      </c>
      <c r="H2888" s="1205" t="s">
        <v>2322</v>
      </c>
    </row>
    <row r="2889" spans="1:8" s="1256" customFormat="1" hidden="1">
      <c r="A2889" s="1156"/>
      <c r="B2889" s="1218"/>
      <c r="C2889" s="1752" t="s">
        <v>112</v>
      </c>
      <c r="D2889" s="1212" t="s">
        <v>35</v>
      </c>
      <c r="E2889" s="1213">
        <v>0.4</v>
      </c>
      <c r="F2889" s="1213">
        <f>'lead 22-23'!L13</f>
        <v>1720.9999999999998</v>
      </c>
      <c r="G2889" s="1214">
        <f>ROUND(E2889*F2889,2)</f>
        <v>688.4</v>
      </c>
      <c r="H2889" s="1205" t="s">
        <v>2322</v>
      </c>
    </row>
    <row r="2890" spans="1:8" s="1256" customFormat="1" hidden="1">
      <c r="A2890" s="1212"/>
      <c r="B2890" s="1212"/>
      <c r="C2890" s="1752" t="s">
        <v>33</v>
      </c>
      <c r="D2890" s="1212" t="s">
        <v>4</v>
      </c>
      <c r="E2890" s="1213">
        <f>E2860</f>
        <v>340</v>
      </c>
      <c r="F2890" s="1213">
        <f>'lead 22-23'!L8</f>
        <v>4700</v>
      </c>
      <c r="G2890" s="1214">
        <f>ROUND(E2890*F2890/1000,2)</f>
        <v>1598</v>
      </c>
      <c r="H2890" s="1205" t="s">
        <v>2322</v>
      </c>
    </row>
    <row r="2891" spans="1:8" s="1256" customFormat="1" hidden="1">
      <c r="A2891" s="1212"/>
      <c r="B2891" s="1212"/>
      <c r="C2891" s="1754" t="s">
        <v>68</v>
      </c>
      <c r="D2891" s="1212"/>
      <c r="E2891" s="1213"/>
      <c r="F2891" s="1213"/>
      <c r="G2891" s="1214"/>
      <c r="H2891" s="1205" t="s">
        <v>2322</v>
      </c>
    </row>
    <row r="2892" spans="1:8" s="1256" customFormat="1" hidden="1">
      <c r="A2892" s="1212"/>
      <c r="B2892" s="1212"/>
      <c r="C2892" s="1752" t="s">
        <v>64</v>
      </c>
      <c r="D2892" s="1212" t="s">
        <v>27</v>
      </c>
      <c r="E2892" s="1223">
        <v>0.16700000000000001</v>
      </c>
      <c r="F2892" s="1213">
        <f>'MINI SSR 2022-23'!$H$3</f>
        <v>630</v>
      </c>
      <c r="G2892" s="1214">
        <f>ROUND(E2892*F2892,2)</f>
        <v>105.21</v>
      </c>
      <c r="H2892" s="1205" t="s">
        <v>2322</v>
      </c>
    </row>
    <row r="2893" spans="1:8" s="1256" customFormat="1" hidden="1">
      <c r="A2893" s="1212"/>
      <c r="B2893" s="1212"/>
      <c r="C2893" s="1752" t="s">
        <v>69</v>
      </c>
      <c r="D2893" s="1212" t="s">
        <v>27</v>
      </c>
      <c r="E2893" s="1223">
        <v>0.16700000000000001</v>
      </c>
      <c r="F2893" s="1213">
        <f>'MINI SSR 2022-23'!$H$4</f>
        <v>565</v>
      </c>
      <c r="G2893" s="1214">
        <f>ROUND(E2893*F2893,2)</f>
        <v>94.36</v>
      </c>
      <c r="H2893" s="1205" t="s">
        <v>2322</v>
      </c>
    </row>
    <row r="2894" spans="1:8" s="1256" customFormat="1" hidden="1">
      <c r="A2894" s="1212"/>
      <c r="B2894" s="1212"/>
      <c r="C2894" s="1752" t="s">
        <v>70</v>
      </c>
      <c r="D2894" s="1212" t="s">
        <v>27</v>
      </c>
      <c r="E2894" s="1223">
        <v>4.7</v>
      </c>
      <c r="F2894" s="1213">
        <f>'MINI SSR 2022-23'!H$5</f>
        <v>525</v>
      </c>
      <c r="G2894" s="1214">
        <f>ROUND(E2894*F2894,2)</f>
        <v>2467.5</v>
      </c>
      <c r="H2894" s="1205" t="s">
        <v>2322</v>
      </c>
    </row>
    <row r="2895" spans="1:8" s="1256" customFormat="1" hidden="1">
      <c r="A2895" s="1212"/>
      <c r="B2895" s="1212"/>
      <c r="C2895" s="1754" t="s">
        <v>61</v>
      </c>
      <c r="D2895" s="1212"/>
      <c r="E2895" s="1213"/>
      <c r="F2895" s="1213"/>
      <c r="G2895" s="1214"/>
      <c r="H2895" s="1205" t="s">
        <v>2322</v>
      </c>
    </row>
    <row r="2896" spans="1:8" hidden="1">
      <c r="A2896" s="1212"/>
      <c r="B2896" s="1212"/>
      <c r="C2896" s="1752" t="s">
        <v>62</v>
      </c>
      <c r="D2896" s="1212" t="s">
        <v>21</v>
      </c>
      <c r="E2896" s="1213">
        <v>1</v>
      </c>
      <c r="F2896" s="1213">
        <f>'MINI SSR 2022-23'!$C$30</f>
        <v>667.5</v>
      </c>
      <c r="G2896" s="1214">
        <f>ROUND(E2896*F2896,2)</f>
        <v>667.5</v>
      </c>
      <c r="H2896" s="1205" t="s">
        <v>2322</v>
      </c>
    </row>
    <row r="2897" spans="1:8" hidden="1">
      <c r="A2897" s="1212"/>
      <c r="B2897" s="1212"/>
      <c r="C2897" s="1752" t="s">
        <v>160</v>
      </c>
      <c r="D2897" s="1212" t="s">
        <v>21</v>
      </c>
      <c r="E2897" s="1213">
        <v>1</v>
      </c>
      <c r="F2897" s="1213">
        <f>'MINI SSR 2022-23'!$C$31</f>
        <v>259.10000000000002</v>
      </c>
      <c r="G2897" s="1214">
        <f>ROUND(E2897*F2897,2)</f>
        <v>259.10000000000002</v>
      </c>
      <c r="H2897" s="1205" t="s">
        <v>2322</v>
      </c>
    </row>
    <row r="2898" spans="1:8" hidden="1">
      <c r="A2898" s="1212"/>
      <c r="B2898" s="1212"/>
      <c r="C2898" s="1752" t="s">
        <v>57</v>
      </c>
      <c r="D2898" s="1212" t="s">
        <v>58</v>
      </c>
      <c r="E2898" s="1213">
        <v>1.2</v>
      </c>
      <c r="F2898" s="1221">
        <f>'MINI SSR 2022-23'!$C$29</f>
        <v>95</v>
      </c>
      <c r="G2898" s="1214">
        <f>ROUND(E2898*F2898,2)</f>
        <v>114</v>
      </c>
      <c r="H2898" s="1205" t="s">
        <v>2322</v>
      </c>
    </row>
    <row r="2899" spans="1:8" hidden="1">
      <c r="A2899" s="1212"/>
      <c r="B2899" s="1212"/>
      <c r="C2899" s="1754" t="s">
        <v>71</v>
      </c>
      <c r="D2899" s="1212"/>
      <c r="E2899" s="1212"/>
      <c r="F2899" s="1212"/>
      <c r="G2899" s="1222">
        <f>SUM(G2888:G2898)</f>
        <v>7631.6</v>
      </c>
      <c r="H2899" s="1205" t="s">
        <v>2322</v>
      </c>
    </row>
    <row r="2900" spans="1:8" hidden="1">
      <c r="A2900" s="1212"/>
      <c r="B2900" s="1212"/>
      <c r="C2900" s="1754"/>
      <c r="D2900" s="1212"/>
      <c r="E2900" s="1218" t="s">
        <v>161</v>
      </c>
      <c r="F2900" s="1218" t="s">
        <v>162</v>
      </c>
      <c r="G2900" s="1217" t="s">
        <v>163</v>
      </c>
      <c r="H2900" s="1205" t="s">
        <v>2322</v>
      </c>
    </row>
    <row r="2901" spans="1:8" hidden="1">
      <c r="A2901" s="1212"/>
      <c r="B2901" s="1212"/>
      <c r="C2901" s="1754" t="s">
        <v>1285</v>
      </c>
      <c r="D2901" s="1212"/>
      <c r="E2901" s="1213">
        <f>G2899</f>
        <v>7631.6</v>
      </c>
      <c r="F2901" s="1213">
        <f>G2899</f>
        <v>7631.6</v>
      </c>
      <c r="G2901" s="1215">
        <f>G2899</f>
        <v>7631.6</v>
      </c>
      <c r="H2901" s="1205" t="s">
        <v>2322</v>
      </c>
    </row>
    <row r="2902" spans="1:8" ht="25.5" hidden="1">
      <c r="A2902" s="1212"/>
      <c r="B2902" s="1212"/>
      <c r="C2902" s="1752" t="s">
        <v>164</v>
      </c>
      <c r="D2902" s="1212"/>
      <c r="E2902" s="1213">
        <f>'MINI SSR 2022-23'!C57</f>
        <v>371</v>
      </c>
      <c r="F2902" s="1213">
        <f>E2902</f>
        <v>371</v>
      </c>
      <c r="G2902" s="1224">
        <f>E2902</f>
        <v>371</v>
      </c>
      <c r="H2902" s="1205" t="s">
        <v>2322</v>
      </c>
    </row>
    <row r="2903" spans="1:8" hidden="1">
      <c r="A2903" s="1212"/>
      <c r="B2903" s="1212"/>
      <c r="C2903" s="1752" t="s">
        <v>165</v>
      </c>
      <c r="D2903" s="1212"/>
      <c r="E2903" s="1213">
        <f>'MINI SSR 2022-23'!D57</f>
        <v>2415</v>
      </c>
      <c r="F2903" s="1213">
        <f>'MINI SSR 2022-23'!E57</f>
        <v>2657</v>
      </c>
      <c r="G2903" s="1213">
        <f>'MINI SSR 2022-23'!F57</f>
        <v>2898</v>
      </c>
      <c r="H2903" s="1205" t="s">
        <v>2322</v>
      </c>
    </row>
    <row r="2904" spans="1:8" ht="25.5" hidden="1">
      <c r="A2904" s="1212"/>
      <c r="B2904" s="1212"/>
      <c r="C2904" s="1752" t="s">
        <v>1286</v>
      </c>
      <c r="D2904" s="1212"/>
      <c r="E2904" s="1212"/>
      <c r="F2904" s="1212">
        <f>ROUND((G2892+G2893+G2894+F2903)*0.1,2)</f>
        <v>532.41</v>
      </c>
      <c r="G2904" s="1225">
        <f>ROUND((G2892+G2893+G2894+G2903)*0.2,2)</f>
        <v>1113.01</v>
      </c>
      <c r="H2904" s="1205" t="s">
        <v>2322</v>
      </c>
    </row>
    <row r="2905" spans="1:8" hidden="1">
      <c r="A2905" s="1212"/>
      <c r="B2905" s="1212"/>
      <c r="C2905" s="1752"/>
      <c r="D2905" s="1212"/>
      <c r="E2905" s="1217">
        <f>SUM(E2901:E2904)</f>
        <v>10417.6</v>
      </c>
      <c r="F2905" s="1217">
        <f>SUM(F2901:F2904)</f>
        <v>11192.01</v>
      </c>
      <c r="G2905" s="1222">
        <f>SUM(G2901:G2904)</f>
        <v>12013.61</v>
      </c>
      <c r="H2905" s="1205" t="s">
        <v>2322</v>
      </c>
    </row>
    <row r="2906" spans="1:8" hidden="1">
      <c r="A2906" s="1212"/>
      <c r="B2906" s="1212"/>
      <c r="C2906" s="1754"/>
      <c r="D2906" s="1212"/>
      <c r="E2906" s="1218" t="s">
        <v>161</v>
      </c>
      <c r="F2906" s="1218" t="s">
        <v>162</v>
      </c>
      <c r="G2906" s="1217" t="s">
        <v>163</v>
      </c>
      <c r="H2906" s="1205" t="s">
        <v>2322</v>
      </c>
    </row>
    <row r="2907" spans="1:8" hidden="1">
      <c r="A2907" s="1212"/>
      <c r="B2907" s="1212"/>
      <c r="C2907" s="1754" t="s">
        <v>1287</v>
      </c>
      <c r="D2907" s="1212"/>
      <c r="E2907" s="1213">
        <f>G2899</f>
        <v>7631.6</v>
      </c>
      <c r="F2907" s="1213">
        <f>G2899</f>
        <v>7631.6</v>
      </c>
      <c r="G2907" s="1215">
        <f>G2899</f>
        <v>7631.6</v>
      </c>
      <c r="H2907" s="1205" t="s">
        <v>2322</v>
      </c>
    </row>
    <row r="2908" spans="1:8" ht="25.5" hidden="1">
      <c r="A2908" s="1212"/>
      <c r="B2908" s="1212"/>
      <c r="C2908" s="1752" t="s">
        <v>166</v>
      </c>
      <c r="D2908" s="1212"/>
      <c r="E2908" s="1213">
        <f>'MINI SSR 2022-23'!C58</f>
        <v>1233</v>
      </c>
      <c r="F2908" s="1213">
        <f>E2908</f>
        <v>1233</v>
      </c>
      <c r="G2908" s="1224">
        <f>E2908</f>
        <v>1233</v>
      </c>
      <c r="H2908" s="1205" t="s">
        <v>2322</v>
      </c>
    </row>
    <row r="2909" spans="1:8" hidden="1">
      <c r="A2909" s="1212"/>
      <c r="B2909" s="1212"/>
      <c r="C2909" s="1752" t="s">
        <v>167</v>
      </c>
      <c r="D2909" s="1212"/>
      <c r="E2909" s="1213">
        <f>'MINI SSR 2022-23'!D58</f>
        <v>1720</v>
      </c>
      <c r="F2909" s="1213">
        <f>'MINI SSR 2022-23'!E58</f>
        <v>1892</v>
      </c>
      <c r="G2909" s="1213">
        <f>'MINI SSR 2022-23'!F58</f>
        <v>2064</v>
      </c>
      <c r="H2909" s="1205" t="s">
        <v>2322</v>
      </c>
    </row>
    <row r="2910" spans="1:8" ht="25.5" hidden="1">
      <c r="A2910" s="1212"/>
      <c r="B2910" s="1212"/>
      <c r="C2910" s="1752" t="s">
        <v>1286</v>
      </c>
      <c r="D2910" s="1212"/>
      <c r="E2910" s="1212"/>
      <c r="F2910" s="1212">
        <f>ROUND((G2892+G2893+G2894+F2909)*0.1,2)</f>
        <v>455.91</v>
      </c>
      <c r="G2910" s="1225">
        <f>ROUND((G2892+G2893+G2894+G2909)*0.2,2)</f>
        <v>946.21</v>
      </c>
      <c r="H2910" s="1205" t="s">
        <v>2322</v>
      </c>
    </row>
    <row r="2911" spans="1:8" hidden="1">
      <c r="A2911" s="1212"/>
      <c r="B2911" s="1212"/>
      <c r="C2911" s="1752"/>
      <c r="D2911" s="1212"/>
      <c r="E2911" s="1217">
        <f>SUM(E2907:E2910)</f>
        <v>10584.6</v>
      </c>
      <c r="F2911" s="1217">
        <f>SUM(F2907:F2910)</f>
        <v>11212.51</v>
      </c>
      <c r="G2911" s="1222">
        <f>SUM(G2907:G2910)</f>
        <v>11874.810000000001</v>
      </c>
      <c r="H2911" s="1205" t="s">
        <v>2322</v>
      </c>
    </row>
    <row r="2912" spans="1:8" ht="178.5" hidden="1">
      <c r="A2912" s="1156">
        <v>15</v>
      </c>
      <c r="B2912" s="1218" t="s">
        <v>78</v>
      </c>
      <c r="C2912" s="1752" t="s">
        <v>226</v>
      </c>
      <c r="D2912" s="1212"/>
      <c r="E2912" s="1212"/>
      <c r="F2912" s="1212"/>
      <c r="G2912" s="1218"/>
      <c r="H2912" s="1205" t="s">
        <v>2322</v>
      </c>
    </row>
    <row r="2913" spans="1:8" hidden="1">
      <c r="A2913" s="1156"/>
      <c r="B2913" s="1218"/>
      <c r="C2913" s="1754" t="s">
        <v>79</v>
      </c>
      <c r="D2913" s="1212"/>
      <c r="E2913" s="1212"/>
      <c r="F2913" s="1212"/>
      <c r="G2913" s="1215"/>
      <c r="H2913" s="1205" t="s">
        <v>2322</v>
      </c>
    </row>
    <row r="2914" spans="1:8" hidden="1">
      <c r="A2914" s="1156"/>
      <c r="B2914" s="1218"/>
      <c r="C2914" s="1754" t="s">
        <v>60</v>
      </c>
      <c r="D2914" s="1218"/>
      <c r="E2914" s="1218"/>
      <c r="F2914" s="1218"/>
      <c r="G2914" s="1215"/>
      <c r="H2914" s="1205" t="s">
        <v>2322</v>
      </c>
    </row>
    <row r="2915" spans="1:8" hidden="1">
      <c r="A2915" s="1156"/>
      <c r="B2915" s="1218"/>
      <c r="C2915" s="1752" t="s">
        <v>154</v>
      </c>
      <c r="D2915" s="1212" t="s">
        <v>35</v>
      </c>
      <c r="E2915" s="1213">
        <v>0.8</v>
      </c>
      <c r="F2915" s="1213">
        <f>F2788</f>
        <v>2046.91</v>
      </c>
      <c r="G2915" s="1214">
        <f>ROUND(E2915*F2915,2)</f>
        <v>1637.53</v>
      </c>
      <c r="H2915" s="1205" t="s">
        <v>2322</v>
      </c>
    </row>
    <row r="2916" spans="1:8" hidden="1">
      <c r="A2916" s="1156"/>
      <c r="B2916" s="1218"/>
      <c r="C2916" s="1752" t="s">
        <v>112</v>
      </c>
      <c r="D2916" s="1212" t="s">
        <v>35</v>
      </c>
      <c r="E2916" s="1213">
        <v>0.4</v>
      </c>
      <c r="F2916" s="1213">
        <f>'lead 22-23'!L13</f>
        <v>1720.9999999999998</v>
      </c>
      <c r="G2916" s="1214">
        <f>ROUND(E2916*F2916,2)</f>
        <v>688.4</v>
      </c>
      <c r="H2916" s="1205" t="s">
        <v>2322</v>
      </c>
    </row>
    <row r="2917" spans="1:8" hidden="1">
      <c r="A2917" s="1212"/>
      <c r="B2917" s="1212"/>
      <c r="C2917" s="1752" t="s">
        <v>33</v>
      </c>
      <c r="D2917" s="1212" t="s">
        <v>4</v>
      </c>
      <c r="E2917" s="1213">
        <f>E2890</f>
        <v>340</v>
      </c>
      <c r="F2917" s="1213">
        <f>'lead 22-23'!L8</f>
        <v>4700</v>
      </c>
      <c r="G2917" s="1214">
        <f>ROUND(E2917*F2917/1000,2)</f>
        <v>1598</v>
      </c>
      <c r="H2917" s="1205" t="s">
        <v>2322</v>
      </c>
    </row>
    <row r="2918" spans="1:8" hidden="1">
      <c r="A2918" s="1212"/>
      <c r="B2918" s="1212"/>
      <c r="C2918" s="1754" t="s">
        <v>68</v>
      </c>
      <c r="D2918" s="1212"/>
      <c r="E2918" s="1213"/>
      <c r="F2918" s="1213"/>
      <c r="G2918" s="1214"/>
      <c r="H2918" s="1205" t="s">
        <v>2322</v>
      </c>
    </row>
    <row r="2919" spans="1:8" hidden="1">
      <c r="A2919" s="1212"/>
      <c r="B2919" s="1212"/>
      <c r="C2919" s="1752" t="s">
        <v>64</v>
      </c>
      <c r="D2919" s="1212" t="s">
        <v>27</v>
      </c>
      <c r="E2919" s="1223">
        <v>6.7000000000000004E-2</v>
      </c>
      <c r="F2919" s="1213">
        <f>'MINI SSR 2022-23'!$H$3</f>
        <v>630</v>
      </c>
      <c r="G2919" s="1214">
        <f>ROUND(E2919*F2919,2)</f>
        <v>42.21</v>
      </c>
      <c r="H2919" s="1205" t="s">
        <v>2322</v>
      </c>
    </row>
    <row r="2920" spans="1:8" hidden="1">
      <c r="A2920" s="1212"/>
      <c r="B2920" s="1212"/>
      <c r="C2920" s="1752" t="s">
        <v>69</v>
      </c>
      <c r="D2920" s="1212" t="s">
        <v>27</v>
      </c>
      <c r="E2920" s="1223">
        <v>0.13300000000000001</v>
      </c>
      <c r="F2920" s="1213">
        <f>'MINI SSR 2022-23'!$H$4</f>
        <v>565</v>
      </c>
      <c r="G2920" s="1214">
        <f>ROUND(E2920*F2920,2)</f>
        <v>75.150000000000006</v>
      </c>
      <c r="H2920" s="1205" t="s">
        <v>2322</v>
      </c>
    </row>
    <row r="2921" spans="1:8" hidden="1">
      <c r="A2921" s="1212"/>
      <c r="B2921" s="1212"/>
      <c r="C2921" s="1752" t="s">
        <v>70</v>
      </c>
      <c r="D2921" s="1212" t="s">
        <v>27</v>
      </c>
      <c r="E2921" s="1223">
        <v>2.5</v>
      </c>
      <c r="F2921" s="1213">
        <f>'MINI SSR 2022-23'!H$5</f>
        <v>525</v>
      </c>
      <c r="G2921" s="1214">
        <f>ROUND(E2921*F2921,2)</f>
        <v>1312.5</v>
      </c>
      <c r="H2921" s="1205" t="s">
        <v>2322</v>
      </c>
    </row>
    <row r="2922" spans="1:8" hidden="1">
      <c r="A2922" s="1212"/>
      <c r="B2922" s="1212"/>
      <c r="C2922" s="1754" t="s">
        <v>61</v>
      </c>
      <c r="D2922" s="1212"/>
      <c r="E2922" s="1213"/>
      <c r="F2922" s="1213"/>
      <c r="G2922" s="1214"/>
      <c r="H2922" s="1205" t="s">
        <v>2322</v>
      </c>
    </row>
    <row r="2923" spans="1:8" hidden="1">
      <c r="A2923" s="1212"/>
      <c r="B2923" s="1212"/>
      <c r="C2923" s="1752" t="s">
        <v>62</v>
      </c>
      <c r="D2923" s="1212" t="s">
        <v>21</v>
      </c>
      <c r="E2923" s="1223">
        <v>0.26700000000000002</v>
      </c>
      <c r="F2923" s="1213">
        <f>'MINI SSR 2022-23'!$C$30</f>
        <v>667.5</v>
      </c>
      <c r="G2923" s="1214">
        <f>ROUND(E2923*F2923,2)</f>
        <v>178.22</v>
      </c>
      <c r="H2923" s="1205" t="s">
        <v>2322</v>
      </c>
    </row>
    <row r="2924" spans="1:8" hidden="1">
      <c r="A2924" s="1212"/>
      <c r="B2924" s="1212"/>
      <c r="C2924" s="1752" t="s">
        <v>160</v>
      </c>
      <c r="D2924" s="1212" t="s">
        <v>21</v>
      </c>
      <c r="E2924" s="1223">
        <v>0.26700000000000002</v>
      </c>
      <c r="F2924" s="1213">
        <f>'MINI SSR 2022-23'!$C$31</f>
        <v>259.10000000000002</v>
      </c>
      <c r="G2924" s="1214">
        <f>ROUND(E2924*F2924,2)</f>
        <v>69.180000000000007</v>
      </c>
      <c r="H2924" s="1205" t="s">
        <v>2322</v>
      </c>
    </row>
    <row r="2925" spans="1:8" hidden="1">
      <c r="A2925" s="1212"/>
      <c r="B2925" s="1212"/>
      <c r="C2925" s="1752" t="s">
        <v>57</v>
      </c>
      <c r="D2925" s="1212" t="s">
        <v>58</v>
      </c>
      <c r="E2925" s="1213">
        <v>1.2</v>
      </c>
      <c r="F2925" s="1221">
        <f>'MINI SSR 2022-23'!$C$29</f>
        <v>95</v>
      </c>
      <c r="G2925" s="1214">
        <f>ROUND(E2925*F2925,2)</f>
        <v>114</v>
      </c>
      <c r="H2925" s="1205" t="s">
        <v>2322</v>
      </c>
    </row>
    <row r="2926" spans="1:8" hidden="1">
      <c r="A2926" s="1212"/>
      <c r="B2926" s="1212"/>
      <c r="C2926" s="1754" t="s">
        <v>71</v>
      </c>
      <c r="D2926" s="1212"/>
      <c r="E2926" s="1212"/>
      <c r="F2926" s="1212"/>
      <c r="G2926" s="1222">
        <f>SUM(G2915:G2925)</f>
        <v>5715.1900000000005</v>
      </c>
      <c r="H2926" s="1205" t="s">
        <v>2322</v>
      </c>
    </row>
    <row r="2927" spans="1:8" hidden="1">
      <c r="A2927" s="1212"/>
      <c r="B2927" s="1212"/>
      <c r="C2927" s="1754"/>
      <c r="D2927" s="1212"/>
      <c r="E2927" s="1218" t="s">
        <v>161</v>
      </c>
      <c r="F2927" s="1218" t="s">
        <v>162</v>
      </c>
      <c r="G2927" s="1217" t="s">
        <v>163</v>
      </c>
      <c r="H2927" s="1205" t="s">
        <v>2322</v>
      </c>
    </row>
    <row r="2928" spans="1:8" hidden="1">
      <c r="A2928" s="1212"/>
      <c r="B2928" s="1212"/>
      <c r="C2928" s="1754" t="s">
        <v>1288</v>
      </c>
      <c r="D2928" s="1212"/>
      <c r="E2928" s="1213">
        <f>G2926</f>
        <v>5715.1900000000005</v>
      </c>
      <c r="F2928" s="1213">
        <f>G2926</f>
        <v>5715.1900000000005</v>
      </c>
      <c r="G2928" s="1215">
        <f>G2926</f>
        <v>5715.1900000000005</v>
      </c>
      <c r="H2928" s="1205" t="s">
        <v>2322</v>
      </c>
    </row>
    <row r="2929" spans="1:8" ht="25.5" hidden="1">
      <c r="A2929" s="1212"/>
      <c r="B2929" s="1212"/>
      <c r="C2929" s="1752" t="s">
        <v>177</v>
      </c>
      <c r="D2929" s="1212"/>
      <c r="E2929" s="1213">
        <f>'MINI SSR 2022-23'!C60</f>
        <v>2179</v>
      </c>
      <c r="F2929" s="1213">
        <f>E2929</f>
        <v>2179</v>
      </c>
      <c r="G2929" s="1224">
        <f>E2929</f>
        <v>2179</v>
      </c>
      <c r="H2929" s="1205" t="s">
        <v>2322</v>
      </c>
    </row>
    <row r="2930" spans="1:8" hidden="1">
      <c r="A2930" s="1212"/>
      <c r="B2930" s="1212"/>
      <c r="C2930" s="1752" t="s">
        <v>178</v>
      </c>
      <c r="D2930" s="1212"/>
      <c r="E2930" s="1213">
        <f>'MINI SSR 2022-23'!D60</f>
        <v>2027</v>
      </c>
      <c r="F2930" s="1213">
        <f>'MINI SSR 2022-23'!E60</f>
        <v>2230</v>
      </c>
      <c r="G2930" s="1213">
        <f>'MINI SSR 2022-23'!F60</f>
        <v>2432</v>
      </c>
      <c r="H2930" s="1205" t="s">
        <v>2322</v>
      </c>
    </row>
    <row r="2931" spans="1:8" ht="25.5" hidden="1">
      <c r="A2931" s="1212"/>
      <c r="B2931" s="1212"/>
      <c r="C2931" s="1752" t="s">
        <v>1286</v>
      </c>
      <c r="D2931" s="1212"/>
      <c r="E2931" s="1212"/>
      <c r="F2931" s="1213">
        <f>ROUND((G2919+G2920+G2921+F2930)*0.1,2)</f>
        <v>365.99</v>
      </c>
      <c r="G2931" s="1215">
        <f>ROUND((G2919+G2920+G2921+G2930)*0.2,2)</f>
        <v>772.37</v>
      </c>
      <c r="H2931" s="1205" t="s">
        <v>2322</v>
      </c>
    </row>
    <row r="2932" spans="1:8" hidden="1">
      <c r="A2932" s="1212"/>
      <c r="B2932" s="1212"/>
      <c r="C2932" s="1754" t="s">
        <v>182</v>
      </c>
      <c r="D2932" s="1212"/>
      <c r="E2932" s="1217">
        <f>SUM(E2928:E2931)</f>
        <v>9921.19</v>
      </c>
      <c r="F2932" s="1217">
        <f>SUM(F2928:F2931)</f>
        <v>10490.18</v>
      </c>
      <c r="G2932" s="1222">
        <f>SUM(G2928:G2931)</f>
        <v>11098.560000000001</v>
      </c>
      <c r="H2932" s="1205" t="s">
        <v>2322</v>
      </c>
    </row>
    <row r="2933" spans="1:8" hidden="1">
      <c r="A2933" s="1212"/>
      <c r="B2933" s="1212"/>
      <c r="C2933" s="1754"/>
      <c r="D2933" s="1212"/>
      <c r="E2933" s="1218" t="s">
        <v>161</v>
      </c>
      <c r="F2933" s="1218" t="s">
        <v>162</v>
      </c>
      <c r="G2933" s="1217" t="s">
        <v>163</v>
      </c>
      <c r="H2933" s="1205" t="s">
        <v>2322</v>
      </c>
    </row>
    <row r="2934" spans="1:8" hidden="1">
      <c r="A2934" s="1212"/>
      <c r="B2934" s="1212"/>
      <c r="C2934" s="1754" t="s">
        <v>1289</v>
      </c>
      <c r="D2934" s="1212"/>
      <c r="E2934" s="1213">
        <f>G2926</f>
        <v>5715.1900000000005</v>
      </c>
      <c r="F2934" s="1213">
        <f>G2926</f>
        <v>5715.1900000000005</v>
      </c>
      <c r="G2934" s="1215">
        <f>G2926</f>
        <v>5715.1900000000005</v>
      </c>
      <c r="H2934" s="1205" t="s">
        <v>2322</v>
      </c>
    </row>
    <row r="2935" spans="1:8" hidden="1">
      <c r="A2935" s="1212"/>
      <c r="B2935" s="1212"/>
      <c r="C2935" s="1754" t="s">
        <v>1269</v>
      </c>
      <c r="D2935" s="1213">
        <v>0.1</v>
      </c>
      <c r="E2935" s="1213">
        <f>ROUND(E2934*0.1,2)</f>
        <v>571.52</v>
      </c>
      <c r="F2935" s="1213">
        <f>ROUND(F2934*0.1,2)</f>
        <v>571.52</v>
      </c>
      <c r="G2935" s="1215">
        <f>ROUND(G2934*0.1,2)</f>
        <v>571.52</v>
      </c>
      <c r="H2935" s="1205" t="s">
        <v>2322</v>
      </c>
    </row>
    <row r="2936" spans="1:8" ht="25.5" hidden="1">
      <c r="A2936" s="1212"/>
      <c r="B2936" s="1212"/>
      <c r="C2936" s="1752" t="s">
        <v>179</v>
      </c>
      <c r="D2936" s="1212"/>
      <c r="E2936" s="1213">
        <f>'MINI SSR 2022-23'!C61</f>
        <v>247</v>
      </c>
      <c r="F2936" s="1213">
        <f>E2936</f>
        <v>247</v>
      </c>
      <c r="G2936" s="1224">
        <f>E2936</f>
        <v>247</v>
      </c>
      <c r="H2936" s="1205" t="s">
        <v>2322</v>
      </c>
    </row>
    <row r="2937" spans="1:8" hidden="1">
      <c r="A2937" s="1212"/>
      <c r="B2937" s="1212"/>
      <c r="C2937" s="1752" t="s">
        <v>180</v>
      </c>
      <c r="D2937" s="1212"/>
      <c r="E2937" s="1213">
        <f>'MINI SSR 2022-23'!D61</f>
        <v>241</v>
      </c>
      <c r="F2937" s="1213">
        <f>'MINI SSR 2022-23'!E61</f>
        <v>265</v>
      </c>
      <c r="G2937" s="1213">
        <f>'MINI SSR 2022-23'!F61</f>
        <v>289</v>
      </c>
      <c r="H2937" s="1205" t="s">
        <v>2322</v>
      </c>
    </row>
    <row r="2938" spans="1:8" ht="25.5" hidden="1">
      <c r="A2938" s="1212"/>
      <c r="B2938" s="1212"/>
      <c r="C2938" s="1752" t="s">
        <v>1290</v>
      </c>
      <c r="D2938" s="1212"/>
      <c r="E2938" s="1212"/>
      <c r="F2938" s="1213">
        <f>ROUND(((G2919+G2920+G2921+F2937)*0.1),2)</f>
        <v>169.49</v>
      </c>
      <c r="G2938" s="1215">
        <f>ROUND(((G2919+G2920+G2921+G2937)*0.2),2)</f>
        <v>343.77</v>
      </c>
      <c r="H2938" s="1205" t="s">
        <v>2322</v>
      </c>
    </row>
    <row r="2939" spans="1:8" hidden="1">
      <c r="A2939" s="1212"/>
      <c r="B2939" s="1212"/>
      <c r="C2939" s="1754" t="s">
        <v>181</v>
      </c>
      <c r="D2939" s="1212"/>
      <c r="E2939" s="1217">
        <f>SUM(E2935:E2938)</f>
        <v>1059.52</v>
      </c>
      <c r="F2939" s="1217">
        <f>SUM(F2935:F2938)</f>
        <v>1253.01</v>
      </c>
      <c r="G2939" s="1222">
        <f>SUM(G2935:G2938)</f>
        <v>1451.29</v>
      </c>
      <c r="H2939" s="1205" t="s">
        <v>2322</v>
      </c>
    </row>
    <row r="2940" spans="1:8" hidden="1">
      <c r="A2940" s="1212"/>
      <c r="B2940" s="1212"/>
      <c r="C2940" s="1754"/>
      <c r="D2940" s="1212"/>
      <c r="E2940" s="1218" t="s">
        <v>161</v>
      </c>
      <c r="F2940" s="1218" t="s">
        <v>162</v>
      </c>
      <c r="G2940" s="1217" t="s">
        <v>163</v>
      </c>
      <c r="H2940" s="1205" t="s">
        <v>2322</v>
      </c>
    </row>
    <row r="2941" spans="1:8" hidden="1">
      <c r="A2941" s="1212"/>
      <c r="B2941" s="1212"/>
      <c r="C2941" s="1754" t="s">
        <v>1291</v>
      </c>
      <c r="D2941" s="1212"/>
      <c r="E2941" s="1213">
        <f>G2926</f>
        <v>5715.1900000000005</v>
      </c>
      <c r="F2941" s="1213">
        <f>G2926</f>
        <v>5715.1900000000005</v>
      </c>
      <c r="G2941" s="1215">
        <f>G2926</f>
        <v>5715.1900000000005</v>
      </c>
      <c r="H2941" s="1205" t="s">
        <v>2322</v>
      </c>
    </row>
    <row r="2942" spans="1:8" hidden="1">
      <c r="A2942" s="1212"/>
      <c r="B2942" s="1212"/>
      <c r="C2942" s="1754" t="s">
        <v>1270</v>
      </c>
      <c r="D2942" s="1212">
        <v>0.125</v>
      </c>
      <c r="E2942" s="1213">
        <f>ROUND(E2941*0.125,2)</f>
        <v>714.4</v>
      </c>
      <c r="F2942" s="1213">
        <f>ROUND(F2941*0.125,2)</f>
        <v>714.4</v>
      </c>
      <c r="G2942" s="1215">
        <f>ROUND(G2941*0.125,2)</f>
        <v>714.4</v>
      </c>
      <c r="H2942" s="1205" t="s">
        <v>2322</v>
      </c>
    </row>
    <row r="2943" spans="1:8" ht="25.5" hidden="1">
      <c r="A2943" s="1212"/>
      <c r="B2943" s="1212"/>
      <c r="C2943" s="1752" t="s">
        <v>179</v>
      </c>
      <c r="D2943" s="1212"/>
      <c r="E2943" s="1213">
        <f>'MINI SSR 2022-23'!C61</f>
        <v>247</v>
      </c>
      <c r="F2943" s="1213">
        <f>E2943</f>
        <v>247</v>
      </c>
      <c r="G2943" s="1224">
        <f>E2943</f>
        <v>247</v>
      </c>
      <c r="H2943" s="1205" t="s">
        <v>2322</v>
      </c>
    </row>
    <row r="2944" spans="1:8" hidden="1">
      <c r="A2944" s="1212"/>
      <c r="B2944" s="1212"/>
      <c r="C2944" s="1752" t="s">
        <v>180</v>
      </c>
      <c r="D2944" s="1212"/>
      <c r="E2944" s="1213">
        <f>'MINI SSR 2022-23'!D61</f>
        <v>241</v>
      </c>
      <c r="F2944" s="1213">
        <f>'MINI SSR 2022-23'!E61</f>
        <v>265</v>
      </c>
      <c r="G2944" s="1213">
        <f>'MINI SSR 2022-23'!F61</f>
        <v>289</v>
      </c>
      <c r="H2944" s="1205" t="s">
        <v>2322</v>
      </c>
    </row>
    <row r="2945" spans="1:8" ht="25.5" hidden="1">
      <c r="A2945" s="1212"/>
      <c r="B2945" s="1212"/>
      <c r="C2945" s="1752" t="s">
        <v>1290</v>
      </c>
      <c r="D2945" s="1212"/>
      <c r="E2945" s="1212"/>
      <c r="F2945" s="1213">
        <f>ROUND(((G2919+G2920+G2921+F2944)*0.1),2)</f>
        <v>169.49</v>
      </c>
      <c r="G2945" s="1215">
        <f>ROUND(((G2919+G2920+G2921+G2944)*0.2),2)</f>
        <v>343.77</v>
      </c>
      <c r="H2945" s="1205" t="s">
        <v>2322</v>
      </c>
    </row>
    <row r="2946" spans="1:8" hidden="1">
      <c r="A2946" s="1212"/>
      <c r="B2946" s="1212"/>
      <c r="C2946" s="1754" t="s">
        <v>181</v>
      </c>
      <c r="D2946" s="1212"/>
      <c r="E2946" s="1217">
        <f>SUM(E2942:E2945)</f>
        <v>1202.4000000000001</v>
      </c>
      <c r="F2946" s="1217">
        <f>SUM(F2942:F2945)</f>
        <v>1395.89</v>
      </c>
      <c r="G2946" s="1222">
        <f>SUM(G2942:G2945)</f>
        <v>1594.17</v>
      </c>
      <c r="H2946" s="1205" t="s">
        <v>2322</v>
      </c>
    </row>
    <row r="2947" spans="1:8" hidden="1">
      <c r="A2947" s="1212"/>
      <c r="B2947" s="1212"/>
      <c r="C2947" s="1754"/>
      <c r="D2947" s="1212"/>
      <c r="E2947" s="1218" t="s">
        <v>161</v>
      </c>
      <c r="F2947" s="1218" t="s">
        <v>162</v>
      </c>
      <c r="G2947" s="1217" t="s">
        <v>163</v>
      </c>
      <c r="H2947" s="1205" t="s">
        <v>2322</v>
      </c>
    </row>
    <row r="2948" spans="1:8" hidden="1">
      <c r="A2948" s="1212"/>
      <c r="B2948" s="1212"/>
      <c r="C2948" s="1754" t="s">
        <v>1292</v>
      </c>
      <c r="D2948" s="1212"/>
      <c r="E2948" s="1213">
        <f>G2926</f>
        <v>5715.1900000000005</v>
      </c>
      <c r="F2948" s="1213">
        <f>G2926</f>
        <v>5715.1900000000005</v>
      </c>
      <c r="G2948" s="1215">
        <f>G2926</f>
        <v>5715.1900000000005</v>
      </c>
      <c r="H2948" s="1205" t="s">
        <v>2322</v>
      </c>
    </row>
    <row r="2949" spans="1:8" hidden="1">
      <c r="A2949" s="1212"/>
      <c r="B2949" s="1212"/>
      <c r="C2949" s="1754" t="s">
        <v>1270</v>
      </c>
      <c r="D2949" s="1212">
        <v>0.15</v>
      </c>
      <c r="E2949" s="1213">
        <f>ROUND(E2948*0.15,2)</f>
        <v>857.28</v>
      </c>
      <c r="F2949" s="1213">
        <f>ROUND(F2948*0.15,2)</f>
        <v>857.28</v>
      </c>
      <c r="G2949" s="1215">
        <f>ROUND(G2948*0.15,2)</f>
        <v>857.28</v>
      </c>
      <c r="H2949" s="1205" t="s">
        <v>2322</v>
      </c>
    </row>
    <row r="2950" spans="1:8" ht="25.5" hidden="1">
      <c r="A2950" s="1212"/>
      <c r="B2950" s="1212"/>
      <c r="C2950" s="1752" t="s">
        <v>179</v>
      </c>
      <c r="D2950" s="1212"/>
      <c r="E2950" s="1213">
        <f>E2943</f>
        <v>247</v>
      </c>
      <c r="F2950" s="1213">
        <f>E2950</f>
        <v>247</v>
      </c>
      <c r="G2950" s="1224">
        <f>E2950</f>
        <v>247</v>
      </c>
      <c r="H2950" s="1205" t="s">
        <v>2322</v>
      </c>
    </row>
    <row r="2951" spans="1:8" hidden="1">
      <c r="A2951" s="1212"/>
      <c r="B2951" s="1212"/>
      <c r="C2951" s="1752" t="s">
        <v>180</v>
      </c>
      <c r="D2951" s="1212"/>
      <c r="E2951" s="1213">
        <f>E2944</f>
        <v>241</v>
      </c>
      <c r="F2951" s="1213">
        <f>F2944</f>
        <v>265</v>
      </c>
      <c r="G2951" s="1224">
        <f>G2944</f>
        <v>289</v>
      </c>
      <c r="H2951" s="1205" t="s">
        <v>2322</v>
      </c>
    </row>
    <row r="2952" spans="1:8" ht="25.5" hidden="1">
      <c r="A2952" s="1212"/>
      <c r="B2952" s="1212"/>
      <c r="C2952" s="1752" t="s">
        <v>1290</v>
      </c>
      <c r="D2952" s="1212"/>
      <c r="E2952" s="1212"/>
      <c r="F2952" s="1213">
        <f>ROUND(((G2919+G2920+G2921+F2951)*1)*0.1,2)</f>
        <v>169.49</v>
      </c>
      <c r="G2952" s="1215">
        <f>ROUND(((G2919+G2920+G2921+G2951)*1)*0.2,2)</f>
        <v>343.77</v>
      </c>
      <c r="H2952" s="1205" t="s">
        <v>2322</v>
      </c>
    </row>
    <row r="2953" spans="1:8" hidden="1">
      <c r="A2953" s="1212"/>
      <c r="B2953" s="1212"/>
      <c r="C2953" s="1754" t="s">
        <v>181</v>
      </c>
      <c r="D2953" s="1212"/>
      <c r="E2953" s="1217">
        <f>SUM(E2949:E2952)</f>
        <v>1345.28</v>
      </c>
      <c r="F2953" s="1217">
        <f>SUM(F2949:F2952)</f>
        <v>1538.77</v>
      </c>
      <c r="G2953" s="1222">
        <f>SUM(G2949:G2952)</f>
        <v>1737.05</v>
      </c>
      <c r="H2953" s="1205" t="s">
        <v>2322</v>
      </c>
    </row>
    <row r="2954" spans="1:8" hidden="1">
      <c r="A2954" s="1212"/>
      <c r="B2954" s="1212"/>
      <c r="C2954" s="1754" t="s">
        <v>1293</v>
      </c>
      <c r="D2954" s="1212"/>
      <c r="E2954" s="1213">
        <f>G2926</f>
        <v>5715.1900000000005</v>
      </c>
      <c r="F2954" s="1213">
        <f>G2926</f>
        <v>5715.1900000000005</v>
      </c>
      <c r="G2954" s="1215">
        <f>G2926</f>
        <v>5715.1900000000005</v>
      </c>
      <c r="H2954" s="1205" t="s">
        <v>2322</v>
      </c>
    </row>
    <row r="2955" spans="1:8" hidden="1">
      <c r="A2955" s="1212"/>
      <c r="B2955" s="1212"/>
      <c r="C2955" s="1754" t="s">
        <v>1270</v>
      </c>
      <c r="D2955" s="1223">
        <v>0.17499999999999999</v>
      </c>
      <c r="E2955" s="1213">
        <f>ROUND(E2954*0.175,2)</f>
        <v>1000.16</v>
      </c>
      <c r="F2955" s="1213">
        <f>ROUND(F2954*0.175,2)</f>
        <v>1000.16</v>
      </c>
      <c r="G2955" s="1215">
        <f>ROUND(G2954*0.175,2)</f>
        <v>1000.16</v>
      </c>
      <c r="H2955" s="1205" t="s">
        <v>2322</v>
      </c>
    </row>
    <row r="2956" spans="1:8" ht="25.5" hidden="1">
      <c r="A2956" s="1212"/>
      <c r="B2956" s="1212"/>
      <c r="C2956" s="1752" t="s">
        <v>183</v>
      </c>
      <c r="D2956" s="1212"/>
      <c r="E2956" s="1213">
        <f>'MINI SSR 2022-23'!C62</f>
        <v>254</v>
      </c>
      <c r="F2956" s="1213">
        <f>E2956</f>
        <v>254</v>
      </c>
      <c r="G2956" s="1224">
        <f>E2956</f>
        <v>254</v>
      </c>
      <c r="H2956" s="1205" t="s">
        <v>2322</v>
      </c>
    </row>
    <row r="2957" spans="1:8" hidden="1">
      <c r="A2957" s="1212"/>
      <c r="B2957" s="1212"/>
      <c r="C2957" s="1752" t="s">
        <v>184</v>
      </c>
      <c r="D2957" s="1212"/>
      <c r="E2957" s="1213">
        <f>'MINI SSR 2022-23'!D62</f>
        <v>248</v>
      </c>
      <c r="F2957" s="1213">
        <f>'MINI SSR 2022-23'!E62</f>
        <v>273</v>
      </c>
      <c r="G2957" s="1213">
        <f>'MINI SSR 2022-23'!F62</f>
        <v>298</v>
      </c>
      <c r="H2957" s="1205" t="s">
        <v>2322</v>
      </c>
    </row>
    <row r="2958" spans="1:8" ht="25.5" hidden="1">
      <c r="A2958" s="1212"/>
      <c r="B2958" s="1212"/>
      <c r="C2958" s="1752" t="s">
        <v>1290</v>
      </c>
      <c r="D2958" s="1212"/>
      <c r="E2958" s="1212"/>
      <c r="F2958" s="1213">
        <f>ROUND(((G2919+G2920+G2921+F2957)*1)*0.1,2)</f>
        <v>170.29</v>
      </c>
      <c r="G2958" s="1215">
        <f>ROUND(((G2919+G2920+G2921+G2957)*1)*0.2,2)</f>
        <v>345.57</v>
      </c>
      <c r="H2958" s="1205" t="s">
        <v>2322</v>
      </c>
    </row>
    <row r="2959" spans="1:8" hidden="1">
      <c r="A2959" s="1212"/>
      <c r="B2959" s="1212"/>
      <c r="C2959" s="1754" t="s">
        <v>181</v>
      </c>
      <c r="D2959" s="1212"/>
      <c r="E2959" s="1217">
        <f>SUM(E2955:E2958)</f>
        <v>1502.1599999999999</v>
      </c>
      <c r="F2959" s="1217">
        <f>SUM(F2955:F2958)</f>
        <v>1697.4499999999998</v>
      </c>
      <c r="G2959" s="1222">
        <f>SUM(G2955:G2958)</f>
        <v>1897.7299999999998</v>
      </c>
      <c r="H2959" s="1205" t="s">
        <v>2322</v>
      </c>
    </row>
    <row r="2960" spans="1:8" hidden="1">
      <c r="A2960" s="1212"/>
      <c r="B2960" s="1212"/>
      <c r="C2960" s="1754" t="s">
        <v>1294</v>
      </c>
      <c r="D2960" s="1212"/>
      <c r="E2960" s="1218" t="s">
        <v>161</v>
      </c>
      <c r="F2960" s="1218" t="s">
        <v>162</v>
      </c>
      <c r="G2960" s="1217" t="s">
        <v>163</v>
      </c>
      <c r="H2960" s="1205" t="s">
        <v>2322</v>
      </c>
    </row>
    <row r="2961" spans="1:8" hidden="1">
      <c r="A2961" s="1212"/>
      <c r="B2961" s="1212"/>
      <c r="C2961" s="1752" t="s">
        <v>168</v>
      </c>
      <c r="D2961" s="1212"/>
      <c r="E2961" s="1213">
        <f>G2926</f>
        <v>5715.1900000000005</v>
      </c>
      <c r="F2961" s="1213">
        <f>E2961</f>
        <v>5715.1900000000005</v>
      </c>
      <c r="G2961" s="1214">
        <f>F2961</f>
        <v>5715.1900000000005</v>
      </c>
      <c r="H2961" s="1205" t="s">
        <v>2322</v>
      </c>
    </row>
    <row r="2962" spans="1:8" hidden="1">
      <c r="A2962" s="1212"/>
      <c r="B2962" s="1212"/>
      <c r="C2962" s="1752" t="s">
        <v>169</v>
      </c>
      <c r="D2962" s="1226">
        <v>0.05</v>
      </c>
      <c r="E2962" s="1213">
        <f>ROUND(E2961*D2962,2)</f>
        <v>285.76</v>
      </c>
      <c r="F2962" s="1213">
        <f>ROUND(F2961*D2962,2)</f>
        <v>285.76</v>
      </c>
      <c r="G2962" s="1214">
        <f>ROUND(G2961*D2962,2)</f>
        <v>285.76</v>
      </c>
      <c r="H2962" s="1205" t="s">
        <v>2322</v>
      </c>
    </row>
    <row r="2963" spans="1:8" ht="25.5" hidden="1">
      <c r="A2963" s="1212"/>
      <c r="B2963" s="1212"/>
      <c r="C2963" s="1752" t="s">
        <v>171</v>
      </c>
      <c r="D2963" s="1213" t="s">
        <v>77</v>
      </c>
      <c r="E2963" s="1213">
        <f>'MINI SSR 2022-23'!$C$59</f>
        <v>243</v>
      </c>
      <c r="F2963" s="1213">
        <f>'MINI SSR 2022-23'!$C$59</f>
        <v>243</v>
      </c>
      <c r="G2963" s="1213">
        <f>'MINI SSR 2022-23'!$C$59</f>
        <v>243</v>
      </c>
      <c r="H2963" s="1205" t="s">
        <v>2322</v>
      </c>
    </row>
    <row r="2964" spans="1:8" hidden="1">
      <c r="A2964" s="1212"/>
      <c r="B2964" s="1212"/>
      <c r="C2964" s="1752" t="s">
        <v>172</v>
      </c>
      <c r="D2964" s="1213" t="s">
        <v>77</v>
      </c>
      <c r="E2964" s="1213">
        <f>'MINI SSR 2022-23'!$D$59</f>
        <v>264</v>
      </c>
      <c r="F2964" s="1213">
        <f>'MINI SSR 2022-23'!$E$59</f>
        <v>290</v>
      </c>
      <c r="G2964" s="1213">
        <f>'MINI SSR 2022-23'!$F$59</f>
        <v>317</v>
      </c>
      <c r="H2964" s="1205" t="s">
        <v>2322</v>
      </c>
    </row>
    <row r="2965" spans="1:8" ht="25.5" hidden="1">
      <c r="A2965" s="1212"/>
      <c r="B2965" s="1212"/>
      <c r="C2965" s="1752" t="s">
        <v>170</v>
      </c>
      <c r="D2965" s="1212"/>
      <c r="E2965" s="1212"/>
      <c r="F2965" s="1213">
        <f>ROUND(((G2919+G2920+G2921+F2964))*0.1,2)</f>
        <v>171.99</v>
      </c>
      <c r="G2965" s="1215">
        <f>ROUND(((G2919+G2920+G2921+G2964))*0.1,2)</f>
        <v>174.69</v>
      </c>
      <c r="H2965" s="1205" t="s">
        <v>2322</v>
      </c>
    </row>
    <row r="2966" spans="1:8" hidden="1">
      <c r="A2966" s="1212"/>
      <c r="B2966" s="1212"/>
      <c r="C2966" s="1754" t="s">
        <v>175</v>
      </c>
      <c r="D2966" s="1212"/>
      <c r="E2966" s="1217">
        <f>SUM(E2962:E2965)</f>
        <v>792.76</v>
      </c>
      <c r="F2966" s="1217">
        <f>SUM(F2962:F2965)</f>
        <v>990.75</v>
      </c>
      <c r="G2966" s="1222">
        <f>SUM(G2962:G2965)</f>
        <v>1020.45</v>
      </c>
      <c r="H2966" s="1205" t="s">
        <v>2322</v>
      </c>
    </row>
    <row r="2967" spans="1:8" hidden="1">
      <c r="A2967" s="1156"/>
      <c r="B2967" s="1218"/>
      <c r="C2967" s="1754" t="s">
        <v>173</v>
      </c>
      <c r="D2967" s="1212"/>
      <c r="E2967" s="1212"/>
      <c r="F2967" s="1212"/>
      <c r="G2967" s="1215"/>
      <c r="H2967" s="1205" t="s">
        <v>2322</v>
      </c>
    </row>
    <row r="2968" spans="1:8" hidden="1">
      <c r="A2968" s="1212"/>
      <c r="B2968" s="1212"/>
      <c r="C2968" s="1754"/>
      <c r="D2968" s="1212"/>
      <c r="E2968" s="1218" t="s">
        <v>161</v>
      </c>
      <c r="F2968" s="1218" t="s">
        <v>162</v>
      </c>
      <c r="G2968" s="1217" t="s">
        <v>163</v>
      </c>
      <c r="H2968" s="1205" t="s">
        <v>2322</v>
      </c>
    </row>
    <row r="2969" spans="1:8" hidden="1">
      <c r="A2969" s="1212"/>
      <c r="B2969" s="1212"/>
      <c r="C2969" s="1752" t="s">
        <v>174</v>
      </c>
      <c r="D2969" s="1226"/>
      <c r="E2969" s="1213">
        <f>E2961</f>
        <v>5715.1900000000005</v>
      </c>
      <c r="F2969" s="1213">
        <f>F2961</f>
        <v>5715.1900000000005</v>
      </c>
      <c r="G2969" s="1215">
        <f>G2961</f>
        <v>5715.1900000000005</v>
      </c>
      <c r="H2969" s="1205" t="s">
        <v>2322</v>
      </c>
    </row>
    <row r="2970" spans="1:8" hidden="1">
      <c r="A2970" s="1212"/>
      <c r="B2970" s="1212"/>
      <c r="C2970" s="1752" t="s">
        <v>1271</v>
      </c>
      <c r="D2970" s="1226">
        <v>3.7499999999999999E-2</v>
      </c>
      <c r="E2970" s="1213">
        <f>ROUND(E2969*0.0375,2)</f>
        <v>214.32</v>
      </c>
      <c r="F2970" s="1213">
        <f>ROUND(F2969*0.0375,2)</f>
        <v>214.32</v>
      </c>
      <c r="G2970" s="1215">
        <f>ROUND(G2969*0.0375,2)</f>
        <v>214.32</v>
      </c>
      <c r="H2970" s="1205" t="s">
        <v>2322</v>
      </c>
    </row>
    <row r="2971" spans="1:8" hidden="1">
      <c r="A2971" s="1212"/>
      <c r="B2971" s="1212"/>
      <c r="C2971" s="1752" t="s">
        <v>834</v>
      </c>
      <c r="D2971" s="1213">
        <v>0.6</v>
      </c>
      <c r="E2971" s="1213">
        <f>'MINI SSR 2022-23'!$C$59*D2971</f>
        <v>145.79999999999998</v>
      </c>
      <c r="F2971" s="1213">
        <f>'MINI SSR 2022-23'!$C$59*D2971</f>
        <v>145.79999999999998</v>
      </c>
      <c r="G2971" s="1213">
        <f>'MINI SSR 2022-23'!$C$59*D2971</f>
        <v>145.79999999999998</v>
      </c>
      <c r="H2971" s="1205" t="s">
        <v>2322</v>
      </c>
    </row>
    <row r="2972" spans="1:8" hidden="1">
      <c r="A2972" s="1212"/>
      <c r="B2972" s="1212"/>
      <c r="C2972" s="1752" t="s">
        <v>835</v>
      </c>
      <c r="D2972" s="1213">
        <v>0.6</v>
      </c>
      <c r="E2972" s="1213">
        <f>'MINI SSR 2022-23'!$D$59*D2972</f>
        <v>158.4</v>
      </c>
      <c r="F2972" s="1213">
        <f>'MINI SSR 2022-23'!$E$59*D2972</f>
        <v>174</v>
      </c>
      <c r="G2972" s="1213">
        <f>'MINI SSR 2022-23'!$F$59*D2972</f>
        <v>190.2</v>
      </c>
      <c r="H2972" s="1205" t="s">
        <v>2322</v>
      </c>
    </row>
    <row r="2973" spans="1:8" ht="25.5" hidden="1">
      <c r="A2973" s="1212"/>
      <c r="B2973" s="1212"/>
      <c r="C2973" s="1752" t="s">
        <v>170</v>
      </c>
      <c r="D2973" s="1213">
        <v>0.6</v>
      </c>
      <c r="E2973" s="1212"/>
      <c r="F2973" s="1215">
        <f>ROUND(((G2919+G2920+G2921+F2972)*D2973)*0.1,2)</f>
        <v>96.23</v>
      </c>
      <c r="G2973" s="1215">
        <f>ROUND(((G2919+G2920+G2921+G2972)*D2973)*0.2,2)</f>
        <v>194.41</v>
      </c>
      <c r="H2973" s="1205" t="s">
        <v>2322</v>
      </c>
    </row>
    <row r="2974" spans="1:8" hidden="1">
      <c r="A2974" s="1212"/>
      <c r="B2974" s="1212"/>
      <c r="C2974" s="1754" t="s">
        <v>176</v>
      </c>
      <c r="D2974" s="1212"/>
      <c r="E2974" s="1217">
        <f>SUM(E2970:E2973)</f>
        <v>518.52</v>
      </c>
      <c r="F2974" s="1217">
        <f>SUM(F2970:F2973)</f>
        <v>630.35</v>
      </c>
      <c r="G2974" s="1222">
        <f>SUM(G2970:G2973)</f>
        <v>744.7299999999999</v>
      </c>
      <c r="H2974" s="1205" t="s">
        <v>2322</v>
      </c>
    </row>
    <row r="2975" spans="1:8" ht="191.25" hidden="1">
      <c r="A2975" s="1156">
        <v>17</v>
      </c>
      <c r="B2975" s="1218" t="s">
        <v>78</v>
      </c>
      <c r="C2975" s="1752" t="s">
        <v>1316</v>
      </c>
      <c r="D2975" s="1212"/>
      <c r="E2975" s="1212"/>
      <c r="F2975" s="1212"/>
      <c r="G2975" s="1218"/>
      <c r="H2975" s="1205" t="s">
        <v>2322</v>
      </c>
    </row>
    <row r="2976" spans="1:8" hidden="1">
      <c r="A2976" s="1156"/>
      <c r="B2976" s="1218"/>
      <c r="C2976" s="1754" t="s">
        <v>1211</v>
      </c>
      <c r="D2976" s="1212"/>
      <c r="E2976" s="1212"/>
      <c r="F2976" s="1212"/>
      <c r="G2976" s="1215"/>
      <c r="H2976" s="1205" t="s">
        <v>2322</v>
      </c>
    </row>
    <row r="2977" spans="1:8" hidden="1">
      <c r="A2977" s="1156"/>
      <c r="B2977" s="1218"/>
      <c r="C2977" s="1754" t="s">
        <v>60</v>
      </c>
      <c r="D2977" s="1218"/>
      <c r="E2977" s="1218"/>
      <c r="F2977" s="1218"/>
      <c r="G2977" s="1215"/>
      <c r="H2977" s="1205" t="s">
        <v>2322</v>
      </c>
    </row>
    <row r="2978" spans="1:8" hidden="1">
      <c r="A2978" s="1156"/>
      <c r="B2978" s="1218"/>
      <c r="C2978" s="1752" t="s">
        <v>154</v>
      </c>
      <c r="D2978" s="1212" t="s">
        <v>35</v>
      </c>
      <c r="E2978" s="1213">
        <v>0.8</v>
      </c>
      <c r="F2978" s="1213">
        <f>F2788</f>
        <v>2046.91</v>
      </c>
      <c r="G2978" s="1214">
        <f>ROUND(E2978*F2978,2)</f>
        <v>1637.53</v>
      </c>
      <c r="H2978" s="1205" t="s">
        <v>2322</v>
      </c>
    </row>
    <row r="2979" spans="1:8" hidden="1">
      <c r="A2979" s="1156"/>
      <c r="B2979" s="1218"/>
      <c r="C2979" s="1752" t="s">
        <v>112</v>
      </c>
      <c r="D2979" s="1212" t="s">
        <v>35</v>
      </c>
      <c r="E2979" s="1213">
        <v>0.4</v>
      </c>
      <c r="F2979" s="1213">
        <f>'lead 22-23'!L13</f>
        <v>1720.9999999999998</v>
      </c>
      <c r="G2979" s="1214">
        <f>ROUND(E2979*F2979,2)</f>
        <v>688.4</v>
      </c>
      <c r="H2979" s="1205" t="s">
        <v>2322</v>
      </c>
    </row>
    <row r="2980" spans="1:8" hidden="1">
      <c r="A2980" s="1212"/>
      <c r="B2980" s="1212"/>
      <c r="C2980" s="1752" t="s">
        <v>33</v>
      </c>
      <c r="D2980" s="1212" t="s">
        <v>4</v>
      </c>
      <c r="E2980" s="1213">
        <f>E2917</f>
        <v>340</v>
      </c>
      <c r="F2980" s="1213">
        <f>'lead 22-23'!L8</f>
        <v>4700</v>
      </c>
      <c r="G2980" s="1214">
        <f>ROUND(E2980*F2980/1000,2)</f>
        <v>1598</v>
      </c>
      <c r="H2980" s="1205" t="s">
        <v>2322</v>
      </c>
    </row>
    <row r="2981" spans="1:8" hidden="1">
      <c r="A2981" s="1212"/>
      <c r="B2981" s="1212"/>
      <c r="C2981" s="1754" t="s">
        <v>68</v>
      </c>
      <c r="D2981" s="1212"/>
      <c r="E2981" s="1213"/>
      <c r="F2981" s="1213"/>
      <c r="G2981" s="1214"/>
      <c r="H2981" s="1205" t="s">
        <v>2322</v>
      </c>
    </row>
    <row r="2982" spans="1:8" hidden="1">
      <c r="A2982" s="1212"/>
      <c r="B2982" s="1212"/>
      <c r="C2982" s="1752" t="s">
        <v>64</v>
      </c>
      <c r="D2982" s="1212" t="s">
        <v>27</v>
      </c>
      <c r="E2982" s="1223">
        <v>6.7000000000000004E-2</v>
      </c>
      <c r="F2982" s="1213">
        <f>'MINI SSR 2022-23'!$H$3</f>
        <v>630</v>
      </c>
      <c r="G2982" s="1214">
        <f>ROUND(E2982*F2982,2)</f>
        <v>42.21</v>
      </c>
      <c r="H2982" s="1205" t="s">
        <v>2322</v>
      </c>
    </row>
    <row r="2983" spans="1:8" hidden="1">
      <c r="A2983" s="1212"/>
      <c r="B2983" s="1212"/>
      <c r="C2983" s="1752" t="s">
        <v>69</v>
      </c>
      <c r="D2983" s="1212" t="s">
        <v>27</v>
      </c>
      <c r="E2983" s="1223">
        <v>0.13300000000000001</v>
      </c>
      <c r="F2983" s="1213">
        <f>'MINI SSR 2022-23'!$H$4</f>
        <v>565</v>
      </c>
      <c r="G2983" s="1214">
        <f>ROUND(E2983*F2983,2)</f>
        <v>75.150000000000006</v>
      </c>
      <c r="H2983" s="1205" t="s">
        <v>2322</v>
      </c>
    </row>
    <row r="2984" spans="1:8" hidden="1">
      <c r="A2984" s="1212"/>
      <c r="B2984" s="1212"/>
      <c r="C2984" s="1752" t="s">
        <v>70</v>
      </c>
      <c r="D2984" s="1212" t="s">
        <v>27</v>
      </c>
      <c r="E2984" s="1223">
        <v>2.5</v>
      </c>
      <c r="F2984" s="1213">
        <f>'MINI SSR 2022-23'!H$5</f>
        <v>525</v>
      </c>
      <c r="G2984" s="1214">
        <f>ROUND(E2984*F2984,2)</f>
        <v>1312.5</v>
      </c>
      <c r="H2984" s="1205" t="s">
        <v>2322</v>
      </c>
    </row>
    <row r="2985" spans="1:8" hidden="1">
      <c r="A2985" s="1212"/>
      <c r="B2985" s="1212"/>
      <c r="C2985" s="1754" t="s">
        <v>61</v>
      </c>
      <c r="D2985" s="1212"/>
      <c r="E2985" s="1213"/>
      <c r="F2985" s="1213"/>
      <c r="G2985" s="1214"/>
      <c r="H2985" s="1205" t="s">
        <v>2322</v>
      </c>
    </row>
    <row r="2986" spans="1:8" hidden="1">
      <c r="A2986" s="1212"/>
      <c r="B2986" s="1212"/>
      <c r="C2986" s="1752" t="s">
        <v>62</v>
      </c>
      <c r="D2986" s="1212" t="s">
        <v>21</v>
      </c>
      <c r="E2986" s="1223">
        <v>0.26700000000000002</v>
      </c>
      <c r="F2986" s="1213">
        <f>'MINI SSR 2022-23'!$C$30</f>
        <v>667.5</v>
      </c>
      <c r="G2986" s="1214">
        <f>ROUND(E2986*F2986,2)</f>
        <v>178.22</v>
      </c>
      <c r="H2986" s="1205" t="s">
        <v>2322</v>
      </c>
    </row>
    <row r="2987" spans="1:8" hidden="1">
      <c r="A2987" s="1212"/>
      <c r="B2987" s="1212"/>
      <c r="C2987" s="1752" t="s">
        <v>57</v>
      </c>
      <c r="D2987" s="1212" t="s">
        <v>58</v>
      </c>
      <c r="E2987" s="1213">
        <v>1.2</v>
      </c>
      <c r="F2987" s="1221">
        <f>'MINI SSR 2022-23'!$C$29</f>
        <v>95</v>
      </c>
      <c r="G2987" s="1214">
        <f>ROUND(E2987*F2987,2)</f>
        <v>114</v>
      </c>
      <c r="H2987" s="1205" t="s">
        <v>2322</v>
      </c>
    </row>
    <row r="2988" spans="1:8" hidden="1">
      <c r="A2988" s="1212"/>
      <c r="B2988" s="1212"/>
      <c r="C2988" s="1754" t="s">
        <v>71</v>
      </c>
      <c r="D2988" s="1212"/>
      <c r="E2988" s="1212"/>
      <c r="F2988" s="1212"/>
      <c r="G2988" s="1222">
        <f>SUM(G2978:G2987)+0.01</f>
        <v>5646.02</v>
      </c>
      <c r="H2988" s="1205" t="s">
        <v>2322</v>
      </c>
    </row>
    <row r="2989" spans="1:8" hidden="1">
      <c r="A2989" s="1212"/>
      <c r="B2989" s="1212"/>
      <c r="C2989" s="1754"/>
      <c r="D2989" s="1212"/>
      <c r="E2989" s="1218" t="s">
        <v>161</v>
      </c>
      <c r="F2989" s="1218" t="s">
        <v>162</v>
      </c>
      <c r="G2989" s="1217" t="s">
        <v>163</v>
      </c>
      <c r="H2989" s="1205" t="s">
        <v>2322</v>
      </c>
    </row>
    <row r="2990" spans="1:8" hidden="1">
      <c r="A2990" s="1212"/>
      <c r="B2990" s="1212"/>
      <c r="C2990" s="1754" t="s">
        <v>1295</v>
      </c>
      <c r="D2990" s="1212"/>
      <c r="E2990" s="1213">
        <f>G2988</f>
        <v>5646.02</v>
      </c>
      <c r="F2990" s="1213">
        <f>G2988</f>
        <v>5646.02</v>
      </c>
      <c r="G2990" s="1215">
        <f>G2988</f>
        <v>5646.02</v>
      </c>
      <c r="H2990" s="1205" t="s">
        <v>2322</v>
      </c>
    </row>
    <row r="2991" spans="1:8" hidden="1">
      <c r="A2991" s="1212"/>
      <c r="B2991" s="1212"/>
      <c r="C2991" s="1754" t="s">
        <v>1272</v>
      </c>
      <c r="D2991" s="1213">
        <v>0.05</v>
      </c>
      <c r="E2991" s="1213">
        <f>ROUND(E2990*D2991,2)</f>
        <v>282.3</v>
      </c>
      <c r="F2991" s="1213">
        <f>ROUND(F2990*D2991,2)</f>
        <v>282.3</v>
      </c>
      <c r="G2991" s="1215">
        <f>ROUND(G2990*D2991,2)</f>
        <v>282.3</v>
      </c>
      <c r="H2991" s="1205" t="s">
        <v>2322</v>
      </c>
    </row>
    <row r="2992" spans="1:8" ht="25.5" hidden="1">
      <c r="A2992" s="1212"/>
      <c r="B2992" s="1212"/>
      <c r="C2992" s="1752" t="s">
        <v>1212</v>
      </c>
      <c r="D2992" s="1212"/>
      <c r="E2992" s="1213">
        <f>E2936*50%</f>
        <v>123.5</v>
      </c>
      <c r="F2992" s="1213">
        <f>E2992</f>
        <v>123.5</v>
      </c>
      <c r="G2992" s="1224">
        <f>E2992</f>
        <v>123.5</v>
      </c>
      <c r="H2992" s="1205" t="s">
        <v>2322</v>
      </c>
    </row>
    <row r="2993" spans="1:8" ht="25.5" hidden="1">
      <c r="A2993" s="1212"/>
      <c r="B2993" s="1212"/>
      <c r="C2993" s="1752" t="s">
        <v>1213</v>
      </c>
      <c r="D2993" s="1212"/>
      <c r="E2993" s="1213">
        <f>E2937*50%</f>
        <v>120.5</v>
      </c>
      <c r="F2993" s="1213">
        <f>F2937*50%</f>
        <v>132.5</v>
      </c>
      <c r="G2993" s="1215">
        <f>G2937*50%</f>
        <v>144.5</v>
      </c>
      <c r="H2993" s="1205" t="s">
        <v>2322</v>
      </c>
    </row>
    <row r="2994" spans="1:8" ht="25.5" hidden="1">
      <c r="A2994" s="1212"/>
      <c r="B2994" s="1212"/>
      <c r="C2994" s="1752" t="s">
        <v>1290</v>
      </c>
      <c r="D2994" s="1212"/>
      <c r="E2994" s="1212"/>
      <c r="F2994" s="1213">
        <f>ROUND(((G2982+G2983+G2984+F2993)*0.1),2)</f>
        <v>156.24</v>
      </c>
      <c r="G2994" s="1213">
        <f>ROUND(((G2982+G2983+G2984+G2993)*0.2),2)</f>
        <v>314.87</v>
      </c>
      <c r="H2994" s="1205" t="s">
        <v>2322</v>
      </c>
    </row>
    <row r="2995" spans="1:8" hidden="1">
      <c r="A2995" s="1212"/>
      <c r="B2995" s="1212"/>
      <c r="C2995" s="1754" t="s">
        <v>181</v>
      </c>
      <c r="D2995" s="1212"/>
      <c r="E2995" s="1217">
        <f>SUM(E2991:E2994)</f>
        <v>526.29999999999995</v>
      </c>
      <c r="F2995" s="1217">
        <f>SUM(F2991:F2994)</f>
        <v>694.54</v>
      </c>
      <c r="G2995" s="1222">
        <f>SUM(G2991:G2994)</f>
        <v>865.17</v>
      </c>
      <c r="H2995" s="1205" t="s">
        <v>2322</v>
      </c>
    </row>
    <row r="2996" spans="1:8" hidden="1">
      <c r="A2996" s="1212"/>
      <c r="B2996" s="1212"/>
      <c r="C2996" s="1754"/>
      <c r="D2996" s="1212"/>
      <c r="E2996" s="1218" t="s">
        <v>161</v>
      </c>
      <c r="F2996" s="1218" t="s">
        <v>162</v>
      </c>
      <c r="G2996" s="1217" t="s">
        <v>163</v>
      </c>
      <c r="H2996" s="1205" t="s">
        <v>2322</v>
      </c>
    </row>
    <row r="2997" spans="1:8" hidden="1">
      <c r="A2997" s="1212"/>
      <c r="B2997" s="1212"/>
      <c r="C2997" s="1754" t="s">
        <v>1296</v>
      </c>
      <c r="D2997" s="1212"/>
      <c r="E2997" s="1213">
        <f>G2988</f>
        <v>5646.02</v>
      </c>
      <c r="F2997" s="1213">
        <f>E2997</f>
        <v>5646.02</v>
      </c>
      <c r="G2997" s="1215">
        <f>F2997</f>
        <v>5646.02</v>
      </c>
      <c r="H2997" s="1205" t="s">
        <v>2322</v>
      </c>
    </row>
    <row r="2998" spans="1:8" hidden="1">
      <c r="A2998" s="1212"/>
      <c r="B2998" s="1212"/>
      <c r="C2998" s="1754" t="s">
        <v>1272</v>
      </c>
      <c r="D2998" s="1223">
        <v>2.5000000000000001E-2</v>
      </c>
      <c r="E2998" s="1213">
        <f>ROUND(E2997*D2998,2)</f>
        <v>141.15</v>
      </c>
      <c r="F2998" s="1213">
        <f>ROUND(F2997*D2998,2)</f>
        <v>141.15</v>
      </c>
      <c r="G2998" s="1215">
        <f>ROUND(G2997*D2998,2)</f>
        <v>141.15</v>
      </c>
      <c r="H2998" s="1205" t="s">
        <v>2322</v>
      </c>
    </row>
    <row r="2999" spans="1:8" ht="25.5" hidden="1">
      <c r="A2999" s="1212"/>
      <c r="B2999" s="1212"/>
      <c r="C2999" s="1752" t="s">
        <v>1212</v>
      </c>
      <c r="D2999" s="1212"/>
      <c r="E2999" s="1213">
        <f>E2943*50%</f>
        <v>123.5</v>
      </c>
      <c r="F2999" s="1213">
        <f>E2999</f>
        <v>123.5</v>
      </c>
      <c r="G2999" s="1224">
        <f>E2999</f>
        <v>123.5</v>
      </c>
      <c r="H2999" s="1205" t="s">
        <v>2322</v>
      </c>
    </row>
    <row r="3000" spans="1:8" ht="25.5" hidden="1">
      <c r="A3000" s="1212"/>
      <c r="B3000" s="1212"/>
      <c r="C3000" s="1752" t="s">
        <v>1213</v>
      </c>
      <c r="D3000" s="1212"/>
      <c r="E3000" s="1213">
        <f>E2944*50%</f>
        <v>120.5</v>
      </c>
      <c r="F3000" s="1213">
        <f>F2944*50%</f>
        <v>132.5</v>
      </c>
      <c r="G3000" s="1215">
        <f>G2944*50%</f>
        <v>144.5</v>
      </c>
      <c r="H3000" s="1205" t="s">
        <v>2322</v>
      </c>
    </row>
    <row r="3001" spans="1:8" ht="25.5" hidden="1">
      <c r="A3001" s="1212"/>
      <c r="B3001" s="1212"/>
      <c r="C3001" s="1752" t="s">
        <v>1290</v>
      </c>
      <c r="D3001" s="1212"/>
      <c r="E3001" s="1212"/>
      <c r="F3001" s="1213">
        <f>ROUND(((G2982+G2983+G2984+F3000)*0.1),2)</f>
        <v>156.24</v>
      </c>
      <c r="G3001" s="1213">
        <f>ROUND(((G2982+G2983+G2984+G3000)*0.2),2)</f>
        <v>314.87</v>
      </c>
      <c r="H3001" s="1205" t="s">
        <v>2322</v>
      </c>
    </row>
    <row r="3002" spans="1:8" hidden="1">
      <c r="A3002" s="1212"/>
      <c r="B3002" s="1212"/>
      <c r="C3002" s="1754" t="s">
        <v>181</v>
      </c>
      <c r="D3002" s="1212"/>
      <c r="E3002" s="1217">
        <f>SUM(E2998:E3001)</f>
        <v>385.15</v>
      </c>
      <c r="F3002" s="1217">
        <f>SUM(F2998:F3001)</f>
        <v>553.39</v>
      </c>
      <c r="G3002" s="1222">
        <f>SUM(G2998:G3001)</f>
        <v>724.02</v>
      </c>
      <c r="H3002" s="1205" t="s">
        <v>2322</v>
      </c>
    </row>
    <row r="3003" spans="1:8" ht="127.5" hidden="1">
      <c r="A3003" s="1156">
        <v>18</v>
      </c>
      <c r="B3003" s="1218"/>
      <c r="C3003" s="1752" t="s">
        <v>315</v>
      </c>
      <c r="D3003" s="1212"/>
      <c r="E3003" s="1212"/>
      <c r="F3003" s="1212"/>
      <c r="G3003" s="1218"/>
      <c r="H3003" s="1205" t="s">
        <v>2322</v>
      </c>
    </row>
    <row r="3004" spans="1:8" hidden="1">
      <c r="A3004" s="1156"/>
      <c r="B3004" s="1218"/>
      <c r="C3004" s="1754" t="s">
        <v>314</v>
      </c>
      <c r="D3004" s="1212"/>
      <c r="E3004" s="1212"/>
      <c r="F3004" s="1212"/>
      <c r="G3004" s="1215"/>
      <c r="H3004" s="1205" t="s">
        <v>2322</v>
      </c>
    </row>
    <row r="3005" spans="1:8" hidden="1">
      <c r="A3005" s="1156"/>
      <c r="B3005" s="1218"/>
      <c r="C3005" s="1754" t="s">
        <v>60</v>
      </c>
      <c r="D3005" s="1218"/>
      <c r="E3005" s="1218"/>
      <c r="F3005" s="1218"/>
      <c r="G3005" s="1215"/>
      <c r="H3005" s="1205" t="s">
        <v>2322</v>
      </c>
    </row>
    <row r="3006" spans="1:8" hidden="1">
      <c r="A3006" s="1156"/>
      <c r="B3006" s="1218"/>
      <c r="C3006" s="1752" t="s">
        <v>154</v>
      </c>
      <c r="D3006" s="1212" t="s">
        <v>35</v>
      </c>
      <c r="E3006" s="1213">
        <v>0.8</v>
      </c>
      <c r="F3006" s="1213">
        <f>F2915</f>
        <v>2046.91</v>
      </c>
      <c r="G3006" s="1214">
        <f>ROUND(E3006*F3006,2)</f>
        <v>1637.53</v>
      </c>
      <c r="H3006" s="1205" t="s">
        <v>2322</v>
      </c>
    </row>
    <row r="3007" spans="1:8" hidden="1">
      <c r="A3007" s="1156"/>
      <c r="B3007" s="1218"/>
      <c r="C3007" s="1752" t="s">
        <v>112</v>
      </c>
      <c r="D3007" s="1212" t="s">
        <v>35</v>
      </c>
      <c r="E3007" s="1213">
        <v>0.4</v>
      </c>
      <c r="F3007" s="1213">
        <f>F2916</f>
        <v>1720.9999999999998</v>
      </c>
      <c r="G3007" s="1214">
        <f>ROUND(E3007*F3007,2)</f>
        <v>688.4</v>
      </c>
      <c r="H3007" s="1205" t="s">
        <v>2322</v>
      </c>
    </row>
    <row r="3008" spans="1:8" hidden="1">
      <c r="A3008" s="1212"/>
      <c r="B3008" s="1212"/>
      <c r="C3008" s="1752" t="s">
        <v>33</v>
      </c>
      <c r="D3008" s="1212" t="s">
        <v>4</v>
      </c>
      <c r="E3008" s="1213">
        <f>E2980</f>
        <v>340</v>
      </c>
      <c r="F3008" s="1213">
        <f>F2917</f>
        <v>4700</v>
      </c>
      <c r="G3008" s="1214">
        <f>ROUND(E3008*F3008/1000,2)</f>
        <v>1598</v>
      </c>
      <c r="H3008" s="1205" t="s">
        <v>2322</v>
      </c>
    </row>
    <row r="3009" spans="1:8" hidden="1">
      <c r="A3009" s="1212"/>
      <c r="B3009" s="1212"/>
      <c r="C3009" s="1754" t="s">
        <v>68</v>
      </c>
      <c r="D3009" s="1212"/>
      <c r="E3009" s="1213"/>
      <c r="F3009" s="1213"/>
      <c r="G3009" s="1214"/>
      <c r="H3009" s="1205" t="s">
        <v>2322</v>
      </c>
    </row>
    <row r="3010" spans="1:8" hidden="1">
      <c r="A3010" s="1212"/>
      <c r="B3010" s="1212"/>
      <c r="C3010" s="1752" t="s">
        <v>64</v>
      </c>
      <c r="D3010" s="1212" t="s">
        <v>27</v>
      </c>
      <c r="E3010" s="1223">
        <v>0.1</v>
      </c>
      <c r="F3010" s="1213">
        <f>'MINI SSR 2022-23'!$H$3</f>
        <v>630</v>
      </c>
      <c r="G3010" s="1214">
        <f>ROUND(E3010*F3010,2)</f>
        <v>63</v>
      </c>
      <c r="H3010" s="1205" t="s">
        <v>2322</v>
      </c>
    </row>
    <row r="3011" spans="1:8" hidden="1">
      <c r="A3011" s="1212"/>
      <c r="B3011" s="1212"/>
      <c r="C3011" s="1752" t="s">
        <v>69</v>
      </c>
      <c r="D3011" s="1212" t="s">
        <v>27</v>
      </c>
      <c r="E3011" s="1223">
        <v>1.39</v>
      </c>
      <c r="F3011" s="1213">
        <f>'MINI SSR 2022-23'!$H$4</f>
        <v>565</v>
      </c>
      <c r="G3011" s="1214">
        <f>ROUND(E3011*F3011,2)</f>
        <v>785.35</v>
      </c>
      <c r="H3011" s="1205" t="s">
        <v>2322</v>
      </c>
    </row>
    <row r="3012" spans="1:8" hidden="1">
      <c r="A3012" s="1212"/>
      <c r="B3012" s="1212"/>
      <c r="C3012" s="1754" t="s">
        <v>61</v>
      </c>
      <c r="D3012" s="1212"/>
      <c r="E3012" s="1213"/>
      <c r="F3012" s="1213"/>
      <c r="G3012" s="1214"/>
      <c r="H3012" s="1205" t="s">
        <v>2322</v>
      </c>
    </row>
    <row r="3013" spans="1:8" hidden="1">
      <c r="A3013" s="1212"/>
      <c r="B3013" s="1212"/>
      <c r="C3013" s="1752" t="s">
        <v>62</v>
      </c>
      <c r="D3013" s="1212" t="s">
        <v>21</v>
      </c>
      <c r="E3013" s="1223">
        <v>0.308</v>
      </c>
      <c r="F3013" s="1213">
        <f>'MINI SSR 2022-23'!$C$30</f>
        <v>667.5</v>
      </c>
      <c r="G3013" s="1214">
        <f>ROUND(E3013*F3013,2)</f>
        <v>205.59</v>
      </c>
      <c r="H3013" s="1205" t="s">
        <v>2322</v>
      </c>
    </row>
    <row r="3014" spans="1:8" hidden="1">
      <c r="A3014" s="1212"/>
      <c r="B3014" s="1212"/>
      <c r="C3014" s="1752" t="s">
        <v>160</v>
      </c>
      <c r="D3014" s="1212" t="s">
        <v>21</v>
      </c>
      <c r="E3014" s="1223">
        <v>0.308</v>
      </c>
      <c r="F3014" s="1213">
        <f>'MINI SSR 2022-23'!$C$31</f>
        <v>259.10000000000002</v>
      </c>
      <c r="G3014" s="1214">
        <f>ROUND(E3014*F3014,2)</f>
        <v>79.8</v>
      </c>
      <c r="H3014" s="1205" t="s">
        <v>2322</v>
      </c>
    </row>
    <row r="3015" spans="1:8" hidden="1">
      <c r="A3015" s="1212"/>
      <c r="B3015" s="1212"/>
      <c r="C3015" s="1752" t="s">
        <v>57</v>
      </c>
      <c r="D3015" s="1212" t="s">
        <v>58</v>
      </c>
      <c r="E3015" s="1213">
        <v>1.2</v>
      </c>
      <c r="F3015" s="1221">
        <f>'MINI SSR 2022-23'!$C$29</f>
        <v>95</v>
      </c>
      <c r="G3015" s="1214">
        <f>ROUND(E3015*F3015,2)</f>
        <v>114</v>
      </c>
      <c r="H3015" s="1205" t="s">
        <v>2322</v>
      </c>
    </row>
    <row r="3016" spans="1:8" hidden="1">
      <c r="A3016" s="1212"/>
      <c r="B3016" s="1212"/>
      <c r="C3016" s="1754" t="s">
        <v>71</v>
      </c>
      <c r="D3016" s="1212"/>
      <c r="E3016" s="1212"/>
      <c r="F3016" s="1212"/>
      <c r="G3016" s="1222">
        <f>SUM(G3006:G3015)</f>
        <v>5171.67</v>
      </c>
      <c r="H3016" s="1205" t="s">
        <v>2322</v>
      </c>
    </row>
    <row r="3017" spans="1:8" hidden="1">
      <c r="A3017" s="1212"/>
      <c r="B3017" s="1212"/>
      <c r="C3017" s="1754"/>
      <c r="D3017" s="1212"/>
      <c r="E3017" s="1218" t="s">
        <v>161</v>
      </c>
      <c r="F3017" s="1218" t="s">
        <v>162</v>
      </c>
      <c r="G3017" s="1218" t="s">
        <v>162</v>
      </c>
      <c r="H3017" s="1205" t="s">
        <v>2322</v>
      </c>
    </row>
    <row r="3018" spans="1:8" hidden="1">
      <c r="A3018" s="1212"/>
      <c r="B3018" s="1212"/>
      <c r="C3018" s="1754" t="s">
        <v>1297</v>
      </c>
      <c r="D3018" s="1212"/>
      <c r="E3018" s="1213">
        <f>G3016</f>
        <v>5171.67</v>
      </c>
      <c r="F3018" s="1213">
        <f>G3016</f>
        <v>5171.67</v>
      </c>
      <c r="G3018" s="1213">
        <f>F3018</f>
        <v>5171.67</v>
      </c>
      <c r="H3018" s="1205" t="s">
        <v>2322</v>
      </c>
    </row>
    <row r="3019" spans="1:8" ht="25.5" hidden="1">
      <c r="A3019" s="1212"/>
      <c r="B3019" s="1212"/>
      <c r="C3019" s="1752" t="s">
        <v>177</v>
      </c>
      <c r="D3019" s="1212"/>
      <c r="E3019" s="1213">
        <f>'MINI SSR 2022-23'!C53</f>
        <v>67</v>
      </c>
      <c r="F3019" s="1213">
        <f>E3019</f>
        <v>67</v>
      </c>
      <c r="G3019" s="1213">
        <f>F3019</f>
        <v>67</v>
      </c>
      <c r="H3019" s="1205" t="s">
        <v>2322</v>
      </c>
    </row>
    <row r="3020" spans="1:8" hidden="1">
      <c r="A3020" s="1212"/>
      <c r="B3020" s="1212"/>
      <c r="C3020" s="1752" t="s">
        <v>178</v>
      </c>
      <c r="D3020" s="1212"/>
      <c r="E3020" s="1213">
        <f>'MINI SSR 2022-23'!D53</f>
        <v>363</v>
      </c>
      <c r="F3020" s="1213">
        <f>E3020</f>
        <v>363</v>
      </c>
      <c r="G3020" s="1213">
        <f>F3020</f>
        <v>363</v>
      </c>
      <c r="H3020" s="1205" t="s">
        <v>2322</v>
      </c>
    </row>
    <row r="3021" spans="1:8" ht="25.5" hidden="1">
      <c r="A3021" s="1212"/>
      <c r="B3021" s="1212"/>
      <c r="C3021" s="1752" t="s">
        <v>1286</v>
      </c>
      <c r="D3021" s="1212"/>
      <c r="E3021" s="1212"/>
      <c r="F3021" s="1213">
        <f>ROUND((G3010+G3011+F3020)*0.1,2)</f>
        <v>121.14</v>
      </c>
      <c r="G3021" s="1213">
        <f>ROUND((G3010+G3011+G3020)*0.2,2)</f>
        <v>242.27</v>
      </c>
      <c r="H3021" s="1205" t="s">
        <v>2322</v>
      </c>
    </row>
    <row r="3022" spans="1:8" hidden="1">
      <c r="A3022" s="1212"/>
      <c r="B3022" s="1212"/>
      <c r="C3022" s="1754" t="s">
        <v>182</v>
      </c>
      <c r="D3022" s="1212"/>
      <c r="E3022" s="1217">
        <f>SUM(E3018:E3021)</f>
        <v>5601.67</v>
      </c>
      <c r="F3022" s="1217">
        <f>SUM(F3018:F3021)</f>
        <v>5722.81</v>
      </c>
      <c r="G3022" s="1217">
        <f>SUM(G3018:G3021)</f>
        <v>5843.9400000000005</v>
      </c>
      <c r="H3022" s="1205" t="s">
        <v>2322</v>
      </c>
    </row>
    <row r="3023" spans="1:8" ht="127.5" hidden="1">
      <c r="A3023" s="1156">
        <v>16</v>
      </c>
      <c r="B3023" s="1218" t="s">
        <v>1328</v>
      </c>
      <c r="C3023" s="1752" t="s">
        <v>1329</v>
      </c>
      <c r="D3023" s="1212"/>
      <c r="E3023" s="1212"/>
      <c r="F3023" s="1212"/>
      <c r="G3023" s="1218"/>
      <c r="H3023" s="1205" t="s">
        <v>2322</v>
      </c>
    </row>
    <row r="3024" spans="1:8" hidden="1">
      <c r="A3024" s="1156"/>
      <c r="B3024" s="1218"/>
      <c r="C3024" s="1754" t="s">
        <v>36</v>
      </c>
      <c r="D3024" s="1212"/>
      <c r="E3024" s="1212"/>
      <c r="F3024" s="1212"/>
      <c r="G3024" s="1169"/>
      <c r="H3024" s="1205" t="s">
        <v>2322</v>
      </c>
    </row>
    <row r="3025" spans="1:8" hidden="1">
      <c r="A3025" s="1156"/>
      <c r="B3025" s="1212"/>
      <c r="C3025" s="1754" t="s">
        <v>40</v>
      </c>
      <c r="D3025" s="1212"/>
      <c r="E3025" s="1212"/>
      <c r="F3025" s="1212"/>
      <c r="G3025" s="1169"/>
      <c r="H3025" s="1205" t="s">
        <v>2322</v>
      </c>
    </row>
    <row r="3026" spans="1:8" hidden="1">
      <c r="A3026" s="1156"/>
      <c r="B3026" s="1219" t="s">
        <v>18</v>
      </c>
      <c r="C3026" s="1754" t="s">
        <v>22</v>
      </c>
      <c r="D3026" s="1212"/>
      <c r="E3026" s="1212"/>
      <c r="F3026" s="1212"/>
      <c r="G3026" s="1169"/>
      <c r="H3026" s="1205" t="s">
        <v>2322</v>
      </c>
    </row>
    <row r="3027" spans="1:8" hidden="1">
      <c r="A3027" s="1169"/>
      <c r="B3027" s="1169"/>
      <c r="C3027" s="1752" t="s">
        <v>37</v>
      </c>
      <c r="D3027" s="1221" t="s">
        <v>34</v>
      </c>
      <c r="E3027" s="1227">
        <v>1.05</v>
      </c>
      <c r="F3027" s="1221">
        <f>'lead 22-23'!L9</f>
        <v>75520</v>
      </c>
      <c r="G3027" s="1214">
        <f>ROUND(E3027*F3027,2)</f>
        <v>79296</v>
      </c>
      <c r="H3027" s="1205" t="s">
        <v>2322</v>
      </c>
    </row>
    <row r="3028" spans="1:8" hidden="1">
      <c r="A3028" s="1169"/>
      <c r="B3028" s="1169"/>
      <c r="C3028" s="1752" t="s">
        <v>38</v>
      </c>
      <c r="D3028" s="1156" t="s">
        <v>4</v>
      </c>
      <c r="E3028" s="1221">
        <v>6</v>
      </c>
      <c r="F3028" s="1221">
        <f>'MINI SSR 2022-23'!C32</f>
        <v>70</v>
      </c>
      <c r="G3028" s="1214">
        <f>ROUND(E3028*F3028,2)</f>
        <v>420</v>
      </c>
      <c r="H3028" s="1205" t="s">
        <v>2322</v>
      </c>
    </row>
    <row r="3029" spans="1:8" ht="25.5" hidden="1">
      <c r="A3029" s="1169"/>
      <c r="B3029" s="1219" t="s">
        <v>20</v>
      </c>
      <c r="C3029" s="1754" t="s">
        <v>1273</v>
      </c>
      <c r="D3029" s="1156"/>
      <c r="E3029" s="1156"/>
      <c r="F3029" s="1156"/>
      <c r="G3029" s="1169"/>
      <c r="H3029" s="1205" t="s">
        <v>2322</v>
      </c>
    </row>
    <row r="3030" spans="1:8" hidden="1">
      <c r="A3030" s="1169"/>
      <c r="B3030" s="1169"/>
      <c r="C3030" s="1752" t="s">
        <v>120</v>
      </c>
      <c r="D3030" s="1156" t="s">
        <v>27</v>
      </c>
      <c r="E3030" s="1221">
        <v>10</v>
      </c>
      <c r="F3030" s="1221">
        <f>'MINI SSR 2022-23'!H6</f>
        <v>750</v>
      </c>
      <c r="G3030" s="1214">
        <f>ROUND(E3030*F3030,2)</f>
        <v>7500</v>
      </c>
      <c r="H3030" s="1205" t="s">
        <v>2322</v>
      </c>
    </row>
    <row r="3031" spans="1:8" hidden="1">
      <c r="A3031" s="1169"/>
      <c r="B3031" s="1169"/>
      <c r="C3031" s="1752" t="s">
        <v>19</v>
      </c>
      <c r="D3031" s="1156" t="s">
        <v>27</v>
      </c>
      <c r="E3031" s="1221">
        <v>10</v>
      </c>
      <c r="F3031" s="1221">
        <f>'MINI SSR 2022-23'!$H$5</f>
        <v>525</v>
      </c>
      <c r="G3031" s="1214">
        <f>ROUND(E3031*F3031,2)</f>
        <v>5250</v>
      </c>
      <c r="H3031" s="1205" t="s">
        <v>2322</v>
      </c>
    </row>
    <row r="3032" spans="1:8" hidden="1">
      <c r="A3032" s="1169"/>
      <c r="B3032" s="1169"/>
      <c r="C3032" s="1754" t="s">
        <v>39</v>
      </c>
      <c r="D3032" s="1156"/>
      <c r="E3032" s="1221"/>
      <c r="F3032" s="1221"/>
      <c r="G3032" s="1220">
        <f>SUM(G3027:G3031)</f>
        <v>92466</v>
      </c>
      <c r="H3032" s="1205" t="s">
        <v>2322</v>
      </c>
    </row>
    <row r="3033" spans="1:8" hidden="1">
      <c r="A3033" s="1212"/>
      <c r="B3033" s="1212"/>
      <c r="C3033" s="1754"/>
      <c r="D3033" s="1212"/>
      <c r="E3033" s="1218" t="s">
        <v>161</v>
      </c>
      <c r="F3033" s="1217" t="s">
        <v>162</v>
      </c>
      <c r="G3033" s="1217" t="s">
        <v>163</v>
      </c>
      <c r="H3033" s="1205" t="s">
        <v>2322</v>
      </c>
    </row>
    <row r="3034" spans="1:8" hidden="1">
      <c r="A3034" s="1212"/>
      <c r="B3034" s="1212"/>
      <c r="C3034" s="1754" t="s">
        <v>867</v>
      </c>
      <c r="D3034" s="1212"/>
      <c r="E3034" s="1213">
        <f>G3032</f>
        <v>92466</v>
      </c>
      <c r="F3034" s="1215">
        <f>E3034</f>
        <v>92466</v>
      </c>
      <c r="G3034" s="1215">
        <f>F3034</f>
        <v>92466</v>
      </c>
      <c r="H3034" s="1205" t="s">
        <v>2322</v>
      </c>
    </row>
    <row r="3035" spans="1:8" ht="25.5" hidden="1">
      <c r="A3035" s="1212"/>
      <c r="B3035" s="1212"/>
      <c r="C3035" s="1752" t="s">
        <v>1286</v>
      </c>
      <c r="D3035" s="1212"/>
      <c r="E3035" s="1212"/>
      <c r="F3035" s="1215">
        <f>ROUND((G3030+G3031)*10%,2)</f>
        <v>1275</v>
      </c>
      <c r="G3035" s="1215">
        <f>ROUND((G3030+G3031)*20%,2)</f>
        <v>2550</v>
      </c>
      <c r="H3035" s="1205" t="s">
        <v>2322</v>
      </c>
    </row>
    <row r="3036" spans="1:8" hidden="1">
      <c r="A3036" s="1212"/>
      <c r="B3036" s="1212"/>
      <c r="C3036" s="1754" t="s">
        <v>894</v>
      </c>
      <c r="D3036" s="1212"/>
      <c r="E3036" s="1217">
        <f>SUM(E3034:E3035)</f>
        <v>92466</v>
      </c>
      <c r="F3036" s="1222">
        <f>SUM(F3034:F3035)</f>
        <v>93741</v>
      </c>
      <c r="G3036" s="1222">
        <f>SUM(G3034:G3035)</f>
        <v>95016</v>
      </c>
      <c r="H3036" s="1205" t="s">
        <v>2322</v>
      </c>
    </row>
    <row r="3037" spans="1:8" s="1232" customFormat="1" ht="204" hidden="1">
      <c r="A3037" s="1228">
        <v>20</v>
      </c>
      <c r="B3037" s="1229" t="s">
        <v>1330</v>
      </c>
      <c r="C3037" s="1229" t="s">
        <v>1331</v>
      </c>
      <c r="D3037" s="1230"/>
      <c r="E3037" s="1230"/>
      <c r="F3037" s="1230"/>
      <c r="G3037" s="1231"/>
      <c r="H3037" s="1205" t="s">
        <v>2322</v>
      </c>
    </row>
    <row r="3038" spans="1:8" s="1232" customFormat="1" hidden="1">
      <c r="A3038" s="1228"/>
      <c r="B3038" s="1233"/>
      <c r="C3038" s="1229" t="s">
        <v>1332</v>
      </c>
      <c r="D3038" s="1228"/>
      <c r="E3038" s="1234"/>
      <c r="F3038" s="1235"/>
      <c r="G3038" s="1231"/>
      <c r="H3038" s="1205" t="s">
        <v>2322</v>
      </c>
    </row>
    <row r="3039" spans="1:8" s="1232" customFormat="1" hidden="1">
      <c r="A3039" s="1228"/>
      <c r="B3039" s="1229"/>
      <c r="C3039" s="1229" t="s">
        <v>1333</v>
      </c>
      <c r="D3039" s="1228"/>
      <c r="E3039" s="1234"/>
      <c r="F3039" s="1235"/>
      <c r="G3039" s="1231"/>
      <c r="H3039" s="1205" t="s">
        <v>2322</v>
      </c>
    </row>
    <row r="3040" spans="1:8" s="1232" customFormat="1" ht="25.5" hidden="1">
      <c r="A3040" s="1228"/>
      <c r="B3040" s="1229"/>
      <c r="C3040" s="1229" t="s">
        <v>1334</v>
      </c>
      <c r="D3040" s="1228" t="s">
        <v>34</v>
      </c>
      <c r="E3040" s="1234">
        <v>1.0249999999999999</v>
      </c>
      <c r="F3040" s="1235">
        <f>'lead 22-23'!L10</f>
        <v>73160</v>
      </c>
      <c r="G3040" s="1231">
        <f>ROUND(F3040*E3040,2)</f>
        <v>74989</v>
      </c>
      <c r="H3040" s="1205" t="s">
        <v>2322</v>
      </c>
    </row>
    <row r="3041" spans="1:8" s="1232" customFormat="1" ht="25.5" hidden="1">
      <c r="A3041" s="1228"/>
      <c r="B3041" s="1229"/>
      <c r="C3041" s="1229" t="s">
        <v>1335</v>
      </c>
      <c r="D3041" s="1228" t="s">
        <v>1336</v>
      </c>
      <c r="E3041" s="1234">
        <v>70</v>
      </c>
      <c r="F3041" s="1235">
        <f>'MINI SSR 2022-23'!C33</f>
        <v>16</v>
      </c>
      <c r="G3041" s="1231">
        <f>ROUND(F3041*E3041,2)</f>
        <v>1120</v>
      </c>
      <c r="H3041" s="1205" t="s">
        <v>2322</v>
      </c>
    </row>
    <row r="3042" spans="1:8" s="1232" customFormat="1" ht="25.5" hidden="1">
      <c r="A3042" s="1228"/>
      <c r="B3042" s="1229"/>
      <c r="C3042" s="1229" t="s">
        <v>1337</v>
      </c>
      <c r="D3042" s="1228" t="s">
        <v>90</v>
      </c>
      <c r="E3042" s="1234">
        <v>3</v>
      </c>
      <c r="F3042" s="1235">
        <f>'MINI SSR 2022-23'!C32</f>
        <v>70</v>
      </c>
      <c r="G3042" s="1231">
        <f>ROUND(F3042*E3042,2)</f>
        <v>210</v>
      </c>
      <c r="H3042" s="1205" t="s">
        <v>2322</v>
      </c>
    </row>
    <row r="3043" spans="1:8" s="1232" customFormat="1" ht="25.5" hidden="1">
      <c r="A3043" s="1228"/>
      <c r="B3043" s="1229"/>
      <c r="C3043" s="1229" t="s">
        <v>1338</v>
      </c>
      <c r="D3043" s="1228"/>
      <c r="E3043" s="1234"/>
      <c r="F3043" s="1235"/>
      <c r="G3043" s="1231"/>
      <c r="H3043" s="1205" t="s">
        <v>2322</v>
      </c>
    </row>
    <row r="3044" spans="1:8" s="1232" customFormat="1" hidden="1">
      <c r="A3044" s="1228"/>
      <c r="B3044" s="1229"/>
      <c r="C3044" s="1229" t="s">
        <v>1339</v>
      </c>
      <c r="D3044" s="1228" t="s">
        <v>27</v>
      </c>
      <c r="E3044" s="1234">
        <v>2.5</v>
      </c>
      <c r="F3044" s="1236">
        <f>'MINI SSR 2022-23'!H10</f>
        <v>615</v>
      </c>
      <c r="G3044" s="1231">
        <f>ROUND(F3044*E3044,2)</f>
        <v>1537.5</v>
      </c>
      <c r="H3044" s="1205" t="s">
        <v>2322</v>
      </c>
    </row>
    <row r="3045" spans="1:8" s="1232" customFormat="1" hidden="1">
      <c r="A3045" s="1228"/>
      <c r="B3045" s="1229"/>
      <c r="C3045" s="1229" t="s">
        <v>1340</v>
      </c>
      <c r="D3045" s="1228" t="s">
        <v>27</v>
      </c>
      <c r="E3045" s="1234">
        <v>10</v>
      </c>
      <c r="F3045" s="1236">
        <f>'MINI SSR 2022-23'!H11</f>
        <v>590</v>
      </c>
      <c r="G3045" s="1231">
        <f>ROUND(F3045*E3045,2)</f>
        <v>5900</v>
      </c>
      <c r="H3045" s="1205" t="s">
        <v>2322</v>
      </c>
    </row>
    <row r="3046" spans="1:8" s="1232" customFormat="1" hidden="1">
      <c r="A3046" s="1228"/>
      <c r="B3046" s="1229"/>
      <c r="C3046" s="1229" t="s">
        <v>1341</v>
      </c>
      <c r="D3046" s="1228" t="s">
        <v>27</v>
      </c>
      <c r="E3046" s="1234">
        <v>10</v>
      </c>
      <c r="F3046" s="1236">
        <f>'MINI SSR 2022-23'!H5</f>
        <v>525</v>
      </c>
      <c r="G3046" s="1231">
        <f>ROUND(F3046*E3046,2)</f>
        <v>5250</v>
      </c>
      <c r="H3046" s="1205" t="s">
        <v>2322</v>
      </c>
    </row>
    <row r="3047" spans="1:8" s="1232" customFormat="1" ht="25.5" hidden="1">
      <c r="A3047" s="1228"/>
      <c r="B3047" s="1229"/>
      <c r="C3047" s="1229" t="s">
        <v>1342</v>
      </c>
      <c r="D3047" s="1228" t="s">
        <v>1343</v>
      </c>
      <c r="E3047" s="1234">
        <v>10</v>
      </c>
      <c r="F3047" s="1236">
        <f>'MINI SSR 2022-23'!C34</f>
        <v>117.7</v>
      </c>
      <c r="G3047" s="1231">
        <f>ROUND(F3047*E3047,2)</f>
        <v>1177</v>
      </c>
      <c r="H3047" s="1205" t="s">
        <v>2322</v>
      </c>
    </row>
    <row r="3048" spans="1:8" s="1232" customFormat="1" hidden="1">
      <c r="A3048" s="1228"/>
      <c r="B3048" s="1229"/>
      <c r="C3048" s="1229" t="s">
        <v>1344</v>
      </c>
      <c r="D3048" s="1228"/>
      <c r="E3048" s="1234"/>
      <c r="F3048" s="1235"/>
      <c r="G3048" s="1237">
        <f>SUM(G3040:G3047)</f>
        <v>90183.5</v>
      </c>
      <c r="H3048" s="1205" t="s">
        <v>2322</v>
      </c>
    </row>
    <row r="3049" spans="1:8" s="1232" customFormat="1" hidden="1">
      <c r="A3049" s="1228"/>
      <c r="B3049" s="1229"/>
      <c r="C3049" s="1229" t="s">
        <v>1345</v>
      </c>
      <c r="D3049" s="1228"/>
      <c r="E3049" s="1234"/>
      <c r="F3049" s="1235"/>
      <c r="G3049" s="1237">
        <f>ROUND(G3048/1000,2)</f>
        <v>90.18</v>
      </c>
      <c r="H3049" s="1205" t="s">
        <v>2322</v>
      </c>
    </row>
    <row r="3050" spans="1:8" ht="63.75" hidden="1">
      <c r="A3050" s="1156">
        <v>17</v>
      </c>
      <c r="B3050" s="1218"/>
      <c r="C3050" s="1752" t="s">
        <v>185</v>
      </c>
      <c r="D3050" s="1212"/>
      <c r="E3050" s="1212"/>
      <c r="F3050" s="1212"/>
      <c r="G3050" s="1169"/>
      <c r="H3050" s="1205" t="s">
        <v>2322</v>
      </c>
    </row>
    <row r="3051" spans="1:8" hidden="1">
      <c r="A3051" s="1156"/>
      <c r="B3051" s="1218"/>
      <c r="C3051" s="1754" t="s">
        <v>186</v>
      </c>
      <c r="D3051" s="1212"/>
      <c r="E3051" s="1212"/>
      <c r="F3051" s="1212"/>
      <c r="G3051" s="1169"/>
      <c r="H3051" s="1205" t="s">
        <v>2322</v>
      </c>
    </row>
    <row r="3052" spans="1:8" hidden="1">
      <c r="A3052" s="1156"/>
      <c r="B3052" s="1219" t="s">
        <v>18</v>
      </c>
      <c r="C3052" s="1754" t="s">
        <v>22</v>
      </c>
      <c r="D3052" s="1212"/>
      <c r="E3052" s="1212"/>
      <c r="F3052" s="1212"/>
      <c r="G3052" s="1169"/>
      <c r="H3052" s="1205" t="s">
        <v>2322</v>
      </c>
    </row>
    <row r="3053" spans="1:8" ht="25.5" hidden="1">
      <c r="A3053" s="1169"/>
      <c r="B3053" s="1169"/>
      <c r="C3053" s="1752" t="s">
        <v>187</v>
      </c>
      <c r="D3053" s="1156" t="s">
        <v>4</v>
      </c>
      <c r="E3053" s="1166">
        <v>1.0249999999999999</v>
      </c>
      <c r="F3053" s="1221">
        <f>'lead 22-23'!L10/1000</f>
        <v>73.16</v>
      </c>
      <c r="G3053" s="1214">
        <f>ROUND(E3053*F3053,2)</f>
        <v>74.989999999999995</v>
      </c>
      <c r="H3053" s="1205" t="s">
        <v>2322</v>
      </c>
    </row>
    <row r="3054" spans="1:8" hidden="1">
      <c r="A3054" s="1169"/>
      <c r="B3054" s="1219" t="s">
        <v>20</v>
      </c>
      <c r="C3054" s="1752" t="s">
        <v>188</v>
      </c>
      <c r="D3054" s="1156" t="s">
        <v>4</v>
      </c>
      <c r="E3054" s="1221">
        <v>1</v>
      </c>
      <c r="F3054" s="1221">
        <f>'MINI SSR 2022-23'!C35</f>
        <v>30</v>
      </c>
      <c r="G3054" s="1214">
        <f>ROUND(E3054*F3054,2)</f>
        <v>30</v>
      </c>
      <c r="H3054" s="1205" t="s">
        <v>2322</v>
      </c>
    </row>
    <row r="3055" spans="1:8" hidden="1">
      <c r="A3055" s="1169"/>
      <c r="B3055" s="1169"/>
      <c r="C3055" s="1752" t="s">
        <v>189</v>
      </c>
      <c r="D3055" s="1156" t="s">
        <v>27</v>
      </c>
      <c r="E3055" s="1221">
        <v>1</v>
      </c>
      <c r="F3055" s="1221">
        <f>'MINI SSR 2022-23'!C36</f>
        <v>6</v>
      </c>
      <c r="G3055" s="1214">
        <f>ROUND(E3055*F3055,2)</f>
        <v>6</v>
      </c>
      <c r="H3055" s="1205" t="s">
        <v>2322</v>
      </c>
    </row>
    <row r="3056" spans="1:8" hidden="1">
      <c r="A3056" s="1169"/>
      <c r="B3056" s="1169"/>
      <c r="C3056" s="1754" t="s">
        <v>190</v>
      </c>
      <c r="D3056" s="1156"/>
      <c r="E3056" s="1221"/>
      <c r="F3056" s="1221"/>
      <c r="G3056" s="1220">
        <f>SUM(G3053:G3055)</f>
        <v>110.99</v>
      </c>
      <c r="H3056" s="1205" t="s">
        <v>2322</v>
      </c>
    </row>
    <row r="3057" spans="1:8" ht="114.75" hidden="1">
      <c r="A3057" s="1156">
        <v>5</v>
      </c>
      <c r="B3057" s="1218"/>
      <c r="C3057" s="1752" t="s">
        <v>969</v>
      </c>
      <c r="D3057" s="1212"/>
      <c r="E3057" s="1212"/>
      <c r="F3057" s="1212"/>
      <c r="G3057" s="1169"/>
      <c r="H3057" s="1205" t="s">
        <v>2322</v>
      </c>
    </row>
    <row r="3058" spans="1:8" hidden="1">
      <c r="A3058" s="1156"/>
      <c r="B3058" s="1219" t="s">
        <v>18</v>
      </c>
      <c r="C3058" s="1754" t="s">
        <v>22</v>
      </c>
      <c r="D3058" s="1212"/>
      <c r="E3058" s="1212"/>
      <c r="F3058" s="1212"/>
      <c r="G3058" s="1169"/>
      <c r="H3058" s="1205" t="s">
        <v>2322</v>
      </c>
    </row>
    <row r="3059" spans="1:8" hidden="1">
      <c r="A3059" s="1169"/>
      <c r="B3059" s="1169"/>
      <c r="C3059" s="1752" t="s">
        <v>934</v>
      </c>
      <c r="D3059" s="1156" t="s">
        <v>4</v>
      </c>
      <c r="E3059" s="1166">
        <v>43.51</v>
      </c>
      <c r="F3059" s="1221">
        <f>'lead 22-23'!L10/1000</f>
        <v>73.16</v>
      </c>
      <c r="G3059" s="1214">
        <f>ROUND(E3059*F3059,2)</f>
        <v>3183.19</v>
      </c>
      <c r="H3059" s="1205" t="s">
        <v>2322</v>
      </c>
    </row>
    <row r="3060" spans="1:8" hidden="1">
      <c r="A3060" s="1169"/>
      <c r="B3060" s="1169"/>
      <c r="C3060" s="1752" t="s">
        <v>935</v>
      </c>
      <c r="D3060" s="1156" t="s">
        <v>4</v>
      </c>
      <c r="E3060" s="1166">
        <v>14.4</v>
      </c>
      <c r="F3060" s="1221">
        <f>'lead 22-23'!L9/1000</f>
        <v>75.52</v>
      </c>
      <c r="G3060" s="1214">
        <f>ROUND(E3060*F3060,2)</f>
        <v>1087.49</v>
      </c>
      <c r="H3060" s="1205" t="s">
        <v>2322</v>
      </c>
    </row>
    <row r="3061" spans="1:8" hidden="1">
      <c r="A3061" s="1169"/>
      <c r="B3061" s="1219" t="s">
        <v>20</v>
      </c>
      <c r="C3061" s="1752" t="s">
        <v>188</v>
      </c>
      <c r="D3061" s="1156" t="s">
        <v>4</v>
      </c>
      <c r="E3061" s="1221">
        <f>SUM(E3059:E3060)</f>
        <v>57.91</v>
      </c>
      <c r="F3061" s="1221">
        <f>'MINI SSR 2022-23'!C35</f>
        <v>30</v>
      </c>
      <c r="G3061" s="1214">
        <f>ROUND(E3061*F3061,2)</f>
        <v>1737.3</v>
      </c>
      <c r="H3061" s="1205" t="s">
        <v>2322</v>
      </c>
    </row>
    <row r="3062" spans="1:8" hidden="1">
      <c r="A3062" s="1169"/>
      <c r="B3062" s="1169"/>
      <c r="C3062" s="1752" t="s">
        <v>189</v>
      </c>
      <c r="D3062" s="1156" t="s">
        <v>27</v>
      </c>
      <c r="E3062" s="1221">
        <f>E3061</f>
        <v>57.91</v>
      </c>
      <c r="F3062" s="1221">
        <f>'MINI SSR 2022-23'!C36</f>
        <v>6</v>
      </c>
      <c r="G3062" s="1214">
        <f>ROUND(E3062*F3062,2)</f>
        <v>347.46</v>
      </c>
      <c r="H3062" s="1205" t="s">
        <v>2322</v>
      </c>
    </row>
    <row r="3063" spans="1:8" hidden="1">
      <c r="A3063" s="1169"/>
      <c r="B3063" s="1169"/>
      <c r="C3063" s="1754" t="s">
        <v>936</v>
      </c>
      <c r="D3063" s="1156"/>
      <c r="E3063" s="1221"/>
      <c r="F3063" s="1221"/>
      <c r="G3063" s="1220">
        <f>SUM(G3059:G3062)</f>
        <v>6355.4400000000005</v>
      </c>
      <c r="H3063" s="1205" t="s">
        <v>2322</v>
      </c>
    </row>
    <row r="3064" spans="1:8" hidden="1">
      <c r="A3064" s="1169"/>
      <c r="B3064" s="1169"/>
      <c r="C3064" s="1754" t="s">
        <v>121</v>
      </c>
      <c r="D3064" s="1156"/>
      <c r="E3064" s="1221"/>
      <c r="F3064" s="1221"/>
      <c r="G3064" s="1220">
        <f>ROUND(G3063/2.025,2)</f>
        <v>3138.49</v>
      </c>
      <c r="H3064" s="1205" t="s">
        <v>2322</v>
      </c>
    </row>
    <row r="3065" spans="1:8" ht="51" hidden="1">
      <c r="A3065" s="1156">
        <v>23</v>
      </c>
      <c r="B3065" s="1218"/>
      <c r="C3065" s="1752" t="s">
        <v>627</v>
      </c>
      <c r="D3065" s="1212"/>
      <c r="E3065" s="1212"/>
      <c r="F3065" s="1212"/>
      <c r="G3065" s="1169"/>
      <c r="H3065" s="1205" t="s">
        <v>2322</v>
      </c>
    </row>
    <row r="3066" spans="1:8" hidden="1">
      <c r="A3066" s="1156"/>
      <c r="B3066" s="1218"/>
      <c r="C3066" s="1754" t="s">
        <v>186</v>
      </c>
      <c r="D3066" s="1212"/>
      <c r="E3066" s="1212"/>
      <c r="F3066" s="1212"/>
      <c r="G3066" s="1169"/>
      <c r="H3066" s="1205" t="s">
        <v>2322</v>
      </c>
    </row>
    <row r="3067" spans="1:8" hidden="1">
      <c r="A3067" s="1156"/>
      <c r="B3067" s="1219" t="s">
        <v>18</v>
      </c>
      <c r="C3067" s="1754" t="s">
        <v>22</v>
      </c>
      <c r="D3067" s="1212"/>
      <c r="E3067" s="1212"/>
      <c r="F3067" s="1212"/>
      <c r="G3067" s="1169"/>
      <c r="H3067" s="1205" t="s">
        <v>2322</v>
      </c>
    </row>
    <row r="3068" spans="1:8" hidden="1">
      <c r="A3068" s="1169"/>
      <c r="B3068" s="1169"/>
      <c r="C3068" s="1752" t="s">
        <v>628</v>
      </c>
      <c r="D3068" s="1156" t="s">
        <v>4</v>
      </c>
      <c r="E3068" s="1166">
        <v>1.0249999999999999</v>
      </c>
      <c r="F3068" s="1221">
        <f>'MINI SSR 2022-23'!C37</f>
        <v>76</v>
      </c>
      <c r="G3068" s="1214">
        <f>ROUND(E3068*F3068,2)</f>
        <v>77.900000000000006</v>
      </c>
      <c r="H3068" s="1205" t="s">
        <v>2322</v>
      </c>
    </row>
    <row r="3069" spans="1:8" hidden="1">
      <c r="A3069" s="1169"/>
      <c r="B3069" s="1219" t="s">
        <v>20</v>
      </c>
      <c r="C3069" s="1752" t="s">
        <v>629</v>
      </c>
      <c r="D3069" s="1156" t="s">
        <v>4</v>
      </c>
      <c r="E3069" s="1221">
        <v>1</v>
      </c>
      <c r="F3069" s="1221">
        <f>'MINI SSR 2022-23'!C38</f>
        <v>26</v>
      </c>
      <c r="G3069" s="1214">
        <f>ROUND(E3069*F3069,2)</f>
        <v>26</v>
      </c>
      <c r="H3069" s="1205" t="s">
        <v>2322</v>
      </c>
    </row>
    <row r="3070" spans="1:8" hidden="1">
      <c r="A3070" s="1169"/>
      <c r="B3070" s="1169"/>
      <c r="C3070" s="1752" t="s">
        <v>630</v>
      </c>
      <c r="D3070" s="1156" t="s">
        <v>27</v>
      </c>
      <c r="E3070" s="1221">
        <v>1</v>
      </c>
      <c r="F3070" s="1221">
        <f>'MINI SSR 2022-23'!C39</f>
        <v>23</v>
      </c>
      <c r="G3070" s="1214">
        <f>ROUND(E3070*F3070,2)</f>
        <v>23</v>
      </c>
      <c r="H3070" s="1205" t="s">
        <v>2322</v>
      </c>
    </row>
    <row r="3071" spans="1:8" hidden="1">
      <c r="A3071" s="1169"/>
      <c r="B3071" s="1169"/>
      <c r="C3071" s="1754" t="s">
        <v>190</v>
      </c>
      <c r="D3071" s="1156"/>
      <c r="E3071" s="1221"/>
      <c r="F3071" s="1221"/>
      <c r="G3071" s="1220">
        <f>SUM(G3068:G3070)</f>
        <v>126.9</v>
      </c>
      <c r="H3071" s="1205" t="s">
        <v>2322</v>
      </c>
    </row>
    <row r="3072" spans="1:8" ht="191.25" hidden="1">
      <c r="A3072" s="1156">
        <v>22</v>
      </c>
      <c r="B3072" s="1218"/>
      <c r="C3072" s="1752" t="s">
        <v>1298</v>
      </c>
      <c r="D3072" s="1212"/>
      <c r="E3072" s="1212"/>
      <c r="F3072" s="1212"/>
      <c r="G3072" s="1169"/>
      <c r="H3072" s="1205" t="s">
        <v>2322</v>
      </c>
    </row>
    <row r="3073" spans="1:8" hidden="1">
      <c r="A3073" s="1156"/>
      <c r="B3073" s="1218"/>
      <c r="C3073" s="1754" t="s">
        <v>919</v>
      </c>
      <c r="D3073" s="1212"/>
      <c r="E3073" s="1212"/>
      <c r="F3073" s="1212"/>
      <c r="G3073" s="1215"/>
      <c r="H3073" s="1205" t="s">
        <v>2322</v>
      </c>
    </row>
    <row r="3074" spans="1:8" hidden="1">
      <c r="A3074" s="1169"/>
      <c r="B3074" s="1169"/>
      <c r="C3074" s="1752" t="s">
        <v>913</v>
      </c>
      <c r="D3074" s="1221">
        <v>4.5999999999999996</v>
      </c>
      <c r="E3074" s="1166">
        <v>2.39</v>
      </c>
      <c r="F3074" s="1221">
        <f>ROUND(D3074*E3074,2)</f>
        <v>10.99</v>
      </c>
      <c r="G3074" s="1214"/>
      <c r="H3074" s="1205" t="s">
        <v>2322</v>
      </c>
    </row>
    <row r="3075" spans="1:8" hidden="1">
      <c r="A3075" s="1169"/>
      <c r="B3075" s="1169"/>
      <c r="C3075" s="1752" t="s">
        <v>914</v>
      </c>
      <c r="D3075" s="1221">
        <v>11.7</v>
      </c>
      <c r="E3075" s="1166">
        <v>0.89</v>
      </c>
      <c r="F3075" s="1221">
        <f>ROUND(D3075*E3075,2)</f>
        <v>10.41</v>
      </c>
      <c r="G3075" s="1214"/>
      <c r="H3075" s="1205" t="s">
        <v>2322</v>
      </c>
    </row>
    <row r="3076" spans="1:8" hidden="1">
      <c r="A3076" s="1169"/>
      <c r="B3076" s="1169"/>
      <c r="C3076" s="1752"/>
      <c r="D3076" s="1156"/>
      <c r="E3076" s="1166"/>
      <c r="F3076" s="1238">
        <f>SUM(F3074:F3075)</f>
        <v>21.4</v>
      </c>
      <c r="G3076" s="1214"/>
      <c r="H3076" s="1205" t="s">
        <v>2322</v>
      </c>
    </row>
    <row r="3077" spans="1:8" hidden="1">
      <c r="A3077" s="1169"/>
      <c r="B3077" s="1169"/>
      <c r="C3077" s="1752" t="s">
        <v>696</v>
      </c>
      <c r="D3077" s="1156" t="s">
        <v>4</v>
      </c>
      <c r="E3077" s="1166">
        <f>F3076</f>
        <v>21.4</v>
      </c>
      <c r="F3077" s="1221">
        <f>'MINI SSR 2022-23'!C40</f>
        <v>414</v>
      </c>
      <c r="G3077" s="1214">
        <f t="shared" ref="G3077:G3082" si="10">ROUND(E3077*F3077,2)</f>
        <v>8859.6</v>
      </c>
      <c r="H3077" s="1205" t="s">
        <v>2322</v>
      </c>
    </row>
    <row r="3078" spans="1:8" ht="25.5" hidden="1">
      <c r="A3078" s="1169"/>
      <c r="B3078" s="1219"/>
      <c r="C3078" s="1752" t="s">
        <v>697</v>
      </c>
      <c r="D3078" s="1156" t="s">
        <v>4</v>
      </c>
      <c r="E3078" s="1221">
        <f>E3077</f>
        <v>21.4</v>
      </c>
      <c r="F3078" s="1221">
        <f>'MINI SSR 2022-23'!C41</f>
        <v>144</v>
      </c>
      <c r="G3078" s="1214">
        <f t="shared" si="10"/>
        <v>3081.6</v>
      </c>
      <c r="H3078" s="1205" t="s">
        <v>2322</v>
      </c>
    </row>
    <row r="3079" spans="1:8" hidden="1">
      <c r="A3079" s="1169"/>
      <c r="B3079" s="1219"/>
      <c r="C3079" s="1752" t="s">
        <v>915</v>
      </c>
      <c r="D3079" s="1156" t="s">
        <v>277</v>
      </c>
      <c r="E3079" s="1221">
        <v>1.3</v>
      </c>
      <c r="F3079" s="1221">
        <f>'MINI SSR 2022-23'!C42</f>
        <v>220</v>
      </c>
      <c r="G3079" s="1214">
        <f t="shared" si="10"/>
        <v>286</v>
      </c>
      <c r="H3079" s="1205" t="s">
        <v>2322</v>
      </c>
    </row>
    <row r="3080" spans="1:8" hidden="1">
      <c r="A3080" s="1169"/>
      <c r="B3080" s="1219"/>
      <c r="C3080" s="1752" t="s">
        <v>916</v>
      </c>
      <c r="D3080" s="1156" t="s">
        <v>115</v>
      </c>
      <c r="E3080" s="1221">
        <v>13</v>
      </c>
      <c r="F3080" s="1221">
        <v>80</v>
      </c>
      <c r="G3080" s="1214">
        <f t="shared" si="10"/>
        <v>1040</v>
      </c>
      <c r="H3080" s="1205" t="s">
        <v>2322</v>
      </c>
    </row>
    <row r="3081" spans="1:8" hidden="1">
      <c r="A3081" s="1169"/>
      <c r="B3081" s="1219"/>
      <c r="C3081" s="1752" t="s">
        <v>917</v>
      </c>
      <c r="D3081" s="1156" t="s">
        <v>115</v>
      </c>
      <c r="E3081" s="1221">
        <v>13</v>
      </c>
      <c r="F3081" s="1221">
        <v>30</v>
      </c>
      <c r="G3081" s="1214">
        <f t="shared" si="10"/>
        <v>390</v>
      </c>
      <c r="H3081" s="1205" t="s">
        <v>2322</v>
      </c>
    </row>
    <row r="3082" spans="1:8" hidden="1">
      <c r="A3082" s="1169"/>
      <c r="B3082" s="1219"/>
      <c r="C3082" s="1752" t="s">
        <v>918</v>
      </c>
      <c r="D3082" s="1156" t="s">
        <v>115</v>
      </c>
      <c r="E3082" s="1221">
        <v>13</v>
      </c>
      <c r="F3082" s="1221">
        <v>15</v>
      </c>
      <c r="G3082" s="1214">
        <f t="shared" si="10"/>
        <v>195</v>
      </c>
      <c r="H3082" s="1205" t="s">
        <v>2322</v>
      </c>
    </row>
    <row r="3083" spans="1:8" hidden="1">
      <c r="A3083" s="1169"/>
      <c r="B3083" s="1219"/>
      <c r="C3083" s="1752" t="s">
        <v>920</v>
      </c>
      <c r="D3083" s="1156"/>
      <c r="E3083" s="1221"/>
      <c r="F3083" s="1221"/>
      <c r="G3083" s="1214">
        <f>SUM(G3077:G3082)</f>
        <v>13852.2</v>
      </c>
      <c r="H3083" s="1205" t="s">
        <v>2322</v>
      </c>
    </row>
    <row r="3084" spans="1:8" hidden="1">
      <c r="A3084" s="1169"/>
      <c r="B3084" s="1219"/>
      <c r="C3084" s="1752" t="s">
        <v>377</v>
      </c>
      <c r="D3084" s="1156"/>
      <c r="E3084" s="1221"/>
      <c r="F3084" s="1221"/>
      <c r="G3084" s="1214">
        <f>ROUND(G3083/4.6,2)</f>
        <v>3011.35</v>
      </c>
      <c r="H3084" s="1205" t="s">
        <v>2322</v>
      </c>
    </row>
    <row r="3085" spans="1:8" hidden="1">
      <c r="A3085" s="1169"/>
      <c r="B3085" s="1169"/>
      <c r="C3085" s="1752" t="s">
        <v>921</v>
      </c>
      <c r="D3085" s="1156"/>
      <c r="E3085" s="1221"/>
      <c r="F3085" s="1221"/>
      <c r="G3085" s="1220">
        <f>ROUND(G3084/0.9,2)</f>
        <v>3345.94</v>
      </c>
      <c r="H3085" s="1205" t="s">
        <v>2322</v>
      </c>
    </row>
    <row r="3086" spans="1:8" ht="153" hidden="1">
      <c r="A3086" s="1156">
        <v>25</v>
      </c>
      <c r="B3086" s="1218"/>
      <c r="C3086" s="1752" t="s">
        <v>1299</v>
      </c>
      <c r="D3086" s="1212"/>
      <c r="E3086" s="1212"/>
      <c r="F3086" s="1212"/>
      <c r="G3086" s="1169"/>
      <c r="H3086" s="1205" t="s">
        <v>2322</v>
      </c>
    </row>
    <row r="3087" spans="1:8" hidden="1">
      <c r="A3087" s="1156"/>
      <c r="B3087" s="1218"/>
      <c r="C3087" s="1754" t="s">
        <v>924</v>
      </c>
      <c r="D3087" s="1212"/>
      <c r="E3087" s="1212"/>
      <c r="F3087" s="1212"/>
      <c r="G3087" s="1215"/>
      <c r="H3087" s="1205" t="s">
        <v>2322</v>
      </c>
    </row>
    <row r="3088" spans="1:8" hidden="1">
      <c r="A3088" s="1169"/>
      <c r="B3088" s="1169"/>
      <c r="C3088" s="1752" t="s">
        <v>922</v>
      </c>
      <c r="D3088" s="1221">
        <v>10</v>
      </c>
      <c r="E3088" s="1166">
        <v>2.39</v>
      </c>
      <c r="F3088" s="1221">
        <f>ROUND(D3088*E3088,2)</f>
        <v>23.9</v>
      </c>
      <c r="G3088" s="1214"/>
      <c r="H3088" s="1205" t="s">
        <v>2322</v>
      </c>
    </row>
    <row r="3089" spans="1:8" hidden="1">
      <c r="A3089" s="1169"/>
      <c r="B3089" s="1169"/>
      <c r="C3089" s="1752" t="s">
        <v>923</v>
      </c>
      <c r="D3089" s="1221">
        <v>2.7</v>
      </c>
      <c r="E3089" s="1166">
        <v>0.89</v>
      </c>
      <c r="F3089" s="1221">
        <f>ROUND(D3089*E3089,2)</f>
        <v>2.4</v>
      </c>
      <c r="G3089" s="1214"/>
      <c r="H3089" s="1205" t="s">
        <v>2322</v>
      </c>
    </row>
    <row r="3090" spans="1:8" hidden="1">
      <c r="A3090" s="1169"/>
      <c r="B3090" s="1169"/>
      <c r="C3090" s="1752"/>
      <c r="D3090" s="1156"/>
      <c r="E3090" s="1166"/>
      <c r="F3090" s="1238">
        <f>SUM(F3088:F3089)</f>
        <v>26.299999999999997</v>
      </c>
      <c r="G3090" s="1214"/>
      <c r="H3090" s="1205" t="s">
        <v>2322</v>
      </c>
    </row>
    <row r="3091" spans="1:8" hidden="1">
      <c r="A3091" s="1169"/>
      <c r="B3091" s="1169"/>
      <c r="C3091" s="1752" t="s">
        <v>696</v>
      </c>
      <c r="D3091" s="1156" t="s">
        <v>4</v>
      </c>
      <c r="E3091" s="1166">
        <f>F3090</f>
        <v>26.299999999999997</v>
      </c>
      <c r="F3091" s="1221">
        <f>'MINI SSR 2022-23'!$C$40</f>
        <v>414</v>
      </c>
      <c r="G3091" s="1214">
        <f>ROUND(E3091*F3091,2)</f>
        <v>10888.2</v>
      </c>
      <c r="H3091" s="1205" t="s">
        <v>2322</v>
      </c>
    </row>
    <row r="3092" spans="1:8" ht="25.5" hidden="1">
      <c r="A3092" s="1169"/>
      <c r="B3092" s="1219"/>
      <c r="C3092" s="1752" t="s">
        <v>697</v>
      </c>
      <c r="D3092" s="1156" t="s">
        <v>4</v>
      </c>
      <c r="E3092" s="1221">
        <f>E3091</f>
        <v>26.299999999999997</v>
      </c>
      <c r="F3092" s="1221">
        <f>'MINI SSR 2022-23'!$C$41</f>
        <v>144</v>
      </c>
      <c r="G3092" s="1214">
        <f>ROUND(E3092*F3092,2)</f>
        <v>3787.2</v>
      </c>
      <c r="H3092" s="1205" t="s">
        <v>2322</v>
      </c>
    </row>
    <row r="3093" spans="1:8" hidden="1">
      <c r="A3093" s="1169"/>
      <c r="B3093" s="1219"/>
      <c r="C3093" s="1752" t="s">
        <v>927</v>
      </c>
      <c r="D3093" s="1156" t="s">
        <v>277</v>
      </c>
      <c r="E3093" s="1221">
        <v>0.9</v>
      </c>
      <c r="F3093" s="1221">
        <f>'MINI SSR 2022-23'!C42</f>
        <v>220</v>
      </c>
      <c r="G3093" s="1214">
        <f>ROUND(E3093*F3093,2)</f>
        <v>198</v>
      </c>
      <c r="H3093" s="1205" t="s">
        <v>2322</v>
      </c>
    </row>
    <row r="3094" spans="1:8" hidden="1">
      <c r="A3094" s="1169"/>
      <c r="B3094" s="1219"/>
      <c r="C3094" s="1752" t="s">
        <v>925</v>
      </c>
      <c r="D3094" s="1156" t="s">
        <v>115</v>
      </c>
      <c r="E3094" s="1221">
        <v>9</v>
      </c>
      <c r="F3094" s="1221">
        <v>30</v>
      </c>
      <c r="G3094" s="1214">
        <f>ROUND(E3094*F3094,2)</f>
        <v>270</v>
      </c>
      <c r="H3094" s="1205" t="s">
        <v>2322</v>
      </c>
    </row>
    <row r="3095" spans="1:8" hidden="1">
      <c r="A3095" s="1169"/>
      <c r="B3095" s="1219"/>
      <c r="C3095" s="1752" t="s">
        <v>926</v>
      </c>
      <c r="D3095" s="1156"/>
      <c r="E3095" s="1221"/>
      <c r="F3095" s="1221"/>
      <c r="G3095" s="1214">
        <f>SUM(G3091:G3094)</f>
        <v>15143.400000000001</v>
      </c>
      <c r="H3095" s="1205" t="s">
        <v>2322</v>
      </c>
    </row>
    <row r="3096" spans="1:8" hidden="1">
      <c r="A3096" s="1169"/>
      <c r="B3096" s="1219"/>
      <c r="C3096" s="1752" t="s">
        <v>377</v>
      </c>
      <c r="D3096" s="1156"/>
      <c r="E3096" s="1221"/>
      <c r="F3096" s="1221"/>
      <c r="G3096" s="1220">
        <f>ROUND(G3095/10,2)</f>
        <v>1514.34</v>
      </c>
      <c r="H3096" s="1205" t="s">
        <v>2322</v>
      </c>
    </row>
    <row r="3097" spans="1:8" ht="51" hidden="1">
      <c r="A3097" s="1156">
        <v>25</v>
      </c>
      <c r="B3097" s="1218"/>
      <c r="C3097" s="1752" t="s">
        <v>2295</v>
      </c>
      <c r="D3097" s="1212"/>
      <c r="E3097" s="1212"/>
      <c r="F3097" s="1212"/>
      <c r="G3097" s="1169"/>
      <c r="H3097" s="1205" t="s">
        <v>2322</v>
      </c>
    </row>
    <row r="3098" spans="1:8" hidden="1">
      <c r="A3098" s="1169"/>
      <c r="B3098" s="1169"/>
      <c r="C3098" s="1752" t="s">
        <v>696</v>
      </c>
      <c r="D3098" s="1156" t="s">
        <v>4</v>
      </c>
      <c r="E3098" s="1166">
        <v>1.0249999999999999</v>
      </c>
      <c r="F3098" s="1221">
        <f>'MINI SSR 2022-23'!$C$40</f>
        <v>414</v>
      </c>
      <c r="G3098" s="1214">
        <f>ROUND(E3098*F3098,2)</f>
        <v>424.35</v>
      </c>
      <c r="H3098" s="1205" t="s">
        <v>2322</v>
      </c>
    </row>
    <row r="3099" spans="1:8" ht="25.5" hidden="1">
      <c r="A3099" s="1169"/>
      <c r="B3099" s="1219"/>
      <c r="C3099" s="1752" t="s">
        <v>697</v>
      </c>
      <c r="D3099" s="1156" t="s">
        <v>4</v>
      </c>
      <c r="E3099" s="1221">
        <v>1</v>
      </c>
      <c r="F3099" s="1221">
        <f>'MINI SSR 2022-23'!$C$41</f>
        <v>144</v>
      </c>
      <c r="G3099" s="1214">
        <f>ROUND(E3099*F3099,2)</f>
        <v>144</v>
      </c>
      <c r="H3099" s="1205" t="s">
        <v>2322</v>
      </c>
    </row>
    <row r="3100" spans="1:8" hidden="1">
      <c r="A3100" s="1169"/>
      <c r="B3100" s="1219"/>
      <c r="C3100" s="1752" t="s">
        <v>2296</v>
      </c>
      <c r="D3100" s="1156"/>
      <c r="E3100" s="1221"/>
      <c r="F3100" s="1221"/>
      <c r="G3100" s="1220">
        <f>SUM(G3098:G3099)</f>
        <v>568.35</v>
      </c>
      <c r="H3100" s="1205" t="s">
        <v>2322</v>
      </c>
    </row>
    <row r="3101" spans="1:8" ht="51" hidden="1">
      <c r="A3101" s="1156">
        <v>26</v>
      </c>
      <c r="B3101" s="1218" t="s">
        <v>1346</v>
      </c>
      <c r="C3101" s="1752" t="s">
        <v>1186</v>
      </c>
      <c r="D3101" s="1212"/>
      <c r="E3101" s="1212"/>
      <c r="F3101" s="1212"/>
      <c r="G3101" s="1218"/>
      <c r="H3101" s="1205" t="s">
        <v>2322</v>
      </c>
    </row>
    <row r="3102" spans="1:8" hidden="1">
      <c r="A3102" s="1156"/>
      <c r="B3102" s="1218"/>
      <c r="C3102" s="1754" t="s">
        <v>84</v>
      </c>
      <c r="D3102" s="1212"/>
      <c r="E3102" s="1212"/>
      <c r="F3102" s="1212"/>
      <c r="G3102" s="1215"/>
      <c r="H3102" s="1205" t="s">
        <v>2322</v>
      </c>
    </row>
    <row r="3103" spans="1:8" hidden="1">
      <c r="A3103" s="1156"/>
      <c r="B3103" s="1218"/>
      <c r="C3103" s="1754" t="s">
        <v>60</v>
      </c>
      <c r="D3103" s="1212"/>
      <c r="E3103" s="1212"/>
      <c r="F3103" s="1212"/>
      <c r="G3103" s="1215"/>
      <c r="H3103" s="1205" t="s">
        <v>2322</v>
      </c>
    </row>
    <row r="3104" spans="1:8" hidden="1">
      <c r="A3104" s="1156"/>
      <c r="B3104" s="1218"/>
      <c r="C3104" s="1752" t="s">
        <v>33</v>
      </c>
      <c r="D3104" s="1212" t="s">
        <v>4</v>
      </c>
      <c r="E3104" s="1213">
        <v>59.4</v>
      </c>
      <c r="F3104" s="1213">
        <f>'lead 22-23'!L8</f>
        <v>4700</v>
      </c>
      <c r="G3104" s="1214">
        <f>ROUND(E3104*F3104/1000,2)</f>
        <v>279.18</v>
      </c>
      <c r="H3104" s="1205" t="s">
        <v>2322</v>
      </c>
    </row>
    <row r="3105" spans="1:8" hidden="1">
      <c r="A3105" s="1156"/>
      <c r="B3105" s="1218"/>
      <c r="C3105" s="1752" t="s">
        <v>1194</v>
      </c>
      <c r="D3105" s="1212" t="s">
        <v>35</v>
      </c>
      <c r="E3105" s="1239">
        <v>1.1000000000000001</v>
      </c>
      <c r="F3105" s="1213">
        <f>'lead 22-23'!L21</f>
        <v>1039.9000000000001</v>
      </c>
      <c r="G3105" s="1214">
        <f>ROUND(E3105*F3105,2)</f>
        <v>1143.8900000000001</v>
      </c>
      <c r="H3105" s="1205" t="s">
        <v>2322</v>
      </c>
    </row>
    <row r="3106" spans="1:8" hidden="1">
      <c r="A3106" s="1156"/>
      <c r="B3106" s="1218"/>
      <c r="C3106" s="1752" t="s">
        <v>1218</v>
      </c>
      <c r="D3106" s="1212" t="s">
        <v>35</v>
      </c>
      <c r="E3106" s="1213">
        <v>0.33</v>
      </c>
      <c r="F3106" s="1213">
        <f>'lead 22-23'!L12</f>
        <v>1815.9999999999998</v>
      </c>
      <c r="G3106" s="1214">
        <f>ROUND(E3106*F3106,2)</f>
        <v>599.28</v>
      </c>
      <c r="H3106" s="1205" t="s">
        <v>2322</v>
      </c>
    </row>
    <row r="3107" spans="1:8" hidden="1">
      <c r="A3107" s="1212"/>
      <c r="B3107" s="1212"/>
      <c r="C3107" s="1754" t="s">
        <v>68</v>
      </c>
      <c r="D3107" s="1212"/>
      <c r="E3107" s="1213"/>
      <c r="F3107" s="1213"/>
      <c r="G3107" s="1214"/>
      <c r="H3107" s="1205" t="s">
        <v>2322</v>
      </c>
    </row>
    <row r="3108" spans="1:8" hidden="1">
      <c r="A3108" s="1212"/>
      <c r="B3108" s="1212"/>
      <c r="C3108" s="1752" t="s">
        <v>64</v>
      </c>
      <c r="D3108" s="1212" t="s">
        <v>27</v>
      </c>
      <c r="E3108" s="1213">
        <v>1.2</v>
      </c>
      <c r="F3108" s="1213">
        <f>'MINI SSR 2022-23'!$H$3</f>
        <v>630</v>
      </c>
      <c r="G3108" s="1214">
        <f>ROUND(E3108*F3108,2)</f>
        <v>756</v>
      </c>
      <c r="H3108" s="1205" t="s">
        <v>2322</v>
      </c>
    </row>
    <row r="3109" spans="1:8" hidden="1">
      <c r="A3109" s="1212"/>
      <c r="B3109" s="1212"/>
      <c r="C3109" s="1752" t="s">
        <v>85</v>
      </c>
      <c r="D3109" s="1212" t="s">
        <v>27</v>
      </c>
      <c r="E3109" s="1213">
        <v>2</v>
      </c>
      <c r="F3109" s="1213">
        <f>'MINI SSR 2022-23'!$H$5</f>
        <v>525</v>
      </c>
      <c r="G3109" s="1214">
        <f>ROUND(E3109*F3109,2)</f>
        <v>1050</v>
      </c>
      <c r="H3109" s="1205" t="s">
        <v>2322</v>
      </c>
    </row>
    <row r="3110" spans="1:8" hidden="1">
      <c r="A3110" s="1212"/>
      <c r="B3110" s="1212"/>
      <c r="C3110" s="1754" t="s">
        <v>86</v>
      </c>
      <c r="D3110" s="1212"/>
      <c r="E3110" s="1212"/>
      <c r="F3110" s="1212"/>
      <c r="G3110" s="1222">
        <f>SUM(G3104:G3109)</f>
        <v>3828.3500000000004</v>
      </c>
      <c r="H3110" s="1205" t="s">
        <v>2322</v>
      </c>
    </row>
    <row r="3111" spans="1:8" ht="142.5" hidden="1">
      <c r="A3111" s="1156">
        <v>18</v>
      </c>
      <c r="B3111" s="1218" t="s">
        <v>83</v>
      </c>
      <c r="C3111" s="1752" t="s">
        <v>1300</v>
      </c>
      <c r="D3111" s="1212"/>
      <c r="E3111" s="1212"/>
      <c r="F3111" s="1212"/>
      <c r="G3111" s="1218"/>
      <c r="H3111" s="1205" t="s">
        <v>2322</v>
      </c>
    </row>
    <row r="3112" spans="1:8" hidden="1">
      <c r="A3112" s="1156"/>
      <c r="B3112" s="1218"/>
      <c r="C3112" s="1754" t="s">
        <v>84</v>
      </c>
      <c r="D3112" s="1212"/>
      <c r="E3112" s="1212"/>
      <c r="F3112" s="1212"/>
      <c r="G3112" s="1215"/>
      <c r="H3112" s="1205" t="s">
        <v>2322</v>
      </c>
    </row>
    <row r="3113" spans="1:8" hidden="1">
      <c r="A3113" s="1156"/>
      <c r="B3113" s="1218"/>
      <c r="C3113" s="1754" t="s">
        <v>60</v>
      </c>
      <c r="D3113" s="1212"/>
      <c r="E3113" s="1212"/>
      <c r="F3113" s="1212"/>
      <c r="G3113" s="1215"/>
      <c r="H3113" s="1205" t="s">
        <v>2322</v>
      </c>
    </row>
    <row r="3114" spans="1:8" hidden="1">
      <c r="A3114" s="1156"/>
      <c r="B3114" s="1218"/>
      <c r="C3114" s="1752" t="s">
        <v>33</v>
      </c>
      <c r="D3114" s="1212" t="s">
        <v>4</v>
      </c>
      <c r="E3114" s="1213">
        <v>48</v>
      </c>
      <c r="F3114" s="1213">
        <f>'lead 22-23'!L8</f>
        <v>4700</v>
      </c>
      <c r="G3114" s="1214">
        <f>ROUND(E3114*F3114/1000,2)</f>
        <v>225.6</v>
      </c>
      <c r="H3114" s="1205" t="s">
        <v>2322</v>
      </c>
    </row>
    <row r="3115" spans="1:8" hidden="1">
      <c r="A3115" s="1156"/>
      <c r="B3115" s="1218"/>
      <c r="C3115" s="1752" t="s">
        <v>1301</v>
      </c>
      <c r="D3115" s="1212" t="s">
        <v>11</v>
      </c>
      <c r="E3115" s="1240">
        <v>512</v>
      </c>
      <c r="F3115" s="1213">
        <f>'lead 22-23'!L15</f>
        <v>8716</v>
      </c>
      <c r="G3115" s="1214">
        <f>ROUND(E3115*F3115/1000,2)</f>
        <v>4462.59</v>
      </c>
      <c r="H3115" s="1205" t="s">
        <v>2322</v>
      </c>
    </row>
    <row r="3116" spans="1:8" hidden="1">
      <c r="A3116" s="1156"/>
      <c r="B3116" s="1218"/>
      <c r="C3116" s="1752" t="s">
        <v>113</v>
      </c>
      <c r="D3116" s="1212" t="s">
        <v>35</v>
      </c>
      <c r="E3116" s="1213">
        <v>0.2</v>
      </c>
      <c r="F3116" s="1213">
        <f>'lead 22-23'!L12</f>
        <v>1815.9999999999998</v>
      </c>
      <c r="G3116" s="1214">
        <f>ROUND(E3116*F3116,2)</f>
        <v>363.2</v>
      </c>
      <c r="H3116" s="1205" t="s">
        <v>2322</v>
      </c>
    </row>
    <row r="3117" spans="1:8" hidden="1">
      <c r="A3117" s="1212"/>
      <c r="B3117" s="1212"/>
      <c r="C3117" s="1754" t="s">
        <v>68</v>
      </c>
      <c r="D3117" s="1212"/>
      <c r="E3117" s="1213"/>
      <c r="F3117" s="1213"/>
      <c r="G3117" s="1214"/>
      <c r="H3117" s="1205" t="s">
        <v>2322</v>
      </c>
    </row>
    <row r="3118" spans="1:8" hidden="1">
      <c r="A3118" s="1212"/>
      <c r="B3118" s="1212"/>
      <c r="C3118" s="1752" t="s">
        <v>64</v>
      </c>
      <c r="D3118" s="1212" t="s">
        <v>27</v>
      </c>
      <c r="E3118" s="1213">
        <v>0.24</v>
      </c>
      <c r="F3118" s="1213">
        <f>'MINI SSR 2022-23'!$H$3</f>
        <v>630</v>
      </c>
      <c r="G3118" s="1214">
        <f>ROUND(E3118*F3118,2)</f>
        <v>151.19999999999999</v>
      </c>
      <c r="H3118" s="1205" t="s">
        <v>2322</v>
      </c>
    </row>
    <row r="3119" spans="1:8" hidden="1">
      <c r="A3119" s="1212"/>
      <c r="B3119" s="1212"/>
      <c r="C3119" s="1752" t="s">
        <v>69</v>
      </c>
      <c r="D3119" s="1212" t="s">
        <v>27</v>
      </c>
      <c r="E3119" s="1213">
        <v>0.56000000000000005</v>
      </c>
      <c r="F3119" s="1213">
        <f>'MINI SSR 2022-23'!$H$4</f>
        <v>565</v>
      </c>
      <c r="G3119" s="1214">
        <f>ROUND(E3119*F3119,2)</f>
        <v>316.39999999999998</v>
      </c>
      <c r="H3119" s="1205" t="s">
        <v>2322</v>
      </c>
    </row>
    <row r="3120" spans="1:8" hidden="1">
      <c r="A3120" s="1212"/>
      <c r="B3120" s="1212"/>
      <c r="C3120" s="1752" t="s">
        <v>85</v>
      </c>
      <c r="D3120" s="1212" t="s">
        <v>27</v>
      </c>
      <c r="E3120" s="1213">
        <v>1.89</v>
      </c>
      <c r="F3120" s="1213">
        <f>'MINI SSR 2022-23'!$H$5</f>
        <v>525</v>
      </c>
      <c r="G3120" s="1214">
        <f>ROUND(E3120*F3120,2)</f>
        <v>992.25</v>
      </c>
      <c r="H3120" s="1205" t="s">
        <v>2322</v>
      </c>
    </row>
    <row r="3121" spans="1:8" hidden="1">
      <c r="A3121" s="1212"/>
      <c r="B3121" s="1212"/>
      <c r="C3121" s="1754" t="s">
        <v>86</v>
      </c>
      <c r="D3121" s="1212"/>
      <c r="E3121" s="1212"/>
      <c r="F3121" s="1212"/>
      <c r="G3121" s="1222">
        <f>SUM(G3114:G3120)</f>
        <v>6511.24</v>
      </c>
      <c r="H3121" s="1205" t="s">
        <v>2322</v>
      </c>
    </row>
    <row r="3122" spans="1:8" hidden="1">
      <c r="A3122" s="1212"/>
      <c r="B3122" s="1212"/>
      <c r="C3122" s="1754"/>
      <c r="D3122" s="1212"/>
      <c r="E3122" s="1218" t="s">
        <v>161</v>
      </c>
      <c r="F3122" s="1218" t="s">
        <v>162</v>
      </c>
      <c r="G3122" s="1217" t="s">
        <v>163</v>
      </c>
      <c r="H3122" s="1205" t="s">
        <v>2322</v>
      </c>
    </row>
    <row r="3123" spans="1:8" hidden="1">
      <c r="A3123" s="1212"/>
      <c r="B3123" s="1212"/>
      <c r="C3123" s="1754" t="s">
        <v>192</v>
      </c>
      <c r="D3123" s="1212"/>
      <c r="E3123" s="1213">
        <f>G3121</f>
        <v>6511.24</v>
      </c>
      <c r="F3123" s="1213">
        <f>E3123</f>
        <v>6511.24</v>
      </c>
      <c r="G3123" s="1215">
        <f>F3123</f>
        <v>6511.24</v>
      </c>
      <c r="H3123" s="1205" t="s">
        <v>2322</v>
      </c>
    </row>
    <row r="3124" spans="1:8" hidden="1">
      <c r="A3124" s="1212"/>
      <c r="B3124" s="1212"/>
      <c r="C3124" s="1752" t="s">
        <v>191</v>
      </c>
      <c r="D3124" s="1223">
        <v>4.3499999999999996</v>
      </c>
      <c r="E3124" s="1212">
        <f>ROUND(D3124*'MINI SSR 2022-23'!E30,2)</f>
        <v>46.89</v>
      </c>
      <c r="F3124" s="1212">
        <f>E3124</f>
        <v>46.89</v>
      </c>
      <c r="G3124" s="1212">
        <f>E3124</f>
        <v>46.89</v>
      </c>
      <c r="H3124" s="1205" t="s">
        <v>2322</v>
      </c>
    </row>
    <row r="3125" spans="1:8" hidden="1">
      <c r="A3125" s="1212"/>
      <c r="B3125" s="1212"/>
      <c r="C3125" s="1752" t="s">
        <v>193</v>
      </c>
      <c r="D3125" s="1223">
        <v>4.3499999999999996</v>
      </c>
      <c r="E3125" s="1212">
        <f>ROUND(D3125*'MINI SSR 2022-23'!F30,2)</f>
        <v>368.1</v>
      </c>
      <c r="F3125" s="1212">
        <f>ROUND(D3125*'MINI SSR 2022-23'!G30,2)</f>
        <v>527.13</v>
      </c>
      <c r="G3125" s="1212">
        <f>ROUND(D3125*'MINI SSR 2022-23'!H30,2)</f>
        <v>686.08</v>
      </c>
      <c r="H3125" s="1205" t="s">
        <v>2322</v>
      </c>
    </row>
    <row r="3126" spans="1:8" ht="25.5" hidden="1">
      <c r="A3126" s="1212"/>
      <c r="B3126" s="1212"/>
      <c r="C3126" s="1752" t="s">
        <v>1286</v>
      </c>
      <c r="D3126" s="1212"/>
      <c r="E3126" s="1212"/>
      <c r="F3126" s="1213">
        <f>ROUND((G3118+G3119+G3120+F3125)*0.1,2)</f>
        <v>198.7</v>
      </c>
      <c r="G3126" s="1213">
        <f>ROUND((G3118+G3119+G3120+G3125)*0.2,2)</f>
        <v>429.19</v>
      </c>
      <c r="H3126" s="1205" t="s">
        <v>2322</v>
      </c>
    </row>
    <row r="3127" spans="1:8" hidden="1">
      <c r="A3127" s="1212"/>
      <c r="B3127" s="1212"/>
      <c r="C3127" s="1754" t="s">
        <v>86</v>
      </c>
      <c r="D3127" s="1212"/>
      <c r="E3127" s="1217">
        <f>SUM(E3123:E3126)</f>
        <v>6926.2300000000005</v>
      </c>
      <c r="F3127" s="1217">
        <f>SUM(F3123:F3126)</f>
        <v>7283.96</v>
      </c>
      <c r="G3127" s="1222">
        <f>SUM(G3123:G3126)</f>
        <v>7673.4</v>
      </c>
      <c r="H3127" s="1205" t="s">
        <v>2322</v>
      </c>
    </row>
    <row r="3128" spans="1:8" ht="142.5" hidden="1">
      <c r="A3128" s="1156">
        <v>8</v>
      </c>
      <c r="B3128" s="1218" t="s">
        <v>1347</v>
      </c>
      <c r="C3128" s="1752" t="s">
        <v>1302</v>
      </c>
      <c r="D3128" s="1212"/>
      <c r="E3128" s="1212"/>
      <c r="F3128" s="1212"/>
      <c r="G3128" s="1218"/>
      <c r="H3128" s="1205" t="s">
        <v>2322</v>
      </c>
    </row>
    <row r="3129" spans="1:8" hidden="1">
      <c r="A3129" s="1156"/>
      <c r="B3129" s="1218"/>
      <c r="C3129" s="1754" t="s">
        <v>84</v>
      </c>
      <c r="D3129" s="1212"/>
      <c r="E3129" s="1212"/>
      <c r="F3129" s="1212"/>
      <c r="G3129" s="1215"/>
      <c r="H3129" s="1205" t="s">
        <v>2322</v>
      </c>
    </row>
    <row r="3130" spans="1:8" hidden="1">
      <c r="A3130" s="1156"/>
      <c r="B3130" s="1218"/>
      <c r="C3130" s="1754" t="s">
        <v>60</v>
      </c>
      <c r="D3130" s="1212"/>
      <c r="E3130" s="1212"/>
      <c r="F3130" s="1212"/>
      <c r="G3130" s="1215"/>
      <c r="H3130" s="1205" t="s">
        <v>2322</v>
      </c>
    </row>
    <row r="3131" spans="1:8" hidden="1">
      <c r="A3131" s="1156"/>
      <c r="B3131" s="1218"/>
      <c r="C3131" s="1752" t="s">
        <v>33</v>
      </c>
      <c r="D3131" s="1212" t="s">
        <v>4</v>
      </c>
      <c r="E3131" s="1213">
        <v>36</v>
      </c>
      <c r="F3131" s="1213">
        <f>'lead 22-23'!L8</f>
        <v>4700</v>
      </c>
      <c r="G3131" s="1214">
        <f>ROUND(E3131*F3131/1000,2)</f>
        <v>169.2</v>
      </c>
      <c r="H3131" s="1205" t="s">
        <v>2322</v>
      </c>
    </row>
    <row r="3132" spans="1:8" hidden="1">
      <c r="A3132" s="1156"/>
      <c r="B3132" s="1218"/>
      <c r="C3132" s="1752" t="s">
        <v>1301</v>
      </c>
      <c r="D3132" s="1212" t="s">
        <v>11</v>
      </c>
      <c r="E3132" s="1240">
        <v>512</v>
      </c>
      <c r="F3132" s="1213">
        <f>'lead 22-23'!L15</f>
        <v>8716</v>
      </c>
      <c r="G3132" s="1214">
        <f>ROUND(E3132*F3132/1000,2)</f>
        <v>4462.59</v>
      </c>
      <c r="H3132" s="1205" t="s">
        <v>2322</v>
      </c>
    </row>
    <row r="3133" spans="1:8" hidden="1">
      <c r="A3133" s="1156"/>
      <c r="B3133" s="1218"/>
      <c r="C3133" s="1752" t="s">
        <v>113</v>
      </c>
      <c r="D3133" s="1212" t="s">
        <v>35</v>
      </c>
      <c r="E3133" s="1213">
        <v>0.2</v>
      </c>
      <c r="F3133" s="1213">
        <f>'lead 22-23'!L12</f>
        <v>1815.9999999999998</v>
      </c>
      <c r="G3133" s="1214">
        <f>ROUND(E3133*F3133,2)</f>
        <v>363.2</v>
      </c>
      <c r="H3133" s="1205" t="s">
        <v>2322</v>
      </c>
    </row>
    <row r="3134" spans="1:8" hidden="1">
      <c r="A3134" s="1212"/>
      <c r="B3134" s="1212"/>
      <c r="C3134" s="1754" t="s">
        <v>68</v>
      </c>
      <c r="D3134" s="1212"/>
      <c r="E3134" s="1213"/>
      <c r="F3134" s="1213"/>
      <c r="G3134" s="1214"/>
      <c r="H3134" s="1205" t="s">
        <v>2322</v>
      </c>
    </row>
    <row r="3135" spans="1:8" hidden="1">
      <c r="A3135" s="1212"/>
      <c r="B3135" s="1212"/>
      <c r="C3135" s="1752" t="s">
        <v>64</v>
      </c>
      <c r="D3135" s="1212" t="s">
        <v>27</v>
      </c>
      <c r="E3135" s="1213">
        <v>0.24</v>
      </c>
      <c r="F3135" s="1213">
        <f>'MINI SSR 2022-23'!$H$3</f>
        <v>630</v>
      </c>
      <c r="G3135" s="1214">
        <f>ROUND(E3135*F3135,2)</f>
        <v>151.19999999999999</v>
      </c>
      <c r="H3135" s="1205" t="s">
        <v>2322</v>
      </c>
    </row>
    <row r="3136" spans="1:8" hidden="1">
      <c r="A3136" s="1212"/>
      <c r="B3136" s="1212"/>
      <c r="C3136" s="1752" t="s">
        <v>69</v>
      </c>
      <c r="D3136" s="1212" t="s">
        <v>27</v>
      </c>
      <c r="E3136" s="1213">
        <v>0.56000000000000005</v>
      </c>
      <c r="F3136" s="1213">
        <f>'MINI SSR 2022-23'!$H$4</f>
        <v>565</v>
      </c>
      <c r="G3136" s="1214">
        <f>ROUND(E3136*F3136,2)</f>
        <v>316.39999999999998</v>
      </c>
      <c r="H3136" s="1205" t="s">
        <v>2322</v>
      </c>
    </row>
    <row r="3137" spans="1:8" hidden="1">
      <c r="A3137" s="1212"/>
      <c r="B3137" s="1212"/>
      <c r="C3137" s="1752" t="s">
        <v>85</v>
      </c>
      <c r="D3137" s="1212" t="s">
        <v>27</v>
      </c>
      <c r="E3137" s="1213">
        <v>1.89</v>
      </c>
      <c r="F3137" s="1213">
        <f>'MINI SSR 2022-23'!$H$5</f>
        <v>525</v>
      </c>
      <c r="G3137" s="1214">
        <f>ROUND(E3137*F3137,2)</f>
        <v>992.25</v>
      </c>
      <c r="H3137" s="1205" t="s">
        <v>2322</v>
      </c>
    </row>
    <row r="3138" spans="1:8" hidden="1">
      <c r="A3138" s="1212"/>
      <c r="B3138" s="1212"/>
      <c r="C3138" s="1754" t="s">
        <v>86</v>
      </c>
      <c r="D3138" s="1212"/>
      <c r="E3138" s="1212"/>
      <c r="F3138" s="1212"/>
      <c r="G3138" s="1222">
        <f>SUM(G3131:G3137)</f>
        <v>6454.8399999999992</v>
      </c>
      <c r="H3138" s="1205" t="s">
        <v>2322</v>
      </c>
    </row>
    <row r="3139" spans="1:8" hidden="1">
      <c r="A3139" s="1212"/>
      <c r="B3139" s="1212"/>
      <c r="C3139" s="1754"/>
      <c r="D3139" s="1212"/>
      <c r="E3139" s="1218" t="s">
        <v>161</v>
      </c>
      <c r="F3139" s="1218" t="s">
        <v>162</v>
      </c>
      <c r="G3139" s="1217" t="s">
        <v>163</v>
      </c>
      <c r="H3139" s="1205" t="s">
        <v>2322</v>
      </c>
    </row>
    <row r="3140" spans="1:8" hidden="1">
      <c r="A3140" s="1212"/>
      <c r="B3140" s="1212"/>
      <c r="C3140" s="1754" t="s">
        <v>192</v>
      </c>
      <c r="D3140" s="1212"/>
      <c r="E3140" s="1213">
        <f>G3138</f>
        <v>6454.8399999999992</v>
      </c>
      <c r="F3140" s="1213">
        <f>E3140</f>
        <v>6454.8399999999992</v>
      </c>
      <c r="G3140" s="1215">
        <f>F3140</f>
        <v>6454.8399999999992</v>
      </c>
      <c r="H3140" s="1205" t="s">
        <v>2322</v>
      </c>
    </row>
    <row r="3141" spans="1:8" hidden="1">
      <c r="A3141" s="1212"/>
      <c r="B3141" s="1212"/>
      <c r="C3141" s="1752" t="s">
        <v>191</v>
      </c>
      <c r="D3141" s="1223">
        <v>4.3499999999999996</v>
      </c>
      <c r="E3141" s="1212">
        <f>ROUND(D3141*'MINI SSR 2022-23'!E30,2)</f>
        <v>46.89</v>
      </c>
      <c r="F3141" s="1212">
        <f>E3141</f>
        <v>46.89</v>
      </c>
      <c r="G3141" s="1212">
        <f>F3141</f>
        <v>46.89</v>
      </c>
      <c r="H3141" s="1205" t="s">
        <v>2322</v>
      </c>
    </row>
    <row r="3142" spans="1:8" hidden="1">
      <c r="A3142" s="1212"/>
      <c r="B3142" s="1212"/>
      <c r="C3142" s="1752" t="s">
        <v>193</v>
      </c>
      <c r="D3142" s="1223">
        <v>4.3499999999999996</v>
      </c>
      <c r="E3142" s="1212">
        <f>ROUND(D3142*'MINI SSR 2022-23'!F30,2)</f>
        <v>368.1</v>
      </c>
      <c r="F3142" s="1212">
        <f>ROUND(D3142*'MINI SSR 2022-23'!G30,2)</f>
        <v>527.13</v>
      </c>
      <c r="G3142" s="1212">
        <f>ROUND(D3142*'MINI SSR 2022-23'!H30,2)</f>
        <v>686.08</v>
      </c>
      <c r="H3142" s="1205" t="s">
        <v>2322</v>
      </c>
    </row>
    <row r="3143" spans="1:8" ht="25.5" hidden="1">
      <c r="A3143" s="1212"/>
      <c r="B3143" s="1212"/>
      <c r="C3143" s="1752" t="s">
        <v>1286</v>
      </c>
      <c r="D3143" s="1212"/>
      <c r="E3143" s="1212"/>
      <c r="F3143" s="1213">
        <f>ROUND((G3135+G3136+G3137+F3142)*0.1,2)</f>
        <v>198.7</v>
      </c>
      <c r="G3143" s="1213">
        <f>ROUND((G3135+G3136+G3137+G3142)*0.2,2)</f>
        <v>429.19</v>
      </c>
      <c r="H3143" s="1205" t="s">
        <v>2322</v>
      </c>
    </row>
    <row r="3144" spans="1:8" hidden="1">
      <c r="A3144" s="1212"/>
      <c r="B3144" s="1212"/>
      <c r="C3144" s="1754" t="s">
        <v>86</v>
      </c>
      <c r="D3144" s="1212"/>
      <c r="E3144" s="1217">
        <f>SUM(E3140:E3143)</f>
        <v>6869.83</v>
      </c>
      <c r="F3144" s="1217">
        <f>SUM(F3140:F3143)</f>
        <v>7227.5599999999995</v>
      </c>
      <c r="G3144" s="1222">
        <f>SUM(G3140:G3143)</f>
        <v>7616.9999999999991</v>
      </c>
      <c r="H3144" s="1205" t="s">
        <v>2322</v>
      </c>
    </row>
    <row r="3145" spans="1:8" ht="102" hidden="1">
      <c r="A3145" s="1156">
        <v>19</v>
      </c>
      <c r="B3145" s="1218" t="s">
        <v>221</v>
      </c>
      <c r="C3145" s="1752" t="s">
        <v>3636</v>
      </c>
      <c r="D3145" s="1212"/>
      <c r="E3145" s="1212"/>
      <c r="F3145" s="1212"/>
      <c r="G3145" s="1218"/>
      <c r="H3145" s="1205" t="s">
        <v>2322</v>
      </c>
    </row>
    <row r="3146" spans="1:8" hidden="1">
      <c r="A3146" s="1156"/>
      <c r="B3146" s="1218"/>
      <c r="C3146" s="1754" t="s">
        <v>222</v>
      </c>
      <c r="D3146" s="1212"/>
      <c r="E3146" s="1212"/>
      <c r="F3146" s="1212"/>
      <c r="G3146" s="1215"/>
      <c r="H3146" s="1205" t="s">
        <v>2322</v>
      </c>
    </row>
    <row r="3147" spans="1:8" hidden="1">
      <c r="A3147" s="1156"/>
      <c r="B3147" s="1218"/>
      <c r="C3147" s="1754" t="s">
        <v>60</v>
      </c>
      <c r="D3147" s="1212"/>
      <c r="E3147" s="1212"/>
      <c r="F3147" s="1212"/>
      <c r="G3147" s="1215"/>
      <c r="H3147" s="1205" t="s">
        <v>2322</v>
      </c>
    </row>
    <row r="3148" spans="1:8" hidden="1">
      <c r="A3148" s="1156"/>
      <c r="B3148" s="1218"/>
      <c r="C3148" s="1752" t="s">
        <v>33</v>
      </c>
      <c r="D3148" s="1212" t="s">
        <v>4</v>
      </c>
      <c r="E3148" s="1213">
        <v>72</v>
      </c>
      <c r="F3148" s="1213">
        <f>'lead 22-23'!L8</f>
        <v>4700</v>
      </c>
      <c r="G3148" s="1214">
        <f>ROUND(E3148*F3148/1000,2)</f>
        <v>338.4</v>
      </c>
      <c r="H3148" s="1205" t="s">
        <v>2322</v>
      </c>
    </row>
    <row r="3149" spans="1:8" hidden="1">
      <c r="A3149" s="1156"/>
      <c r="B3149" s="1218"/>
      <c r="C3149" s="1752" t="s">
        <v>1303</v>
      </c>
      <c r="D3149" s="1212" t="s">
        <v>11</v>
      </c>
      <c r="E3149" s="1240">
        <v>565</v>
      </c>
      <c r="F3149" s="1213">
        <f>'lead 22-23'!L15</f>
        <v>8716</v>
      </c>
      <c r="G3149" s="1214">
        <f>ROUND(E3149*F3149/1000,2)</f>
        <v>4924.54</v>
      </c>
      <c r="H3149" s="1205" t="s">
        <v>2322</v>
      </c>
    </row>
    <row r="3150" spans="1:8" hidden="1">
      <c r="A3150" s="1156"/>
      <c r="B3150" s="1218"/>
      <c r="C3150" s="1752" t="s">
        <v>113</v>
      </c>
      <c r="D3150" s="1212" t="s">
        <v>35</v>
      </c>
      <c r="E3150" s="1213">
        <v>0.22</v>
      </c>
      <c r="F3150" s="1213">
        <f>'lead 22-23'!L12</f>
        <v>1815.9999999999998</v>
      </c>
      <c r="G3150" s="1214">
        <f>ROUND(E3150*F3150,2)</f>
        <v>399.52</v>
      </c>
      <c r="H3150" s="1205" t="s">
        <v>2322</v>
      </c>
    </row>
    <row r="3151" spans="1:8" hidden="1">
      <c r="A3151" s="1212"/>
      <c r="B3151" s="1212"/>
      <c r="C3151" s="1754" t="s">
        <v>68</v>
      </c>
      <c r="D3151" s="1212"/>
      <c r="E3151" s="1213"/>
      <c r="F3151" s="1213"/>
      <c r="G3151" s="1214"/>
      <c r="H3151" s="1205" t="s">
        <v>2322</v>
      </c>
    </row>
    <row r="3152" spans="1:8" hidden="1">
      <c r="A3152" s="1212"/>
      <c r="B3152" s="1212"/>
      <c r="C3152" s="1752" t="s">
        <v>64</v>
      </c>
      <c r="D3152" s="1212" t="s">
        <v>27</v>
      </c>
      <c r="E3152" s="1213">
        <v>0.6</v>
      </c>
      <c r="F3152" s="1213">
        <f>'MINI SSR 2022-23'!$H$3</f>
        <v>630</v>
      </c>
      <c r="G3152" s="1214">
        <f>ROUND(E3152*F3152,2)</f>
        <v>378</v>
      </c>
      <c r="H3152" s="1205" t="s">
        <v>2322</v>
      </c>
    </row>
    <row r="3153" spans="1:8" hidden="1">
      <c r="A3153" s="1212"/>
      <c r="B3153" s="1212"/>
      <c r="C3153" s="1752" t="s">
        <v>69</v>
      </c>
      <c r="D3153" s="1212" t="s">
        <v>27</v>
      </c>
      <c r="E3153" s="1213">
        <v>0.6</v>
      </c>
      <c r="F3153" s="1213">
        <f>'MINI SSR 2022-23'!$H$4</f>
        <v>565</v>
      </c>
      <c r="G3153" s="1214">
        <f>ROUND(E3153*F3153,2)</f>
        <v>339</v>
      </c>
      <c r="H3153" s="1205" t="s">
        <v>2322</v>
      </c>
    </row>
    <row r="3154" spans="1:8" hidden="1">
      <c r="A3154" s="1212"/>
      <c r="B3154" s="1212"/>
      <c r="C3154" s="1752" t="s">
        <v>85</v>
      </c>
      <c r="D3154" s="1212" t="s">
        <v>27</v>
      </c>
      <c r="E3154" s="1213">
        <v>2.75</v>
      </c>
      <c r="F3154" s="1213">
        <f>'MINI SSR 2022-23'!$H$5</f>
        <v>525</v>
      </c>
      <c r="G3154" s="1214">
        <f>ROUND(E3154*F3154,2)</f>
        <v>1443.75</v>
      </c>
      <c r="H3154" s="1205" t="s">
        <v>2322</v>
      </c>
    </row>
    <row r="3155" spans="1:8" hidden="1">
      <c r="A3155" s="1212"/>
      <c r="B3155" s="1212"/>
      <c r="C3155" s="1754" t="s">
        <v>88</v>
      </c>
      <c r="D3155" s="1212"/>
      <c r="E3155" s="1213"/>
      <c r="F3155" s="1213"/>
      <c r="G3155" s="1214">
        <f>SUM(G3148:G3154)</f>
        <v>7823.2099999999991</v>
      </c>
      <c r="H3155" s="1205" t="s">
        <v>2322</v>
      </c>
    </row>
    <row r="3156" spans="1:8" hidden="1">
      <c r="A3156" s="1212"/>
      <c r="B3156" s="1212"/>
      <c r="C3156" s="1754"/>
      <c r="D3156" s="1212"/>
      <c r="E3156" s="1218" t="s">
        <v>161</v>
      </c>
      <c r="F3156" s="1217" t="s">
        <v>162</v>
      </c>
      <c r="G3156" s="1217" t="s">
        <v>163</v>
      </c>
      <c r="H3156" s="1205" t="s">
        <v>2322</v>
      </c>
    </row>
    <row r="3157" spans="1:8" hidden="1">
      <c r="A3157" s="1212"/>
      <c r="B3157" s="1212"/>
      <c r="C3157" s="1754" t="s">
        <v>192</v>
      </c>
      <c r="D3157" s="1212"/>
      <c r="E3157" s="1213">
        <f>G3155</f>
        <v>7823.2099999999991</v>
      </c>
      <c r="F3157" s="1215">
        <f>G3155</f>
        <v>7823.2099999999991</v>
      </c>
      <c r="G3157" s="1215">
        <f>G3155</f>
        <v>7823.2099999999991</v>
      </c>
      <c r="H3157" s="1205" t="s">
        <v>2322</v>
      </c>
    </row>
    <row r="3158" spans="1:8" hidden="1">
      <c r="A3158" s="1212"/>
      <c r="B3158" s="1212"/>
      <c r="C3158" s="1752" t="s">
        <v>1649</v>
      </c>
      <c r="D3158" s="1223">
        <v>8.6999999999999993</v>
      </c>
      <c r="E3158" s="1212">
        <f>ROUND(D3158*'MINI SSR 2022-23'!E30,2)</f>
        <v>93.79</v>
      </c>
      <c r="F3158" s="1225">
        <f>E3158</f>
        <v>93.79</v>
      </c>
      <c r="G3158" s="1225">
        <f>F3158</f>
        <v>93.79</v>
      </c>
      <c r="H3158" s="1205" t="s">
        <v>2322</v>
      </c>
    </row>
    <row r="3159" spans="1:8" hidden="1">
      <c r="A3159" s="1212"/>
      <c r="B3159" s="1212"/>
      <c r="C3159" s="1752" t="s">
        <v>1650</v>
      </c>
      <c r="D3159" s="1223">
        <v>8.6999999999999993</v>
      </c>
      <c r="E3159" s="1213">
        <f>8.7*'MINI SSR 2022-23'!F30</f>
        <v>736.19399999999996</v>
      </c>
      <c r="F3159" s="1213">
        <f>8.7*'MINI SSR 2022-23'!G30</f>
        <v>1054.2660000000001</v>
      </c>
      <c r="G3159" s="1213">
        <f>8.7*'MINI SSR 2022-23'!H30</f>
        <v>1372.164</v>
      </c>
      <c r="H3159" s="1205" t="s">
        <v>2322</v>
      </c>
    </row>
    <row r="3160" spans="1:8" ht="25.5" hidden="1">
      <c r="A3160" s="1212"/>
      <c r="B3160" s="1212"/>
      <c r="C3160" s="1752" t="s">
        <v>1286</v>
      </c>
      <c r="D3160" s="1212"/>
      <c r="E3160" s="1212"/>
      <c r="F3160" s="1241">
        <f>(SUM(G3152:G3154)+F3159)*10%</f>
        <v>321.50160000000005</v>
      </c>
      <c r="G3160" s="1241">
        <f>(SUM(G3152:G3154)+G3159)*20%</f>
        <v>706.58280000000002</v>
      </c>
      <c r="H3160" s="1205" t="s">
        <v>2322</v>
      </c>
    </row>
    <row r="3161" spans="1:8" hidden="1">
      <c r="A3161" s="1212"/>
      <c r="B3161" s="1212"/>
      <c r="C3161" s="1754" t="s">
        <v>900</v>
      </c>
      <c r="D3161" s="1212"/>
      <c r="E3161" s="1217">
        <f>SUM(E3157:E3160)</f>
        <v>8653.1939999999995</v>
      </c>
      <c r="F3161" s="1222">
        <f>SUM(F3157:F3160)</f>
        <v>9292.7675999999992</v>
      </c>
      <c r="G3161" s="1222">
        <f>SUM(G3157:G3160)</f>
        <v>9995.746799999999</v>
      </c>
      <c r="H3161" s="1205" t="s">
        <v>2322</v>
      </c>
    </row>
    <row r="3162" spans="1:8" hidden="1">
      <c r="A3162" s="1212"/>
      <c r="B3162" s="1212"/>
      <c r="C3162" s="1754" t="s">
        <v>121</v>
      </c>
      <c r="D3162" s="1212"/>
      <c r="E3162" s="1217">
        <f>ROUND(E3161/10,2)</f>
        <v>865.32</v>
      </c>
      <c r="F3162" s="1222">
        <f>ROUND(F3161/10,2)</f>
        <v>929.28</v>
      </c>
      <c r="G3162" s="1222">
        <f>ROUND(G3161/10,2)</f>
        <v>999.57</v>
      </c>
      <c r="H3162" s="1205" t="s">
        <v>2322</v>
      </c>
    </row>
    <row r="3163" spans="1:8" ht="127.5" hidden="1">
      <c r="A3163" s="1156">
        <v>30</v>
      </c>
      <c r="B3163" s="1218" t="s">
        <v>1319</v>
      </c>
      <c r="C3163" s="1752" t="s">
        <v>1195</v>
      </c>
      <c r="D3163" s="1212"/>
      <c r="E3163" s="1212"/>
      <c r="F3163" s="1212"/>
      <c r="G3163" s="1218"/>
      <c r="H3163" s="1205" t="s">
        <v>2322</v>
      </c>
    </row>
    <row r="3164" spans="1:8" hidden="1">
      <c r="A3164" s="1156"/>
      <c r="B3164" s="1218"/>
      <c r="C3164" s="1754" t="s">
        <v>84</v>
      </c>
      <c r="D3164" s="1212"/>
      <c r="E3164" s="1212"/>
      <c r="F3164" s="1212"/>
      <c r="G3164" s="1215"/>
      <c r="H3164" s="1205" t="s">
        <v>2322</v>
      </c>
    </row>
    <row r="3165" spans="1:8" hidden="1">
      <c r="A3165" s="1156"/>
      <c r="B3165" s="1218"/>
      <c r="C3165" s="1754" t="s">
        <v>60</v>
      </c>
      <c r="D3165" s="1212"/>
      <c r="E3165" s="1212"/>
      <c r="F3165" s="1212"/>
      <c r="G3165" s="1215"/>
      <c r="H3165" s="1205" t="s">
        <v>2322</v>
      </c>
    </row>
    <row r="3166" spans="1:8" ht="25.5" hidden="1">
      <c r="A3166" s="1156"/>
      <c r="B3166" s="1218"/>
      <c r="C3166" s="1752" t="s">
        <v>1198</v>
      </c>
      <c r="D3166" s="1212" t="s">
        <v>11</v>
      </c>
      <c r="E3166" s="1240">
        <v>110</v>
      </c>
      <c r="F3166" s="1213">
        <f>'MINI SSR 2022-23'!C27</f>
        <v>30</v>
      </c>
      <c r="G3166" s="1214">
        <f>ROUND(E3166*F3166,2)</f>
        <v>3300</v>
      </c>
      <c r="H3166" s="1205" t="s">
        <v>2322</v>
      </c>
    </row>
    <row r="3167" spans="1:8" hidden="1">
      <c r="A3167" s="1156"/>
      <c r="B3167" s="1218"/>
      <c r="C3167" s="1752" t="s">
        <v>1196</v>
      </c>
      <c r="D3167" s="1212" t="s">
        <v>35</v>
      </c>
      <c r="E3167" s="1213">
        <v>0.1</v>
      </c>
      <c r="F3167" s="1213">
        <f>G2777</f>
        <v>3139.8</v>
      </c>
      <c r="G3167" s="1214">
        <f>ROUND(E3167*F3167,2)</f>
        <v>313.98</v>
      </c>
      <c r="H3167" s="1205" t="s">
        <v>2322</v>
      </c>
    </row>
    <row r="3168" spans="1:8" hidden="1">
      <c r="A3168" s="1212"/>
      <c r="B3168" s="1212"/>
      <c r="C3168" s="1754" t="s">
        <v>68</v>
      </c>
      <c r="D3168" s="1212"/>
      <c r="E3168" s="1213"/>
      <c r="F3168" s="1213"/>
      <c r="G3168" s="1214"/>
      <c r="H3168" s="1205" t="s">
        <v>2322</v>
      </c>
    </row>
    <row r="3169" spans="1:8" hidden="1">
      <c r="A3169" s="1212"/>
      <c r="B3169" s="1212"/>
      <c r="C3169" s="1752" t="s">
        <v>64</v>
      </c>
      <c r="D3169" s="1212" t="s">
        <v>27</v>
      </c>
      <c r="E3169" s="1213">
        <v>0.42</v>
      </c>
      <c r="F3169" s="1213">
        <f>'MINI SSR 2022-23'!$H$3</f>
        <v>630</v>
      </c>
      <c r="G3169" s="1214">
        <f>ROUND(E3169*F3169,2)</f>
        <v>264.60000000000002</v>
      </c>
      <c r="H3169" s="1205" t="s">
        <v>2322</v>
      </c>
    </row>
    <row r="3170" spans="1:8" hidden="1">
      <c r="A3170" s="1212"/>
      <c r="B3170" s="1212"/>
      <c r="C3170" s="1752" t="s">
        <v>69</v>
      </c>
      <c r="D3170" s="1212" t="s">
        <v>27</v>
      </c>
      <c r="E3170" s="1213">
        <v>0.92</v>
      </c>
      <c r="F3170" s="1213">
        <f>'MINI SSR 2022-23'!$H$4</f>
        <v>565</v>
      </c>
      <c r="G3170" s="1214">
        <f>ROUND(E3170*F3170,2)</f>
        <v>519.79999999999995</v>
      </c>
      <c r="H3170" s="1205" t="s">
        <v>2322</v>
      </c>
    </row>
    <row r="3171" spans="1:8" hidden="1">
      <c r="A3171" s="1212"/>
      <c r="B3171" s="1212"/>
      <c r="C3171" s="1752" t="s">
        <v>375</v>
      </c>
      <c r="D3171" s="1212" t="s">
        <v>27</v>
      </c>
      <c r="E3171" s="1213">
        <v>0.7</v>
      </c>
      <c r="F3171" s="1213">
        <f>'MINI SSR 2022-23'!$H$5</f>
        <v>525</v>
      </c>
      <c r="G3171" s="1214">
        <f>ROUND(E3171*F3171,2)</f>
        <v>367.5</v>
      </c>
      <c r="H3171" s="1205" t="s">
        <v>2322</v>
      </c>
    </row>
    <row r="3172" spans="1:8" hidden="1">
      <c r="A3172" s="1212"/>
      <c r="B3172" s="1212"/>
      <c r="C3172" s="1752" t="s">
        <v>1197</v>
      </c>
      <c r="D3172" s="1212" t="s">
        <v>27</v>
      </c>
      <c r="E3172" s="1213">
        <v>2.1</v>
      </c>
      <c r="F3172" s="1213">
        <f>'MINI SSR 2022-23'!$H$5</f>
        <v>525</v>
      </c>
      <c r="G3172" s="1214">
        <f>ROUND(E3172*F3172,2)</f>
        <v>1102.5</v>
      </c>
      <c r="H3172" s="1205" t="s">
        <v>2322</v>
      </c>
    </row>
    <row r="3173" spans="1:8" hidden="1">
      <c r="A3173" s="1212"/>
      <c r="B3173" s="1212"/>
      <c r="C3173" s="1754" t="s">
        <v>86</v>
      </c>
      <c r="D3173" s="1212"/>
      <c r="E3173" s="1212"/>
      <c r="F3173" s="1212"/>
      <c r="G3173" s="1222">
        <f>SUM(G3166:G3172)</f>
        <v>5868.38</v>
      </c>
      <c r="H3173" s="1205" t="s">
        <v>2322</v>
      </c>
    </row>
    <row r="3174" spans="1:8" hidden="1">
      <c r="A3174" s="1212"/>
      <c r="B3174" s="1212"/>
      <c r="C3174" s="1754"/>
      <c r="D3174" s="1212"/>
      <c r="E3174" s="1218" t="s">
        <v>161</v>
      </c>
      <c r="F3174" s="1217" t="s">
        <v>162</v>
      </c>
      <c r="G3174" s="1217" t="s">
        <v>163</v>
      </c>
      <c r="H3174" s="1205" t="s">
        <v>2322</v>
      </c>
    </row>
    <row r="3175" spans="1:8" hidden="1">
      <c r="A3175" s="1212"/>
      <c r="B3175" s="1212"/>
      <c r="C3175" s="1754" t="s">
        <v>192</v>
      </c>
      <c r="D3175" s="1212"/>
      <c r="E3175" s="1213">
        <f>G3173</f>
        <v>5868.38</v>
      </c>
      <c r="F3175" s="1215">
        <f>G3173</f>
        <v>5868.38</v>
      </c>
      <c r="G3175" s="1215">
        <f>G3173*1</f>
        <v>5868.38</v>
      </c>
      <c r="H3175" s="1205" t="s">
        <v>2322</v>
      </c>
    </row>
    <row r="3176" spans="1:8" hidden="1">
      <c r="A3176" s="1212"/>
      <c r="B3176" s="1212"/>
      <c r="C3176" s="1752" t="s">
        <v>1651</v>
      </c>
      <c r="D3176" s="1223">
        <v>4.3499999999999996</v>
      </c>
      <c r="E3176" s="1212">
        <f>ROUND(10.32*D3176,2)</f>
        <v>44.89</v>
      </c>
      <c r="F3176" s="1225">
        <f>E3176</f>
        <v>44.89</v>
      </c>
      <c r="G3176" s="1225">
        <f>F3176</f>
        <v>44.89</v>
      </c>
      <c r="H3176" s="1205" t="s">
        <v>2322</v>
      </c>
    </row>
    <row r="3177" spans="1:8" hidden="1">
      <c r="A3177" s="1212"/>
      <c r="B3177" s="1212"/>
      <c r="C3177" s="1752" t="s">
        <v>1652</v>
      </c>
      <c r="D3177" s="1223">
        <v>4.3499999999999996</v>
      </c>
      <c r="E3177" s="1212">
        <f>ROUND('MINI SSR 2022-23'!F30*$D$3177,2)</f>
        <v>368.1</v>
      </c>
      <c r="F3177" s="1212">
        <f>ROUND('MINI SSR 2022-23'!G30*$D$3177,2)</f>
        <v>527.13</v>
      </c>
      <c r="G3177" s="1212">
        <f>ROUND('MINI SSR 2022-23'!H30*$D$3177,2)</f>
        <v>686.08</v>
      </c>
      <c r="H3177" s="1205" t="s">
        <v>2322</v>
      </c>
    </row>
    <row r="3178" spans="1:8" ht="25.5" hidden="1">
      <c r="A3178" s="1212"/>
      <c r="B3178" s="1212"/>
      <c r="C3178" s="1752" t="s">
        <v>1286</v>
      </c>
      <c r="D3178" s="1212"/>
      <c r="E3178" s="1212"/>
      <c r="F3178" s="1225">
        <f>ROUND((G3169+G3170+G3172+G3171+F3177)*0.1,2)</f>
        <v>278.14999999999998</v>
      </c>
      <c r="G3178" s="1225">
        <f>ROUND((G3169+G3170+G3172+G3171+G3177)*0.2,2)</f>
        <v>588.1</v>
      </c>
      <c r="H3178" s="1205" t="s">
        <v>2322</v>
      </c>
    </row>
    <row r="3179" spans="1:8" hidden="1">
      <c r="A3179" s="1212"/>
      <c r="B3179" s="1212"/>
      <c r="C3179" s="1754" t="s">
        <v>86</v>
      </c>
      <c r="D3179" s="1212"/>
      <c r="E3179" s="1217">
        <f>SUM(E3175:E3178)</f>
        <v>6281.3700000000008</v>
      </c>
      <c r="F3179" s="1222">
        <f>SUM(F3175:F3178)</f>
        <v>6718.55</v>
      </c>
      <c r="G3179" s="1222">
        <f>SUM(G3175:G3178)</f>
        <v>7187.4500000000007</v>
      </c>
      <c r="H3179" s="1205" t="s">
        <v>2322</v>
      </c>
    </row>
    <row r="3180" spans="1:8" ht="89.25" hidden="1">
      <c r="A3180" s="1156">
        <v>20</v>
      </c>
      <c r="B3180" s="1218" t="s">
        <v>87</v>
      </c>
      <c r="C3180" s="1752" t="s">
        <v>1304</v>
      </c>
      <c r="D3180" s="1212"/>
      <c r="E3180" s="1212"/>
      <c r="F3180" s="1212"/>
      <c r="G3180" s="1218"/>
      <c r="H3180" s="1205" t="s">
        <v>2322</v>
      </c>
    </row>
    <row r="3181" spans="1:8" hidden="1">
      <c r="A3181" s="1156"/>
      <c r="B3181" s="1218"/>
      <c r="C3181" s="1754" t="s">
        <v>42</v>
      </c>
      <c r="D3181" s="1212"/>
      <c r="E3181" s="1212"/>
      <c r="F3181" s="1212"/>
      <c r="G3181" s="1215"/>
      <c r="H3181" s="1205" t="s">
        <v>2322</v>
      </c>
    </row>
    <row r="3182" spans="1:8" hidden="1">
      <c r="A3182" s="1156"/>
      <c r="B3182" s="1218"/>
      <c r="C3182" s="1754" t="s">
        <v>60</v>
      </c>
      <c r="D3182" s="1218"/>
      <c r="E3182" s="1218"/>
      <c r="F3182" s="1218"/>
      <c r="G3182" s="1215"/>
      <c r="H3182" s="1205" t="s">
        <v>2322</v>
      </c>
    </row>
    <row r="3183" spans="1:8" hidden="1">
      <c r="A3183" s="1156"/>
      <c r="B3183" s="1218"/>
      <c r="C3183" s="1752" t="s">
        <v>43</v>
      </c>
      <c r="D3183" s="1212" t="s">
        <v>35</v>
      </c>
      <c r="E3183" s="1213">
        <v>0.15</v>
      </c>
      <c r="F3183" s="1213">
        <f>G2762</f>
        <v>4267.8</v>
      </c>
      <c r="G3183" s="1214">
        <f>ROUND(E3183*F3183,2)</f>
        <v>640.16999999999996</v>
      </c>
      <c r="H3183" s="1205" t="s">
        <v>2322</v>
      </c>
    </row>
    <row r="3184" spans="1:8" hidden="1">
      <c r="A3184" s="1212"/>
      <c r="B3184" s="1212"/>
      <c r="C3184" s="1754" t="s">
        <v>68</v>
      </c>
      <c r="D3184" s="1212"/>
      <c r="E3184" s="1213"/>
      <c r="F3184" s="1213"/>
      <c r="G3184" s="1214"/>
      <c r="H3184" s="1205" t="s">
        <v>2322</v>
      </c>
    </row>
    <row r="3185" spans="1:8" hidden="1">
      <c r="A3185" s="1212"/>
      <c r="B3185" s="1212"/>
      <c r="C3185" s="1752" t="s">
        <v>64</v>
      </c>
      <c r="D3185" s="1212" t="s">
        <v>27</v>
      </c>
      <c r="E3185" s="1213">
        <v>0.45</v>
      </c>
      <c r="F3185" s="1213">
        <f>'MINI SSR 2022-23'!$H$3</f>
        <v>630</v>
      </c>
      <c r="G3185" s="1214">
        <f>ROUND(E3185*F3185,2)</f>
        <v>283.5</v>
      </c>
      <c r="H3185" s="1205" t="s">
        <v>2322</v>
      </c>
    </row>
    <row r="3186" spans="1:8" hidden="1">
      <c r="A3186" s="1212"/>
      <c r="B3186" s="1212"/>
      <c r="C3186" s="1752" t="s">
        <v>69</v>
      </c>
      <c r="D3186" s="1212" t="s">
        <v>27</v>
      </c>
      <c r="E3186" s="1213">
        <v>1.05</v>
      </c>
      <c r="F3186" s="1213">
        <f>'MINI SSR 2022-23'!$H$4</f>
        <v>565</v>
      </c>
      <c r="G3186" s="1214">
        <f>ROUND(E3186*F3186,2)</f>
        <v>593.25</v>
      </c>
      <c r="H3186" s="1205" t="s">
        <v>2322</v>
      </c>
    </row>
    <row r="3187" spans="1:8" hidden="1">
      <c r="A3187" s="1212"/>
      <c r="B3187" s="1212"/>
      <c r="C3187" s="1752" t="s">
        <v>85</v>
      </c>
      <c r="D3187" s="1212" t="s">
        <v>27</v>
      </c>
      <c r="E3187" s="1213">
        <v>2.8</v>
      </c>
      <c r="F3187" s="1213">
        <f>'MINI SSR 2022-23'!$H$5</f>
        <v>525</v>
      </c>
      <c r="G3187" s="1214">
        <f>ROUND(E3187*F3187,2)</f>
        <v>1470</v>
      </c>
      <c r="H3187" s="1205" t="s">
        <v>2322</v>
      </c>
    </row>
    <row r="3188" spans="1:8" hidden="1">
      <c r="A3188" s="1212"/>
      <c r="B3188" s="1212"/>
      <c r="C3188" s="1754" t="s">
        <v>88</v>
      </c>
      <c r="D3188" s="1212"/>
      <c r="E3188" s="1212"/>
      <c r="F3188" s="1212"/>
      <c r="G3188" s="1220">
        <f>SUM(G3183:G3187)</f>
        <v>2986.92</v>
      </c>
      <c r="H3188" s="1205" t="s">
        <v>2322</v>
      </c>
    </row>
    <row r="3189" spans="1:8" hidden="1">
      <c r="A3189" s="1212"/>
      <c r="B3189" s="1212"/>
      <c r="C3189" s="1754"/>
      <c r="D3189" s="1212"/>
      <c r="E3189" s="1218" t="s">
        <v>161</v>
      </c>
      <c r="F3189" s="1218" t="s">
        <v>162</v>
      </c>
      <c r="G3189" s="1217" t="s">
        <v>163</v>
      </c>
      <c r="H3189" s="1205" t="s">
        <v>2322</v>
      </c>
    </row>
    <row r="3190" spans="1:8" hidden="1">
      <c r="A3190" s="1212"/>
      <c r="B3190" s="1212"/>
      <c r="C3190" s="1754" t="s">
        <v>1274</v>
      </c>
      <c r="D3190" s="1212"/>
      <c r="E3190" s="1213">
        <f>G3188</f>
        <v>2986.92</v>
      </c>
      <c r="F3190" s="1213">
        <f>G3188</f>
        <v>2986.92</v>
      </c>
      <c r="G3190" s="1215">
        <f>G3188</f>
        <v>2986.92</v>
      </c>
      <c r="H3190" s="1205" t="s">
        <v>2322</v>
      </c>
    </row>
    <row r="3191" spans="1:8" hidden="1">
      <c r="A3191" s="1212"/>
      <c r="B3191" s="1212"/>
      <c r="C3191" s="1752" t="s">
        <v>1653</v>
      </c>
      <c r="D3191" s="1213">
        <v>10</v>
      </c>
      <c r="E3191" s="1213">
        <f>ROUND(D3191*'MINI SSR 2022-23'!E33,2)</f>
        <v>25.7</v>
      </c>
      <c r="F3191" s="1213">
        <f>E3191</f>
        <v>25.7</v>
      </c>
      <c r="G3191" s="1215">
        <f>E3191</f>
        <v>25.7</v>
      </c>
      <c r="H3191" s="1205" t="s">
        <v>2322</v>
      </c>
    </row>
    <row r="3192" spans="1:8" hidden="1">
      <c r="A3192" s="1212"/>
      <c r="B3192" s="1212"/>
      <c r="C3192" s="1752" t="s">
        <v>1654</v>
      </c>
      <c r="D3192" s="1213">
        <v>10</v>
      </c>
      <c r="E3192" s="1213">
        <f>ROUND(D3192*'MINI SSR 2022-23'!F33,2)</f>
        <v>169.4</v>
      </c>
      <c r="F3192" s="1213">
        <f>ROUND(D3192*'MINI SSR 2022-23'!G33,2)</f>
        <v>240.4</v>
      </c>
      <c r="G3192" s="1215">
        <f>ROUND(D3192*'MINI SSR 2022-23'!H33,2)</f>
        <v>311.3</v>
      </c>
      <c r="H3192" s="1205" t="s">
        <v>2322</v>
      </c>
    </row>
    <row r="3193" spans="1:8" ht="25.5" hidden="1">
      <c r="A3193" s="1212"/>
      <c r="B3193" s="1212"/>
      <c r="C3193" s="1752" t="s">
        <v>1286</v>
      </c>
      <c r="D3193" s="1212"/>
      <c r="E3193" s="1212"/>
      <c r="F3193" s="1213">
        <f>ROUND((G3185+G3186+G3187+F3192)*0.1,2)</f>
        <v>258.72000000000003</v>
      </c>
      <c r="G3193" s="1215">
        <f>ROUND((G3185+G3186+G3187+G3192)*0.2,2)</f>
        <v>531.61</v>
      </c>
      <c r="H3193" s="1205" t="s">
        <v>2322</v>
      </c>
    </row>
    <row r="3194" spans="1:8" hidden="1">
      <c r="A3194" s="1212"/>
      <c r="B3194" s="1212"/>
      <c r="C3194" s="1754" t="s">
        <v>88</v>
      </c>
      <c r="D3194" s="1212"/>
      <c r="E3194" s="1213">
        <f>SUM(E3190:E3193)</f>
        <v>3182.02</v>
      </c>
      <c r="F3194" s="1213">
        <f>SUM(F3190:F3193)</f>
        <v>3511.74</v>
      </c>
      <c r="G3194" s="1215">
        <f>SUM(G3190:G3193)</f>
        <v>3855.53</v>
      </c>
      <c r="H3194" s="1205" t="s">
        <v>2322</v>
      </c>
    </row>
    <row r="3195" spans="1:8" hidden="1">
      <c r="A3195" s="1212"/>
      <c r="B3195" s="1212"/>
      <c r="C3195" s="1754" t="s">
        <v>121</v>
      </c>
      <c r="D3195" s="1212"/>
      <c r="E3195" s="1217">
        <f>ROUND(E3194/10,2)</f>
        <v>318.2</v>
      </c>
      <c r="F3195" s="1217">
        <f>ROUND(F3194/10,2)</f>
        <v>351.17</v>
      </c>
      <c r="G3195" s="1222">
        <f>ROUND(G3194/10,2)</f>
        <v>385.55</v>
      </c>
      <c r="H3195" s="1205" t="s">
        <v>2322</v>
      </c>
    </row>
    <row r="3196" spans="1:8" ht="89.25" hidden="1">
      <c r="A3196" s="1156">
        <v>5</v>
      </c>
      <c r="B3196" s="1218" t="s">
        <v>89</v>
      </c>
      <c r="C3196" s="1752" t="s">
        <v>1305</v>
      </c>
      <c r="D3196" s="1212"/>
      <c r="E3196" s="1212"/>
      <c r="F3196" s="1212"/>
      <c r="G3196" s="1218"/>
      <c r="H3196" s="1205" t="s">
        <v>2322</v>
      </c>
    </row>
    <row r="3197" spans="1:8" hidden="1">
      <c r="A3197" s="1156"/>
      <c r="B3197" s="1218"/>
      <c r="C3197" s="1754" t="s">
        <v>42</v>
      </c>
      <c r="D3197" s="1212"/>
      <c r="E3197" s="1212"/>
      <c r="F3197" s="1212"/>
      <c r="G3197" s="1215"/>
      <c r="H3197" s="1205" t="s">
        <v>2322</v>
      </c>
    </row>
    <row r="3198" spans="1:8" hidden="1">
      <c r="A3198" s="1156"/>
      <c r="B3198" s="1218"/>
      <c r="C3198" s="1754" t="s">
        <v>60</v>
      </c>
      <c r="D3198" s="1218"/>
      <c r="E3198" s="1218"/>
      <c r="F3198" s="1218"/>
      <c r="G3198" s="1215"/>
      <c r="H3198" s="1205" t="s">
        <v>2322</v>
      </c>
    </row>
    <row r="3199" spans="1:8" hidden="1">
      <c r="A3199" s="1156"/>
      <c r="B3199" s="1218"/>
      <c r="C3199" s="1752" t="s">
        <v>48</v>
      </c>
      <c r="D3199" s="1212" t="s">
        <v>35</v>
      </c>
      <c r="E3199" s="1213">
        <v>0.15</v>
      </c>
      <c r="F3199" s="1213">
        <f>G2772</f>
        <v>3365.3999999999996</v>
      </c>
      <c r="G3199" s="1214">
        <f>ROUND(E3199*F3199,2)</f>
        <v>504.81</v>
      </c>
      <c r="H3199" s="1205" t="s">
        <v>2322</v>
      </c>
    </row>
    <row r="3200" spans="1:8" hidden="1">
      <c r="A3200" s="1212"/>
      <c r="B3200" s="1212"/>
      <c r="C3200" s="1754" t="s">
        <v>68</v>
      </c>
      <c r="D3200" s="1212"/>
      <c r="E3200" s="1213"/>
      <c r="F3200" s="1213"/>
      <c r="G3200" s="1214"/>
      <c r="H3200" s="1205" t="s">
        <v>2322</v>
      </c>
    </row>
    <row r="3201" spans="1:8" hidden="1">
      <c r="A3201" s="1212"/>
      <c r="B3201" s="1212"/>
      <c r="C3201" s="1752" t="s">
        <v>64</v>
      </c>
      <c r="D3201" s="1212" t="s">
        <v>27</v>
      </c>
      <c r="E3201" s="1213">
        <v>0.45</v>
      </c>
      <c r="F3201" s="1213">
        <f>'MINI SSR 2022-23'!$H$3</f>
        <v>630</v>
      </c>
      <c r="G3201" s="1214">
        <f>ROUND(E3201*F3201,2)</f>
        <v>283.5</v>
      </c>
      <c r="H3201" s="1205" t="s">
        <v>2322</v>
      </c>
    </row>
    <row r="3202" spans="1:8" hidden="1">
      <c r="A3202" s="1212"/>
      <c r="B3202" s="1212"/>
      <c r="C3202" s="1752" t="s">
        <v>69</v>
      </c>
      <c r="D3202" s="1212" t="s">
        <v>27</v>
      </c>
      <c r="E3202" s="1213">
        <v>1.05</v>
      </c>
      <c r="F3202" s="1213">
        <f>'MINI SSR 2022-23'!$H$4</f>
        <v>565</v>
      </c>
      <c r="G3202" s="1214">
        <f>ROUND(E3202*F3202,2)</f>
        <v>593.25</v>
      </c>
      <c r="H3202" s="1205" t="s">
        <v>2322</v>
      </c>
    </row>
    <row r="3203" spans="1:8" hidden="1">
      <c r="A3203" s="1212"/>
      <c r="B3203" s="1212"/>
      <c r="C3203" s="1752" t="s">
        <v>85</v>
      </c>
      <c r="D3203" s="1212" t="s">
        <v>27</v>
      </c>
      <c r="E3203" s="1213">
        <v>2.8</v>
      </c>
      <c r="F3203" s="1213">
        <f>'MINI SSR 2022-23'!$H$5</f>
        <v>525</v>
      </c>
      <c r="G3203" s="1214">
        <f>ROUND(E3203*F3203,2)</f>
        <v>1470</v>
      </c>
      <c r="H3203" s="1205" t="s">
        <v>2322</v>
      </c>
    </row>
    <row r="3204" spans="1:8" hidden="1">
      <c r="A3204" s="1212"/>
      <c r="B3204" s="1212"/>
      <c r="C3204" s="1754" t="s">
        <v>88</v>
      </c>
      <c r="D3204" s="1212"/>
      <c r="E3204" s="1212"/>
      <c r="F3204" s="1212"/>
      <c r="G3204" s="1222">
        <f>SUM(G3199:G3203)</f>
        <v>2851.56</v>
      </c>
      <c r="H3204" s="1205" t="s">
        <v>2322</v>
      </c>
    </row>
    <row r="3205" spans="1:8" hidden="1">
      <c r="A3205" s="1212"/>
      <c r="B3205" s="1212"/>
      <c r="C3205" s="1754"/>
      <c r="D3205" s="1212"/>
      <c r="E3205" s="1218" t="s">
        <v>161</v>
      </c>
      <c r="F3205" s="1218" t="s">
        <v>162</v>
      </c>
      <c r="G3205" s="1217" t="s">
        <v>163</v>
      </c>
      <c r="H3205" s="1205" t="s">
        <v>2322</v>
      </c>
    </row>
    <row r="3206" spans="1:8" hidden="1">
      <c r="A3206" s="1212"/>
      <c r="B3206" s="1212"/>
      <c r="C3206" s="1754" t="s">
        <v>1274</v>
      </c>
      <c r="D3206" s="1212"/>
      <c r="E3206" s="1213">
        <f>G3204</f>
        <v>2851.56</v>
      </c>
      <c r="F3206" s="1213">
        <f>G3204</f>
        <v>2851.56</v>
      </c>
      <c r="G3206" s="1215">
        <f>G3204</f>
        <v>2851.56</v>
      </c>
      <c r="H3206" s="1205" t="s">
        <v>2322</v>
      </c>
    </row>
    <row r="3207" spans="1:8" hidden="1">
      <c r="A3207" s="1212"/>
      <c r="B3207" s="1212"/>
      <c r="C3207" s="1752" t="s">
        <v>1653</v>
      </c>
      <c r="D3207" s="1213">
        <v>10</v>
      </c>
      <c r="E3207" s="1213">
        <f>D3207*'MINI SSR 2022-23'!E36</f>
        <v>10.8</v>
      </c>
      <c r="F3207" s="1213">
        <f>E3207</f>
        <v>10.8</v>
      </c>
      <c r="G3207" s="1215">
        <f>E3207</f>
        <v>10.8</v>
      </c>
      <c r="H3207" s="1205" t="s">
        <v>2322</v>
      </c>
    </row>
    <row r="3208" spans="1:8" hidden="1">
      <c r="A3208" s="1212"/>
      <c r="B3208" s="1212"/>
      <c r="C3208" s="1752" t="s">
        <v>1655</v>
      </c>
      <c r="D3208" s="1213">
        <v>10</v>
      </c>
      <c r="E3208" s="1213">
        <f>ROUND(D3208*'MINI SSR 2022-23'!F36,2)</f>
        <v>84.7</v>
      </c>
      <c r="F3208" s="1213">
        <f>ROUND(D3208*'MINI SSR 2022-23'!G36,2)</f>
        <v>121.2</v>
      </c>
      <c r="G3208" s="1215">
        <f>ROUND(D3208*'MINI SSR 2022-23'!H36,2)</f>
        <v>157.69999999999999</v>
      </c>
      <c r="H3208" s="1205" t="s">
        <v>2322</v>
      </c>
    </row>
    <row r="3209" spans="1:8" ht="25.5" hidden="1">
      <c r="A3209" s="1212"/>
      <c r="B3209" s="1212"/>
      <c r="C3209" s="1752" t="s">
        <v>1286</v>
      </c>
      <c r="D3209" s="1212"/>
      <c r="E3209" s="1212"/>
      <c r="F3209" s="1213">
        <f>ROUND((G3201+G3202+G3203+F3208)*0.1,2)</f>
        <v>246.8</v>
      </c>
      <c r="G3209" s="1215">
        <f>ROUND((G3201+G3202+G3203+G3208)*0.2,2)</f>
        <v>500.89</v>
      </c>
      <c r="H3209" s="1205" t="s">
        <v>2322</v>
      </c>
    </row>
    <row r="3210" spans="1:8" hidden="1">
      <c r="A3210" s="1212"/>
      <c r="B3210" s="1212"/>
      <c r="C3210" s="1754" t="s">
        <v>88</v>
      </c>
      <c r="D3210" s="1212"/>
      <c r="E3210" s="1213">
        <f>SUM(E3206:E3209)</f>
        <v>2947.06</v>
      </c>
      <c r="F3210" s="1213">
        <f>SUM(F3206:F3209)</f>
        <v>3230.36</v>
      </c>
      <c r="G3210" s="1215">
        <f>SUM(G3206:G3209)</f>
        <v>3520.95</v>
      </c>
      <c r="H3210" s="1205" t="s">
        <v>2322</v>
      </c>
    </row>
    <row r="3211" spans="1:8" hidden="1">
      <c r="A3211" s="1212"/>
      <c r="B3211" s="1212"/>
      <c r="C3211" s="1754" t="s">
        <v>121</v>
      </c>
      <c r="D3211" s="1212"/>
      <c r="E3211" s="1217">
        <f>ROUND(E3210/10,2)</f>
        <v>294.70999999999998</v>
      </c>
      <c r="F3211" s="1217">
        <f>ROUND(F3210/10,2)</f>
        <v>323.04000000000002</v>
      </c>
      <c r="G3211" s="1222">
        <f>ROUND(G3210/10,2)</f>
        <v>352.1</v>
      </c>
      <c r="H3211" s="1205" t="s">
        <v>2322</v>
      </c>
    </row>
    <row r="3212" spans="1:8" ht="89.25" hidden="1">
      <c r="A3212" s="1156">
        <v>6</v>
      </c>
      <c r="B3212" s="1218" t="s">
        <v>89</v>
      </c>
      <c r="C3212" s="1752" t="s">
        <v>1306</v>
      </c>
      <c r="D3212" s="1212"/>
      <c r="E3212" s="1212"/>
      <c r="F3212" s="1212"/>
      <c r="G3212" s="1218"/>
      <c r="H3212" s="1205" t="s">
        <v>2322</v>
      </c>
    </row>
    <row r="3213" spans="1:8" hidden="1">
      <c r="A3213" s="1156"/>
      <c r="B3213" s="1218"/>
      <c r="C3213" s="1754" t="s">
        <v>42</v>
      </c>
      <c r="D3213" s="1212"/>
      <c r="E3213" s="1212"/>
      <c r="F3213" s="1212"/>
      <c r="G3213" s="1215"/>
      <c r="H3213" s="1205" t="s">
        <v>2322</v>
      </c>
    </row>
    <row r="3214" spans="1:8" hidden="1">
      <c r="A3214" s="1156"/>
      <c r="B3214" s="1218"/>
      <c r="C3214" s="1754" t="s">
        <v>60</v>
      </c>
      <c r="D3214" s="1212"/>
      <c r="E3214" s="1212"/>
      <c r="F3214" s="1212"/>
      <c r="G3214" s="1215"/>
      <c r="H3214" s="1205" t="s">
        <v>2322</v>
      </c>
    </row>
    <row r="3215" spans="1:8" hidden="1">
      <c r="A3215" s="1156"/>
      <c r="B3215" s="1218"/>
      <c r="C3215" s="1752" t="s">
        <v>48</v>
      </c>
      <c r="D3215" s="1212" t="s">
        <v>35</v>
      </c>
      <c r="E3215" s="1213">
        <v>0.21</v>
      </c>
      <c r="F3215" s="1213">
        <f>G2772</f>
        <v>3365.3999999999996</v>
      </c>
      <c r="G3215" s="1214">
        <f>ROUND(E3215*F3215,2)</f>
        <v>706.73</v>
      </c>
      <c r="H3215" s="1205" t="s">
        <v>2322</v>
      </c>
    </row>
    <row r="3216" spans="1:8" hidden="1">
      <c r="A3216" s="1212"/>
      <c r="B3216" s="1212"/>
      <c r="C3216" s="1754" t="s">
        <v>68</v>
      </c>
      <c r="D3216" s="1212"/>
      <c r="E3216" s="1213"/>
      <c r="F3216" s="1213"/>
      <c r="G3216" s="1214"/>
      <c r="H3216" s="1205" t="s">
        <v>2322</v>
      </c>
    </row>
    <row r="3217" spans="1:8" hidden="1">
      <c r="A3217" s="1212"/>
      <c r="B3217" s="1212"/>
      <c r="C3217" s="1752" t="s">
        <v>64</v>
      </c>
      <c r="D3217" s="1212" t="s">
        <v>27</v>
      </c>
      <c r="E3217" s="1213">
        <v>0.45</v>
      </c>
      <c r="F3217" s="1213">
        <f>'MINI SSR 2022-23'!$H$3</f>
        <v>630</v>
      </c>
      <c r="G3217" s="1214">
        <f>ROUND(E3217*F3217,2)</f>
        <v>283.5</v>
      </c>
      <c r="H3217" s="1205" t="s">
        <v>2322</v>
      </c>
    </row>
    <row r="3218" spans="1:8" hidden="1">
      <c r="A3218" s="1212"/>
      <c r="B3218" s="1212"/>
      <c r="C3218" s="1752" t="s">
        <v>69</v>
      </c>
      <c r="D3218" s="1212" t="s">
        <v>27</v>
      </c>
      <c r="E3218" s="1213">
        <v>1.05</v>
      </c>
      <c r="F3218" s="1213">
        <f>'MINI SSR 2022-23'!$H$4</f>
        <v>565</v>
      </c>
      <c r="G3218" s="1214">
        <f>ROUND(E3218*F3218,2)</f>
        <v>593.25</v>
      </c>
      <c r="H3218" s="1205" t="s">
        <v>2322</v>
      </c>
    </row>
    <row r="3219" spans="1:8" hidden="1">
      <c r="A3219" s="1212"/>
      <c r="B3219" s="1212"/>
      <c r="C3219" s="1752" t="s">
        <v>85</v>
      </c>
      <c r="D3219" s="1212" t="s">
        <v>27</v>
      </c>
      <c r="E3219" s="1213">
        <v>2.8</v>
      </c>
      <c r="F3219" s="1213">
        <f>'MINI SSR 2022-23'!$H$5</f>
        <v>525</v>
      </c>
      <c r="G3219" s="1214">
        <f>ROUND(E3219*F3219,2)</f>
        <v>1470</v>
      </c>
      <c r="H3219" s="1205" t="s">
        <v>2322</v>
      </c>
    </row>
    <row r="3220" spans="1:8" hidden="1">
      <c r="A3220" s="1212"/>
      <c r="B3220" s="1212"/>
      <c r="C3220" s="1754" t="s">
        <v>88</v>
      </c>
      <c r="D3220" s="1212"/>
      <c r="E3220" s="1212"/>
      <c r="F3220" s="1212"/>
      <c r="G3220" s="1222">
        <f>SUM(G3215:G3219)</f>
        <v>3053.48</v>
      </c>
      <c r="H3220" s="1205" t="s">
        <v>2322</v>
      </c>
    </row>
    <row r="3221" spans="1:8" hidden="1">
      <c r="A3221" s="1212"/>
      <c r="B3221" s="1212"/>
      <c r="C3221" s="1754"/>
      <c r="D3221" s="1212"/>
      <c r="E3221" s="1218" t="s">
        <v>161</v>
      </c>
      <c r="F3221" s="1218" t="s">
        <v>162</v>
      </c>
      <c r="G3221" s="1217" t="s">
        <v>163</v>
      </c>
      <c r="H3221" s="1205" t="s">
        <v>2322</v>
      </c>
    </row>
    <row r="3222" spans="1:8" hidden="1">
      <c r="A3222" s="1212"/>
      <c r="B3222" s="1212"/>
      <c r="C3222" s="1754" t="s">
        <v>1274</v>
      </c>
      <c r="D3222" s="1212"/>
      <c r="E3222" s="1213">
        <f>G3220</f>
        <v>3053.48</v>
      </c>
      <c r="F3222" s="1213">
        <f>G3220</f>
        <v>3053.48</v>
      </c>
      <c r="G3222" s="1215">
        <f>G3220</f>
        <v>3053.48</v>
      </c>
      <c r="H3222" s="1205" t="s">
        <v>2322</v>
      </c>
    </row>
    <row r="3223" spans="1:8" hidden="1">
      <c r="A3223" s="1212"/>
      <c r="B3223" s="1212"/>
      <c r="C3223" s="1752" t="s">
        <v>1653</v>
      </c>
      <c r="D3223" s="1213">
        <v>10</v>
      </c>
      <c r="E3223" s="1213">
        <f>D3223*'MINI SSR 2022-23'!$E$36</f>
        <v>10.8</v>
      </c>
      <c r="F3223" s="1213">
        <f>E3223</f>
        <v>10.8</v>
      </c>
      <c r="G3223" s="1215">
        <f>E3223</f>
        <v>10.8</v>
      </c>
      <c r="H3223" s="1205" t="s">
        <v>2322</v>
      </c>
    </row>
    <row r="3224" spans="1:8" hidden="1">
      <c r="A3224" s="1212"/>
      <c r="B3224" s="1212"/>
      <c r="C3224" s="1752" t="s">
        <v>1656</v>
      </c>
      <c r="D3224" s="1213">
        <v>10</v>
      </c>
      <c r="E3224" s="1213">
        <f>ROUND(D3224*'MINI SSR 2022-23'!F36,2)</f>
        <v>84.7</v>
      </c>
      <c r="F3224" s="1213">
        <f>ROUND(D3224*'MINI SSR 2022-23'!G36,2)</f>
        <v>121.2</v>
      </c>
      <c r="G3224" s="1215">
        <f>ROUND(D3224*'MINI SSR 2022-23'!H36,2)</f>
        <v>157.69999999999999</v>
      </c>
      <c r="H3224" s="1205" t="s">
        <v>2322</v>
      </c>
    </row>
    <row r="3225" spans="1:8" ht="25.5" hidden="1">
      <c r="A3225" s="1212"/>
      <c r="B3225" s="1212"/>
      <c r="C3225" s="1752" t="s">
        <v>1286</v>
      </c>
      <c r="D3225" s="1212"/>
      <c r="E3225" s="1212"/>
      <c r="F3225" s="1213">
        <f>ROUND((G3217+G3218+G3219+F3224)*0.1,2)</f>
        <v>246.8</v>
      </c>
      <c r="G3225" s="1215">
        <f>ROUND((G3217+G3218+G3219+G3224)*0.2,2)</f>
        <v>500.89</v>
      </c>
      <c r="H3225" s="1205" t="s">
        <v>2322</v>
      </c>
    </row>
    <row r="3226" spans="1:8" hidden="1">
      <c r="A3226" s="1212"/>
      <c r="B3226" s="1212"/>
      <c r="C3226" s="1754" t="s">
        <v>88</v>
      </c>
      <c r="D3226" s="1212"/>
      <c r="E3226" s="1213">
        <f>SUM(E3222:E3225)</f>
        <v>3148.98</v>
      </c>
      <c r="F3226" s="1213">
        <f>SUM(F3222:F3225)</f>
        <v>3432.28</v>
      </c>
      <c r="G3226" s="1215">
        <f>SUM(G3222:G3225)</f>
        <v>3722.87</v>
      </c>
      <c r="H3226" s="1205" t="s">
        <v>2322</v>
      </c>
    </row>
    <row r="3227" spans="1:8" hidden="1">
      <c r="A3227" s="1212"/>
      <c r="B3227" s="1212"/>
      <c r="C3227" s="1754" t="s">
        <v>121</v>
      </c>
      <c r="D3227" s="1212"/>
      <c r="E3227" s="1217">
        <f>ROUND(E3226/10,2)</f>
        <v>314.89999999999998</v>
      </c>
      <c r="F3227" s="1217">
        <f>ROUND(F3226/10,2)</f>
        <v>343.23</v>
      </c>
      <c r="G3227" s="1222">
        <f>ROUND(G3226/10,2)</f>
        <v>372.29</v>
      </c>
      <c r="H3227" s="1205" t="s">
        <v>2322</v>
      </c>
    </row>
    <row r="3228" spans="1:8" ht="89.25" hidden="1">
      <c r="A3228" s="1156">
        <v>34</v>
      </c>
      <c r="B3228" s="1218" t="s">
        <v>89</v>
      </c>
      <c r="C3228" s="1752" t="s">
        <v>1307</v>
      </c>
      <c r="D3228" s="1212"/>
      <c r="E3228" s="1212"/>
      <c r="F3228" s="1212"/>
      <c r="G3228" s="1218" t="s">
        <v>89</v>
      </c>
      <c r="H3228" s="1205" t="s">
        <v>2322</v>
      </c>
    </row>
    <row r="3229" spans="1:8" hidden="1">
      <c r="A3229" s="1156"/>
      <c r="B3229" s="1218"/>
      <c r="C3229" s="1754" t="s">
        <v>42</v>
      </c>
      <c r="D3229" s="1212"/>
      <c r="E3229" s="1212"/>
      <c r="F3229" s="1212"/>
      <c r="G3229" s="1215"/>
      <c r="H3229" s="1205" t="s">
        <v>2322</v>
      </c>
    </row>
    <row r="3230" spans="1:8" hidden="1">
      <c r="A3230" s="1156"/>
      <c r="B3230" s="1218"/>
      <c r="C3230" s="1754" t="s">
        <v>60</v>
      </c>
      <c r="D3230" s="1212"/>
      <c r="E3230" s="1212"/>
      <c r="F3230" s="1212"/>
      <c r="G3230" s="1215"/>
      <c r="H3230" s="1205" t="s">
        <v>2322</v>
      </c>
    </row>
    <row r="3231" spans="1:8" hidden="1">
      <c r="A3231" s="1156"/>
      <c r="B3231" s="1218"/>
      <c r="C3231" s="1752" t="s">
        <v>43</v>
      </c>
      <c r="D3231" s="1212" t="s">
        <v>35</v>
      </c>
      <c r="E3231" s="1213">
        <v>0.21</v>
      </c>
      <c r="F3231" s="1213">
        <f>G2762</f>
        <v>4267.8</v>
      </c>
      <c r="G3231" s="1214">
        <f>ROUND(E3231*F3231,2)</f>
        <v>896.24</v>
      </c>
      <c r="H3231" s="1205" t="s">
        <v>2322</v>
      </c>
    </row>
    <row r="3232" spans="1:8" hidden="1">
      <c r="A3232" s="1212"/>
      <c r="B3232" s="1212"/>
      <c r="C3232" s="1754" t="s">
        <v>68</v>
      </c>
      <c r="D3232" s="1212"/>
      <c r="E3232" s="1213"/>
      <c r="F3232" s="1213"/>
      <c r="G3232" s="1214"/>
      <c r="H3232" s="1205" t="s">
        <v>2322</v>
      </c>
    </row>
    <row r="3233" spans="1:8" hidden="1">
      <c r="A3233" s="1212"/>
      <c r="B3233" s="1212"/>
      <c r="C3233" s="1752" t="s">
        <v>64</v>
      </c>
      <c r="D3233" s="1212" t="s">
        <v>27</v>
      </c>
      <c r="E3233" s="1213">
        <v>0.45</v>
      </c>
      <c r="F3233" s="1213">
        <f>'MINI SSR 2022-23'!$H$3</f>
        <v>630</v>
      </c>
      <c r="G3233" s="1214">
        <f>ROUND(E3233*F3233,2)</f>
        <v>283.5</v>
      </c>
      <c r="H3233" s="1205" t="s">
        <v>2322</v>
      </c>
    </row>
    <row r="3234" spans="1:8" hidden="1">
      <c r="A3234" s="1212"/>
      <c r="B3234" s="1212"/>
      <c r="C3234" s="1752" t="s">
        <v>69</v>
      </c>
      <c r="D3234" s="1212" t="s">
        <v>27</v>
      </c>
      <c r="E3234" s="1213">
        <v>1.05</v>
      </c>
      <c r="F3234" s="1213">
        <f>'MINI SSR 2022-23'!$H$4</f>
        <v>565</v>
      </c>
      <c r="G3234" s="1214">
        <f>ROUND(E3234*F3234,2)</f>
        <v>593.25</v>
      </c>
      <c r="H3234" s="1205" t="s">
        <v>2322</v>
      </c>
    </row>
    <row r="3235" spans="1:8" hidden="1">
      <c r="A3235" s="1212"/>
      <c r="B3235" s="1212"/>
      <c r="C3235" s="1752" t="s">
        <v>85</v>
      </c>
      <c r="D3235" s="1212" t="s">
        <v>27</v>
      </c>
      <c r="E3235" s="1213">
        <v>2.8</v>
      </c>
      <c r="F3235" s="1213">
        <f>'MINI SSR 2022-23'!$H$5</f>
        <v>525</v>
      </c>
      <c r="G3235" s="1214">
        <f>ROUND(E3235*F3235,2)</f>
        <v>1470</v>
      </c>
      <c r="H3235" s="1205" t="s">
        <v>2322</v>
      </c>
    </row>
    <row r="3236" spans="1:8" hidden="1">
      <c r="A3236" s="1212"/>
      <c r="B3236" s="1212"/>
      <c r="C3236" s="1754" t="s">
        <v>88</v>
      </c>
      <c r="D3236" s="1212"/>
      <c r="E3236" s="1212"/>
      <c r="F3236" s="1212"/>
      <c r="G3236" s="1222">
        <f>SUM(G3231:G3235)</f>
        <v>3242.99</v>
      </c>
      <c r="H3236" s="1205" t="s">
        <v>2322</v>
      </c>
    </row>
    <row r="3237" spans="1:8" hidden="1">
      <c r="A3237" s="1212"/>
      <c r="B3237" s="1212"/>
      <c r="C3237" s="1754"/>
      <c r="D3237" s="1212"/>
      <c r="E3237" s="1218" t="s">
        <v>161</v>
      </c>
      <c r="F3237" s="1218" t="s">
        <v>162</v>
      </c>
      <c r="G3237" s="1217" t="s">
        <v>163</v>
      </c>
      <c r="H3237" s="1205" t="s">
        <v>2322</v>
      </c>
    </row>
    <row r="3238" spans="1:8" hidden="1">
      <c r="A3238" s="1212"/>
      <c r="B3238" s="1212"/>
      <c r="C3238" s="1754" t="s">
        <v>1274</v>
      </c>
      <c r="D3238" s="1212"/>
      <c r="E3238" s="1213">
        <f>G3236</f>
        <v>3242.99</v>
      </c>
      <c r="F3238" s="1213">
        <f>G3236</f>
        <v>3242.99</v>
      </c>
      <c r="G3238" s="1215">
        <f>G3236</f>
        <v>3242.99</v>
      </c>
      <c r="H3238" s="1205" t="s">
        <v>2322</v>
      </c>
    </row>
    <row r="3239" spans="1:8" hidden="1">
      <c r="A3239" s="1212"/>
      <c r="B3239" s="1212"/>
      <c r="C3239" s="1752" t="s">
        <v>1653</v>
      </c>
      <c r="D3239" s="1213">
        <v>10</v>
      </c>
      <c r="E3239" s="1213">
        <f>D3239*'MINI SSR 2022-23'!$E$36</f>
        <v>10.8</v>
      </c>
      <c r="F3239" s="1213">
        <f>E3239</f>
        <v>10.8</v>
      </c>
      <c r="G3239" s="1215">
        <f>E3239</f>
        <v>10.8</v>
      </c>
      <c r="H3239" s="1205" t="s">
        <v>2322</v>
      </c>
    </row>
    <row r="3240" spans="1:8" hidden="1">
      <c r="A3240" s="1212"/>
      <c r="B3240" s="1212"/>
      <c r="C3240" s="1752" t="s">
        <v>1656</v>
      </c>
      <c r="D3240" s="1213">
        <v>10</v>
      </c>
      <c r="E3240" s="1213">
        <f>ROUND(D3240*'MINI SSR 2022-23'!F36,2)</f>
        <v>84.7</v>
      </c>
      <c r="F3240" s="1213">
        <f>ROUND(D3240*'MINI SSR 2022-23'!G36,2)</f>
        <v>121.2</v>
      </c>
      <c r="G3240" s="1215">
        <f>ROUND(D3240*'MINI SSR 2022-23'!H36,2)</f>
        <v>157.69999999999999</v>
      </c>
      <c r="H3240" s="1205" t="s">
        <v>2322</v>
      </c>
    </row>
    <row r="3241" spans="1:8" ht="25.5" hidden="1">
      <c r="A3241" s="1212"/>
      <c r="B3241" s="1212"/>
      <c r="C3241" s="1752" t="s">
        <v>1286</v>
      </c>
      <c r="D3241" s="1212"/>
      <c r="E3241" s="1212"/>
      <c r="F3241" s="1213">
        <f>ROUND((G3233+G3234+G3235+F3240)*0.1,2)</f>
        <v>246.8</v>
      </c>
      <c r="G3241" s="1215">
        <f>ROUND((G3233+G3234+G3235+G3240)*0.2,2)</f>
        <v>500.89</v>
      </c>
      <c r="H3241" s="1205" t="s">
        <v>2322</v>
      </c>
    </row>
    <row r="3242" spans="1:8" hidden="1">
      <c r="A3242" s="1212"/>
      <c r="B3242" s="1212"/>
      <c r="C3242" s="1754" t="s">
        <v>88</v>
      </c>
      <c r="D3242" s="1212"/>
      <c r="E3242" s="1213">
        <f>SUM(E3238:E3241)</f>
        <v>3338.49</v>
      </c>
      <c r="F3242" s="1213">
        <f>SUM(F3238:F3241)</f>
        <v>3621.79</v>
      </c>
      <c r="G3242" s="1215">
        <f>SUM(G3238:G3241)</f>
        <v>3912.3799999999997</v>
      </c>
      <c r="H3242" s="1205" t="s">
        <v>2322</v>
      </c>
    </row>
    <row r="3243" spans="1:8" hidden="1">
      <c r="A3243" s="1212"/>
      <c r="B3243" s="1212"/>
      <c r="C3243" s="1754" t="s">
        <v>121</v>
      </c>
      <c r="D3243" s="1212"/>
      <c r="E3243" s="1217">
        <f>ROUND(E3242/10,2)</f>
        <v>333.85</v>
      </c>
      <c r="F3243" s="1217">
        <f>ROUND(F3242/10,2)</f>
        <v>362.18</v>
      </c>
      <c r="G3243" s="1222">
        <f>ROUND(G3242/10,2)</f>
        <v>391.24</v>
      </c>
      <c r="H3243" s="1205" t="s">
        <v>2322</v>
      </c>
    </row>
    <row r="3244" spans="1:8" ht="102" hidden="1">
      <c r="A3244" s="1156">
        <v>21</v>
      </c>
      <c r="B3244" s="1218" t="s">
        <v>1348</v>
      </c>
      <c r="C3244" s="1752" t="s">
        <v>808</v>
      </c>
      <c r="D3244" s="1212"/>
      <c r="E3244" s="1212"/>
      <c r="F3244" s="1212"/>
      <c r="G3244" s="1218"/>
      <c r="H3244" s="1205" t="s">
        <v>2322</v>
      </c>
    </row>
    <row r="3245" spans="1:8" hidden="1">
      <c r="A3245" s="1156"/>
      <c r="B3245" s="1218"/>
      <c r="C3245" s="1754" t="s">
        <v>42</v>
      </c>
      <c r="D3245" s="1212"/>
      <c r="E3245" s="1212"/>
      <c r="F3245" s="1212"/>
      <c r="G3245" s="1215"/>
      <c r="H3245" s="1205" t="s">
        <v>2322</v>
      </c>
    </row>
    <row r="3246" spans="1:8" hidden="1">
      <c r="A3246" s="1156"/>
      <c r="B3246" s="1218"/>
      <c r="C3246" s="1754" t="s">
        <v>317</v>
      </c>
      <c r="D3246" s="1212"/>
      <c r="E3246" s="1212"/>
      <c r="F3246" s="1212"/>
      <c r="G3246" s="1215"/>
      <c r="H3246" s="1205" t="s">
        <v>2322</v>
      </c>
    </row>
    <row r="3247" spans="1:8" hidden="1">
      <c r="A3247" s="1156"/>
      <c r="B3247" s="1218"/>
      <c r="C3247" s="1752" t="s">
        <v>107</v>
      </c>
      <c r="D3247" s="1212" t="s">
        <v>4</v>
      </c>
      <c r="E3247" s="1213">
        <v>31.7</v>
      </c>
      <c r="F3247" s="1213">
        <f>'lead 22-23'!L8</f>
        <v>4700</v>
      </c>
      <c r="G3247" s="1214">
        <f>ROUND(E3247*F3247/1000,2)</f>
        <v>148.99</v>
      </c>
      <c r="H3247" s="1205" t="s">
        <v>2322</v>
      </c>
    </row>
    <row r="3248" spans="1:8" hidden="1">
      <c r="A3248" s="1156"/>
      <c r="B3248" s="1218"/>
      <c r="C3248" s="1752" t="s">
        <v>318</v>
      </c>
      <c r="D3248" s="1212" t="s">
        <v>35</v>
      </c>
      <c r="E3248" s="1213">
        <v>0.11</v>
      </c>
      <c r="F3248" s="1213">
        <f>'lead 22-23'!L12</f>
        <v>1815.9999999999998</v>
      </c>
      <c r="G3248" s="1214">
        <f>ROUND(E3248*F3248,2)</f>
        <v>199.76</v>
      </c>
      <c r="H3248" s="1205" t="s">
        <v>2322</v>
      </c>
    </row>
    <row r="3249" spans="1:8" hidden="1">
      <c r="A3249" s="1156"/>
      <c r="B3249" s="1218"/>
      <c r="C3249" s="1754" t="s">
        <v>319</v>
      </c>
      <c r="D3249" s="1212"/>
      <c r="E3249" s="1212"/>
      <c r="F3249" s="1212"/>
      <c r="G3249" s="1215"/>
      <c r="H3249" s="1205" t="s">
        <v>2322</v>
      </c>
    </row>
    <row r="3250" spans="1:8" hidden="1">
      <c r="A3250" s="1156"/>
      <c r="B3250" s="1218"/>
      <c r="C3250" s="1752" t="s">
        <v>107</v>
      </c>
      <c r="D3250" s="1212" t="s">
        <v>4</v>
      </c>
      <c r="E3250" s="1213">
        <v>19.2</v>
      </c>
      <c r="F3250" s="1213">
        <f>F3247</f>
        <v>4700</v>
      </c>
      <c r="G3250" s="1214">
        <f>ROUND(E3250*F3250/1000,2)</f>
        <v>90.24</v>
      </c>
      <c r="H3250" s="1205" t="s">
        <v>2322</v>
      </c>
    </row>
    <row r="3251" spans="1:8" hidden="1">
      <c r="A3251" s="1156"/>
      <c r="B3251" s="1218"/>
      <c r="C3251" s="1752" t="s">
        <v>318</v>
      </c>
      <c r="D3251" s="1212" t="s">
        <v>35</v>
      </c>
      <c r="E3251" s="1213">
        <v>0.04</v>
      </c>
      <c r="F3251" s="1213">
        <f>F3248</f>
        <v>1815.9999999999998</v>
      </c>
      <c r="G3251" s="1214">
        <f>ROUND(E3251*F3251,2)</f>
        <v>72.64</v>
      </c>
      <c r="H3251" s="1205" t="s">
        <v>2322</v>
      </c>
    </row>
    <row r="3252" spans="1:8" hidden="1">
      <c r="A3252" s="1212"/>
      <c r="B3252" s="1212"/>
      <c r="C3252" s="1754" t="s">
        <v>68</v>
      </c>
      <c r="D3252" s="1212"/>
      <c r="E3252" s="1213"/>
      <c r="F3252" s="1213"/>
      <c r="G3252" s="1214"/>
      <c r="H3252" s="1205" t="s">
        <v>2322</v>
      </c>
    </row>
    <row r="3253" spans="1:8" hidden="1">
      <c r="A3253" s="1212"/>
      <c r="B3253" s="1212"/>
      <c r="C3253" s="1752" t="s">
        <v>64</v>
      </c>
      <c r="D3253" s="1212" t="s">
        <v>27</v>
      </c>
      <c r="E3253" s="1213">
        <v>0.63</v>
      </c>
      <c r="F3253" s="1213">
        <f>'MINI SSR 2022-23'!$H$3</f>
        <v>630</v>
      </c>
      <c r="G3253" s="1214">
        <f>ROUND(E3253*F3253,2)</f>
        <v>396.9</v>
      </c>
      <c r="H3253" s="1205" t="s">
        <v>2322</v>
      </c>
    </row>
    <row r="3254" spans="1:8" hidden="1">
      <c r="A3254" s="1212"/>
      <c r="B3254" s="1212"/>
      <c r="C3254" s="1752" t="s">
        <v>69</v>
      </c>
      <c r="D3254" s="1212" t="s">
        <v>27</v>
      </c>
      <c r="E3254" s="1213">
        <v>1.47</v>
      </c>
      <c r="F3254" s="1213">
        <f>'MINI SSR 2022-23'!$H$4</f>
        <v>565</v>
      </c>
      <c r="G3254" s="1214">
        <f>ROUND(E3254*F3254,2)</f>
        <v>830.55</v>
      </c>
      <c r="H3254" s="1205" t="s">
        <v>2322</v>
      </c>
    </row>
    <row r="3255" spans="1:8" hidden="1">
      <c r="A3255" s="1212"/>
      <c r="B3255" s="1212"/>
      <c r="C3255" s="1752" t="s">
        <v>85</v>
      </c>
      <c r="D3255" s="1212" t="s">
        <v>27</v>
      </c>
      <c r="E3255" s="1213">
        <v>3.9</v>
      </c>
      <c r="F3255" s="1213">
        <f>'MINI SSR 2022-23'!$H$5</f>
        <v>525</v>
      </c>
      <c r="G3255" s="1214">
        <f>ROUND(E3255*F3255,2)</f>
        <v>2047.5</v>
      </c>
      <c r="H3255" s="1205" t="s">
        <v>2322</v>
      </c>
    </row>
    <row r="3256" spans="1:8" hidden="1">
      <c r="A3256" s="1212"/>
      <c r="B3256" s="1212"/>
      <c r="C3256" s="1754" t="s">
        <v>88</v>
      </c>
      <c r="D3256" s="1212"/>
      <c r="E3256" s="1212"/>
      <c r="F3256" s="1212"/>
      <c r="G3256" s="1222">
        <f>SUM(G3247:G3255)</f>
        <v>3786.58</v>
      </c>
      <c r="H3256" s="1205" t="s">
        <v>2322</v>
      </c>
    </row>
    <row r="3257" spans="1:8" hidden="1">
      <c r="A3257" s="1212"/>
      <c r="B3257" s="1212"/>
      <c r="C3257" s="1754"/>
      <c r="D3257" s="1212"/>
      <c r="E3257" s="1218" t="s">
        <v>161</v>
      </c>
      <c r="F3257" s="1218" t="s">
        <v>162</v>
      </c>
      <c r="G3257" s="1217" t="s">
        <v>163</v>
      </c>
      <c r="H3257" s="1205" t="s">
        <v>2322</v>
      </c>
    </row>
    <row r="3258" spans="1:8" hidden="1">
      <c r="A3258" s="1212"/>
      <c r="B3258" s="1212"/>
      <c r="C3258" s="1754" t="s">
        <v>1274</v>
      </c>
      <c r="D3258" s="1212"/>
      <c r="E3258" s="1213">
        <f>G3256</f>
        <v>3786.58</v>
      </c>
      <c r="F3258" s="1213">
        <f>G3256</f>
        <v>3786.58</v>
      </c>
      <c r="G3258" s="1215">
        <f>F3258</f>
        <v>3786.58</v>
      </c>
      <c r="H3258" s="1205" t="s">
        <v>2322</v>
      </c>
    </row>
    <row r="3259" spans="1:8" hidden="1">
      <c r="A3259" s="1212"/>
      <c r="B3259" s="1212"/>
      <c r="C3259" s="1752" t="s">
        <v>1653</v>
      </c>
      <c r="D3259" s="1213">
        <v>10</v>
      </c>
      <c r="E3259" s="1213">
        <f>D3259*'MINI SSR 2022-23'!$E$36</f>
        <v>10.8</v>
      </c>
      <c r="F3259" s="1213">
        <f>E3259</f>
        <v>10.8</v>
      </c>
      <c r="G3259" s="1215">
        <f>F3259</f>
        <v>10.8</v>
      </c>
      <c r="H3259" s="1205" t="s">
        <v>2322</v>
      </c>
    </row>
    <row r="3260" spans="1:8" hidden="1">
      <c r="A3260" s="1212"/>
      <c r="B3260" s="1212"/>
      <c r="C3260" s="1752" t="s">
        <v>1654</v>
      </c>
      <c r="D3260" s="1213">
        <v>10</v>
      </c>
      <c r="E3260" s="1213">
        <f>ROUND(D3260*'MINI SSR 2022-23'!F36,2)</f>
        <v>84.7</v>
      </c>
      <c r="F3260" s="1213">
        <f>ROUND(D3260*'MINI SSR 2022-23'!G36,2)</f>
        <v>121.2</v>
      </c>
      <c r="G3260" s="1215">
        <f>ROUND(D3260*'MINI SSR 2022-23'!H36,2)</f>
        <v>157.69999999999999</v>
      </c>
      <c r="H3260" s="1205" t="s">
        <v>2322</v>
      </c>
    </row>
    <row r="3261" spans="1:8" ht="25.5" hidden="1">
      <c r="A3261" s="1212"/>
      <c r="B3261" s="1212"/>
      <c r="C3261" s="1752" t="s">
        <v>1286</v>
      </c>
      <c r="D3261" s="1212"/>
      <c r="E3261" s="1212"/>
      <c r="F3261" s="1213">
        <f>ROUND((G3253+G3254+G3255+F3260)*0.1,2)</f>
        <v>339.62</v>
      </c>
      <c r="G3261" s="1215">
        <f>ROUND((G3253+G3254+G3255+G3260)*0.2,2)</f>
        <v>686.53</v>
      </c>
      <c r="H3261" s="1205" t="s">
        <v>2322</v>
      </c>
    </row>
    <row r="3262" spans="1:8" hidden="1">
      <c r="A3262" s="1212"/>
      <c r="B3262" s="1212"/>
      <c r="C3262" s="1754" t="s">
        <v>88</v>
      </c>
      <c r="D3262" s="1212"/>
      <c r="E3262" s="1213">
        <f>SUM(E3258:E3261)</f>
        <v>3882.08</v>
      </c>
      <c r="F3262" s="1213">
        <f>SUM(F3258:F3261)</f>
        <v>4258.2</v>
      </c>
      <c r="G3262" s="1215">
        <f>SUM(G3258:G3261)</f>
        <v>4641.6099999999997</v>
      </c>
      <c r="H3262" s="1205" t="s">
        <v>2322</v>
      </c>
    </row>
    <row r="3263" spans="1:8" hidden="1">
      <c r="A3263" s="1212"/>
      <c r="B3263" s="1212"/>
      <c r="C3263" s="1754" t="s">
        <v>121</v>
      </c>
      <c r="D3263" s="1212"/>
      <c r="E3263" s="1217">
        <f>ROUND(E3262/10,2)</f>
        <v>388.21</v>
      </c>
      <c r="F3263" s="1217">
        <f>ROUND(F3262/10,2)</f>
        <v>425.82</v>
      </c>
      <c r="G3263" s="1222">
        <f>ROUND(G3262/10,2)</f>
        <v>464.16</v>
      </c>
      <c r="H3263" s="1205" t="s">
        <v>2322</v>
      </c>
    </row>
    <row r="3264" spans="1:8" ht="102" hidden="1">
      <c r="A3264" s="1156">
        <v>22</v>
      </c>
      <c r="B3264" s="1218" t="s">
        <v>1349</v>
      </c>
      <c r="C3264" s="1752" t="s">
        <v>316</v>
      </c>
      <c r="D3264" s="1212"/>
      <c r="E3264" s="1212"/>
      <c r="F3264" s="1212"/>
      <c r="G3264" s="1218"/>
      <c r="H3264" s="1205" t="s">
        <v>2322</v>
      </c>
    </row>
    <row r="3265" spans="1:8" hidden="1">
      <c r="A3265" s="1156"/>
      <c r="B3265" s="1218"/>
      <c r="C3265" s="1754" t="s">
        <v>42</v>
      </c>
      <c r="D3265" s="1212"/>
      <c r="E3265" s="1212"/>
      <c r="F3265" s="1212"/>
      <c r="G3265" s="1215"/>
      <c r="H3265" s="1205" t="s">
        <v>2322</v>
      </c>
    </row>
    <row r="3266" spans="1:8" hidden="1">
      <c r="A3266" s="1156"/>
      <c r="B3266" s="1218"/>
      <c r="C3266" s="1754" t="s">
        <v>317</v>
      </c>
      <c r="D3266" s="1212"/>
      <c r="E3266" s="1212"/>
      <c r="F3266" s="1212"/>
      <c r="G3266" s="1215"/>
      <c r="H3266" s="1205" t="s">
        <v>2322</v>
      </c>
    </row>
    <row r="3267" spans="1:8" hidden="1">
      <c r="A3267" s="1156"/>
      <c r="B3267" s="1218"/>
      <c r="C3267" s="1752" t="s">
        <v>107</v>
      </c>
      <c r="D3267" s="1212" t="s">
        <v>4</v>
      </c>
      <c r="E3267" s="1213">
        <v>43</v>
      </c>
      <c r="F3267" s="1213">
        <f>F3247</f>
        <v>4700</v>
      </c>
      <c r="G3267" s="1214">
        <f>ROUND(E3267*F3267/1000,2)</f>
        <v>202.1</v>
      </c>
      <c r="H3267" s="1205" t="s">
        <v>2322</v>
      </c>
    </row>
    <row r="3268" spans="1:8" hidden="1">
      <c r="A3268" s="1156"/>
      <c r="B3268" s="1218"/>
      <c r="C3268" s="1752" t="s">
        <v>318</v>
      </c>
      <c r="D3268" s="1212" t="s">
        <v>35</v>
      </c>
      <c r="E3268" s="1213">
        <v>0.18</v>
      </c>
      <c r="F3268" s="1213">
        <f>F3248</f>
        <v>1815.9999999999998</v>
      </c>
      <c r="G3268" s="1214">
        <f>ROUND(E3268*F3268,2)</f>
        <v>326.88</v>
      </c>
      <c r="H3268" s="1205" t="s">
        <v>2322</v>
      </c>
    </row>
    <row r="3269" spans="1:8" hidden="1">
      <c r="A3269" s="1156"/>
      <c r="B3269" s="1218"/>
      <c r="C3269" s="1754" t="s">
        <v>319</v>
      </c>
      <c r="D3269" s="1212"/>
      <c r="E3269" s="1212"/>
      <c r="F3269" s="1212"/>
      <c r="G3269" s="1215"/>
      <c r="H3269" s="1205" t="s">
        <v>2322</v>
      </c>
    </row>
    <row r="3270" spans="1:8" hidden="1">
      <c r="A3270" s="1156"/>
      <c r="B3270" s="1218"/>
      <c r="C3270" s="1752" t="s">
        <v>107</v>
      </c>
      <c r="D3270" s="1212" t="s">
        <v>4</v>
      </c>
      <c r="E3270" s="1213">
        <v>14.5</v>
      </c>
      <c r="F3270" s="1213">
        <f>F3267</f>
        <v>4700</v>
      </c>
      <c r="G3270" s="1214">
        <f>ROUND(E3270*F3270/1000,2)</f>
        <v>68.150000000000006</v>
      </c>
      <c r="H3270" s="1205" t="s">
        <v>2322</v>
      </c>
    </row>
    <row r="3271" spans="1:8" hidden="1">
      <c r="A3271" s="1156"/>
      <c r="B3271" s="1218"/>
      <c r="C3271" s="1752" t="s">
        <v>318</v>
      </c>
      <c r="D3271" s="1212" t="s">
        <v>35</v>
      </c>
      <c r="E3271" s="1213">
        <v>0.04</v>
      </c>
      <c r="F3271" s="1213">
        <f>F3268</f>
        <v>1815.9999999999998</v>
      </c>
      <c r="G3271" s="1214">
        <f>ROUND(E3271*F3271,2)</f>
        <v>72.64</v>
      </c>
      <c r="H3271" s="1205" t="s">
        <v>2322</v>
      </c>
    </row>
    <row r="3272" spans="1:8" hidden="1">
      <c r="A3272" s="1212"/>
      <c r="B3272" s="1212"/>
      <c r="C3272" s="1754" t="s">
        <v>68</v>
      </c>
      <c r="D3272" s="1212"/>
      <c r="E3272" s="1213"/>
      <c r="F3272" s="1213"/>
      <c r="G3272" s="1214"/>
      <c r="H3272" s="1205" t="s">
        <v>2322</v>
      </c>
    </row>
    <row r="3273" spans="1:8" hidden="1">
      <c r="A3273" s="1212"/>
      <c r="B3273" s="1212"/>
      <c r="C3273" s="1752" t="s">
        <v>64</v>
      </c>
      <c r="D3273" s="1212" t="s">
        <v>27</v>
      </c>
      <c r="E3273" s="1213">
        <v>0.63</v>
      </c>
      <c r="F3273" s="1213">
        <f>'MINI SSR 2022-23'!$H$3</f>
        <v>630</v>
      </c>
      <c r="G3273" s="1214">
        <f>ROUND(E3273*F3273,2)</f>
        <v>396.9</v>
      </c>
      <c r="H3273" s="1205" t="s">
        <v>2322</v>
      </c>
    </row>
    <row r="3274" spans="1:8" hidden="1">
      <c r="A3274" s="1212"/>
      <c r="B3274" s="1212"/>
      <c r="C3274" s="1752" t="s">
        <v>69</v>
      </c>
      <c r="D3274" s="1212" t="s">
        <v>27</v>
      </c>
      <c r="E3274" s="1213">
        <v>1.47</v>
      </c>
      <c r="F3274" s="1213">
        <f>'MINI SSR 2022-23'!$H$4</f>
        <v>565</v>
      </c>
      <c r="G3274" s="1214">
        <f>ROUND(E3274*F3274,2)</f>
        <v>830.55</v>
      </c>
      <c r="H3274" s="1205" t="s">
        <v>2322</v>
      </c>
    </row>
    <row r="3275" spans="1:8" hidden="1">
      <c r="A3275" s="1212"/>
      <c r="B3275" s="1212"/>
      <c r="C3275" s="1752" t="s">
        <v>85</v>
      </c>
      <c r="D3275" s="1212" t="s">
        <v>27</v>
      </c>
      <c r="E3275" s="1213">
        <v>3.9</v>
      </c>
      <c r="F3275" s="1213">
        <f>'MINI SSR 2022-23'!$H$5</f>
        <v>525</v>
      </c>
      <c r="G3275" s="1214">
        <f>ROUND(E3275*F3275,2)</f>
        <v>2047.5</v>
      </c>
      <c r="H3275" s="1205" t="s">
        <v>2322</v>
      </c>
    </row>
    <row r="3276" spans="1:8" hidden="1">
      <c r="A3276" s="1212"/>
      <c r="B3276" s="1212"/>
      <c r="C3276" s="1754" t="s">
        <v>88</v>
      </c>
      <c r="D3276" s="1212"/>
      <c r="E3276" s="1212"/>
      <c r="F3276" s="1212"/>
      <c r="G3276" s="1222">
        <f>SUM(G3267:G3275)</f>
        <v>3944.7200000000003</v>
      </c>
      <c r="H3276" s="1205" t="s">
        <v>2322</v>
      </c>
    </row>
    <row r="3277" spans="1:8" hidden="1">
      <c r="A3277" s="1212"/>
      <c r="B3277" s="1212"/>
      <c r="C3277" s="1754"/>
      <c r="D3277" s="1212"/>
      <c r="E3277" s="1218" t="s">
        <v>161</v>
      </c>
      <c r="F3277" s="1218" t="s">
        <v>162</v>
      </c>
      <c r="G3277" s="1217" t="s">
        <v>163</v>
      </c>
      <c r="H3277" s="1205" t="s">
        <v>2322</v>
      </c>
    </row>
    <row r="3278" spans="1:8" hidden="1">
      <c r="A3278" s="1212"/>
      <c r="B3278" s="1212"/>
      <c r="C3278" s="1754" t="s">
        <v>1274</v>
      </c>
      <c r="D3278" s="1212"/>
      <c r="E3278" s="1213">
        <f>G3276</f>
        <v>3944.7200000000003</v>
      </c>
      <c r="F3278" s="1213">
        <f>G3276</f>
        <v>3944.7200000000003</v>
      </c>
      <c r="G3278" s="1215">
        <f>F3278</f>
        <v>3944.7200000000003</v>
      </c>
      <c r="H3278" s="1205" t="s">
        <v>2322</v>
      </c>
    </row>
    <row r="3279" spans="1:8" hidden="1">
      <c r="A3279" s="1212"/>
      <c r="B3279" s="1212"/>
      <c r="C3279" s="1752" t="s">
        <v>1653</v>
      </c>
      <c r="D3279" s="1213">
        <v>10</v>
      </c>
      <c r="E3279" s="1213">
        <f>D3279*'MINI SSR 2022-23'!$E$36</f>
        <v>10.8</v>
      </c>
      <c r="F3279" s="1213">
        <f>E3279</f>
        <v>10.8</v>
      </c>
      <c r="G3279" s="1215">
        <f>F3279</f>
        <v>10.8</v>
      </c>
      <c r="H3279" s="1205" t="s">
        <v>2322</v>
      </c>
    </row>
    <row r="3280" spans="1:8" hidden="1">
      <c r="A3280" s="1212"/>
      <c r="B3280" s="1212"/>
      <c r="C3280" s="1752" t="s">
        <v>1656</v>
      </c>
      <c r="D3280" s="1213">
        <v>10</v>
      </c>
      <c r="E3280" s="1213">
        <f>ROUND(D3280*'MINI SSR 2022-23'!F36,2)</f>
        <v>84.7</v>
      </c>
      <c r="F3280" s="1213">
        <f>ROUND(D3280*'MINI SSR 2022-23'!G36,2)</f>
        <v>121.2</v>
      </c>
      <c r="G3280" s="1215">
        <f>ROUND(D3280*'MINI SSR 2022-23'!H36,2)</f>
        <v>157.69999999999999</v>
      </c>
      <c r="H3280" s="1205" t="s">
        <v>2322</v>
      </c>
    </row>
    <row r="3281" spans="1:8" ht="25.5" hidden="1">
      <c r="A3281" s="1212"/>
      <c r="B3281" s="1212"/>
      <c r="C3281" s="1752" t="s">
        <v>1286</v>
      </c>
      <c r="D3281" s="1212"/>
      <c r="E3281" s="1212"/>
      <c r="F3281" s="1213">
        <f>ROUND((G3273+G3274+G3275+F3280)*0.1,2)</f>
        <v>339.62</v>
      </c>
      <c r="G3281" s="1215">
        <f>ROUND((G3273+G3274+G3275+G3280)*0.2,2)</f>
        <v>686.53</v>
      </c>
      <c r="H3281" s="1205" t="s">
        <v>2322</v>
      </c>
    </row>
    <row r="3282" spans="1:8" hidden="1">
      <c r="A3282" s="1212"/>
      <c r="B3282" s="1212"/>
      <c r="C3282" s="1754" t="s">
        <v>88</v>
      </c>
      <c r="D3282" s="1212"/>
      <c r="E3282" s="1213">
        <f>SUM(E3278:E3281)</f>
        <v>4040.2200000000003</v>
      </c>
      <c r="F3282" s="1213">
        <f>SUM(F3278:F3281)</f>
        <v>4416.34</v>
      </c>
      <c r="G3282" s="1215">
        <f>SUM(G3278:G3281)</f>
        <v>4799.75</v>
      </c>
      <c r="H3282" s="1205" t="s">
        <v>2322</v>
      </c>
    </row>
    <row r="3283" spans="1:8" hidden="1">
      <c r="A3283" s="1212"/>
      <c r="B3283" s="1212"/>
      <c r="C3283" s="1754" t="s">
        <v>121</v>
      </c>
      <c r="D3283" s="1212"/>
      <c r="E3283" s="1217">
        <f>ROUND(E3282/10,2)</f>
        <v>404.02</v>
      </c>
      <c r="F3283" s="1217">
        <f>ROUND(F3282/10,2)</f>
        <v>441.63</v>
      </c>
      <c r="G3283" s="1222">
        <f>ROUND(G3282/10,2)</f>
        <v>479.98</v>
      </c>
      <c r="H3283" s="1205" t="s">
        <v>2322</v>
      </c>
    </row>
    <row r="3284" spans="1:8" ht="165.75" hidden="1">
      <c r="A3284" s="1156">
        <v>27</v>
      </c>
      <c r="B3284" s="1218"/>
      <c r="C3284" s="1752" t="s">
        <v>1171</v>
      </c>
      <c r="D3284" s="1212"/>
      <c r="E3284" s="1212"/>
      <c r="F3284" s="1212"/>
      <c r="G3284" s="1215"/>
      <c r="H3284" s="1205" t="s">
        <v>2322</v>
      </c>
    </row>
    <row r="3285" spans="1:8" hidden="1">
      <c r="A3285" s="1212"/>
      <c r="B3285" s="1212"/>
      <c r="C3285" s="1752" t="s">
        <v>868</v>
      </c>
      <c r="D3285" s="1212"/>
      <c r="E3285" s="1213"/>
      <c r="F3285" s="1213"/>
      <c r="G3285" s="1214"/>
      <c r="H3285" s="1205" t="s">
        <v>2322</v>
      </c>
    </row>
    <row r="3286" spans="1:8" hidden="1">
      <c r="A3286" s="1212"/>
      <c r="B3286" s="1212"/>
      <c r="C3286" s="1752" t="s">
        <v>863</v>
      </c>
      <c r="D3286" s="1212"/>
      <c r="E3286" s="1213"/>
      <c r="F3286" s="1213"/>
      <c r="G3286" s="1214"/>
      <c r="H3286" s="1205" t="s">
        <v>2322</v>
      </c>
    </row>
    <row r="3287" spans="1:8" hidden="1">
      <c r="A3287" s="1212"/>
      <c r="B3287" s="1212"/>
      <c r="C3287" s="1752" t="s">
        <v>1172</v>
      </c>
      <c r="D3287" s="1213" t="s">
        <v>77</v>
      </c>
      <c r="E3287" s="1213">
        <v>13.3</v>
      </c>
      <c r="F3287" s="1216">
        <f>'MINI SSR 2022-23'!C43</f>
        <v>21</v>
      </c>
      <c r="G3287" s="1214">
        <f>ROUND(E3287*F3287,2)</f>
        <v>279.3</v>
      </c>
      <c r="H3287" s="1205" t="s">
        <v>2322</v>
      </c>
    </row>
    <row r="3288" spans="1:8" hidden="1">
      <c r="A3288" s="1156"/>
      <c r="B3288" s="1218"/>
      <c r="C3288" s="1752" t="s">
        <v>1173</v>
      </c>
      <c r="D3288" s="1213" t="s">
        <v>35</v>
      </c>
      <c r="E3288" s="1213">
        <v>0.25</v>
      </c>
      <c r="F3288" s="1216">
        <f>G2762</f>
        <v>4267.8</v>
      </c>
      <c r="G3288" s="1214">
        <f>ROUND(E3288*F3288,2)</f>
        <v>1066.95</v>
      </c>
      <c r="H3288" s="1205" t="s">
        <v>2322</v>
      </c>
    </row>
    <row r="3289" spans="1:8" hidden="1">
      <c r="A3289" s="1156"/>
      <c r="B3289" s="1218"/>
      <c r="C3289" s="1752" t="s">
        <v>1174</v>
      </c>
      <c r="D3289" s="1213" t="s">
        <v>90</v>
      </c>
      <c r="E3289" s="1213">
        <v>50</v>
      </c>
      <c r="F3289" s="1216">
        <f>'lead 22-23'!L8</f>
        <v>4700</v>
      </c>
      <c r="G3289" s="1214">
        <f>ROUND(E3289*F3289/1000,2)</f>
        <v>235</v>
      </c>
      <c r="H3289" s="1205" t="s">
        <v>2322</v>
      </c>
    </row>
    <row r="3290" spans="1:8" ht="25.5" hidden="1">
      <c r="A3290" s="1156"/>
      <c r="B3290" s="1218"/>
      <c r="C3290" s="1752" t="s">
        <v>1175</v>
      </c>
      <c r="D3290" s="1213" t="s">
        <v>77</v>
      </c>
      <c r="E3290" s="1213">
        <v>21.8</v>
      </c>
      <c r="F3290" s="1216">
        <f>E3263</f>
        <v>388.21</v>
      </c>
      <c r="G3290" s="1214">
        <f>ROUND(E3290*F3290,2)</f>
        <v>8462.98</v>
      </c>
      <c r="H3290" s="1205" t="s">
        <v>2322</v>
      </c>
    </row>
    <row r="3291" spans="1:8" hidden="1">
      <c r="A3291" s="1156"/>
      <c r="B3291" s="1218"/>
      <c r="C3291" s="1754" t="s">
        <v>1176</v>
      </c>
      <c r="D3291" s="1212"/>
      <c r="E3291" s="1212"/>
      <c r="F3291" s="1216"/>
      <c r="G3291" s="1214"/>
      <c r="H3291" s="1205" t="s">
        <v>2322</v>
      </c>
    </row>
    <row r="3292" spans="1:8" hidden="1">
      <c r="A3292" s="1156"/>
      <c r="B3292" s="1218"/>
      <c r="C3292" s="1752" t="s">
        <v>865</v>
      </c>
      <c r="D3292" s="1213" t="s">
        <v>27</v>
      </c>
      <c r="E3292" s="1213">
        <v>8</v>
      </c>
      <c r="F3292" s="1216">
        <f>'MINI SSR 2022-23'!$H$3</f>
        <v>630</v>
      </c>
      <c r="G3292" s="1214">
        <f>ROUND(E3292*F3292,2)</f>
        <v>5040</v>
      </c>
      <c r="H3292" s="1205" t="s">
        <v>2322</v>
      </c>
    </row>
    <row r="3293" spans="1:8" hidden="1">
      <c r="A3293" s="1156"/>
      <c r="B3293" s="1218"/>
      <c r="C3293" s="1752" t="s">
        <v>1177</v>
      </c>
      <c r="D3293" s="1213" t="s">
        <v>27</v>
      </c>
      <c r="E3293" s="1213">
        <v>1</v>
      </c>
      <c r="F3293" s="1216">
        <f>'MINI SSR 2022-23'!$H$4</f>
        <v>565</v>
      </c>
      <c r="G3293" s="1214">
        <f>ROUND(E3293*F3293,2)</f>
        <v>565</v>
      </c>
      <c r="H3293" s="1205" t="s">
        <v>2322</v>
      </c>
    </row>
    <row r="3294" spans="1:8" hidden="1">
      <c r="A3294" s="1156"/>
      <c r="B3294" s="1218"/>
      <c r="C3294" s="1752" t="s">
        <v>864</v>
      </c>
      <c r="D3294" s="1213" t="s">
        <v>27</v>
      </c>
      <c r="E3294" s="1213">
        <v>10</v>
      </c>
      <c r="F3294" s="1216">
        <f>'MINI SSR 2022-23'!$H$5</f>
        <v>525</v>
      </c>
      <c r="G3294" s="1214">
        <f>ROUND(E3294*F3294,2)</f>
        <v>5250</v>
      </c>
      <c r="H3294" s="1205" t="s">
        <v>2322</v>
      </c>
    </row>
    <row r="3295" spans="1:8" hidden="1">
      <c r="A3295" s="1156"/>
      <c r="B3295" s="1218"/>
      <c r="C3295" s="1754" t="s">
        <v>1178</v>
      </c>
      <c r="D3295" s="1213"/>
      <c r="E3295" s="1213"/>
      <c r="F3295" s="1216"/>
      <c r="G3295" s="1214"/>
      <c r="H3295" s="1205" t="s">
        <v>2322</v>
      </c>
    </row>
    <row r="3296" spans="1:8" ht="25.5" hidden="1">
      <c r="A3296" s="1156"/>
      <c r="B3296" s="1218"/>
      <c r="C3296" s="1752" t="s">
        <v>1179</v>
      </c>
      <c r="D3296" s="1213" t="s">
        <v>1180</v>
      </c>
      <c r="E3296" s="1213">
        <v>2</v>
      </c>
      <c r="F3296" s="1216">
        <f>'MINI SSR 2022-23'!$C$30</f>
        <v>667.5</v>
      </c>
      <c r="G3296" s="1214">
        <f>ROUND(E3296*F3296,2)</f>
        <v>1335</v>
      </c>
      <c r="H3296" s="1205" t="s">
        <v>2322</v>
      </c>
    </row>
    <row r="3297" spans="1:8" hidden="1">
      <c r="A3297" s="1156"/>
      <c r="B3297" s="1218"/>
      <c r="C3297" s="1754" t="s">
        <v>869</v>
      </c>
      <c r="D3297" s="1242"/>
      <c r="E3297" s="1242"/>
      <c r="F3297" s="1242" t="s">
        <v>104</v>
      </c>
      <c r="G3297" s="1214">
        <f>SUM(G3287:G3296)</f>
        <v>22234.23</v>
      </c>
      <c r="H3297" s="1205" t="s">
        <v>2322</v>
      </c>
    </row>
    <row r="3298" spans="1:8" hidden="1">
      <c r="A3298" s="1156"/>
      <c r="B3298" s="1218"/>
      <c r="C3298" s="1752"/>
      <c r="D3298" s="1216"/>
      <c r="E3298" s="1242" t="s">
        <v>161</v>
      </c>
      <c r="F3298" s="1242" t="s">
        <v>162</v>
      </c>
      <c r="G3298" s="1214"/>
      <c r="H3298" s="1205" t="s">
        <v>2322</v>
      </c>
    </row>
    <row r="3299" spans="1:8" hidden="1">
      <c r="A3299" s="1156"/>
      <c r="B3299" s="1218"/>
      <c r="C3299" s="1752" t="s">
        <v>867</v>
      </c>
      <c r="D3299" s="1216"/>
      <c r="E3299" s="1216">
        <f>G3297</f>
        <v>22234.23</v>
      </c>
      <c r="F3299" s="1216">
        <f>G3297</f>
        <v>22234.23</v>
      </c>
      <c r="G3299" s="1214"/>
      <c r="H3299" s="1205" t="s">
        <v>2322</v>
      </c>
    </row>
    <row r="3300" spans="1:8" hidden="1">
      <c r="A3300" s="1156"/>
      <c r="B3300" s="1218"/>
      <c r="C3300" s="1752" t="s">
        <v>1657</v>
      </c>
      <c r="D3300" s="1243" t="s">
        <v>326</v>
      </c>
      <c r="E3300" s="1216">
        <f>ROUND(D3300*'MINI SSR 2022-23'!E36,2)</f>
        <v>10.8</v>
      </c>
      <c r="F3300" s="1216">
        <f>ROUND(D3300*1.03,2)</f>
        <v>10.3</v>
      </c>
      <c r="G3300" s="1214"/>
      <c r="H3300" s="1205" t="s">
        <v>2322</v>
      </c>
    </row>
    <row r="3301" spans="1:8" hidden="1">
      <c r="A3301" s="1156"/>
      <c r="B3301" s="1218"/>
      <c r="C3301" s="1752" t="s">
        <v>1658</v>
      </c>
      <c r="D3301" s="1243" t="s">
        <v>326</v>
      </c>
      <c r="E3301" s="1216">
        <f>ROUND(D3301*'MINI SSR 2022-23'!F36,2)</f>
        <v>84.7</v>
      </c>
      <c r="F3301" s="1216">
        <f>ROUND(D3301*'MINI SSR 2022-23'!G36,2)</f>
        <v>121.2</v>
      </c>
      <c r="G3301" s="1214"/>
      <c r="H3301" s="1205" t="s">
        <v>2322</v>
      </c>
    </row>
    <row r="3302" spans="1:8" hidden="1">
      <c r="A3302" s="1156"/>
      <c r="B3302" s="1218"/>
      <c r="C3302" s="1752" t="s">
        <v>870</v>
      </c>
      <c r="D3302" s="688" t="s">
        <v>326</v>
      </c>
      <c r="E3302" s="1244">
        <v>0</v>
      </c>
      <c r="F3302" s="1244">
        <f>ROUND(((SUM(G3292:G3294)+F3301)*D3302/100),2)</f>
        <v>1097.6199999999999</v>
      </c>
      <c r="G3302" s="1214"/>
      <c r="H3302" s="1205" t="s">
        <v>2322</v>
      </c>
    </row>
    <row r="3303" spans="1:8" hidden="1">
      <c r="A3303" s="1156"/>
      <c r="B3303" s="1218"/>
      <c r="C3303" s="1754" t="s">
        <v>869</v>
      </c>
      <c r="D3303" s="688"/>
      <c r="E3303" s="1216">
        <f>SUM(E3299:E3302)</f>
        <v>22329.73</v>
      </c>
      <c r="F3303" s="1216">
        <f>SUM(F3299:F3302)</f>
        <v>23463.35</v>
      </c>
      <c r="G3303" s="1214"/>
      <c r="H3303" s="1205" t="s">
        <v>2322</v>
      </c>
    </row>
    <row r="3304" spans="1:8" hidden="1">
      <c r="A3304" s="1156"/>
      <c r="B3304" s="1218"/>
      <c r="C3304" s="1754" t="s">
        <v>871</v>
      </c>
      <c r="D3304" s="1213"/>
      <c r="E3304" s="1242">
        <f>ROUND(E3303/10,2)</f>
        <v>2232.9699999999998</v>
      </c>
      <c r="F3304" s="1242">
        <f>ROUND(F3303/10,2)</f>
        <v>2346.34</v>
      </c>
      <c r="G3304" s="1214"/>
      <c r="H3304" s="1205" t="s">
        <v>2322</v>
      </c>
    </row>
    <row r="3305" spans="1:8" ht="102" hidden="1">
      <c r="A3305" s="1156">
        <v>48</v>
      </c>
      <c r="B3305" s="1218" t="s">
        <v>1313</v>
      </c>
      <c r="C3305" s="1752" t="s">
        <v>1312</v>
      </c>
      <c r="D3305" s="1212"/>
      <c r="E3305" s="1212"/>
      <c r="F3305" s="1212"/>
      <c r="G3305" s="1218"/>
      <c r="H3305" s="1205" t="s">
        <v>2322</v>
      </c>
    </row>
    <row r="3306" spans="1:8" hidden="1">
      <c r="A3306" s="1156"/>
      <c r="B3306" s="1218"/>
      <c r="C3306" s="1754" t="s">
        <v>42</v>
      </c>
      <c r="D3306" s="1212"/>
      <c r="E3306" s="1212"/>
      <c r="F3306" s="1212"/>
      <c r="G3306" s="1215"/>
      <c r="H3306" s="1205" t="s">
        <v>2322</v>
      </c>
    </row>
    <row r="3307" spans="1:8" hidden="1">
      <c r="A3307" s="1156"/>
      <c r="B3307" s="1218"/>
      <c r="C3307" s="1754" t="s">
        <v>60</v>
      </c>
      <c r="D3307" s="1212"/>
      <c r="E3307" s="1212"/>
      <c r="F3307" s="1212"/>
      <c r="G3307" s="1215"/>
      <c r="H3307" s="1205" t="s">
        <v>2322</v>
      </c>
    </row>
    <row r="3308" spans="1:8" hidden="1">
      <c r="A3308" s="1156"/>
      <c r="B3308" s="1218"/>
      <c r="C3308" s="1752" t="s">
        <v>43</v>
      </c>
      <c r="D3308" s="1212" t="s">
        <v>35</v>
      </c>
      <c r="E3308" s="1213">
        <v>0.15</v>
      </c>
      <c r="F3308" s="1213">
        <f>G2762</f>
        <v>4267.8</v>
      </c>
      <c r="G3308" s="1214">
        <f>ROUND(E3308*F3308,2)</f>
        <v>640.16999999999996</v>
      </c>
      <c r="H3308" s="1205" t="s">
        <v>2322</v>
      </c>
    </row>
    <row r="3309" spans="1:8" ht="25.5" hidden="1">
      <c r="A3309" s="1156"/>
      <c r="B3309" s="1218"/>
      <c r="C3309" s="1752" t="s">
        <v>3460</v>
      </c>
      <c r="D3309" s="1212" t="s">
        <v>4</v>
      </c>
      <c r="E3309" s="1213">
        <v>2</v>
      </c>
      <c r="F3309" s="1213">
        <f>'MINI SSR 2022-23'!$C$44</f>
        <v>85</v>
      </c>
      <c r="G3309" s="1214">
        <f>ROUND(E3309*F3309,2)</f>
        <v>170</v>
      </c>
      <c r="H3309" s="1205" t="s">
        <v>2322</v>
      </c>
    </row>
    <row r="3310" spans="1:8" hidden="1">
      <c r="A3310" s="1212"/>
      <c r="B3310" s="1212"/>
      <c r="C3310" s="1754" t="s">
        <v>68</v>
      </c>
      <c r="D3310" s="1212"/>
      <c r="E3310" s="1213"/>
      <c r="F3310" s="1213"/>
      <c r="G3310" s="1214"/>
      <c r="H3310" s="1205" t="s">
        <v>2322</v>
      </c>
    </row>
    <row r="3311" spans="1:8" hidden="1">
      <c r="A3311" s="1212"/>
      <c r="B3311" s="1212"/>
      <c r="C3311" s="1752" t="s">
        <v>64</v>
      </c>
      <c r="D3311" s="1212" t="s">
        <v>27</v>
      </c>
      <c r="E3311" s="1213">
        <v>0.45</v>
      </c>
      <c r="F3311" s="1216">
        <f>'MINI SSR 2022-23'!$H$3</f>
        <v>630</v>
      </c>
      <c r="G3311" s="1214">
        <f>ROUND(E3311*F3311,2)</f>
        <v>283.5</v>
      </c>
      <c r="H3311" s="1205" t="s">
        <v>2322</v>
      </c>
    </row>
    <row r="3312" spans="1:8" hidden="1">
      <c r="A3312" s="1212"/>
      <c r="B3312" s="1212"/>
      <c r="C3312" s="1752" t="s">
        <v>69</v>
      </c>
      <c r="D3312" s="1212" t="s">
        <v>27</v>
      </c>
      <c r="E3312" s="1213">
        <v>1.05</v>
      </c>
      <c r="F3312" s="1216">
        <f>'MINI SSR 2022-23'!$H$4</f>
        <v>565</v>
      </c>
      <c r="G3312" s="1214">
        <f>ROUND(E3312*F3312,2)</f>
        <v>593.25</v>
      </c>
      <c r="H3312" s="1205" t="s">
        <v>2322</v>
      </c>
    </row>
    <row r="3313" spans="1:8" hidden="1">
      <c r="A3313" s="1212"/>
      <c r="B3313" s="1212"/>
      <c r="C3313" s="1752" t="s">
        <v>85</v>
      </c>
      <c r="D3313" s="1212" t="s">
        <v>27</v>
      </c>
      <c r="E3313" s="1213">
        <v>2.8</v>
      </c>
      <c r="F3313" s="1216">
        <f>'MINI SSR 2022-23'!$H$5</f>
        <v>525</v>
      </c>
      <c r="G3313" s="1214">
        <f>ROUND(E3313*F3313,2)</f>
        <v>1470</v>
      </c>
      <c r="H3313" s="1205" t="s">
        <v>2322</v>
      </c>
    </row>
    <row r="3314" spans="1:8" hidden="1">
      <c r="A3314" s="1212"/>
      <c r="B3314" s="1212"/>
      <c r="C3314" s="1754" t="s">
        <v>88</v>
      </c>
      <c r="D3314" s="1212"/>
      <c r="E3314" s="1212"/>
      <c r="F3314" s="1212"/>
      <c r="G3314" s="1222">
        <f>SUM(G3308:G3313)</f>
        <v>3156.92</v>
      </c>
      <c r="H3314" s="1205" t="s">
        <v>2322</v>
      </c>
    </row>
    <row r="3315" spans="1:8" hidden="1">
      <c r="A3315" s="1212"/>
      <c r="B3315" s="1212"/>
      <c r="C3315" s="1754"/>
      <c r="D3315" s="1212"/>
      <c r="E3315" s="1218" t="s">
        <v>161</v>
      </c>
      <c r="F3315" s="1218" t="s">
        <v>162</v>
      </c>
      <c r="G3315" s="1217" t="s">
        <v>162</v>
      </c>
      <c r="H3315" s="1205" t="s">
        <v>2322</v>
      </c>
    </row>
    <row r="3316" spans="1:8" hidden="1">
      <c r="A3316" s="1212"/>
      <c r="B3316" s="1212"/>
      <c r="C3316" s="1754" t="s">
        <v>1274</v>
      </c>
      <c r="D3316" s="1212"/>
      <c r="E3316" s="1213">
        <f>G3314</f>
        <v>3156.92</v>
      </c>
      <c r="F3316" s="1213">
        <f>G3314</f>
        <v>3156.92</v>
      </c>
      <c r="G3316" s="1215">
        <f>G3314</f>
        <v>3156.92</v>
      </c>
      <c r="H3316" s="1205" t="s">
        <v>2322</v>
      </c>
    </row>
    <row r="3317" spans="1:8" ht="25.5" hidden="1">
      <c r="A3317" s="1212"/>
      <c r="B3317" s="1212"/>
      <c r="C3317" s="1752" t="s">
        <v>1286</v>
      </c>
      <c r="D3317" s="1212"/>
      <c r="E3317" s="1212"/>
      <c r="F3317" s="1215">
        <f>(SUM(G3311:G3313)*10%)</f>
        <v>234.67500000000001</v>
      </c>
      <c r="G3317" s="1215">
        <f>(SUM(G3311:G3313)*20%)</f>
        <v>469.35</v>
      </c>
      <c r="H3317" s="1205" t="s">
        <v>2322</v>
      </c>
    </row>
    <row r="3318" spans="1:8" hidden="1">
      <c r="A3318" s="1212"/>
      <c r="B3318" s="1212"/>
      <c r="C3318" s="1754" t="s">
        <v>88</v>
      </c>
      <c r="D3318" s="1212"/>
      <c r="E3318" s="1213">
        <f>SUM(E3316:E3317)</f>
        <v>3156.92</v>
      </c>
      <c r="F3318" s="1213">
        <f>SUM(F3316:F3317)</f>
        <v>3391.5950000000003</v>
      </c>
      <c r="G3318" s="1215">
        <f>SUM(G3316:G3317)</f>
        <v>3626.27</v>
      </c>
      <c r="H3318" s="1205" t="s">
        <v>2322</v>
      </c>
    </row>
    <row r="3319" spans="1:8" hidden="1">
      <c r="A3319" s="1212"/>
      <c r="B3319" s="1212"/>
      <c r="C3319" s="1754" t="s">
        <v>121</v>
      </c>
      <c r="D3319" s="1212"/>
      <c r="E3319" s="1217">
        <f>ROUND(E3318/10,2)</f>
        <v>315.69</v>
      </c>
      <c r="F3319" s="1217">
        <f>ROUND(F3318/10,2)</f>
        <v>339.16</v>
      </c>
      <c r="G3319" s="1222">
        <f>ROUND(G3318/10,2)</f>
        <v>362.63</v>
      </c>
      <c r="H3319" s="1205" t="s">
        <v>2322</v>
      </c>
    </row>
    <row r="3320" spans="1:8" ht="102" hidden="1">
      <c r="A3320" s="1156">
        <v>39</v>
      </c>
      <c r="B3320" s="1218" t="s">
        <v>1313</v>
      </c>
      <c r="C3320" s="1752" t="s">
        <v>899</v>
      </c>
      <c r="D3320" s="1212"/>
      <c r="E3320" s="1212"/>
      <c r="F3320" s="1212"/>
      <c r="G3320" s="1218" t="s">
        <v>148</v>
      </c>
      <c r="H3320" s="1205" t="s">
        <v>2322</v>
      </c>
    </row>
    <row r="3321" spans="1:8" hidden="1">
      <c r="A3321" s="1156"/>
      <c r="B3321" s="1218"/>
      <c r="C3321" s="1754" t="s">
        <v>42</v>
      </c>
      <c r="D3321" s="1212"/>
      <c r="E3321" s="1212"/>
      <c r="F3321" s="1212"/>
      <c r="G3321" s="1215"/>
      <c r="H3321" s="1205" t="s">
        <v>2322</v>
      </c>
    </row>
    <row r="3322" spans="1:8" hidden="1">
      <c r="A3322" s="1156"/>
      <c r="B3322" s="1218"/>
      <c r="C3322" s="1754" t="s">
        <v>60</v>
      </c>
      <c r="D3322" s="1212"/>
      <c r="E3322" s="1212"/>
      <c r="F3322" s="1212"/>
      <c r="G3322" s="1215"/>
      <c r="H3322" s="1205" t="s">
        <v>2322</v>
      </c>
    </row>
    <row r="3323" spans="1:8" hidden="1">
      <c r="A3323" s="1156"/>
      <c r="B3323" s="1218"/>
      <c r="C3323" s="1752" t="s">
        <v>43</v>
      </c>
      <c r="D3323" s="1212" t="s">
        <v>35</v>
      </c>
      <c r="E3323" s="1213">
        <v>0.21</v>
      </c>
      <c r="F3323" s="1213">
        <f>G2777</f>
        <v>3139.8</v>
      </c>
      <c r="G3323" s="1214">
        <f>ROUND(E3323*F3323,2)</f>
        <v>659.36</v>
      </c>
      <c r="H3323" s="1205" t="s">
        <v>2322</v>
      </c>
    </row>
    <row r="3324" spans="1:8" ht="25.5" hidden="1">
      <c r="A3324" s="1156"/>
      <c r="B3324" s="1218"/>
      <c r="C3324" s="1752" t="s">
        <v>3460</v>
      </c>
      <c r="D3324" s="1212" t="s">
        <v>4</v>
      </c>
      <c r="E3324" s="1213">
        <v>2</v>
      </c>
      <c r="F3324" s="1213">
        <f>'MINI SSR 2022-23'!$C$44</f>
        <v>85</v>
      </c>
      <c r="G3324" s="1214">
        <f>ROUND(E3324*F3324,2)</f>
        <v>170</v>
      </c>
      <c r="H3324" s="1205" t="s">
        <v>2322</v>
      </c>
    </row>
    <row r="3325" spans="1:8" hidden="1">
      <c r="A3325" s="1212"/>
      <c r="B3325" s="1212"/>
      <c r="C3325" s="1754" t="s">
        <v>68</v>
      </c>
      <c r="D3325" s="1212"/>
      <c r="E3325" s="1213"/>
      <c r="F3325" s="1213"/>
      <c r="G3325" s="1214"/>
      <c r="H3325" s="1205" t="s">
        <v>2322</v>
      </c>
    </row>
    <row r="3326" spans="1:8" hidden="1">
      <c r="A3326" s="1212"/>
      <c r="B3326" s="1212"/>
      <c r="C3326" s="1752" t="s">
        <v>64</v>
      </c>
      <c r="D3326" s="1212" t="s">
        <v>27</v>
      </c>
      <c r="E3326" s="1213">
        <v>0.66</v>
      </c>
      <c r="F3326" s="1216">
        <f>'MINI SSR 2022-23'!$H$3</f>
        <v>630</v>
      </c>
      <c r="G3326" s="1214">
        <f>ROUND(E3326*F3326,2)</f>
        <v>415.8</v>
      </c>
      <c r="H3326" s="1205" t="s">
        <v>2322</v>
      </c>
    </row>
    <row r="3327" spans="1:8" hidden="1">
      <c r="A3327" s="1212"/>
      <c r="B3327" s="1212"/>
      <c r="C3327" s="1752" t="s">
        <v>69</v>
      </c>
      <c r="D3327" s="1212" t="s">
        <v>27</v>
      </c>
      <c r="E3327" s="1213">
        <v>1.54</v>
      </c>
      <c r="F3327" s="1216">
        <f>'MINI SSR 2022-23'!$H$4</f>
        <v>565</v>
      </c>
      <c r="G3327" s="1214">
        <f>ROUND(E3327*F3327,2)</f>
        <v>870.1</v>
      </c>
      <c r="H3327" s="1205" t="s">
        <v>2322</v>
      </c>
    </row>
    <row r="3328" spans="1:8" hidden="1">
      <c r="A3328" s="1212"/>
      <c r="B3328" s="1212"/>
      <c r="C3328" s="1752" t="s">
        <v>85</v>
      </c>
      <c r="D3328" s="1212" t="s">
        <v>27</v>
      </c>
      <c r="E3328" s="1213">
        <v>3.7</v>
      </c>
      <c r="F3328" s="1216">
        <f>'MINI SSR 2022-23'!$H$5</f>
        <v>525</v>
      </c>
      <c r="G3328" s="1214">
        <f>ROUND(E3328*F3328,2)</f>
        <v>1942.5</v>
      </c>
      <c r="H3328" s="1205" t="s">
        <v>2322</v>
      </c>
    </row>
    <row r="3329" spans="1:8" hidden="1">
      <c r="A3329" s="1212"/>
      <c r="B3329" s="1212"/>
      <c r="C3329" s="1754" t="s">
        <v>88</v>
      </c>
      <c r="D3329" s="1212"/>
      <c r="E3329" s="1212"/>
      <c r="F3329" s="1212"/>
      <c r="G3329" s="1222">
        <f>SUM(G3323:G3328)</f>
        <v>4057.76</v>
      </c>
      <c r="H3329" s="1205" t="s">
        <v>2322</v>
      </c>
    </row>
    <row r="3330" spans="1:8" hidden="1">
      <c r="A3330" s="1212"/>
      <c r="B3330" s="1212"/>
      <c r="C3330" s="1754"/>
      <c r="D3330" s="1212"/>
      <c r="E3330" s="1218" t="s">
        <v>161</v>
      </c>
      <c r="F3330" s="1218" t="s">
        <v>162</v>
      </c>
      <c r="G3330" s="1217" t="s">
        <v>163</v>
      </c>
      <c r="H3330" s="1205" t="s">
        <v>2322</v>
      </c>
    </row>
    <row r="3331" spans="1:8" hidden="1">
      <c r="A3331" s="1212"/>
      <c r="B3331" s="1212"/>
      <c r="C3331" s="1754" t="s">
        <v>1274</v>
      </c>
      <c r="D3331" s="1212"/>
      <c r="E3331" s="1213">
        <f>G3329</f>
        <v>4057.76</v>
      </c>
      <c r="F3331" s="1213">
        <f>G3329</f>
        <v>4057.76</v>
      </c>
      <c r="G3331" s="1215">
        <f>G3329</f>
        <v>4057.76</v>
      </c>
      <c r="H3331" s="1205" t="s">
        <v>2322</v>
      </c>
    </row>
    <row r="3332" spans="1:8" ht="25.5" hidden="1">
      <c r="A3332" s="1212"/>
      <c r="B3332" s="1212"/>
      <c r="C3332" s="1752" t="s">
        <v>1286</v>
      </c>
      <c r="D3332" s="1212"/>
      <c r="E3332" s="1212"/>
      <c r="F3332" s="1215">
        <f>(SUM(G3326:G3328)*10%)</f>
        <v>322.84000000000003</v>
      </c>
      <c r="G3332" s="1215">
        <f>(SUM(G3326:G3328)*20%)</f>
        <v>645.68000000000006</v>
      </c>
      <c r="H3332" s="1205" t="s">
        <v>2322</v>
      </c>
    </row>
    <row r="3333" spans="1:8" hidden="1">
      <c r="A3333" s="1212"/>
      <c r="B3333" s="1212"/>
      <c r="C3333" s="1754" t="s">
        <v>88</v>
      </c>
      <c r="D3333" s="1212"/>
      <c r="E3333" s="1213">
        <f>SUM(E3331:E3332)</f>
        <v>4057.76</v>
      </c>
      <c r="F3333" s="1213">
        <f>SUM(F3331:F3332)</f>
        <v>4380.6000000000004</v>
      </c>
      <c r="G3333" s="1215">
        <f>SUM(G3331:G3332)</f>
        <v>4703.4400000000005</v>
      </c>
      <c r="H3333" s="1205" t="s">
        <v>2322</v>
      </c>
    </row>
    <row r="3334" spans="1:8" hidden="1">
      <c r="A3334" s="1212"/>
      <c r="B3334" s="1212"/>
      <c r="C3334" s="1754" t="s">
        <v>121</v>
      </c>
      <c r="D3334" s="1212"/>
      <c r="E3334" s="1217">
        <f>ROUND(E3333/10,2)</f>
        <v>405.78</v>
      </c>
      <c r="F3334" s="1217">
        <f>ROUND(F3333/10,2)</f>
        <v>438.06</v>
      </c>
      <c r="G3334" s="1222">
        <f>ROUND(G3333/10,2)</f>
        <v>470.34</v>
      </c>
      <c r="H3334" s="1205" t="s">
        <v>2322</v>
      </c>
    </row>
    <row r="3335" spans="1:8" ht="165.75" hidden="1">
      <c r="A3335" s="1156">
        <v>24</v>
      </c>
      <c r="B3335" s="1218" t="s">
        <v>666</v>
      </c>
      <c r="C3335" s="1752" t="s">
        <v>665</v>
      </c>
      <c r="D3335" s="1212"/>
      <c r="E3335" s="1212"/>
      <c r="F3335" s="1212"/>
      <c r="G3335" s="1218" t="s">
        <v>666</v>
      </c>
      <c r="H3335" s="1205" t="s">
        <v>2322</v>
      </c>
    </row>
    <row r="3336" spans="1:8" hidden="1">
      <c r="A3336" s="1156"/>
      <c r="B3336" s="1218"/>
      <c r="C3336" s="1754" t="s">
        <v>42</v>
      </c>
      <c r="D3336" s="1212"/>
      <c r="E3336" s="1212"/>
      <c r="F3336" s="1212"/>
      <c r="G3336" s="1215"/>
      <c r="H3336" s="1205" t="s">
        <v>2322</v>
      </c>
    </row>
    <row r="3337" spans="1:8" hidden="1">
      <c r="A3337" s="1156"/>
      <c r="B3337" s="1218"/>
      <c r="C3337" s="1754" t="s">
        <v>60</v>
      </c>
      <c r="D3337" s="1212"/>
      <c r="E3337" s="1212"/>
      <c r="F3337" s="1212"/>
      <c r="G3337" s="1215"/>
      <c r="H3337" s="1205" t="s">
        <v>2322</v>
      </c>
    </row>
    <row r="3338" spans="1:8" ht="25.5" hidden="1">
      <c r="A3338" s="1156"/>
      <c r="B3338" s="1218"/>
      <c r="C3338" s="1752" t="s">
        <v>667</v>
      </c>
      <c r="D3338" s="1212" t="s">
        <v>77</v>
      </c>
      <c r="E3338" s="1213">
        <v>10.5</v>
      </c>
      <c r="F3338" s="1213">
        <f>'lead 22-23'!L22</f>
        <v>2257.7440000000001</v>
      </c>
      <c r="G3338" s="1214">
        <f>ROUND(E3338*F3338/1,2)</f>
        <v>23706.31</v>
      </c>
      <c r="H3338" s="1205" t="s">
        <v>2322</v>
      </c>
    </row>
    <row r="3339" spans="1:8" hidden="1">
      <c r="A3339" s="1156"/>
      <c r="B3339" s="1218"/>
      <c r="C3339" s="1752" t="s">
        <v>91</v>
      </c>
      <c r="D3339" s="1212" t="s">
        <v>4</v>
      </c>
      <c r="E3339" s="1213">
        <v>36</v>
      </c>
      <c r="F3339" s="1213">
        <f>'lead 22-23'!L8</f>
        <v>4700</v>
      </c>
      <c r="G3339" s="1214">
        <f>ROUND(E3339*F3339/1000,2)</f>
        <v>169.2</v>
      </c>
      <c r="H3339" s="1205" t="s">
        <v>2322</v>
      </c>
    </row>
    <row r="3340" spans="1:8" hidden="1">
      <c r="A3340" s="1156"/>
      <c r="B3340" s="1218"/>
      <c r="C3340" s="1752" t="s">
        <v>92</v>
      </c>
      <c r="D3340" s="1212" t="s">
        <v>4</v>
      </c>
      <c r="E3340" s="1213">
        <v>33</v>
      </c>
      <c r="F3340" s="1213">
        <f>F3339</f>
        <v>4700</v>
      </c>
      <c r="G3340" s="1214">
        <f>ROUND(E3340*F3340/1000,2)</f>
        <v>155.1</v>
      </c>
      <c r="H3340" s="1205" t="s">
        <v>2322</v>
      </c>
    </row>
    <row r="3341" spans="1:8" hidden="1">
      <c r="A3341" s="1156"/>
      <c r="B3341" s="1218"/>
      <c r="C3341" s="1752" t="s">
        <v>93</v>
      </c>
      <c r="D3341" s="1212" t="s">
        <v>4</v>
      </c>
      <c r="E3341" s="1213">
        <v>6</v>
      </c>
      <c r="F3341" s="1213">
        <f>F3340</f>
        <v>4700</v>
      </c>
      <c r="G3341" s="1214">
        <f>ROUND(E3341*F3341/1000,2)</f>
        <v>28.2</v>
      </c>
      <c r="H3341" s="1205" t="s">
        <v>2322</v>
      </c>
    </row>
    <row r="3342" spans="1:8" hidden="1">
      <c r="A3342" s="1156"/>
      <c r="B3342" s="1218"/>
      <c r="C3342" s="1752" t="s">
        <v>114</v>
      </c>
      <c r="D3342" s="1212" t="s">
        <v>35</v>
      </c>
      <c r="E3342" s="1213">
        <v>0.2</v>
      </c>
      <c r="F3342" s="1213">
        <f>'lead 22-23'!L12</f>
        <v>1815.9999999999998</v>
      </c>
      <c r="G3342" s="1214">
        <f>ROUND(E3342*F3342,2)</f>
        <v>363.2</v>
      </c>
      <c r="H3342" s="1205" t="s">
        <v>2322</v>
      </c>
    </row>
    <row r="3343" spans="1:8" hidden="1">
      <c r="A3343" s="1212"/>
      <c r="B3343" s="1212"/>
      <c r="C3343" s="1754" t="s">
        <v>68</v>
      </c>
      <c r="D3343" s="1212"/>
      <c r="E3343" s="1213"/>
      <c r="F3343" s="1213"/>
      <c r="G3343" s="1214"/>
      <c r="H3343" s="1205" t="s">
        <v>2322</v>
      </c>
    </row>
    <row r="3344" spans="1:8" hidden="1">
      <c r="A3344" s="1212"/>
      <c r="B3344" s="1212"/>
      <c r="C3344" s="1752" t="s">
        <v>64</v>
      </c>
      <c r="D3344" s="1212" t="s">
        <v>27</v>
      </c>
      <c r="E3344" s="1213">
        <v>3</v>
      </c>
      <c r="F3344" s="1216">
        <f>'MINI SSR 2022-23'!$H$3</f>
        <v>630</v>
      </c>
      <c r="G3344" s="1214">
        <f>ROUND(E3344*F3344,2)</f>
        <v>1890</v>
      </c>
      <c r="H3344" s="1205" t="s">
        <v>2322</v>
      </c>
    </row>
    <row r="3345" spans="1:8" hidden="1">
      <c r="A3345" s="1212"/>
      <c r="B3345" s="1212"/>
      <c r="C3345" s="1752" t="s">
        <v>69</v>
      </c>
      <c r="D3345" s="1212" t="s">
        <v>27</v>
      </c>
      <c r="E3345" s="1213">
        <v>1</v>
      </c>
      <c r="F3345" s="1216">
        <f>'MINI SSR 2022-23'!$H$4</f>
        <v>565</v>
      </c>
      <c r="G3345" s="1214">
        <f>ROUND(E3345*F3345,2)</f>
        <v>565</v>
      </c>
      <c r="H3345" s="1205" t="s">
        <v>2322</v>
      </c>
    </row>
    <row r="3346" spans="1:8" hidden="1">
      <c r="A3346" s="1212"/>
      <c r="B3346" s="1212"/>
      <c r="C3346" s="1752" t="s">
        <v>85</v>
      </c>
      <c r="D3346" s="1212" t="s">
        <v>27</v>
      </c>
      <c r="E3346" s="1213">
        <v>8</v>
      </c>
      <c r="F3346" s="1216">
        <f>'MINI SSR 2022-23'!$H$5</f>
        <v>525</v>
      </c>
      <c r="G3346" s="1214">
        <f>ROUND(E3346*F3346,2)</f>
        <v>4200</v>
      </c>
      <c r="H3346" s="1205" t="s">
        <v>2322</v>
      </c>
    </row>
    <row r="3347" spans="1:8" hidden="1">
      <c r="A3347" s="1212"/>
      <c r="B3347" s="1212"/>
      <c r="C3347" s="1752" t="s">
        <v>895</v>
      </c>
      <c r="D3347" s="1212"/>
      <c r="E3347" s="1213">
        <v>0.01</v>
      </c>
      <c r="F3347" s="1213">
        <f>SUM(G3339:G3346)</f>
        <v>7370.7</v>
      </c>
      <c r="G3347" s="1214">
        <f>ROUND(E3347*F3347,2)</f>
        <v>73.709999999999994</v>
      </c>
      <c r="H3347" s="1205" t="s">
        <v>2322</v>
      </c>
    </row>
    <row r="3348" spans="1:8" hidden="1">
      <c r="A3348" s="1212"/>
      <c r="B3348" s="1212"/>
      <c r="C3348" s="1754" t="s">
        <v>88</v>
      </c>
      <c r="D3348" s="1212"/>
      <c r="E3348" s="1212"/>
      <c r="F3348" s="1212"/>
      <c r="G3348" s="1222">
        <f>SUM(G3338:G3347)</f>
        <v>31150.720000000001</v>
      </c>
      <c r="H3348" s="1205" t="s">
        <v>2322</v>
      </c>
    </row>
    <row r="3349" spans="1:8" hidden="1">
      <c r="A3349" s="1212"/>
      <c r="B3349" s="1212"/>
      <c r="C3349" s="1754"/>
      <c r="D3349" s="1212"/>
      <c r="E3349" s="1218" t="s">
        <v>161</v>
      </c>
      <c r="F3349" s="1218" t="s">
        <v>162</v>
      </c>
      <c r="G3349" s="1217" t="s">
        <v>163</v>
      </c>
      <c r="H3349" s="1205" t="s">
        <v>2322</v>
      </c>
    </row>
    <row r="3350" spans="1:8" hidden="1">
      <c r="A3350" s="1212"/>
      <c r="B3350" s="1212"/>
      <c r="C3350" s="1754" t="s">
        <v>1274</v>
      </c>
      <c r="D3350" s="1212"/>
      <c r="E3350" s="1213">
        <f>G3348</f>
        <v>31150.720000000001</v>
      </c>
      <c r="F3350" s="1213">
        <f>G3348</f>
        <v>31150.720000000001</v>
      </c>
      <c r="G3350" s="1215">
        <f>G3348</f>
        <v>31150.720000000001</v>
      </c>
      <c r="H3350" s="1205" t="s">
        <v>2322</v>
      </c>
    </row>
    <row r="3351" spans="1:8" ht="25.5" hidden="1">
      <c r="A3351" s="1212"/>
      <c r="B3351" s="1212"/>
      <c r="C3351" s="1752" t="s">
        <v>1286</v>
      </c>
      <c r="D3351" s="1212"/>
      <c r="E3351" s="1213"/>
      <c r="F3351" s="1215">
        <f>ROUND((G3344+G3345+G3346)*0.1,2)</f>
        <v>665.5</v>
      </c>
      <c r="G3351" s="1215">
        <f>ROUND((G3344+G3345+G3346)*0.2,2)</f>
        <v>1331</v>
      </c>
      <c r="H3351" s="1205" t="s">
        <v>2322</v>
      </c>
    </row>
    <row r="3352" spans="1:8" hidden="1">
      <c r="A3352" s="1212"/>
      <c r="B3352" s="1212"/>
      <c r="C3352" s="1754" t="s">
        <v>88</v>
      </c>
      <c r="D3352" s="1212"/>
      <c r="E3352" s="1213">
        <f>SUM(E3350:E3351)</f>
        <v>31150.720000000001</v>
      </c>
      <c r="F3352" s="1215">
        <f>SUM(F3350:F3351)</f>
        <v>31816.22</v>
      </c>
      <c r="G3352" s="1215">
        <f>SUM(G3350:G3351)</f>
        <v>32481.72</v>
      </c>
      <c r="H3352" s="1205" t="s">
        <v>2322</v>
      </c>
    </row>
    <row r="3353" spans="1:8" hidden="1">
      <c r="A3353" s="1212"/>
      <c r="B3353" s="1212"/>
      <c r="C3353" s="1754" t="s">
        <v>121</v>
      </c>
      <c r="D3353" s="1212"/>
      <c r="E3353" s="1217">
        <f>ROUND(E3352/10,2)</f>
        <v>3115.07</v>
      </c>
      <c r="F3353" s="1217">
        <f>ROUND(F3352/10,2)</f>
        <v>3181.62</v>
      </c>
      <c r="G3353" s="1222">
        <f>ROUND(G3352/10,2)</f>
        <v>3248.17</v>
      </c>
      <c r="H3353" s="1205" t="s">
        <v>2322</v>
      </c>
    </row>
    <row r="3354" spans="1:8" ht="153" hidden="1">
      <c r="A3354" s="1156">
        <v>25</v>
      </c>
      <c r="B3354" s="1218" t="s">
        <v>668</v>
      </c>
      <c r="C3354" s="1752" t="s">
        <v>671</v>
      </c>
      <c r="D3354" s="1212"/>
      <c r="E3354" s="1212"/>
      <c r="F3354" s="1212"/>
      <c r="G3354" s="1218"/>
      <c r="H3354" s="1205" t="s">
        <v>2322</v>
      </c>
    </row>
    <row r="3355" spans="1:8" hidden="1">
      <c r="A3355" s="1156"/>
      <c r="B3355" s="1218"/>
      <c r="C3355" s="1754" t="s">
        <v>42</v>
      </c>
      <c r="D3355" s="1212"/>
      <c r="E3355" s="1212"/>
      <c r="F3355" s="1212"/>
      <c r="G3355" s="1215"/>
      <c r="H3355" s="1205" t="s">
        <v>2322</v>
      </c>
    </row>
    <row r="3356" spans="1:8" hidden="1">
      <c r="A3356" s="1156"/>
      <c r="B3356" s="1218"/>
      <c r="C3356" s="1754" t="s">
        <v>60</v>
      </c>
      <c r="D3356" s="1212"/>
      <c r="E3356" s="1212"/>
      <c r="F3356" s="1212"/>
      <c r="G3356" s="1215"/>
      <c r="H3356" s="1205" t="s">
        <v>2322</v>
      </c>
    </row>
    <row r="3357" spans="1:8" ht="25.5" hidden="1">
      <c r="A3357" s="1156"/>
      <c r="B3357" s="1218"/>
      <c r="C3357" s="1752" t="s">
        <v>667</v>
      </c>
      <c r="D3357" s="1212" t="s">
        <v>77</v>
      </c>
      <c r="E3357" s="1213">
        <v>10.5</v>
      </c>
      <c r="F3357" s="1213">
        <f>F3338</f>
        <v>2257.7440000000001</v>
      </c>
      <c r="G3357" s="1214">
        <f>ROUND(E3357*F3357/1,2)</f>
        <v>23706.31</v>
      </c>
      <c r="H3357" s="1205" t="s">
        <v>2322</v>
      </c>
    </row>
    <row r="3358" spans="1:8" hidden="1">
      <c r="A3358" s="1156"/>
      <c r="B3358" s="1218"/>
      <c r="C3358" s="1752" t="s">
        <v>669</v>
      </c>
      <c r="D3358" s="1212" t="s">
        <v>35</v>
      </c>
      <c r="E3358" s="1213">
        <v>0.12</v>
      </c>
      <c r="F3358" s="1213">
        <f>F3342</f>
        <v>1815.9999999999998</v>
      </c>
      <c r="G3358" s="1214">
        <f>ROUND(E3358*F3358,2)</f>
        <v>217.92</v>
      </c>
      <c r="H3358" s="1205" t="s">
        <v>2322</v>
      </c>
    </row>
    <row r="3359" spans="1:8" hidden="1">
      <c r="A3359" s="1156"/>
      <c r="B3359" s="1218"/>
      <c r="C3359" s="1752" t="s">
        <v>105</v>
      </c>
      <c r="D3359" s="1212" t="s">
        <v>4</v>
      </c>
      <c r="E3359" s="1213">
        <v>57.6</v>
      </c>
      <c r="F3359" s="1213">
        <f>F3339</f>
        <v>4700</v>
      </c>
      <c r="G3359" s="1214">
        <f>ROUND(E3359*F3359/1000,2)</f>
        <v>270.72000000000003</v>
      </c>
      <c r="H3359" s="1205" t="s">
        <v>2322</v>
      </c>
    </row>
    <row r="3360" spans="1:8" hidden="1">
      <c r="A3360" s="1156"/>
      <c r="B3360" s="1218"/>
      <c r="C3360" s="1752" t="s">
        <v>92</v>
      </c>
      <c r="D3360" s="1212" t="s">
        <v>4</v>
      </c>
      <c r="E3360" s="1213">
        <v>33</v>
      </c>
      <c r="F3360" s="1213">
        <f>F3340</f>
        <v>4700</v>
      </c>
      <c r="G3360" s="1214">
        <f>ROUND(E3360*F3360/1000,2)</f>
        <v>155.1</v>
      </c>
      <c r="H3360" s="1205" t="s">
        <v>2322</v>
      </c>
    </row>
    <row r="3361" spans="1:8" hidden="1">
      <c r="A3361" s="1156"/>
      <c r="B3361" s="1218"/>
      <c r="C3361" s="1752" t="s">
        <v>670</v>
      </c>
      <c r="D3361" s="1212" t="s">
        <v>4</v>
      </c>
      <c r="E3361" s="1213">
        <v>5</v>
      </c>
      <c r="F3361" s="1213">
        <f>'MINI SSR 2022-23'!C45</f>
        <v>27.95</v>
      </c>
      <c r="G3361" s="1214">
        <f>ROUND(E3361*F3361,2)</f>
        <v>139.75</v>
      </c>
      <c r="H3361" s="1205" t="s">
        <v>2322</v>
      </c>
    </row>
    <row r="3362" spans="1:8" hidden="1">
      <c r="A3362" s="1212"/>
      <c r="B3362" s="1212"/>
      <c r="C3362" s="1754" t="s">
        <v>68</v>
      </c>
      <c r="D3362" s="1212"/>
      <c r="E3362" s="1213"/>
      <c r="F3362" s="1213"/>
      <c r="G3362" s="1214"/>
      <c r="H3362" s="1205" t="s">
        <v>2322</v>
      </c>
    </row>
    <row r="3363" spans="1:8" hidden="1">
      <c r="A3363" s="1212"/>
      <c r="B3363" s="1212"/>
      <c r="C3363" s="1752" t="s">
        <v>64</v>
      </c>
      <c r="D3363" s="1212" t="s">
        <v>27</v>
      </c>
      <c r="E3363" s="1213">
        <v>2.1</v>
      </c>
      <c r="F3363" s="1216">
        <f>'MINI SSR 2022-23'!$H$3</f>
        <v>630</v>
      </c>
      <c r="G3363" s="1214">
        <f>ROUND(E3363*F3363,2)</f>
        <v>1323</v>
      </c>
      <c r="H3363" s="1205" t="s">
        <v>2322</v>
      </c>
    </row>
    <row r="3364" spans="1:8" hidden="1">
      <c r="A3364" s="1212"/>
      <c r="B3364" s="1212"/>
      <c r="C3364" s="1752" t="s">
        <v>69</v>
      </c>
      <c r="D3364" s="1212" t="s">
        <v>27</v>
      </c>
      <c r="E3364" s="1213">
        <v>4.9000000000000004</v>
      </c>
      <c r="F3364" s="1216">
        <f>'MINI SSR 2022-23'!$H$4</f>
        <v>565</v>
      </c>
      <c r="G3364" s="1214">
        <f>ROUND(E3364*F3364,2)</f>
        <v>2768.5</v>
      </c>
      <c r="H3364" s="1205" t="s">
        <v>2322</v>
      </c>
    </row>
    <row r="3365" spans="1:8" hidden="1">
      <c r="A3365" s="1212"/>
      <c r="B3365" s="1212"/>
      <c r="C3365" s="1752" t="s">
        <v>85</v>
      </c>
      <c r="D3365" s="1212" t="s">
        <v>27</v>
      </c>
      <c r="E3365" s="1213">
        <v>0.8</v>
      </c>
      <c r="F3365" s="1216">
        <f>'MINI SSR 2022-23'!$H$5</f>
        <v>525</v>
      </c>
      <c r="G3365" s="1214">
        <f>ROUND(E3365*F3365,2)</f>
        <v>420</v>
      </c>
      <c r="H3365" s="1205" t="s">
        <v>2322</v>
      </c>
    </row>
    <row r="3366" spans="1:8" hidden="1">
      <c r="A3366" s="1212"/>
      <c r="B3366" s="1212"/>
      <c r="C3366" s="1752" t="s">
        <v>895</v>
      </c>
      <c r="D3366" s="1212"/>
      <c r="E3366" s="1213">
        <v>0.01</v>
      </c>
      <c r="F3366" s="1213">
        <f>SUM(G3358:G3365)</f>
        <v>5294.99</v>
      </c>
      <c r="G3366" s="1214">
        <f>ROUND(E3366*F3366,2)</f>
        <v>52.95</v>
      </c>
      <c r="H3366" s="1205" t="s">
        <v>2322</v>
      </c>
    </row>
    <row r="3367" spans="1:8" hidden="1">
      <c r="A3367" s="1212"/>
      <c r="B3367" s="1212"/>
      <c r="C3367" s="1754" t="s">
        <v>88</v>
      </c>
      <c r="D3367" s="1212"/>
      <c r="E3367" s="1212"/>
      <c r="F3367" s="1212"/>
      <c r="G3367" s="1222">
        <f>SUM(G3357:G3366)</f>
        <v>29054.25</v>
      </c>
      <c r="H3367" s="1205" t="s">
        <v>2322</v>
      </c>
    </row>
    <row r="3368" spans="1:8" hidden="1">
      <c r="A3368" s="1212"/>
      <c r="B3368" s="1212"/>
      <c r="C3368" s="1754"/>
      <c r="D3368" s="1212"/>
      <c r="E3368" s="1218" t="s">
        <v>161</v>
      </c>
      <c r="F3368" s="1218" t="s">
        <v>161</v>
      </c>
      <c r="G3368" s="1217" t="s">
        <v>162</v>
      </c>
      <c r="H3368" s="1205" t="s">
        <v>2322</v>
      </c>
    </row>
    <row r="3369" spans="1:8" hidden="1">
      <c r="A3369" s="1212"/>
      <c r="B3369" s="1212"/>
      <c r="C3369" s="1754" t="s">
        <v>1274</v>
      </c>
      <c r="D3369" s="1212"/>
      <c r="E3369" s="1213">
        <f>G3367</f>
        <v>29054.25</v>
      </c>
      <c r="F3369" s="1213">
        <f>G3367</f>
        <v>29054.25</v>
      </c>
      <c r="G3369" s="1215">
        <f>G3367</f>
        <v>29054.25</v>
      </c>
      <c r="H3369" s="1205" t="s">
        <v>2322</v>
      </c>
    </row>
    <row r="3370" spans="1:8" hidden="1">
      <c r="A3370" s="1212"/>
      <c r="B3370" s="1212"/>
      <c r="C3370" s="1752" t="s">
        <v>1350</v>
      </c>
      <c r="D3370" s="1212"/>
      <c r="E3370" s="1213"/>
      <c r="F3370" s="1215">
        <f>ROUND((G3363+G3364+G3365)*0.1,2)</f>
        <v>451.15</v>
      </c>
      <c r="G3370" s="1215">
        <f>ROUND((G3363+G3364+G3365)*0.2,2)</f>
        <v>902.3</v>
      </c>
      <c r="H3370" s="1205" t="s">
        <v>2322</v>
      </c>
    </row>
    <row r="3371" spans="1:8" hidden="1">
      <c r="A3371" s="1212"/>
      <c r="B3371" s="1212"/>
      <c r="C3371" s="1754" t="s">
        <v>88</v>
      </c>
      <c r="D3371" s="1212"/>
      <c r="E3371" s="1213">
        <f>SUM(E3369:E3370)</f>
        <v>29054.25</v>
      </c>
      <c r="F3371" s="1213">
        <f>SUM(F3369:F3370)</f>
        <v>29505.4</v>
      </c>
      <c r="G3371" s="1215">
        <f>SUM(G3369:G3370)</f>
        <v>29956.55</v>
      </c>
      <c r="H3371" s="1205" t="s">
        <v>2322</v>
      </c>
    </row>
    <row r="3372" spans="1:8" hidden="1">
      <c r="A3372" s="1212"/>
      <c r="B3372" s="1212"/>
      <c r="C3372" s="1754" t="s">
        <v>121</v>
      </c>
      <c r="D3372" s="1212"/>
      <c r="E3372" s="1217">
        <f>ROUND(E3371/10,2)</f>
        <v>2905.43</v>
      </c>
      <c r="F3372" s="1217">
        <f>ROUND(F3371/10,2)</f>
        <v>2950.54</v>
      </c>
      <c r="G3372" s="1222">
        <f>ROUND(G3371/10,2)</f>
        <v>2995.66</v>
      </c>
      <c r="H3372" s="1205" t="s">
        <v>2322</v>
      </c>
    </row>
    <row r="3373" spans="1:8" ht="38.25" hidden="1">
      <c r="A3373" s="1156">
        <v>42</v>
      </c>
      <c r="B3373" s="1218"/>
      <c r="C3373" s="1752" t="s">
        <v>937</v>
      </c>
      <c r="D3373" s="1212"/>
      <c r="E3373" s="1212"/>
      <c r="F3373" s="1212"/>
      <c r="G3373" s="1169"/>
      <c r="H3373" s="1205" t="s">
        <v>2322</v>
      </c>
    </row>
    <row r="3374" spans="1:8" hidden="1">
      <c r="A3374" s="1169"/>
      <c r="B3374" s="1169"/>
      <c r="C3374" s="1752" t="s">
        <v>938</v>
      </c>
      <c r="D3374" s="1156" t="s">
        <v>277</v>
      </c>
      <c r="E3374" s="1166">
        <v>1</v>
      </c>
      <c r="F3374" s="1221">
        <f>'MINI SSR 2022-23'!C46</f>
        <v>453</v>
      </c>
      <c r="G3374" s="1214">
        <f>ROUND(E3374*F3374,2)</f>
        <v>453</v>
      </c>
      <c r="H3374" s="1205" t="s">
        <v>2322</v>
      </c>
    </row>
    <row r="3375" spans="1:8" hidden="1">
      <c r="A3375" s="1169"/>
      <c r="B3375" s="1169"/>
      <c r="C3375" s="1754" t="s">
        <v>377</v>
      </c>
      <c r="D3375" s="1156"/>
      <c r="E3375" s="1221"/>
      <c r="F3375" s="1221"/>
      <c r="G3375" s="1220">
        <f>SUM(G3374:G3374)</f>
        <v>453</v>
      </c>
      <c r="H3375" s="1205" t="s">
        <v>2322</v>
      </c>
    </row>
    <row r="3376" spans="1:8" ht="140.25" hidden="1">
      <c r="A3376" s="1156">
        <v>43</v>
      </c>
      <c r="B3376" s="1218" t="s">
        <v>674</v>
      </c>
      <c r="C3376" s="1752" t="s">
        <v>673</v>
      </c>
      <c r="D3376" s="1212"/>
      <c r="E3376" s="1212"/>
      <c r="F3376" s="1212"/>
      <c r="G3376" s="1218"/>
      <c r="H3376" s="1205" t="s">
        <v>2322</v>
      </c>
    </row>
    <row r="3377" spans="1:8" hidden="1">
      <c r="A3377" s="1156"/>
      <c r="B3377" s="1218"/>
      <c r="C3377" s="1754" t="s">
        <v>42</v>
      </c>
      <c r="D3377" s="1212"/>
      <c r="E3377" s="1212"/>
      <c r="F3377" s="1212"/>
      <c r="G3377" s="1215"/>
      <c r="H3377" s="1205" t="s">
        <v>2322</v>
      </c>
    </row>
    <row r="3378" spans="1:8" hidden="1">
      <c r="A3378" s="1156"/>
      <c r="B3378" s="1218"/>
      <c r="C3378" s="1754" t="s">
        <v>60</v>
      </c>
      <c r="D3378" s="1212"/>
      <c r="E3378" s="1212"/>
      <c r="F3378" s="1212"/>
      <c r="G3378" s="1215"/>
      <c r="H3378" s="1205" t="s">
        <v>2322</v>
      </c>
    </row>
    <row r="3379" spans="1:8" ht="25.5" hidden="1">
      <c r="A3379" s="1156"/>
      <c r="B3379" s="1218"/>
      <c r="C3379" s="1752" t="s">
        <v>677</v>
      </c>
      <c r="D3379" s="1212" t="s">
        <v>77</v>
      </c>
      <c r="E3379" s="1213">
        <v>10.5</v>
      </c>
      <c r="F3379" s="1213">
        <f>'MINI SSR 2022-23'!C20</f>
        <v>315</v>
      </c>
      <c r="G3379" s="1214">
        <f>ROUND(E3379*F3379/1,2)</f>
        <v>3307.5</v>
      </c>
      <c r="H3379" s="1205" t="s">
        <v>2322</v>
      </c>
    </row>
    <row r="3380" spans="1:8" hidden="1">
      <c r="A3380" s="1156"/>
      <c r="B3380" s="1218"/>
      <c r="C3380" s="1752" t="s">
        <v>675</v>
      </c>
      <c r="D3380" s="1212" t="s">
        <v>4</v>
      </c>
      <c r="E3380" s="1213">
        <v>28.8</v>
      </c>
      <c r="F3380" s="1213">
        <f>F3359</f>
        <v>4700</v>
      </c>
      <c r="G3380" s="1214">
        <f>ROUND(E3380*F3380/1000,2)</f>
        <v>135.36000000000001</v>
      </c>
      <c r="H3380" s="1205" t="s">
        <v>2322</v>
      </c>
    </row>
    <row r="3381" spans="1:8" hidden="1">
      <c r="A3381" s="1156"/>
      <c r="B3381" s="1218"/>
      <c r="C3381" s="1752" t="s">
        <v>92</v>
      </c>
      <c r="D3381" s="1212" t="s">
        <v>4</v>
      </c>
      <c r="E3381" s="1213">
        <v>33</v>
      </c>
      <c r="F3381" s="1213">
        <f>F3380</f>
        <v>4700</v>
      </c>
      <c r="G3381" s="1214">
        <f>ROUND(E3381*F3381/1000,2)</f>
        <v>155.1</v>
      </c>
      <c r="H3381" s="1205" t="s">
        <v>2322</v>
      </c>
    </row>
    <row r="3382" spans="1:8" hidden="1">
      <c r="A3382" s="1156"/>
      <c r="B3382" s="1218"/>
      <c r="C3382" s="1752" t="s">
        <v>93</v>
      </c>
      <c r="D3382" s="1212" t="s">
        <v>4</v>
      </c>
      <c r="E3382" s="1213">
        <v>6</v>
      </c>
      <c r="F3382" s="1213">
        <f>F3381</f>
        <v>4700</v>
      </c>
      <c r="G3382" s="1214">
        <f>ROUND(E3382*F3382/1000,2)</f>
        <v>28.2</v>
      </c>
      <c r="H3382" s="1205" t="s">
        <v>2322</v>
      </c>
    </row>
    <row r="3383" spans="1:8" hidden="1">
      <c r="A3383" s="1156"/>
      <c r="B3383" s="1218"/>
      <c r="C3383" s="1752" t="s">
        <v>676</v>
      </c>
      <c r="D3383" s="1212" t="s">
        <v>35</v>
      </c>
      <c r="E3383" s="1213">
        <v>0.12</v>
      </c>
      <c r="F3383" s="1213">
        <f>'lead 22-23'!L12</f>
        <v>1815.9999999999998</v>
      </c>
      <c r="G3383" s="1214">
        <f>ROUND(E3383*F3383,2)</f>
        <v>217.92</v>
      </c>
      <c r="H3383" s="1205" t="s">
        <v>2322</v>
      </c>
    </row>
    <row r="3384" spans="1:8" hidden="1">
      <c r="A3384" s="1212"/>
      <c r="B3384" s="1212"/>
      <c r="C3384" s="1754" t="s">
        <v>68</v>
      </c>
      <c r="D3384" s="1212"/>
      <c r="E3384" s="1213"/>
      <c r="F3384" s="1213"/>
      <c r="G3384" s="1214"/>
      <c r="H3384" s="1205" t="s">
        <v>2322</v>
      </c>
    </row>
    <row r="3385" spans="1:8" hidden="1">
      <c r="A3385" s="1212"/>
      <c r="B3385" s="1212"/>
      <c r="C3385" s="1752" t="s">
        <v>69</v>
      </c>
      <c r="D3385" s="1212" t="s">
        <v>27</v>
      </c>
      <c r="E3385" s="1213">
        <v>0.96</v>
      </c>
      <c r="F3385" s="1216">
        <f>'MINI SSR 2022-23'!$H$3</f>
        <v>630</v>
      </c>
      <c r="G3385" s="1214">
        <f>ROUND(E3385*F3385,2)</f>
        <v>604.79999999999995</v>
      </c>
      <c r="H3385" s="1205" t="s">
        <v>2322</v>
      </c>
    </row>
    <row r="3386" spans="1:8" hidden="1">
      <c r="A3386" s="1212"/>
      <c r="B3386" s="1212"/>
      <c r="C3386" s="1752" t="s">
        <v>218</v>
      </c>
      <c r="D3386" s="1212" t="s">
        <v>27</v>
      </c>
      <c r="E3386" s="1213">
        <v>2.2400000000000002</v>
      </c>
      <c r="F3386" s="1216">
        <f>'MINI SSR 2022-23'!$H$4</f>
        <v>565</v>
      </c>
      <c r="G3386" s="1214">
        <f>ROUND(E3386*F3386,2)</f>
        <v>1265.5999999999999</v>
      </c>
      <c r="H3386" s="1205" t="s">
        <v>2322</v>
      </c>
    </row>
    <row r="3387" spans="1:8" hidden="1">
      <c r="A3387" s="1212"/>
      <c r="B3387" s="1212"/>
      <c r="C3387" s="1752" t="s">
        <v>85</v>
      </c>
      <c r="D3387" s="1212" t="s">
        <v>27</v>
      </c>
      <c r="E3387" s="1213">
        <v>3.3</v>
      </c>
      <c r="F3387" s="1216">
        <f>'MINI SSR 2022-23'!$H$5</f>
        <v>525</v>
      </c>
      <c r="G3387" s="1214">
        <f>ROUND(E3387*F3387,2)</f>
        <v>1732.5</v>
      </c>
      <c r="H3387" s="1205" t="s">
        <v>2322</v>
      </c>
    </row>
    <row r="3388" spans="1:8" hidden="1">
      <c r="A3388" s="1212"/>
      <c r="B3388" s="1212"/>
      <c r="C3388" s="1754" t="s">
        <v>88</v>
      </c>
      <c r="D3388" s="1212"/>
      <c r="E3388" s="1212"/>
      <c r="F3388" s="1212"/>
      <c r="G3388" s="1222">
        <f>SUM(G3379:G3387)</f>
        <v>7446.98</v>
      </c>
      <c r="H3388" s="1205" t="s">
        <v>2322</v>
      </c>
    </row>
    <row r="3389" spans="1:8" hidden="1">
      <c r="A3389" s="1212"/>
      <c r="B3389" s="1212"/>
      <c r="C3389" s="1754"/>
      <c r="D3389" s="1212"/>
      <c r="E3389" s="1218" t="s">
        <v>161</v>
      </c>
      <c r="F3389" s="1218" t="s">
        <v>162</v>
      </c>
      <c r="G3389" s="1217" t="s">
        <v>163</v>
      </c>
      <c r="H3389" s="1205" t="s">
        <v>2322</v>
      </c>
    </row>
    <row r="3390" spans="1:8" hidden="1">
      <c r="A3390" s="1212"/>
      <c r="B3390" s="1212"/>
      <c r="C3390" s="1754" t="s">
        <v>1274</v>
      </c>
      <c r="D3390" s="1212"/>
      <c r="E3390" s="1213">
        <f>G3388</f>
        <v>7446.98</v>
      </c>
      <c r="F3390" s="1213">
        <f>G3388</f>
        <v>7446.98</v>
      </c>
      <c r="G3390" s="1215">
        <f>G3388</f>
        <v>7446.98</v>
      </c>
      <c r="H3390" s="1205" t="s">
        <v>2322</v>
      </c>
    </row>
    <row r="3391" spans="1:8" ht="25.5" hidden="1">
      <c r="A3391" s="1212"/>
      <c r="B3391" s="1212"/>
      <c r="C3391" s="1752" t="s">
        <v>1286</v>
      </c>
      <c r="D3391" s="1212"/>
      <c r="E3391" s="1213"/>
      <c r="F3391" s="1215">
        <f>ROUND((G3386+G3385+G3387)*0.1,2)</f>
        <v>360.29</v>
      </c>
      <c r="G3391" s="1215">
        <f>ROUND((G3387+G3385+G3386)*0.2,2)</f>
        <v>720.58</v>
      </c>
      <c r="H3391" s="1205" t="s">
        <v>2322</v>
      </c>
    </row>
    <row r="3392" spans="1:8" hidden="1">
      <c r="A3392" s="1212"/>
      <c r="B3392" s="1212"/>
      <c r="C3392" s="1754" t="s">
        <v>88</v>
      </c>
      <c r="D3392" s="1212"/>
      <c r="E3392" s="1213">
        <f>SUM(E3390:E3391)</f>
        <v>7446.98</v>
      </c>
      <c r="F3392" s="1213">
        <f>SUM(F3390:F3391)</f>
        <v>7807.2699999999995</v>
      </c>
      <c r="G3392" s="1215">
        <f>SUM(G3390:G3391)</f>
        <v>8167.5599999999995</v>
      </c>
      <c r="H3392" s="1205" t="s">
        <v>2322</v>
      </c>
    </row>
    <row r="3393" spans="1:8" hidden="1">
      <c r="A3393" s="1212"/>
      <c r="B3393" s="1212"/>
      <c r="C3393" s="1754" t="s">
        <v>121</v>
      </c>
      <c r="D3393" s="1212"/>
      <c r="E3393" s="1217">
        <f>ROUND(E3392/10,2)</f>
        <v>744.7</v>
      </c>
      <c r="F3393" s="1217">
        <f>ROUND(F3392/10,2)</f>
        <v>780.73</v>
      </c>
      <c r="G3393" s="1222">
        <f>ROUND(G3392/10,2)</f>
        <v>816.76</v>
      </c>
      <c r="H3393" s="1205" t="s">
        <v>2322</v>
      </c>
    </row>
    <row r="3394" spans="1:8" ht="127.5" hidden="1">
      <c r="A3394" s="1156">
        <v>44</v>
      </c>
      <c r="B3394" s="1218" t="s">
        <v>199</v>
      </c>
      <c r="C3394" s="1752" t="s">
        <v>679</v>
      </c>
      <c r="D3394" s="1212"/>
      <c r="E3394" s="1212"/>
      <c r="F3394" s="1212"/>
      <c r="G3394" s="1218"/>
      <c r="H3394" s="1205" t="s">
        <v>2322</v>
      </c>
    </row>
    <row r="3395" spans="1:8" hidden="1">
      <c r="A3395" s="1156"/>
      <c r="B3395" s="1218"/>
      <c r="C3395" s="1754" t="s">
        <v>42</v>
      </c>
      <c r="D3395" s="1212"/>
      <c r="E3395" s="1212"/>
      <c r="F3395" s="1212"/>
      <c r="G3395" s="1215"/>
      <c r="H3395" s="1205" t="s">
        <v>2322</v>
      </c>
    </row>
    <row r="3396" spans="1:8" hidden="1">
      <c r="A3396" s="1156"/>
      <c r="B3396" s="1218"/>
      <c r="C3396" s="1754" t="s">
        <v>60</v>
      </c>
      <c r="D3396" s="1212"/>
      <c r="E3396" s="1212"/>
      <c r="F3396" s="1212"/>
      <c r="G3396" s="1215"/>
      <c r="H3396" s="1205" t="s">
        <v>2322</v>
      </c>
    </row>
    <row r="3397" spans="1:8" ht="25.5" hidden="1">
      <c r="A3397" s="1156"/>
      <c r="B3397" s="1218"/>
      <c r="C3397" s="1752" t="s">
        <v>677</v>
      </c>
      <c r="D3397" s="1212" t="s">
        <v>77</v>
      </c>
      <c r="E3397" s="1213">
        <v>10.5</v>
      </c>
      <c r="F3397" s="1213">
        <f>'MINI SSR 2022-23'!C20</f>
        <v>315</v>
      </c>
      <c r="G3397" s="1214">
        <f>ROUND(E3397*F3397/1,2)</f>
        <v>3307.5</v>
      </c>
      <c r="H3397" s="1205" t="s">
        <v>2322</v>
      </c>
    </row>
    <row r="3398" spans="1:8" hidden="1">
      <c r="A3398" s="1156"/>
      <c r="B3398" s="1218"/>
      <c r="C3398" s="1752" t="s">
        <v>200</v>
      </c>
      <c r="D3398" s="1212" t="s">
        <v>35</v>
      </c>
      <c r="E3398" s="1213">
        <v>0.12</v>
      </c>
      <c r="F3398" s="1213">
        <f>F3383</f>
        <v>1815.9999999999998</v>
      </c>
      <c r="G3398" s="1214">
        <f>ROUND(E3398*F3398,2)</f>
        <v>217.92</v>
      </c>
      <c r="H3398" s="1205" t="s">
        <v>2322</v>
      </c>
    </row>
    <row r="3399" spans="1:8" hidden="1">
      <c r="A3399" s="1156"/>
      <c r="B3399" s="1218"/>
      <c r="C3399" s="1752" t="s">
        <v>201</v>
      </c>
      <c r="D3399" s="1212" t="s">
        <v>4</v>
      </c>
      <c r="E3399" s="1213">
        <v>34.56</v>
      </c>
      <c r="F3399" s="1213">
        <f>F3380</f>
        <v>4700</v>
      </c>
      <c r="G3399" s="1214">
        <f>ROUND(E3399*F3399/1000,2)</f>
        <v>162.43</v>
      </c>
      <c r="H3399" s="1205" t="s">
        <v>2322</v>
      </c>
    </row>
    <row r="3400" spans="1:8" hidden="1">
      <c r="A3400" s="1156"/>
      <c r="B3400" s="1218"/>
      <c r="C3400" s="1752" t="s">
        <v>202</v>
      </c>
      <c r="D3400" s="1212" t="s">
        <v>4</v>
      </c>
      <c r="E3400" s="1213">
        <v>33</v>
      </c>
      <c r="F3400" s="1213">
        <f>F3399</f>
        <v>4700</v>
      </c>
      <c r="G3400" s="1214">
        <f>ROUND(E3400*F3400/1000,2)</f>
        <v>155.1</v>
      </c>
      <c r="H3400" s="1205" t="s">
        <v>2322</v>
      </c>
    </row>
    <row r="3401" spans="1:8" hidden="1">
      <c r="A3401" s="1156"/>
      <c r="B3401" s="1218"/>
      <c r="C3401" s="1752" t="s">
        <v>204</v>
      </c>
      <c r="D3401" s="1212" t="s">
        <v>4</v>
      </c>
      <c r="E3401" s="1213">
        <v>2</v>
      </c>
      <c r="F3401" s="1213">
        <f>'MINI SSR 2022-23'!C45</f>
        <v>27.95</v>
      </c>
      <c r="G3401" s="1214">
        <f>ROUND(E3401*F3401,2)</f>
        <v>55.9</v>
      </c>
      <c r="H3401" s="1205" t="s">
        <v>2322</v>
      </c>
    </row>
    <row r="3402" spans="1:8" hidden="1">
      <c r="A3402" s="1212"/>
      <c r="B3402" s="1212"/>
      <c r="C3402" s="1754" t="s">
        <v>68</v>
      </c>
      <c r="D3402" s="1212"/>
      <c r="E3402" s="1213"/>
      <c r="F3402" s="1213"/>
      <c r="G3402" s="1214"/>
      <c r="H3402" s="1205" t="s">
        <v>2322</v>
      </c>
    </row>
    <row r="3403" spans="1:8" hidden="1">
      <c r="A3403" s="1212"/>
      <c r="B3403" s="1212"/>
      <c r="C3403" s="1752" t="s">
        <v>64</v>
      </c>
      <c r="D3403" s="1212" t="s">
        <v>27</v>
      </c>
      <c r="E3403" s="1213">
        <v>0.96</v>
      </c>
      <c r="F3403" s="1216">
        <f>'MINI SSR 2022-23'!$H$3</f>
        <v>630</v>
      </c>
      <c r="G3403" s="1214">
        <f>ROUND(E3403*F3403,2)</f>
        <v>604.79999999999995</v>
      </c>
      <c r="H3403" s="1205" t="s">
        <v>2322</v>
      </c>
    </row>
    <row r="3404" spans="1:8" hidden="1">
      <c r="A3404" s="1212"/>
      <c r="B3404" s="1212"/>
      <c r="C3404" s="1752" t="s">
        <v>69</v>
      </c>
      <c r="D3404" s="1212" t="s">
        <v>27</v>
      </c>
      <c r="E3404" s="1213">
        <v>2.2400000000000002</v>
      </c>
      <c r="F3404" s="1216">
        <f>'MINI SSR 2022-23'!$H$4</f>
        <v>565</v>
      </c>
      <c r="G3404" s="1214">
        <f>ROUND(E3404*F3404,2)</f>
        <v>1265.5999999999999</v>
      </c>
      <c r="H3404" s="1205" t="s">
        <v>2322</v>
      </c>
    </row>
    <row r="3405" spans="1:8" hidden="1">
      <c r="A3405" s="1212"/>
      <c r="B3405" s="1212"/>
      <c r="C3405" s="1752" t="s">
        <v>85</v>
      </c>
      <c r="D3405" s="1212" t="s">
        <v>27</v>
      </c>
      <c r="E3405" s="1213">
        <v>3.3</v>
      </c>
      <c r="F3405" s="1216">
        <f>'MINI SSR 2022-23'!$H$5</f>
        <v>525</v>
      </c>
      <c r="G3405" s="1214">
        <f>ROUND(E3405*F3405,2)</f>
        <v>1732.5</v>
      </c>
      <c r="H3405" s="1205" t="s">
        <v>2322</v>
      </c>
    </row>
    <row r="3406" spans="1:8" hidden="1">
      <c r="A3406" s="1212"/>
      <c r="B3406" s="1212"/>
      <c r="C3406" s="1754" t="s">
        <v>88</v>
      </c>
      <c r="D3406" s="1212"/>
      <c r="E3406" s="1212"/>
      <c r="F3406" s="1212"/>
      <c r="G3406" s="1222">
        <f>SUM(G3397:G3405)</f>
        <v>7501.75</v>
      </c>
      <c r="H3406" s="1205" t="s">
        <v>2322</v>
      </c>
    </row>
    <row r="3407" spans="1:8" hidden="1">
      <c r="A3407" s="1212"/>
      <c r="B3407" s="1212"/>
      <c r="C3407" s="1754"/>
      <c r="D3407" s="1212"/>
      <c r="E3407" s="1218" t="s">
        <v>161</v>
      </c>
      <c r="F3407" s="1218" t="s">
        <v>162</v>
      </c>
      <c r="G3407" s="1217" t="s">
        <v>163</v>
      </c>
      <c r="H3407" s="1205" t="s">
        <v>2322</v>
      </c>
    </row>
    <row r="3408" spans="1:8" hidden="1">
      <c r="A3408" s="1212"/>
      <c r="B3408" s="1212"/>
      <c r="C3408" s="1754" t="s">
        <v>1275</v>
      </c>
      <c r="D3408" s="1212"/>
      <c r="E3408" s="1213">
        <f>G3406</f>
        <v>7501.75</v>
      </c>
      <c r="F3408" s="1213">
        <f>G3406</f>
        <v>7501.75</v>
      </c>
      <c r="G3408" s="1215">
        <f>G3406</f>
        <v>7501.75</v>
      </c>
      <c r="H3408" s="1205" t="s">
        <v>2322</v>
      </c>
    </row>
    <row r="3409" spans="1:8" ht="25.5" hidden="1">
      <c r="A3409" s="1212"/>
      <c r="B3409" s="1212"/>
      <c r="C3409" s="1752" t="s">
        <v>170</v>
      </c>
      <c r="D3409" s="1212"/>
      <c r="E3409" s="1213"/>
      <c r="F3409" s="1215">
        <f>ROUND((G3404+G3403+G3405)*0.1,2)</f>
        <v>360.29</v>
      </c>
      <c r="G3409" s="1215">
        <f>ROUND((G3405+G3403+G3404)*0.2,2)</f>
        <v>720.58</v>
      </c>
      <c r="H3409" s="1205" t="s">
        <v>2322</v>
      </c>
    </row>
    <row r="3410" spans="1:8" hidden="1">
      <c r="A3410" s="1212"/>
      <c r="B3410" s="1212"/>
      <c r="C3410" s="1754" t="s">
        <v>194</v>
      </c>
      <c r="D3410" s="1212"/>
      <c r="E3410" s="1213">
        <f>SUM(E3408:E3409)</f>
        <v>7501.75</v>
      </c>
      <c r="F3410" s="1213">
        <f>SUM(F3408:F3409)</f>
        <v>7862.04</v>
      </c>
      <c r="G3410" s="1215">
        <f>SUM(G3408:G3409)</f>
        <v>8222.33</v>
      </c>
      <c r="H3410" s="1205" t="s">
        <v>2322</v>
      </c>
    </row>
    <row r="3411" spans="1:8" hidden="1">
      <c r="A3411" s="1212"/>
      <c r="B3411" s="1212"/>
      <c r="C3411" s="1754" t="s">
        <v>181</v>
      </c>
      <c r="D3411" s="1212"/>
      <c r="E3411" s="1217">
        <f>ROUND(E3410/10,2)</f>
        <v>750.18</v>
      </c>
      <c r="F3411" s="1217">
        <f>ROUND(F3410/10,2)</f>
        <v>786.2</v>
      </c>
      <c r="G3411" s="1222">
        <f>ROUND(G3410/10,2)</f>
        <v>822.23</v>
      </c>
      <c r="H3411" s="1205" t="s">
        <v>2322</v>
      </c>
    </row>
    <row r="3412" spans="1:8" ht="165.75" hidden="1">
      <c r="A3412" s="1156">
        <v>23</v>
      </c>
      <c r="B3412" s="1218" t="s">
        <v>195</v>
      </c>
      <c r="C3412" s="1752" t="s">
        <v>212</v>
      </c>
      <c r="D3412" s="1212"/>
      <c r="E3412" s="1212"/>
      <c r="F3412" s="1212"/>
      <c r="G3412" s="1218"/>
      <c r="H3412" s="1205" t="s">
        <v>2322</v>
      </c>
    </row>
    <row r="3413" spans="1:8" hidden="1">
      <c r="A3413" s="1156"/>
      <c r="B3413" s="1218"/>
      <c r="C3413" s="1754" t="s">
        <v>42</v>
      </c>
      <c r="D3413" s="1212"/>
      <c r="E3413" s="1212"/>
      <c r="F3413" s="1212"/>
      <c r="G3413" s="1215"/>
      <c r="H3413" s="1205" t="s">
        <v>2322</v>
      </c>
    </row>
    <row r="3414" spans="1:8" hidden="1">
      <c r="A3414" s="1156"/>
      <c r="B3414" s="1218"/>
      <c r="C3414" s="1754" t="s">
        <v>60</v>
      </c>
      <c r="D3414" s="1212"/>
      <c r="E3414" s="1212"/>
      <c r="F3414" s="1212"/>
      <c r="G3414" s="1215"/>
      <c r="H3414" s="1205" t="s">
        <v>2322</v>
      </c>
    </row>
    <row r="3415" spans="1:8" hidden="1">
      <c r="A3415" s="1156"/>
      <c r="B3415" s="1218"/>
      <c r="C3415" s="1752" t="s">
        <v>203</v>
      </c>
      <c r="D3415" s="1212" t="s">
        <v>77</v>
      </c>
      <c r="E3415" s="1213">
        <v>10.5</v>
      </c>
      <c r="F3415" s="1213">
        <f>'MINI SSR 2022-23'!C21</f>
        <v>612</v>
      </c>
      <c r="G3415" s="1214">
        <f>ROUND(E3415*F3415,2)</f>
        <v>6426</v>
      </c>
      <c r="H3415" s="1205" t="s">
        <v>2322</v>
      </c>
    </row>
    <row r="3416" spans="1:8" hidden="1">
      <c r="A3416" s="1156"/>
      <c r="B3416" s="1218"/>
      <c r="C3416" s="1752" t="s">
        <v>91</v>
      </c>
      <c r="D3416" s="1212" t="s">
        <v>4</v>
      </c>
      <c r="E3416" s="1213">
        <v>21.6</v>
      </c>
      <c r="F3416" s="1213">
        <f>'lead 22-23'!L8</f>
        <v>4700</v>
      </c>
      <c r="G3416" s="1214">
        <f>ROUND(E3416*F3416/1000,2)</f>
        <v>101.52</v>
      </c>
      <c r="H3416" s="1205" t="s">
        <v>2322</v>
      </c>
    </row>
    <row r="3417" spans="1:8" hidden="1">
      <c r="A3417" s="1156"/>
      <c r="B3417" s="1218"/>
      <c r="C3417" s="1752" t="s">
        <v>92</v>
      </c>
      <c r="D3417" s="1212" t="s">
        <v>4</v>
      </c>
      <c r="E3417" s="1213">
        <v>33</v>
      </c>
      <c r="F3417" s="1213">
        <f>F3416</f>
        <v>4700</v>
      </c>
      <c r="G3417" s="1214">
        <f>ROUND(E3417*F3417/1000,2)</f>
        <v>155.1</v>
      </c>
      <c r="H3417" s="1205" t="s">
        <v>2322</v>
      </c>
    </row>
    <row r="3418" spans="1:8" hidden="1">
      <c r="A3418" s="1156"/>
      <c r="B3418" s="1218"/>
      <c r="C3418" s="1752" t="s">
        <v>196</v>
      </c>
      <c r="D3418" s="1212" t="s">
        <v>4</v>
      </c>
      <c r="E3418" s="1213">
        <v>6</v>
      </c>
      <c r="F3418" s="1213">
        <f>F3417</f>
        <v>4700</v>
      </c>
      <c r="G3418" s="1214">
        <f>ROUND(E3418*F3418/1000,2)</f>
        <v>28.2</v>
      </c>
      <c r="H3418" s="1205" t="s">
        <v>2322</v>
      </c>
    </row>
    <row r="3419" spans="1:8" hidden="1">
      <c r="A3419" s="1156"/>
      <c r="B3419" s="1218"/>
      <c r="C3419" s="1752" t="s">
        <v>197</v>
      </c>
      <c r="D3419" s="1212" t="s">
        <v>35</v>
      </c>
      <c r="E3419" s="1213">
        <v>0.12</v>
      </c>
      <c r="F3419" s="1213">
        <f>'lead 22-23'!L12</f>
        <v>1815.9999999999998</v>
      </c>
      <c r="G3419" s="1214">
        <f>ROUND(E3419*F3419,2)</f>
        <v>217.92</v>
      </c>
      <c r="H3419" s="1205" t="s">
        <v>2322</v>
      </c>
    </row>
    <row r="3420" spans="1:8" hidden="1">
      <c r="A3420" s="1156"/>
      <c r="B3420" s="1218"/>
      <c r="C3420" s="1752" t="s">
        <v>198</v>
      </c>
      <c r="D3420" s="1212" t="s">
        <v>35</v>
      </c>
      <c r="E3420" s="1213">
        <v>0.02</v>
      </c>
      <c r="F3420" s="1213">
        <f>F3419</f>
        <v>1815.9999999999998</v>
      </c>
      <c r="G3420" s="1214">
        <f>ROUND(E3420*F3420,2)</f>
        <v>36.32</v>
      </c>
      <c r="H3420" s="1205" t="s">
        <v>2322</v>
      </c>
    </row>
    <row r="3421" spans="1:8" hidden="1">
      <c r="A3421" s="1212"/>
      <c r="B3421" s="1212"/>
      <c r="C3421" s="1754" t="s">
        <v>68</v>
      </c>
      <c r="D3421" s="1212"/>
      <c r="E3421" s="1213"/>
      <c r="F3421" s="1213"/>
      <c r="G3421" s="1214"/>
      <c r="H3421" s="1205" t="s">
        <v>2322</v>
      </c>
    </row>
    <row r="3422" spans="1:8" hidden="1">
      <c r="A3422" s="1212"/>
      <c r="B3422" s="1212"/>
      <c r="C3422" s="1752" t="s">
        <v>64</v>
      </c>
      <c r="D3422" s="1212" t="s">
        <v>27</v>
      </c>
      <c r="E3422" s="1213">
        <v>0.96</v>
      </c>
      <c r="F3422" s="1216">
        <f>'MINI SSR 2022-23'!$H$3</f>
        <v>630</v>
      </c>
      <c r="G3422" s="1214">
        <f>ROUND(E3422*F3422,2)</f>
        <v>604.79999999999995</v>
      </c>
      <c r="H3422" s="1205" t="s">
        <v>2322</v>
      </c>
    </row>
    <row r="3423" spans="1:8" hidden="1">
      <c r="A3423" s="1212"/>
      <c r="B3423" s="1212"/>
      <c r="C3423" s="1752" t="s">
        <v>69</v>
      </c>
      <c r="D3423" s="1212" t="s">
        <v>27</v>
      </c>
      <c r="E3423" s="1213">
        <v>2.2400000000000002</v>
      </c>
      <c r="F3423" s="1216">
        <f>'MINI SSR 2022-23'!$H$4</f>
        <v>565</v>
      </c>
      <c r="G3423" s="1214">
        <f>ROUND(E3423*F3423,2)</f>
        <v>1265.5999999999999</v>
      </c>
      <c r="H3423" s="1205" t="s">
        <v>2322</v>
      </c>
    </row>
    <row r="3424" spans="1:8" hidden="1">
      <c r="A3424" s="1212"/>
      <c r="B3424" s="1212"/>
      <c r="C3424" s="1752" t="s">
        <v>85</v>
      </c>
      <c r="D3424" s="1212" t="s">
        <v>27</v>
      </c>
      <c r="E3424" s="1213">
        <v>3.3</v>
      </c>
      <c r="F3424" s="1216">
        <f>'MINI SSR 2022-23'!$H$5</f>
        <v>525</v>
      </c>
      <c r="G3424" s="1214">
        <f>ROUND(E3424*F3424,2)</f>
        <v>1732.5</v>
      </c>
      <c r="H3424" s="1205" t="s">
        <v>2322</v>
      </c>
    </row>
    <row r="3425" spans="1:8" hidden="1">
      <c r="A3425" s="1212"/>
      <c r="B3425" s="1212"/>
      <c r="C3425" s="1752" t="s">
        <v>1221</v>
      </c>
      <c r="D3425" s="1212"/>
      <c r="E3425" s="1213">
        <v>0.01</v>
      </c>
      <c r="F3425" s="1213">
        <f>SUM(G3415:G3424)</f>
        <v>10567.960000000001</v>
      </c>
      <c r="G3425" s="1214">
        <f>ROUND(E3425*F3425,2)</f>
        <v>105.68</v>
      </c>
      <c r="H3425" s="1205" t="s">
        <v>2322</v>
      </c>
    </row>
    <row r="3426" spans="1:8" hidden="1">
      <c r="A3426" s="1212"/>
      <c r="B3426" s="1212"/>
      <c r="C3426" s="1754" t="s">
        <v>88</v>
      </c>
      <c r="D3426" s="1212"/>
      <c r="E3426" s="1212"/>
      <c r="F3426" s="1212"/>
      <c r="G3426" s="1222">
        <f>SUM(G3415:G3425)</f>
        <v>10673.640000000001</v>
      </c>
      <c r="H3426" s="1205" t="s">
        <v>2322</v>
      </c>
    </row>
    <row r="3427" spans="1:8" hidden="1">
      <c r="A3427" s="1212"/>
      <c r="B3427" s="1212"/>
      <c r="C3427" s="1754"/>
      <c r="D3427" s="1212"/>
      <c r="E3427" s="1218" t="s">
        <v>161</v>
      </c>
      <c r="F3427" s="1218" t="s">
        <v>162</v>
      </c>
      <c r="G3427" s="1217" t="s">
        <v>163</v>
      </c>
      <c r="H3427" s="1205" t="s">
        <v>2322</v>
      </c>
    </row>
    <row r="3428" spans="1:8" hidden="1">
      <c r="A3428" s="1212"/>
      <c r="B3428" s="1212"/>
      <c r="C3428" s="1754" t="s">
        <v>1275</v>
      </c>
      <c r="D3428" s="1212"/>
      <c r="E3428" s="1213">
        <f>G3426</f>
        <v>10673.640000000001</v>
      </c>
      <c r="F3428" s="1213">
        <f>G3426</f>
        <v>10673.640000000001</v>
      </c>
      <c r="G3428" s="1215">
        <f>G3426</f>
        <v>10673.640000000001</v>
      </c>
      <c r="H3428" s="1205" t="s">
        <v>2322</v>
      </c>
    </row>
    <row r="3429" spans="1:8" ht="25.5" hidden="1">
      <c r="A3429" s="1212"/>
      <c r="B3429" s="1212"/>
      <c r="C3429" s="1752" t="s">
        <v>170</v>
      </c>
      <c r="D3429" s="1212"/>
      <c r="E3429" s="1212"/>
      <c r="F3429" s="1213">
        <f>ROUND((G3422+G3423+G3424)*0.1,2)</f>
        <v>360.29</v>
      </c>
      <c r="G3429" s="1225">
        <f>ROUND((G3422+G3423+G3424)*0.2,2)</f>
        <v>720.58</v>
      </c>
      <c r="H3429" s="1205" t="s">
        <v>2322</v>
      </c>
    </row>
    <row r="3430" spans="1:8" hidden="1">
      <c r="A3430" s="1212"/>
      <c r="B3430" s="1212"/>
      <c r="C3430" s="1754" t="s">
        <v>194</v>
      </c>
      <c r="D3430" s="1212"/>
      <c r="E3430" s="1217">
        <f>SUM(E3428:E3429)</f>
        <v>10673.640000000001</v>
      </c>
      <c r="F3430" s="1217">
        <f>SUM(F3428:F3429)</f>
        <v>11033.930000000002</v>
      </c>
      <c r="G3430" s="1222">
        <f>SUM(G3428:G3429)</f>
        <v>11394.220000000001</v>
      </c>
      <c r="H3430" s="1205" t="s">
        <v>2322</v>
      </c>
    </row>
    <row r="3431" spans="1:8" hidden="1">
      <c r="A3431" s="1212"/>
      <c r="B3431" s="1212"/>
      <c r="C3431" s="1754" t="s">
        <v>181</v>
      </c>
      <c r="D3431" s="1212"/>
      <c r="E3431" s="1217">
        <f>ROUND(E3430/10,2)</f>
        <v>1067.3599999999999</v>
      </c>
      <c r="F3431" s="1217">
        <f>ROUND(F3430/10,2)</f>
        <v>1103.3900000000001</v>
      </c>
      <c r="G3431" s="1222">
        <f>ROUND(G3430/10,2)</f>
        <v>1139.42</v>
      </c>
      <c r="H3431" s="1205" t="s">
        <v>2322</v>
      </c>
    </row>
    <row r="3432" spans="1:8" ht="127.5" hidden="1">
      <c r="A3432" s="1156">
        <v>24</v>
      </c>
      <c r="B3432" s="1218" t="s">
        <v>199</v>
      </c>
      <c r="C3432" s="1752" t="s">
        <v>213</v>
      </c>
      <c r="D3432" s="1212"/>
      <c r="E3432" s="1212"/>
      <c r="F3432" s="1212"/>
      <c r="G3432" s="1218"/>
      <c r="H3432" s="1205" t="s">
        <v>2322</v>
      </c>
    </row>
    <row r="3433" spans="1:8" hidden="1">
      <c r="A3433" s="1156"/>
      <c r="B3433" s="1218"/>
      <c r="C3433" s="1754" t="s">
        <v>42</v>
      </c>
      <c r="D3433" s="1212"/>
      <c r="E3433" s="1212"/>
      <c r="F3433" s="1212"/>
      <c r="G3433" s="1215"/>
      <c r="H3433" s="1205" t="s">
        <v>2322</v>
      </c>
    </row>
    <row r="3434" spans="1:8" hidden="1">
      <c r="A3434" s="1156"/>
      <c r="B3434" s="1218"/>
      <c r="C3434" s="1754" t="s">
        <v>60</v>
      </c>
      <c r="D3434" s="1212"/>
      <c r="E3434" s="1212"/>
      <c r="F3434" s="1212"/>
      <c r="G3434" s="1215"/>
      <c r="H3434" s="1205" t="s">
        <v>2322</v>
      </c>
    </row>
    <row r="3435" spans="1:8" hidden="1">
      <c r="A3435" s="1156"/>
      <c r="B3435" s="1218"/>
      <c r="C3435" s="1752" t="s">
        <v>203</v>
      </c>
      <c r="D3435" s="1212" t="s">
        <v>77</v>
      </c>
      <c r="E3435" s="1213">
        <v>10.5</v>
      </c>
      <c r="F3435" s="1213">
        <f>'MINI SSR 2022-23'!C21</f>
        <v>612</v>
      </c>
      <c r="G3435" s="1214">
        <f>ROUND(E3435*F3435,2)</f>
        <v>6426</v>
      </c>
      <c r="H3435" s="1205" t="s">
        <v>2322</v>
      </c>
    </row>
    <row r="3436" spans="1:8" hidden="1">
      <c r="A3436" s="1156"/>
      <c r="B3436" s="1218"/>
      <c r="C3436" s="1752" t="s">
        <v>200</v>
      </c>
      <c r="D3436" s="1212" t="s">
        <v>35</v>
      </c>
      <c r="E3436" s="1213">
        <v>0.12</v>
      </c>
      <c r="F3436" s="1213">
        <f>'lead 22-23'!L12</f>
        <v>1815.9999999999998</v>
      </c>
      <c r="G3436" s="1214">
        <f>ROUND(E3436*F3436,2)</f>
        <v>217.92</v>
      </c>
      <c r="H3436" s="1205" t="s">
        <v>2322</v>
      </c>
    </row>
    <row r="3437" spans="1:8" hidden="1">
      <c r="A3437" s="1156"/>
      <c r="B3437" s="1218"/>
      <c r="C3437" s="1752" t="s">
        <v>201</v>
      </c>
      <c r="D3437" s="1212" t="s">
        <v>4</v>
      </c>
      <c r="E3437" s="1213">
        <v>34.56</v>
      </c>
      <c r="F3437" s="1213">
        <f>'lead 22-23'!L8</f>
        <v>4700</v>
      </c>
      <c r="G3437" s="1214">
        <f>ROUND(E3437*F3437/1000,2)</f>
        <v>162.43</v>
      </c>
      <c r="H3437" s="1205" t="s">
        <v>2322</v>
      </c>
    </row>
    <row r="3438" spans="1:8" hidden="1">
      <c r="A3438" s="1156"/>
      <c r="B3438" s="1218"/>
      <c r="C3438" s="1752" t="s">
        <v>202</v>
      </c>
      <c r="D3438" s="1212" t="s">
        <v>4</v>
      </c>
      <c r="E3438" s="1213">
        <v>33</v>
      </c>
      <c r="F3438" s="1213">
        <f>F3437</f>
        <v>4700</v>
      </c>
      <c r="G3438" s="1214">
        <f>ROUND(E3438*F3438/1000,2)</f>
        <v>155.1</v>
      </c>
      <c r="H3438" s="1205" t="s">
        <v>2322</v>
      </c>
    </row>
    <row r="3439" spans="1:8" hidden="1">
      <c r="A3439" s="1156"/>
      <c r="B3439" s="1218"/>
      <c r="C3439" s="1752" t="s">
        <v>204</v>
      </c>
      <c r="D3439" s="1212" t="s">
        <v>4</v>
      </c>
      <c r="E3439" s="1213">
        <v>2</v>
      </c>
      <c r="F3439" s="1213">
        <f>'MINI SSR 2022-23'!C45</f>
        <v>27.95</v>
      </c>
      <c r="G3439" s="1214">
        <f>ROUND(E3439*F3439,2)</f>
        <v>55.9</v>
      </c>
      <c r="H3439" s="1205" t="s">
        <v>2322</v>
      </c>
    </row>
    <row r="3440" spans="1:8" hidden="1">
      <c r="A3440" s="1212"/>
      <c r="B3440" s="1212"/>
      <c r="C3440" s="1754" t="s">
        <v>68</v>
      </c>
      <c r="D3440" s="1212"/>
      <c r="E3440" s="1213"/>
      <c r="F3440" s="1213"/>
      <c r="G3440" s="1214"/>
      <c r="H3440" s="1205" t="s">
        <v>2322</v>
      </c>
    </row>
    <row r="3441" spans="1:8" hidden="1">
      <c r="A3441" s="1212"/>
      <c r="B3441" s="1212"/>
      <c r="C3441" s="1752" t="s">
        <v>64</v>
      </c>
      <c r="D3441" s="1212" t="s">
        <v>27</v>
      </c>
      <c r="E3441" s="1213">
        <v>0.96</v>
      </c>
      <c r="F3441" s="1216">
        <f>'MINI SSR 2022-23'!$H$3</f>
        <v>630</v>
      </c>
      <c r="G3441" s="1214">
        <f>ROUND(E3441*F3441,2)</f>
        <v>604.79999999999995</v>
      </c>
      <c r="H3441" s="1205" t="s">
        <v>2322</v>
      </c>
    </row>
    <row r="3442" spans="1:8" hidden="1">
      <c r="A3442" s="1212"/>
      <c r="B3442" s="1212"/>
      <c r="C3442" s="1752" t="s">
        <v>69</v>
      </c>
      <c r="D3442" s="1212" t="s">
        <v>27</v>
      </c>
      <c r="E3442" s="1213">
        <v>2.2400000000000002</v>
      </c>
      <c r="F3442" s="1216">
        <f>'MINI SSR 2022-23'!$H$4</f>
        <v>565</v>
      </c>
      <c r="G3442" s="1214">
        <f>ROUND(E3442*F3442,2)</f>
        <v>1265.5999999999999</v>
      </c>
      <c r="H3442" s="1205" t="s">
        <v>2322</v>
      </c>
    </row>
    <row r="3443" spans="1:8" hidden="1">
      <c r="A3443" s="1212"/>
      <c r="B3443" s="1212"/>
      <c r="C3443" s="1752" t="s">
        <v>85</v>
      </c>
      <c r="D3443" s="1212" t="s">
        <v>27</v>
      </c>
      <c r="E3443" s="1213">
        <v>3.3</v>
      </c>
      <c r="F3443" s="1216">
        <f>'MINI SSR 2022-23'!$H$5</f>
        <v>525</v>
      </c>
      <c r="G3443" s="1214">
        <f>ROUND(E3443*F3443,2)</f>
        <v>1732.5</v>
      </c>
      <c r="H3443" s="1205" t="s">
        <v>2322</v>
      </c>
    </row>
    <row r="3444" spans="1:8" hidden="1">
      <c r="A3444" s="1212"/>
      <c r="B3444" s="1212"/>
      <c r="C3444" s="1754" t="s">
        <v>88</v>
      </c>
      <c r="D3444" s="1212"/>
      <c r="E3444" s="1212"/>
      <c r="F3444" s="1212"/>
      <c r="G3444" s="1222">
        <f>SUM(G3435:G3443)</f>
        <v>10620.25</v>
      </c>
      <c r="H3444" s="1205" t="s">
        <v>2322</v>
      </c>
    </row>
    <row r="3445" spans="1:8" hidden="1">
      <c r="A3445" s="1212"/>
      <c r="B3445" s="1212"/>
      <c r="C3445" s="1754"/>
      <c r="D3445" s="1212"/>
      <c r="E3445" s="1218" t="s">
        <v>161</v>
      </c>
      <c r="F3445" s="1218" t="s">
        <v>162</v>
      </c>
      <c r="G3445" s="1217" t="s">
        <v>163</v>
      </c>
      <c r="H3445" s="1205" t="s">
        <v>2322</v>
      </c>
    </row>
    <row r="3446" spans="1:8" hidden="1">
      <c r="A3446" s="1212"/>
      <c r="B3446" s="1212"/>
      <c r="C3446" s="1754" t="s">
        <v>1275</v>
      </c>
      <c r="D3446" s="1212"/>
      <c r="E3446" s="1213">
        <f>G3444</f>
        <v>10620.25</v>
      </c>
      <c r="F3446" s="1213">
        <f>G3444</f>
        <v>10620.25</v>
      </c>
      <c r="G3446" s="1215">
        <f>G3444</f>
        <v>10620.25</v>
      </c>
      <c r="H3446" s="1205" t="s">
        <v>2322</v>
      </c>
    </row>
    <row r="3447" spans="1:8" ht="25.5" hidden="1">
      <c r="A3447" s="1212"/>
      <c r="B3447" s="1212"/>
      <c r="C3447" s="1752" t="s">
        <v>170</v>
      </c>
      <c r="D3447" s="1212"/>
      <c r="E3447" s="1212"/>
      <c r="F3447" s="1213">
        <f>ROUND((G3441+G3442+G3443)*0.1,2)</f>
        <v>360.29</v>
      </c>
      <c r="G3447" s="1225">
        <f>ROUND((G3441+G3442+G3443)*0.2,2)</f>
        <v>720.58</v>
      </c>
      <c r="H3447" s="1205" t="s">
        <v>2322</v>
      </c>
    </row>
    <row r="3448" spans="1:8" hidden="1">
      <c r="A3448" s="1212"/>
      <c r="B3448" s="1212"/>
      <c r="C3448" s="1754" t="s">
        <v>194</v>
      </c>
      <c r="D3448" s="1212"/>
      <c r="E3448" s="1217">
        <f>SUM(E3446:E3447)</f>
        <v>10620.25</v>
      </c>
      <c r="F3448" s="1217">
        <f>SUM(F3446:F3447)</f>
        <v>10980.54</v>
      </c>
      <c r="G3448" s="1222">
        <f>SUM(G3446:G3447)</f>
        <v>11340.83</v>
      </c>
      <c r="H3448" s="1205" t="s">
        <v>2322</v>
      </c>
    </row>
    <row r="3449" spans="1:8" hidden="1">
      <c r="A3449" s="1212"/>
      <c r="B3449" s="1212"/>
      <c r="C3449" s="1754" t="s">
        <v>181</v>
      </c>
      <c r="D3449" s="1212"/>
      <c r="E3449" s="1217">
        <f>ROUND(E3448/10,2)</f>
        <v>1062.03</v>
      </c>
      <c r="F3449" s="1217">
        <f>ROUND(F3448/10,2)</f>
        <v>1098.05</v>
      </c>
      <c r="G3449" s="1222">
        <f>ROUND(G3448/10,2)</f>
        <v>1134.08</v>
      </c>
      <c r="H3449" s="1205" t="s">
        <v>2322</v>
      </c>
    </row>
    <row r="3450" spans="1:8" ht="140.25" hidden="1">
      <c r="A3450" s="1156">
        <v>30</v>
      </c>
      <c r="B3450" s="1218" t="s">
        <v>205</v>
      </c>
      <c r="C3450" s="1752" t="s">
        <v>211</v>
      </c>
      <c r="D3450" s="1212"/>
      <c r="E3450" s="1212"/>
      <c r="F3450" s="1212"/>
      <c r="G3450" s="1218"/>
      <c r="H3450" s="1205" t="s">
        <v>2322</v>
      </c>
    </row>
    <row r="3451" spans="1:8" hidden="1">
      <c r="A3451" s="1156"/>
      <c r="B3451" s="1218"/>
      <c r="C3451" s="1754" t="s">
        <v>42</v>
      </c>
      <c r="D3451" s="1212"/>
      <c r="E3451" s="1212"/>
      <c r="F3451" s="1212"/>
      <c r="G3451" s="1215"/>
      <c r="H3451" s="1205" t="s">
        <v>2322</v>
      </c>
    </row>
    <row r="3452" spans="1:8" hidden="1">
      <c r="A3452" s="1156"/>
      <c r="B3452" s="1218"/>
      <c r="C3452" s="1754" t="s">
        <v>60</v>
      </c>
      <c r="D3452" s="1212"/>
      <c r="E3452" s="1212"/>
      <c r="F3452" s="1212"/>
      <c r="G3452" s="1215"/>
      <c r="H3452" s="1205" t="s">
        <v>2322</v>
      </c>
    </row>
    <row r="3453" spans="1:8" hidden="1">
      <c r="A3453" s="1156"/>
      <c r="B3453" s="1218"/>
      <c r="C3453" s="1752" t="s">
        <v>206</v>
      </c>
      <c r="D3453" s="1212" t="s">
        <v>77</v>
      </c>
      <c r="E3453" s="1213">
        <v>10.5</v>
      </c>
      <c r="F3453" s="1213">
        <f>'MINI SSR 2022-23'!C22</f>
        <v>370</v>
      </c>
      <c r="G3453" s="1214">
        <f>ROUND(E3453*F3453,2)</f>
        <v>3885</v>
      </c>
      <c r="H3453" s="1205" t="s">
        <v>2322</v>
      </c>
    </row>
    <row r="3454" spans="1:8" hidden="1">
      <c r="A3454" s="1156"/>
      <c r="B3454" s="1218"/>
      <c r="C3454" s="1752" t="s">
        <v>91</v>
      </c>
      <c r="D3454" s="1212" t="s">
        <v>4</v>
      </c>
      <c r="E3454" s="1213">
        <v>21.6</v>
      </c>
      <c r="F3454" s="1213">
        <f>'lead 22-23'!L8</f>
        <v>4700</v>
      </c>
      <c r="G3454" s="1214">
        <f>ROUND(E3454*F3454/1000,2)</f>
        <v>101.52</v>
      </c>
      <c r="H3454" s="1205" t="s">
        <v>2322</v>
      </c>
    </row>
    <row r="3455" spans="1:8" hidden="1">
      <c r="A3455" s="1156"/>
      <c r="B3455" s="1218"/>
      <c r="C3455" s="1752" t="s">
        <v>92</v>
      </c>
      <c r="D3455" s="1212" t="s">
        <v>4</v>
      </c>
      <c r="E3455" s="1213">
        <v>33</v>
      </c>
      <c r="F3455" s="1213">
        <f>F3454</f>
        <v>4700</v>
      </c>
      <c r="G3455" s="1214">
        <f>ROUND(E3455*F3455/1000,2)</f>
        <v>155.1</v>
      </c>
      <c r="H3455" s="1205" t="s">
        <v>2322</v>
      </c>
    </row>
    <row r="3456" spans="1:8" hidden="1">
      <c r="A3456" s="1156"/>
      <c r="B3456" s="1218"/>
      <c r="C3456" s="1752" t="s">
        <v>204</v>
      </c>
      <c r="D3456" s="1212" t="s">
        <v>4</v>
      </c>
      <c r="E3456" s="1213">
        <v>2</v>
      </c>
      <c r="F3456" s="1213">
        <f>F3439</f>
        <v>27.95</v>
      </c>
      <c r="G3456" s="1214">
        <f>ROUND(E3456*F3456,2)</f>
        <v>55.9</v>
      </c>
      <c r="H3456" s="1205" t="s">
        <v>2322</v>
      </c>
    </row>
    <row r="3457" spans="1:8" hidden="1">
      <c r="A3457" s="1156"/>
      <c r="B3457" s="1218"/>
      <c r="C3457" s="1752" t="s">
        <v>114</v>
      </c>
      <c r="D3457" s="1212" t="s">
        <v>35</v>
      </c>
      <c r="E3457" s="1213">
        <v>0.12</v>
      </c>
      <c r="F3457" s="1213">
        <f>'lead 22-23'!L12</f>
        <v>1815.9999999999998</v>
      </c>
      <c r="G3457" s="1214">
        <f>ROUND(E3457*F3457,2)</f>
        <v>217.92</v>
      </c>
      <c r="H3457" s="1205" t="s">
        <v>2322</v>
      </c>
    </row>
    <row r="3458" spans="1:8" hidden="1">
      <c r="A3458" s="1212"/>
      <c r="B3458" s="1212"/>
      <c r="C3458" s="1754" t="s">
        <v>68</v>
      </c>
      <c r="D3458" s="1212"/>
      <c r="E3458" s="1213"/>
      <c r="F3458" s="1213"/>
      <c r="G3458" s="1214"/>
      <c r="H3458" s="1205" t="s">
        <v>2322</v>
      </c>
    </row>
    <row r="3459" spans="1:8" hidden="1">
      <c r="A3459" s="1212"/>
      <c r="B3459" s="1212"/>
      <c r="C3459" s="1752" t="s">
        <v>64</v>
      </c>
      <c r="D3459" s="1212" t="s">
        <v>27</v>
      </c>
      <c r="E3459" s="1213">
        <v>0.96</v>
      </c>
      <c r="F3459" s="1216">
        <f>'MINI SSR 2022-23'!$H$3</f>
        <v>630</v>
      </c>
      <c r="G3459" s="1214">
        <f>ROUND(E3459*F3459,2)</f>
        <v>604.79999999999995</v>
      </c>
      <c r="H3459" s="1205" t="s">
        <v>2322</v>
      </c>
    </row>
    <row r="3460" spans="1:8" hidden="1">
      <c r="A3460" s="1212"/>
      <c r="B3460" s="1212"/>
      <c r="C3460" s="1752" t="s">
        <v>69</v>
      </c>
      <c r="D3460" s="1212" t="s">
        <v>27</v>
      </c>
      <c r="E3460" s="1213">
        <v>2.2400000000000002</v>
      </c>
      <c r="F3460" s="1216">
        <f>'MINI SSR 2022-23'!$H$4</f>
        <v>565</v>
      </c>
      <c r="G3460" s="1214">
        <f>ROUND(E3460*F3460,2)</f>
        <v>1265.5999999999999</v>
      </c>
      <c r="H3460" s="1205" t="s">
        <v>2322</v>
      </c>
    </row>
    <row r="3461" spans="1:8" hidden="1">
      <c r="A3461" s="1212"/>
      <c r="B3461" s="1212"/>
      <c r="C3461" s="1752" t="s">
        <v>85</v>
      </c>
      <c r="D3461" s="1212" t="s">
        <v>27</v>
      </c>
      <c r="E3461" s="1213">
        <v>3.3</v>
      </c>
      <c r="F3461" s="1216">
        <f>'MINI SSR 2022-23'!$H$5</f>
        <v>525</v>
      </c>
      <c r="G3461" s="1214">
        <f>ROUND(E3461*F3461,2)</f>
        <v>1732.5</v>
      </c>
      <c r="H3461" s="1205" t="s">
        <v>2322</v>
      </c>
    </row>
    <row r="3462" spans="1:8" hidden="1">
      <c r="A3462" s="1212"/>
      <c r="B3462" s="1212"/>
      <c r="C3462" s="1754" t="s">
        <v>88</v>
      </c>
      <c r="D3462" s="1212"/>
      <c r="E3462" s="1212"/>
      <c r="F3462" s="1212"/>
      <c r="G3462" s="1222">
        <f>SUM(G3453:G3461)</f>
        <v>8018.34</v>
      </c>
      <c r="H3462" s="1205" t="s">
        <v>2322</v>
      </c>
    </row>
    <row r="3463" spans="1:8" hidden="1">
      <c r="A3463" s="1212"/>
      <c r="B3463" s="1212"/>
      <c r="C3463" s="1754"/>
      <c r="D3463" s="1212"/>
      <c r="E3463" s="1218" t="s">
        <v>161</v>
      </c>
      <c r="F3463" s="1218" t="s">
        <v>162</v>
      </c>
      <c r="G3463" s="1217" t="s">
        <v>163</v>
      </c>
      <c r="H3463" s="1205" t="s">
        <v>2322</v>
      </c>
    </row>
    <row r="3464" spans="1:8" hidden="1">
      <c r="A3464" s="1212"/>
      <c r="B3464" s="1212"/>
      <c r="C3464" s="1754" t="s">
        <v>1275</v>
      </c>
      <c r="D3464" s="1212"/>
      <c r="E3464" s="1213">
        <f>G3462</f>
        <v>8018.34</v>
      </c>
      <c r="F3464" s="1213">
        <f>G3462</f>
        <v>8018.34</v>
      </c>
      <c r="G3464" s="1215">
        <f>G3462</f>
        <v>8018.34</v>
      </c>
      <c r="H3464" s="1205" t="s">
        <v>2322</v>
      </c>
    </row>
    <row r="3465" spans="1:8" ht="25.5" hidden="1">
      <c r="A3465" s="1212"/>
      <c r="B3465" s="1212"/>
      <c r="C3465" s="1752" t="s">
        <v>170</v>
      </c>
      <c r="D3465" s="1212"/>
      <c r="E3465" s="1212"/>
      <c r="F3465" s="1213">
        <f>ROUND((G3459+G3460+G3461)*0.1,2)</f>
        <v>360.29</v>
      </c>
      <c r="G3465" s="1225">
        <f>ROUND((G3459+G3460+G3461)*0.2,2)</f>
        <v>720.58</v>
      </c>
      <c r="H3465" s="1205" t="s">
        <v>2322</v>
      </c>
    </row>
    <row r="3466" spans="1:8" hidden="1">
      <c r="A3466" s="1212"/>
      <c r="B3466" s="1212"/>
      <c r="C3466" s="1754" t="s">
        <v>194</v>
      </c>
      <c r="D3466" s="1212"/>
      <c r="E3466" s="1217">
        <f>SUM(E3464:E3465)</f>
        <v>8018.34</v>
      </c>
      <c r="F3466" s="1217">
        <f>SUM(F3464:F3465)</f>
        <v>8378.630000000001</v>
      </c>
      <c r="G3466" s="1222">
        <f>SUM(G3464:G3465)</f>
        <v>8738.92</v>
      </c>
      <c r="H3466" s="1205" t="s">
        <v>2322</v>
      </c>
    </row>
    <row r="3467" spans="1:8" hidden="1">
      <c r="A3467" s="1212"/>
      <c r="B3467" s="1212"/>
      <c r="C3467" s="1754" t="s">
        <v>181</v>
      </c>
      <c r="D3467" s="1212"/>
      <c r="E3467" s="1217">
        <f>ROUND(E3466/10,2)</f>
        <v>801.83</v>
      </c>
      <c r="F3467" s="1217">
        <f>ROUND(F3466/10,2)</f>
        <v>837.86</v>
      </c>
      <c r="G3467" s="1222">
        <f>ROUND(G3466/10,2)</f>
        <v>873.89</v>
      </c>
      <c r="H3467" s="1205" t="s">
        <v>2322</v>
      </c>
    </row>
    <row r="3468" spans="1:8" ht="127.5" hidden="1">
      <c r="A3468" s="1156">
        <v>18</v>
      </c>
      <c r="B3468" s="1218" t="s">
        <v>207</v>
      </c>
      <c r="C3468" s="1752" t="s">
        <v>214</v>
      </c>
      <c r="D3468" s="1212"/>
      <c r="E3468" s="1212"/>
      <c r="F3468" s="1212"/>
      <c r="G3468" s="1218"/>
      <c r="H3468" s="1205" t="s">
        <v>2322</v>
      </c>
    </row>
    <row r="3469" spans="1:8" hidden="1">
      <c r="A3469" s="1156"/>
      <c r="B3469" s="1218"/>
      <c r="C3469" s="1754" t="s">
        <v>42</v>
      </c>
      <c r="D3469" s="1212"/>
      <c r="E3469" s="1212"/>
      <c r="F3469" s="1212"/>
      <c r="G3469" s="1215"/>
      <c r="H3469" s="1205" t="s">
        <v>2322</v>
      </c>
    </row>
    <row r="3470" spans="1:8" hidden="1">
      <c r="A3470" s="1156"/>
      <c r="B3470" s="1218"/>
      <c r="C3470" s="1754" t="s">
        <v>60</v>
      </c>
      <c r="D3470" s="1218"/>
      <c r="E3470" s="1218"/>
      <c r="F3470" s="1218"/>
      <c r="G3470" s="1215"/>
      <c r="H3470" s="1205" t="s">
        <v>2322</v>
      </c>
    </row>
    <row r="3471" spans="1:8" hidden="1">
      <c r="A3471" s="1156"/>
      <c r="B3471" s="1218"/>
      <c r="C3471" s="1752" t="s">
        <v>208</v>
      </c>
      <c r="D3471" s="1212" t="s">
        <v>77</v>
      </c>
      <c r="E3471" s="1213">
        <v>10.5</v>
      </c>
      <c r="F3471" s="1213">
        <f>'MINI SSR 2022-23'!C23</f>
        <v>330</v>
      </c>
      <c r="G3471" s="1214">
        <f>ROUND(E3471*F3471,2)</f>
        <v>3465</v>
      </c>
      <c r="H3471" s="1205" t="s">
        <v>2322</v>
      </c>
    </row>
    <row r="3472" spans="1:8" hidden="1">
      <c r="A3472" s="1156"/>
      <c r="B3472" s="1218"/>
      <c r="C3472" s="1752" t="s">
        <v>209</v>
      </c>
      <c r="D3472" s="1212" t="s">
        <v>35</v>
      </c>
      <c r="E3472" s="1213">
        <v>0.12</v>
      </c>
      <c r="F3472" s="1213">
        <f>'lead 22-23'!L12</f>
        <v>1815.9999999999998</v>
      </c>
      <c r="G3472" s="1224">
        <f>ROUND(E3472*F3472,2)</f>
        <v>217.92</v>
      </c>
      <c r="H3472" s="1205" t="s">
        <v>2322</v>
      </c>
    </row>
    <row r="3473" spans="1:8" hidden="1">
      <c r="A3473" s="1156"/>
      <c r="B3473" s="1218"/>
      <c r="C3473" s="1752" t="s">
        <v>210</v>
      </c>
      <c r="D3473" s="1212" t="s">
        <v>4</v>
      </c>
      <c r="E3473" s="1213">
        <v>57.6</v>
      </c>
      <c r="F3473" s="1213">
        <f>'lead 22-23'!L8</f>
        <v>4700</v>
      </c>
      <c r="G3473" s="1224">
        <f>ROUND(E3473*F3473/1000,2)</f>
        <v>270.72000000000003</v>
      </c>
      <c r="H3473" s="1205" t="s">
        <v>2322</v>
      </c>
    </row>
    <row r="3474" spans="1:8" hidden="1">
      <c r="A3474" s="1156"/>
      <c r="B3474" s="1218"/>
      <c r="C3474" s="1752" t="s">
        <v>202</v>
      </c>
      <c r="D3474" s="1212" t="s">
        <v>4</v>
      </c>
      <c r="E3474" s="1213">
        <v>33</v>
      </c>
      <c r="F3474" s="1213">
        <f>F3473</f>
        <v>4700</v>
      </c>
      <c r="G3474" s="1224">
        <f>ROUND(E3474*F3474/1000,2)</f>
        <v>155.1</v>
      </c>
      <c r="H3474" s="1205" t="s">
        <v>2322</v>
      </c>
    </row>
    <row r="3475" spans="1:8" hidden="1">
      <c r="A3475" s="1156"/>
      <c r="B3475" s="1218"/>
      <c r="C3475" s="1752" t="s">
        <v>215</v>
      </c>
      <c r="D3475" s="1212" t="s">
        <v>4</v>
      </c>
      <c r="E3475" s="1213">
        <v>6</v>
      </c>
      <c r="F3475" s="1213">
        <f>F3439</f>
        <v>27.95</v>
      </c>
      <c r="G3475" s="1224">
        <f>ROUND(E3475*F3475,2)</f>
        <v>167.7</v>
      </c>
      <c r="H3475" s="1205" t="s">
        <v>2322</v>
      </c>
    </row>
    <row r="3476" spans="1:8" hidden="1">
      <c r="A3476" s="1212"/>
      <c r="B3476" s="1212"/>
      <c r="C3476" s="1754" t="s">
        <v>68</v>
      </c>
      <c r="D3476" s="1212"/>
      <c r="E3476" s="1213"/>
      <c r="F3476" s="1213"/>
      <c r="G3476" s="1224"/>
      <c r="H3476" s="1205" t="s">
        <v>2322</v>
      </c>
    </row>
    <row r="3477" spans="1:8" hidden="1">
      <c r="A3477" s="1212"/>
      <c r="B3477" s="1212"/>
      <c r="C3477" s="1752" t="s">
        <v>64</v>
      </c>
      <c r="D3477" s="1212" t="s">
        <v>27</v>
      </c>
      <c r="E3477" s="1213">
        <v>0.77</v>
      </c>
      <c r="F3477" s="1216">
        <f>'MINI SSR 2022-23'!$H$3</f>
        <v>630</v>
      </c>
      <c r="G3477" s="1224">
        <f>ROUND(E3477*F3477,2)</f>
        <v>485.1</v>
      </c>
      <c r="H3477" s="1205" t="s">
        <v>2322</v>
      </c>
    </row>
    <row r="3478" spans="1:8" hidden="1">
      <c r="A3478" s="1212"/>
      <c r="B3478" s="1212"/>
      <c r="C3478" s="1752" t="s">
        <v>85</v>
      </c>
      <c r="D3478" s="1212" t="s">
        <v>27</v>
      </c>
      <c r="E3478" s="1213">
        <v>0.8</v>
      </c>
      <c r="F3478" s="1216">
        <f>'MINI SSR 2022-23'!$H$5</f>
        <v>525</v>
      </c>
      <c r="G3478" s="1224">
        <f>ROUND(E3478*F3478,2)</f>
        <v>420</v>
      </c>
      <c r="H3478" s="1205" t="s">
        <v>2322</v>
      </c>
    </row>
    <row r="3479" spans="1:8" hidden="1">
      <c r="A3479" s="1212"/>
      <c r="B3479" s="1212"/>
      <c r="C3479" s="1754" t="s">
        <v>88</v>
      </c>
      <c r="D3479" s="1212"/>
      <c r="E3479" s="1212"/>
      <c r="F3479" s="1212"/>
      <c r="G3479" s="1222">
        <f>SUM(G3471:G3478)</f>
        <v>5181.5400000000009</v>
      </c>
      <c r="H3479" s="1205" t="s">
        <v>2322</v>
      </c>
    </row>
    <row r="3480" spans="1:8" hidden="1">
      <c r="A3480" s="1212"/>
      <c r="B3480" s="1212"/>
      <c r="C3480" s="1754"/>
      <c r="D3480" s="1212"/>
      <c r="E3480" s="1218" t="s">
        <v>161</v>
      </c>
      <c r="F3480" s="1218" t="s">
        <v>162</v>
      </c>
      <c r="G3480" s="1217" t="s">
        <v>163</v>
      </c>
      <c r="H3480" s="1205" t="s">
        <v>2322</v>
      </c>
    </row>
    <row r="3481" spans="1:8" hidden="1">
      <c r="A3481" s="1212"/>
      <c r="B3481" s="1212"/>
      <c r="C3481" s="1754" t="s">
        <v>1275</v>
      </c>
      <c r="D3481" s="1212"/>
      <c r="E3481" s="1213">
        <f>G3479</f>
        <v>5181.5400000000009</v>
      </c>
      <c r="F3481" s="1213">
        <f>G3479</f>
        <v>5181.5400000000009</v>
      </c>
      <c r="G3481" s="1215">
        <f>G3479</f>
        <v>5181.5400000000009</v>
      </c>
      <c r="H3481" s="1205" t="s">
        <v>2322</v>
      </c>
    </row>
    <row r="3482" spans="1:8" ht="25.5" hidden="1">
      <c r="A3482" s="1212"/>
      <c r="B3482" s="1212"/>
      <c r="C3482" s="1752" t="s">
        <v>170</v>
      </c>
      <c r="D3482" s="1212"/>
      <c r="E3482" s="1212"/>
      <c r="F3482" s="1213">
        <f>ROUND((G3477+G3478)*0.1,2)</f>
        <v>90.51</v>
      </c>
      <c r="G3482" s="1215">
        <f>ROUND((G3477+G3478)*0.2,2)</f>
        <v>181.02</v>
      </c>
      <c r="H3482" s="1205" t="s">
        <v>2322</v>
      </c>
    </row>
    <row r="3483" spans="1:8" hidden="1">
      <c r="A3483" s="1212"/>
      <c r="B3483" s="1212"/>
      <c r="C3483" s="1754" t="s">
        <v>194</v>
      </c>
      <c r="D3483" s="1212"/>
      <c r="E3483" s="1217">
        <f>SUM(E3481:E3482)</f>
        <v>5181.5400000000009</v>
      </c>
      <c r="F3483" s="1217">
        <f>SUM(F3481:F3482)</f>
        <v>5272.0500000000011</v>
      </c>
      <c r="G3483" s="1222">
        <f>SUM(G3481:G3482)</f>
        <v>5362.5600000000013</v>
      </c>
      <c r="H3483" s="1205" t="s">
        <v>2322</v>
      </c>
    </row>
    <row r="3484" spans="1:8" hidden="1">
      <c r="A3484" s="1212"/>
      <c r="B3484" s="1212"/>
      <c r="C3484" s="1754" t="s">
        <v>181</v>
      </c>
      <c r="D3484" s="1212"/>
      <c r="E3484" s="1217">
        <f>ROUND(E3483/10,2)</f>
        <v>518.15</v>
      </c>
      <c r="F3484" s="1217">
        <f>ROUND(F3483/10,2)</f>
        <v>527.21</v>
      </c>
      <c r="G3484" s="1222">
        <f>ROUND(G3483/10,2)</f>
        <v>536.26</v>
      </c>
      <c r="H3484" s="1205" t="s">
        <v>2322</v>
      </c>
    </row>
    <row r="3485" spans="1:8" ht="25.5" hidden="1">
      <c r="A3485" s="1156">
        <v>31</v>
      </c>
      <c r="B3485" s="1218" t="s">
        <v>1351</v>
      </c>
      <c r="C3485" s="1752" t="s">
        <v>1202</v>
      </c>
      <c r="D3485" s="1212"/>
      <c r="E3485" s="1212"/>
      <c r="F3485" s="1212"/>
      <c r="G3485" s="1218"/>
      <c r="H3485" s="1205" t="s">
        <v>2322</v>
      </c>
    </row>
    <row r="3486" spans="1:8" hidden="1">
      <c r="A3486" s="1156"/>
      <c r="B3486" s="1218"/>
      <c r="C3486" s="1754" t="s">
        <v>868</v>
      </c>
      <c r="D3486" s="1212"/>
      <c r="E3486" s="1212"/>
      <c r="F3486" s="1212"/>
      <c r="G3486" s="1215"/>
      <c r="H3486" s="1205" t="s">
        <v>2322</v>
      </c>
    </row>
    <row r="3487" spans="1:8" hidden="1">
      <c r="A3487" s="1156"/>
      <c r="B3487" s="1218"/>
      <c r="C3487" s="1754" t="s">
        <v>60</v>
      </c>
      <c r="D3487" s="1212"/>
      <c r="E3487" s="1212"/>
      <c r="F3487" s="1212"/>
      <c r="G3487" s="1215"/>
      <c r="H3487" s="1205" t="s">
        <v>2322</v>
      </c>
    </row>
    <row r="3488" spans="1:8" hidden="1">
      <c r="A3488" s="1156"/>
      <c r="B3488" s="1218"/>
      <c r="C3488" s="1752" t="s">
        <v>33</v>
      </c>
      <c r="D3488" s="1212" t="s">
        <v>4</v>
      </c>
      <c r="E3488" s="1213">
        <v>14.4</v>
      </c>
      <c r="F3488" s="1213">
        <f>'lead 22-23'!L8</f>
        <v>4700</v>
      </c>
      <c r="G3488" s="1214">
        <f>ROUND(E3488*F3488/1000,2)</f>
        <v>67.680000000000007</v>
      </c>
      <c r="H3488" s="1205" t="s">
        <v>2322</v>
      </c>
    </row>
    <row r="3489" spans="1:8" hidden="1">
      <c r="A3489" s="1156"/>
      <c r="B3489" s="1218"/>
      <c r="C3489" s="1752" t="s">
        <v>113</v>
      </c>
      <c r="D3489" s="1212" t="s">
        <v>35</v>
      </c>
      <c r="E3489" s="1213">
        <v>0.03</v>
      </c>
      <c r="F3489" s="1213">
        <f>'lead 22-23'!L12</f>
        <v>1815.9999999999998</v>
      </c>
      <c r="G3489" s="1214">
        <f>ROUND(E3489*F3489,2)</f>
        <v>54.48</v>
      </c>
      <c r="H3489" s="1205" t="s">
        <v>2322</v>
      </c>
    </row>
    <row r="3490" spans="1:8" hidden="1">
      <c r="A3490" s="1212"/>
      <c r="B3490" s="1212"/>
      <c r="C3490" s="1754" t="s">
        <v>68</v>
      </c>
      <c r="D3490" s="1212"/>
      <c r="E3490" s="1213"/>
      <c r="F3490" s="1213"/>
      <c r="G3490" s="1214"/>
      <c r="H3490" s="1205" t="s">
        <v>2322</v>
      </c>
    </row>
    <row r="3491" spans="1:8" hidden="1">
      <c r="A3491" s="1212"/>
      <c r="B3491" s="1212"/>
      <c r="C3491" s="1752" t="s">
        <v>69</v>
      </c>
      <c r="D3491" s="1212" t="s">
        <v>27</v>
      </c>
      <c r="E3491" s="1213">
        <v>0.5</v>
      </c>
      <c r="F3491" s="1216">
        <f>'MINI SSR 2022-23'!$H$4</f>
        <v>565</v>
      </c>
      <c r="G3491" s="1214">
        <f>ROUND(E3491*F3491,2)</f>
        <v>282.5</v>
      </c>
      <c r="H3491" s="1205" t="s">
        <v>2322</v>
      </c>
    </row>
    <row r="3492" spans="1:8" hidden="1">
      <c r="A3492" s="1212"/>
      <c r="B3492" s="1212"/>
      <c r="C3492" s="1752" t="s">
        <v>85</v>
      </c>
      <c r="D3492" s="1212" t="s">
        <v>27</v>
      </c>
      <c r="E3492" s="1213">
        <v>0.74</v>
      </c>
      <c r="F3492" s="1216">
        <f>'MINI SSR 2022-23'!$H$5</f>
        <v>525</v>
      </c>
      <c r="G3492" s="1214">
        <f>ROUND(E3492*F3492,2)</f>
        <v>388.5</v>
      </c>
      <c r="H3492" s="1205" t="s">
        <v>2322</v>
      </c>
    </row>
    <row r="3493" spans="1:8" hidden="1">
      <c r="A3493" s="1212"/>
      <c r="B3493" s="1212"/>
      <c r="C3493" s="1754" t="s">
        <v>88</v>
      </c>
      <c r="D3493" s="1212"/>
      <c r="E3493" s="1213"/>
      <c r="F3493" s="1213"/>
      <c r="G3493" s="1214">
        <f>SUM(G3488:G3492)</f>
        <v>793.16</v>
      </c>
      <c r="H3493" s="1205" t="s">
        <v>2322</v>
      </c>
    </row>
    <row r="3494" spans="1:8" ht="114.75" hidden="1">
      <c r="A3494" s="1156">
        <v>32</v>
      </c>
      <c r="B3494" s="1218" t="s">
        <v>1352</v>
      </c>
      <c r="C3494" s="1752" t="s">
        <v>1203</v>
      </c>
      <c r="D3494" s="1212"/>
      <c r="E3494" s="1212"/>
      <c r="F3494" s="1212"/>
      <c r="G3494" s="1218"/>
      <c r="H3494" s="1205" t="s">
        <v>2322</v>
      </c>
    </row>
    <row r="3495" spans="1:8" hidden="1">
      <c r="A3495" s="1156"/>
      <c r="B3495" s="1218"/>
      <c r="C3495" s="1754" t="s">
        <v>868</v>
      </c>
      <c r="D3495" s="1212"/>
      <c r="E3495" s="1212"/>
      <c r="F3495" s="1212"/>
      <c r="G3495" s="1215"/>
      <c r="H3495" s="1205" t="s">
        <v>2322</v>
      </c>
    </row>
    <row r="3496" spans="1:8" hidden="1">
      <c r="A3496" s="1156"/>
      <c r="B3496" s="1218"/>
      <c r="C3496" s="1754" t="s">
        <v>60</v>
      </c>
      <c r="D3496" s="1212"/>
      <c r="E3496" s="1212"/>
      <c r="F3496" s="1212"/>
      <c r="G3496" s="1215"/>
      <c r="H3496" s="1205" t="s">
        <v>2322</v>
      </c>
    </row>
    <row r="3497" spans="1:8" hidden="1">
      <c r="A3497" s="1156"/>
      <c r="B3497" s="1218"/>
      <c r="C3497" s="1752" t="s">
        <v>3249</v>
      </c>
      <c r="D3497" s="1212" t="s">
        <v>11</v>
      </c>
      <c r="E3497" s="1223">
        <v>0.255</v>
      </c>
      <c r="F3497" s="1213">
        <f>'lead 22-23'!L23</f>
        <v>19542.199999999997</v>
      </c>
      <c r="G3497" s="1214">
        <f>ROUND(E3497*F3497/1,2)</f>
        <v>4983.26</v>
      </c>
      <c r="H3497" s="1205" t="s">
        <v>2322</v>
      </c>
    </row>
    <row r="3498" spans="1:8" hidden="1">
      <c r="A3498" s="1156"/>
      <c r="B3498" s="1218"/>
      <c r="C3498" s="1752" t="s">
        <v>873</v>
      </c>
      <c r="D3498" s="1212" t="s">
        <v>141</v>
      </c>
      <c r="E3498" s="1213">
        <v>21.6</v>
      </c>
      <c r="F3498" s="1213">
        <f>'lead 22-23'!L8</f>
        <v>4700</v>
      </c>
      <c r="G3498" s="1214">
        <f>ROUND(E3498*F3498/1000,2)</f>
        <v>101.52</v>
      </c>
      <c r="H3498" s="1205" t="s">
        <v>2322</v>
      </c>
    </row>
    <row r="3499" spans="1:8" hidden="1">
      <c r="A3499" s="1156"/>
      <c r="B3499" s="1218"/>
      <c r="C3499" s="1752" t="s">
        <v>1205</v>
      </c>
      <c r="D3499" s="1212" t="s">
        <v>141</v>
      </c>
      <c r="E3499" s="1213">
        <v>6</v>
      </c>
      <c r="F3499" s="1213">
        <f>F3498</f>
        <v>4700</v>
      </c>
      <c r="G3499" s="1214">
        <f>ROUND(E3499*F3499/1000,2)</f>
        <v>28.2</v>
      </c>
      <c r="H3499" s="1205" t="s">
        <v>2322</v>
      </c>
    </row>
    <row r="3500" spans="1:8" hidden="1">
      <c r="A3500" s="1156"/>
      <c r="B3500" s="1218"/>
      <c r="C3500" s="1752" t="s">
        <v>1206</v>
      </c>
      <c r="D3500" s="1212" t="s">
        <v>102</v>
      </c>
      <c r="E3500" s="1213">
        <v>1</v>
      </c>
      <c r="F3500" s="1213">
        <f>G3493</f>
        <v>793.16</v>
      </c>
      <c r="G3500" s="1214">
        <f>ROUND(E3500*F3500/1,2)</f>
        <v>793.16</v>
      </c>
      <c r="H3500" s="1205" t="s">
        <v>2322</v>
      </c>
    </row>
    <row r="3501" spans="1:8" hidden="1">
      <c r="A3501" s="1156"/>
      <c r="B3501" s="1218"/>
      <c r="C3501" s="1752" t="s">
        <v>1207</v>
      </c>
      <c r="D3501" s="1212" t="s">
        <v>35</v>
      </c>
      <c r="E3501" s="1213">
        <v>0.04</v>
      </c>
      <c r="F3501" s="1213">
        <f>'lead 22-23'!L12</f>
        <v>1815.9999999999998</v>
      </c>
      <c r="G3501" s="1214">
        <f>-ROUND(E3501*F3501,2)</f>
        <v>-72.64</v>
      </c>
      <c r="H3501" s="1205" t="s">
        <v>2322</v>
      </c>
    </row>
    <row r="3502" spans="1:8" hidden="1">
      <c r="A3502" s="1156"/>
      <c r="B3502" s="1218"/>
      <c r="C3502" s="1752" t="s">
        <v>1208</v>
      </c>
      <c r="D3502" s="1212" t="s">
        <v>35</v>
      </c>
      <c r="E3502" s="1213">
        <v>0.12</v>
      </c>
      <c r="F3502" s="1213">
        <f>F3501</f>
        <v>1815.9999999999998</v>
      </c>
      <c r="G3502" s="1214">
        <f>ROUND(E3502*F3502,2)</f>
        <v>217.92</v>
      </c>
      <c r="H3502" s="1205" t="s">
        <v>2322</v>
      </c>
    </row>
    <row r="3503" spans="1:8" hidden="1">
      <c r="A3503" s="1212"/>
      <c r="B3503" s="1212"/>
      <c r="C3503" s="1754" t="s">
        <v>68</v>
      </c>
      <c r="D3503" s="1212"/>
      <c r="E3503" s="1213"/>
      <c r="F3503" s="1213"/>
      <c r="G3503" s="1214"/>
      <c r="H3503" s="1205" t="s">
        <v>2322</v>
      </c>
    </row>
    <row r="3504" spans="1:8" hidden="1">
      <c r="A3504" s="1212"/>
      <c r="B3504" s="1212"/>
      <c r="C3504" s="1752" t="s">
        <v>64</v>
      </c>
      <c r="D3504" s="1212" t="s">
        <v>27</v>
      </c>
      <c r="E3504" s="1213">
        <v>0.96</v>
      </c>
      <c r="F3504" s="1216">
        <f>'MINI SSR 2022-23'!$H$3</f>
        <v>630</v>
      </c>
      <c r="G3504" s="1214">
        <f>ROUND(E3504*F3504,2)</f>
        <v>604.79999999999995</v>
      </c>
      <c r="H3504" s="1205" t="s">
        <v>2322</v>
      </c>
    </row>
    <row r="3505" spans="1:8" hidden="1">
      <c r="A3505" s="1212"/>
      <c r="B3505" s="1212"/>
      <c r="C3505" s="1752" t="s">
        <v>69</v>
      </c>
      <c r="D3505" s="1212" t="s">
        <v>27</v>
      </c>
      <c r="E3505" s="1213">
        <v>2.2400000000000002</v>
      </c>
      <c r="F3505" s="1216">
        <f>'MINI SSR 2022-23'!$H$4</f>
        <v>565</v>
      </c>
      <c r="G3505" s="1214">
        <f>ROUND(E3505*F3505,2)</f>
        <v>1265.5999999999999</v>
      </c>
      <c r="H3505" s="1205" t="s">
        <v>2322</v>
      </c>
    </row>
    <row r="3506" spans="1:8" hidden="1">
      <c r="A3506" s="1212"/>
      <c r="B3506" s="1212"/>
      <c r="C3506" s="1752" t="s">
        <v>85</v>
      </c>
      <c r="D3506" s="1212" t="s">
        <v>27</v>
      </c>
      <c r="E3506" s="1213">
        <v>4.3</v>
      </c>
      <c r="F3506" s="1216">
        <f>'MINI SSR 2022-23'!$H$5</f>
        <v>525</v>
      </c>
      <c r="G3506" s="1214">
        <f>ROUND(E3506*F3506,2)</f>
        <v>2257.5</v>
      </c>
      <c r="H3506" s="1205" t="s">
        <v>2322</v>
      </c>
    </row>
    <row r="3507" spans="1:8" hidden="1">
      <c r="A3507" s="1212"/>
      <c r="B3507" s="1212"/>
      <c r="C3507" s="1754" t="s">
        <v>88</v>
      </c>
      <c r="D3507" s="1212"/>
      <c r="E3507" s="1213"/>
      <c r="F3507" s="1213"/>
      <c r="G3507" s="1214">
        <f>SUM(G3497:G3506)</f>
        <v>10179.32</v>
      </c>
      <c r="H3507" s="1205" t="s">
        <v>2322</v>
      </c>
    </row>
    <row r="3508" spans="1:8" hidden="1">
      <c r="A3508" s="1212"/>
      <c r="B3508" s="1212"/>
      <c r="C3508" s="1754"/>
      <c r="D3508" s="1212"/>
      <c r="E3508" s="1213" t="s">
        <v>161</v>
      </c>
      <c r="F3508" s="1213" t="s">
        <v>162</v>
      </c>
      <c r="G3508" s="1221" t="s">
        <v>163</v>
      </c>
      <c r="H3508" s="1205" t="s">
        <v>2322</v>
      </c>
    </row>
    <row r="3509" spans="1:8" hidden="1">
      <c r="A3509" s="1212"/>
      <c r="B3509" s="1212"/>
      <c r="C3509" s="1754" t="s">
        <v>1275</v>
      </c>
      <c r="D3509" s="1212"/>
      <c r="E3509" s="1213">
        <f>G3507</f>
        <v>10179.32</v>
      </c>
      <c r="F3509" s="1213">
        <f>G3507</f>
        <v>10179.32</v>
      </c>
      <c r="G3509" s="1215">
        <f>G3507</f>
        <v>10179.32</v>
      </c>
      <c r="H3509" s="1205" t="s">
        <v>2322</v>
      </c>
    </row>
    <row r="3510" spans="1:8" ht="25.5" hidden="1">
      <c r="A3510" s="1212"/>
      <c r="B3510" s="1212"/>
      <c r="C3510" s="1752" t="s">
        <v>170</v>
      </c>
      <c r="D3510" s="1212"/>
      <c r="E3510" s="1212"/>
      <c r="F3510" s="1213">
        <f>ROUND((G3505+G3506+G3504)*0.1,2)</f>
        <v>412.79</v>
      </c>
      <c r="G3510" s="1215">
        <f>ROUND((G3505+G3506+G3504)*0.2,2)</f>
        <v>825.58</v>
      </c>
      <c r="H3510" s="1205" t="s">
        <v>2322</v>
      </c>
    </row>
    <row r="3511" spans="1:8" hidden="1">
      <c r="A3511" s="1212"/>
      <c r="B3511" s="1212"/>
      <c r="C3511" s="1754" t="s">
        <v>194</v>
      </c>
      <c r="D3511" s="1212"/>
      <c r="E3511" s="1217">
        <f>SUM(E3509:E3510)</f>
        <v>10179.32</v>
      </c>
      <c r="F3511" s="1217">
        <f>SUM(F3509:F3510)</f>
        <v>10592.11</v>
      </c>
      <c r="G3511" s="1222">
        <f>SUM(G3509:G3510)</f>
        <v>11004.9</v>
      </c>
      <c r="H3511" s="1205" t="s">
        <v>2322</v>
      </c>
    </row>
    <row r="3512" spans="1:8" hidden="1">
      <c r="A3512" s="1212"/>
      <c r="B3512" s="1212"/>
      <c r="C3512" s="1754" t="s">
        <v>181</v>
      </c>
      <c r="D3512" s="1212"/>
      <c r="E3512" s="1217">
        <f>ROUND(E3511/10,2)</f>
        <v>1017.93</v>
      </c>
      <c r="F3512" s="1217">
        <f>ROUND(F3511/10,2)</f>
        <v>1059.21</v>
      </c>
      <c r="G3512" s="1222">
        <f>ROUND(G3511/10,2)</f>
        <v>1100.49</v>
      </c>
      <c r="H3512" s="1205" t="s">
        <v>2322</v>
      </c>
    </row>
    <row r="3513" spans="1:8" ht="114.75" hidden="1">
      <c r="A3513" s="1156">
        <v>26</v>
      </c>
      <c r="B3513" s="1218"/>
      <c r="C3513" s="1752" t="s">
        <v>2255</v>
      </c>
      <c r="D3513" s="1212"/>
      <c r="E3513" s="1212"/>
      <c r="F3513" s="1212"/>
      <c r="G3513" s="1218"/>
      <c r="H3513" s="1205" t="s">
        <v>2322</v>
      </c>
    </row>
    <row r="3514" spans="1:8" hidden="1">
      <c r="A3514" s="1156"/>
      <c r="B3514" s="1218"/>
      <c r="C3514" s="1754" t="s">
        <v>60</v>
      </c>
      <c r="D3514" s="1212"/>
      <c r="E3514" s="1212"/>
      <c r="F3514" s="1212"/>
      <c r="G3514" s="1215"/>
      <c r="H3514" s="1205" t="s">
        <v>2322</v>
      </c>
    </row>
    <row r="3515" spans="1:8" hidden="1">
      <c r="A3515" s="1156"/>
      <c r="B3515" s="1218"/>
      <c r="C3515" s="1752" t="s">
        <v>2256</v>
      </c>
      <c r="D3515" s="1212" t="s">
        <v>102</v>
      </c>
      <c r="E3515" s="1223">
        <v>1</v>
      </c>
      <c r="F3515" s="1213">
        <f>'MINI SSR 2022-23'!H79</f>
        <v>390</v>
      </c>
      <c r="G3515" s="1214">
        <f>ROUND(E3515*F3515/1,2)</f>
        <v>390</v>
      </c>
      <c r="H3515" s="1205" t="s">
        <v>2322</v>
      </c>
    </row>
    <row r="3516" spans="1:8" hidden="1">
      <c r="A3516" s="1156"/>
      <c r="B3516" s="1218"/>
      <c r="C3516" s="1752" t="s">
        <v>2257</v>
      </c>
      <c r="D3516" s="1212" t="s">
        <v>102</v>
      </c>
      <c r="E3516" s="1223">
        <v>1</v>
      </c>
      <c r="F3516" s="1213">
        <f>'MINI SSR 2022-23'!H80</f>
        <v>220</v>
      </c>
      <c r="G3516" s="1214">
        <f>ROUND(E3516*F3516/1,2)</f>
        <v>220</v>
      </c>
      <c r="H3516" s="1205" t="s">
        <v>2322</v>
      </c>
    </row>
    <row r="3517" spans="1:8" hidden="1">
      <c r="A3517" s="1212"/>
      <c r="B3517" s="1212"/>
      <c r="C3517" s="1754" t="s">
        <v>181</v>
      </c>
      <c r="D3517" s="1212"/>
      <c r="E3517" s="1217"/>
      <c r="F3517" s="1217"/>
      <c r="G3517" s="1222">
        <f>SUM(G3515:G3516)</f>
        <v>610</v>
      </c>
      <c r="H3517" s="1205" t="s">
        <v>2322</v>
      </c>
    </row>
    <row r="3518" spans="1:8" ht="140.25" hidden="1">
      <c r="A3518" s="1156">
        <v>28</v>
      </c>
      <c r="B3518" s="1218" t="s">
        <v>2258</v>
      </c>
      <c r="C3518" s="1752" t="s">
        <v>2259</v>
      </c>
      <c r="D3518" s="1212"/>
      <c r="E3518" s="1212"/>
      <c r="F3518" s="1212"/>
      <c r="G3518" s="1218"/>
      <c r="H3518" s="1205" t="s">
        <v>2322</v>
      </c>
    </row>
    <row r="3519" spans="1:8" hidden="1">
      <c r="A3519" s="1156"/>
      <c r="B3519" s="1218"/>
      <c r="C3519" s="1754" t="s">
        <v>42</v>
      </c>
      <c r="D3519" s="1212"/>
      <c r="E3519" s="1212"/>
      <c r="F3519" s="1212"/>
      <c r="G3519" s="1215"/>
      <c r="H3519" s="1205" t="s">
        <v>2322</v>
      </c>
    </row>
    <row r="3520" spans="1:8" hidden="1">
      <c r="A3520" s="1156"/>
      <c r="B3520" s="1218"/>
      <c r="C3520" s="1754" t="s">
        <v>60</v>
      </c>
      <c r="D3520" s="1212"/>
      <c r="E3520" s="1212"/>
      <c r="F3520" s="1212"/>
      <c r="G3520" s="1215"/>
      <c r="H3520" s="1205" t="s">
        <v>2322</v>
      </c>
    </row>
    <row r="3521" spans="1:8" hidden="1">
      <c r="A3521" s="1156"/>
      <c r="B3521" s="1218"/>
      <c r="C3521" s="1752" t="s">
        <v>2260</v>
      </c>
      <c r="D3521" s="1212" t="s">
        <v>35</v>
      </c>
      <c r="E3521" s="1213">
        <v>0.17</v>
      </c>
      <c r="F3521" s="1213">
        <f>F2788</f>
        <v>2046.91</v>
      </c>
      <c r="G3521" s="1214">
        <f>ROUND(E3521*F3521,2)</f>
        <v>347.97</v>
      </c>
      <c r="H3521" s="1205" t="s">
        <v>2322</v>
      </c>
    </row>
    <row r="3522" spans="1:8" hidden="1">
      <c r="A3522" s="1156"/>
      <c r="B3522" s="1218"/>
      <c r="C3522" s="1752" t="s">
        <v>847</v>
      </c>
      <c r="D3522" s="1212" t="s">
        <v>4</v>
      </c>
      <c r="E3522" s="1213">
        <v>120</v>
      </c>
      <c r="F3522" s="1213">
        <f>'lead 22-23'!L8</f>
        <v>4700</v>
      </c>
      <c r="G3522" s="1214">
        <f>ROUND(E3522*F3522/1000,2)</f>
        <v>564</v>
      </c>
      <c r="H3522" s="1205" t="s">
        <v>2322</v>
      </c>
    </row>
    <row r="3523" spans="1:8" hidden="1">
      <c r="A3523" s="1156"/>
      <c r="B3523" s="1218"/>
      <c r="C3523" s="1752" t="s">
        <v>837</v>
      </c>
      <c r="D3523" s="1212" t="s">
        <v>35</v>
      </c>
      <c r="E3523" s="1213">
        <v>8.5000000000000006E-2</v>
      </c>
      <c r="F3523" s="1213">
        <f>'lead 22-23'!L13</f>
        <v>1720.9999999999998</v>
      </c>
      <c r="G3523" s="1214">
        <f>ROUND(E3523*F3523,2)</f>
        <v>146.29</v>
      </c>
      <c r="H3523" s="1205" t="s">
        <v>2322</v>
      </c>
    </row>
    <row r="3524" spans="1:8" hidden="1">
      <c r="A3524" s="1212"/>
      <c r="B3524" s="1212"/>
      <c r="C3524" s="1754" t="s">
        <v>68</v>
      </c>
      <c r="D3524" s="1212"/>
      <c r="E3524" s="1213"/>
      <c r="F3524" s="1213"/>
      <c r="G3524" s="1214"/>
      <c r="H3524" s="1205" t="s">
        <v>2322</v>
      </c>
    </row>
    <row r="3525" spans="1:8" hidden="1">
      <c r="A3525" s="1212"/>
      <c r="B3525" s="1212"/>
      <c r="C3525" s="1752" t="s">
        <v>64</v>
      </c>
      <c r="D3525" s="1212" t="s">
        <v>27</v>
      </c>
      <c r="E3525" s="1213">
        <v>1.25</v>
      </c>
      <c r="F3525" s="1216">
        <f>'MINI SSR 2022-23'!H3</f>
        <v>630</v>
      </c>
      <c r="G3525" s="1214">
        <f>ROUND(E3525*F3525,2)</f>
        <v>787.5</v>
      </c>
      <c r="H3525" s="1205" t="s">
        <v>2322</v>
      </c>
    </row>
    <row r="3526" spans="1:8" hidden="1">
      <c r="A3526" s="1212"/>
      <c r="B3526" s="1212"/>
      <c r="C3526" s="1752" t="s">
        <v>69</v>
      </c>
      <c r="D3526" s="1212" t="s">
        <v>27</v>
      </c>
      <c r="E3526" s="1213">
        <v>0.06</v>
      </c>
      <c r="F3526" s="1216">
        <f>'MINI SSR 2022-23'!H4</f>
        <v>565</v>
      </c>
      <c r="G3526" s="1214">
        <f>ROUND(E3526*F3526,2)</f>
        <v>33.9</v>
      </c>
      <c r="H3526" s="1205" t="s">
        <v>2322</v>
      </c>
    </row>
    <row r="3527" spans="1:8" hidden="1">
      <c r="A3527" s="1212"/>
      <c r="B3527" s="1212"/>
      <c r="C3527" s="1752" t="s">
        <v>85</v>
      </c>
      <c r="D3527" s="1212" t="s">
        <v>27</v>
      </c>
      <c r="E3527" s="1213">
        <v>3</v>
      </c>
      <c r="F3527" s="1216">
        <f>'MINI SSR 2022-23'!H5</f>
        <v>525</v>
      </c>
      <c r="G3527" s="1214">
        <f>ROUND(E3527*F3527,2)</f>
        <v>1575</v>
      </c>
      <c r="H3527" s="1205" t="s">
        <v>2322</v>
      </c>
    </row>
    <row r="3528" spans="1:8" hidden="1">
      <c r="A3528" s="1212"/>
      <c r="B3528" s="1212"/>
      <c r="C3528" s="1754" t="s">
        <v>88</v>
      </c>
      <c r="D3528" s="1212"/>
      <c r="E3528" s="1212"/>
      <c r="F3528" s="1212"/>
      <c r="G3528" s="1222">
        <f>SUM(G3521:G3527)</f>
        <v>3454.66</v>
      </c>
      <c r="H3528" s="1205" t="s">
        <v>2322</v>
      </c>
    </row>
    <row r="3529" spans="1:8" hidden="1">
      <c r="A3529" s="1212"/>
      <c r="B3529" s="1212"/>
      <c r="C3529" s="1754"/>
      <c r="D3529" s="1212"/>
      <c r="E3529" s="1218" t="s">
        <v>161</v>
      </c>
      <c r="F3529" s="1218" t="s">
        <v>162</v>
      </c>
      <c r="G3529" s="1217" t="s">
        <v>163</v>
      </c>
      <c r="H3529" s="1205" t="s">
        <v>2322</v>
      </c>
    </row>
    <row r="3530" spans="1:8" hidden="1">
      <c r="A3530" s="1212"/>
      <c r="B3530" s="1212"/>
      <c r="C3530" s="1754" t="s">
        <v>1275</v>
      </c>
      <c r="D3530" s="1212"/>
      <c r="E3530" s="1213">
        <f>G3528</f>
        <v>3454.66</v>
      </c>
      <c r="F3530" s="1213">
        <f>G3528</f>
        <v>3454.66</v>
      </c>
      <c r="G3530" s="1215">
        <f>G3528</f>
        <v>3454.66</v>
      </c>
      <c r="H3530" s="1205" t="s">
        <v>2322</v>
      </c>
    </row>
    <row r="3531" spans="1:8" ht="25.5" hidden="1">
      <c r="A3531" s="1212"/>
      <c r="B3531" s="1212"/>
      <c r="C3531" s="1752" t="s">
        <v>170</v>
      </c>
      <c r="D3531" s="1212"/>
      <c r="E3531" s="1212"/>
      <c r="F3531" s="1213">
        <f>ROUND((G3525+G3526+G3527)*0.1,2)</f>
        <v>239.64</v>
      </c>
      <c r="G3531" s="1225">
        <f>ROUND((G3525+G3526+G3527)*0.2,2)</f>
        <v>479.28</v>
      </c>
      <c r="H3531" s="1205" t="s">
        <v>2322</v>
      </c>
    </row>
    <row r="3532" spans="1:8" hidden="1">
      <c r="A3532" s="1212"/>
      <c r="B3532" s="1212"/>
      <c r="C3532" s="1754" t="s">
        <v>194</v>
      </c>
      <c r="D3532" s="1212"/>
      <c r="E3532" s="1217">
        <f>SUM(E3530:E3531)</f>
        <v>3454.66</v>
      </c>
      <c r="F3532" s="1217">
        <f>SUM(F3530:F3531)</f>
        <v>3694.2999999999997</v>
      </c>
      <c r="G3532" s="1222">
        <f>SUM(G3530:G3531)</f>
        <v>3933.9399999999996</v>
      </c>
      <c r="H3532" s="1205" t="s">
        <v>2322</v>
      </c>
    </row>
    <row r="3533" spans="1:8" hidden="1">
      <c r="A3533" s="1212"/>
      <c r="B3533" s="1212"/>
      <c r="C3533" s="1754" t="s">
        <v>181</v>
      </c>
      <c r="D3533" s="1212"/>
      <c r="E3533" s="1217">
        <f>ROUND(E3532/10,2)</f>
        <v>345.47</v>
      </c>
      <c r="F3533" s="1217">
        <f>ROUND(F3532/10,2)</f>
        <v>369.43</v>
      </c>
      <c r="G3533" s="1222">
        <f>ROUND(G3532/10,2)</f>
        <v>393.39</v>
      </c>
      <c r="H3533" s="1205" t="s">
        <v>2322</v>
      </c>
    </row>
    <row r="3534" spans="1:8" ht="102" hidden="1">
      <c r="A3534" s="1156">
        <v>51</v>
      </c>
      <c r="B3534" s="1218" t="s">
        <v>878</v>
      </c>
      <c r="C3534" s="1752" t="s">
        <v>879</v>
      </c>
      <c r="D3534" s="1212"/>
      <c r="E3534" s="1212"/>
      <c r="F3534" s="1212"/>
      <c r="G3534" s="1218"/>
      <c r="H3534" s="1205" t="s">
        <v>2322</v>
      </c>
    </row>
    <row r="3535" spans="1:8" hidden="1">
      <c r="A3535" s="1156"/>
      <c r="B3535" s="1218"/>
      <c r="C3535" s="1754" t="s">
        <v>42</v>
      </c>
      <c r="D3535" s="1212"/>
      <c r="E3535" s="1212"/>
      <c r="F3535" s="1212"/>
      <c r="G3535" s="1215"/>
      <c r="H3535" s="1205" t="s">
        <v>2322</v>
      </c>
    </row>
    <row r="3536" spans="1:8" hidden="1">
      <c r="A3536" s="1156"/>
      <c r="B3536" s="1218"/>
      <c r="C3536" s="1754" t="s">
        <v>60</v>
      </c>
      <c r="D3536" s="1212"/>
      <c r="E3536" s="1212"/>
      <c r="F3536" s="1212"/>
      <c r="G3536" s="1215"/>
      <c r="H3536" s="1205" t="s">
        <v>2322</v>
      </c>
    </row>
    <row r="3537" spans="1:8" hidden="1">
      <c r="A3537" s="1156"/>
      <c r="B3537" s="1218"/>
      <c r="C3537" s="1752" t="s">
        <v>1276</v>
      </c>
      <c r="D3537" s="1212" t="s">
        <v>1353</v>
      </c>
      <c r="E3537" s="1213">
        <v>1.2</v>
      </c>
      <c r="F3537" s="1213">
        <f>'MINI SSR 2022-23'!$G$40</f>
        <v>600</v>
      </c>
      <c r="G3537" s="1214">
        <f>ROUND(F3537/20*E3537,2)</f>
        <v>36</v>
      </c>
      <c r="H3537" s="1205" t="s">
        <v>2322</v>
      </c>
    </row>
    <row r="3538" spans="1:8" hidden="1">
      <c r="A3538" s="1212"/>
      <c r="B3538" s="1212"/>
      <c r="C3538" s="1754" t="s">
        <v>68</v>
      </c>
      <c r="D3538" s="1212"/>
      <c r="E3538" s="1213"/>
      <c r="F3538" s="1213"/>
      <c r="G3538" s="1214"/>
      <c r="H3538" s="1205" t="s">
        <v>2322</v>
      </c>
    </row>
    <row r="3539" spans="1:8" hidden="1">
      <c r="A3539" s="1212"/>
      <c r="B3539" s="1212"/>
      <c r="C3539" s="1752" t="s">
        <v>150</v>
      </c>
      <c r="D3539" s="1212" t="s">
        <v>27</v>
      </c>
      <c r="E3539" s="1213">
        <v>0.11</v>
      </c>
      <c r="F3539" s="1213">
        <f>'MINI SSR 2022-23'!$H$8</f>
        <v>705</v>
      </c>
      <c r="G3539" s="1214">
        <f>ROUND(E3539*F3539,2)</f>
        <v>77.55</v>
      </c>
      <c r="H3539" s="1205" t="s">
        <v>2322</v>
      </c>
    </row>
    <row r="3540" spans="1:8" hidden="1">
      <c r="A3540" s="1212"/>
      <c r="B3540" s="1212"/>
      <c r="C3540" s="1752" t="s">
        <v>85</v>
      </c>
      <c r="D3540" s="1212" t="s">
        <v>27</v>
      </c>
      <c r="E3540" s="1213">
        <v>0.22</v>
      </c>
      <c r="F3540" s="1213">
        <f>'MINI SSR 2022-23'!$H$5</f>
        <v>525</v>
      </c>
      <c r="G3540" s="1214">
        <f>ROUND(E3540*F3540,2)</f>
        <v>115.5</v>
      </c>
      <c r="H3540" s="1205" t="s">
        <v>2322</v>
      </c>
    </row>
    <row r="3541" spans="1:8" hidden="1">
      <c r="A3541" s="1212"/>
      <c r="B3541" s="1212"/>
      <c r="C3541" s="1752" t="s">
        <v>880</v>
      </c>
      <c r="D3541" s="1212"/>
      <c r="E3541" s="1213">
        <v>0.05</v>
      </c>
      <c r="F3541" s="1213">
        <f>SUM(G3537:G3540)</f>
        <v>229.05</v>
      </c>
      <c r="G3541" s="1214">
        <f>ROUND(E3541*F3541,2)</f>
        <v>11.45</v>
      </c>
      <c r="H3541" s="1205" t="s">
        <v>2322</v>
      </c>
    </row>
    <row r="3542" spans="1:8" hidden="1">
      <c r="A3542" s="1212"/>
      <c r="B3542" s="1212"/>
      <c r="C3542" s="1754" t="s">
        <v>88</v>
      </c>
      <c r="D3542" s="1212"/>
      <c r="E3542" s="1212"/>
      <c r="F3542" s="1212"/>
      <c r="G3542" s="1222">
        <f>SUM(G3537:G3541)</f>
        <v>240.5</v>
      </c>
      <c r="H3542" s="1205" t="s">
        <v>2322</v>
      </c>
    </row>
    <row r="3543" spans="1:8" hidden="1">
      <c r="A3543" s="1212"/>
      <c r="B3543" s="1212"/>
      <c r="C3543" s="1754"/>
      <c r="D3543" s="1212"/>
      <c r="E3543" s="1218" t="s">
        <v>161</v>
      </c>
      <c r="F3543" s="1218" t="s">
        <v>162</v>
      </c>
      <c r="G3543" s="1217" t="s">
        <v>163</v>
      </c>
      <c r="H3543" s="1205" t="s">
        <v>2322</v>
      </c>
    </row>
    <row r="3544" spans="1:8" hidden="1">
      <c r="A3544" s="1212"/>
      <c r="B3544" s="1212"/>
      <c r="C3544" s="1754" t="s">
        <v>1277</v>
      </c>
      <c r="D3544" s="1212"/>
      <c r="E3544" s="1213">
        <f>G3542</f>
        <v>240.5</v>
      </c>
      <c r="F3544" s="1213">
        <f>E3544</f>
        <v>240.5</v>
      </c>
      <c r="G3544" s="1215">
        <f>F3544</f>
        <v>240.5</v>
      </c>
      <c r="H3544" s="1205" t="s">
        <v>2322</v>
      </c>
    </row>
    <row r="3545" spans="1:8" ht="25.5" hidden="1">
      <c r="A3545" s="1212"/>
      <c r="B3545" s="1212"/>
      <c r="C3545" s="1752" t="s">
        <v>170</v>
      </c>
      <c r="D3545" s="1212"/>
      <c r="E3545" s="1212"/>
      <c r="F3545" s="1213">
        <f>ROUND((G3539+G3540)*0.1,2)</f>
        <v>19.309999999999999</v>
      </c>
      <c r="G3545" s="1215">
        <f>ROUND((G3539+G3540)*0.2,2)</f>
        <v>38.61</v>
      </c>
      <c r="H3545" s="1205" t="s">
        <v>2322</v>
      </c>
    </row>
    <row r="3546" spans="1:8" hidden="1">
      <c r="A3546" s="1212"/>
      <c r="B3546" s="1212"/>
      <c r="C3546" s="1754" t="s">
        <v>194</v>
      </c>
      <c r="D3546" s="1212"/>
      <c r="E3546" s="1217">
        <f>SUM(E3544:E3545)</f>
        <v>240.5</v>
      </c>
      <c r="F3546" s="1217">
        <f>SUM(F3544:F3545)</f>
        <v>259.81</v>
      </c>
      <c r="G3546" s="1222">
        <f>SUM(G3544:G3545)</f>
        <v>279.11</v>
      </c>
      <c r="H3546" s="1205" t="s">
        <v>2322</v>
      </c>
    </row>
    <row r="3547" spans="1:8" hidden="1">
      <c r="A3547" s="1212"/>
      <c r="B3547" s="1212"/>
      <c r="C3547" s="1754" t="s">
        <v>181</v>
      </c>
      <c r="D3547" s="1212"/>
      <c r="E3547" s="1217">
        <f>ROUND(E3546/10,2)</f>
        <v>24.05</v>
      </c>
      <c r="F3547" s="1217">
        <f>ROUND(F3546/10,2)</f>
        <v>25.98</v>
      </c>
      <c r="G3547" s="1222">
        <f>ROUND(G3546/10,2)</f>
        <v>27.91</v>
      </c>
      <c r="H3547" s="1205" t="s">
        <v>2322</v>
      </c>
    </row>
    <row r="3548" spans="1:8" ht="191.25" hidden="1">
      <c r="A3548" s="1156">
        <v>25</v>
      </c>
      <c r="B3548" s="1218" t="s">
        <v>1330</v>
      </c>
      <c r="C3548" s="1752" t="s">
        <v>891</v>
      </c>
      <c r="D3548" s="1212"/>
      <c r="E3548" s="1212"/>
      <c r="F3548" s="1212"/>
      <c r="G3548" s="1218"/>
      <c r="H3548" s="1205" t="s">
        <v>2322</v>
      </c>
    </row>
    <row r="3549" spans="1:8" hidden="1">
      <c r="A3549" s="1156"/>
      <c r="B3549" s="1218"/>
      <c r="C3549" s="1754" t="s">
        <v>42</v>
      </c>
      <c r="D3549" s="1212"/>
      <c r="E3549" s="1212"/>
      <c r="F3549" s="1212"/>
      <c r="G3549" s="1215"/>
      <c r="H3549" s="1205" t="s">
        <v>2322</v>
      </c>
    </row>
    <row r="3550" spans="1:8" hidden="1">
      <c r="A3550" s="1156"/>
      <c r="B3550" s="1218"/>
      <c r="C3550" s="1754" t="s">
        <v>60</v>
      </c>
      <c r="D3550" s="1212"/>
      <c r="E3550" s="1212"/>
      <c r="F3550" s="1212"/>
      <c r="G3550" s="1215"/>
      <c r="H3550" s="1205" t="s">
        <v>2322</v>
      </c>
    </row>
    <row r="3551" spans="1:8" hidden="1">
      <c r="A3551" s="1156"/>
      <c r="B3551" s="1218"/>
      <c r="C3551" s="1752" t="s">
        <v>892</v>
      </c>
      <c r="D3551" s="1212" t="s">
        <v>1353</v>
      </c>
      <c r="E3551" s="1213">
        <v>23</v>
      </c>
      <c r="F3551" s="1213">
        <f>'MINI SSR 2022-23'!$G$40</f>
        <v>600</v>
      </c>
      <c r="G3551" s="1214">
        <f>ROUND(F3551/20*E3551,2)</f>
        <v>690</v>
      </c>
      <c r="H3551" s="1205" t="s">
        <v>2322</v>
      </c>
    </row>
    <row r="3552" spans="1:8" hidden="1">
      <c r="A3552" s="1212"/>
      <c r="B3552" s="1212"/>
      <c r="C3552" s="1754" t="s">
        <v>68</v>
      </c>
      <c r="D3552" s="1212"/>
      <c r="E3552" s="1213"/>
      <c r="F3552" s="1213"/>
      <c r="G3552" s="1214"/>
      <c r="H3552" s="1205" t="s">
        <v>2322</v>
      </c>
    </row>
    <row r="3553" spans="1:8" hidden="1">
      <c r="A3553" s="1212"/>
      <c r="B3553" s="1212"/>
      <c r="C3553" s="1752" t="s">
        <v>94</v>
      </c>
      <c r="D3553" s="1212" t="s">
        <v>27</v>
      </c>
      <c r="E3553" s="1223">
        <v>0.27300000000000002</v>
      </c>
      <c r="F3553" s="1213">
        <f>'MINI SSR 2022-23'!$H$8</f>
        <v>705</v>
      </c>
      <c r="G3553" s="1214">
        <f>ROUND(E3553*F3553,2)</f>
        <v>192.47</v>
      </c>
      <c r="H3553" s="1205" t="s">
        <v>2322</v>
      </c>
    </row>
    <row r="3554" spans="1:8" hidden="1">
      <c r="A3554" s="1212"/>
      <c r="B3554" s="1212"/>
      <c r="C3554" s="1752" t="s">
        <v>874</v>
      </c>
      <c r="D3554" s="1212" t="s">
        <v>27</v>
      </c>
      <c r="E3554" s="1223">
        <v>0.63700000000000001</v>
      </c>
      <c r="F3554" s="1213">
        <f>'MINI SSR 2022-23'!$H$9</f>
        <v>565</v>
      </c>
      <c r="G3554" s="1214">
        <f>ROUND(E3554*F3554,2)</f>
        <v>359.91</v>
      </c>
      <c r="H3554" s="1205" t="s">
        <v>2322</v>
      </c>
    </row>
    <row r="3555" spans="1:8" hidden="1">
      <c r="A3555" s="1212"/>
      <c r="B3555" s="1212"/>
      <c r="C3555" s="1752" t="s">
        <v>85</v>
      </c>
      <c r="D3555" s="1212" t="s">
        <v>27</v>
      </c>
      <c r="E3555" s="1223">
        <v>0.91</v>
      </c>
      <c r="F3555" s="1213">
        <f>'MINI SSR 2022-23'!$H$5</f>
        <v>525</v>
      </c>
      <c r="G3555" s="1214">
        <f>ROUND(E3555*F3555,2)</f>
        <v>477.75</v>
      </c>
      <c r="H3555" s="1205" t="s">
        <v>2322</v>
      </c>
    </row>
    <row r="3556" spans="1:8" hidden="1">
      <c r="A3556" s="1212"/>
      <c r="B3556" s="1212"/>
      <c r="C3556" s="1752" t="s">
        <v>893</v>
      </c>
      <c r="D3556" s="1212"/>
      <c r="E3556" s="1213">
        <v>0.01</v>
      </c>
      <c r="F3556" s="1213">
        <f>SUM(G3551:G3555)</f>
        <v>1720.13</v>
      </c>
      <c r="G3556" s="1214">
        <f>ROUND(E3556*F3556,2)</f>
        <v>17.2</v>
      </c>
      <c r="H3556" s="1205" t="s">
        <v>2322</v>
      </c>
    </row>
    <row r="3557" spans="1:8" hidden="1">
      <c r="A3557" s="1212"/>
      <c r="B3557" s="1212"/>
      <c r="C3557" s="1754" t="s">
        <v>88</v>
      </c>
      <c r="D3557" s="1212"/>
      <c r="E3557" s="1212"/>
      <c r="F3557" s="1212"/>
      <c r="G3557" s="1222">
        <f>SUM(G3551:G3556)</f>
        <v>1737.3300000000002</v>
      </c>
      <c r="H3557" s="1205" t="s">
        <v>2322</v>
      </c>
    </row>
    <row r="3558" spans="1:8" hidden="1">
      <c r="A3558" s="1212"/>
      <c r="B3558" s="1212"/>
      <c r="C3558" s="1754"/>
      <c r="D3558" s="1212"/>
      <c r="E3558" s="1218" t="s">
        <v>161</v>
      </c>
      <c r="F3558" s="1218" t="s">
        <v>162</v>
      </c>
      <c r="G3558" s="1217" t="s">
        <v>163</v>
      </c>
      <c r="H3558" s="1205" t="s">
        <v>2322</v>
      </c>
    </row>
    <row r="3559" spans="1:8" hidden="1">
      <c r="A3559" s="1212"/>
      <c r="B3559" s="1212"/>
      <c r="C3559" s="1754" t="s">
        <v>1277</v>
      </c>
      <c r="D3559" s="1212"/>
      <c r="E3559" s="1213">
        <f>G3557</f>
        <v>1737.3300000000002</v>
      </c>
      <c r="F3559" s="1213">
        <f>E3559</f>
        <v>1737.3300000000002</v>
      </c>
      <c r="G3559" s="1215">
        <f>F3559</f>
        <v>1737.3300000000002</v>
      </c>
      <c r="H3559" s="1205" t="s">
        <v>2322</v>
      </c>
    </row>
    <row r="3560" spans="1:8" ht="25.5" hidden="1">
      <c r="A3560" s="1212"/>
      <c r="B3560" s="1212"/>
      <c r="C3560" s="1752" t="s">
        <v>170</v>
      </c>
      <c r="D3560" s="1212"/>
      <c r="E3560" s="1212"/>
      <c r="F3560" s="1213">
        <f>ROUND((G3553+G3554+G3555)*0.1,2)</f>
        <v>103.01</v>
      </c>
      <c r="G3560" s="1225">
        <f>ROUND(F3560*2,2)</f>
        <v>206.02</v>
      </c>
      <c r="H3560" s="1205" t="s">
        <v>2322</v>
      </c>
    </row>
    <row r="3561" spans="1:8" hidden="1">
      <c r="A3561" s="1212"/>
      <c r="B3561" s="1212"/>
      <c r="C3561" s="1754" t="s">
        <v>194</v>
      </c>
      <c r="D3561" s="1212"/>
      <c r="E3561" s="1217">
        <f>SUM(E3559:E3560)</f>
        <v>1737.3300000000002</v>
      </c>
      <c r="F3561" s="1217">
        <f>SUM(F3559:F3560)</f>
        <v>1840.3400000000001</v>
      </c>
      <c r="G3561" s="1222">
        <f>SUM(G3559:G3560)</f>
        <v>1943.3500000000001</v>
      </c>
      <c r="H3561" s="1205" t="s">
        <v>2322</v>
      </c>
    </row>
    <row r="3562" spans="1:8" hidden="1">
      <c r="A3562" s="1212"/>
      <c r="B3562" s="1212"/>
      <c r="C3562" s="1754" t="s">
        <v>181</v>
      </c>
      <c r="D3562" s="1212"/>
      <c r="E3562" s="1217">
        <f>ROUND(E3561/10,2)</f>
        <v>173.73</v>
      </c>
      <c r="F3562" s="1217">
        <f>ROUND(F3561/10,2)</f>
        <v>184.03</v>
      </c>
      <c r="G3562" s="1222">
        <f>ROUND(G3561/10,2)</f>
        <v>194.34</v>
      </c>
      <c r="H3562" s="1205" t="s">
        <v>2322</v>
      </c>
    </row>
    <row r="3563" spans="1:8" s="1247" customFormat="1" ht="25.5" hidden="1">
      <c r="A3563" s="1218">
        <v>34</v>
      </c>
      <c r="B3563" s="1245" t="s">
        <v>1354</v>
      </c>
      <c r="C3563" s="1752" t="s">
        <v>1355</v>
      </c>
      <c r="D3563" s="1212"/>
      <c r="E3563" s="1212"/>
      <c r="F3563" s="1246"/>
      <c r="G3563" s="1246"/>
      <c r="H3563" s="1205" t="s">
        <v>2322</v>
      </c>
    </row>
    <row r="3564" spans="1:8" hidden="1">
      <c r="A3564" s="1212"/>
      <c r="B3564" s="1218"/>
      <c r="C3564" s="1752" t="s">
        <v>1356</v>
      </c>
      <c r="D3564" s="1216"/>
      <c r="E3564" s="1216"/>
      <c r="F3564" s="1216"/>
      <c r="G3564" s="1241"/>
      <c r="H3564" s="1205" t="s">
        <v>2322</v>
      </c>
    </row>
    <row r="3565" spans="1:8" hidden="1">
      <c r="A3565" s="1212"/>
      <c r="B3565" s="1218"/>
      <c r="C3565" s="1752" t="s">
        <v>1357</v>
      </c>
      <c r="D3565" s="1216"/>
      <c r="E3565" s="1216"/>
      <c r="F3565" s="1216"/>
      <c r="G3565" s="1241"/>
      <c r="H3565" s="1205" t="s">
        <v>2322</v>
      </c>
    </row>
    <row r="3566" spans="1:8" hidden="1">
      <c r="A3566" s="1212"/>
      <c r="B3566" s="1218"/>
      <c r="C3566" s="1752" t="s">
        <v>3223</v>
      </c>
      <c r="D3566" s="1216" t="s">
        <v>90</v>
      </c>
      <c r="E3566" s="1216">
        <v>1</v>
      </c>
      <c r="F3566" s="1216">
        <f>'MINI SSR 2022-23'!G41</f>
        <v>160</v>
      </c>
      <c r="G3566" s="1241">
        <f>ROUND(E3566*F3566,2)</f>
        <v>160</v>
      </c>
      <c r="H3566" s="1205" t="s">
        <v>2322</v>
      </c>
    </row>
    <row r="3567" spans="1:8" hidden="1">
      <c r="A3567" s="1212"/>
      <c r="B3567" s="1218"/>
      <c r="C3567" s="1752" t="s">
        <v>1358</v>
      </c>
      <c r="D3567" s="1216"/>
      <c r="E3567" s="1216"/>
      <c r="F3567" s="1216"/>
      <c r="G3567" s="1241"/>
      <c r="H3567" s="1205" t="s">
        <v>2322</v>
      </c>
    </row>
    <row r="3568" spans="1:8" hidden="1">
      <c r="A3568" s="1212"/>
      <c r="B3568" s="1218"/>
      <c r="C3568" s="1752" t="s">
        <v>94</v>
      </c>
      <c r="D3568" s="1216" t="s">
        <v>27</v>
      </c>
      <c r="E3568" s="1216">
        <v>0.21</v>
      </c>
      <c r="F3568" s="1213">
        <f>'MINI SSR 2022-23'!$H$8</f>
        <v>705</v>
      </c>
      <c r="G3568" s="1241">
        <f>ROUND(E3568*F3568,2)</f>
        <v>148.05000000000001</v>
      </c>
      <c r="H3568" s="1205" t="s">
        <v>2322</v>
      </c>
    </row>
    <row r="3569" spans="1:8" hidden="1">
      <c r="A3569" s="1212"/>
      <c r="B3569" s="1218"/>
      <c r="C3569" s="1752" t="s">
        <v>874</v>
      </c>
      <c r="D3569" s="1216" t="s">
        <v>27</v>
      </c>
      <c r="E3569" s="1216">
        <v>0.49</v>
      </c>
      <c r="F3569" s="1213">
        <f>'MINI SSR 2022-23'!$H$9</f>
        <v>565</v>
      </c>
      <c r="G3569" s="1241">
        <f>ROUND(E3569*F3569,2)</f>
        <v>276.85000000000002</v>
      </c>
      <c r="H3569" s="1205" t="s">
        <v>2322</v>
      </c>
    </row>
    <row r="3570" spans="1:8" hidden="1">
      <c r="A3570" s="1212"/>
      <c r="B3570" s="1218"/>
      <c r="C3570" s="1752" t="s">
        <v>875</v>
      </c>
      <c r="D3570" s="1216"/>
      <c r="E3570" s="1248">
        <v>5.0000000000000001E-3</v>
      </c>
      <c r="F3570" s="1216">
        <f>SUM(G3566:G3569)</f>
        <v>584.90000000000009</v>
      </c>
      <c r="G3570" s="1241">
        <f>ROUND(E3570*F3570,2)</f>
        <v>2.92</v>
      </c>
      <c r="H3570" s="1205" t="s">
        <v>2322</v>
      </c>
    </row>
    <row r="3571" spans="1:8" hidden="1">
      <c r="A3571" s="1212"/>
      <c r="B3571" s="1218"/>
      <c r="C3571" s="1752" t="s">
        <v>1359</v>
      </c>
      <c r="D3571" s="1216"/>
      <c r="E3571" s="1216"/>
      <c r="F3571" s="1216"/>
      <c r="G3571" s="1241">
        <f>SUM(G3566:G3570)</f>
        <v>587.82000000000005</v>
      </c>
      <c r="H3571" s="1205" t="s">
        <v>2322</v>
      </c>
    </row>
    <row r="3572" spans="1:8" s="1250" customFormat="1" hidden="1">
      <c r="A3572" s="1245"/>
      <c r="B3572" s="1245"/>
      <c r="C3572" s="1754" t="s">
        <v>869</v>
      </c>
      <c r="D3572" s="1242"/>
      <c r="E3572" s="1242"/>
      <c r="F3572" s="1242"/>
      <c r="G3572" s="1249">
        <f>ROUND(SUM(G3571:G3571),2)</f>
        <v>587.82000000000005</v>
      </c>
      <c r="H3572" s="1205" t="s">
        <v>2322</v>
      </c>
    </row>
    <row r="3573" spans="1:8" s="1247" customFormat="1" ht="25.5" hidden="1">
      <c r="A3573" s="1218">
        <v>35</v>
      </c>
      <c r="B3573" s="1218" t="s">
        <v>1354</v>
      </c>
      <c r="C3573" s="1752" t="s">
        <v>1360</v>
      </c>
      <c r="D3573" s="1212"/>
      <c r="E3573" s="1212"/>
      <c r="F3573" s="1246"/>
      <c r="G3573" s="1246"/>
      <c r="H3573" s="1205" t="s">
        <v>2322</v>
      </c>
    </row>
    <row r="3574" spans="1:8" hidden="1">
      <c r="A3574" s="1212"/>
      <c r="B3574" s="1218"/>
      <c r="C3574" s="1752" t="s">
        <v>1356</v>
      </c>
      <c r="D3574" s="1216"/>
      <c r="E3574" s="1216"/>
      <c r="F3574" s="1216"/>
      <c r="G3574" s="1241"/>
      <c r="H3574" s="1205" t="s">
        <v>2322</v>
      </c>
    </row>
    <row r="3575" spans="1:8" hidden="1">
      <c r="A3575" s="1212"/>
      <c r="B3575" s="1218"/>
      <c r="C3575" s="1752" t="s">
        <v>1357</v>
      </c>
      <c r="D3575" s="1216"/>
      <c r="E3575" s="1216"/>
      <c r="F3575" s="1216"/>
      <c r="G3575" s="1241"/>
      <c r="H3575" s="1205" t="s">
        <v>2322</v>
      </c>
    </row>
    <row r="3576" spans="1:8" hidden="1">
      <c r="A3576" s="1212"/>
      <c r="B3576" s="1218"/>
      <c r="C3576" s="1752" t="s">
        <v>3224</v>
      </c>
      <c r="D3576" s="1216" t="s">
        <v>90</v>
      </c>
      <c r="E3576" s="1216">
        <v>1</v>
      </c>
      <c r="F3576" s="1216">
        <f>'MINI SSR 2022-23'!G42</f>
        <v>200</v>
      </c>
      <c r="G3576" s="1241">
        <f>ROUND(E3576*F3576,2)</f>
        <v>200</v>
      </c>
      <c r="H3576" s="1205" t="s">
        <v>2322</v>
      </c>
    </row>
    <row r="3577" spans="1:8" hidden="1">
      <c r="A3577" s="1212"/>
      <c r="B3577" s="1218"/>
      <c r="C3577" s="1752" t="s">
        <v>1358</v>
      </c>
      <c r="D3577" s="1216"/>
      <c r="E3577" s="1216"/>
      <c r="F3577" s="1216"/>
      <c r="G3577" s="1241"/>
      <c r="H3577" s="1205" t="s">
        <v>2322</v>
      </c>
    </row>
    <row r="3578" spans="1:8" hidden="1">
      <c r="A3578" s="1212"/>
      <c r="B3578" s="1218"/>
      <c r="C3578" s="1752" t="s">
        <v>94</v>
      </c>
      <c r="D3578" s="1216" t="s">
        <v>27</v>
      </c>
      <c r="E3578" s="1216">
        <v>0.21</v>
      </c>
      <c r="F3578" s="1213">
        <f>'MINI SSR 2022-23'!$H$8</f>
        <v>705</v>
      </c>
      <c r="G3578" s="1241">
        <f>ROUND(E3578*F3578,2)</f>
        <v>148.05000000000001</v>
      </c>
      <c r="H3578" s="1205" t="s">
        <v>2322</v>
      </c>
    </row>
    <row r="3579" spans="1:8" hidden="1">
      <c r="A3579" s="1212"/>
      <c r="B3579" s="1218"/>
      <c r="C3579" s="1752" t="s">
        <v>874</v>
      </c>
      <c r="D3579" s="1216" t="s">
        <v>27</v>
      </c>
      <c r="E3579" s="1216">
        <v>0.49</v>
      </c>
      <c r="F3579" s="1213">
        <f>'MINI SSR 2022-23'!$H$9</f>
        <v>565</v>
      </c>
      <c r="G3579" s="1241">
        <f>ROUND(E3579*F3579,2)</f>
        <v>276.85000000000002</v>
      </c>
      <c r="H3579" s="1205" t="s">
        <v>2322</v>
      </c>
    </row>
    <row r="3580" spans="1:8" hidden="1">
      <c r="A3580" s="1212"/>
      <c r="B3580" s="1218"/>
      <c r="C3580" s="1752" t="s">
        <v>875</v>
      </c>
      <c r="D3580" s="1216"/>
      <c r="E3580" s="1248">
        <v>5.0000000000000001E-3</v>
      </c>
      <c r="F3580" s="1216">
        <f>SUM(G3576:G3579)</f>
        <v>624.90000000000009</v>
      </c>
      <c r="G3580" s="1241">
        <f>ROUND(E3580*F3580,2)</f>
        <v>3.12</v>
      </c>
      <c r="H3580" s="1205" t="s">
        <v>2322</v>
      </c>
    </row>
    <row r="3581" spans="1:8" hidden="1">
      <c r="A3581" s="1212"/>
      <c r="B3581" s="1218"/>
      <c r="C3581" s="1752" t="s">
        <v>1359</v>
      </c>
      <c r="D3581" s="1216"/>
      <c r="E3581" s="1216"/>
      <c r="F3581" s="1216"/>
      <c r="G3581" s="1241">
        <f>SUM(G3576:G3580)</f>
        <v>628.0200000000001</v>
      </c>
      <c r="H3581" s="1205" t="s">
        <v>2322</v>
      </c>
    </row>
    <row r="3582" spans="1:8" s="1250" customFormat="1" hidden="1">
      <c r="A3582" s="1245"/>
      <c r="B3582" s="1245"/>
      <c r="C3582" s="1754" t="s">
        <v>869</v>
      </c>
      <c r="D3582" s="1242"/>
      <c r="E3582" s="1242"/>
      <c r="F3582" s="1242"/>
      <c r="G3582" s="1249">
        <f>ROUND(SUM(G3581:G3581),2)</f>
        <v>628.02</v>
      </c>
      <c r="H3582" s="1205" t="s">
        <v>2322</v>
      </c>
    </row>
    <row r="3583" spans="1:8" s="1247" customFormat="1" ht="140.25" hidden="1">
      <c r="A3583" s="1218">
        <v>36</v>
      </c>
      <c r="B3583" s="1218" t="s">
        <v>1330</v>
      </c>
      <c r="C3583" s="1752" t="s">
        <v>1167</v>
      </c>
      <c r="D3583" s="1212"/>
      <c r="E3583" s="1212"/>
      <c r="F3583" s="1246"/>
      <c r="G3583" s="1246"/>
      <c r="H3583" s="1205" t="s">
        <v>2322</v>
      </c>
    </row>
    <row r="3584" spans="1:8" hidden="1">
      <c r="A3584" s="1212"/>
      <c r="B3584" s="1218"/>
      <c r="C3584" s="1754" t="s">
        <v>1361</v>
      </c>
      <c r="D3584" s="1216"/>
      <c r="E3584" s="1216"/>
      <c r="F3584" s="1216"/>
      <c r="G3584" s="1241"/>
      <c r="H3584" s="1205" t="s">
        <v>2322</v>
      </c>
    </row>
    <row r="3585" spans="1:8" hidden="1">
      <c r="A3585" s="1212"/>
      <c r="B3585" s="1218"/>
      <c r="C3585" s="1752" t="s">
        <v>1371</v>
      </c>
      <c r="D3585" s="1216" t="s">
        <v>1362</v>
      </c>
      <c r="E3585" s="1216">
        <v>1</v>
      </c>
      <c r="F3585" s="1216">
        <f>G3572</f>
        <v>587.82000000000005</v>
      </c>
      <c r="G3585" s="1241">
        <f>ROUND(E3585*F3585,2)</f>
        <v>587.82000000000005</v>
      </c>
      <c r="H3585" s="1205" t="s">
        <v>2322</v>
      </c>
    </row>
    <row r="3586" spans="1:8" hidden="1">
      <c r="A3586" s="1212"/>
      <c r="B3586" s="1218"/>
      <c r="C3586" s="1752"/>
      <c r="D3586" s="1216"/>
      <c r="E3586" s="1216"/>
      <c r="F3586" s="1216"/>
      <c r="G3586" s="1241"/>
      <c r="H3586" s="1205" t="s">
        <v>2322</v>
      </c>
    </row>
    <row r="3587" spans="1:8" hidden="1">
      <c r="A3587" s="1212"/>
      <c r="B3587" s="1218"/>
      <c r="C3587" s="1251" t="s">
        <v>1363</v>
      </c>
      <c r="D3587" s="1216"/>
      <c r="E3587" s="1216"/>
      <c r="F3587" s="1216"/>
      <c r="G3587" s="1241"/>
      <c r="H3587" s="1205" t="s">
        <v>2322</v>
      </c>
    </row>
    <row r="3588" spans="1:8" hidden="1">
      <c r="A3588" s="1212"/>
      <c r="B3588" s="1218"/>
      <c r="C3588" s="1752" t="s">
        <v>3225</v>
      </c>
      <c r="D3588" s="1156" t="s">
        <v>291</v>
      </c>
      <c r="E3588" s="1221">
        <v>0.8</v>
      </c>
      <c r="F3588" s="1216">
        <f>'MINI SSR 2022-23'!G43</f>
        <v>190</v>
      </c>
      <c r="G3588" s="1241">
        <f>ROUND(E3588*F3588,2)</f>
        <v>152</v>
      </c>
      <c r="H3588" s="1205" t="s">
        <v>2322</v>
      </c>
    </row>
    <row r="3589" spans="1:8" hidden="1">
      <c r="A3589" s="1212"/>
      <c r="B3589" s="1218"/>
      <c r="C3589" s="1251" t="s">
        <v>1365</v>
      </c>
      <c r="D3589" s="1156"/>
      <c r="E3589" s="1221"/>
      <c r="F3589" s="1216"/>
      <c r="G3589" s="1241"/>
      <c r="H3589" s="1205" t="s">
        <v>2322</v>
      </c>
    </row>
    <row r="3590" spans="1:8" hidden="1">
      <c r="A3590" s="1212"/>
      <c r="B3590" s="1218"/>
      <c r="C3590" s="1752" t="s">
        <v>1366</v>
      </c>
      <c r="D3590" s="1156" t="s">
        <v>27</v>
      </c>
      <c r="E3590" s="1213">
        <v>0.36</v>
      </c>
      <c r="F3590" s="1213">
        <f>'MINI SSR 2022-23'!$H$8</f>
        <v>705</v>
      </c>
      <c r="G3590" s="1241">
        <f>ROUND(E3590*F3590,2)</f>
        <v>253.8</v>
      </c>
      <c r="H3590" s="1205" t="s">
        <v>2322</v>
      </c>
    </row>
    <row r="3591" spans="1:8" hidden="1">
      <c r="A3591" s="1212"/>
      <c r="B3591" s="1218"/>
      <c r="C3591" s="1752" t="s">
        <v>1367</v>
      </c>
      <c r="D3591" s="1156" t="s">
        <v>27</v>
      </c>
      <c r="E3591" s="1213">
        <v>0.84</v>
      </c>
      <c r="F3591" s="1213">
        <f>'MINI SSR 2022-23'!$H$9</f>
        <v>565</v>
      </c>
      <c r="G3591" s="1241">
        <f>ROUND(E3591*F3591,2)</f>
        <v>474.6</v>
      </c>
      <c r="H3591" s="1205" t="s">
        <v>2322</v>
      </c>
    </row>
    <row r="3592" spans="1:8" hidden="1">
      <c r="A3592" s="1212"/>
      <c r="B3592" s="1218"/>
      <c r="C3592" s="1752" t="s">
        <v>0</v>
      </c>
      <c r="D3592" s="1216"/>
      <c r="E3592" s="1216"/>
      <c r="F3592" s="1216"/>
      <c r="G3592" s="1241">
        <f>SUM(G3585:G3591)</f>
        <v>1468.2200000000003</v>
      </c>
      <c r="H3592" s="1205" t="s">
        <v>2322</v>
      </c>
    </row>
    <row r="3593" spans="1:8" hidden="1">
      <c r="A3593" s="1212"/>
      <c r="B3593" s="1218"/>
      <c r="C3593" s="1752"/>
      <c r="D3593" s="1216"/>
      <c r="E3593" s="1242" t="s">
        <v>161</v>
      </c>
      <c r="F3593" s="1242" t="s">
        <v>162</v>
      </c>
      <c r="G3593" s="1242" t="s">
        <v>163</v>
      </c>
      <c r="H3593" s="1205" t="s">
        <v>2322</v>
      </c>
    </row>
    <row r="3594" spans="1:8" hidden="1">
      <c r="A3594" s="1212"/>
      <c r="B3594" s="1218"/>
      <c r="C3594" s="1752" t="s">
        <v>867</v>
      </c>
      <c r="D3594" s="1216"/>
      <c r="E3594" s="1216">
        <f>G3592</f>
        <v>1468.2200000000003</v>
      </c>
      <c r="F3594" s="1252">
        <f>G3592</f>
        <v>1468.2200000000003</v>
      </c>
      <c r="G3594" s="1252">
        <f>G3592</f>
        <v>1468.2200000000003</v>
      </c>
      <c r="H3594" s="1205" t="s">
        <v>2322</v>
      </c>
    </row>
    <row r="3595" spans="1:8" hidden="1">
      <c r="A3595" s="1212"/>
      <c r="B3595" s="1218"/>
      <c r="C3595" s="1752" t="s">
        <v>1368</v>
      </c>
      <c r="D3595" s="1216"/>
      <c r="E3595" s="1216"/>
      <c r="F3595" s="1241">
        <f>SUM(G3568+G3569+G3590+G3591)*10%</f>
        <v>115.33000000000003</v>
      </c>
      <c r="G3595" s="1241">
        <f>SUM(G3568+G3569+G3590+G3591)*20%</f>
        <v>230.66000000000005</v>
      </c>
      <c r="H3595" s="1205" t="s">
        <v>2322</v>
      </c>
    </row>
    <row r="3596" spans="1:8" s="1250" customFormat="1" hidden="1">
      <c r="A3596" s="1245"/>
      <c r="B3596" s="1245"/>
      <c r="C3596" s="1754" t="s">
        <v>869</v>
      </c>
      <c r="D3596" s="1242"/>
      <c r="E3596" s="1242">
        <f>SUM(E3594:E3595)</f>
        <v>1468.2200000000003</v>
      </c>
      <c r="F3596" s="1249">
        <f>SUM(F3594:F3595)</f>
        <v>1583.5500000000002</v>
      </c>
      <c r="G3596" s="1249">
        <f>SUM(G3594:G3595)</f>
        <v>1698.8800000000003</v>
      </c>
      <c r="H3596" s="1205" t="s">
        <v>2322</v>
      </c>
    </row>
    <row r="3597" spans="1:8" s="1250" customFormat="1" hidden="1">
      <c r="A3597" s="1245"/>
      <c r="B3597" s="1245"/>
      <c r="C3597" s="1754" t="s">
        <v>1369</v>
      </c>
      <c r="D3597" s="1242"/>
      <c r="E3597" s="1242">
        <f>ROUND(E3596/10,2)</f>
        <v>146.82</v>
      </c>
      <c r="F3597" s="1249">
        <f>ROUND(F3596/10,2)</f>
        <v>158.36000000000001</v>
      </c>
      <c r="G3597" s="1249">
        <f>ROUND(G3596/10,2)</f>
        <v>169.89</v>
      </c>
      <c r="H3597" s="1205" t="s">
        <v>2322</v>
      </c>
    </row>
    <row r="3598" spans="1:8" s="1247" customFormat="1" ht="140.25" hidden="1">
      <c r="A3598" s="1218">
        <v>37</v>
      </c>
      <c r="B3598" s="1218" t="s">
        <v>1330</v>
      </c>
      <c r="C3598" s="1752" t="s">
        <v>1370</v>
      </c>
      <c r="D3598" s="1212"/>
      <c r="E3598" s="1212"/>
      <c r="F3598" s="1246"/>
      <c r="G3598" s="1246"/>
      <c r="H3598" s="1205" t="s">
        <v>2322</v>
      </c>
    </row>
    <row r="3599" spans="1:8" hidden="1">
      <c r="A3599" s="1212"/>
      <c r="B3599" s="1218"/>
      <c r="C3599" s="1752" t="s">
        <v>1371</v>
      </c>
      <c r="D3599" s="1216" t="s">
        <v>1362</v>
      </c>
      <c r="E3599" s="1216">
        <v>1</v>
      </c>
      <c r="F3599" s="1216">
        <f>G3582</f>
        <v>628.02</v>
      </c>
      <c r="G3599" s="1241">
        <f>ROUND(E3599*F3599,2)</f>
        <v>628.02</v>
      </c>
      <c r="H3599" s="1205" t="s">
        <v>2322</v>
      </c>
    </row>
    <row r="3600" spans="1:8" hidden="1">
      <c r="A3600" s="1212"/>
      <c r="B3600" s="1218"/>
      <c r="C3600" s="1251" t="s">
        <v>1363</v>
      </c>
      <c r="D3600" s="1216"/>
      <c r="E3600" s="1216"/>
      <c r="F3600" s="1216"/>
      <c r="G3600" s="1241"/>
      <c r="H3600" s="1205" t="s">
        <v>2322</v>
      </c>
    </row>
    <row r="3601" spans="1:8" hidden="1">
      <c r="A3601" s="1212"/>
      <c r="B3601" s="1218"/>
      <c r="C3601" s="1752" t="s">
        <v>3226</v>
      </c>
      <c r="D3601" s="1156" t="s">
        <v>291</v>
      </c>
      <c r="E3601" s="1221">
        <v>0.8</v>
      </c>
      <c r="F3601" s="1216">
        <f>'MINI SSR 2022-23'!G44</f>
        <v>210</v>
      </c>
      <c r="G3601" s="1241">
        <f>ROUND(E3601*F3601,2)</f>
        <v>168</v>
      </c>
      <c r="H3601" s="1205" t="s">
        <v>2322</v>
      </c>
    </row>
    <row r="3602" spans="1:8" hidden="1">
      <c r="A3602" s="1212"/>
      <c r="B3602" s="1218"/>
      <c r="C3602" s="1251" t="s">
        <v>1365</v>
      </c>
      <c r="D3602" s="1156"/>
      <c r="E3602" s="1221"/>
      <c r="F3602" s="1216"/>
      <c r="G3602" s="1241"/>
      <c r="H3602" s="1205" t="s">
        <v>2322</v>
      </c>
    </row>
    <row r="3603" spans="1:8" hidden="1">
      <c r="A3603" s="1212"/>
      <c r="B3603" s="1218"/>
      <c r="C3603" s="1752" t="s">
        <v>1366</v>
      </c>
      <c r="D3603" s="1156" t="s">
        <v>27</v>
      </c>
      <c r="E3603" s="1213">
        <v>0.21</v>
      </c>
      <c r="F3603" s="1213">
        <f>'MINI SSR 2022-23'!$H$8</f>
        <v>705</v>
      </c>
      <c r="G3603" s="1241">
        <f>ROUND(E3603*F3603,2)</f>
        <v>148.05000000000001</v>
      </c>
      <c r="H3603" s="1205" t="s">
        <v>2322</v>
      </c>
    </row>
    <row r="3604" spans="1:8" hidden="1">
      <c r="A3604" s="1212"/>
      <c r="B3604" s="1218"/>
      <c r="C3604" s="1752" t="s">
        <v>1367</v>
      </c>
      <c r="D3604" s="1156" t="s">
        <v>27</v>
      </c>
      <c r="E3604" s="1213">
        <v>0.49</v>
      </c>
      <c r="F3604" s="1213">
        <f>'MINI SSR 2022-23'!$H$9</f>
        <v>565</v>
      </c>
      <c r="G3604" s="1241">
        <f>ROUND(E3604*F3604,2)</f>
        <v>276.85000000000002</v>
      </c>
      <c r="H3604" s="1205" t="s">
        <v>2322</v>
      </c>
    </row>
    <row r="3605" spans="1:8" hidden="1">
      <c r="A3605" s="1212"/>
      <c r="B3605" s="1218"/>
      <c r="C3605" s="1752" t="s">
        <v>311</v>
      </c>
      <c r="D3605" s="1156" t="s">
        <v>27</v>
      </c>
      <c r="E3605" s="1213">
        <v>1.5</v>
      </c>
      <c r="F3605" s="1213">
        <f>'MINI SSR 2022-23'!$H$5</f>
        <v>525</v>
      </c>
      <c r="G3605" s="1241">
        <f>ROUND(E3605*F3605,2)</f>
        <v>787.5</v>
      </c>
      <c r="H3605" s="1205" t="s">
        <v>2322</v>
      </c>
    </row>
    <row r="3606" spans="1:8" hidden="1">
      <c r="A3606" s="1212"/>
      <c r="B3606" s="1218"/>
      <c r="C3606" s="1752" t="s">
        <v>0</v>
      </c>
      <c r="D3606" s="1216"/>
      <c r="E3606" s="1216"/>
      <c r="F3606" s="1216"/>
      <c r="G3606" s="1241">
        <f>SUM(G3599:G3605)</f>
        <v>2008.42</v>
      </c>
      <c r="H3606" s="1205" t="s">
        <v>2322</v>
      </c>
    </row>
    <row r="3607" spans="1:8" hidden="1">
      <c r="A3607" s="1212"/>
      <c r="B3607" s="1218"/>
      <c r="C3607" s="1752"/>
      <c r="D3607" s="1216"/>
      <c r="E3607" s="1242" t="s">
        <v>161</v>
      </c>
      <c r="F3607" s="1242" t="s">
        <v>162</v>
      </c>
      <c r="G3607" s="1242" t="s">
        <v>163</v>
      </c>
      <c r="H3607" s="1205" t="s">
        <v>2322</v>
      </c>
    </row>
    <row r="3608" spans="1:8" hidden="1">
      <c r="A3608" s="1212"/>
      <c r="B3608" s="1218"/>
      <c r="C3608" s="1752" t="s">
        <v>867</v>
      </c>
      <c r="D3608" s="1216"/>
      <c r="E3608" s="1216">
        <f>G3606</f>
        <v>2008.42</v>
      </c>
      <c r="F3608" s="1252">
        <f>G3606</f>
        <v>2008.42</v>
      </c>
      <c r="G3608" s="1252">
        <f>G3606</f>
        <v>2008.42</v>
      </c>
      <c r="H3608" s="1205" t="s">
        <v>2322</v>
      </c>
    </row>
    <row r="3609" spans="1:8" hidden="1">
      <c r="A3609" s="1212"/>
      <c r="B3609" s="1218"/>
      <c r="C3609" s="1752" t="s">
        <v>870</v>
      </c>
      <c r="D3609" s="1216"/>
      <c r="E3609" s="1216"/>
      <c r="F3609" s="1241">
        <f>SUM(G3578+G3579+G3603+G3604+G3605)*10%</f>
        <v>163.73000000000002</v>
      </c>
      <c r="G3609" s="1241">
        <f>SUM(G3578+G3579+G3603+G3604+G3605)*20%</f>
        <v>327.46000000000004</v>
      </c>
      <c r="H3609" s="1205" t="s">
        <v>2322</v>
      </c>
    </row>
    <row r="3610" spans="1:8" s="1250" customFormat="1" hidden="1">
      <c r="A3610" s="1245"/>
      <c r="B3610" s="1245"/>
      <c r="C3610" s="1754" t="s">
        <v>869</v>
      </c>
      <c r="D3610" s="1242"/>
      <c r="E3610" s="1242">
        <f>SUM(E3608:E3609)</f>
        <v>2008.42</v>
      </c>
      <c r="F3610" s="1249">
        <f>SUM(F3608:F3609)</f>
        <v>2172.15</v>
      </c>
      <c r="G3610" s="1249">
        <f>SUM(G3608:G3609)</f>
        <v>2335.88</v>
      </c>
      <c r="H3610" s="1205" t="s">
        <v>2322</v>
      </c>
    </row>
    <row r="3611" spans="1:8" s="1250" customFormat="1" hidden="1">
      <c r="A3611" s="1245"/>
      <c r="B3611" s="1245"/>
      <c r="C3611" s="1754" t="s">
        <v>1369</v>
      </c>
      <c r="D3611" s="1242"/>
      <c r="E3611" s="1242">
        <f>ROUND(E3610/10,2)</f>
        <v>200.84</v>
      </c>
      <c r="F3611" s="1249">
        <f>ROUND(F3610/10,2)</f>
        <v>217.22</v>
      </c>
      <c r="G3611" s="1249">
        <f>ROUND(G3610/10,2)</f>
        <v>233.59</v>
      </c>
      <c r="H3611" s="1205" t="s">
        <v>2322</v>
      </c>
    </row>
    <row r="3612" spans="1:8" s="1256" customFormat="1" ht="140.25" hidden="1">
      <c r="A3612" s="1156">
        <v>37</v>
      </c>
      <c r="B3612" s="1218" t="s">
        <v>96</v>
      </c>
      <c r="C3612" s="1752" t="s">
        <v>1308</v>
      </c>
      <c r="D3612" s="1212"/>
      <c r="E3612" s="1212"/>
      <c r="F3612" s="1212"/>
      <c r="G3612" s="1218"/>
      <c r="H3612" s="1205" t="s">
        <v>2322</v>
      </c>
    </row>
    <row r="3613" spans="1:8" s="1256" customFormat="1" hidden="1">
      <c r="A3613" s="1156"/>
      <c r="B3613" s="1218"/>
      <c r="C3613" s="1754" t="s">
        <v>42</v>
      </c>
      <c r="D3613" s="1212"/>
      <c r="E3613" s="1212"/>
      <c r="F3613" s="1212"/>
      <c r="G3613" s="1215"/>
      <c r="H3613" s="1205" t="s">
        <v>2322</v>
      </c>
    </row>
    <row r="3614" spans="1:8" s="1256" customFormat="1" hidden="1">
      <c r="A3614" s="1156"/>
      <c r="B3614" s="1218"/>
      <c r="C3614" s="1754" t="s">
        <v>97</v>
      </c>
      <c r="D3614" s="1212"/>
      <c r="E3614" s="1212"/>
      <c r="F3614" s="1212"/>
      <c r="G3614" s="1215"/>
      <c r="H3614" s="1205" t="s">
        <v>2322</v>
      </c>
    </row>
    <row r="3615" spans="1:8" s="1256" customFormat="1" hidden="1">
      <c r="A3615" s="1156"/>
      <c r="B3615" s="1218"/>
      <c r="C3615" s="1754" t="s">
        <v>60</v>
      </c>
      <c r="D3615" s="1212"/>
      <c r="E3615" s="1212"/>
      <c r="F3615" s="1212"/>
      <c r="G3615" s="1215"/>
      <c r="H3615" s="1205" t="s">
        <v>2322</v>
      </c>
    </row>
    <row r="3616" spans="1:8" s="1256" customFormat="1" hidden="1">
      <c r="A3616" s="1156"/>
      <c r="B3616" s="1218"/>
      <c r="C3616" s="1752" t="s">
        <v>216</v>
      </c>
      <c r="D3616" s="1212" t="s">
        <v>30</v>
      </c>
      <c r="E3616" s="1213">
        <v>0.7</v>
      </c>
      <c r="F3616" s="1213">
        <f>'MINI SSR 2022-23'!G45</f>
        <v>160</v>
      </c>
      <c r="G3616" s="1214">
        <f>ROUND(E3616*F3616,2)</f>
        <v>112</v>
      </c>
      <c r="H3616" s="1205" t="s">
        <v>2322</v>
      </c>
    </row>
    <row r="3617" spans="1:8" s="1256" customFormat="1" hidden="1">
      <c r="A3617" s="1212"/>
      <c r="B3617" s="1218"/>
      <c r="C3617" s="1754" t="s">
        <v>68</v>
      </c>
      <c r="D3617" s="1212"/>
      <c r="E3617" s="1213"/>
      <c r="F3617" s="1213"/>
      <c r="G3617" s="1214"/>
      <c r="H3617" s="1205" t="s">
        <v>2322</v>
      </c>
    </row>
    <row r="3618" spans="1:8" s="1256" customFormat="1" hidden="1">
      <c r="A3618" s="1212"/>
      <c r="B3618" s="1212"/>
      <c r="C3618" s="1752" t="s">
        <v>94</v>
      </c>
      <c r="D3618" s="1212" t="s">
        <v>27</v>
      </c>
      <c r="E3618" s="1213">
        <v>0.21</v>
      </c>
      <c r="F3618" s="1213">
        <f>'MINI SSR 2022-23'!$H$8</f>
        <v>705</v>
      </c>
      <c r="G3618" s="1214">
        <f>ROUND(E3618*F3618,2)</f>
        <v>148.05000000000001</v>
      </c>
      <c r="H3618" s="1205" t="s">
        <v>2322</v>
      </c>
    </row>
    <row r="3619" spans="1:8" s="1256" customFormat="1" hidden="1">
      <c r="A3619" s="1212"/>
      <c r="B3619" s="1212"/>
      <c r="C3619" s="1752" t="s">
        <v>876</v>
      </c>
      <c r="D3619" s="1212" t="s">
        <v>27</v>
      </c>
      <c r="E3619" s="1213">
        <v>0.48</v>
      </c>
      <c r="F3619" s="1213">
        <f>'MINI SSR 2022-23'!$H$9</f>
        <v>565</v>
      </c>
      <c r="G3619" s="1214">
        <f>ROUND(E3619*F3619,2)</f>
        <v>271.2</v>
      </c>
      <c r="H3619" s="1205" t="s">
        <v>2322</v>
      </c>
    </row>
    <row r="3620" spans="1:8" s="1256" customFormat="1" hidden="1">
      <c r="A3620" s="1212"/>
      <c r="B3620" s="1212"/>
      <c r="C3620" s="1752" t="s">
        <v>95</v>
      </c>
      <c r="D3620" s="1212"/>
      <c r="E3620" s="1213"/>
      <c r="F3620" s="1217">
        <f>SUM(G3616:G3618)</f>
        <v>260.05</v>
      </c>
      <c r="G3620" s="1214">
        <f>ROUND(F3620*0.01,2)</f>
        <v>2.6</v>
      </c>
      <c r="H3620" s="1205" t="s">
        <v>2322</v>
      </c>
    </row>
    <row r="3621" spans="1:8" s="1256" customFormat="1" hidden="1">
      <c r="A3621" s="1212"/>
      <c r="B3621" s="1212"/>
      <c r="C3621" s="1754" t="s">
        <v>98</v>
      </c>
      <c r="D3621" s="1212"/>
      <c r="E3621" s="1212"/>
      <c r="F3621" s="1212"/>
      <c r="G3621" s="1222"/>
      <c r="H3621" s="1205" t="s">
        <v>2322</v>
      </c>
    </row>
    <row r="3622" spans="1:8" s="1256" customFormat="1" hidden="1">
      <c r="A3622" s="1212"/>
      <c r="B3622" s="1212"/>
      <c r="C3622" s="1754" t="s">
        <v>60</v>
      </c>
      <c r="D3622" s="1212"/>
      <c r="E3622" s="1212"/>
      <c r="F3622" s="1212"/>
      <c r="G3622" s="1215"/>
      <c r="H3622" s="1205" t="s">
        <v>2322</v>
      </c>
    </row>
    <row r="3623" spans="1:8" s="1256" customFormat="1" hidden="1">
      <c r="A3623" s="1212"/>
      <c r="B3623" s="1212"/>
      <c r="C3623" s="1752" t="s">
        <v>217</v>
      </c>
      <c r="D3623" s="1212" t="s">
        <v>30</v>
      </c>
      <c r="E3623" s="1213">
        <v>1.1000000000000001</v>
      </c>
      <c r="F3623" s="1213">
        <f>'MINI SSR 2022-23'!G46</f>
        <v>270</v>
      </c>
      <c r="G3623" s="1214">
        <f>ROUND(E3623*F3623,2)</f>
        <v>297</v>
      </c>
      <c r="H3623" s="1205" t="s">
        <v>2322</v>
      </c>
    </row>
    <row r="3624" spans="1:8" s="1256" customFormat="1" hidden="1">
      <c r="A3624" s="1212"/>
      <c r="B3624" s="1212"/>
      <c r="C3624" s="1754" t="s">
        <v>68</v>
      </c>
      <c r="D3624" s="1212"/>
      <c r="E3624" s="1213"/>
      <c r="F3624" s="1213"/>
      <c r="G3624" s="1214"/>
      <c r="H3624" s="1205" t="s">
        <v>2322</v>
      </c>
    </row>
    <row r="3625" spans="1:8" hidden="1">
      <c r="A3625" s="1212"/>
      <c r="B3625" s="1212"/>
      <c r="C3625" s="1752" t="s">
        <v>94</v>
      </c>
      <c r="D3625" s="1212" t="s">
        <v>27</v>
      </c>
      <c r="E3625" s="1213">
        <v>0.33</v>
      </c>
      <c r="F3625" s="1213">
        <f>'MINI SSR 2022-23'!$H$8</f>
        <v>705</v>
      </c>
      <c r="G3625" s="1214">
        <f>ROUND(E3625*F3625,2)</f>
        <v>232.65</v>
      </c>
      <c r="H3625" s="1205" t="s">
        <v>2322</v>
      </c>
    </row>
    <row r="3626" spans="1:8" hidden="1">
      <c r="A3626" s="1212"/>
      <c r="B3626" s="1212"/>
      <c r="C3626" s="1752" t="s">
        <v>876</v>
      </c>
      <c r="D3626" s="1212" t="s">
        <v>27</v>
      </c>
      <c r="E3626" s="1213">
        <v>0.77</v>
      </c>
      <c r="F3626" s="1213">
        <f>'MINI SSR 2022-23'!$H$9</f>
        <v>565</v>
      </c>
      <c r="G3626" s="1214">
        <f>ROUND(E3626*F3626,2)</f>
        <v>435.05</v>
      </c>
      <c r="H3626" s="1205" t="s">
        <v>2322</v>
      </c>
    </row>
    <row r="3627" spans="1:8" hidden="1">
      <c r="A3627" s="1212"/>
      <c r="B3627" s="1212"/>
      <c r="C3627" s="1754" t="s">
        <v>99</v>
      </c>
      <c r="D3627" s="1212"/>
      <c r="E3627" s="1212"/>
      <c r="F3627" s="1212"/>
      <c r="G3627" s="1222">
        <f>SUM(G3616:G3626)</f>
        <v>1498.55</v>
      </c>
      <c r="H3627" s="1205" t="s">
        <v>2322</v>
      </c>
    </row>
    <row r="3628" spans="1:8" hidden="1">
      <c r="A3628" s="1212"/>
      <c r="B3628" s="1212"/>
      <c r="C3628" s="1754" t="s">
        <v>121</v>
      </c>
      <c r="D3628" s="1212"/>
      <c r="E3628" s="1212"/>
      <c r="F3628" s="1212"/>
      <c r="G3628" s="1222">
        <f>ROUND(G3627/10,2)</f>
        <v>149.86000000000001</v>
      </c>
      <c r="H3628" s="1205" t="s">
        <v>2322</v>
      </c>
    </row>
    <row r="3629" spans="1:8" ht="63.75" hidden="1">
      <c r="A3629" s="1156">
        <v>59</v>
      </c>
      <c r="B3629" s="1218"/>
      <c r="C3629" s="1752" t="s">
        <v>1181</v>
      </c>
      <c r="D3629" s="1212"/>
      <c r="E3629" s="1212"/>
      <c r="F3629" s="1212"/>
      <c r="G3629" s="1215"/>
      <c r="H3629" s="1205" t="s">
        <v>2322</v>
      </c>
    </row>
    <row r="3630" spans="1:8" hidden="1">
      <c r="A3630" s="1212"/>
      <c r="B3630" s="1212" t="s">
        <v>1422</v>
      </c>
      <c r="C3630" s="1752" t="s">
        <v>1421</v>
      </c>
      <c r="D3630" s="1212" t="s">
        <v>102</v>
      </c>
      <c r="E3630" s="1213">
        <v>1</v>
      </c>
      <c r="F3630" s="1213">
        <v>205</v>
      </c>
      <c r="G3630" s="1214">
        <f>ROUND(E3630*F3630,2)</f>
        <v>205</v>
      </c>
      <c r="H3630" s="1205" t="s">
        <v>2322</v>
      </c>
    </row>
    <row r="3631" spans="1:8" hidden="1">
      <c r="A3631" s="1212"/>
      <c r="B3631" s="1212"/>
      <c r="C3631" s="1754"/>
      <c r="D3631" s="1212"/>
      <c r="E3631" s="1212"/>
      <c r="F3631" s="1212"/>
      <c r="G3631" s="1222">
        <f>SUM(G3630:G3630)</f>
        <v>205</v>
      </c>
      <c r="H3631" s="1205" t="s">
        <v>2322</v>
      </c>
    </row>
    <row r="3632" spans="1:8" ht="293.25" hidden="1">
      <c r="A3632" s="1156">
        <v>39</v>
      </c>
      <c r="B3632" s="1218"/>
      <c r="C3632" s="1752" t="s">
        <v>1183</v>
      </c>
      <c r="D3632" s="1212"/>
      <c r="E3632" s="1212"/>
      <c r="F3632" s="1212"/>
      <c r="G3632" s="1215"/>
      <c r="H3632" s="1205" t="s">
        <v>2322</v>
      </c>
    </row>
    <row r="3633" spans="1:8" hidden="1">
      <c r="A3633" s="1212"/>
      <c r="B3633" s="1212"/>
      <c r="C3633" s="1752" t="s">
        <v>222</v>
      </c>
      <c r="D3633" s="1212"/>
      <c r="E3633" s="1213"/>
      <c r="F3633" s="1213"/>
      <c r="G3633" s="1214"/>
      <c r="H3633" s="1205" t="s">
        <v>2322</v>
      </c>
    </row>
    <row r="3634" spans="1:8" hidden="1">
      <c r="A3634" s="1212"/>
      <c r="B3634" s="1212" t="s">
        <v>1424</v>
      </c>
      <c r="C3634" s="1752" t="s">
        <v>1423</v>
      </c>
      <c r="D3634" s="1213" t="s">
        <v>291</v>
      </c>
      <c r="E3634" s="1223">
        <v>6.5000000000000002E-2</v>
      </c>
      <c r="F3634" s="1216">
        <f>'MINI SSR 2022-23'!G47</f>
        <v>843</v>
      </c>
      <c r="G3634" s="1214">
        <f>ROUND(E3634*F3634,2)</f>
        <v>54.8</v>
      </c>
      <c r="H3634" s="1205" t="s">
        <v>2322</v>
      </c>
    </row>
    <row r="3635" spans="1:8" hidden="1">
      <c r="A3635" s="1212"/>
      <c r="B3635" s="1212" t="s">
        <v>1424</v>
      </c>
      <c r="C3635" s="1752" t="s">
        <v>1425</v>
      </c>
      <c r="D3635" s="1213" t="s">
        <v>291</v>
      </c>
      <c r="E3635" s="1223">
        <v>3.3000000000000002E-2</v>
      </c>
      <c r="F3635" s="1216">
        <f>'MINI SSR 2022-23'!G48</f>
        <v>254</v>
      </c>
      <c r="G3635" s="1214">
        <f>ROUND(E3635*F3635,2)</f>
        <v>8.3800000000000008</v>
      </c>
      <c r="H3635" s="1205" t="s">
        <v>2322</v>
      </c>
    </row>
    <row r="3636" spans="1:8" hidden="1">
      <c r="A3636" s="1156"/>
      <c r="B3636" s="1218"/>
      <c r="C3636" s="1752" t="s">
        <v>94</v>
      </c>
      <c r="D3636" s="1213" t="s">
        <v>27</v>
      </c>
      <c r="E3636" s="1213">
        <v>0.24</v>
      </c>
      <c r="F3636" s="1213">
        <f>'MINI SSR 2022-23'!$H$8</f>
        <v>705</v>
      </c>
      <c r="G3636" s="1214">
        <f>ROUND(E3636*F3636,2)</f>
        <v>169.2</v>
      </c>
      <c r="H3636" s="1205" t="s">
        <v>2322</v>
      </c>
    </row>
    <row r="3637" spans="1:8" hidden="1">
      <c r="A3637" s="1156"/>
      <c r="B3637" s="1218"/>
      <c r="C3637" s="1752" t="s">
        <v>874</v>
      </c>
      <c r="D3637" s="1213" t="s">
        <v>27</v>
      </c>
      <c r="E3637" s="1213">
        <v>0.56000000000000005</v>
      </c>
      <c r="F3637" s="1213">
        <f>'MINI SSR 2022-23'!$H$9</f>
        <v>565</v>
      </c>
      <c r="G3637" s="1214">
        <f>ROUND(E3637*F3637,2)</f>
        <v>316.39999999999998</v>
      </c>
      <c r="H3637" s="1205" t="s">
        <v>2322</v>
      </c>
    </row>
    <row r="3638" spans="1:8" hidden="1">
      <c r="A3638" s="1156"/>
      <c r="B3638" s="1218"/>
      <c r="C3638" s="1752" t="s">
        <v>157</v>
      </c>
      <c r="D3638" s="1213" t="s">
        <v>27</v>
      </c>
      <c r="E3638" s="1213">
        <v>0.8</v>
      </c>
      <c r="F3638" s="1213">
        <f>'MINI SSR 2022-23'!$H$5</f>
        <v>525</v>
      </c>
      <c r="G3638" s="1214">
        <f>ROUND(E3638*F3638,2)</f>
        <v>420</v>
      </c>
      <c r="H3638" s="1205" t="s">
        <v>2322</v>
      </c>
    </row>
    <row r="3639" spans="1:8" hidden="1">
      <c r="A3639" s="1156"/>
      <c r="B3639" s="1218"/>
      <c r="C3639" s="1754" t="s">
        <v>1182</v>
      </c>
      <c r="D3639" s="1213"/>
      <c r="E3639" s="1242"/>
      <c r="F3639" s="1242"/>
      <c r="G3639" s="1214">
        <f>SUM(G3634:G3638)</f>
        <v>968.78</v>
      </c>
      <c r="H3639" s="1205" t="s">
        <v>2322</v>
      </c>
    </row>
    <row r="3640" spans="1:8" ht="89.25" hidden="1">
      <c r="A3640" s="1156">
        <v>61</v>
      </c>
      <c r="B3640" s="1218"/>
      <c r="C3640" s="1752" t="s">
        <v>1184</v>
      </c>
      <c r="D3640" s="1212"/>
      <c r="E3640" s="1212"/>
      <c r="F3640" s="1212"/>
      <c r="G3640" s="1215"/>
      <c r="H3640" s="1205" t="s">
        <v>2322</v>
      </c>
    </row>
    <row r="3641" spans="1:8" hidden="1">
      <c r="A3641" s="1212"/>
      <c r="B3641" s="1212"/>
      <c r="C3641" s="1752" t="s">
        <v>1185</v>
      </c>
      <c r="D3641" s="1212" t="s">
        <v>102</v>
      </c>
      <c r="E3641" s="1213">
        <v>1</v>
      </c>
      <c r="F3641" s="1213">
        <v>630</v>
      </c>
      <c r="G3641" s="1214">
        <f>ROUND(E3641*F3641,2)</f>
        <v>630</v>
      </c>
      <c r="H3641" s="1205" t="s">
        <v>2322</v>
      </c>
    </row>
    <row r="3642" spans="1:8" hidden="1">
      <c r="A3642" s="1212"/>
      <c r="B3642" s="1212"/>
      <c r="C3642" s="1754"/>
      <c r="D3642" s="1212"/>
      <c r="E3642" s="1212"/>
      <c r="F3642" s="1212"/>
      <c r="G3642" s="1222">
        <f>SUM(G3641:G3641)</f>
        <v>630</v>
      </c>
      <c r="H3642" s="1205" t="s">
        <v>2322</v>
      </c>
    </row>
    <row r="3643" spans="1:8" ht="165.75" hidden="1">
      <c r="A3643" s="1156">
        <v>31</v>
      </c>
      <c r="B3643" s="1218"/>
      <c r="C3643" s="1752" t="s">
        <v>680</v>
      </c>
      <c r="D3643" s="1212"/>
      <c r="E3643" s="1212"/>
      <c r="F3643" s="1212"/>
      <c r="G3643" s="1215"/>
      <c r="H3643" s="1205" t="s">
        <v>2322</v>
      </c>
    </row>
    <row r="3644" spans="1:8" hidden="1">
      <c r="A3644" s="1212"/>
      <c r="B3644" s="1212" t="s">
        <v>1373</v>
      </c>
      <c r="C3644" s="1752" t="s">
        <v>379</v>
      </c>
      <c r="D3644" s="1212" t="s">
        <v>102</v>
      </c>
      <c r="E3644" s="1213">
        <v>1</v>
      </c>
      <c r="F3644" s="1213">
        <f>'MINI SSR 2022-23'!C47</f>
        <v>4025</v>
      </c>
      <c r="G3644" s="1214">
        <f>ROUND(E3644*F3644,2)</f>
        <v>4025</v>
      </c>
      <c r="H3644" s="1205" t="s">
        <v>2322</v>
      </c>
    </row>
    <row r="3645" spans="1:8" hidden="1">
      <c r="A3645" s="1212"/>
      <c r="B3645" s="1212"/>
      <c r="C3645" s="1754"/>
      <c r="D3645" s="1212"/>
      <c r="E3645" s="1212"/>
      <c r="F3645" s="1212"/>
      <c r="G3645" s="1222">
        <f>SUM(G3644:G3644)</f>
        <v>4025</v>
      </c>
      <c r="H3645" s="1205" t="s">
        <v>2322</v>
      </c>
    </row>
    <row r="3646" spans="1:8" ht="51" hidden="1">
      <c r="A3646" s="1156">
        <v>63</v>
      </c>
      <c r="B3646" s="1218"/>
      <c r="C3646" s="1752" t="s">
        <v>951</v>
      </c>
      <c r="D3646" s="1212"/>
      <c r="E3646" s="1212"/>
      <c r="F3646" s="1212"/>
      <c r="G3646" s="1215"/>
      <c r="H3646" s="1205" t="s">
        <v>2322</v>
      </c>
    </row>
    <row r="3647" spans="1:8" hidden="1">
      <c r="A3647" s="1212"/>
      <c r="B3647" s="1212" t="s">
        <v>1427</v>
      </c>
      <c r="C3647" s="1752" t="s">
        <v>1426</v>
      </c>
      <c r="D3647" s="1212" t="s">
        <v>275</v>
      </c>
      <c r="E3647" s="1166">
        <v>1</v>
      </c>
      <c r="F3647" s="1221">
        <v>303</v>
      </c>
      <c r="G3647" s="1214">
        <f>ROUND(E3647*F3647,2)</f>
        <v>303</v>
      </c>
      <c r="H3647" s="1205" t="s">
        <v>2322</v>
      </c>
    </row>
    <row r="3648" spans="1:8" hidden="1">
      <c r="A3648" s="1212"/>
      <c r="B3648" s="1212"/>
      <c r="C3648" s="1752" t="s">
        <v>953</v>
      </c>
      <c r="D3648" s="1212"/>
      <c r="E3648" s="1166"/>
      <c r="F3648" s="1221"/>
      <c r="G3648" s="1214"/>
      <c r="H3648" s="1205" t="s">
        <v>2322</v>
      </c>
    </row>
    <row r="3649" spans="1:8" hidden="1">
      <c r="A3649" s="1212"/>
      <c r="B3649" s="1212"/>
      <c r="C3649" s="1752" t="s">
        <v>3230</v>
      </c>
      <c r="D3649" s="1212"/>
      <c r="E3649" s="1166"/>
      <c r="F3649" s="1221"/>
      <c r="G3649" s="1214"/>
      <c r="H3649" s="1205" t="s">
        <v>2322</v>
      </c>
    </row>
    <row r="3650" spans="1:8" hidden="1">
      <c r="A3650" s="1212"/>
      <c r="B3650" s="1212"/>
      <c r="C3650" s="1752" t="s">
        <v>3231</v>
      </c>
      <c r="D3650" s="1212"/>
      <c r="E3650" s="1166"/>
      <c r="F3650" s="1221"/>
      <c r="G3650" s="1214"/>
      <c r="H3650" s="1205" t="s">
        <v>2322</v>
      </c>
    </row>
    <row r="3651" spans="1:8" hidden="1">
      <c r="A3651" s="1212"/>
      <c r="B3651" s="1212"/>
      <c r="C3651" s="1752" t="s">
        <v>3232</v>
      </c>
      <c r="D3651" s="1212"/>
      <c r="E3651" s="1166"/>
      <c r="F3651" s="1221"/>
      <c r="G3651" s="1214"/>
      <c r="H3651" s="1205" t="s">
        <v>2322</v>
      </c>
    </row>
    <row r="3652" spans="1:8" hidden="1">
      <c r="A3652" s="1212"/>
      <c r="B3652" s="1212"/>
      <c r="C3652" s="1752" t="s">
        <v>957</v>
      </c>
      <c r="D3652" s="1212" t="s">
        <v>275</v>
      </c>
      <c r="E3652" s="1166">
        <v>1</v>
      </c>
      <c r="F3652" s="1221">
        <v>808</v>
      </c>
      <c r="G3652" s="1214">
        <f>ROUND(E3652*F3652,2)</f>
        <v>808</v>
      </c>
      <c r="H3652" s="1205" t="s">
        <v>2322</v>
      </c>
    </row>
    <row r="3653" spans="1:8" hidden="1">
      <c r="A3653" s="1212"/>
      <c r="B3653" s="1212"/>
      <c r="C3653" s="1757"/>
      <c r="D3653" s="1156"/>
      <c r="E3653" s="1166"/>
      <c r="F3653" s="1221"/>
      <c r="G3653" s="1224"/>
      <c r="H3653" s="1205" t="s">
        <v>2322</v>
      </c>
    </row>
    <row r="3654" spans="1:8" hidden="1">
      <c r="A3654" s="1212"/>
      <c r="B3654" s="1212"/>
      <c r="C3654" s="1754"/>
      <c r="D3654" s="1212"/>
      <c r="E3654" s="1212"/>
      <c r="F3654" s="1212"/>
      <c r="G3654" s="1222">
        <f>SUM(G3652:G3653)</f>
        <v>808</v>
      </c>
      <c r="H3654" s="1205" t="s">
        <v>2322</v>
      </c>
    </row>
    <row r="3655" spans="1:8" ht="51" hidden="1">
      <c r="A3655" s="1156">
        <v>64</v>
      </c>
      <c r="B3655" s="1218"/>
      <c r="C3655" s="1752" t="s">
        <v>1232</v>
      </c>
      <c r="D3655" s="1212"/>
      <c r="E3655" s="1212"/>
      <c r="F3655" s="1212"/>
      <c r="G3655" s="1215"/>
      <c r="H3655" s="1205" t="s">
        <v>2322</v>
      </c>
    </row>
    <row r="3656" spans="1:8" hidden="1">
      <c r="A3656" s="1212"/>
      <c r="B3656" s="1212" t="s">
        <v>1427</v>
      </c>
      <c r="C3656" s="1752" t="s">
        <v>1426</v>
      </c>
      <c r="D3656" s="1212" t="s">
        <v>275</v>
      </c>
      <c r="E3656" s="1166">
        <v>1</v>
      </c>
      <c r="F3656" s="1221">
        <v>303</v>
      </c>
      <c r="G3656" s="1214">
        <f>ROUND(E3656*F3656,2)</f>
        <v>303</v>
      </c>
      <c r="H3656" s="1205" t="s">
        <v>2322</v>
      </c>
    </row>
    <row r="3657" spans="1:8" hidden="1">
      <c r="A3657" s="1212"/>
      <c r="B3657" s="1212"/>
      <c r="C3657" s="1752" t="s">
        <v>1236</v>
      </c>
      <c r="D3657" s="1212"/>
      <c r="E3657" s="1166"/>
      <c r="F3657" s="1221"/>
      <c r="G3657" s="1214"/>
      <c r="H3657" s="1205" t="s">
        <v>2322</v>
      </c>
    </row>
    <row r="3658" spans="1:8" hidden="1">
      <c r="A3658" s="1212"/>
      <c r="B3658" s="1212"/>
      <c r="C3658" s="1752" t="s">
        <v>3233</v>
      </c>
      <c r="D3658" s="1212"/>
      <c r="E3658" s="1166"/>
      <c r="F3658" s="1221"/>
      <c r="G3658" s="1214"/>
      <c r="H3658" s="1205" t="s">
        <v>2322</v>
      </c>
    </row>
    <row r="3659" spans="1:8" hidden="1">
      <c r="A3659" s="1212"/>
      <c r="B3659" s="1212"/>
      <c r="C3659" s="1752" t="s">
        <v>3234</v>
      </c>
      <c r="D3659" s="1212"/>
      <c r="E3659" s="1166"/>
      <c r="F3659" s="1221"/>
      <c r="G3659" s="1214"/>
      <c r="H3659" s="1205" t="s">
        <v>2322</v>
      </c>
    </row>
    <row r="3660" spans="1:8" hidden="1">
      <c r="A3660" s="1212"/>
      <c r="B3660" s="1212"/>
      <c r="C3660" s="1752" t="s">
        <v>3235</v>
      </c>
      <c r="D3660" s="1212"/>
      <c r="E3660" s="1166"/>
      <c r="F3660" s="1221"/>
      <c r="G3660" s="1214"/>
      <c r="H3660" s="1205" t="s">
        <v>2322</v>
      </c>
    </row>
    <row r="3661" spans="1:8" hidden="1">
      <c r="A3661" s="1212"/>
      <c r="B3661" s="1212"/>
      <c r="C3661" s="1752" t="s">
        <v>1236</v>
      </c>
      <c r="D3661" s="1212" t="s">
        <v>275</v>
      </c>
      <c r="E3661" s="1166">
        <v>1</v>
      </c>
      <c r="F3661" s="1221">
        <v>606</v>
      </c>
      <c r="G3661" s="1214">
        <f>ROUND(E3661*F3661,2)</f>
        <v>606</v>
      </c>
      <c r="H3661" s="1205" t="s">
        <v>2322</v>
      </c>
    </row>
    <row r="3662" spans="1:8" hidden="1">
      <c r="A3662" s="1212"/>
      <c r="B3662" s="1212"/>
      <c r="C3662" s="1757"/>
      <c r="D3662" s="1156"/>
      <c r="E3662" s="1166"/>
      <c r="F3662" s="1221"/>
      <c r="G3662" s="1224"/>
      <c r="H3662" s="1205" t="s">
        <v>2322</v>
      </c>
    </row>
    <row r="3663" spans="1:8" hidden="1">
      <c r="A3663" s="1212"/>
      <c r="B3663" s="1212"/>
      <c r="C3663" s="1754"/>
      <c r="D3663" s="1212"/>
      <c r="E3663" s="1212"/>
      <c r="F3663" s="1212"/>
      <c r="G3663" s="1222">
        <f>SUM(G3661:G3662)</f>
        <v>606</v>
      </c>
      <c r="H3663" s="1205" t="s">
        <v>2322</v>
      </c>
    </row>
    <row r="3664" spans="1:8" ht="51" hidden="1">
      <c r="A3664" s="1156">
        <v>65</v>
      </c>
      <c r="B3664" s="1218"/>
      <c r="C3664" s="1752" t="s">
        <v>952</v>
      </c>
      <c r="D3664" s="1212"/>
      <c r="E3664" s="1212"/>
      <c r="F3664" s="1212"/>
      <c r="G3664" s="1215"/>
      <c r="H3664" s="1205" t="s">
        <v>2322</v>
      </c>
    </row>
    <row r="3665" spans="1:8" hidden="1">
      <c r="A3665" s="1212"/>
      <c r="B3665" s="1212" t="s">
        <v>1429</v>
      </c>
      <c r="C3665" s="1752" t="s">
        <v>1428</v>
      </c>
      <c r="D3665" s="1212" t="s">
        <v>275</v>
      </c>
      <c r="E3665" s="1166">
        <v>1</v>
      </c>
      <c r="F3665" s="1221">
        <v>157</v>
      </c>
      <c r="G3665" s="1214">
        <f>ROUND(E3665*F3665,2)</f>
        <v>157</v>
      </c>
      <c r="H3665" s="1205" t="s">
        <v>2322</v>
      </c>
    </row>
    <row r="3666" spans="1:8" hidden="1">
      <c r="A3666" s="1212"/>
      <c r="B3666" s="1212"/>
      <c r="C3666" s="1757"/>
      <c r="D3666" s="1156"/>
      <c r="E3666" s="1166"/>
      <c r="F3666" s="1221"/>
      <c r="G3666" s="1224"/>
      <c r="H3666" s="1205" t="s">
        <v>2322</v>
      </c>
    </row>
    <row r="3667" spans="1:8" hidden="1">
      <c r="A3667" s="1212"/>
      <c r="B3667" s="1212"/>
      <c r="C3667" s="1754"/>
      <c r="D3667" s="1212"/>
      <c r="E3667" s="1212"/>
      <c r="F3667" s="1212"/>
      <c r="G3667" s="1222">
        <f>SUM(G3665:G3666)</f>
        <v>157</v>
      </c>
      <c r="H3667" s="1205" t="s">
        <v>2322</v>
      </c>
    </row>
    <row r="3668" spans="1:8" hidden="1">
      <c r="A3668" s="1156">
        <v>25</v>
      </c>
      <c r="B3668" s="1218"/>
      <c r="C3668" s="1253" t="s">
        <v>932</v>
      </c>
      <c r="D3668" s="1212"/>
      <c r="E3668" s="1212"/>
      <c r="F3668" s="1212"/>
      <c r="G3668" s="1212"/>
      <c r="H3668" s="1205" t="s">
        <v>2322</v>
      </c>
    </row>
    <row r="3669" spans="1:8" hidden="1">
      <c r="A3669" s="1212"/>
      <c r="B3669" s="1212" t="s">
        <v>1408</v>
      </c>
      <c r="C3669" s="1253" t="s">
        <v>379</v>
      </c>
      <c r="D3669" s="1212" t="s">
        <v>102</v>
      </c>
      <c r="E3669" s="1213">
        <v>1</v>
      </c>
      <c r="F3669" s="1213">
        <f>'D&amp;W data'!F907</f>
        <v>388</v>
      </c>
      <c r="G3669" s="1214">
        <f>ROUND(E3669*F3669,2)</f>
        <v>388</v>
      </c>
      <c r="H3669" s="1205" t="s">
        <v>2322</v>
      </c>
    </row>
    <row r="3670" spans="1:8" hidden="1">
      <c r="A3670" s="1212"/>
      <c r="B3670" s="1212"/>
      <c r="C3670" s="1253" t="s">
        <v>929</v>
      </c>
      <c r="D3670" s="1156" t="s">
        <v>108</v>
      </c>
      <c r="E3670" s="1221">
        <v>0.06</v>
      </c>
      <c r="F3670" s="1213">
        <f>'D&amp;W data'!F908</f>
        <v>630</v>
      </c>
      <c r="G3670" s="1224">
        <f>ROUND(E3670*F3670,2)</f>
        <v>37.799999999999997</v>
      </c>
      <c r="H3670" s="1205" t="s">
        <v>2322</v>
      </c>
    </row>
    <row r="3671" spans="1:8" hidden="1">
      <c r="A3671" s="1212"/>
      <c r="B3671" s="1212"/>
      <c r="C3671" s="1253" t="s">
        <v>930</v>
      </c>
      <c r="D3671" s="1156" t="s">
        <v>108</v>
      </c>
      <c r="E3671" s="1221">
        <v>0.06</v>
      </c>
      <c r="F3671" s="1213">
        <f>'D&amp;W data'!F909</f>
        <v>565</v>
      </c>
      <c r="G3671" s="1224">
        <f>ROUND(E3671*F3671,2)</f>
        <v>33.9</v>
      </c>
      <c r="H3671" s="1205" t="s">
        <v>2322</v>
      </c>
    </row>
    <row r="3672" spans="1:8" hidden="1">
      <c r="A3672" s="1212"/>
      <c r="B3672" s="1212"/>
      <c r="C3672" s="1254" t="s">
        <v>931</v>
      </c>
      <c r="D3672" s="1156" t="s">
        <v>108</v>
      </c>
      <c r="E3672" s="1166">
        <v>0.27500000000000002</v>
      </c>
      <c r="F3672" s="1213">
        <f>'D&amp;W data'!F910</f>
        <v>525</v>
      </c>
      <c r="G3672" s="1224">
        <f>ROUND(E3672*F3672,2)</f>
        <v>144.38</v>
      </c>
      <c r="H3672" s="1205" t="s">
        <v>2322</v>
      </c>
    </row>
    <row r="3673" spans="1:8" hidden="1">
      <c r="A3673" s="1212"/>
      <c r="B3673" s="1212"/>
      <c r="C3673" s="1255" t="s">
        <v>1404</v>
      </c>
      <c r="D3673" s="1212"/>
      <c r="E3673" s="1212"/>
      <c r="F3673" s="1212"/>
      <c r="G3673" s="1222">
        <f>SUM(G3669:G3672)</f>
        <v>604.07999999999993</v>
      </c>
      <c r="H3673" s="1205" t="s">
        <v>2322</v>
      </c>
    </row>
    <row r="3674" spans="1:8" ht="15.95" customHeight="1"/>
    <row r="3675" spans="1:8" ht="15.95" customHeight="1"/>
    <row r="3676" spans="1:8" ht="15.95" customHeight="1">
      <c r="C3676" s="1205" t="str">
        <f>'lead 19-20'!$H$31</f>
        <v>Deputy Executive Engineer</v>
      </c>
      <c r="E3676" s="1205" t="str">
        <f>'lead 19-20'!K31</f>
        <v>Assistant  Engineer</v>
      </c>
    </row>
    <row r="3677" spans="1:8">
      <c r="C3677" s="1205" t="str">
        <f>'lead 19-20'!$H$32</f>
        <v>PRI Sub Division</v>
      </c>
      <c r="E3677" s="1205" t="str">
        <f>'lead 19-20'!K32</f>
        <v>Mandal Praja parishad</v>
      </c>
    </row>
    <row r="3678" spans="1:8">
      <c r="C3678" s="1205" t="str">
        <f>'lead 19-20'!$H$33</f>
        <v>Kanigiri</v>
      </c>
      <c r="E3678" s="1205" t="str">
        <f>'lead 19-20'!K33</f>
        <v>Kanigiri</v>
      </c>
    </row>
  </sheetData>
  <autoFilter ref="A6:H3673">
    <filterColumn colId="0">
      <colorFilter dxfId="3"/>
    </filterColumn>
  </autoFilter>
  <mergeCells count="2">
    <mergeCell ref="A1:G1"/>
    <mergeCell ref="A2:G2"/>
  </mergeCells>
  <pageMargins left="0.74" right="0.23" top="0.52" bottom="0.45" header="0.34" footer="0.17"/>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sheetPr filterMode="1">
    <tabColor rgb="FF00B050"/>
  </sheetPr>
  <dimension ref="A1:L950"/>
  <sheetViews>
    <sheetView view="pageBreakPreview" topLeftCell="A231" zoomScale="115" zoomScaleSheetLayoutView="115" workbookViewId="0">
      <selection activeCell="C231" sqref="C231"/>
    </sheetView>
  </sheetViews>
  <sheetFormatPr defaultColWidth="9.140625" defaultRowHeight="12.75"/>
  <cols>
    <col min="1" max="1" width="4.5703125" style="1162" customWidth="1"/>
    <col min="2" max="2" width="10.42578125" style="1162" customWidth="1"/>
    <col min="3" max="3" width="35.7109375" style="1258" customWidth="1"/>
    <col min="4" max="4" width="6.5703125" style="1205" bestFit="1" customWidth="1"/>
    <col min="5" max="5" width="6.28515625" style="1205" customWidth="1"/>
    <col min="6" max="6" width="9.5703125" style="1205" bestFit="1" customWidth="1"/>
    <col min="7" max="7" width="9.5703125" style="1205" customWidth="1"/>
    <col min="8" max="8" width="10.5703125" style="1162" customWidth="1"/>
    <col min="9" max="9" width="7.5703125" style="1205" customWidth="1"/>
    <col min="10" max="10" width="3" style="1162" bestFit="1" customWidth="1"/>
    <col min="11" max="11" width="9.140625" style="1162"/>
    <col min="12" max="12" width="8.5703125" style="1162" bestFit="1" customWidth="1"/>
    <col min="13" max="13" width="55.5703125" style="1162" customWidth="1"/>
    <col min="14" max="14" width="10.42578125" style="1162" customWidth="1"/>
    <col min="15" max="15" width="5.42578125" style="1162" bestFit="1" customWidth="1"/>
    <col min="16" max="16384" width="9.140625" style="1162"/>
  </cols>
  <sheetData>
    <row r="1" spans="1:10">
      <c r="A1" s="1891" t="s">
        <v>2303</v>
      </c>
      <c r="B1" s="1891"/>
      <c r="C1" s="1891"/>
      <c r="D1" s="1891"/>
      <c r="E1" s="1891"/>
      <c r="F1" s="1891"/>
      <c r="G1" s="1891"/>
      <c r="H1" s="1891"/>
    </row>
    <row r="2" spans="1:10" ht="21" customHeight="1">
      <c r="A2" s="1892" t="str">
        <f>'lead 19-20'!B2&amp;'lead 19-20'!C2</f>
        <v>Name of the Work: Providing Additional Space for Agriculture Staff in  Baduguleru GP of Kanigiri Mandal</v>
      </c>
      <c r="B2" s="1892"/>
      <c r="C2" s="1892"/>
      <c r="D2" s="1892"/>
      <c r="E2" s="1892"/>
      <c r="F2" s="1892"/>
      <c r="G2" s="1892"/>
      <c r="H2" s="1892"/>
    </row>
    <row r="3" spans="1:10">
      <c r="A3" s="1207"/>
      <c r="E3" s="1205" t="s">
        <v>270</v>
      </c>
      <c r="F3" s="1208" t="str">
        <f>'lead 19-20'!K4</f>
        <v>21.80 Lakhs</v>
      </c>
      <c r="G3" s="1208"/>
    </row>
    <row r="4" spans="1:10" ht="3" customHeight="1"/>
    <row r="5" spans="1:10" s="1210" customFormat="1" ht="19.5" customHeight="1">
      <c r="A5" s="1764" t="s">
        <v>23</v>
      </c>
      <c r="B5" s="1764" t="s">
        <v>24</v>
      </c>
      <c r="C5" s="1259" t="s">
        <v>25</v>
      </c>
      <c r="D5" s="1764" t="s">
        <v>16</v>
      </c>
      <c r="E5" s="1764" t="s">
        <v>6</v>
      </c>
      <c r="F5" s="1764" t="s">
        <v>8</v>
      </c>
      <c r="G5" s="1764"/>
      <c r="H5" s="1764" t="s">
        <v>10</v>
      </c>
    </row>
    <row r="6" spans="1:10" s="1654" customFormat="1" ht="19.5" customHeight="1">
      <c r="A6" s="1650"/>
      <c r="B6" s="1650"/>
      <c r="C6" s="1689" t="s">
        <v>2021</v>
      </c>
      <c r="D6" s="1650"/>
      <c r="E6" s="1650"/>
      <c r="F6" s="1650"/>
      <c r="G6" s="1650"/>
      <c r="H6" s="1650"/>
      <c r="I6" s="1658" t="s">
        <v>2226</v>
      </c>
    </row>
    <row r="7" spans="1:10" s="1575" customFormat="1" ht="127.5">
      <c r="A7" s="1570">
        <v>1</v>
      </c>
      <c r="B7" s="1664"/>
      <c r="C7" s="1690" t="s">
        <v>1309</v>
      </c>
      <c r="D7" s="1656"/>
      <c r="E7" s="1656"/>
      <c r="F7" s="1656"/>
      <c r="G7" s="1656"/>
      <c r="H7" s="1661"/>
      <c r="I7" s="1658" t="s">
        <v>2226</v>
      </c>
    </row>
    <row r="8" spans="1:10" s="1575" customFormat="1">
      <c r="A8" s="1570"/>
      <c r="B8" s="1664"/>
      <c r="C8" s="1610" t="s">
        <v>100</v>
      </c>
      <c r="D8" s="1656"/>
      <c r="E8" s="1656"/>
      <c r="F8" s="1656"/>
      <c r="G8" s="1656"/>
      <c r="H8" s="1661"/>
      <c r="I8" s="1658" t="s">
        <v>2226</v>
      </c>
    </row>
    <row r="9" spans="1:10" s="1672" customFormat="1">
      <c r="A9" s="1570"/>
      <c r="B9" s="1664"/>
      <c r="C9" s="1610" t="s">
        <v>594</v>
      </c>
      <c r="D9" s="1656"/>
      <c r="E9" s="1656"/>
      <c r="F9" s="1656"/>
      <c r="G9" s="1656"/>
      <c r="H9" s="1661"/>
      <c r="I9" s="1658" t="s">
        <v>2226</v>
      </c>
      <c r="J9" s="1575"/>
    </row>
    <row r="10" spans="1:10" s="1672" customFormat="1">
      <c r="A10" s="1570"/>
      <c r="B10" s="1664"/>
      <c r="C10" s="1690" t="s">
        <v>2</v>
      </c>
      <c r="D10" s="1691">
        <v>2</v>
      </c>
      <c r="E10" s="1692">
        <v>1.9</v>
      </c>
      <c r="F10" s="1693">
        <v>0.1</v>
      </c>
      <c r="G10" s="1693">
        <v>7.4999999999999997E-2</v>
      </c>
      <c r="H10" s="1694">
        <f>ROUND(D10*E10*F10*G10,4)</f>
        <v>2.8500000000000001E-2</v>
      </c>
      <c r="I10" s="1658" t="s">
        <v>2226</v>
      </c>
      <c r="J10" s="1575"/>
    </row>
    <row r="11" spans="1:10" s="1672" customFormat="1">
      <c r="A11" s="1570"/>
      <c r="B11" s="1664"/>
      <c r="C11" s="1690" t="s">
        <v>741</v>
      </c>
      <c r="D11" s="1691">
        <v>2</v>
      </c>
      <c r="E11" s="1692">
        <v>1.2</v>
      </c>
      <c r="F11" s="1693">
        <v>0.1</v>
      </c>
      <c r="G11" s="1693">
        <v>7.4999999999999997E-2</v>
      </c>
      <c r="H11" s="1694">
        <f>ROUND(D11*E11*F11*G11,4)</f>
        <v>1.7999999999999999E-2</v>
      </c>
      <c r="I11" s="1658" t="s">
        <v>2226</v>
      </c>
      <c r="J11" s="1575"/>
    </row>
    <row r="12" spans="1:10" s="1672" customFormat="1">
      <c r="A12" s="1570"/>
      <c r="B12" s="1664"/>
      <c r="C12" s="1610"/>
      <c r="D12" s="1656"/>
      <c r="E12" s="1656"/>
      <c r="F12" s="1656"/>
      <c r="G12" s="1656"/>
      <c r="H12" s="1695">
        <f>SUM(H10:H11)</f>
        <v>4.65E-2</v>
      </c>
      <c r="I12" s="1658" t="s">
        <v>2226</v>
      </c>
      <c r="J12" s="1575"/>
    </row>
    <row r="13" spans="1:10" s="1672" customFormat="1">
      <c r="A13" s="1570"/>
      <c r="B13" s="1664"/>
      <c r="C13" s="1610" t="s">
        <v>320</v>
      </c>
      <c r="D13" s="1691">
        <v>2</v>
      </c>
      <c r="E13" s="1692">
        <v>1.95</v>
      </c>
      <c r="F13" s="1693">
        <v>0.52</v>
      </c>
      <c r="G13" s="1693">
        <v>0.03</v>
      </c>
      <c r="H13" s="1694">
        <f>ROUND(D13*E13*F13*G13,4)</f>
        <v>6.08E-2</v>
      </c>
      <c r="I13" s="1658" t="s">
        <v>2226</v>
      </c>
      <c r="J13" s="1575"/>
    </row>
    <row r="14" spans="1:10" s="1672" customFormat="1">
      <c r="A14" s="1570"/>
      <c r="B14" s="1664"/>
      <c r="C14" s="1610"/>
      <c r="D14" s="1656"/>
      <c r="E14" s="1656"/>
      <c r="F14" s="1656"/>
      <c r="G14" s="1656"/>
      <c r="H14" s="1695">
        <f>SUM(H13)</f>
        <v>6.08E-2</v>
      </c>
      <c r="I14" s="1658" t="s">
        <v>2226</v>
      </c>
      <c r="J14" s="1575"/>
    </row>
    <row r="15" spans="1:10" s="1672" customFormat="1">
      <c r="A15" s="1570"/>
      <c r="B15" s="1664" t="s">
        <v>1375</v>
      </c>
      <c r="C15" s="1690" t="s">
        <v>1374</v>
      </c>
      <c r="D15" s="1656"/>
      <c r="E15" s="1656" t="s">
        <v>35</v>
      </c>
      <c r="F15" s="1674">
        <f>H12</f>
        <v>4.65E-2</v>
      </c>
      <c r="G15" s="1659">
        <f>'MINI SSR 19-20'!C142</f>
        <v>71195</v>
      </c>
      <c r="H15" s="1660">
        <f t="shared" ref="H15:H22" si="0">ROUND(F15*G15,2)</f>
        <v>3310.57</v>
      </c>
      <c r="I15" s="1658" t="s">
        <v>2226</v>
      </c>
      <c r="J15" s="1575"/>
    </row>
    <row r="16" spans="1:10" s="1672" customFormat="1">
      <c r="A16" s="1570"/>
      <c r="B16" s="1664" t="s">
        <v>1377</v>
      </c>
      <c r="C16" s="1690" t="s">
        <v>1376</v>
      </c>
      <c r="D16" s="1656"/>
      <c r="E16" s="1656" t="s">
        <v>35</v>
      </c>
      <c r="F16" s="1674">
        <f>H14</f>
        <v>6.08E-2</v>
      </c>
      <c r="G16" s="1659">
        <f>'MINI SSR 19-20'!C143</f>
        <v>142391</v>
      </c>
      <c r="H16" s="1660">
        <f t="shared" si="0"/>
        <v>8657.3700000000008</v>
      </c>
      <c r="I16" s="1658" t="s">
        <v>2226</v>
      </c>
      <c r="J16" s="1575"/>
    </row>
    <row r="17" spans="1:12" s="1672" customFormat="1">
      <c r="A17" s="1570"/>
      <c r="B17" s="1664" t="s">
        <v>1379</v>
      </c>
      <c r="C17" s="1690" t="s">
        <v>1378</v>
      </c>
      <c r="D17" s="1656"/>
      <c r="E17" s="1656" t="s">
        <v>11</v>
      </c>
      <c r="F17" s="1670">
        <v>2</v>
      </c>
      <c r="G17" s="1659">
        <f>'MINI SSR 19-20'!G142</f>
        <v>231</v>
      </c>
      <c r="H17" s="1660">
        <f t="shared" si="0"/>
        <v>462</v>
      </c>
      <c r="I17" s="1658" t="s">
        <v>2226</v>
      </c>
      <c r="J17" s="1575"/>
    </row>
    <row r="18" spans="1:12" s="1575" customFormat="1">
      <c r="A18" s="1570"/>
      <c r="B18" s="1664" t="s">
        <v>1381</v>
      </c>
      <c r="C18" s="1690" t="s">
        <v>1380</v>
      </c>
      <c r="D18" s="1656"/>
      <c r="E18" s="1656" t="s">
        <v>11</v>
      </c>
      <c r="F18" s="1670">
        <v>6</v>
      </c>
      <c r="G18" s="1659">
        <f>'MINI SSR 19-20'!G145</f>
        <v>246</v>
      </c>
      <c r="H18" s="1660">
        <f t="shared" si="0"/>
        <v>1476</v>
      </c>
      <c r="I18" s="1658" t="s">
        <v>2226</v>
      </c>
    </row>
    <row r="19" spans="1:12" s="1575" customFormat="1">
      <c r="A19" s="1570"/>
      <c r="B19" s="1664" t="s">
        <v>1383</v>
      </c>
      <c r="C19" s="1690" t="s">
        <v>1382</v>
      </c>
      <c r="D19" s="1656"/>
      <c r="E19" s="1656" t="s">
        <v>11</v>
      </c>
      <c r="F19" s="1670"/>
      <c r="G19" s="1659">
        <f>'MINI SSR 19-20'!G144</f>
        <v>103</v>
      </c>
      <c r="H19" s="1660">
        <f t="shared" si="0"/>
        <v>0</v>
      </c>
      <c r="I19" s="1658" t="s">
        <v>2226</v>
      </c>
    </row>
    <row r="20" spans="1:12" s="1575" customFormat="1">
      <c r="A20" s="1570"/>
      <c r="B20" s="1664" t="s">
        <v>1385</v>
      </c>
      <c r="C20" s="1690" t="s">
        <v>1384</v>
      </c>
      <c r="D20" s="1656"/>
      <c r="E20" s="1656" t="s">
        <v>11</v>
      </c>
      <c r="F20" s="1670">
        <v>2</v>
      </c>
      <c r="G20" s="1659">
        <f>'MINI SSR 19-20'!G148</f>
        <v>1087</v>
      </c>
      <c r="H20" s="1660">
        <f t="shared" si="0"/>
        <v>2174</v>
      </c>
      <c r="I20" s="1658" t="s">
        <v>2226</v>
      </c>
    </row>
    <row r="21" spans="1:12" s="1575" customFormat="1">
      <c r="A21" s="1570"/>
      <c r="B21" s="1664" t="s">
        <v>1387</v>
      </c>
      <c r="C21" s="1690" t="s">
        <v>1386</v>
      </c>
      <c r="D21" s="1656"/>
      <c r="E21" s="1656" t="s">
        <v>11</v>
      </c>
      <c r="F21" s="1670">
        <v>1</v>
      </c>
      <c r="G21" s="1659">
        <f>'MINI SSR 19-20'!G150</f>
        <v>168</v>
      </c>
      <c r="H21" s="1660">
        <f t="shared" si="0"/>
        <v>168</v>
      </c>
      <c r="I21" s="1658" t="s">
        <v>2226</v>
      </c>
    </row>
    <row r="22" spans="1:12" s="1575" customFormat="1">
      <c r="A22" s="1570"/>
      <c r="B22" s="1664" t="s">
        <v>1389</v>
      </c>
      <c r="C22" s="1690" t="s">
        <v>1388</v>
      </c>
      <c r="D22" s="1656"/>
      <c r="E22" s="1656" t="s">
        <v>11</v>
      </c>
      <c r="F22" s="1670">
        <v>6</v>
      </c>
      <c r="G22" s="1659">
        <f>'MINI SSR 19-20'!G152</f>
        <v>32</v>
      </c>
      <c r="H22" s="1660">
        <f t="shared" si="0"/>
        <v>192</v>
      </c>
      <c r="I22" s="1658" t="s">
        <v>2226</v>
      </c>
    </row>
    <row r="23" spans="1:12" s="1575" customFormat="1">
      <c r="A23" s="1656"/>
      <c r="B23" s="1656"/>
      <c r="C23" s="1610" t="s">
        <v>68</v>
      </c>
      <c r="D23" s="1656"/>
      <c r="E23" s="1656"/>
      <c r="F23" s="1659"/>
      <c r="G23" s="1663"/>
      <c r="H23" s="1660"/>
      <c r="I23" s="1658" t="s">
        <v>2226</v>
      </c>
    </row>
    <row r="24" spans="1:12" s="1575" customFormat="1">
      <c r="A24" s="1656"/>
      <c r="B24" s="1656" t="s">
        <v>1391</v>
      </c>
      <c r="C24" s="1690" t="s">
        <v>1390</v>
      </c>
      <c r="D24" s="1656"/>
      <c r="E24" s="1656" t="s">
        <v>102</v>
      </c>
      <c r="F24" s="1659">
        <v>2.52</v>
      </c>
      <c r="G24" s="1659">
        <f>'MINI SSR 19-20'!C149</f>
        <v>1570</v>
      </c>
      <c r="H24" s="1660">
        <f>ROUND(F24*G24,2)</f>
        <v>3956.4</v>
      </c>
      <c r="I24" s="1658" t="s">
        <v>2226</v>
      </c>
      <c r="L24" s="1696">
        <f>H24</f>
        <v>3956.4</v>
      </c>
    </row>
    <row r="25" spans="1:12" s="1575" customFormat="1" ht="13.5" thickBot="1">
      <c r="A25" s="1656"/>
      <c r="B25" s="1656"/>
      <c r="C25" s="1610"/>
      <c r="D25" s="1656"/>
      <c r="E25" s="1656"/>
      <c r="F25" s="1656"/>
      <c r="G25" s="1656"/>
      <c r="H25" s="1667">
        <f>SUM(H15:H24)</f>
        <v>20396.340000000004</v>
      </c>
      <c r="I25" s="1658" t="s">
        <v>2226</v>
      </c>
      <c r="L25" s="1697">
        <f>SUM(L24)</f>
        <v>3956.4</v>
      </c>
    </row>
    <row r="26" spans="1:12" ht="128.25" hidden="1" thickTop="1">
      <c r="A26" s="1156">
        <v>2</v>
      </c>
      <c r="B26" s="1218"/>
      <c r="C26" s="1253" t="s">
        <v>2104</v>
      </c>
      <c r="D26" s="1212"/>
      <c r="E26" s="1212"/>
      <c r="F26" s="1212"/>
      <c r="G26" s="1212"/>
      <c r="H26" s="1215"/>
      <c r="I26" s="1205" t="s">
        <v>2226</v>
      </c>
    </row>
    <row r="27" spans="1:12" ht="13.5" hidden="1" thickTop="1">
      <c r="A27" s="1156"/>
      <c r="B27" s="1218"/>
      <c r="C27" s="1255" t="s">
        <v>100</v>
      </c>
      <c r="D27" s="1212"/>
      <c r="E27" s="1212"/>
      <c r="F27" s="1212"/>
      <c r="G27" s="1212"/>
      <c r="H27" s="1215"/>
      <c r="I27" s="1205" t="s">
        <v>2226</v>
      </c>
    </row>
    <row r="28" spans="1:12" s="1256" customFormat="1" ht="13.5" hidden="1" thickTop="1">
      <c r="A28" s="1156"/>
      <c r="B28" s="1218"/>
      <c r="C28" s="1255" t="s">
        <v>1</v>
      </c>
      <c r="D28" s="1212"/>
      <c r="E28" s="1212"/>
      <c r="F28" s="1212"/>
      <c r="G28" s="1212"/>
      <c r="H28" s="1215"/>
      <c r="I28" s="1205" t="s">
        <v>2226</v>
      </c>
      <c r="J28" s="1162"/>
    </row>
    <row r="29" spans="1:12" s="1256" customFormat="1" ht="13.5" hidden="1" thickTop="1">
      <c r="A29" s="1156"/>
      <c r="B29" s="1218"/>
      <c r="C29" s="1253" t="s">
        <v>2</v>
      </c>
      <c r="D29" s="1406">
        <v>2</v>
      </c>
      <c r="E29" s="1407">
        <v>1.9</v>
      </c>
      <c r="F29" s="1408">
        <v>0.1</v>
      </c>
      <c r="G29" s="1408">
        <v>7.4999999999999997E-2</v>
      </c>
      <c r="H29" s="1409">
        <f>ROUND(D29*E29*F29*G29,4)</f>
        <v>2.8500000000000001E-2</v>
      </c>
      <c r="I29" s="1205" t="s">
        <v>2226</v>
      </c>
      <c r="J29" s="1162"/>
    </row>
    <row r="30" spans="1:12" s="1256" customFormat="1" ht="13.5" hidden="1" thickTop="1">
      <c r="A30" s="1156"/>
      <c r="B30" s="1218"/>
      <c r="C30" s="1253" t="s">
        <v>741</v>
      </c>
      <c r="D30" s="1406">
        <v>1</v>
      </c>
      <c r="E30" s="1407">
        <v>1.2</v>
      </c>
      <c r="F30" s="1408">
        <v>0.1</v>
      </c>
      <c r="G30" s="1408">
        <v>7.4999999999999997E-2</v>
      </c>
      <c r="H30" s="1409">
        <f>ROUND(D30*E30*F30*G30,4)</f>
        <v>8.9999999999999993E-3</v>
      </c>
      <c r="I30" s="1205" t="s">
        <v>2226</v>
      </c>
      <c r="J30" s="1162"/>
    </row>
    <row r="31" spans="1:12" s="1256" customFormat="1" ht="13.5" hidden="1" thickTop="1">
      <c r="A31" s="1156"/>
      <c r="B31" s="1218"/>
      <c r="C31" s="1255"/>
      <c r="D31" s="1212"/>
      <c r="E31" s="1212"/>
      <c r="F31" s="1212"/>
      <c r="G31" s="1212"/>
      <c r="H31" s="1410">
        <f>SUM(H29:H30)</f>
        <v>3.7499999999999999E-2</v>
      </c>
      <c r="I31" s="1205" t="s">
        <v>2226</v>
      </c>
      <c r="J31" s="1162"/>
    </row>
    <row r="32" spans="1:12" s="1256" customFormat="1" ht="13.5" hidden="1" thickTop="1">
      <c r="A32" s="1156"/>
      <c r="B32" s="1212" t="s">
        <v>1375</v>
      </c>
      <c r="C32" s="1253" t="s">
        <v>1374</v>
      </c>
      <c r="D32" s="1212"/>
      <c r="E32" s="1212" t="s">
        <v>35</v>
      </c>
      <c r="F32" s="1226">
        <f>H31</f>
        <v>3.7499999999999999E-2</v>
      </c>
      <c r="G32" s="1213">
        <f>'MINI SSR 19-20'!C142</f>
        <v>71195</v>
      </c>
      <c r="H32" s="1214">
        <f t="shared" ref="H32:H40" si="1">ROUND(F32*G32,2)</f>
        <v>2669.81</v>
      </c>
      <c r="I32" s="1205" t="s">
        <v>2226</v>
      </c>
      <c r="J32" s="1162"/>
    </row>
    <row r="33" spans="1:12" s="1256" customFormat="1" ht="13.5" hidden="1" thickTop="1">
      <c r="A33" s="1156"/>
      <c r="B33" s="1212" t="s">
        <v>2099</v>
      </c>
      <c r="C33" s="1253" t="s">
        <v>2100</v>
      </c>
      <c r="D33" s="1212"/>
      <c r="E33" s="1212" t="s">
        <v>102</v>
      </c>
      <c r="F33" s="1226">
        <f>ROUND(1.05*1.995,2)</f>
        <v>2.09</v>
      </c>
      <c r="G33" s="1213">
        <f>'MINI SSR 19-20'!$C$148</f>
        <v>1790</v>
      </c>
      <c r="H33" s="1214">
        <f t="shared" si="1"/>
        <v>3741.1</v>
      </c>
      <c r="I33" s="1205" t="s">
        <v>2226</v>
      </c>
      <c r="J33" s="1162"/>
    </row>
    <row r="34" spans="1:12" s="1256" customFormat="1" ht="13.5" hidden="1" thickTop="1">
      <c r="A34" s="1156"/>
      <c r="B34" s="1212" t="s">
        <v>2101</v>
      </c>
      <c r="C34" s="1253" t="s">
        <v>2102</v>
      </c>
      <c r="D34" s="1212"/>
      <c r="E34" s="1212" t="s">
        <v>102</v>
      </c>
      <c r="F34" s="1226">
        <f>ROUND(1.05*1.995,2)</f>
        <v>2.09</v>
      </c>
      <c r="G34" s="1213">
        <f>'MINI SSR 19-20'!$C$151</f>
        <v>754</v>
      </c>
      <c r="H34" s="1214">
        <f t="shared" si="1"/>
        <v>1575.86</v>
      </c>
      <c r="I34" s="1205" t="s">
        <v>2226</v>
      </c>
      <c r="J34" s="1162"/>
    </row>
    <row r="35" spans="1:12" ht="13.5" hidden="1" thickTop="1">
      <c r="A35" s="1156"/>
      <c r="B35" s="1212" t="s">
        <v>1396</v>
      </c>
      <c r="C35" s="1253" t="s">
        <v>1395</v>
      </c>
      <c r="D35" s="1212"/>
      <c r="E35" s="1212" t="s">
        <v>11</v>
      </c>
      <c r="F35" s="1240">
        <v>2</v>
      </c>
      <c r="G35" s="1213">
        <f>'MINI SSR 19-20'!$G$143</f>
        <v>84</v>
      </c>
      <c r="H35" s="1214">
        <f t="shared" si="1"/>
        <v>168</v>
      </c>
      <c r="I35" s="1205" t="s">
        <v>2226</v>
      </c>
    </row>
    <row r="36" spans="1:12" ht="13.5" hidden="1" thickTop="1">
      <c r="A36" s="1156"/>
      <c r="B36" s="1212" t="s">
        <v>1398</v>
      </c>
      <c r="C36" s="1253" t="s">
        <v>1397</v>
      </c>
      <c r="D36" s="1212"/>
      <c r="E36" s="1212" t="s">
        <v>11</v>
      </c>
      <c r="F36" s="1240">
        <v>3</v>
      </c>
      <c r="G36" s="1213">
        <f>'MINI SSR 19-20'!$G$146</f>
        <v>117</v>
      </c>
      <c r="H36" s="1214">
        <f t="shared" si="1"/>
        <v>351</v>
      </c>
      <c r="I36" s="1205" t="s">
        <v>2226</v>
      </c>
    </row>
    <row r="37" spans="1:12" ht="13.5" hidden="1" thickTop="1">
      <c r="A37" s="1156"/>
      <c r="B37" s="1212" t="s">
        <v>1383</v>
      </c>
      <c r="C37" s="1253" t="s">
        <v>1382</v>
      </c>
      <c r="D37" s="1212"/>
      <c r="E37" s="1212" t="s">
        <v>11</v>
      </c>
      <c r="F37" s="1240">
        <v>2</v>
      </c>
      <c r="G37" s="1213">
        <f>'MINI SSR 19-20'!$G$147</f>
        <v>103</v>
      </c>
      <c r="H37" s="1214">
        <f t="shared" si="1"/>
        <v>206</v>
      </c>
      <c r="I37" s="1205" t="s">
        <v>2226</v>
      </c>
    </row>
    <row r="38" spans="1:12" ht="13.5" hidden="1" thickTop="1">
      <c r="A38" s="1156"/>
      <c r="B38" s="1212" t="s">
        <v>1400</v>
      </c>
      <c r="C38" s="1253" t="s">
        <v>1399</v>
      </c>
      <c r="D38" s="1212"/>
      <c r="E38" s="1212" t="s">
        <v>11</v>
      </c>
      <c r="F38" s="1240">
        <v>2</v>
      </c>
      <c r="G38" s="1213">
        <f>'MINI SSR 19-20'!$G$149</f>
        <v>308</v>
      </c>
      <c r="H38" s="1214">
        <f t="shared" si="1"/>
        <v>616</v>
      </c>
      <c r="I38" s="1205" t="s">
        <v>2226</v>
      </c>
    </row>
    <row r="39" spans="1:12" ht="13.5" hidden="1" thickTop="1">
      <c r="A39" s="1156"/>
      <c r="B39" s="1212" t="s">
        <v>1402</v>
      </c>
      <c r="C39" s="1253" t="s">
        <v>1401</v>
      </c>
      <c r="D39" s="1212"/>
      <c r="E39" s="1212" t="s">
        <v>11</v>
      </c>
      <c r="F39" s="1240">
        <v>1</v>
      </c>
      <c r="G39" s="1213">
        <f>'MINI SSR 19-20'!$G$155</f>
        <v>53</v>
      </c>
      <c r="H39" s="1214">
        <f t="shared" si="1"/>
        <v>53</v>
      </c>
      <c r="I39" s="1205" t="s">
        <v>2226</v>
      </c>
    </row>
    <row r="40" spans="1:12" ht="13.5" hidden="1" thickTop="1">
      <c r="A40" s="1156"/>
      <c r="B40" s="1212" t="s">
        <v>1389</v>
      </c>
      <c r="C40" s="1253" t="s">
        <v>1388</v>
      </c>
      <c r="D40" s="1212"/>
      <c r="E40" s="1212" t="s">
        <v>11</v>
      </c>
      <c r="F40" s="1240">
        <v>6</v>
      </c>
      <c r="G40" s="1213">
        <f>'MINI SSR 19-20'!$G$152</f>
        <v>32</v>
      </c>
      <c r="H40" s="1214">
        <f t="shared" si="1"/>
        <v>192</v>
      </c>
      <c r="I40" s="1205" t="s">
        <v>2226</v>
      </c>
    </row>
    <row r="41" spans="1:12" ht="13.5" hidden="1" thickTop="1">
      <c r="A41" s="1212"/>
      <c r="B41" s="1212"/>
      <c r="C41" s="1255" t="s">
        <v>68</v>
      </c>
      <c r="D41" s="1212"/>
      <c r="E41" s="1212"/>
      <c r="F41" s="1213"/>
      <c r="G41" s="1217"/>
      <c r="H41" s="1214"/>
      <c r="I41" s="1205" t="s">
        <v>2226</v>
      </c>
    </row>
    <row r="42" spans="1:12" ht="26.25" hidden="1" thickTop="1">
      <c r="A42" s="1212"/>
      <c r="B42" s="1212" t="s">
        <v>1391</v>
      </c>
      <c r="C42" s="1253" t="s">
        <v>1403</v>
      </c>
      <c r="D42" s="1212"/>
      <c r="E42" s="1212" t="s">
        <v>102</v>
      </c>
      <c r="F42" s="1213">
        <f>ROUND(1.2*2.1,2)</f>
        <v>2.52</v>
      </c>
      <c r="G42" s="1213">
        <f>'MINI SSR 19-20'!C149</f>
        <v>1570</v>
      </c>
      <c r="H42" s="1214">
        <f>ROUND(F42*G42*1/3,2)</f>
        <v>1318.8</v>
      </c>
      <c r="I42" s="1205" t="s">
        <v>2226</v>
      </c>
      <c r="L42" s="1260"/>
    </row>
    <row r="43" spans="1:12" ht="14.25" hidden="1" thickTop="1" thickBot="1">
      <c r="A43" s="1212"/>
      <c r="B43" s="1212"/>
      <c r="C43" s="1255"/>
      <c r="D43" s="1212"/>
      <c r="E43" s="1212"/>
      <c r="F43" s="1212"/>
      <c r="G43" s="1212"/>
      <c r="H43" s="1222">
        <f>SUM(H32:H42)</f>
        <v>10891.57</v>
      </c>
      <c r="I43" s="1205" t="s">
        <v>2226</v>
      </c>
      <c r="L43" s="1411"/>
    </row>
    <row r="44" spans="1:12" ht="128.25" hidden="1" thickTop="1">
      <c r="A44" s="1156">
        <v>3</v>
      </c>
      <c r="B44" s="1218"/>
      <c r="C44" s="1253" t="s">
        <v>1310</v>
      </c>
      <c r="D44" s="1212"/>
      <c r="E44" s="1212"/>
      <c r="F44" s="1212"/>
      <c r="G44" s="1212"/>
      <c r="H44" s="1215"/>
      <c r="I44" s="1205" t="s">
        <v>2226</v>
      </c>
    </row>
    <row r="45" spans="1:12" ht="13.5" hidden="1" thickTop="1">
      <c r="A45" s="1156"/>
      <c r="B45" s="1218"/>
      <c r="C45" s="1255" t="s">
        <v>100</v>
      </c>
      <c r="D45" s="1212"/>
      <c r="E45" s="1212"/>
      <c r="F45" s="1212"/>
      <c r="G45" s="1212"/>
      <c r="H45" s="1215"/>
      <c r="I45" s="1205" t="s">
        <v>2226</v>
      </c>
    </row>
    <row r="46" spans="1:12" s="1256" customFormat="1" ht="13.5" hidden="1" thickTop="1">
      <c r="A46" s="1156"/>
      <c r="B46" s="1218"/>
      <c r="C46" s="1255" t="s">
        <v>1</v>
      </c>
      <c r="D46" s="1212"/>
      <c r="E46" s="1212"/>
      <c r="F46" s="1212"/>
      <c r="G46" s="1212"/>
      <c r="H46" s="1215"/>
      <c r="I46" s="1205" t="s">
        <v>2226</v>
      </c>
      <c r="J46" s="1162"/>
    </row>
    <row r="47" spans="1:12" s="1256" customFormat="1" ht="13.5" hidden="1" thickTop="1">
      <c r="A47" s="1156"/>
      <c r="B47" s="1218"/>
      <c r="C47" s="1253" t="s">
        <v>2</v>
      </c>
      <c r="D47" s="1406">
        <v>2</v>
      </c>
      <c r="E47" s="1407">
        <v>1.9</v>
      </c>
      <c r="F47" s="1408">
        <v>0.1</v>
      </c>
      <c r="G47" s="1408">
        <v>7.4999999999999997E-2</v>
      </c>
      <c r="H47" s="1409">
        <f>ROUND(D47*E47*F47*G47,4)</f>
        <v>2.8500000000000001E-2</v>
      </c>
      <c r="I47" s="1205" t="s">
        <v>2226</v>
      </c>
      <c r="J47" s="1162"/>
    </row>
    <row r="48" spans="1:12" s="1256" customFormat="1" ht="13.5" hidden="1" thickTop="1">
      <c r="A48" s="1156"/>
      <c r="B48" s="1218"/>
      <c r="C48" s="1253" t="s">
        <v>741</v>
      </c>
      <c r="D48" s="1406">
        <v>1</v>
      </c>
      <c r="E48" s="1407">
        <v>1.2</v>
      </c>
      <c r="F48" s="1408">
        <v>0.1</v>
      </c>
      <c r="G48" s="1408">
        <v>7.4999999999999997E-2</v>
      </c>
      <c r="H48" s="1409">
        <f>ROUND(D48*E48*F48*G48,4)</f>
        <v>8.9999999999999993E-3</v>
      </c>
      <c r="I48" s="1205" t="s">
        <v>2226</v>
      </c>
      <c r="J48" s="1162"/>
    </row>
    <row r="49" spans="1:12" s="1256" customFormat="1" ht="13.5" hidden="1" thickTop="1">
      <c r="A49" s="1156"/>
      <c r="B49" s="1218"/>
      <c r="C49" s="1255"/>
      <c r="D49" s="1212"/>
      <c r="E49" s="1212"/>
      <c r="F49" s="1212"/>
      <c r="G49" s="1212"/>
      <c r="H49" s="1410">
        <f>SUM(H47:H48)</f>
        <v>3.7499999999999999E-2</v>
      </c>
      <c r="I49" s="1205" t="s">
        <v>2226</v>
      </c>
      <c r="J49" s="1162"/>
    </row>
    <row r="50" spans="1:12" s="1256" customFormat="1" ht="13.5" hidden="1" thickTop="1">
      <c r="A50" s="1156"/>
      <c r="B50" s="1218" t="s">
        <v>1687</v>
      </c>
      <c r="C50" s="1253" t="s">
        <v>1688</v>
      </c>
      <c r="E50" s="1212" t="s">
        <v>35</v>
      </c>
      <c r="F50" s="1226">
        <f>H49</f>
        <v>3.7499999999999999E-2</v>
      </c>
      <c r="G50" s="1213">
        <f>'MINI SSR 19-20'!$C$144</f>
        <v>46217</v>
      </c>
      <c r="H50" s="1214">
        <f t="shared" ref="H50:H58" si="2">ROUND(F50*G50,2)</f>
        <v>1733.14</v>
      </c>
      <c r="I50" s="1205" t="s">
        <v>2226</v>
      </c>
      <c r="J50" s="1162"/>
    </row>
    <row r="51" spans="1:12" s="1256" customFormat="1" ht="13.5" hidden="1" thickTop="1">
      <c r="A51" s="1156"/>
      <c r="B51" s="1212" t="s">
        <v>2099</v>
      </c>
      <c r="C51" s="1253" t="s">
        <v>2100</v>
      </c>
      <c r="D51" s="1212"/>
      <c r="E51" s="1212" t="s">
        <v>102</v>
      </c>
      <c r="F51" s="1226">
        <f>ROUND(1.05*1.995,2)</f>
        <v>2.09</v>
      </c>
      <c r="G51" s="1213">
        <f>'MINI SSR 19-20'!$C$148</f>
        <v>1790</v>
      </c>
      <c r="H51" s="1214">
        <f t="shared" si="2"/>
        <v>3741.1</v>
      </c>
      <c r="I51" s="1205" t="s">
        <v>2226</v>
      </c>
      <c r="J51" s="1162"/>
    </row>
    <row r="52" spans="1:12" s="1256" customFormat="1" ht="13.5" hidden="1" thickTop="1">
      <c r="A52" s="1156"/>
      <c r="B52" s="1212" t="s">
        <v>2101</v>
      </c>
      <c r="C52" s="1253" t="s">
        <v>2102</v>
      </c>
      <c r="D52" s="1212"/>
      <c r="E52" s="1212" t="s">
        <v>102</v>
      </c>
      <c r="F52" s="1226">
        <f>ROUND(1.05*1.995,2)</f>
        <v>2.09</v>
      </c>
      <c r="G52" s="1213">
        <f>'MINI SSR 19-20'!$C$151</f>
        <v>754</v>
      </c>
      <c r="H52" s="1214">
        <f t="shared" si="2"/>
        <v>1575.86</v>
      </c>
      <c r="I52" s="1205" t="s">
        <v>2226</v>
      </c>
      <c r="J52" s="1162"/>
    </row>
    <row r="53" spans="1:12" ht="13.5" hidden="1" thickTop="1">
      <c r="A53" s="1156"/>
      <c r="B53" s="1212" t="s">
        <v>1396</v>
      </c>
      <c r="C53" s="1253" t="s">
        <v>1395</v>
      </c>
      <c r="D53" s="1212"/>
      <c r="E53" s="1212" t="s">
        <v>11</v>
      </c>
      <c r="F53" s="1240">
        <v>2</v>
      </c>
      <c r="G53" s="1213">
        <f>'MINI SSR 19-20'!$G$143</f>
        <v>84</v>
      </c>
      <c r="H53" s="1214">
        <f t="shared" si="2"/>
        <v>168</v>
      </c>
      <c r="I53" s="1205" t="s">
        <v>2226</v>
      </c>
    </row>
    <row r="54" spans="1:12" ht="13.5" hidden="1" thickTop="1">
      <c r="A54" s="1156"/>
      <c r="B54" s="1212" t="s">
        <v>1398</v>
      </c>
      <c r="C54" s="1253" t="s">
        <v>1397</v>
      </c>
      <c r="D54" s="1212"/>
      <c r="E54" s="1212" t="s">
        <v>11</v>
      </c>
      <c r="F54" s="1240">
        <v>3</v>
      </c>
      <c r="G54" s="1213">
        <f>'MINI SSR 19-20'!$G$146</f>
        <v>117</v>
      </c>
      <c r="H54" s="1214">
        <f t="shared" si="2"/>
        <v>351</v>
      </c>
      <c r="I54" s="1205" t="s">
        <v>2226</v>
      </c>
    </row>
    <row r="55" spans="1:12" ht="13.5" hidden="1" thickTop="1">
      <c r="A55" s="1156"/>
      <c r="B55" s="1212" t="s">
        <v>1383</v>
      </c>
      <c r="C55" s="1253" t="s">
        <v>1382</v>
      </c>
      <c r="D55" s="1212"/>
      <c r="E55" s="1212" t="s">
        <v>11</v>
      </c>
      <c r="F55" s="1240">
        <v>2</v>
      </c>
      <c r="G55" s="1213">
        <f>'MINI SSR 19-20'!$G$147</f>
        <v>103</v>
      </c>
      <c r="H55" s="1214">
        <f t="shared" si="2"/>
        <v>206</v>
      </c>
      <c r="I55" s="1205" t="s">
        <v>2226</v>
      </c>
    </row>
    <row r="56" spans="1:12" ht="13.5" hidden="1" thickTop="1">
      <c r="A56" s="1156"/>
      <c r="B56" s="1212" t="s">
        <v>1400</v>
      </c>
      <c r="C56" s="1253" t="s">
        <v>1399</v>
      </c>
      <c r="D56" s="1212"/>
      <c r="E56" s="1212" t="s">
        <v>11</v>
      </c>
      <c r="F56" s="1240">
        <v>2</v>
      </c>
      <c r="G56" s="1213">
        <f>'MINI SSR 19-20'!$G$149</f>
        <v>308</v>
      </c>
      <c r="H56" s="1214">
        <f t="shared" si="2"/>
        <v>616</v>
      </c>
      <c r="I56" s="1205" t="s">
        <v>2226</v>
      </c>
    </row>
    <row r="57" spans="1:12" ht="13.5" hidden="1" thickTop="1">
      <c r="A57" s="1156"/>
      <c r="B57" s="1212" t="s">
        <v>1402</v>
      </c>
      <c r="C57" s="1253" t="s">
        <v>1401</v>
      </c>
      <c r="D57" s="1212"/>
      <c r="E57" s="1212" t="s">
        <v>11</v>
      </c>
      <c r="F57" s="1240">
        <v>1</v>
      </c>
      <c r="G57" s="1213">
        <f>'MINI SSR 19-20'!$G$155</f>
        <v>53</v>
      </c>
      <c r="H57" s="1214">
        <f t="shared" si="2"/>
        <v>53</v>
      </c>
      <c r="I57" s="1205" t="s">
        <v>2226</v>
      </c>
    </row>
    <row r="58" spans="1:12" ht="13.5" hidden="1" thickTop="1">
      <c r="A58" s="1156"/>
      <c r="B58" s="1212" t="s">
        <v>1389</v>
      </c>
      <c r="C58" s="1253" t="s">
        <v>1388</v>
      </c>
      <c r="D58" s="1212"/>
      <c r="E58" s="1212" t="s">
        <v>11</v>
      </c>
      <c r="F58" s="1240">
        <v>6</v>
      </c>
      <c r="G58" s="1213">
        <f>'MINI SSR 19-20'!$G$152</f>
        <v>32</v>
      </c>
      <c r="H58" s="1214">
        <f t="shared" si="2"/>
        <v>192</v>
      </c>
      <c r="I58" s="1205" t="s">
        <v>2226</v>
      </c>
    </row>
    <row r="59" spans="1:12" ht="13.5" hidden="1" thickTop="1">
      <c r="A59" s="1212"/>
      <c r="B59" s="1212"/>
      <c r="C59" s="1255" t="s">
        <v>68</v>
      </c>
      <c r="D59" s="1212"/>
      <c r="E59" s="1212"/>
      <c r="F59" s="1213"/>
      <c r="G59" s="1217"/>
      <c r="H59" s="1214"/>
      <c r="I59" s="1205" t="s">
        <v>2226</v>
      </c>
    </row>
    <row r="60" spans="1:12" ht="13.5" hidden="1" thickTop="1">
      <c r="A60" s="1212"/>
      <c r="B60" s="1212" t="s">
        <v>1695</v>
      </c>
      <c r="C60" s="1253" t="s">
        <v>1390</v>
      </c>
      <c r="D60" s="1162"/>
      <c r="E60" s="1212" t="s">
        <v>102</v>
      </c>
      <c r="F60" s="1213">
        <f>ROUND(1.2*2.1,2)</f>
        <v>2.52</v>
      </c>
      <c r="G60" s="1213">
        <f>'MINI SSR 19-20'!$C$150</f>
        <v>1452</v>
      </c>
      <c r="H60" s="1214">
        <f>ROUND(F60*G60*1/3,2)</f>
        <v>1219.68</v>
      </c>
      <c r="I60" s="1205" t="s">
        <v>2226</v>
      </c>
      <c r="L60" s="1260"/>
    </row>
    <row r="61" spans="1:12" ht="14.25" hidden="1" thickTop="1" thickBot="1">
      <c r="A61" s="1212"/>
      <c r="B61" s="1212"/>
      <c r="C61" s="1255"/>
      <c r="D61" s="1212"/>
      <c r="E61" s="1212"/>
      <c r="F61" s="1212"/>
      <c r="G61" s="1212"/>
      <c r="H61" s="1222">
        <f>SUM(H50:H60)</f>
        <v>9855.7799999999988</v>
      </c>
      <c r="I61" s="1205" t="s">
        <v>2226</v>
      </c>
      <c r="L61" s="1411"/>
    </row>
    <row r="62" spans="1:12" ht="128.25" hidden="1" thickTop="1">
      <c r="A62" s="1156">
        <v>3</v>
      </c>
      <c r="B62" s="1218"/>
      <c r="C62" s="1253" t="s">
        <v>1683</v>
      </c>
      <c r="D62" s="1212"/>
      <c r="E62" s="1212"/>
      <c r="F62" s="1212"/>
      <c r="G62" s="1212"/>
      <c r="H62" s="1215"/>
      <c r="I62" s="1205" t="s">
        <v>2226</v>
      </c>
    </row>
    <row r="63" spans="1:12" ht="13.5" hidden="1" thickTop="1">
      <c r="A63" s="1156"/>
      <c r="B63" s="1218"/>
      <c r="C63" s="1255" t="s">
        <v>100</v>
      </c>
      <c r="D63" s="1212"/>
      <c r="E63" s="1212"/>
      <c r="F63" s="1212"/>
      <c r="G63" s="1212"/>
      <c r="H63" s="1215"/>
      <c r="I63" s="1205" t="s">
        <v>2226</v>
      </c>
    </row>
    <row r="64" spans="1:12" s="1256" customFormat="1" ht="13.5" hidden="1" thickTop="1">
      <c r="A64" s="1156"/>
      <c r="B64" s="1218"/>
      <c r="C64" s="1255" t="s">
        <v>594</v>
      </c>
      <c r="D64" s="1212"/>
      <c r="E64" s="1212"/>
      <c r="F64" s="1212"/>
      <c r="G64" s="1212"/>
      <c r="H64" s="1215"/>
      <c r="I64" s="1205" t="s">
        <v>2226</v>
      </c>
      <c r="J64" s="1162"/>
    </row>
    <row r="65" spans="1:10" s="1256" customFormat="1" ht="13.5" hidden="1" thickTop="1">
      <c r="A65" s="1156"/>
      <c r="B65" s="1218"/>
      <c r="C65" s="1253" t="s">
        <v>2</v>
      </c>
      <c r="D65" s="1406">
        <v>2</v>
      </c>
      <c r="E65" s="1407">
        <v>1.9</v>
      </c>
      <c r="F65" s="1408">
        <v>0.1</v>
      </c>
      <c r="G65" s="1408">
        <v>7.4999999999999997E-2</v>
      </c>
      <c r="H65" s="1409">
        <f>ROUND(D65*E65*F65*G65,4)</f>
        <v>2.8500000000000001E-2</v>
      </c>
      <c r="I65" s="1205" t="s">
        <v>2226</v>
      </c>
      <c r="J65" s="1162"/>
    </row>
    <row r="66" spans="1:10" s="1256" customFormat="1" ht="13.5" hidden="1" thickTop="1">
      <c r="A66" s="1156"/>
      <c r="B66" s="1218"/>
      <c r="C66" s="1253" t="s">
        <v>741</v>
      </c>
      <c r="D66" s="1406">
        <v>1</v>
      </c>
      <c r="E66" s="1407">
        <v>0.9</v>
      </c>
      <c r="F66" s="1408">
        <v>0.1</v>
      </c>
      <c r="G66" s="1408">
        <v>7.4999999999999997E-2</v>
      </c>
      <c r="H66" s="1409">
        <f>ROUND(D66*E66*F66*G66,4)</f>
        <v>6.7999999999999996E-3</v>
      </c>
      <c r="I66" s="1205" t="s">
        <v>2226</v>
      </c>
      <c r="J66" s="1162"/>
    </row>
    <row r="67" spans="1:10" s="1256" customFormat="1" ht="13.5" hidden="1" thickTop="1">
      <c r="A67" s="1156"/>
      <c r="B67" s="1218"/>
      <c r="C67" s="1255"/>
      <c r="D67" s="1406"/>
      <c r="E67" s="1406"/>
      <c r="F67" s="1406"/>
      <c r="G67" s="1406"/>
      <c r="H67" s="1412">
        <f>SUM(H65:H66)</f>
        <v>3.5299999999999998E-2</v>
      </c>
      <c r="I67" s="1205" t="s">
        <v>2226</v>
      </c>
      <c r="J67" s="1162"/>
    </row>
    <row r="68" spans="1:10" s="1256" customFormat="1" ht="13.5" hidden="1" thickTop="1">
      <c r="A68" s="1156"/>
      <c r="B68" s="1218"/>
      <c r="C68" s="1255" t="s">
        <v>320</v>
      </c>
      <c r="D68" s="1406">
        <v>1</v>
      </c>
      <c r="E68" s="1407">
        <v>2.0099999999999998</v>
      </c>
      <c r="F68" s="1408">
        <v>0.8</v>
      </c>
      <c r="G68" s="1408">
        <v>0.03</v>
      </c>
      <c r="H68" s="1409">
        <f>ROUND(D68*E68*F68*G68,4)</f>
        <v>4.82E-2</v>
      </c>
      <c r="I68" s="1205" t="s">
        <v>2226</v>
      </c>
      <c r="J68" s="1162"/>
    </row>
    <row r="69" spans="1:10" s="1256" customFormat="1" ht="13.5" hidden="1" thickTop="1">
      <c r="A69" s="1156"/>
      <c r="B69" s="1218"/>
      <c r="C69" s="1253"/>
      <c r="D69" s="1406"/>
      <c r="E69" s="1406"/>
      <c r="F69" s="1406"/>
      <c r="G69" s="1406"/>
      <c r="H69" s="1412">
        <f>SUM(H68:H68)</f>
        <v>4.82E-2</v>
      </c>
      <c r="I69" s="1205" t="s">
        <v>2226</v>
      </c>
      <c r="J69" s="1162"/>
    </row>
    <row r="70" spans="1:10" s="1256" customFormat="1" ht="13.5" hidden="1" thickTop="1">
      <c r="A70" s="1156"/>
      <c r="B70" s="1218" t="s">
        <v>1375</v>
      </c>
      <c r="C70" s="1253" t="s">
        <v>1374</v>
      </c>
      <c r="E70" s="1212" t="s">
        <v>35</v>
      </c>
      <c r="F70" s="1226">
        <f>H67</f>
        <v>3.5299999999999998E-2</v>
      </c>
      <c r="G70" s="1213">
        <f>'MINI SSR 19-20'!C142</f>
        <v>71195</v>
      </c>
      <c r="H70" s="1214">
        <f t="shared" ref="H70:H77" si="3">ROUND(F70*G70,2)</f>
        <v>2513.1799999999998</v>
      </c>
      <c r="I70" s="1205" t="s">
        <v>2226</v>
      </c>
      <c r="J70" s="1162"/>
    </row>
    <row r="71" spans="1:10" s="1256" customFormat="1" ht="13.5" hidden="1" thickTop="1">
      <c r="A71" s="1156"/>
      <c r="B71" s="1218" t="s">
        <v>1377</v>
      </c>
      <c r="C71" s="1253" t="s">
        <v>1376</v>
      </c>
      <c r="E71" s="1212" t="s">
        <v>35</v>
      </c>
      <c r="F71" s="1226">
        <f>H69</f>
        <v>4.82E-2</v>
      </c>
      <c r="G71" s="1213">
        <f>'MINI SSR 19-20'!C143</f>
        <v>142391</v>
      </c>
      <c r="H71" s="1214">
        <f t="shared" si="3"/>
        <v>6863.25</v>
      </c>
      <c r="I71" s="1205" t="s">
        <v>2226</v>
      </c>
      <c r="J71" s="1162"/>
    </row>
    <row r="72" spans="1:10" s="1256" customFormat="1" ht="13.5" hidden="1" thickTop="1">
      <c r="A72" s="1156"/>
      <c r="B72" s="1218" t="s">
        <v>1379</v>
      </c>
      <c r="C72" s="1253" t="s">
        <v>1378</v>
      </c>
      <c r="D72" s="1212"/>
      <c r="E72" s="1212" t="s">
        <v>11</v>
      </c>
      <c r="F72" s="1240">
        <v>2</v>
      </c>
      <c r="G72" s="1213">
        <f t="shared" ref="G72:G77" si="4">G17</f>
        <v>231</v>
      </c>
      <c r="H72" s="1214">
        <f t="shared" si="3"/>
        <v>462</v>
      </c>
      <c r="I72" s="1205" t="s">
        <v>2226</v>
      </c>
      <c r="J72" s="1162"/>
    </row>
    <row r="73" spans="1:10" s="1256" customFormat="1" ht="13.5" hidden="1" thickTop="1">
      <c r="A73" s="1156"/>
      <c r="B73" s="1218" t="s">
        <v>1381</v>
      </c>
      <c r="C73" s="1253" t="s">
        <v>1380</v>
      </c>
      <c r="D73" s="1212"/>
      <c r="E73" s="1212" t="s">
        <v>11</v>
      </c>
      <c r="F73" s="1240">
        <v>3</v>
      </c>
      <c r="G73" s="1213">
        <f t="shared" si="4"/>
        <v>246</v>
      </c>
      <c r="H73" s="1214">
        <f t="shared" si="3"/>
        <v>738</v>
      </c>
      <c r="I73" s="1205" t="s">
        <v>2226</v>
      </c>
      <c r="J73" s="1162"/>
    </row>
    <row r="74" spans="1:10" s="1256" customFormat="1" ht="13.5" hidden="1" thickTop="1">
      <c r="A74" s="1156"/>
      <c r="B74" s="1218" t="s">
        <v>1383</v>
      </c>
      <c r="C74" s="1253" t="s">
        <v>1382</v>
      </c>
      <c r="D74" s="1212"/>
      <c r="E74" s="1212" t="s">
        <v>11</v>
      </c>
      <c r="F74" s="1240"/>
      <c r="G74" s="1213">
        <f t="shared" si="4"/>
        <v>103</v>
      </c>
      <c r="H74" s="1214">
        <f t="shared" si="3"/>
        <v>0</v>
      </c>
      <c r="I74" s="1205" t="s">
        <v>2226</v>
      </c>
      <c r="J74" s="1162"/>
    </row>
    <row r="75" spans="1:10" s="1256" customFormat="1" ht="13.5" hidden="1" thickTop="1">
      <c r="A75" s="1156"/>
      <c r="B75" s="1218" t="s">
        <v>1385</v>
      </c>
      <c r="C75" s="1253" t="s">
        <v>1384</v>
      </c>
      <c r="D75" s="1212"/>
      <c r="E75" s="1212" t="s">
        <v>11</v>
      </c>
      <c r="F75" s="1240">
        <v>2</v>
      </c>
      <c r="G75" s="1213">
        <f t="shared" si="4"/>
        <v>1087</v>
      </c>
      <c r="H75" s="1214">
        <f t="shared" si="3"/>
        <v>2174</v>
      </c>
      <c r="I75" s="1205" t="s">
        <v>2226</v>
      </c>
      <c r="J75" s="1162"/>
    </row>
    <row r="76" spans="1:10" ht="13.5" hidden="1" thickTop="1">
      <c r="A76" s="1156"/>
      <c r="B76" s="1218" t="s">
        <v>1387</v>
      </c>
      <c r="C76" s="1253" t="s">
        <v>1386</v>
      </c>
      <c r="D76" s="1212"/>
      <c r="E76" s="1212" t="s">
        <v>11</v>
      </c>
      <c r="F76" s="1240">
        <v>1</v>
      </c>
      <c r="G76" s="1213">
        <f t="shared" si="4"/>
        <v>168</v>
      </c>
      <c r="H76" s="1214">
        <f t="shared" si="3"/>
        <v>168</v>
      </c>
      <c r="I76" s="1205" t="s">
        <v>2226</v>
      </c>
    </row>
    <row r="77" spans="1:10" ht="13.5" hidden="1" thickTop="1">
      <c r="A77" s="1156"/>
      <c r="B77" s="1218" t="s">
        <v>1389</v>
      </c>
      <c r="C77" s="1253" t="s">
        <v>1388</v>
      </c>
      <c r="D77" s="1212"/>
      <c r="E77" s="1212" t="s">
        <v>11</v>
      </c>
      <c r="F77" s="1240">
        <v>6</v>
      </c>
      <c r="G77" s="1213">
        <f t="shared" si="4"/>
        <v>32</v>
      </c>
      <c r="H77" s="1214">
        <f t="shared" si="3"/>
        <v>192</v>
      </c>
      <c r="I77" s="1205" t="s">
        <v>2226</v>
      </c>
    </row>
    <row r="78" spans="1:10" ht="13.5" hidden="1" thickTop="1">
      <c r="A78" s="1156"/>
      <c r="B78" s="1218"/>
      <c r="C78" s="1255" t="s">
        <v>68</v>
      </c>
      <c r="D78" s="1162"/>
      <c r="E78" s="1212"/>
      <c r="F78" s="1213"/>
      <c r="G78" s="1213"/>
      <c r="H78" s="1214"/>
      <c r="I78" s="1205" t="s">
        <v>2226</v>
      </c>
    </row>
    <row r="79" spans="1:10" ht="13.5" hidden="1" thickTop="1">
      <c r="A79" s="1156"/>
      <c r="B79" s="1212" t="s">
        <v>1391</v>
      </c>
      <c r="C79" s="1253" t="s">
        <v>1390</v>
      </c>
      <c r="D79" s="1162"/>
      <c r="E79" s="1212" t="s">
        <v>102</v>
      </c>
      <c r="F79" s="1213">
        <f>ROUND(0.9*2.1,2)</f>
        <v>1.89</v>
      </c>
      <c r="G79" s="1213">
        <f>G24</f>
        <v>1570</v>
      </c>
      <c r="H79" s="1214">
        <f>ROUND(F79*G79*1/3,2)</f>
        <v>989.1</v>
      </c>
      <c r="I79" s="1205" t="s">
        <v>2226</v>
      </c>
    </row>
    <row r="80" spans="1:10" ht="13.5" hidden="1" thickTop="1">
      <c r="A80" s="1156"/>
      <c r="B80" s="1218"/>
      <c r="C80" s="1255"/>
      <c r="D80" s="1212"/>
      <c r="E80" s="1212"/>
      <c r="F80" s="1212"/>
      <c r="G80" s="1212"/>
      <c r="H80" s="1222">
        <f>SUM(H70:H79)</f>
        <v>14099.53</v>
      </c>
      <c r="I80" s="1205" t="s">
        <v>2226</v>
      </c>
    </row>
    <row r="81" spans="1:10" ht="128.25" hidden="1" thickTop="1">
      <c r="A81" s="1156">
        <v>4</v>
      </c>
      <c r="B81" s="1218"/>
      <c r="C81" s="1253" t="s">
        <v>1684</v>
      </c>
      <c r="D81" s="1212"/>
      <c r="E81" s="1212"/>
      <c r="F81" s="1212"/>
      <c r="G81" s="1212"/>
      <c r="H81" s="1215"/>
      <c r="I81" s="1205" t="s">
        <v>2226</v>
      </c>
    </row>
    <row r="82" spans="1:10" ht="13.5" hidden="1" thickTop="1">
      <c r="A82" s="1156"/>
      <c r="B82" s="1218"/>
      <c r="C82" s="1255" t="s">
        <v>100</v>
      </c>
      <c r="D82" s="1212"/>
      <c r="E82" s="1212"/>
      <c r="F82" s="1212"/>
      <c r="G82" s="1212"/>
      <c r="H82" s="1215"/>
      <c r="I82" s="1205" t="s">
        <v>2226</v>
      </c>
    </row>
    <row r="83" spans="1:10" s="1256" customFormat="1" ht="13.5" hidden="1" thickTop="1">
      <c r="A83" s="1156"/>
      <c r="B83" s="1218"/>
      <c r="C83" s="1255" t="s">
        <v>594</v>
      </c>
      <c r="D83" s="1212"/>
      <c r="E83" s="1212"/>
      <c r="F83" s="1212"/>
      <c r="G83" s="1212"/>
      <c r="H83" s="1215"/>
      <c r="I83" s="1205" t="s">
        <v>2226</v>
      </c>
      <c r="J83" s="1162"/>
    </row>
    <row r="84" spans="1:10" s="1256" customFormat="1" ht="13.5" hidden="1" thickTop="1">
      <c r="A84" s="1156"/>
      <c r="B84" s="1218"/>
      <c r="C84" s="1253" t="s">
        <v>2</v>
      </c>
      <c r="D84" s="1406">
        <v>2</v>
      </c>
      <c r="E84" s="1407">
        <v>1.9</v>
      </c>
      <c r="F84" s="1408">
        <v>0.1</v>
      </c>
      <c r="G84" s="1408">
        <v>7.4999999999999997E-2</v>
      </c>
      <c r="H84" s="1409">
        <f>ROUND(D84*E84*F84*G84,4)</f>
        <v>2.8500000000000001E-2</v>
      </c>
      <c r="I84" s="1205" t="s">
        <v>2226</v>
      </c>
      <c r="J84" s="1162"/>
    </row>
    <row r="85" spans="1:10" s="1256" customFormat="1" ht="13.5" hidden="1" thickTop="1">
      <c r="A85" s="1156"/>
      <c r="B85" s="1218"/>
      <c r="C85" s="1253" t="s">
        <v>741</v>
      </c>
      <c r="D85" s="1406">
        <v>1</v>
      </c>
      <c r="E85" s="1407">
        <v>0.8</v>
      </c>
      <c r="F85" s="1408">
        <v>0.1</v>
      </c>
      <c r="G85" s="1408">
        <v>7.4999999999999997E-2</v>
      </c>
      <c r="H85" s="1409">
        <f>ROUND(D85*E85*F85*G85,4)</f>
        <v>6.0000000000000001E-3</v>
      </c>
      <c r="I85" s="1205" t="s">
        <v>2226</v>
      </c>
      <c r="J85" s="1162"/>
    </row>
    <row r="86" spans="1:10" s="1256" customFormat="1" ht="13.5" hidden="1" thickTop="1">
      <c r="A86" s="1156"/>
      <c r="B86" s="1218"/>
      <c r="C86" s="1255"/>
      <c r="D86" s="1406"/>
      <c r="E86" s="1406"/>
      <c r="F86" s="1406"/>
      <c r="G86" s="1406"/>
      <c r="H86" s="1412">
        <f>SUM(H84:H85)</f>
        <v>3.4500000000000003E-2</v>
      </c>
      <c r="I86" s="1205" t="s">
        <v>2226</v>
      </c>
      <c r="J86" s="1162"/>
    </row>
    <row r="87" spans="1:10" s="1256" customFormat="1" ht="13.5" hidden="1" thickTop="1">
      <c r="A87" s="1156"/>
      <c r="B87" s="1218"/>
      <c r="C87" s="1255" t="s">
        <v>320</v>
      </c>
      <c r="D87" s="1406">
        <v>1</v>
      </c>
      <c r="E87" s="1407">
        <v>2.0099999999999998</v>
      </c>
      <c r="F87" s="1408">
        <v>0.72</v>
      </c>
      <c r="G87" s="1408">
        <v>0.03</v>
      </c>
      <c r="H87" s="1409">
        <f>ROUND(D87*E87*F87*G87,4)</f>
        <v>4.3400000000000001E-2</v>
      </c>
      <c r="I87" s="1205" t="s">
        <v>2226</v>
      </c>
      <c r="J87" s="1162"/>
    </row>
    <row r="88" spans="1:10" s="1256" customFormat="1" ht="13.5" hidden="1" thickTop="1">
      <c r="A88" s="1156"/>
      <c r="B88" s="1218"/>
      <c r="C88" s="1253"/>
      <c r="D88" s="1406"/>
      <c r="E88" s="1406"/>
      <c r="F88" s="1406"/>
      <c r="G88" s="1406"/>
      <c r="H88" s="1412">
        <f>SUM(H87:H87)</f>
        <v>4.3400000000000001E-2</v>
      </c>
      <c r="I88" s="1205" t="s">
        <v>2226</v>
      </c>
      <c r="J88" s="1162"/>
    </row>
    <row r="89" spans="1:10" s="1256" customFormat="1" ht="13.5" hidden="1" thickTop="1">
      <c r="A89" s="1156"/>
      <c r="B89" s="1218" t="s">
        <v>1375</v>
      </c>
      <c r="C89" s="1253" t="s">
        <v>1374</v>
      </c>
      <c r="E89" s="1212" t="s">
        <v>35</v>
      </c>
      <c r="F89" s="1226">
        <f>H86</f>
        <v>3.4500000000000003E-2</v>
      </c>
      <c r="G89" s="1213">
        <f t="shared" ref="G89:G96" si="5">G70</f>
        <v>71195</v>
      </c>
      <c r="H89" s="1214">
        <f t="shared" ref="H89:H96" si="6">ROUND(F89*G89,2)</f>
        <v>2456.23</v>
      </c>
      <c r="I89" s="1205" t="s">
        <v>2226</v>
      </c>
      <c r="J89" s="1162"/>
    </row>
    <row r="90" spans="1:10" s="1256" customFormat="1" ht="13.5" hidden="1" thickTop="1">
      <c r="A90" s="1156"/>
      <c r="B90" s="1218" t="s">
        <v>1377</v>
      </c>
      <c r="C90" s="1253" t="s">
        <v>1376</v>
      </c>
      <c r="E90" s="1212" t="s">
        <v>35</v>
      </c>
      <c r="F90" s="1226">
        <f>H88</f>
        <v>4.3400000000000001E-2</v>
      </c>
      <c r="G90" s="1213">
        <f t="shared" si="5"/>
        <v>142391</v>
      </c>
      <c r="H90" s="1214">
        <f t="shared" si="6"/>
        <v>6179.77</v>
      </c>
      <c r="I90" s="1205" t="s">
        <v>2226</v>
      </c>
      <c r="J90" s="1162"/>
    </row>
    <row r="91" spans="1:10" s="1256" customFormat="1" ht="13.5" hidden="1" thickTop="1">
      <c r="A91" s="1156"/>
      <c r="B91" s="1218" t="s">
        <v>1379</v>
      </c>
      <c r="C91" s="1253" t="s">
        <v>1378</v>
      </c>
      <c r="D91" s="1212"/>
      <c r="E91" s="1212" t="s">
        <v>11</v>
      </c>
      <c r="F91" s="1240">
        <v>2</v>
      </c>
      <c r="G91" s="1213">
        <f t="shared" si="5"/>
        <v>231</v>
      </c>
      <c r="H91" s="1214">
        <f t="shared" si="6"/>
        <v>462</v>
      </c>
      <c r="I91" s="1205" t="s">
        <v>2226</v>
      </c>
      <c r="J91" s="1162"/>
    </row>
    <row r="92" spans="1:10" s="1256" customFormat="1" ht="13.5" hidden="1" thickTop="1">
      <c r="A92" s="1156"/>
      <c r="B92" s="1218" t="s">
        <v>1381</v>
      </c>
      <c r="C92" s="1253" t="s">
        <v>1380</v>
      </c>
      <c r="D92" s="1212"/>
      <c r="E92" s="1212" t="s">
        <v>11</v>
      </c>
      <c r="F92" s="1240">
        <v>3</v>
      </c>
      <c r="G92" s="1213">
        <f t="shared" si="5"/>
        <v>246</v>
      </c>
      <c r="H92" s="1214">
        <f t="shared" si="6"/>
        <v>738</v>
      </c>
      <c r="I92" s="1205" t="s">
        <v>2226</v>
      </c>
      <c r="J92" s="1162"/>
    </row>
    <row r="93" spans="1:10" s="1256" customFormat="1" ht="13.5" hidden="1" thickTop="1">
      <c r="A93" s="1156"/>
      <c r="B93" s="1218" t="s">
        <v>1383</v>
      </c>
      <c r="C93" s="1253" t="s">
        <v>1382</v>
      </c>
      <c r="D93" s="1212"/>
      <c r="E93" s="1212" t="s">
        <v>11</v>
      </c>
      <c r="F93" s="1240"/>
      <c r="G93" s="1213">
        <f t="shared" si="5"/>
        <v>103</v>
      </c>
      <c r="H93" s="1214">
        <f t="shared" si="6"/>
        <v>0</v>
      </c>
      <c r="I93" s="1205" t="s">
        <v>2226</v>
      </c>
      <c r="J93" s="1162"/>
    </row>
    <row r="94" spans="1:10" s="1256" customFormat="1" ht="13.5" hidden="1" thickTop="1">
      <c r="A94" s="1156"/>
      <c r="B94" s="1218" t="s">
        <v>1385</v>
      </c>
      <c r="C94" s="1253" t="s">
        <v>1384</v>
      </c>
      <c r="D94" s="1212"/>
      <c r="E94" s="1212" t="s">
        <v>11</v>
      </c>
      <c r="F94" s="1240">
        <v>2</v>
      </c>
      <c r="G94" s="1213">
        <f t="shared" si="5"/>
        <v>1087</v>
      </c>
      <c r="H94" s="1214">
        <f t="shared" si="6"/>
        <v>2174</v>
      </c>
      <c r="I94" s="1205" t="s">
        <v>2226</v>
      </c>
      <c r="J94" s="1162"/>
    </row>
    <row r="95" spans="1:10" ht="13.5" hidden="1" thickTop="1">
      <c r="A95" s="1156"/>
      <c r="B95" s="1218" t="s">
        <v>1387</v>
      </c>
      <c r="C95" s="1253" t="s">
        <v>1386</v>
      </c>
      <c r="D95" s="1212"/>
      <c r="E95" s="1212" t="s">
        <v>11</v>
      </c>
      <c r="F95" s="1240">
        <v>1</v>
      </c>
      <c r="G95" s="1213">
        <f t="shared" si="5"/>
        <v>168</v>
      </c>
      <c r="H95" s="1214">
        <f t="shared" si="6"/>
        <v>168</v>
      </c>
      <c r="I95" s="1205" t="s">
        <v>2226</v>
      </c>
    </row>
    <row r="96" spans="1:10" ht="13.5" hidden="1" thickTop="1">
      <c r="A96" s="1156"/>
      <c r="B96" s="1218" t="s">
        <v>1389</v>
      </c>
      <c r="C96" s="1253" t="s">
        <v>1388</v>
      </c>
      <c r="D96" s="1212"/>
      <c r="E96" s="1212" t="s">
        <v>11</v>
      </c>
      <c r="F96" s="1240">
        <v>6</v>
      </c>
      <c r="G96" s="1213">
        <f t="shared" si="5"/>
        <v>32</v>
      </c>
      <c r="H96" s="1214">
        <f t="shared" si="6"/>
        <v>192</v>
      </c>
      <c r="I96" s="1205" t="s">
        <v>2226</v>
      </c>
    </row>
    <row r="97" spans="1:10" ht="13.5" hidden="1" thickTop="1">
      <c r="A97" s="1156"/>
      <c r="B97" s="1218"/>
      <c r="C97" s="1255" t="s">
        <v>68</v>
      </c>
      <c r="D97" s="1162"/>
      <c r="E97" s="1212"/>
      <c r="F97" s="1213"/>
      <c r="G97" s="1213"/>
      <c r="H97" s="1214"/>
      <c r="I97" s="1205" t="s">
        <v>2226</v>
      </c>
    </row>
    <row r="98" spans="1:10" ht="13.5" hidden="1" thickTop="1">
      <c r="A98" s="1156"/>
      <c r="B98" s="1212" t="s">
        <v>1391</v>
      </c>
      <c r="C98" s="1253" t="s">
        <v>1390</v>
      </c>
      <c r="D98" s="1162"/>
      <c r="E98" s="1212" t="s">
        <v>102</v>
      </c>
      <c r="F98" s="1213">
        <f>ROUND(0.9*2.1,2)</f>
        <v>1.89</v>
      </c>
      <c r="G98" s="1213">
        <f>G79</f>
        <v>1570</v>
      </c>
      <c r="H98" s="1214">
        <f>ROUND(F98*G98*1/3,2)</f>
        <v>989.1</v>
      </c>
      <c r="I98" s="1205" t="s">
        <v>2226</v>
      </c>
    </row>
    <row r="99" spans="1:10" ht="13.5" hidden="1" thickTop="1">
      <c r="A99" s="1156"/>
      <c r="B99" s="1218"/>
      <c r="C99" s="1255"/>
      <c r="D99" s="1212"/>
      <c r="E99" s="1212"/>
      <c r="F99" s="1212"/>
      <c r="G99" s="1212"/>
      <c r="H99" s="1222">
        <f>SUM(H89:H98)</f>
        <v>13359.1</v>
      </c>
      <c r="I99" s="1205" t="s">
        <v>2226</v>
      </c>
    </row>
    <row r="100" spans="1:10" ht="115.5" hidden="1" thickTop="1">
      <c r="A100" s="1156">
        <v>2</v>
      </c>
      <c r="B100" s="1218"/>
      <c r="C100" s="1253" t="s">
        <v>1685</v>
      </c>
      <c r="D100" s="1212"/>
      <c r="E100" s="1212"/>
      <c r="F100" s="1212"/>
      <c r="G100" s="1212"/>
      <c r="H100" s="1215"/>
      <c r="I100" s="1205" t="s">
        <v>2226</v>
      </c>
    </row>
    <row r="101" spans="1:10" ht="13.5" hidden="1" thickTop="1">
      <c r="A101" s="1156"/>
      <c r="B101" s="1218"/>
      <c r="C101" s="1255" t="s">
        <v>100</v>
      </c>
      <c r="D101" s="1212"/>
      <c r="E101" s="1212"/>
      <c r="F101" s="1212"/>
      <c r="G101" s="1212"/>
      <c r="H101" s="1215"/>
      <c r="I101" s="1205" t="s">
        <v>2226</v>
      </c>
    </row>
    <row r="102" spans="1:10" s="1256" customFormat="1" ht="13.5" hidden="1" thickTop="1">
      <c r="A102" s="1156"/>
      <c r="B102" s="1218"/>
      <c r="C102" s="1255" t="s">
        <v>1</v>
      </c>
      <c r="D102" s="1212"/>
      <c r="E102" s="1212"/>
      <c r="F102" s="1212"/>
      <c r="G102" s="1212"/>
      <c r="H102" s="1215"/>
      <c r="I102" s="1205" t="s">
        <v>2226</v>
      </c>
      <c r="J102" s="1162"/>
    </row>
    <row r="103" spans="1:10" s="1256" customFormat="1" ht="13.5" hidden="1" thickTop="1">
      <c r="A103" s="1156"/>
      <c r="B103" s="1218"/>
      <c r="C103" s="1253" t="s">
        <v>2</v>
      </c>
      <c r="D103" s="1406">
        <v>2</v>
      </c>
      <c r="E103" s="1407">
        <v>1.9</v>
      </c>
      <c r="F103" s="1408">
        <v>0.1</v>
      </c>
      <c r="G103" s="1408">
        <v>7.4999999999999997E-2</v>
      </c>
      <c r="H103" s="1409">
        <f>ROUND(D103*E103*F103*G103,4)</f>
        <v>2.8500000000000001E-2</v>
      </c>
      <c r="I103" s="1205" t="s">
        <v>2226</v>
      </c>
      <c r="J103" s="1162"/>
    </row>
    <row r="104" spans="1:10" s="1256" customFormat="1" ht="13.5" hidden="1" thickTop="1">
      <c r="A104" s="1156"/>
      <c r="B104" s="1218"/>
      <c r="C104" s="1253" t="s">
        <v>741</v>
      </c>
      <c r="D104" s="1406">
        <v>1</v>
      </c>
      <c r="E104" s="1407">
        <v>0.9</v>
      </c>
      <c r="F104" s="1408">
        <v>0.1</v>
      </c>
      <c r="G104" s="1408">
        <v>7.4999999999999997E-2</v>
      </c>
      <c r="H104" s="1409">
        <f>ROUND(D104*E104*F104*G104,4)</f>
        <v>6.7999999999999996E-3</v>
      </c>
      <c r="I104" s="1205" t="s">
        <v>2226</v>
      </c>
      <c r="J104" s="1162"/>
    </row>
    <row r="105" spans="1:10" s="1256" customFormat="1" ht="13.5" hidden="1" thickTop="1">
      <c r="A105" s="1156"/>
      <c r="B105" s="1218"/>
      <c r="C105" s="1255"/>
      <c r="D105" s="1406"/>
      <c r="E105" s="1406"/>
      <c r="F105" s="1406"/>
      <c r="G105" s="1406"/>
      <c r="H105" s="1412">
        <f>SUM(H103:H104)</f>
        <v>3.5299999999999998E-2</v>
      </c>
      <c r="I105" s="1205" t="s">
        <v>2226</v>
      </c>
      <c r="J105" s="1162"/>
    </row>
    <row r="106" spans="1:10" s="1256" customFormat="1" ht="13.5" hidden="1" thickTop="1">
      <c r="A106" s="1156"/>
      <c r="B106" s="1218"/>
      <c r="C106" s="1255" t="s">
        <v>1686</v>
      </c>
      <c r="D106" s="1406">
        <v>2</v>
      </c>
      <c r="E106" s="1407">
        <v>2.0099999999999998</v>
      </c>
      <c r="F106" s="1408">
        <v>0.4</v>
      </c>
      <c r="G106" s="1408">
        <v>0.03</v>
      </c>
      <c r="H106" s="1409">
        <f>ROUND(D106*E106*F106*G106,4)</f>
        <v>4.82E-2</v>
      </c>
      <c r="I106" s="1205" t="s">
        <v>2226</v>
      </c>
      <c r="J106" s="1162"/>
    </row>
    <row r="107" spans="1:10" s="1256" customFormat="1" ht="13.5" hidden="1" thickTop="1">
      <c r="A107" s="1156"/>
      <c r="B107" s="1218"/>
      <c r="C107" s="1253"/>
      <c r="D107" s="1406"/>
      <c r="E107" s="1406"/>
      <c r="F107" s="1406"/>
      <c r="G107" s="1406"/>
      <c r="H107" s="1412">
        <f>SUM(H106:H106)</f>
        <v>4.82E-2</v>
      </c>
      <c r="I107" s="1205" t="s">
        <v>2226</v>
      </c>
      <c r="J107" s="1162"/>
    </row>
    <row r="108" spans="1:10" s="1256" customFormat="1" ht="13.5" hidden="1" thickTop="1">
      <c r="A108" s="1156"/>
      <c r="B108" s="1218" t="s">
        <v>1687</v>
      </c>
      <c r="C108" s="1253" t="s">
        <v>1688</v>
      </c>
      <c r="E108" s="1212" t="s">
        <v>35</v>
      </c>
      <c r="F108" s="1226">
        <f>H105</f>
        <v>3.5299999999999998E-2</v>
      </c>
      <c r="G108" s="1213">
        <f>'MINI SSR 19-20'!$C$144</f>
        <v>46217</v>
      </c>
      <c r="H108" s="1214">
        <f t="shared" ref="H108:H115" si="7">ROUND(F108*G108,2)</f>
        <v>1631.46</v>
      </c>
      <c r="I108" s="1205" t="s">
        <v>2226</v>
      </c>
      <c r="J108" s="1162"/>
    </row>
    <row r="109" spans="1:10" s="1256" customFormat="1" ht="13.5" hidden="1" thickTop="1">
      <c r="A109" s="1156"/>
      <c r="B109" s="1218" t="s">
        <v>1689</v>
      </c>
      <c r="C109" s="1253" t="s">
        <v>1690</v>
      </c>
      <c r="E109" s="1212" t="s">
        <v>35</v>
      </c>
      <c r="F109" s="1226">
        <f>H107</f>
        <v>4.82E-2</v>
      </c>
      <c r="G109" s="1213">
        <f>'MINI SSR 19-20'!C145</f>
        <v>58690</v>
      </c>
      <c r="H109" s="1214">
        <f t="shared" si="7"/>
        <v>2828.86</v>
      </c>
      <c r="I109" s="1205" t="s">
        <v>2226</v>
      </c>
      <c r="J109" s="1162"/>
    </row>
    <row r="110" spans="1:10" s="1256" customFormat="1" ht="13.5" hidden="1" thickTop="1">
      <c r="A110" s="1156"/>
      <c r="B110" s="1218" t="s">
        <v>1396</v>
      </c>
      <c r="C110" s="1253" t="s">
        <v>1691</v>
      </c>
      <c r="D110" s="1212"/>
      <c r="E110" s="1212" t="s">
        <v>11</v>
      </c>
      <c r="F110" s="1240">
        <v>2</v>
      </c>
      <c r="G110" s="1213">
        <f>'MINI SSR 19-20'!G143</f>
        <v>84</v>
      </c>
      <c r="H110" s="1214">
        <f t="shared" si="7"/>
        <v>168</v>
      </c>
      <c r="I110" s="1205" t="s">
        <v>2226</v>
      </c>
      <c r="J110" s="1162"/>
    </row>
    <row r="111" spans="1:10" s="1256" customFormat="1" ht="13.5" hidden="1" thickTop="1">
      <c r="A111" s="1156"/>
      <c r="B111" s="1218" t="s">
        <v>1398</v>
      </c>
      <c r="C111" s="1253" t="s">
        <v>1380</v>
      </c>
      <c r="D111" s="1212"/>
      <c r="E111" s="1212" t="s">
        <v>11</v>
      </c>
      <c r="F111" s="1240">
        <v>6</v>
      </c>
      <c r="G111" s="1213">
        <f>'MINI SSR 19-20'!G146</f>
        <v>117</v>
      </c>
      <c r="H111" s="1214">
        <f t="shared" si="7"/>
        <v>702</v>
      </c>
      <c r="I111" s="1205" t="s">
        <v>2226</v>
      </c>
      <c r="J111" s="1162"/>
    </row>
    <row r="112" spans="1:10" s="1256" customFormat="1" ht="13.5" hidden="1" thickTop="1">
      <c r="A112" s="1156"/>
      <c r="B112" s="1218" t="s">
        <v>1383</v>
      </c>
      <c r="C112" s="1253" t="s">
        <v>1382</v>
      </c>
      <c r="D112" s="1212"/>
      <c r="E112" s="1212" t="s">
        <v>11</v>
      </c>
      <c r="F112" s="1240"/>
      <c r="G112" s="1213">
        <f>'MINI SSR 19-20'!G147</f>
        <v>103</v>
      </c>
      <c r="H112" s="1214">
        <f t="shared" si="7"/>
        <v>0</v>
      </c>
      <c r="I112" s="1205" t="s">
        <v>2226</v>
      </c>
      <c r="J112" s="1162"/>
    </row>
    <row r="113" spans="1:10" s="1256" customFormat="1" ht="13.5" hidden="1" thickTop="1">
      <c r="A113" s="1156"/>
      <c r="B113" s="1218" t="s">
        <v>1400</v>
      </c>
      <c r="C113" s="1253" t="s">
        <v>1692</v>
      </c>
      <c r="D113" s="1212"/>
      <c r="E113" s="1212" t="s">
        <v>11</v>
      </c>
      <c r="F113" s="1240">
        <v>2</v>
      </c>
      <c r="G113" s="1213">
        <f>'MINI SSR 19-20'!G149</f>
        <v>308</v>
      </c>
      <c r="H113" s="1214">
        <f t="shared" si="7"/>
        <v>616</v>
      </c>
      <c r="I113" s="1205" t="s">
        <v>2226</v>
      </c>
      <c r="J113" s="1162"/>
    </row>
    <row r="114" spans="1:10" ht="13.5" hidden="1" thickTop="1">
      <c r="A114" s="1156"/>
      <c r="B114" s="1218" t="s">
        <v>1693</v>
      </c>
      <c r="C114" s="1253" t="s">
        <v>1694</v>
      </c>
      <c r="D114" s="1212"/>
      <c r="E114" s="1212" t="s">
        <v>11</v>
      </c>
      <c r="F114" s="1240">
        <v>1</v>
      </c>
      <c r="G114" s="1213">
        <f>'MINI SSR 19-20'!G155</f>
        <v>53</v>
      </c>
      <c r="H114" s="1214">
        <f t="shared" si="7"/>
        <v>53</v>
      </c>
      <c r="I114" s="1205" t="s">
        <v>2226</v>
      </c>
    </row>
    <row r="115" spans="1:10" ht="13.5" hidden="1" thickTop="1">
      <c r="A115" s="1156"/>
      <c r="B115" s="1218" t="s">
        <v>1389</v>
      </c>
      <c r="C115" s="1253" t="s">
        <v>1388</v>
      </c>
      <c r="D115" s="1212"/>
      <c r="E115" s="1212" t="s">
        <v>11</v>
      </c>
      <c r="F115" s="1240">
        <v>6</v>
      </c>
      <c r="G115" s="1213">
        <f>'MINI SSR 19-20'!G152</f>
        <v>32</v>
      </c>
      <c r="H115" s="1214">
        <f t="shared" si="7"/>
        <v>192</v>
      </c>
      <c r="I115" s="1205" t="s">
        <v>2226</v>
      </c>
    </row>
    <row r="116" spans="1:10" ht="13.5" hidden="1" thickTop="1">
      <c r="A116" s="1156"/>
      <c r="B116" s="1218"/>
      <c r="C116" s="1255" t="s">
        <v>68</v>
      </c>
      <c r="D116" s="1162"/>
      <c r="E116" s="1212"/>
      <c r="F116" s="1213"/>
      <c r="G116" s="1217"/>
      <c r="H116" s="1214"/>
      <c r="I116" s="1205" t="s">
        <v>2226</v>
      </c>
    </row>
    <row r="117" spans="1:10" ht="13.5" hidden="1" thickTop="1">
      <c r="A117" s="1156"/>
      <c r="B117" s="1212" t="s">
        <v>1695</v>
      </c>
      <c r="C117" s="1253" t="s">
        <v>1390</v>
      </c>
      <c r="D117" s="1162"/>
      <c r="E117" s="1212" t="s">
        <v>102</v>
      </c>
      <c r="F117" s="1213">
        <f>ROUND(0.9*2.1,2)</f>
        <v>1.89</v>
      </c>
      <c r="G117" s="1213">
        <f>'MINI SSR 19-20'!$C$150</f>
        <v>1452</v>
      </c>
      <c r="H117" s="1214">
        <f>ROUND(F117*G117*1/3,2)</f>
        <v>914.76</v>
      </c>
      <c r="I117" s="1205" t="s">
        <v>2226</v>
      </c>
    </row>
    <row r="118" spans="1:10" ht="13.5" hidden="1" thickTop="1">
      <c r="A118" s="1156"/>
      <c r="B118" s="1218"/>
      <c r="C118" s="1255"/>
      <c r="D118" s="1212"/>
      <c r="E118" s="1212"/>
      <c r="F118" s="1212"/>
      <c r="G118" s="1212"/>
      <c r="H118" s="1222">
        <f>SUM(H108:H117)</f>
        <v>7106.08</v>
      </c>
      <c r="I118" s="1205" t="s">
        <v>2226</v>
      </c>
    </row>
    <row r="119" spans="1:10" ht="115.5" hidden="1" thickTop="1">
      <c r="A119" s="1156">
        <v>3</v>
      </c>
      <c r="B119" s="1218"/>
      <c r="C119" s="1253" t="s">
        <v>1696</v>
      </c>
      <c r="D119" s="1212"/>
      <c r="E119" s="1212"/>
      <c r="F119" s="1212"/>
      <c r="G119" s="1212"/>
      <c r="H119" s="1215"/>
      <c r="I119" s="1205" t="s">
        <v>2226</v>
      </c>
    </row>
    <row r="120" spans="1:10" ht="13.5" hidden="1" thickTop="1">
      <c r="A120" s="1156"/>
      <c r="B120" s="1218"/>
      <c r="C120" s="1255" t="s">
        <v>100</v>
      </c>
      <c r="D120" s="1212"/>
      <c r="E120" s="1212"/>
      <c r="F120" s="1212"/>
      <c r="G120" s="1212"/>
      <c r="H120" s="1215"/>
      <c r="I120" s="1205" t="s">
        <v>2226</v>
      </c>
    </row>
    <row r="121" spans="1:10" s="1256" customFormat="1" ht="13.5" hidden="1" thickTop="1">
      <c r="A121" s="1156"/>
      <c r="B121" s="1218"/>
      <c r="C121" s="1255" t="s">
        <v>1</v>
      </c>
      <c r="D121" s="1212"/>
      <c r="E121" s="1212"/>
      <c r="F121" s="1212"/>
      <c r="G121" s="1212"/>
      <c r="H121" s="1215"/>
      <c r="I121" s="1205" t="s">
        <v>2226</v>
      </c>
      <c r="J121" s="1162"/>
    </row>
    <row r="122" spans="1:10" s="1256" customFormat="1" ht="13.5" hidden="1" thickTop="1">
      <c r="A122" s="1156"/>
      <c r="B122" s="1218"/>
      <c r="C122" s="1253" t="s">
        <v>2</v>
      </c>
      <c r="D122" s="1406">
        <v>2</v>
      </c>
      <c r="E122" s="1407">
        <v>1.9</v>
      </c>
      <c r="F122" s="1408">
        <v>0.1</v>
      </c>
      <c r="G122" s="1408">
        <v>7.4999999999999997E-2</v>
      </c>
      <c r="H122" s="1409">
        <f>ROUND(D122*E122*F122*G122,4)</f>
        <v>2.8500000000000001E-2</v>
      </c>
      <c r="I122" s="1205" t="s">
        <v>2226</v>
      </c>
      <c r="J122" s="1162"/>
    </row>
    <row r="123" spans="1:10" s="1256" customFormat="1" ht="13.5" hidden="1" thickTop="1">
      <c r="A123" s="1156"/>
      <c r="B123" s="1218"/>
      <c r="C123" s="1253" t="s">
        <v>741</v>
      </c>
      <c r="D123" s="1406">
        <v>1</v>
      </c>
      <c r="E123" s="1407">
        <v>0.8</v>
      </c>
      <c r="F123" s="1408">
        <v>0.1</v>
      </c>
      <c r="G123" s="1408">
        <v>7.4999999999999997E-2</v>
      </c>
      <c r="H123" s="1409">
        <f>ROUND(D123*E123*F123*G123,4)</f>
        <v>6.0000000000000001E-3</v>
      </c>
      <c r="I123" s="1205" t="s">
        <v>2226</v>
      </c>
      <c r="J123" s="1162"/>
    </row>
    <row r="124" spans="1:10" s="1256" customFormat="1" ht="13.5" hidden="1" thickTop="1">
      <c r="A124" s="1156"/>
      <c r="B124" s="1218"/>
      <c r="C124" s="1255"/>
      <c r="D124" s="1406"/>
      <c r="E124" s="1406"/>
      <c r="F124" s="1406"/>
      <c r="G124" s="1406"/>
      <c r="H124" s="1412">
        <f>SUM(H122:H123)</f>
        <v>3.4500000000000003E-2</v>
      </c>
      <c r="I124" s="1205" t="s">
        <v>2226</v>
      </c>
      <c r="J124" s="1162"/>
    </row>
    <row r="125" spans="1:10" s="1256" customFormat="1" ht="13.5" hidden="1" thickTop="1">
      <c r="A125" s="1156"/>
      <c r="B125" s="1218"/>
      <c r="C125" s="1255" t="s">
        <v>1686</v>
      </c>
      <c r="D125" s="1406">
        <v>1</v>
      </c>
      <c r="E125" s="1407">
        <v>2.0099999999999998</v>
      </c>
      <c r="F125" s="1408">
        <v>0.72</v>
      </c>
      <c r="G125" s="1408">
        <v>0.03</v>
      </c>
      <c r="H125" s="1409">
        <f>ROUND(D125*E125*F125*G125,4)</f>
        <v>4.3400000000000001E-2</v>
      </c>
      <c r="I125" s="1205" t="s">
        <v>2226</v>
      </c>
      <c r="J125" s="1162"/>
    </row>
    <row r="126" spans="1:10" s="1256" customFormat="1" ht="13.5" hidden="1" thickTop="1">
      <c r="A126" s="1156"/>
      <c r="B126" s="1218"/>
      <c r="C126" s="1253"/>
      <c r="D126" s="1406"/>
      <c r="E126" s="1406"/>
      <c r="F126" s="1406"/>
      <c r="G126" s="1406"/>
      <c r="H126" s="1412">
        <f>SUM(H125:H125)</f>
        <v>4.3400000000000001E-2</v>
      </c>
      <c r="I126" s="1205" t="s">
        <v>2226</v>
      </c>
      <c r="J126" s="1162"/>
    </row>
    <row r="127" spans="1:10" s="1256" customFormat="1" ht="13.5" hidden="1" thickTop="1">
      <c r="A127" s="1156"/>
      <c r="B127" s="1218" t="s">
        <v>1687</v>
      </c>
      <c r="C127" s="1253" t="s">
        <v>1688</v>
      </c>
      <c r="E127" s="1212" t="s">
        <v>35</v>
      </c>
      <c r="F127" s="1226">
        <f>H124</f>
        <v>3.4500000000000003E-2</v>
      </c>
      <c r="G127" s="1213">
        <f>'MINI SSR 19-20'!C144</f>
        <v>46217</v>
      </c>
      <c r="H127" s="1214">
        <f t="shared" ref="H127:H134" si="8">ROUND(F127*G127,2)</f>
        <v>1594.49</v>
      </c>
      <c r="I127" s="1205" t="s">
        <v>2226</v>
      </c>
      <c r="J127" s="1162"/>
    </row>
    <row r="128" spans="1:10" s="1256" customFormat="1" ht="13.5" hidden="1" thickTop="1">
      <c r="A128" s="1156"/>
      <c r="B128" s="1218" t="s">
        <v>1689</v>
      </c>
      <c r="C128" s="1253" t="s">
        <v>1690</v>
      </c>
      <c r="E128" s="1212" t="s">
        <v>35</v>
      </c>
      <c r="F128" s="1226">
        <f>H126</f>
        <v>4.3400000000000001E-2</v>
      </c>
      <c r="G128" s="1213">
        <f>'MINI SSR 19-20'!C145</f>
        <v>58690</v>
      </c>
      <c r="H128" s="1214">
        <f t="shared" si="8"/>
        <v>2547.15</v>
      </c>
      <c r="I128" s="1205" t="s">
        <v>2226</v>
      </c>
      <c r="J128" s="1162"/>
    </row>
    <row r="129" spans="1:10" s="1256" customFormat="1" ht="13.5" hidden="1" thickTop="1">
      <c r="A129" s="1156"/>
      <c r="B129" s="1218" t="s">
        <v>1396</v>
      </c>
      <c r="C129" s="1253" t="s">
        <v>1691</v>
      </c>
      <c r="D129" s="1212"/>
      <c r="E129" s="1212" t="s">
        <v>11</v>
      </c>
      <c r="F129" s="1240">
        <v>2</v>
      </c>
      <c r="G129" s="1213">
        <f t="shared" ref="G129:G134" si="9">G110</f>
        <v>84</v>
      </c>
      <c r="H129" s="1214">
        <f t="shared" si="8"/>
        <v>168</v>
      </c>
      <c r="I129" s="1205" t="s">
        <v>2226</v>
      </c>
      <c r="J129" s="1162"/>
    </row>
    <row r="130" spans="1:10" s="1256" customFormat="1" ht="13.5" hidden="1" thickTop="1">
      <c r="A130" s="1156"/>
      <c r="B130" s="1218" t="s">
        <v>1398</v>
      </c>
      <c r="C130" s="1253" t="s">
        <v>1380</v>
      </c>
      <c r="D130" s="1212"/>
      <c r="E130" s="1212" t="s">
        <v>11</v>
      </c>
      <c r="F130" s="1240">
        <v>3</v>
      </c>
      <c r="G130" s="1213">
        <f t="shared" si="9"/>
        <v>117</v>
      </c>
      <c r="H130" s="1214">
        <f t="shared" si="8"/>
        <v>351</v>
      </c>
      <c r="I130" s="1205" t="s">
        <v>2226</v>
      </c>
      <c r="J130" s="1162"/>
    </row>
    <row r="131" spans="1:10" s="1256" customFormat="1" ht="13.5" hidden="1" thickTop="1">
      <c r="A131" s="1156"/>
      <c r="B131" s="1218" t="s">
        <v>1383</v>
      </c>
      <c r="C131" s="1253" t="s">
        <v>1382</v>
      </c>
      <c r="D131" s="1212"/>
      <c r="E131" s="1212" t="s">
        <v>11</v>
      </c>
      <c r="F131" s="1240"/>
      <c r="G131" s="1213">
        <f t="shared" si="9"/>
        <v>103</v>
      </c>
      <c r="H131" s="1214">
        <f t="shared" si="8"/>
        <v>0</v>
      </c>
      <c r="I131" s="1205" t="s">
        <v>2226</v>
      </c>
      <c r="J131" s="1162"/>
    </row>
    <row r="132" spans="1:10" s="1256" customFormat="1" ht="13.5" hidden="1" thickTop="1">
      <c r="A132" s="1156"/>
      <c r="B132" s="1218" t="s">
        <v>1400</v>
      </c>
      <c r="C132" s="1253" t="s">
        <v>1692</v>
      </c>
      <c r="D132" s="1212"/>
      <c r="E132" s="1212" t="s">
        <v>11</v>
      </c>
      <c r="F132" s="1240">
        <v>2</v>
      </c>
      <c r="G132" s="1213">
        <f t="shared" si="9"/>
        <v>308</v>
      </c>
      <c r="H132" s="1214">
        <f t="shared" si="8"/>
        <v>616</v>
      </c>
      <c r="I132" s="1205" t="s">
        <v>2226</v>
      </c>
      <c r="J132" s="1162"/>
    </row>
    <row r="133" spans="1:10" ht="13.5" hidden="1" thickTop="1">
      <c r="A133" s="1156"/>
      <c r="B133" s="1218" t="s">
        <v>1693</v>
      </c>
      <c r="C133" s="1253" t="s">
        <v>1694</v>
      </c>
      <c r="D133" s="1212"/>
      <c r="E133" s="1212" t="s">
        <v>11</v>
      </c>
      <c r="F133" s="1240">
        <v>1</v>
      </c>
      <c r="G133" s="1213">
        <f t="shared" si="9"/>
        <v>53</v>
      </c>
      <c r="H133" s="1214">
        <f t="shared" si="8"/>
        <v>53</v>
      </c>
      <c r="I133" s="1205" t="s">
        <v>2226</v>
      </c>
    </row>
    <row r="134" spans="1:10" ht="13.5" hidden="1" thickTop="1">
      <c r="A134" s="1156"/>
      <c r="B134" s="1218" t="s">
        <v>1389</v>
      </c>
      <c r="C134" s="1253" t="s">
        <v>1388</v>
      </c>
      <c r="D134" s="1212"/>
      <c r="E134" s="1212" t="s">
        <v>11</v>
      </c>
      <c r="F134" s="1240">
        <v>6</v>
      </c>
      <c r="G134" s="1213">
        <f t="shared" si="9"/>
        <v>32</v>
      </c>
      <c r="H134" s="1214">
        <f t="shared" si="8"/>
        <v>192</v>
      </c>
      <c r="I134" s="1205" t="s">
        <v>2226</v>
      </c>
    </row>
    <row r="135" spans="1:10" ht="13.5" hidden="1" thickTop="1">
      <c r="A135" s="1156"/>
      <c r="B135" s="1218"/>
      <c r="C135" s="1255" t="s">
        <v>68</v>
      </c>
      <c r="D135" s="1162"/>
      <c r="E135" s="1212"/>
      <c r="F135" s="1213"/>
      <c r="G135" s="1213"/>
      <c r="H135" s="1214"/>
      <c r="I135" s="1205" t="s">
        <v>2226</v>
      </c>
    </row>
    <row r="136" spans="1:10" ht="13.5" hidden="1" thickTop="1">
      <c r="A136" s="1156"/>
      <c r="B136" s="1212" t="s">
        <v>1695</v>
      </c>
      <c r="C136" s="1253" t="s">
        <v>1390</v>
      </c>
      <c r="D136" s="1162"/>
      <c r="E136" s="1212" t="s">
        <v>102</v>
      </c>
      <c r="F136" s="1213">
        <f>ROUND(0.8*2.1,2)</f>
        <v>1.68</v>
      </c>
      <c r="G136" s="1213">
        <f>G117</f>
        <v>1452</v>
      </c>
      <c r="H136" s="1214">
        <f>ROUND(F136*G136*1/3,2)</f>
        <v>813.12</v>
      </c>
      <c r="I136" s="1205" t="s">
        <v>2226</v>
      </c>
    </row>
    <row r="137" spans="1:10" ht="13.5" hidden="1" thickTop="1">
      <c r="A137" s="1156"/>
      <c r="B137" s="1218"/>
      <c r="C137" s="1255"/>
      <c r="D137" s="1212"/>
      <c r="E137" s="1212"/>
      <c r="F137" s="1212"/>
      <c r="G137" s="1212"/>
      <c r="H137" s="1222">
        <f>SUM(H127:H136)</f>
        <v>6334.76</v>
      </c>
      <c r="I137" s="1205" t="s">
        <v>2226</v>
      </c>
    </row>
    <row r="138" spans="1:10" ht="128.25" hidden="1" thickTop="1">
      <c r="A138" s="1156">
        <v>5</v>
      </c>
      <c r="B138" s="1218"/>
      <c r="C138" s="1253" t="s">
        <v>1311</v>
      </c>
      <c r="D138" s="1212"/>
      <c r="E138" s="1212"/>
      <c r="F138" s="1212"/>
      <c r="G138" s="1212"/>
      <c r="H138" s="1215"/>
      <c r="I138" s="1205" t="s">
        <v>2226</v>
      </c>
    </row>
    <row r="139" spans="1:10" ht="13.5" hidden="1" thickTop="1">
      <c r="A139" s="1156"/>
      <c r="B139" s="1218"/>
      <c r="C139" s="1255" t="s">
        <v>100</v>
      </c>
      <c r="D139" s="1212"/>
      <c r="E139" s="1212"/>
      <c r="F139" s="1212"/>
      <c r="G139" s="1212"/>
      <c r="H139" s="1215"/>
      <c r="I139" s="1205" t="s">
        <v>2226</v>
      </c>
    </row>
    <row r="140" spans="1:10" s="1256" customFormat="1" ht="13.5" hidden="1" thickTop="1">
      <c r="A140" s="1156"/>
      <c r="B140" s="1218"/>
      <c r="C140" s="1255" t="s">
        <v>594</v>
      </c>
      <c r="D140" s="1212"/>
      <c r="E140" s="1212"/>
      <c r="F140" s="1212"/>
      <c r="G140" s="1212"/>
      <c r="H140" s="1215"/>
      <c r="I140" s="1205" t="s">
        <v>2226</v>
      </c>
      <c r="J140" s="1162"/>
    </row>
    <row r="141" spans="1:10" s="1256" customFormat="1" ht="13.5" hidden="1" thickTop="1">
      <c r="A141" s="1156"/>
      <c r="B141" s="1218"/>
      <c r="C141" s="1253" t="s">
        <v>2</v>
      </c>
      <c r="D141" s="1406">
        <v>2</v>
      </c>
      <c r="E141" s="1407">
        <v>1.9</v>
      </c>
      <c r="F141" s="1408">
        <v>0.1</v>
      </c>
      <c r="G141" s="1408">
        <v>7.4999999999999997E-2</v>
      </c>
      <c r="H141" s="1409">
        <f>ROUND(D141*E141*F141*G141,4)</f>
        <v>2.8500000000000001E-2</v>
      </c>
      <c r="I141" s="1205" t="s">
        <v>2226</v>
      </c>
      <c r="J141" s="1162"/>
    </row>
    <row r="142" spans="1:10" s="1256" customFormat="1" ht="13.5" hidden="1" thickTop="1">
      <c r="A142" s="1156"/>
      <c r="B142" s="1218"/>
      <c r="C142" s="1253" t="s">
        <v>741</v>
      </c>
      <c r="D142" s="1406">
        <v>1</v>
      </c>
      <c r="E142" s="1407">
        <v>1.05</v>
      </c>
      <c r="F142" s="1408">
        <v>0.1</v>
      </c>
      <c r="G142" s="1408">
        <v>7.4999999999999997E-2</v>
      </c>
      <c r="H142" s="1409">
        <f>ROUND(D142*E142*F142*G142,4)</f>
        <v>7.9000000000000008E-3</v>
      </c>
      <c r="I142" s="1205" t="s">
        <v>2226</v>
      </c>
      <c r="J142" s="1162"/>
    </row>
    <row r="143" spans="1:10" s="1256" customFormat="1" ht="13.5" hidden="1" thickTop="1">
      <c r="A143" s="1156"/>
      <c r="B143" s="1218"/>
      <c r="C143" s="1255"/>
      <c r="D143" s="1406"/>
      <c r="E143" s="1406"/>
      <c r="F143" s="1406"/>
      <c r="G143" s="1406"/>
      <c r="H143" s="1412">
        <f>SUM(H141:H142)</f>
        <v>3.6400000000000002E-2</v>
      </c>
      <c r="I143" s="1205" t="s">
        <v>2226</v>
      </c>
      <c r="J143" s="1162"/>
    </row>
    <row r="144" spans="1:10" s="1256" customFormat="1" ht="13.5" hidden="1" thickTop="1">
      <c r="A144" s="1156"/>
      <c r="B144" s="1218"/>
      <c r="C144" s="1255" t="s">
        <v>320</v>
      </c>
      <c r="D144" s="1406">
        <v>1</v>
      </c>
      <c r="E144" s="1407">
        <v>2.0099999999999998</v>
      </c>
      <c r="F144" s="1408">
        <v>0.94</v>
      </c>
      <c r="G144" s="1408">
        <v>0.03</v>
      </c>
      <c r="H144" s="1409">
        <f>ROUND(D144*E144*F144*G144,4)</f>
        <v>5.67E-2</v>
      </c>
      <c r="I144" s="1205" t="s">
        <v>2226</v>
      </c>
      <c r="J144" s="1162"/>
    </row>
    <row r="145" spans="1:10" s="1256" customFormat="1" ht="13.5" hidden="1" thickTop="1">
      <c r="A145" s="1156"/>
      <c r="B145" s="1218"/>
      <c r="C145" s="1253"/>
      <c r="D145" s="1406"/>
      <c r="E145" s="1406"/>
      <c r="F145" s="1406"/>
      <c r="G145" s="1406"/>
      <c r="H145" s="1412">
        <f>SUM(H144:H144)</f>
        <v>5.67E-2</v>
      </c>
      <c r="I145" s="1205" t="s">
        <v>2226</v>
      </c>
      <c r="J145" s="1162"/>
    </row>
    <row r="146" spans="1:10" s="1256" customFormat="1" ht="13.5" hidden="1" thickTop="1">
      <c r="A146" s="1156"/>
      <c r="B146" s="1218" t="s">
        <v>1375</v>
      </c>
      <c r="C146" s="1253" t="s">
        <v>1374</v>
      </c>
      <c r="E146" s="1212" t="s">
        <v>35</v>
      </c>
      <c r="F146" s="1226">
        <f>H143</f>
        <v>3.6400000000000002E-2</v>
      </c>
      <c r="G146" s="1213">
        <f>'MINI SSR 19-20'!$C$142</f>
        <v>71195</v>
      </c>
      <c r="H146" s="1214">
        <f t="shared" ref="H146:H153" si="10">ROUND(F146*G146,2)</f>
        <v>2591.5</v>
      </c>
      <c r="I146" s="1205" t="s">
        <v>2226</v>
      </c>
      <c r="J146" s="1162"/>
    </row>
    <row r="147" spans="1:10" s="1256" customFormat="1" ht="13.5" hidden="1" thickTop="1">
      <c r="A147" s="1156"/>
      <c r="B147" s="1218" t="s">
        <v>1377</v>
      </c>
      <c r="C147" s="1253" t="s">
        <v>1376</v>
      </c>
      <c r="E147" s="1212" t="s">
        <v>35</v>
      </c>
      <c r="F147" s="1226">
        <f>H145</f>
        <v>5.67E-2</v>
      </c>
      <c r="G147" s="1213">
        <f>'MINI SSR 19-20'!C143</f>
        <v>142391</v>
      </c>
      <c r="H147" s="1214">
        <f t="shared" si="10"/>
        <v>8073.57</v>
      </c>
      <c r="I147" s="1205" t="s">
        <v>2226</v>
      </c>
      <c r="J147" s="1162"/>
    </row>
    <row r="148" spans="1:10" s="1256" customFormat="1" ht="13.5" hidden="1" thickTop="1">
      <c r="A148" s="1156"/>
      <c r="B148" s="1218" t="s">
        <v>1379</v>
      </c>
      <c r="C148" s="1253" t="s">
        <v>1378</v>
      </c>
      <c r="D148" s="1212"/>
      <c r="E148" s="1212" t="s">
        <v>11</v>
      </c>
      <c r="F148" s="1240">
        <v>2</v>
      </c>
      <c r="G148" s="1213">
        <f t="shared" ref="G148:G153" si="11">G17</f>
        <v>231</v>
      </c>
      <c r="H148" s="1214">
        <f t="shared" si="10"/>
        <v>462</v>
      </c>
      <c r="I148" s="1205" t="s">
        <v>2226</v>
      </c>
      <c r="J148" s="1162"/>
    </row>
    <row r="149" spans="1:10" s="1256" customFormat="1" ht="13.5" hidden="1" thickTop="1">
      <c r="A149" s="1156"/>
      <c r="B149" s="1218" t="s">
        <v>1381</v>
      </c>
      <c r="C149" s="1253" t="s">
        <v>1380</v>
      </c>
      <c r="D149" s="1212"/>
      <c r="E149" s="1212" t="s">
        <v>11</v>
      </c>
      <c r="F149" s="1240">
        <v>3</v>
      </c>
      <c r="G149" s="1213">
        <f t="shared" si="11"/>
        <v>246</v>
      </c>
      <c r="H149" s="1214">
        <f t="shared" si="10"/>
        <v>738</v>
      </c>
      <c r="I149" s="1205" t="s">
        <v>2226</v>
      </c>
      <c r="J149" s="1162"/>
    </row>
    <row r="150" spans="1:10" s="1256" customFormat="1" ht="13.5" hidden="1" thickTop="1">
      <c r="A150" s="1156"/>
      <c r="B150" s="1218" t="s">
        <v>1383</v>
      </c>
      <c r="C150" s="1253" t="s">
        <v>1382</v>
      </c>
      <c r="D150" s="1212"/>
      <c r="E150" s="1212" t="s">
        <v>11</v>
      </c>
      <c r="F150" s="1240"/>
      <c r="G150" s="1213">
        <f t="shared" si="11"/>
        <v>103</v>
      </c>
      <c r="H150" s="1214">
        <f t="shared" si="10"/>
        <v>0</v>
      </c>
      <c r="I150" s="1205" t="s">
        <v>2226</v>
      </c>
      <c r="J150" s="1162"/>
    </row>
    <row r="151" spans="1:10" s="1256" customFormat="1" ht="13.5" hidden="1" thickTop="1">
      <c r="A151" s="1156"/>
      <c r="B151" s="1218" t="s">
        <v>1385</v>
      </c>
      <c r="C151" s="1253" t="s">
        <v>1384</v>
      </c>
      <c r="D151" s="1212"/>
      <c r="E151" s="1212" t="s">
        <v>11</v>
      </c>
      <c r="F151" s="1240">
        <v>2</v>
      </c>
      <c r="G151" s="1213">
        <f t="shared" si="11"/>
        <v>1087</v>
      </c>
      <c r="H151" s="1214">
        <f t="shared" si="10"/>
        <v>2174</v>
      </c>
      <c r="I151" s="1205" t="s">
        <v>2226</v>
      </c>
      <c r="J151" s="1162"/>
    </row>
    <row r="152" spans="1:10" ht="13.5" hidden="1" thickTop="1">
      <c r="A152" s="1156"/>
      <c r="B152" s="1218" t="s">
        <v>1387</v>
      </c>
      <c r="C152" s="1253" t="s">
        <v>1386</v>
      </c>
      <c r="D152" s="1212"/>
      <c r="E152" s="1212" t="s">
        <v>11</v>
      </c>
      <c r="F152" s="1240">
        <v>1</v>
      </c>
      <c r="G152" s="1213">
        <f t="shared" si="11"/>
        <v>168</v>
      </c>
      <c r="H152" s="1214">
        <f t="shared" si="10"/>
        <v>168</v>
      </c>
      <c r="I152" s="1205" t="s">
        <v>2226</v>
      </c>
    </row>
    <row r="153" spans="1:10" ht="13.5" hidden="1" thickTop="1">
      <c r="A153" s="1156"/>
      <c r="B153" s="1218" t="s">
        <v>1389</v>
      </c>
      <c r="C153" s="1253" t="s">
        <v>1388</v>
      </c>
      <c r="D153" s="1212"/>
      <c r="E153" s="1212" t="s">
        <v>11</v>
      </c>
      <c r="F153" s="1240">
        <v>6</v>
      </c>
      <c r="G153" s="1213">
        <f t="shared" si="11"/>
        <v>32</v>
      </c>
      <c r="H153" s="1214">
        <f t="shared" si="10"/>
        <v>192</v>
      </c>
      <c r="I153" s="1205" t="s">
        <v>2226</v>
      </c>
    </row>
    <row r="154" spans="1:10" ht="13.5" hidden="1" thickTop="1">
      <c r="A154" s="1156"/>
      <c r="B154" s="1218"/>
      <c r="C154" s="1255" t="s">
        <v>68</v>
      </c>
      <c r="D154" s="1162"/>
      <c r="E154" s="1212"/>
      <c r="F154" s="1213"/>
      <c r="G154" s="1213"/>
      <c r="H154" s="1214"/>
      <c r="I154" s="1205" t="s">
        <v>2226</v>
      </c>
    </row>
    <row r="155" spans="1:10" ht="13.5" hidden="1" thickTop="1">
      <c r="A155" s="1156"/>
      <c r="B155" s="1212" t="s">
        <v>1391</v>
      </c>
      <c r="C155" s="1253" t="s">
        <v>1390</v>
      </c>
      <c r="D155" s="1162"/>
      <c r="E155" s="1212" t="s">
        <v>102</v>
      </c>
      <c r="F155" s="1213">
        <f>ROUND(1.05*2.1,2)</f>
        <v>2.21</v>
      </c>
      <c r="G155" s="1213">
        <f>G24</f>
        <v>1570</v>
      </c>
      <c r="H155" s="1214">
        <f>ROUND(F155*G155*1/3,2)</f>
        <v>1156.57</v>
      </c>
      <c r="I155" s="1205" t="s">
        <v>2226</v>
      </c>
    </row>
    <row r="156" spans="1:10" ht="13.5" hidden="1" thickTop="1">
      <c r="A156" s="1156"/>
      <c r="B156" s="1218"/>
      <c r="C156" s="1255"/>
      <c r="D156" s="1212"/>
      <c r="E156" s="1212"/>
      <c r="F156" s="1212"/>
      <c r="G156" s="1212"/>
      <c r="H156" s="1222">
        <f>SUM(H146:H155)</f>
        <v>15555.64</v>
      </c>
      <c r="I156" s="1205" t="s">
        <v>2226</v>
      </c>
    </row>
    <row r="157" spans="1:10" ht="128.25" hidden="1" thickTop="1">
      <c r="A157" s="1156">
        <v>4</v>
      </c>
      <c r="B157" s="1218"/>
      <c r="C157" s="1253" t="s">
        <v>2213</v>
      </c>
      <c r="D157" s="1212"/>
      <c r="E157" s="1212"/>
      <c r="F157" s="1212"/>
      <c r="G157" s="1212"/>
      <c r="H157" s="1215"/>
      <c r="I157" s="1205" t="s">
        <v>2226</v>
      </c>
    </row>
    <row r="158" spans="1:10" ht="13.5" hidden="1" thickTop="1">
      <c r="A158" s="1156"/>
      <c r="B158" s="1218"/>
      <c r="C158" s="1255" t="s">
        <v>100</v>
      </c>
      <c r="D158" s="1212"/>
      <c r="E158" s="1212"/>
      <c r="F158" s="1212"/>
      <c r="G158" s="1212"/>
      <c r="H158" s="1215"/>
      <c r="I158" s="1205" t="s">
        <v>2226</v>
      </c>
    </row>
    <row r="159" spans="1:10" s="1256" customFormat="1" ht="13.5" hidden="1" thickTop="1">
      <c r="A159" s="1156"/>
      <c r="B159" s="1218"/>
      <c r="C159" s="1255" t="s">
        <v>60</v>
      </c>
      <c r="D159" s="1212"/>
      <c r="E159" s="1212"/>
      <c r="F159" s="1212"/>
      <c r="G159" s="1212"/>
      <c r="H159" s="1215"/>
      <c r="I159" s="1205" t="s">
        <v>2226</v>
      </c>
      <c r="J159" s="1162"/>
    </row>
    <row r="160" spans="1:10" s="1256" customFormat="1" ht="13.5" hidden="1" thickTop="1">
      <c r="A160" s="1156"/>
      <c r="B160" s="1218"/>
      <c r="C160" s="1255" t="s">
        <v>1</v>
      </c>
      <c r="D160" s="1212"/>
      <c r="E160" s="1212"/>
      <c r="F160" s="1212"/>
      <c r="G160" s="1212"/>
      <c r="H160" s="1215"/>
      <c r="I160" s="1205" t="s">
        <v>2226</v>
      </c>
      <c r="J160" s="1162"/>
    </row>
    <row r="161" spans="1:12" s="1256" customFormat="1" ht="13.5" hidden="1" thickTop="1">
      <c r="A161" s="1156"/>
      <c r="B161" s="1218"/>
      <c r="C161" s="1253" t="s">
        <v>2</v>
      </c>
      <c r="D161" s="1406">
        <v>2</v>
      </c>
      <c r="E161" s="1407">
        <v>1.95</v>
      </c>
      <c r="F161" s="1408">
        <v>0.1</v>
      </c>
      <c r="G161" s="1408">
        <v>7.4999999999999997E-2</v>
      </c>
      <c r="H161" s="1409">
        <f>ROUND(D161*E161*F161*G161,4)</f>
        <v>2.93E-2</v>
      </c>
      <c r="I161" s="1205" t="s">
        <v>2226</v>
      </c>
      <c r="J161" s="1162"/>
    </row>
    <row r="162" spans="1:12" s="1256" customFormat="1" ht="13.5" hidden="1" thickTop="1">
      <c r="A162" s="1156"/>
      <c r="B162" s="1218"/>
      <c r="C162" s="1253" t="s">
        <v>741</v>
      </c>
      <c r="D162" s="1406">
        <v>2</v>
      </c>
      <c r="E162" s="1407">
        <v>1.05</v>
      </c>
      <c r="F162" s="1408">
        <v>0.1</v>
      </c>
      <c r="G162" s="1408">
        <v>7.4999999999999997E-2</v>
      </c>
      <c r="H162" s="1409">
        <f>ROUND(D162*E162*F162*G162,4)</f>
        <v>1.5800000000000002E-2</v>
      </c>
      <c r="I162" s="1205" t="s">
        <v>2226</v>
      </c>
      <c r="J162" s="1162"/>
    </row>
    <row r="163" spans="1:12" s="1256" customFormat="1" ht="13.5" hidden="1" thickTop="1">
      <c r="A163" s="1156"/>
      <c r="B163" s="1218"/>
      <c r="C163" s="1255"/>
      <c r="D163" s="1212"/>
      <c r="E163" s="1212"/>
      <c r="F163" s="1212"/>
      <c r="G163" s="1212"/>
      <c r="H163" s="1410">
        <f>SUM(H161:H162)</f>
        <v>4.5100000000000001E-2</v>
      </c>
      <c r="I163" s="1205" t="s">
        <v>2226</v>
      </c>
      <c r="J163" s="1162"/>
    </row>
    <row r="164" spans="1:12" s="1256" customFormat="1" ht="13.5" hidden="1" thickTop="1">
      <c r="A164" s="1156"/>
      <c r="B164" s="1218" t="s">
        <v>1375</v>
      </c>
      <c r="C164" s="1253" t="s">
        <v>1374</v>
      </c>
      <c r="D164" s="1212"/>
      <c r="E164" s="1212" t="s">
        <v>35</v>
      </c>
      <c r="F164" s="1226">
        <f>H163</f>
        <v>4.5100000000000001E-2</v>
      </c>
      <c r="G164" s="1213">
        <f>'MINI SSR 19-20'!$C$142</f>
        <v>71195</v>
      </c>
      <c r="H164" s="1214">
        <f t="shared" ref="H164:H172" si="12">ROUND(F164*G164,2)</f>
        <v>3210.89</v>
      </c>
      <c r="I164" s="1205" t="s">
        <v>2226</v>
      </c>
      <c r="J164" s="1162"/>
    </row>
    <row r="165" spans="1:12" s="1256" customFormat="1" ht="13.5" hidden="1" thickTop="1">
      <c r="A165" s="1156"/>
      <c r="B165" s="1212" t="s">
        <v>2099</v>
      </c>
      <c r="C165" s="1253" t="s">
        <v>2100</v>
      </c>
      <c r="D165" s="1212"/>
      <c r="E165" s="1212" t="s">
        <v>102</v>
      </c>
      <c r="F165" s="1226">
        <f>ROUND(0.74*1.995,2)</f>
        <v>1.48</v>
      </c>
      <c r="G165" s="1213">
        <f>'MINI SSR 19-20'!$C$148</f>
        <v>1790</v>
      </c>
      <c r="H165" s="1214">
        <f t="shared" si="12"/>
        <v>2649.2</v>
      </c>
      <c r="I165" s="1205" t="s">
        <v>2226</v>
      </c>
      <c r="J165" s="1162"/>
      <c r="K165" s="1256">
        <f>(1*0.775)/1.05</f>
        <v>0.73809523809523814</v>
      </c>
    </row>
    <row r="166" spans="1:12" s="1256" customFormat="1" ht="13.5" hidden="1" thickTop="1">
      <c r="A166" s="1156"/>
      <c r="B166" s="1212" t="s">
        <v>2101</v>
      </c>
      <c r="C166" s="1253" t="s">
        <v>2105</v>
      </c>
      <c r="D166" s="1212"/>
      <c r="E166" s="1212" t="s">
        <v>102</v>
      </c>
      <c r="F166" s="1226">
        <f>F165</f>
        <v>1.48</v>
      </c>
      <c r="G166" s="1213">
        <f>'MINI SSR 19-20'!$C$151</f>
        <v>754</v>
      </c>
      <c r="H166" s="1214">
        <f t="shared" si="12"/>
        <v>1115.92</v>
      </c>
      <c r="I166" s="1205" t="s">
        <v>2226</v>
      </c>
      <c r="J166" s="1162"/>
    </row>
    <row r="167" spans="1:12" ht="13.5" hidden="1" thickTop="1">
      <c r="A167" s="1156"/>
      <c r="B167" s="1212" t="s">
        <v>1396</v>
      </c>
      <c r="C167" s="1253" t="s">
        <v>1395</v>
      </c>
      <c r="D167" s="1212"/>
      <c r="E167" s="1212" t="s">
        <v>11</v>
      </c>
      <c r="F167" s="1240">
        <v>2</v>
      </c>
      <c r="G167" s="1213">
        <f>'MINI SSR 19-20'!$G$143</f>
        <v>84</v>
      </c>
      <c r="H167" s="1214">
        <f t="shared" si="12"/>
        <v>168</v>
      </c>
      <c r="I167" s="1205" t="s">
        <v>2226</v>
      </c>
    </row>
    <row r="168" spans="1:12" ht="13.5" hidden="1" thickTop="1">
      <c r="A168" s="1156"/>
      <c r="B168" s="1212" t="s">
        <v>1398</v>
      </c>
      <c r="C168" s="1253" t="s">
        <v>1397</v>
      </c>
      <c r="D168" s="1212"/>
      <c r="E168" s="1212" t="s">
        <v>11</v>
      </c>
      <c r="F168" s="1240">
        <v>3</v>
      </c>
      <c r="G168" s="1213">
        <f>'MINI SSR 19-20'!$G$146</f>
        <v>117</v>
      </c>
      <c r="H168" s="1214">
        <f t="shared" si="12"/>
        <v>351</v>
      </c>
      <c r="I168" s="1205" t="s">
        <v>2226</v>
      </c>
    </row>
    <row r="169" spans="1:12" ht="13.5" hidden="1" thickTop="1">
      <c r="A169" s="1156"/>
      <c r="B169" s="1212" t="s">
        <v>1383</v>
      </c>
      <c r="C169" s="1253" t="s">
        <v>1382</v>
      </c>
      <c r="D169" s="1212"/>
      <c r="E169" s="1212" t="s">
        <v>11</v>
      </c>
      <c r="F169" s="1240">
        <v>2</v>
      </c>
      <c r="G169" s="1213">
        <f>'MINI SSR 19-20'!$G$144</f>
        <v>103</v>
      </c>
      <c r="H169" s="1214">
        <f t="shared" si="12"/>
        <v>206</v>
      </c>
      <c r="I169" s="1205" t="s">
        <v>2226</v>
      </c>
    </row>
    <row r="170" spans="1:12" ht="13.5" hidden="1" thickTop="1">
      <c r="A170" s="1156"/>
      <c r="B170" s="1212" t="s">
        <v>1400</v>
      </c>
      <c r="C170" s="1253" t="s">
        <v>1399</v>
      </c>
      <c r="D170" s="1212"/>
      <c r="E170" s="1212" t="s">
        <v>11</v>
      </c>
      <c r="F170" s="1240">
        <v>2</v>
      </c>
      <c r="G170" s="1213">
        <f>'MINI SSR 19-20'!$G$149</f>
        <v>308</v>
      </c>
      <c r="H170" s="1214">
        <f t="shared" si="12"/>
        <v>616</v>
      </c>
      <c r="I170" s="1205" t="s">
        <v>2226</v>
      </c>
    </row>
    <row r="171" spans="1:12" ht="13.5" hidden="1" thickTop="1">
      <c r="A171" s="1156"/>
      <c r="B171" s="1212" t="s">
        <v>1402</v>
      </c>
      <c r="C171" s="1253" t="s">
        <v>1401</v>
      </c>
      <c r="D171" s="1212"/>
      <c r="E171" s="1212" t="s">
        <v>11</v>
      </c>
      <c r="F171" s="1240">
        <v>1</v>
      </c>
      <c r="G171" s="1213">
        <f>'MINI SSR 19-20'!$G$155</f>
        <v>53</v>
      </c>
      <c r="H171" s="1214">
        <f t="shared" si="12"/>
        <v>53</v>
      </c>
      <c r="I171" s="1205" t="s">
        <v>2226</v>
      </c>
    </row>
    <row r="172" spans="1:12" ht="13.5" hidden="1" thickTop="1">
      <c r="A172" s="1156"/>
      <c r="B172" s="1212" t="s">
        <v>1389</v>
      </c>
      <c r="C172" s="1253" t="s">
        <v>1388</v>
      </c>
      <c r="D172" s="1212"/>
      <c r="E172" s="1212" t="s">
        <v>11</v>
      </c>
      <c r="F172" s="1240">
        <v>6</v>
      </c>
      <c r="G172" s="1213">
        <f>'MINI SSR 19-20'!$G$152</f>
        <v>32</v>
      </c>
      <c r="H172" s="1214">
        <f t="shared" si="12"/>
        <v>192</v>
      </c>
      <c r="I172" s="1205" t="s">
        <v>2226</v>
      </c>
    </row>
    <row r="173" spans="1:12" ht="13.5" hidden="1" thickTop="1">
      <c r="A173" s="1212"/>
      <c r="B173" s="1212"/>
      <c r="C173" s="1255" t="s">
        <v>68</v>
      </c>
      <c r="D173" s="1212"/>
      <c r="E173" s="1212"/>
      <c r="F173" s="1213"/>
      <c r="G173" s="1217"/>
      <c r="H173" s="1214"/>
      <c r="I173" s="1205" t="s">
        <v>2226</v>
      </c>
    </row>
    <row r="174" spans="1:12" ht="26.25" hidden="1" thickTop="1">
      <c r="A174" s="1212"/>
      <c r="B174" s="1212" t="s">
        <v>1391</v>
      </c>
      <c r="C174" s="1253" t="s">
        <v>1403</v>
      </c>
      <c r="D174" s="1212"/>
      <c r="E174" s="1212" t="s">
        <v>102</v>
      </c>
      <c r="F174" s="1213">
        <f>ROUND(1.05*2.1,2)</f>
        <v>2.21</v>
      </c>
      <c r="G174" s="1213">
        <f>'MINI SSR 19-20'!$C$150</f>
        <v>1452</v>
      </c>
      <c r="H174" s="1214">
        <f>ROUND(F174*G174*1/3,2)</f>
        <v>1069.6400000000001</v>
      </c>
      <c r="I174" s="1205" t="s">
        <v>2226</v>
      </c>
      <c r="L174" s="1260"/>
    </row>
    <row r="175" spans="1:12" ht="14.25" hidden="1" thickTop="1" thickBot="1">
      <c r="A175" s="1212"/>
      <c r="B175" s="1212"/>
      <c r="C175" s="1255"/>
      <c r="D175" s="1212"/>
      <c r="E175" s="1212"/>
      <c r="F175" s="1212"/>
      <c r="G175" s="1212"/>
      <c r="H175" s="1222">
        <f>SUM(H164:H174)</f>
        <v>9631.65</v>
      </c>
      <c r="I175" s="1205" t="s">
        <v>2226</v>
      </c>
      <c r="L175" s="1411">
        <f>SUM(L174)</f>
        <v>0</v>
      </c>
    </row>
    <row r="176" spans="1:12" ht="128.25" hidden="1" thickTop="1">
      <c r="A176" s="1156">
        <v>5</v>
      </c>
      <c r="B176" s="1218"/>
      <c r="C176" s="1253" t="s">
        <v>2145</v>
      </c>
      <c r="D176" s="1212"/>
      <c r="E176" s="1212"/>
      <c r="F176" s="1212"/>
      <c r="G176" s="1212"/>
      <c r="H176" s="1215"/>
      <c r="I176" s="1205" t="s">
        <v>2226</v>
      </c>
    </row>
    <row r="177" spans="1:10" ht="13.5" hidden="1" thickTop="1">
      <c r="A177" s="1156"/>
      <c r="B177" s="1218"/>
      <c r="C177" s="1255" t="s">
        <v>100</v>
      </c>
      <c r="D177" s="1212"/>
      <c r="E177" s="1212"/>
      <c r="F177" s="1212"/>
      <c r="G177" s="1212"/>
      <c r="H177" s="1215"/>
      <c r="I177" s="1205" t="s">
        <v>2226</v>
      </c>
    </row>
    <row r="178" spans="1:10" s="1256" customFormat="1" ht="13.5" hidden="1" thickTop="1">
      <c r="A178" s="1156"/>
      <c r="B178" s="1218"/>
      <c r="C178" s="1255" t="s">
        <v>60</v>
      </c>
      <c r="D178" s="1212"/>
      <c r="E178" s="1212"/>
      <c r="F178" s="1212"/>
      <c r="G178" s="1212"/>
      <c r="H178" s="1215"/>
      <c r="I178" s="1205" t="s">
        <v>2226</v>
      </c>
      <c r="J178" s="1162"/>
    </row>
    <row r="179" spans="1:10" s="1256" customFormat="1" ht="13.5" hidden="1" thickTop="1">
      <c r="A179" s="1156"/>
      <c r="B179" s="1218"/>
      <c r="C179" s="1255" t="s">
        <v>1</v>
      </c>
      <c r="D179" s="1212"/>
      <c r="E179" s="1212"/>
      <c r="F179" s="1212"/>
      <c r="G179" s="1212"/>
      <c r="H179" s="1215"/>
      <c r="I179" s="1205" t="s">
        <v>2226</v>
      </c>
      <c r="J179" s="1162"/>
    </row>
    <row r="180" spans="1:10" s="1256" customFormat="1" ht="13.5" hidden="1" thickTop="1">
      <c r="A180" s="1156"/>
      <c r="B180" s="1218"/>
      <c r="C180" s="1253" t="s">
        <v>2</v>
      </c>
      <c r="D180" s="1406">
        <v>2</v>
      </c>
      <c r="E180" s="1407">
        <v>1.95</v>
      </c>
      <c r="F180" s="1408">
        <v>0.1</v>
      </c>
      <c r="G180" s="1408">
        <v>7.4999999999999997E-2</v>
      </c>
      <c r="H180" s="1409">
        <f>ROUND(D180*E180*F180*G180,4)</f>
        <v>2.93E-2</v>
      </c>
      <c r="I180" s="1205" t="s">
        <v>2226</v>
      </c>
      <c r="J180" s="1162"/>
    </row>
    <row r="181" spans="1:10" s="1256" customFormat="1" ht="13.5" hidden="1" thickTop="1">
      <c r="A181" s="1156"/>
      <c r="B181" s="1218"/>
      <c r="C181" s="1253" t="s">
        <v>741</v>
      </c>
      <c r="D181" s="1406">
        <v>2</v>
      </c>
      <c r="E181" s="1407">
        <v>0.9</v>
      </c>
      <c r="F181" s="1408">
        <v>0.1</v>
      </c>
      <c r="G181" s="1408">
        <v>7.4999999999999997E-2</v>
      </c>
      <c r="H181" s="1409">
        <f>ROUND(D181*E181*F181*G181,4)</f>
        <v>1.35E-2</v>
      </c>
      <c r="I181" s="1205" t="s">
        <v>2226</v>
      </c>
      <c r="J181" s="1162"/>
    </row>
    <row r="182" spans="1:10" s="1256" customFormat="1" ht="13.5" hidden="1" thickTop="1">
      <c r="A182" s="1156"/>
      <c r="B182" s="1218"/>
      <c r="C182" s="1255"/>
      <c r="D182" s="1212"/>
      <c r="E182" s="1212"/>
      <c r="F182" s="1212"/>
      <c r="G182" s="1212"/>
      <c r="H182" s="1410">
        <f>SUM(H180:H181)</f>
        <v>4.2799999999999998E-2</v>
      </c>
      <c r="I182" s="1205" t="s">
        <v>2226</v>
      </c>
      <c r="J182" s="1162"/>
    </row>
    <row r="183" spans="1:10" s="1256" customFormat="1" ht="13.5" hidden="1" thickTop="1">
      <c r="A183" s="1156"/>
      <c r="B183" s="1218" t="s">
        <v>1375</v>
      </c>
      <c r="C183" s="1253" t="s">
        <v>1374</v>
      </c>
      <c r="D183" s="1212"/>
      <c r="E183" s="1212" t="s">
        <v>35</v>
      </c>
      <c r="F183" s="1226">
        <f>H182</f>
        <v>4.2799999999999998E-2</v>
      </c>
      <c r="G183" s="1213">
        <f>'MINI SSR 19-20'!$C$142</f>
        <v>71195</v>
      </c>
      <c r="H183" s="1214">
        <f t="shared" ref="H183:H191" si="13">ROUND(F183*G183,2)</f>
        <v>3047.15</v>
      </c>
      <c r="I183" s="1205" t="s">
        <v>2226</v>
      </c>
      <c r="J183" s="1162"/>
    </row>
    <row r="184" spans="1:10" s="1256" customFormat="1" ht="13.5" hidden="1" thickTop="1">
      <c r="A184" s="1156"/>
      <c r="B184" s="1212" t="s">
        <v>2099</v>
      </c>
      <c r="C184" s="1253" t="s">
        <v>2100</v>
      </c>
      <c r="D184" s="1212"/>
      <c r="E184" s="1212" t="s">
        <v>102</v>
      </c>
      <c r="F184" s="1226">
        <f>ROUND(0.66*1.995,2)</f>
        <v>1.32</v>
      </c>
      <c r="G184" s="1213">
        <f>'MINI SSR 19-20'!$C$148</f>
        <v>1790</v>
      </c>
      <c r="H184" s="1214">
        <f t="shared" si="13"/>
        <v>2362.8000000000002</v>
      </c>
      <c r="I184" s="1205" t="s">
        <v>2226</v>
      </c>
      <c r="J184" s="1162"/>
    </row>
    <row r="185" spans="1:10" s="1256" customFormat="1" ht="13.5" hidden="1" thickTop="1">
      <c r="A185" s="1156"/>
      <c r="B185" s="1212" t="s">
        <v>2101</v>
      </c>
      <c r="C185" s="1253" t="s">
        <v>2105</v>
      </c>
      <c r="D185" s="1212"/>
      <c r="E185" s="1212" t="s">
        <v>102</v>
      </c>
      <c r="F185" s="1226">
        <f>F184</f>
        <v>1.32</v>
      </c>
      <c r="G185" s="1213">
        <f>'MINI SSR 19-20'!$C$151</f>
        <v>754</v>
      </c>
      <c r="H185" s="1214">
        <f t="shared" si="13"/>
        <v>995.28</v>
      </c>
      <c r="I185" s="1205" t="s">
        <v>2226</v>
      </c>
      <c r="J185" s="1162"/>
    </row>
    <row r="186" spans="1:10" ht="13.5" hidden="1" thickTop="1">
      <c r="A186" s="1156"/>
      <c r="B186" s="1212" t="s">
        <v>1396</v>
      </c>
      <c r="C186" s="1253" t="s">
        <v>1395</v>
      </c>
      <c r="D186" s="1212"/>
      <c r="E186" s="1212" t="s">
        <v>11</v>
      </c>
      <c r="F186" s="1240">
        <v>2</v>
      </c>
      <c r="G186" s="1213">
        <f>'MINI SSR 19-20'!$G$143</f>
        <v>84</v>
      </c>
      <c r="H186" s="1214">
        <f t="shared" si="13"/>
        <v>168</v>
      </c>
      <c r="I186" s="1205" t="s">
        <v>2226</v>
      </c>
    </row>
    <row r="187" spans="1:10" ht="13.5" hidden="1" thickTop="1">
      <c r="A187" s="1156"/>
      <c r="B187" s="1212" t="s">
        <v>1398</v>
      </c>
      <c r="C187" s="1253" t="s">
        <v>1397</v>
      </c>
      <c r="D187" s="1212"/>
      <c r="E187" s="1212" t="s">
        <v>11</v>
      </c>
      <c r="F187" s="1240">
        <v>3</v>
      </c>
      <c r="G187" s="1213">
        <f>'MINI SSR 19-20'!$G$146</f>
        <v>117</v>
      </c>
      <c r="H187" s="1214">
        <f t="shared" si="13"/>
        <v>351</v>
      </c>
      <c r="I187" s="1205" t="s">
        <v>2226</v>
      </c>
    </row>
    <row r="188" spans="1:10" ht="13.5" hidden="1" thickTop="1">
      <c r="A188" s="1156"/>
      <c r="B188" s="1212" t="s">
        <v>1383</v>
      </c>
      <c r="C188" s="1253" t="s">
        <v>1382</v>
      </c>
      <c r="D188" s="1212"/>
      <c r="E188" s="1212" t="s">
        <v>11</v>
      </c>
      <c r="F188" s="1240">
        <v>2</v>
      </c>
      <c r="G188" s="1213">
        <f>'MINI SSR 19-20'!$G$144</f>
        <v>103</v>
      </c>
      <c r="H188" s="1214">
        <f t="shared" si="13"/>
        <v>206</v>
      </c>
      <c r="I188" s="1205" t="s">
        <v>2226</v>
      </c>
    </row>
    <row r="189" spans="1:10" ht="13.5" hidden="1" thickTop="1">
      <c r="A189" s="1156"/>
      <c r="B189" s="1212" t="s">
        <v>1400</v>
      </c>
      <c r="C189" s="1253" t="s">
        <v>1399</v>
      </c>
      <c r="D189" s="1212"/>
      <c r="E189" s="1212" t="s">
        <v>11</v>
      </c>
      <c r="F189" s="1240">
        <v>2</v>
      </c>
      <c r="G189" s="1213">
        <f>'MINI SSR 19-20'!$G$149</f>
        <v>308</v>
      </c>
      <c r="H189" s="1214">
        <f t="shared" si="13"/>
        <v>616</v>
      </c>
      <c r="I189" s="1205" t="s">
        <v>2226</v>
      </c>
    </row>
    <row r="190" spans="1:10" ht="13.5" hidden="1" thickTop="1">
      <c r="A190" s="1156"/>
      <c r="B190" s="1212" t="s">
        <v>1402</v>
      </c>
      <c r="C190" s="1253" t="s">
        <v>1401</v>
      </c>
      <c r="D190" s="1212"/>
      <c r="E190" s="1212" t="s">
        <v>11</v>
      </c>
      <c r="F190" s="1240">
        <v>1</v>
      </c>
      <c r="G190" s="1213">
        <f>'MINI SSR 19-20'!$G$155</f>
        <v>53</v>
      </c>
      <c r="H190" s="1214">
        <f t="shared" si="13"/>
        <v>53</v>
      </c>
      <c r="I190" s="1205" t="s">
        <v>2226</v>
      </c>
    </row>
    <row r="191" spans="1:10" ht="13.5" hidden="1" thickTop="1">
      <c r="A191" s="1156"/>
      <c r="B191" s="1212" t="s">
        <v>1389</v>
      </c>
      <c r="C191" s="1253" t="s">
        <v>1388</v>
      </c>
      <c r="D191" s="1212"/>
      <c r="E191" s="1212" t="s">
        <v>11</v>
      </c>
      <c r="F191" s="1240">
        <v>6</v>
      </c>
      <c r="G191" s="1213">
        <f>'MINI SSR 19-20'!$G$152</f>
        <v>32</v>
      </c>
      <c r="H191" s="1214">
        <f t="shared" si="13"/>
        <v>192</v>
      </c>
      <c r="I191" s="1205" t="s">
        <v>2226</v>
      </c>
    </row>
    <row r="192" spans="1:10" ht="13.5" hidden="1" thickTop="1">
      <c r="A192" s="1212"/>
      <c r="B192" s="1212"/>
      <c r="C192" s="1255" t="s">
        <v>68</v>
      </c>
      <c r="D192" s="1212"/>
      <c r="E192" s="1212"/>
      <c r="F192" s="1213"/>
      <c r="G192" s="1217"/>
      <c r="H192" s="1214"/>
      <c r="I192" s="1205" t="s">
        <v>2226</v>
      </c>
    </row>
    <row r="193" spans="1:12" ht="26.25" hidden="1" thickTop="1">
      <c r="A193" s="1212"/>
      <c r="B193" s="1212" t="s">
        <v>1391</v>
      </c>
      <c r="C193" s="1253" t="s">
        <v>1403</v>
      </c>
      <c r="D193" s="1212"/>
      <c r="E193" s="1212" t="s">
        <v>102</v>
      </c>
      <c r="F193" s="1213">
        <f>ROUND(0.9*2.1,2)</f>
        <v>1.89</v>
      </c>
      <c r="G193" s="1213">
        <f>'MINI SSR 19-20'!$C$150</f>
        <v>1452</v>
      </c>
      <c r="H193" s="1214">
        <f>ROUND(F193*G193*1/3,2)</f>
        <v>914.76</v>
      </c>
      <c r="I193" s="1205" t="s">
        <v>2226</v>
      </c>
      <c r="L193" s="1260"/>
    </row>
    <row r="194" spans="1:12" ht="14.25" hidden="1" thickTop="1" thickBot="1">
      <c r="A194" s="1212"/>
      <c r="B194" s="1212"/>
      <c r="C194" s="1255"/>
      <c r="D194" s="1212"/>
      <c r="E194" s="1212"/>
      <c r="F194" s="1212"/>
      <c r="G194" s="1212"/>
      <c r="H194" s="1222">
        <f>SUM(H183:H193)</f>
        <v>8905.99</v>
      </c>
      <c r="I194" s="1205" t="s">
        <v>2226</v>
      </c>
      <c r="L194" s="1411">
        <f>SUM(L193)</f>
        <v>0</v>
      </c>
    </row>
    <row r="195" spans="1:12" ht="51.75" hidden="1" thickTop="1">
      <c r="A195" s="1156">
        <v>7</v>
      </c>
      <c r="B195" s="1218"/>
      <c r="C195" s="1253" t="s">
        <v>1200</v>
      </c>
      <c r="D195" s="1212"/>
      <c r="E195" s="1212"/>
      <c r="F195" s="1212"/>
      <c r="G195" s="1212"/>
      <c r="H195" s="1215"/>
      <c r="I195" s="1205" t="s">
        <v>2226</v>
      </c>
    </row>
    <row r="196" spans="1:12" s="1256" customFormat="1" ht="13.5" hidden="1" thickTop="1">
      <c r="A196" s="1156"/>
      <c r="B196" s="1218"/>
      <c r="C196" s="1253" t="s">
        <v>695</v>
      </c>
      <c r="E196" s="1212" t="s">
        <v>35</v>
      </c>
      <c r="F196" s="1223">
        <v>8.0000000000000002E-3</v>
      </c>
      <c r="G196" s="1213">
        <f>'MINI SSR 19-20'!C144</f>
        <v>46217</v>
      </c>
      <c r="H196" s="1214">
        <f>ROUND(F196*G196,2)</f>
        <v>369.74</v>
      </c>
      <c r="I196" s="1205" t="s">
        <v>2226</v>
      </c>
      <c r="J196" s="1162"/>
    </row>
    <row r="197" spans="1:12" s="1256" customFormat="1" ht="13.5" hidden="1" thickTop="1">
      <c r="A197" s="1156"/>
      <c r="B197" s="1218"/>
      <c r="C197" s="1253" t="s">
        <v>1199</v>
      </c>
      <c r="E197" s="1212" t="s">
        <v>4</v>
      </c>
      <c r="F197" s="1223">
        <v>0.5</v>
      </c>
      <c r="G197" s="1213">
        <f>'lead 19-20'!L9/1000</f>
        <v>48.97</v>
      </c>
      <c r="H197" s="1214">
        <f>ROUND(F197*G197,2)</f>
        <v>24.49</v>
      </c>
      <c r="I197" s="1205" t="s">
        <v>2226</v>
      </c>
      <c r="J197" s="1162"/>
    </row>
    <row r="198" spans="1:12" s="1256" customFormat="1" ht="13.5" hidden="1" thickTop="1">
      <c r="A198" s="1156"/>
      <c r="B198" s="1218" t="s">
        <v>1407</v>
      </c>
      <c r="C198" s="1253" t="s">
        <v>1406</v>
      </c>
      <c r="E198" s="1212" t="s">
        <v>102</v>
      </c>
      <c r="F198" s="1223">
        <v>0.27</v>
      </c>
      <c r="G198" s="1213">
        <f>'MINI SSR 19-20'!G153</f>
        <v>373</v>
      </c>
      <c r="H198" s="1214">
        <f>ROUND(F198*G198,2)</f>
        <v>100.71</v>
      </c>
      <c r="I198" s="1205" t="s">
        <v>2226</v>
      </c>
      <c r="J198" s="1162"/>
    </row>
    <row r="199" spans="1:12" ht="13.5" hidden="1" thickTop="1">
      <c r="A199" s="1212"/>
      <c r="B199" s="1212"/>
      <c r="C199" s="1253"/>
      <c r="D199" s="1212"/>
      <c r="E199" s="1213"/>
      <c r="F199" s="1213"/>
      <c r="G199" s="1213"/>
      <c r="H199" s="1214"/>
      <c r="I199" s="1205" t="s">
        <v>2226</v>
      </c>
      <c r="L199" s="1260"/>
    </row>
    <row r="200" spans="1:12" ht="14.25" hidden="1" thickTop="1" thickBot="1">
      <c r="A200" s="1212"/>
      <c r="B200" s="1212"/>
      <c r="C200" s="1255" t="s">
        <v>1405</v>
      </c>
      <c r="D200" s="1212"/>
      <c r="E200" s="1212"/>
      <c r="F200" s="1212"/>
      <c r="G200" s="1212"/>
      <c r="H200" s="1222">
        <f>SUM(H196:H199)</f>
        <v>494.94</v>
      </c>
      <c r="I200" s="1205" t="s">
        <v>2226</v>
      </c>
      <c r="L200" s="1411">
        <f>SUM(L199)</f>
        <v>0</v>
      </c>
    </row>
    <row r="201" spans="1:12" s="1575" customFormat="1" ht="13.5" thickTop="1">
      <c r="A201" s="1570">
        <v>2</v>
      </c>
      <c r="B201" s="1664"/>
      <c r="C201" s="1690" t="s">
        <v>932</v>
      </c>
      <c r="D201" s="1656"/>
      <c r="E201" s="1656"/>
      <c r="F201" s="1656"/>
      <c r="G201" s="1656"/>
      <c r="H201" s="1661"/>
      <c r="I201" s="1658" t="s">
        <v>2226</v>
      </c>
    </row>
    <row r="202" spans="1:12" s="1575" customFormat="1">
      <c r="A202" s="1656"/>
      <c r="B202" s="1656" t="s">
        <v>1408</v>
      </c>
      <c r="C202" s="1690" t="s">
        <v>379</v>
      </c>
      <c r="D202" s="1656" t="s">
        <v>102</v>
      </c>
      <c r="E202" s="1659">
        <v>1</v>
      </c>
      <c r="F202" s="1659">
        <f>'MINI SSR 19-20'!G154</f>
        <v>340</v>
      </c>
      <c r="G202" s="1659"/>
      <c r="H202" s="1660">
        <f>ROUND(E202*F202,2)</f>
        <v>340</v>
      </c>
      <c r="I202" s="1658" t="s">
        <v>2226</v>
      </c>
    </row>
    <row r="203" spans="1:12" s="1575" customFormat="1">
      <c r="A203" s="1656"/>
      <c r="B203" s="1656"/>
      <c r="C203" s="1690" t="s">
        <v>929</v>
      </c>
      <c r="D203" s="1570" t="s">
        <v>108</v>
      </c>
      <c r="E203" s="1608">
        <v>0.06</v>
      </c>
      <c r="F203" s="1608">
        <f>'MINI SSR 19-20'!H3</f>
        <v>500</v>
      </c>
      <c r="G203" s="1608"/>
      <c r="H203" s="1609">
        <f>ROUND(E203*F203,2)</f>
        <v>30</v>
      </c>
      <c r="I203" s="1658" t="s">
        <v>2226</v>
      </c>
    </row>
    <row r="204" spans="1:12" s="1575" customFormat="1">
      <c r="A204" s="1656"/>
      <c r="B204" s="1656"/>
      <c r="C204" s="1690" t="s">
        <v>930</v>
      </c>
      <c r="D204" s="1570" t="s">
        <v>108</v>
      </c>
      <c r="E204" s="1608">
        <v>0.06</v>
      </c>
      <c r="F204" s="1608">
        <f>'MINI SSR 19-20'!H4</f>
        <v>460</v>
      </c>
      <c r="G204" s="1608"/>
      <c r="H204" s="1609">
        <f>ROUND(E204*F204,2)</f>
        <v>27.6</v>
      </c>
      <c r="I204" s="1658" t="s">
        <v>2226</v>
      </c>
    </row>
    <row r="205" spans="1:12" s="1575" customFormat="1">
      <c r="A205" s="1656"/>
      <c r="B205" s="1656"/>
      <c r="C205" s="1778" t="s">
        <v>931</v>
      </c>
      <c r="D205" s="1570" t="s">
        <v>108</v>
      </c>
      <c r="E205" s="1589">
        <v>0.27500000000000002</v>
      </c>
      <c r="F205" s="1608">
        <f>'MINI SSR 19-20'!H5</f>
        <v>420</v>
      </c>
      <c r="G205" s="1608"/>
      <c r="H205" s="1609">
        <f>ROUND(E205*F205,2)</f>
        <v>115.5</v>
      </c>
      <c r="I205" s="1658" t="s">
        <v>2226</v>
      </c>
    </row>
    <row r="206" spans="1:12" s="1575" customFormat="1">
      <c r="A206" s="1656"/>
      <c r="B206" s="1656"/>
      <c r="C206" s="1610" t="s">
        <v>1404</v>
      </c>
      <c r="D206" s="1656"/>
      <c r="E206" s="1656"/>
      <c r="F206" s="1656"/>
      <c r="G206" s="1656"/>
      <c r="H206" s="1667">
        <f>SUM(H202:H205)</f>
        <v>513.1</v>
      </c>
      <c r="I206" s="1658" t="s">
        <v>2226</v>
      </c>
    </row>
    <row r="207" spans="1:12" ht="255" hidden="1">
      <c r="A207" s="1156">
        <v>5</v>
      </c>
      <c r="B207" s="1218"/>
      <c r="C207" s="1253" t="s">
        <v>910</v>
      </c>
      <c r="D207" s="1212"/>
      <c r="E207" s="1212"/>
      <c r="F207" s="1212"/>
      <c r="G207" s="1212"/>
      <c r="H207" s="1215"/>
      <c r="I207" s="1205" t="s">
        <v>2226</v>
      </c>
    </row>
    <row r="208" spans="1:12" hidden="1">
      <c r="A208" s="1212"/>
      <c r="B208" s="1212"/>
      <c r="C208" s="1253" t="s">
        <v>911</v>
      </c>
      <c r="D208" s="1212"/>
      <c r="E208" s="1223"/>
      <c r="F208" s="1213"/>
      <c r="G208" s="1213"/>
      <c r="H208" s="1214"/>
      <c r="I208" s="1205" t="s">
        <v>2226</v>
      </c>
    </row>
    <row r="209" spans="1:12" hidden="1">
      <c r="A209" s="1212"/>
      <c r="B209" s="1212" t="s">
        <v>1410</v>
      </c>
      <c r="C209" s="1253" t="s">
        <v>1409</v>
      </c>
      <c r="D209" s="1212"/>
      <c r="E209" s="1212" t="s">
        <v>277</v>
      </c>
      <c r="F209" s="1223">
        <v>6.7</v>
      </c>
      <c r="G209" s="1213">
        <f>'MINI SSR 19-20'!C147</f>
        <v>805</v>
      </c>
      <c r="H209" s="1214">
        <f t="shared" ref="H209:H216" si="14">ROUND(F209*G209,2)</f>
        <v>5393.5</v>
      </c>
      <c r="I209" s="1205" t="s">
        <v>2226</v>
      </c>
    </row>
    <row r="210" spans="1:12" hidden="1">
      <c r="A210" s="1212"/>
      <c r="B210" s="1212" t="s">
        <v>1412</v>
      </c>
      <c r="C210" s="1253" t="s">
        <v>1411</v>
      </c>
      <c r="D210" s="1212"/>
      <c r="E210" s="1212" t="s">
        <v>102</v>
      </c>
      <c r="F210" s="1223">
        <v>0.86899999999999999</v>
      </c>
      <c r="G210" s="1213">
        <f>'MINI SSR 19-20'!C151</f>
        <v>754</v>
      </c>
      <c r="H210" s="1214">
        <f t="shared" si="14"/>
        <v>655.23</v>
      </c>
      <c r="I210" s="1205" t="s">
        <v>2226</v>
      </c>
    </row>
    <row r="211" spans="1:12" hidden="1">
      <c r="A211" s="1212"/>
      <c r="B211" s="1212" t="s">
        <v>1393</v>
      </c>
      <c r="C211" s="1253" t="s">
        <v>379</v>
      </c>
      <c r="D211" s="1212"/>
      <c r="E211" s="1212" t="s">
        <v>102</v>
      </c>
      <c r="F211" s="1223">
        <f>ROUND(1.1*2.03,2)</f>
        <v>2.23</v>
      </c>
      <c r="G211" s="1213">
        <f>'MINI SSR 19-20'!C146</f>
        <v>3030</v>
      </c>
      <c r="H211" s="1214">
        <f t="shared" si="14"/>
        <v>6756.9</v>
      </c>
      <c r="I211" s="1205" t="s">
        <v>2226</v>
      </c>
    </row>
    <row r="212" spans="1:12" hidden="1">
      <c r="A212" s="1212"/>
      <c r="B212" s="1212" t="s">
        <v>1394</v>
      </c>
      <c r="C212" s="1253" t="s">
        <v>1413</v>
      </c>
      <c r="D212" s="1212"/>
      <c r="E212" s="1212" t="s">
        <v>102</v>
      </c>
      <c r="F212" s="1223">
        <v>1.6870000000000001</v>
      </c>
      <c r="G212" s="1213">
        <f>'MINI SSR 19-20'!C151</f>
        <v>754</v>
      </c>
      <c r="H212" s="1214">
        <f t="shared" si="14"/>
        <v>1272</v>
      </c>
      <c r="I212" s="1205" t="s">
        <v>2226</v>
      </c>
      <c r="L212" s="1260"/>
    </row>
    <row r="213" spans="1:12" hidden="1">
      <c r="A213" s="1156"/>
      <c r="B213" s="1218" t="s">
        <v>1415</v>
      </c>
      <c r="C213" s="1253" t="s">
        <v>1414</v>
      </c>
      <c r="D213" s="1212"/>
      <c r="E213" s="1212" t="s">
        <v>11</v>
      </c>
      <c r="F213" s="1240">
        <v>2</v>
      </c>
      <c r="G213" s="1213">
        <f>'MINI SSR 19-20'!G144</f>
        <v>103</v>
      </c>
      <c r="H213" s="1214">
        <f t="shared" si="14"/>
        <v>206</v>
      </c>
      <c r="I213" s="1205" t="s">
        <v>2226</v>
      </c>
    </row>
    <row r="214" spans="1:12" hidden="1">
      <c r="A214" s="1156"/>
      <c r="B214" s="1218" t="s">
        <v>1383</v>
      </c>
      <c r="C214" s="1253" t="s">
        <v>1382</v>
      </c>
      <c r="D214" s="1212"/>
      <c r="E214" s="1212" t="s">
        <v>11</v>
      </c>
      <c r="F214" s="1240">
        <v>4</v>
      </c>
      <c r="G214" s="1213">
        <f>'MINI SSR 19-20'!G147</f>
        <v>103</v>
      </c>
      <c r="H214" s="1214">
        <f t="shared" si="14"/>
        <v>412</v>
      </c>
      <c r="I214" s="1205" t="s">
        <v>2226</v>
      </c>
    </row>
    <row r="215" spans="1:12" hidden="1">
      <c r="A215" s="1156"/>
      <c r="B215" s="1218" t="s">
        <v>1400</v>
      </c>
      <c r="C215" s="1253" t="s">
        <v>1399</v>
      </c>
      <c r="D215" s="1212"/>
      <c r="E215" s="1212" t="s">
        <v>11</v>
      </c>
      <c r="F215" s="1240">
        <v>2</v>
      </c>
      <c r="G215" s="1213">
        <f>'MINI SSR 19-20'!G149</f>
        <v>308</v>
      </c>
      <c r="H215" s="1214">
        <f t="shared" si="14"/>
        <v>616</v>
      </c>
      <c r="I215" s="1205" t="s">
        <v>2226</v>
      </c>
    </row>
    <row r="216" spans="1:12" hidden="1">
      <c r="A216" s="1156"/>
      <c r="B216" s="1218"/>
      <c r="C216" s="1253" t="s">
        <v>912</v>
      </c>
      <c r="D216" s="1212"/>
      <c r="E216" s="1212" t="s">
        <v>11</v>
      </c>
      <c r="F216" s="1240">
        <v>1</v>
      </c>
      <c r="G216" s="1213">
        <f>'MINI SSR 19-20'!G155</f>
        <v>53</v>
      </c>
      <c r="H216" s="1214">
        <f t="shared" si="14"/>
        <v>53</v>
      </c>
      <c r="I216" s="1205" t="s">
        <v>2226</v>
      </c>
    </row>
    <row r="217" spans="1:12" hidden="1">
      <c r="A217" s="1212"/>
      <c r="B217" s="1212"/>
      <c r="C217" s="1253" t="s">
        <v>909</v>
      </c>
      <c r="D217" s="1212"/>
      <c r="E217" s="1213"/>
      <c r="F217" s="1213"/>
      <c r="G217" s="1213"/>
      <c r="H217" s="1222">
        <f>SUM(H209:H216)</f>
        <v>15364.63</v>
      </c>
      <c r="I217" s="1205" t="s">
        <v>2226</v>
      </c>
    </row>
    <row r="218" spans="1:12" hidden="1">
      <c r="A218" s="1212"/>
      <c r="B218" s="1212"/>
      <c r="C218" s="1253" t="s">
        <v>121</v>
      </c>
      <c r="D218" s="1212"/>
      <c r="E218" s="1212"/>
      <c r="F218" s="1212"/>
      <c r="G218" s="1212"/>
      <c r="H218" s="1222">
        <f>ROUND(H217/2.556,2)</f>
        <v>6011.2</v>
      </c>
      <c r="I218" s="1205" t="s">
        <v>2226</v>
      </c>
    </row>
    <row r="219" spans="1:12" ht="255" hidden="1">
      <c r="A219" s="1156">
        <v>2</v>
      </c>
      <c r="B219" s="1218"/>
      <c r="C219" s="1253" t="s">
        <v>910</v>
      </c>
      <c r="D219" s="1212"/>
      <c r="E219" s="1212"/>
      <c r="F219" s="1212"/>
      <c r="G219" s="1212"/>
      <c r="H219" s="1215"/>
      <c r="I219" s="1205" t="s">
        <v>2226</v>
      </c>
    </row>
    <row r="220" spans="1:12" hidden="1">
      <c r="A220" s="1212"/>
      <c r="B220" s="1212"/>
      <c r="C220" s="1253" t="s">
        <v>911</v>
      </c>
      <c r="D220" s="1212"/>
      <c r="E220" s="1223"/>
      <c r="F220" s="1213"/>
      <c r="G220" s="1213"/>
      <c r="H220" s="1214"/>
      <c r="I220" s="1205" t="s">
        <v>2226</v>
      </c>
    </row>
    <row r="221" spans="1:12" hidden="1">
      <c r="A221" s="1212"/>
      <c r="B221" s="1212" t="s">
        <v>1410</v>
      </c>
      <c r="C221" s="1253" t="s">
        <v>1409</v>
      </c>
      <c r="D221" s="1212"/>
      <c r="E221" s="1212" t="s">
        <v>277</v>
      </c>
      <c r="F221" s="1223">
        <v>5.45</v>
      </c>
      <c r="G221" s="1213">
        <f t="shared" ref="G221:G228" si="15">G209</f>
        <v>805</v>
      </c>
      <c r="H221" s="1214">
        <f t="shared" ref="H221:H228" si="16">ROUND(F221*G221,2)</f>
        <v>4387.25</v>
      </c>
      <c r="I221" s="1205" t="s">
        <v>2226</v>
      </c>
    </row>
    <row r="222" spans="1:12" hidden="1">
      <c r="A222" s="1212"/>
      <c r="B222" s="1212" t="s">
        <v>1412</v>
      </c>
      <c r="C222" s="1253" t="s">
        <v>1411</v>
      </c>
      <c r="D222" s="1212"/>
      <c r="E222" s="1212" t="s">
        <v>102</v>
      </c>
      <c r="F222" s="1223">
        <v>0.86899999999999999</v>
      </c>
      <c r="G222" s="1213">
        <f t="shared" si="15"/>
        <v>754</v>
      </c>
      <c r="H222" s="1214">
        <f t="shared" si="16"/>
        <v>655.23</v>
      </c>
      <c r="I222" s="1205" t="s">
        <v>2226</v>
      </c>
    </row>
    <row r="223" spans="1:12" hidden="1">
      <c r="A223" s="1212"/>
      <c r="B223" s="1212" t="s">
        <v>1393</v>
      </c>
      <c r="C223" s="1253" t="s">
        <v>379</v>
      </c>
      <c r="D223" s="1212"/>
      <c r="E223" s="1212" t="s">
        <v>102</v>
      </c>
      <c r="F223" s="1223">
        <f>ROUND(1.1*2.03,2)</f>
        <v>2.23</v>
      </c>
      <c r="G223" s="1213">
        <f t="shared" si="15"/>
        <v>3030</v>
      </c>
      <c r="H223" s="1214">
        <f t="shared" si="16"/>
        <v>6756.9</v>
      </c>
      <c r="I223" s="1205" t="s">
        <v>2226</v>
      </c>
    </row>
    <row r="224" spans="1:12" hidden="1">
      <c r="A224" s="1212"/>
      <c r="B224" s="1212" t="s">
        <v>1394</v>
      </c>
      <c r="C224" s="1253" t="s">
        <v>1413</v>
      </c>
      <c r="D224" s="1212"/>
      <c r="E224" s="1212" t="s">
        <v>102</v>
      </c>
      <c r="F224" s="1223">
        <v>1.6870000000000001</v>
      </c>
      <c r="G224" s="1213">
        <f t="shared" si="15"/>
        <v>754</v>
      </c>
      <c r="H224" s="1214">
        <f t="shared" si="16"/>
        <v>1272</v>
      </c>
      <c r="I224" s="1205" t="s">
        <v>2226</v>
      </c>
      <c r="L224" s="1260"/>
    </row>
    <row r="225" spans="1:9" hidden="1">
      <c r="A225" s="1156"/>
      <c r="B225" s="1218" t="s">
        <v>1415</v>
      </c>
      <c r="C225" s="1253" t="s">
        <v>1414</v>
      </c>
      <c r="D225" s="1212"/>
      <c r="E225" s="1212" t="s">
        <v>11</v>
      </c>
      <c r="F225" s="1240">
        <v>2</v>
      </c>
      <c r="G225" s="1213">
        <f t="shared" si="15"/>
        <v>103</v>
      </c>
      <c r="H225" s="1214">
        <f t="shared" si="16"/>
        <v>206</v>
      </c>
      <c r="I225" s="1205" t="s">
        <v>2226</v>
      </c>
    </row>
    <row r="226" spans="1:9" hidden="1">
      <c r="A226" s="1156"/>
      <c r="B226" s="1218" t="s">
        <v>1383</v>
      </c>
      <c r="C226" s="1253" t="s">
        <v>1382</v>
      </c>
      <c r="D226" s="1212"/>
      <c r="E226" s="1212" t="s">
        <v>11</v>
      </c>
      <c r="F226" s="1240">
        <v>4</v>
      </c>
      <c r="G226" s="1213">
        <f t="shared" si="15"/>
        <v>103</v>
      </c>
      <c r="H226" s="1214">
        <f t="shared" si="16"/>
        <v>412</v>
      </c>
      <c r="I226" s="1205" t="s">
        <v>2226</v>
      </c>
    </row>
    <row r="227" spans="1:9" hidden="1">
      <c r="A227" s="1156"/>
      <c r="B227" s="1218" t="s">
        <v>1400</v>
      </c>
      <c r="C227" s="1253" t="s">
        <v>1399</v>
      </c>
      <c r="D227" s="1212"/>
      <c r="E227" s="1212" t="s">
        <v>11</v>
      </c>
      <c r="F227" s="1240">
        <v>2</v>
      </c>
      <c r="G227" s="1213">
        <f t="shared" si="15"/>
        <v>308</v>
      </c>
      <c r="H227" s="1214">
        <f t="shared" si="16"/>
        <v>616</v>
      </c>
      <c r="I227" s="1205" t="s">
        <v>2226</v>
      </c>
    </row>
    <row r="228" spans="1:9" hidden="1">
      <c r="A228" s="1156"/>
      <c r="B228" s="1218"/>
      <c r="C228" s="1253" t="s">
        <v>912</v>
      </c>
      <c r="D228" s="1212"/>
      <c r="E228" s="1212" t="s">
        <v>11</v>
      </c>
      <c r="F228" s="1240">
        <v>1</v>
      </c>
      <c r="G228" s="1213">
        <f t="shared" si="15"/>
        <v>53</v>
      </c>
      <c r="H228" s="1214">
        <f t="shared" si="16"/>
        <v>53</v>
      </c>
      <c r="I228" s="1205" t="s">
        <v>2226</v>
      </c>
    </row>
    <row r="229" spans="1:9" hidden="1">
      <c r="A229" s="1212"/>
      <c r="B229" s="1212"/>
      <c r="C229" s="1253" t="s">
        <v>909</v>
      </c>
      <c r="D229" s="1212"/>
      <c r="E229" s="1213"/>
      <c r="F229" s="1213"/>
      <c r="G229" s="1213"/>
      <c r="H229" s="1222">
        <f>SUM(H221:H228)</f>
        <v>14358.38</v>
      </c>
      <c r="I229" s="1205" t="s">
        <v>2226</v>
      </c>
    </row>
    <row r="230" spans="1:9" hidden="1">
      <c r="A230" s="1212"/>
      <c r="B230" s="1212"/>
      <c r="C230" s="1253" t="s">
        <v>121</v>
      </c>
      <c r="D230" s="1212"/>
      <c r="E230" s="1212"/>
      <c r="F230" s="1212"/>
      <c r="G230" s="1212"/>
      <c r="H230" s="1222">
        <f>ROUND(H229/2.556,2)</f>
        <v>5617.52</v>
      </c>
      <c r="I230" s="1205" t="s">
        <v>2226</v>
      </c>
    </row>
    <row r="231" spans="1:9" s="1575" customFormat="1" ht="357">
      <c r="A231" s="1570">
        <v>3</v>
      </c>
      <c r="B231" s="1664"/>
      <c r="C231" s="1690" t="s">
        <v>717</v>
      </c>
      <c r="D231" s="1656"/>
      <c r="E231" s="1656"/>
      <c r="F231" s="1656"/>
      <c r="G231" s="1656"/>
      <c r="H231" s="1661"/>
      <c r="I231" s="1658" t="s">
        <v>2226</v>
      </c>
    </row>
    <row r="232" spans="1:9" s="1575" customFormat="1">
      <c r="A232" s="1656"/>
      <c r="B232" s="1656" t="s">
        <v>1417</v>
      </c>
      <c r="C232" s="1690" t="s">
        <v>1416</v>
      </c>
      <c r="D232" s="1656" t="s">
        <v>102</v>
      </c>
      <c r="E232" s="1659">
        <v>1</v>
      </c>
      <c r="F232" s="1659">
        <f>'MINI SSR 19-20'!C153</f>
        <v>6038</v>
      </c>
      <c r="G232" s="1659"/>
      <c r="H232" s="1660">
        <f>ROUND(E232*F232,2)</f>
        <v>6038</v>
      </c>
      <c r="I232" s="1658" t="s">
        <v>2226</v>
      </c>
    </row>
    <row r="233" spans="1:9" s="1575" customFormat="1">
      <c r="A233" s="1656"/>
      <c r="B233" s="1656"/>
      <c r="C233" s="1610"/>
      <c r="D233" s="1656"/>
      <c r="E233" s="1656"/>
      <c r="F233" s="1656"/>
      <c r="G233" s="1656"/>
      <c r="H233" s="1667">
        <f>SUM(H232:H232)</f>
        <v>6038</v>
      </c>
      <c r="I233" s="1658" t="s">
        <v>2226</v>
      </c>
    </row>
    <row r="234" spans="1:9" hidden="1">
      <c r="A234" s="1212">
        <v>7</v>
      </c>
      <c r="B234" s="1212" t="s">
        <v>1417</v>
      </c>
      <c r="C234" s="1253" t="s">
        <v>1418</v>
      </c>
      <c r="D234" s="1212" t="s">
        <v>102</v>
      </c>
      <c r="E234" s="1213">
        <v>1</v>
      </c>
      <c r="F234" s="1213">
        <f>'MINI SSR 19-20'!C152</f>
        <v>8058</v>
      </c>
      <c r="G234" s="1213"/>
      <c r="H234" s="1214">
        <f>ROUND(E234*F234,2)</f>
        <v>8058</v>
      </c>
      <c r="I234" s="1205" t="s">
        <v>2226</v>
      </c>
    </row>
    <row r="235" spans="1:9" hidden="1">
      <c r="A235" s="1212"/>
      <c r="B235" s="1212"/>
      <c r="C235" s="1255"/>
      <c r="D235" s="1212"/>
      <c r="E235" s="1212"/>
      <c r="F235" s="1212"/>
      <c r="G235" s="1212"/>
      <c r="H235" s="1222">
        <f>SUM(H234:H234)</f>
        <v>8058</v>
      </c>
      <c r="I235" s="1205" t="s">
        <v>2226</v>
      </c>
    </row>
    <row r="236" spans="1:9" hidden="1">
      <c r="A236" s="1212">
        <v>8</v>
      </c>
      <c r="B236" s="1212" t="s">
        <v>1420</v>
      </c>
      <c r="C236" s="1253" t="s">
        <v>1419</v>
      </c>
      <c r="D236" s="1212" t="s">
        <v>102</v>
      </c>
      <c r="E236" s="1213">
        <v>1</v>
      </c>
      <c r="F236" s="1213">
        <f>'MINI SSR 19-20'!C154</f>
        <v>5830</v>
      </c>
      <c r="G236" s="1213"/>
      <c r="H236" s="1214">
        <f>ROUND(E236*F236,2)</f>
        <v>5830</v>
      </c>
      <c r="I236" s="1205" t="s">
        <v>2226</v>
      </c>
    </row>
    <row r="237" spans="1:9" hidden="1">
      <c r="A237" s="1212"/>
      <c r="B237" s="1212"/>
      <c r="C237" s="1255"/>
      <c r="D237" s="1212"/>
      <c r="E237" s="1212"/>
      <c r="F237" s="1212"/>
      <c r="G237" s="1212"/>
      <c r="H237" s="1222">
        <f>SUM(H236:H236)</f>
        <v>5830</v>
      </c>
      <c r="I237" s="1205" t="s">
        <v>2226</v>
      </c>
    </row>
    <row r="238" spans="1:9" ht="38.25" hidden="1">
      <c r="A238" s="1156">
        <v>3</v>
      </c>
      <c r="B238" s="1218"/>
      <c r="C238" s="1253" t="s">
        <v>2293</v>
      </c>
      <c r="D238" s="1212"/>
      <c r="E238" s="1212"/>
      <c r="F238" s="1212"/>
      <c r="G238" s="1212"/>
      <c r="H238" s="1215"/>
      <c r="I238" s="1205" t="s">
        <v>2226</v>
      </c>
    </row>
    <row r="239" spans="1:9" hidden="1">
      <c r="A239" s="1212"/>
      <c r="B239" s="1212" t="s">
        <v>2291</v>
      </c>
      <c r="C239" s="1253" t="s">
        <v>1416</v>
      </c>
      <c r="D239" s="1212" t="s">
        <v>102</v>
      </c>
      <c r="E239" s="1213">
        <v>1</v>
      </c>
      <c r="F239" s="1213">
        <f>'MINI SSR 19-20'!C156</f>
        <v>3797</v>
      </c>
      <c r="G239" s="1213"/>
      <c r="H239" s="1214">
        <f>ROUND(E239*F239,2)</f>
        <v>3797</v>
      </c>
      <c r="I239" s="1205" t="s">
        <v>2226</v>
      </c>
    </row>
    <row r="240" spans="1:9" hidden="1">
      <c r="A240" s="1212"/>
      <c r="B240" s="1212"/>
      <c r="C240" s="1255"/>
      <c r="D240" s="1212"/>
      <c r="E240" s="1212"/>
      <c r="F240" s="1212"/>
      <c r="G240" s="1212"/>
      <c r="H240" s="1222">
        <f>SUM(H239:H239)</f>
        <v>3797</v>
      </c>
      <c r="I240" s="1205" t="s">
        <v>2226</v>
      </c>
    </row>
    <row r="241" spans="1:10" hidden="1">
      <c r="A241" s="1212"/>
      <c r="B241" s="1212"/>
      <c r="C241" s="1259" t="s">
        <v>2022</v>
      </c>
      <c r="D241" s="1212"/>
      <c r="E241" s="1212"/>
      <c r="F241" s="1212"/>
      <c r="G241" s="1212"/>
      <c r="H241" s="1222"/>
    </row>
    <row r="242" spans="1:10" ht="127.5" hidden="1">
      <c r="A242" s="1156">
        <v>1</v>
      </c>
      <c r="B242" s="1218"/>
      <c r="C242" s="1253" t="s">
        <v>1309</v>
      </c>
      <c r="D242" s="1212"/>
      <c r="E242" s="1212"/>
      <c r="F242" s="1212"/>
      <c r="G242" s="1212"/>
      <c r="H242" s="1215"/>
      <c r="I242" s="1205" t="s">
        <v>2308</v>
      </c>
    </row>
    <row r="243" spans="1:10" hidden="1">
      <c r="A243" s="1156"/>
      <c r="B243" s="1218"/>
      <c r="C243" s="1255" t="s">
        <v>100</v>
      </c>
      <c r="D243" s="1212"/>
      <c r="E243" s="1212"/>
      <c r="F243" s="1212"/>
      <c r="G243" s="1212"/>
      <c r="H243" s="1215"/>
      <c r="I243" s="1205" t="s">
        <v>2308</v>
      </c>
    </row>
    <row r="244" spans="1:10" s="1256" customFormat="1" hidden="1">
      <c r="A244" s="1156"/>
      <c r="B244" s="1218"/>
      <c r="C244" s="1255" t="s">
        <v>594</v>
      </c>
      <c r="D244" s="1212"/>
      <c r="E244" s="1212"/>
      <c r="F244" s="1212"/>
      <c r="G244" s="1212"/>
      <c r="H244" s="1215"/>
      <c r="I244" s="1205" t="s">
        <v>2308</v>
      </c>
      <c r="J244" s="1162"/>
    </row>
    <row r="245" spans="1:10" s="1256" customFormat="1" hidden="1">
      <c r="A245" s="1156"/>
      <c r="B245" s="1218"/>
      <c r="C245" s="1253" t="s">
        <v>2</v>
      </c>
      <c r="D245" s="1406">
        <v>2</v>
      </c>
      <c r="E245" s="1407">
        <v>1.9</v>
      </c>
      <c r="F245" s="1408">
        <v>0.1</v>
      </c>
      <c r="G245" s="1408">
        <v>7.4999999999999997E-2</v>
      </c>
      <c r="H245" s="1409">
        <f>ROUND(D245*E245*F245*G245,4)</f>
        <v>2.8500000000000001E-2</v>
      </c>
      <c r="I245" s="1205" t="s">
        <v>2308</v>
      </c>
      <c r="J245" s="1162"/>
    </row>
    <row r="246" spans="1:10" s="1256" customFormat="1" hidden="1">
      <c r="A246" s="1156"/>
      <c r="B246" s="1218"/>
      <c r="C246" s="1253" t="s">
        <v>741</v>
      </c>
      <c r="D246" s="1406">
        <v>2</v>
      </c>
      <c r="E246" s="1407">
        <v>1.2</v>
      </c>
      <c r="F246" s="1408">
        <v>0.1</v>
      </c>
      <c r="G246" s="1408">
        <v>7.4999999999999997E-2</v>
      </c>
      <c r="H246" s="1409">
        <f>ROUND(D246*E246*F246*G246,4)</f>
        <v>1.7999999999999999E-2</v>
      </c>
      <c r="I246" s="1205" t="s">
        <v>2308</v>
      </c>
      <c r="J246" s="1162"/>
    </row>
    <row r="247" spans="1:10" s="1256" customFormat="1" hidden="1">
      <c r="A247" s="1156"/>
      <c r="B247" s="1218"/>
      <c r="C247" s="1255"/>
      <c r="D247" s="1212"/>
      <c r="E247" s="1212"/>
      <c r="F247" s="1212"/>
      <c r="G247" s="1212"/>
      <c r="H247" s="1410">
        <f>SUM(H245:H246)</f>
        <v>4.65E-2</v>
      </c>
      <c r="I247" s="1205" t="s">
        <v>2308</v>
      </c>
      <c r="J247" s="1162"/>
    </row>
    <row r="248" spans="1:10" s="1256" customFormat="1" hidden="1">
      <c r="A248" s="1156"/>
      <c r="B248" s="1218"/>
      <c r="C248" s="1255" t="s">
        <v>320</v>
      </c>
      <c r="D248" s="1406">
        <v>2</v>
      </c>
      <c r="E248" s="1407">
        <v>1.95</v>
      </c>
      <c r="F248" s="1408">
        <v>0.52</v>
      </c>
      <c r="G248" s="1408">
        <v>0.03</v>
      </c>
      <c r="H248" s="1409">
        <f>ROUND(D248*E248*F248*G248,4)</f>
        <v>6.08E-2</v>
      </c>
      <c r="I248" s="1205" t="s">
        <v>2308</v>
      </c>
      <c r="J248" s="1162"/>
    </row>
    <row r="249" spans="1:10" s="1256" customFormat="1" hidden="1">
      <c r="A249" s="1156"/>
      <c r="B249" s="1218"/>
      <c r="C249" s="1255"/>
      <c r="D249" s="1212"/>
      <c r="E249" s="1212"/>
      <c r="F249" s="1212"/>
      <c r="G249" s="1212"/>
      <c r="H249" s="1410">
        <f>SUM(H248)</f>
        <v>6.08E-2</v>
      </c>
      <c r="I249" s="1205" t="s">
        <v>2308</v>
      </c>
      <c r="J249" s="1162"/>
    </row>
    <row r="250" spans="1:10" s="1256" customFormat="1" hidden="1">
      <c r="A250" s="1156"/>
      <c r="B250" s="1218" t="s">
        <v>1375</v>
      </c>
      <c r="C250" s="1253" t="s">
        <v>1374</v>
      </c>
      <c r="D250" s="1212"/>
      <c r="E250" s="1212" t="s">
        <v>35</v>
      </c>
      <c r="F250" s="1226">
        <f>H247</f>
        <v>4.65E-2</v>
      </c>
      <c r="G250" s="1213">
        <f>'MINI SSR 2020-21'!C142</f>
        <v>71195</v>
      </c>
      <c r="H250" s="1214">
        <f t="shared" ref="H250:H257" si="17">ROUND(F250*G250,2)</f>
        <v>3310.57</v>
      </c>
      <c r="I250" s="1205" t="s">
        <v>2308</v>
      </c>
      <c r="J250" s="1162"/>
    </row>
    <row r="251" spans="1:10" s="1256" customFormat="1" hidden="1">
      <c r="A251" s="1156"/>
      <c r="B251" s="1218" t="s">
        <v>1377</v>
      </c>
      <c r="C251" s="1253" t="s">
        <v>1376</v>
      </c>
      <c r="D251" s="1212"/>
      <c r="E251" s="1212" t="s">
        <v>35</v>
      </c>
      <c r="F251" s="1226">
        <f>H249</f>
        <v>6.08E-2</v>
      </c>
      <c r="G251" s="1213">
        <f>'MINI SSR 2020-21'!C143</f>
        <v>142391</v>
      </c>
      <c r="H251" s="1214">
        <f t="shared" si="17"/>
        <v>8657.3700000000008</v>
      </c>
      <c r="I251" s="1205" t="s">
        <v>2308</v>
      </c>
      <c r="J251" s="1162"/>
    </row>
    <row r="252" spans="1:10" s="1256" customFormat="1" hidden="1">
      <c r="A252" s="1156"/>
      <c r="B252" s="1218" t="s">
        <v>1379</v>
      </c>
      <c r="C252" s="1253" t="s">
        <v>1378</v>
      </c>
      <c r="D252" s="1212"/>
      <c r="E252" s="1212" t="s">
        <v>11</v>
      </c>
      <c r="F252" s="1240">
        <v>2</v>
      </c>
      <c r="G252" s="1213">
        <f>'MINI SSR 2020-21'!G142</f>
        <v>231</v>
      </c>
      <c r="H252" s="1214">
        <f t="shared" si="17"/>
        <v>462</v>
      </c>
      <c r="I252" s="1205" t="s">
        <v>2308</v>
      </c>
      <c r="J252" s="1162"/>
    </row>
    <row r="253" spans="1:10" hidden="1">
      <c r="A253" s="1156"/>
      <c r="B253" s="1218" t="s">
        <v>1381</v>
      </c>
      <c r="C253" s="1253" t="s">
        <v>1380</v>
      </c>
      <c r="D253" s="1212"/>
      <c r="E253" s="1212" t="s">
        <v>11</v>
      </c>
      <c r="F253" s="1240">
        <v>6</v>
      </c>
      <c r="G253" s="1213">
        <f>'MINI SSR 2020-21'!G145</f>
        <v>246</v>
      </c>
      <c r="H253" s="1214">
        <f t="shared" si="17"/>
        <v>1476</v>
      </c>
      <c r="I253" s="1205" t="s">
        <v>2308</v>
      </c>
    </row>
    <row r="254" spans="1:10" hidden="1">
      <c r="A254" s="1156"/>
      <c r="B254" s="1218" t="s">
        <v>1383</v>
      </c>
      <c r="C254" s="1253" t="s">
        <v>1382</v>
      </c>
      <c r="D254" s="1212"/>
      <c r="E254" s="1212" t="s">
        <v>11</v>
      </c>
      <c r="F254" s="1240"/>
      <c r="G254" s="1213">
        <f>'MINI SSR 2020-21'!G144</f>
        <v>103</v>
      </c>
      <c r="H254" s="1214">
        <f t="shared" si="17"/>
        <v>0</v>
      </c>
      <c r="I254" s="1205" t="s">
        <v>2308</v>
      </c>
    </row>
    <row r="255" spans="1:10" hidden="1">
      <c r="A255" s="1156"/>
      <c r="B255" s="1218" t="s">
        <v>1385</v>
      </c>
      <c r="C255" s="1253" t="s">
        <v>1384</v>
      </c>
      <c r="D255" s="1212"/>
      <c r="E255" s="1212" t="s">
        <v>11</v>
      </c>
      <c r="F255" s="1240">
        <v>2</v>
      </c>
      <c r="G255" s="1213">
        <f>'MINI SSR 2020-21'!G148</f>
        <v>1087</v>
      </c>
      <c r="H255" s="1214">
        <f t="shared" si="17"/>
        <v>2174</v>
      </c>
      <c r="I255" s="1205" t="s">
        <v>2308</v>
      </c>
    </row>
    <row r="256" spans="1:10" hidden="1">
      <c r="A256" s="1156"/>
      <c r="B256" s="1218" t="s">
        <v>1387</v>
      </c>
      <c r="C256" s="1253" t="s">
        <v>1386</v>
      </c>
      <c r="D256" s="1212"/>
      <c r="E256" s="1212" t="s">
        <v>11</v>
      </c>
      <c r="F256" s="1240">
        <v>1</v>
      </c>
      <c r="G256" s="1213">
        <f>'MINI SSR 2020-21'!G150</f>
        <v>168</v>
      </c>
      <c r="H256" s="1214">
        <f t="shared" si="17"/>
        <v>168</v>
      </c>
      <c r="I256" s="1205" t="s">
        <v>2308</v>
      </c>
    </row>
    <row r="257" spans="1:12" hidden="1">
      <c r="A257" s="1156"/>
      <c r="B257" s="1218" t="s">
        <v>1389</v>
      </c>
      <c r="C257" s="1253" t="s">
        <v>1388</v>
      </c>
      <c r="D257" s="1212"/>
      <c r="E257" s="1212" t="s">
        <v>11</v>
      </c>
      <c r="F257" s="1240">
        <v>6</v>
      </c>
      <c r="G257" s="1213">
        <f>'MINI SSR 2020-21'!G152</f>
        <v>32</v>
      </c>
      <c r="H257" s="1214">
        <f t="shared" si="17"/>
        <v>192</v>
      </c>
      <c r="I257" s="1205" t="s">
        <v>2308</v>
      </c>
    </row>
    <row r="258" spans="1:12" hidden="1">
      <c r="A258" s="1212"/>
      <c r="B258" s="1212"/>
      <c r="C258" s="1255" t="s">
        <v>68</v>
      </c>
      <c r="D258" s="1212"/>
      <c r="E258" s="1212"/>
      <c r="F258" s="1213"/>
      <c r="G258" s="1217"/>
      <c r="H258" s="1214"/>
      <c r="I258" s="1205" t="s">
        <v>2308</v>
      </c>
    </row>
    <row r="259" spans="1:12" hidden="1">
      <c r="A259" s="1212"/>
      <c r="B259" s="1212" t="s">
        <v>1391</v>
      </c>
      <c r="C259" s="1253" t="s">
        <v>1390</v>
      </c>
      <c r="D259" s="1212"/>
      <c r="E259" s="1212" t="s">
        <v>102</v>
      </c>
      <c r="F259" s="1213">
        <v>2.52</v>
      </c>
      <c r="G259" s="1213">
        <f>'MINI SSR 2020-21'!C149</f>
        <v>1570</v>
      </c>
      <c r="H259" s="1214">
        <f>ROUND(F259*G259,2)</f>
        <v>3956.4</v>
      </c>
      <c r="I259" s="1205" t="s">
        <v>2308</v>
      </c>
      <c r="L259" s="1260">
        <f>H259</f>
        <v>3956.4</v>
      </c>
    </row>
    <row r="260" spans="1:12" ht="13.5" hidden="1" thickBot="1">
      <c r="A260" s="1212"/>
      <c r="B260" s="1212"/>
      <c r="C260" s="1255"/>
      <c r="D260" s="1212"/>
      <c r="E260" s="1212"/>
      <c r="F260" s="1212"/>
      <c r="G260" s="1212"/>
      <c r="H260" s="1222">
        <f>SUM(H250:H259)</f>
        <v>20396.340000000004</v>
      </c>
      <c r="I260" s="1205" t="s">
        <v>2308</v>
      </c>
      <c r="L260" s="1411">
        <f>SUM(L259)</f>
        <v>3956.4</v>
      </c>
    </row>
    <row r="261" spans="1:12" ht="76.5" hidden="1">
      <c r="A261" s="1156">
        <v>2</v>
      </c>
      <c r="B261" s="1218"/>
      <c r="C261" s="1253" t="s">
        <v>2782</v>
      </c>
      <c r="D261" s="1212"/>
      <c r="E261" s="1212"/>
      <c r="F261" s="1212"/>
      <c r="G261" s="1212"/>
      <c r="H261" s="1215"/>
      <c r="I261" s="1205" t="s">
        <v>2308</v>
      </c>
    </row>
    <row r="262" spans="1:12" hidden="1">
      <c r="A262" s="1156"/>
      <c r="B262" s="1218"/>
      <c r="C262" s="1255" t="s">
        <v>100</v>
      </c>
      <c r="D262" s="1212"/>
      <c r="E262" s="1212"/>
      <c r="F262" s="1212"/>
      <c r="G262" s="1212"/>
      <c r="H262" s="1215"/>
      <c r="I262" s="1205" t="s">
        <v>2308</v>
      </c>
    </row>
    <row r="263" spans="1:12" s="1256" customFormat="1" hidden="1">
      <c r="A263" s="1156"/>
      <c r="B263" s="1218"/>
      <c r="C263" s="1255" t="s">
        <v>2793</v>
      </c>
      <c r="D263" s="1212"/>
      <c r="E263" s="1212"/>
      <c r="F263" s="1212"/>
      <c r="G263" s="1212"/>
      <c r="H263" s="1215"/>
      <c r="I263" s="1205" t="s">
        <v>2308</v>
      </c>
      <c r="J263" s="1162"/>
    </row>
    <row r="264" spans="1:12" s="1256" customFormat="1" hidden="1">
      <c r="A264" s="1156"/>
      <c r="B264" s="1218"/>
      <c r="C264" s="1253" t="s">
        <v>2</v>
      </c>
      <c r="D264" s="1406">
        <v>2</v>
      </c>
      <c r="E264" s="1407">
        <v>1.9</v>
      </c>
      <c r="F264" s="1408">
        <v>0.1</v>
      </c>
      <c r="G264" s="1408">
        <v>7.4999999999999997E-2</v>
      </c>
      <c r="H264" s="1409">
        <f>ROUND(D264*E264*F264*G264,4)</f>
        <v>2.8500000000000001E-2</v>
      </c>
      <c r="I264" s="1205" t="s">
        <v>2308</v>
      </c>
      <c r="J264" s="1162"/>
    </row>
    <row r="265" spans="1:12" s="1256" customFormat="1" hidden="1">
      <c r="A265" s="1156"/>
      <c r="B265" s="1218"/>
      <c r="C265" s="1253" t="s">
        <v>741</v>
      </c>
      <c r="D265" s="1406">
        <v>1</v>
      </c>
      <c r="E265" s="1407">
        <v>1.2</v>
      </c>
      <c r="F265" s="1408">
        <v>0.1</v>
      </c>
      <c r="G265" s="1408">
        <v>7.4999999999999997E-2</v>
      </c>
      <c r="H265" s="1409">
        <f>ROUND(D265*E265*F265*G265,4)</f>
        <v>8.9999999999999993E-3</v>
      </c>
      <c r="I265" s="1205" t="s">
        <v>2308</v>
      </c>
      <c r="J265" s="1162"/>
    </row>
    <row r="266" spans="1:12" s="1256" customFormat="1" hidden="1">
      <c r="A266" s="1156"/>
      <c r="B266" s="1218"/>
      <c r="C266" s="1255"/>
      <c r="D266" s="1212"/>
      <c r="E266" s="1212"/>
      <c r="F266" s="1212"/>
      <c r="G266" s="1212"/>
      <c r="H266" s="1410">
        <f>SUM(H264:H265)</f>
        <v>3.7499999999999999E-2</v>
      </c>
      <c r="I266" s="1205" t="s">
        <v>2308</v>
      </c>
      <c r="J266" s="1162"/>
    </row>
    <row r="267" spans="1:12" s="1256" customFormat="1" hidden="1">
      <c r="A267" s="1156"/>
      <c r="B267" s="1212" t="s">
        <v>1375</v>
      </c>
      <c r="C267" s="1253" t="s">
        <v>1374</v>
      </c>
      <c r="D267" s="1212"/>
      <c r="E267" s="1212" t="s">
        <v>35</v>
      </c>
      <c r="F267" s="1226">
        <f>H266</f>
        <v>3.7499999999999999E-2</v>
      </c>
      <c r="G267" s="1213">
        <f>'MINI SSR 2020-21'!C142</f>
        <v>71195</v>
      </c>
      <c r="H267" s="1214">
        <f t="shared" ref="H267:H275" si="18">ROUND(F267*G267,2)</f>
        <v>2669.81</v>
      </c>
      <c r="I267" s="1205" t="s">
        <v>2308</v>
      </c>
      <c r="J267" s="1162"/>
    </row>
    <row r="268" spans="1:12" s="1256" customFormat="1" hidden="1">
      <c r="A268" s="1156"/>
      <c r="B268" s="1212" t="s">
        <v>2099</v>
      </c>
      <c r="C268" s="1253" t="s">
        <v>2100</v>
      </c>
      <c r="D268" s="1212"/>
      <c r="E268" s="1212" t="s">
        <v>102</v>
      </c>
      <c r="F268" s="1226">
        <f>ROUND(1.05*1.995,2)</f>
        <v>2.09</v>
      </c>
      <c r="G268" s="1213">
        <f>'MINI SSR 2020-21'!$C$148</f>
        <v>1790</v>
      </c>
      <c r="H268" s="1214"/>
      <c r="I268" s="1205" t="s">
        <v>2308</v>
      </c>
      <c r="J268" s="1162"/>
    </row>
    <row r="269" spans="1:12" s="1256" customFormat="1" hidden="1">
      <c r="A269" s="1156"/>
      <c r="B269" s="1212" t="s">
        <v>2101</v>
      </c>
      <c r="C269" s="1253" t="s">
        <v>2102</v>
      </c>
      <c r="D269" s="1212"/>
      <c r="E269" s="1212" t="s">
        <v>102</v>
      </c>
      <c r="F269" s="1226">
        <f>ROUND(1.05*1.995,2)</f>
        <v>2.09</v>
      </c>
      <c r="G269" s="1213">
        <f>'MINI SSR 2020-21'!$C$151</f>
        <v>754</v>
      </c>
      <c r="H269" s="1214"/>
      <c r="I269" s="1205" t="s">
        <v>2308</v>
      </c>
      <c r="J269" s="1162"/>
    </row>
    <row r="270" spans="1:12" hidden="1">
      <c r="A270" s="1156"/>
      <c r="B270" s="1212" t="s">
        <v>1396</v>
      </c>
      <c r="C270" s="1253" t="s">
        <v>1395</v>
      </c>
      <c r="D270" s="1212"/>
      <c r="E270" s="1212" t="s">
        <v>11</v>
      </c>
      <c r="F270" s="1240">
        <v>2</v>
      </c>
      <c r="G270" s="1213">
        <f>'MINI SSR 2020-21'!$G$143</f>
        <v>84</v>
      </c>
      <c r="H270" s="1214"/>
      <c r="I270" s="1205" t="s">
        <v>2308</v>
      </c>
    </row>
    <row r="271" spans="1:12" hidden="1">
      <c r="A271" s="1156"/>
      <c r="B271" s="1212" t="s">
        <v>1398</v>
      </c>
      <c r="C271" s="1253" t="s">
        <v>1397</v>
      </c>
      <c r="D271" s="1212"/>
      <c r="E271" s="1212" t="s">
        <v>11</v>
      </c>
      <c r="F271" s="1240">
        <v>3</v>
      </c>
      <c r="G271" s="1213">
        <f>'MINI SSR 2020-21'!$G$146</f>
        <v>117</v>
      </c>
      <c r="H271" s="1214"/>
      <c r="I271" s="1205" t="s">
        <v>2308</v>
      </c>
    </row>
    <row r="272" spans="1:12" hidden="1">
      <c r="A272" s="1156"/>
      <c r="B272" s="1212" t="s">
        <v>1383</v>
      </c>
      <c r="C272" s="1253" t="s">
        <v>1382</v>
      </c>
      <c r="D272" s="1212"/>
      <c r="E272" s="1212" t="s">
        <v>11</v>
      </c>
      <c r="F272" s="1240">
        <v>2</v>
      </c>
      <c r="G272" s="1213">
        <f>'MINI SSR 2020-21'!$G$147</f>
        <v>103</v>
      </c>
      <c r="H272" s="1214"/>
      <c r="I272" s="1205" t="s">
        <v>2308</v>
      </c>
    </row>
    <row r="273" spans="1:12" hidden="1">
      <c r="A273" s="1156"/>
      <c r="B273" s="1212" t="s">
        <v>1400</v>
      </c>
      <c r="C273" s="1253" t="s">
        <v>1399</v>
      </c>
      <c r="D273" s="1212"/>
      <c r="E273" s="1212" t="s">
        <v>11</v>
      </c>
      <c r="F273" s="1240">
        <v>2</v>
      </c>
      <c r="G273" s="1213">
        <f>'MINI SSR 2020-21'!$G$149</f>
        <v>308</v>
      </c>
      <c r="H273" s="1214"/>
      <c r="I273" s="1205" t="s">
        <v>2308</v>
      </c>
    </row>
    <row r="274" spans="1:12" hidden="1">
      <c r="A274" s="1156"/>
      <c r="B274" s="1212" t="s">
        <v>1402</v>
      </c>
      <c r="C274" s="1253" t="s">
        <v>1401</v>
      </c>
      <c r="D274" s="1212"/>
      <c r="E274" s="1212" t="s">
        <v>11</v>
      </c>
      <c r="F274" s="1240">
        <v>1</v>
      </c>
      <c r="G274" s="1213">
        <f>'MINI SSR 2020-21'!$G$155</f>
        <v>53</v>
      </c>
      <c r="H274" s="1214"/>
      <c r="I274" s="1205" t="s">
        <v>2308</v>
      </c>
    </row>
    <row r="275" spans="1:12" hidden="1">
      <c r="A275" s="1156"/>
      <c r="B275" s="1212" t="s">
        <v>1389</v>
      </c>
      <c r="C275" s="1253" t="s">
        <v>1388</v>
      </c>
      <c r="D275" s="1212"/>
      <c r="E275" s="1212" t="s">
        <v>11</v>
      </c>
      <c r="F275" s="1240">
        <v>6</v>
      </c>
      <c r="G275" s="1213">
        <f>'MINI SSR 2020-21'!$G$152</f>
        <v>32</v>
      </c>
      <c r="H275" s="1214">
        <f t="shared" si="18"/>
        <v>192</v>
      </c>
      <c r="I275" s="1205" t="s">
        <v>2308</v>
      </c>
    </row>
    <row r="276" spans="1:12" hidden="1">
      <c r="A276" s="1212"/>
      <c r="B276" s="1212"/>
      <c r="C276" s="1255" t="s">
        <v>68</v>
      </c>
      <c r="D276" s="1212"/>
      <c r="E276" s="1212"/>
      <c r="F276" s="1213"/>
      <c r="G276" s="1217"/>
      <c r="H276" s="1214"/>
      <c r="I276" s="1205" t="s">
        <v>2308</v>
      </c>
    </row>
    <row r="277" spans="1:12" ht="25.5" hidden="1">
      <c r="A277" s="1212"/>
      <c r="B277" s="1212" t="s">
        <v>1391</v>
      </c>
      <c r="C277" s="1253" t="s">
        <v>1403</v>
      </c>
      <c r="D277" s="1212"/>
      <c r="E277" s="1212" t="s">
        <v>102</v>
      </c>
      <c r="F277" s="1213">
        <f>ROUND(1.2*2.1,2)</f>
        <v>2.52</v>
      </c>
      <c r="G277" s="1213">
        <f>'MINI SSR 2020-21'!C149</f>
        <v>1570</v>
      </c>
      <c r="H277" s="1214">
        <f>ROUND(F277*G277*1/3,2)</f>
        <v>1318.8</v>
      </c>
      <c r="I277" s="1205" t="s">
        <v>2308</v>
      </c>
      <c r="L277" s="1260"/>
    </row>
    <row r="278" spans="1:12" ht="13.5" hidden="1" thickBot="1">
      <c r="A278" s="1212"/>
      <c r="B278" s="1212"/>
      <c r="C278" s="1255"/>
      <c r="D278" s="1212"/>
      <c r="E278" s="1212"/>
      <c r="F278" s="1212"/>
      <c r="G278" s="1212"/>
      <c r="H278" s="1222">
        <f>SUM(H267:H277)</f>
        <v>4180.6099999999997</v>
      </c>
      <c r="I278" s="1205" t="s">
        <v>2308</v>
      </c>
      <c r="L278" s="1411"/>
    </row>
    <row r="279" spans="1:12" ht="127.5" hidden="1">
      <c r="A279" s="1156">
        <v>3</v>
      </c>
      <c r="B279" s="1218"/>
      <c r="C279" s="1253" t="s">
        <v>1310</v>
      </c>
      <c r="D279" s="1212"/>
      <c r="E279" s="1212"/>
      <c r="F279" s="1212"/>
      <c r="G279" s="1212"/>
      <c r="H279" s="1215"/>
      <c r="I279" s="1205" t="s">
        <v>2308</v>
      </c>
    </row>
    <row r="280" spans="1:12" hidden="1">
      <c r="A280" s="1156"/>
      <c r="B280" s="1218"/>
      <c r="C280" s="1255" t="s">
        <v>100</v>
      </c>
      <c r="D280" s="1212"/>
      <c r="E280" s="1212"/>
      <c r="F280" s="1212"/>
      <c r="G280" s="1212"/>
      <c r="H280" s="1215"/>
      <c r="I280" s="1205" t="s">
        <v>2308</v>
      </c>
    </row>
    <row r="281" spans="1:12" s="1256" customFormat="1" hidden="1">
      <c r="A281" s="1156"/>
      <c r="B281" s="1218"/>
      <c r="C281" s="1255" t="s">
        <v>1</v>
      </c>
      <c r="D281" s="1212"/>
      <c r="E281" s="1212"/>
      <c r="F281" s="1212"/>
      <c r="G281" s="1212"/>
      <c r="H281" s="1215"/>
      <c r="I281" s="1205" t="s">
        <v>2308</v>
      </c>
      <c r="J281" s="1162"/>
    </row>
    <row r="282" spans="1:12" s="1256" customFormat="1" hidden="1">
      <c r="A282" s="1156"/>
      <c r="B282" s="1218"/>
      <c r="C282" s="1253" t="s">
        <v>2</v>
      </c>
      <c r="D282" s="1406">
        <v>2</v>
      </c>
      <c r="E282" s="1407">
        <v>1.9</v>
      </c>
      <c r="F282" s="1408">
        <v>0.1</v>
      </c>
      <c r="G282" s="1408">
        <v>7.4999999999999997E-2</v>
      </c>
      <c r="H282" s="1409">
        <f>ROUND(D282*E282*F282*G282,4)</f>
        <v>2.8500000000000001E-2</v>
      </c>
      <c r="I282" s="1205" t="s">
        <v>2308</v>
      </c>
      <c r="J282" s="1162"/>
    </row>
    <row r="283" spans="1:12" s="1256" customFormat="1" hidden="1">
      <c r="A283" s="1156"/>
      <c r="B283" s="1218"/>
      <c r="C283" s="1253" t="s">
        <v>741</v>
      </c>
      <c r="D283" s="1406">
        <v>1</v>
      </c>
      <c r="E283" s="1407">
        <v>1.2</v>
      </c>
      <c r="F283" s="1408">
        <v>0.1</v>
      </c>
      <c r="G283" s="1408">
        <v>7.4999999999999997E-2</v>
      </c>
      <c r="H283" s="1409">
        <f>ROUND(D283*E283*F283*G283,4)</f>
        <v>8.9999999999999993E-3</v>
      </c>
      <c r="I283" s="1205" t="s">
        <v>2308</v>
      </c>
      <c r="J283" s="1162"/>
    </row>
    <row r="284" spans="1:12" s="1256" customFormat="1" hidden="1">
      <c r="A284" s="1156"/>
      <c r="B284" s="1218"/>
      <c r="C284" s="1255"/>
      <c r="D284" s="1212"/>
      <c r="E284" s="1212"/>
      <c r="F284" s="1212"/>
      <c r="G284" s="1212"/>
      <c r="H284" s="1410">
        <f>SUM(H282:H283)</f>
        <v>3.7499999999999999E-2</v>
      </c>
      <c r="I284" s="1205" t="s">
        <v>2308</v>
      </c>
      <c r="J284" s="1162"/>
    </row>
    <row r="285" spans="1:12" s="1256" customFormat="1" hidden="1">
      <c r="A285" s="1156"/>
      <c r="B285" s="1218" t="s">
        <v>1687</v>
      </c>
      <c r="C285" s="1253" t="s">
        <v>1688</v>
      </c>
      <c r="E285" s="1212" t="s">
        <v>35</v>
      </c>
      <c r="F285" s="1226">
        <f>H284</f>
        <v>3.7499999999999999E-2</v>
      </c>
      <c r="G285" s="1213">
        <f>'MINI SSR 2020-21'!$C$144</f>
        <v>46217</v>
      </c>
      <c r="H285" s="1214">
        <f t="shared" ref="H285:H293" si="19">ROUND(F285*G285,2)</f>
        <v>1733.14</v>
      </c>
      <c r="I285" s="1205" t="s">
        <v>2308</v>
      </c>
      <c r="J285" s="1162"/>
    </row>
    <row r="286" spans="1:12" s="1256" customFormat="1" hidden="1">
      <c r="A286" s="1156"/>
      <c r="B286" s="1212" t="s">
        <v>2099</v>
      </c>
      <c r="C286" s="1253" t="s">
        <v>2100</v>
      </c>
      <c r="D286" s="1212"/>
      <c r="E286" s="1212" t="s">
        <v>102</v>
      </c>
      <c r="F286" s="1226">
        <f>ROUND(1.05*1.995,2)</f>
        <v>2.09</v>
      </c>
      <c r="G286" s="1213">
        <f>'MINI SSR 2020-21'!$C$148</f>
        <v>1790</v>
      </c>
      <c r="H286" s="1214">
        <f t="shared" si="19"/>
        <v>3741.1</v>
      </c>
      <c r="I286" s="1205" t="s">
        <v>2308</v>
      </c>
      <c r="J286" s="1162"/>
    </row>
    <row r="287" spans="1:12" s="1256" customFormat="1" hidden="1">
      <c r="A287" s="1156"/>
      <c r="B287" s="1212" t="s">
        <v>2101</v>
      </c>
      <c r="C287" s="1253" t="s">
        <v>2102</v>
      </c>
      <c r="D287" s="1212"/>
      <c r="E287" s="1212" t="s">
        <v>102</v>
      </c>
      <c r="F287" s="1226">
        <f>ROUND(1.05*1.995,2)</f>
        <v>2.09</v>
      </c>
      <c r="G287" s="1213">
        <f>'MINI SSR 2020-21'!$C$151</f>
        <v>754</v>
      </c>
      <c r="H287" s="1214">
        <f t="shared" si="19"/>
        <v>1575.86</v>
      </c>
      <c r="I287" s="1205" t="s">
        <v>2308</v>
      </c>
      <c r="J287" s="1162"/>
    </row>
    <row r="288" spans="1:12" hidden="1">
      <c r="A288" s="1156"/>
      <c r="B288" s="1212" t="s">
        <v>1396</v>
      </c>
      <c r="C288" s="1253" t="s">
        <v>1395</v>
      </c>
      <c r="D288" s="1212"/>
      <c r="E288" s="1212" t="s">
        <v>11</v>
      </c>
      <c r="F288" s="1240">
        <v>2</v>
      </c>
      <c r="G288" s="1213">
        <f>'MINI SSR 2020-21'!$G$143</f>
        <v>84</v>
      </c>
      <c r="H288" s="1214">
        <f t="shared" si="19"/>
        <v>168</v>
      </c>
      <c r="I288" s="1205" t="s">
        <v>2308</v>
      </c>
    </row>
    <row r="289" spans="1:12" hidden="1">
      <c r="A289" s="1156"/>
      <c r="B289" s="1212" t="s">
        <v>1398</v>
      </c>
      <c r="C289" s="1253" t="s">
        <v>1397</v>
      </c>
      <c r="D289" s="1212"/>
      <c r="E289" s="1212" t="s">
        <v>11</v>
      </c>
      <c r="F289" s="1240">
        <v>3</v>
      </c>
      <c r="G289" s="1213">
        <f>'MINI SSR 2020-21'!$G$146</f>
        <v>117</v>
      </c>
      <c r="H289" s="1214">
        <f t="shared" si="19"/>
        <v>351</v>
      </c>
      <c r="I289" s="1205" t="s">
        <v>2308</v>
      </c>
    </row>
    <row r="290" spans="1:12" hidden="1">
      <c r="A290" s="1156"/>
      <c r="B290" s="1212" t="s">
        <v>1383</v>
      </c>
      <c r="C290" s="1253" t="s">
        <v>1382</v>
      </c>
      <c r="D290" s="1212"/>
      <c r="E290" s="1212" t="s">
        <v>11</v>
      </c>
      <c r="F290" s="1240">
        <v>2</v>
      </c>
      <c r="G290" s="1213">
        <f>'MINI SSR 2020-21'!$G$147</f>
        <v>103</v>
      </c>
      <c r="H290" s="1214">
        <f t="shared" si="19"/>
        <v>206</v>
      </c>
      <c r="I290" s="1205" t="s">
        <v>2308</v>
      </c>
    </row>
    <row r="291" spans="1:12" hidden="1">
      <c r="A291" s="1156"/>
      <c r="B291" s="1212" t="s">
        <v>1400</v>
      </c>
      <c r="C291" s="1253" t="s">
        <v>1399</v>
      </c>
      <c r="D291" s="1212"/>
      <c r="E291" s="1212" t="s">
        <v>11</v>
      </c>
      <c r="F291" s="1240">
        <v>2</v>
      </c>
      <c r="G291" s="1213">
        <f>'MINI SSR 2020-21'!$G$149</f>
        <v>308</v>
      </c>
      <c r="H291" s="1214">
        <f t="shared" si="19"/>
        <v>616</v>
      </c>
      <c r="I291" s="1205" t="s">
        <v>2308</v>
      </c>
    </row>
    <row r="292" spans="1:12" hidden="1">
      <c r="A292" s="1156"/>
      <c r="B292" s="1212" t="s">
        <v>1402</v>
      </c>
      <c r="C292" s="1253" t="s">
        <v>1401</v>
      </c>
      <c r="D292" s="1212"/>
      <c r="E292" s="1212" t="s">
        <v>11</v>
      </c>
      <c r="F292" s="1240">
        <v>1</v>
      </c>
      <c r="G292" s="1213">
        <f>'MINI SSR 2020-21'!$G$155</f>
        <v>53</v>
      </c>
      <c r="H292" s="1214">
        <f t="shared" si="19"/>
        <v>53</v>
      </c>
      <c r="I292" s="1205" t="s">
        <v>2308</v>
      </c>
    </row>
    <row r="293" spans="1:12" hidden="1">
      <c r="A293" s="1156"/>
      <c r="B293" s="1212" t="s">
        <v>1389</v>
      </c>
      <c r="C293" s="1253" t="s">
        <v>1388</v>
      </c>
      <c r="D293" s="1212"/>
      <c r="E293" s="1212" t="s">
        <v>11</v>
      </c>
      <c r="F293" s="1240">
        <v>6</v>
      </c>
      <c r="G293" s="1213">
        <f>'MINI SSR 2020-21'!$G$152</f>
        <v>32</v>
      </c>
      <c r="H293" s="1214">
        <f t="shared" si="19"/>
        <v>192</v>
      </c>
      <c r="I293" s="1205" t="s">
        <v>2308</v>
      </c>
    </row>
    <row r="294" spans="1:12" hidden="1">
      <c r="A294" s="1212"/>
      <c r="B294" s="1212"/>
      <c r="C294" s="1255" t="s">
        <v>68</v>
      </c>
      <c r="D294" s="1212"/>
      <c r="E294" s="1212"/>
      <c r="F294" s="1213"/>
      <c r="G294" s="1217"/>
      <c r="H294" s="1214"/>
      <c r="I294" s="1205" t="s">
        <v>2308</v>
      </c>
    </row>
    <row r="295" spans="1:12" hidden="1">
      <c r="A295" s="1212"/>
      <c r="B295" s="1212" t="s">
        <v>1695</v>
      </c>
      <c r="C295" s="1253" t="s">
        <v>1390</v>
      </c>
      <c r="D295" s="1162"/>
      <c r="E295" s="1212" t="s">
        <v>102</v>
      </c>
      <c r="F295" s="1213">
        <f>ROUND(1.2*2.1,2)</f>
        <v>2.52</v>
      </c>
      <c r="G295" s="1213">
        <f>'MINI SSR 2020-21'!$C$150</f>
        <v>1452</v>
      </c>
      <c r="H295" s="1214">
        <f>ROUND(F295*G295*1/3,2)</f>
        <v>1219.68</v>
      </c>
      <c r="I295" s="1205" t="s">
        <v>2308</v>
      </c>
      <c r="L295" s="1260"/>
    </row>
    <row r="296" spans="1:12" ht="13.5" hidden="1" thickBot="1">
      <c r="A296" s="1212"/>
      <c r="B296" s="1212"/>
      <c r="C296" s="1255"/>
      <c r="D296" s="1212"/>
      <c r="E296" s="1212"/>
      <c r="F296" s="1212"/>
      <c r="G296" s="1212"/>
      <c r="H296" s="1222">
        <f>SUM(H285:H295)</f>
        <v>9855.7799999999988</v>
      </c>
      <c r="I296" s="1205" t="s">
        <v>2308</v>
      </c>
      <c r="L296" s="1411"/>
    </row>
    <row r="297" spans="1:12" ht="127.5" hidden="1">
      <c r="A297" s="1156">
        <v>3</v>
      </c>
      <c r="B297" s="1218"/>
      <c r="C297" s="1253" t="s">
        <v>1683</v>
      </c>
      <c r="D297" s="1212"/>
      <c r="E297" s="1212"/>
      <c r="F297" s="1212"/>
      <c r="G297" s="1212"/>
      <c r="H297" s="1215"/>
      <c r="I297" s="1205" t="s">
        <v>2308</v>
      </c>
    </row>
    <row r="298" spans="1:12" hidden="1">
      <c r="A298" s="1156"/>
      <c r="B298" s="1218"/>
      <c r="C298" s="1255" t="s">
        <v>100</v>
      </c>
      <c r="D298" s="1212"/>
      <c r="E298" s="1212"/>
      <c r="F298" s="1212"/>
      <c r="G298" s="1212"/>
      <c r="H298" s="1215"/>
      <c r="I298" s="1205" t="s">
        <v>2308</v>
      </c>
    </row>
    <row r="299" spans="1:12" s="1256" customFormat="1" hidden="1">
      <c r="A299" s="1156"/>
      <c r="B299" s="1218"/>
      <c r="C299" s="1255" t="s">
        <v>594</v>
      </c>
      <c r="D299" s="1212"/>
      <c r="E299" s="1212"/>
      <c r="F299" s="1212"/>
      <c r="G299" s="1212"/>
      <c r="H299" s="1215"/>
      <c r="I299" s="1205" t="s">
        <v>2308</v>
      </c>
      <c r="J299" s="1162"/>
    </row>
    <row r="300" spans="1:12" s="1256" customFormat="1" hidden="1">
      <c r="A300" s="1156"/>
      <c r="B300" s="1218"/>
      <c r="C300" s="1253" t="s">
        <v>2</v>
      </c>
      <c r="D300" s="1406">
        <v>2</v>
      </c>
      <c r="E300" s="1407">
        <v>1.9</v>
      </c>
      <c r="F300" s="1408">
        <v>0.1</v>
      </c>
      <c r="G300" s="1408">
        <v>7.4999999999999997E-2</v>
      </c>
      <c r="H300" s="1409">
        <f>ROUND(D300*E300*F300*G300,4)</f>
        <v>2.8500000000000001E-2</v>
      </c>
      <c r="I300" s="1205" t="s">
        <v>2308</v>
      </c>
      <c r="J300" s="1162"/>
    </row>
    <row r="301" spans="1:12" s="1256" customFormat="1" hidden="1">
      <c r="A301" s="1156"/>
      <c r="B301" s="1218"/>
      <c r="C301" s="1253" t="s">
        <v>741</v>
      </c>
      <c r="D301" s="1406">
        <v>1</v>
      </c>
      <c r="E301" s="1407">
        <v>0.9</v>
      </c>
      <c r="F301" s="1408">
        <v>0.1</v>
      </c>
      <c r="G301" s="1408">
        <v>7.4999999999999997E-2</v>
      </c>
      <c r="H301" s="1409">
        <f>ROUND(D301*E301*F301*G301,4)</f>
        <v>6.7999999999999996E-3</v>
      </c>
      <c r="I301" s="1205" t="s">
        <v>2308</v>
      </c>
      <c r="J301" s="1162"/>
    </row>
    <row r="302" spans="1:12" s="1256" customFormat="1" hidden="1">
      <c r="A302" s="1156"/>
      <c r="B302" s="1218"/>
      <c r="C302" s="1255"/>
      <c r="D302" s="1406"/>
      <c r="E302" s="1406"/>
      <c r="F302" s="1406"/>
      <c r="G302" s="1406"/>
      <c r="H302" s="1412">
        <f>SUM(H300:H301)</f>
        <v>3.5299999999999998E-2</v>
      </c>
      <c r="I302" s="1205" t="s">
        <v>2308</v>
      </c>
      <c r="J302" s="1162"/>
    </row>
    <row r="303" spans="1:12" s="1256" customFormat="1" hidden="1">
      <c r="A303" s="1156"/>
      <c r="B303" s="1218"/>
      <c r="C303" s="1255" t="s">
        <v>320</v>
      </c>
      <c r="D303" s="1406">
        <v>1</v>
      </c>
      <c r="E303" s="1407">
        <v>2.0099999999999998</v>
      </c>
      <c r="F303" s="1408">
        <v>0.8</v>
      </c>
      <c r="G303" s="1408">
        <v>0.03</v>
      </c>
      <c r="H303" s="1409">
        <f>ROUND(D303*E303*F303*G303,4)</f>
        <v>4.82E-2</v>
      </c>
      <c r="I303" s="1205" t="s">
        <v>2308</v>
      </c>
      <c r="J303" s="1162"/>
    </row>
    <row r="304" spans="1:12" s="1256" customFormat="1" hidden="1">
      <c r="A304" s="1156"/>
      <c r="B304" s="1218"/>
      <c r="C304" s="1253"/>
      <c r="D304" s="1406"/>
      <c r="E304" s="1406"/>
      <c r="F304" s="1406"/>
      <c r="G304" s="1406"/>
      <c r="H304" s="1412">
        <f>SUM(H303:H303)</f>
        <v>4.82E-2</v>
      </c>
      <c r="I304" s="1205" t="s">
        <v>2308</v>
      </c>
      <c r="J304" s="1162"/>
    </row>
    <row r="305" spans="1:10" s="1256" customFormat="1" hidden="1">
      <c r="A305" s="1156"/>
      <c r="B305" s="1218" t="s">
        <v>1375</v>
      </c>
      <c r="C305" s="1253" t="s">
        <v>1374</v>
      </c>
      <c r="E305" s="1212" t="s">
        <v>35</v>
      </c>
      <c r="F305" s="1226">
        <f>H302</f>
        <v>3.5299999999999998E-2</v>
      </c>
      <c r="G305" s="1213">
        <f>'MINI SSR 2020-21'!C142</f>
        <v>71195</v>
      </c>
      <c r="H305" s="1214">
        <f t="shared" ref="H305:H312" si="20">ROUND(F305*G305,2)</f>
        <v>2513.1799999999998</v>
      </c>
      <c r="I305" s="1205" t="s">
        <v>2308</v>
      </c>
      <c r="J305" s="1162"/>
    </row>
    <row r="306" spans="1:10" s="1256" customFormat="1" hidden="1">
      <c r="A306" s="1156"/>
      <c r="B306" s="1218" t="s">
        <v>1377</v>
      </c>
      <c r="C306" s="1253" t="s">
        <v>1376</v>
      </c>
      <c r="E306" s="1212" t="s">
        <v>35</v>
      </c>
      <c r="F306" s="1226">
        <f>H304</f>
        <v>4.82E-2</v>
      </c>
      <c r="G306" s="1213">
        <f>'MINI SSR 2020-21'!C143</f>
        <v>142391</v>
      </c>
      <c r="H306" s="1214">
        <f t="shared" si="20"/>
        <v>6863.25</v>
      </c>
      <c r="I306" s="1205" t="s">
        <v>2308</v>
      </c>
      <c r="J306" s="1162"/>
    </row>
    <row r="307" spans="1:10" s="1256" customFormat="1" hidden="1">
      <c r="A307" s="1156"/>
      <c r="B307" s="1218" t="s">
        <v>1379</v>
      </c>
      <c r="C307" s="1253" t="s">
        <v>1378</v>
      </c>
      <c r="D307" s="1212"/>
      <c r="E307" s="1212" t="s">
        <v>11</v>
      </c>
      <c r="F307" s="1240">
        <v>2</v>
      </c>
      <c r="G307" s="1213">
        <f t="shared" ref="G307:G312" si="21">G252</f>
        <v>231</v>
      </c>
      <c r="H307" s="1214">
        <f t="shared" si="20"/>
        <v>462</v>
      </c>
      <c r="I307" s="1205" t="s">
        <v>2308</v>
      </c>
      <c r="J307" s="1162"/>
    </row>
    <row r="308" spans="1:10" s="1256" customFormat="1" hidden="1">
      <c r="A308" s="1156"/>
      <c r="B308" s="1218" t="s">
        <v>1381</v>
      </c>
      <c r="C308" s="1253" t="s">
        <v>1380</v>
      </c>
      <c r="D308" s="1212"/>
      <c r="E308" s="1212" t="s">
        <v>11</v>
      </c>
      <c r="F308" s="1240">
        <v>3</v>
      </c>
      <c r="G308" s="1213">
        <f t="shared" si="21"/>
        <v>246</v>
      </c>
      <c r="H308" s="1214">
        <f t="shared" si="20"/>
        <v>738</v>
      </c>
      <c r="I308" s="1205" t="s">
        <v>2308</v>
      </c>
      <c r="J308" s="1162"/>
    </row>
    <row r="309" spans="1:10" s="1256" customFormat="1" hidden="1">
      <c r="A309" s="1156"/>
      <c r="B309" s="1218" t="s">
        <v>1383</v>
      </c>
      <c r="C309" s="1253" t="s">
        <v>1382</v>
      </c>
      <c r="D309" s="1212"/>
      <c r="E309" s="1212" t="s">
        <v>11</v>
      </c>
      <c r="F309" s="1240"/>
      <c r="G309" s="1213">
        <f t="shared" si="21"/>
        <v>103</v>
      </c>
      <c r="H309" s="1214">
        <f t="shared" si="20"/>
        <v>0</v>
      </c>
      <c r="I309" s="1205" t="s">
        <v>2308</v>
      </c>
      <c r="J309" s="1162"/>
    </row>
    <row r="310" spans="1:10" s="1256" customFormat="1" hidden="1">
      <c r="A310" s="1156"/>
      <c r="B310" s="1218" t="s">
        <v>1385</v>
      </c>
      <c r="C310" s="1253" t="s">
        <v>1384</v>
      </c>
      <c r="D310" s="1212"/>
      <c r="E310" s="1212" t="s">
        <v>11</v>
      </c>
      <c r="F310" s="1240">
        <v>2</v>
      </c>
      <c r="G310" s="1213">
        <f t="shared" si="21"/>
        <v>1087</v>
      </c>
      <c r="H310" s="1214">
        <f t="shared" si="20"/>
        <v>2174</v>
      </c>
      <c r="I310" s="1205" t="s">
        <v>2308</v>
      </c>
      <c r="J310" s="1162"/>
    </row>
    <row r="311" spans="1:10" hidden="1">
      <c r="A311" s="1156"/>
      <c r="B311" s="1218" t="s">
        <v>1387</v>
      </c>
      <c r="C311" s="1253" t="s">
        <v>1386</v>
      </c>
      <c r="D311" s="1212"/>
      <c r="E311" s="1212" t="s">
        <v>11</v>
      </c>
      <c r="F311" s="1240">
        <v>1</v>
      </c>
      <c r="G311" s="1213">
        <f t="shared" si="21"/>
        <v>168</v>
      </c>
      <c r="H311" s="1214">
        <f t="shared" si="20"/>
        <v>168</v>
      </c>
      <c r="I311" s="1205" t="s">
        <v>2308</v>
      </c>
    </row>
    <row r="312" spans="1:10" hidden="1">
      <c r="A312" s="1156"/>
      <c r="B312" s="1218" t="s">
        <v>1389</v>
      </c>
      <c r="C312" s="1253" t="s">
        <v>1388</v>
      </c>
      <c r="D312" s="1212"/>
      <c r="E312" s="1212" t="s">
        <v>11</v>
      </c>
      <c r="F312" s="1240">
        <v>6</v>
      </c>
      <c r="G312" s="1213">
        <f t="shared" si="21"/>
        <v>32</v>
      </c>
      <c r="H312" s="1214">
        <f t="shared" si="20"/>
        <v>192</v>
      </c>
      <c r="I312" s="1205" t="s">
        <v>2308</v>
      </c>
    </row>
    <row r="313" spans="1:10" hidden="1">
      <c r="A313" s="1156"/>
      <c r="B313" s="1218"/>
      <c r="C313" s="1255" t="s">
        <v>68</v>
      </c>
      <c r="D313" s="1162"/>
      <c r="E313" s="1212"/>
      <c r="F313" s="1213"/>
      <c r="G313" s="1213"/>
      <c r="H313" s="1214"/>
      <c r="I313" s="1205" t="s">
        <v>2308</v>
      </c>
    </row>
    <row r="314" spans="1:10" hidden="1">
      <c r="A314" s="1156"/>
      <c r="B314" s="1212" t="s">
        <v>1391</v>
      </c>
      <c r="C314" s="1253" t="s">
        <v>1390</v>
      </c>
      <c r="D314" s="1162"/>
      <c r="E314" s="1212" t="s">
        <v>102</v>
      </c>
      <c r="F314" s="1213">
        <f>ROUND(0.9*2.1,2)</f>
        <v>1.89</v>
      </c>
      <c r="G314" s="1213">
        <f>G259</f>
        <v>1570</v>
      </c>
      <c r="H314" s="1214">
        <f>ROUND(F314*G314*1/3,2)</f>
        <v>989.1</v>
      </c>
      <c r="I314" s="1205" t="s">
        <v>2308</v>
      </c>
    </row>
    <row r="315" spans="1:10" hidden="1">
      <c r="A315" s="1156"/>
      <c r="B315" s="1218"/>
      <c r="C315" s="1255"/>
      <c r="D315" s="1212"/>
      <c r="E315" s="1212"/>
      <c r="F315" s="1212"/>
      <c r="G315" s="1212"/>
      <c r="H315" s="1222">
        <f>SUM(H305:H314)</f>
        <v>14099.53</v>
      </c>
      <c r="I315" s="1205" t="s">
        <v>2308</v>
      </c>
    </row>
    <row r="316" spans="1:10" ht="127.5" hidden="1">
      <c r="A316" s="1156">
        <v>4</v>
      </c>
      <c r="B316" s="1218"/>
      <c r="C316" s="1253" t="s">
        <v>1684</v>
      </c>
      <c r="D316" s="1212"/>
      <c r="E316" s="1212"/>
      <c r="F316" s="1212"/>
      <c r="G316" s="1212"/>
      <c r="H316" s="1215"/>
      <c r="I316" s="1205" t="s">
        <v>2308</v>
      </c>
    </row>
    <row r="317" spans="1:10" hidden="1">
      <c r="A317" s="1156"/>
      <c r="B317" s="1218"/>
      <c r="C317" s="1255" t="s">
        <v>100</v>
      </c>
      <c r="D317" s="1212"/>
      <c r="E317" s="1212"/>
      <c r="F317" s="1212"/>
      <c r="G317" s="1212"/>
      <c r="H317" s="1215"/>
      <c r="I317" s="1205" t="s">
        <v>2308</v>
      </c>
    </row>
    <row r="318" spans="1:10" s="1256" customFormat="1" hidden="1">
      <c r="A318" s="1156"/>
      <c r="B318" s="1218"/>
      <c r="C318" s="1255" t="s">
        <v>594</v>
      </c>
      <c r="D318" s="1212"/>
      <c r="E318" s="1212"/>
      <c r="F318" s="1212"/>
      <c r="G318" s="1212"/>
      <c r="H318" s="1215"/>
      <c r="I318" s="1205" t="s">
        <v>2308</v>
      </c>
      <c r="J318" s="1162"/>
    </row>
    <row r="319" spans="1:10" s="1256" customFormat="1" hidden="1">
      <c r="A319" s="1156"/>
      <c r="B319" s="1218"/>
      <c r="C319" s="1253" t="s">
        <v>2</v>
      </c>
      <c r="D319" s="1406">
        <v>2</v>
      </c>
      <c r="E319" s="1407">
        <v>1.9</v>
      </c>
      <c r="F319" s="1408">
        <v>0.1</v>
      </c>
      <c r="G319" s="1408">
        <v>7.4999999999999997E-2</v>
      </c>
      <c r="H319" s="1409">
        <f>ROUND(D319*E319*F319*G319,4)</f>
        <v>2.8500000000000001E-2</v>
      </c>
      <c r="I319" s="1205" t="s">
        <v>2308</v>
      </c>
      <c r="J319" s="1162"/>
    </row>
    <row r="320" spans="1:10" s="1256" customFormat="1" hidden="1">
      <c r="A320" s="1156"/>
      <c r="B320" s="1218"/>
      <c r="C320" s="1253" t="s">
        <v>741</v>
      </c>
      <c r="D320" s="1406">
        <v>1</v>
      </c>
      <c r="E320" s="1407">
        <v>0.8</v>
      </c>
      <c r="F320" s="1408">
        <v>0.1</v>
      </c>
      <c r="G320" s="1408">
        <v>7.4999999999999997E-2</v>
      </c>
      <c r="H320" s="1409">
        <f>ROUND(D320*E320*F320*G320,4)</f>
        <v>6.0000000000000001E-3</v>
      </c>
      <c r="I320" s="1205" t="s">
        <v>2308</v>
      </c>
      <c r="J320" s="1162"/>
    </row>
    <row r="321" spans="1:10" s="1256" customFormat="1" hidden="1">
      <c r="A321" s="1156"/>
      <c r="B321" s="1218"/>
      <c r="C321" s="1255"/>
      <c r="D321" s="1406"/>
      <c r="E321" s="1406"/>
      <c r="F321" s="1406"/>
      <c r="G321" s="1406"/>
      <c r="H321" s="1412">
        <f>SUM(H319:H320)</f>
        <v>3.4500000000000003E-2</v>
      </c>
      <c r="I321" s="1205" t="s">
        <v>2308</v>
      </c>
      <c r="J321" s="1162"/>
    </row>
    <row r="322" spans="1:10" s="1256" customFormat="1" hidden="1">
      <c r="A322" s="1156"/>
      <c r="B322" s="1218"/>
      <c r="C322" s="1255" t="s">
        <v>320</v>
      </c>
      <c r="D322" s="1406">
        <v>1</v>
      </c>
      <c r="E322" s="1407">
        <v>2.0099999999999998</v>
      </c>
      <c r="F322" s="1408">
        <v>0.72</v>
      </c>
      <c r="G322" s="1408">
        <v>0.03</v>
      </c>
      <c r="H322" s="1409">
        <f>ROUND(D322*E322*F322*G322,4)</f>
        <v>4.3400000000000001E-2</v>
      </c>
      <c r="I322" s="1205" t="s">
        <v>2308</v>
      </c>
      <c r="J322" s="1162"/>
    </row>
    <row r="323" spans="1:10" s="1256" customFormat="1" hidden="1">
      <c r="A323" s="1156"/>
      <c r="B323" s="1218"/>
      <c r="C323" s="1253"/>
      <c r="D323" s="1406"/>
      <c r="E323" s="1406"/>
      <c r="F323" s="1406"/>
      <c r="G323" s="1406"/>
      <c r="H323" s="1412">
        <f>SUM(H322:H322)</f>
        <v>4.3400000000000001E-2</v>
      </c>
      <c r="I323" s="1205" t="s">
        <v>2308</v>
      </c>
      <c r="J323" s="1162"/>
    </row>
    <row r="324" spans="1:10" s="1256" customFormat="1" hidden="1">
      <c r="A324" s="1156"/>
      <c r="B324" s="1218" t="s">
        <v>1375</v>
      </c>
      <c r="C324" s="1253" t="s">
        <v>1374</v>
      </c>
      <c r="E324" s="1212" t="s">
        <v>35</v>
      </c>
      <c r="F324" s="1226">
        <f>H321</f>
        <v>3.4500000000000003E-2</v>
      </c>
      <c r="G324" s="1213">
        <f t="shared" ref="G324:G331" si="22">G305</f>
        <v>71195</v>
      </c>
      <c r="H324" s="1214">
        <f t="shared" ref="H324:H331" si="23">ROUND(F324*G324,2)</f>
        <v>2456.23</v>
      </c>
      <c r="I324" s="1205" t="s">
        <v>2308</v>
      </c>
      <c r="J324" s="1162"/>
    </row>
    <row r="325" spans="1:10" s="1256" customFormat="1" hidden="1">
      <c r="A325" s="1156"/>
      <c r="B325" s="1218" t="s">
        <v>1377</v>
      </c>
      <c r="C325" s="1253" t="s">
        <v>1376</v>
      </c>
      <c r="E325" s="1212" t="s">
        <v>35</v>
      </c>
      <c r="F325" s="1226">
        <f>H323</f>
        <v>4.3400000000000001E-2</v>
      </c>
      <c r="G325" s="1213">
        <f t="shared" si="22"/>
        <v>142391</v>
      </c>
      <c r="H325" s="1214">
        <f t="shared" si="23"/>
        <v>6179.77</v>
      </c>
      <c r="I325" s="1205" t="s">
        <v>2308</v>
      </c>
      <c r="J325" s="1162"/>
    </row>
    <row r="326" spans="1:10" s="1256" customFormat="1" hidden="1">
      <c r="A326" s="1156"/>
      <c r="B326" s="1218" t="s">
        <v>1379</v>
      </c>
      <c r="C326" s="1253" t="s">
        <v>1378</v>
      </c>
      <c r="D326" s="1212"/>
      <c r="E326" s="1212" t="s">
        <v>11</v>
      </c>
      <c r="F326" s="1240">
        <v>2</v>
      </c>
      <c r="G326" s="1213">
        <f t="shared" si="22"/>
        <v>231</v>
      </c>
      <c r="H326" s="1214">
        <f t="shared" si="23"/>
        <v>462</v>
      </c>
      <c r="I326" s="1205" t="s">
        <v>2308</v>
      </c>
      <c r="J326" s="1162"/>
    </row>
    <row r="327" spans="1:10" s="1256" customFormat="1" hidden="1">
      <c r="A327" s="1156"/>
      <c r="B327" s="1218" t="s">
        <v>1381</v>
      </c>
      <c r="C327" s="1253" t="s">
        <v>1380</v>
      </c>
      <c r="D327" s="1212"/>
      <c r="E327" s="1212" t="s">
        <v>11</v>
      </c>
      <c r="F327" s="1240">
        <v>3</v>
      </c>
      <c r="G327" s="1213">
        <f t="shared" si="22"/>
        <v>246</v>
      </c>
      <c r="H327" s="1214">
        <f t="shared" si="23"/>
        <v>738</v>
      </c>
      <c r="I327" s="1205" t="s">
        <v>2308</v>
      </c>
      <c r="J327" s="1162"/>
    </row>
    <row r="328" spans="1:10" s="1256" customFormat="1" hidden="1">
      <c r="A328" s="1156"/>
      <c r="B328" s="1218" t="s">
        <v>1383</v>
      </c>
      <c r="C328" s="1253" t="s">
        <v>1382</v>
      </c>
      <c r="D328" s="1212"/>
      <c r="E328" s="1212" t="s">
        <v>11</v>
      </c>
      <c r="F328" s="1240"/>
      <c r="G328" s="1213">
        <f t="shared" si="22"/>
        <v>103</v>
      </c>
      <c r="H328" s="1214">
        <f t="shared" si="23"/>
        <v>0</v>
      </c>
      <c r="I328" s="1205" t="s">
        <v>2308</v>
      </c>
      <c r="J328" s="1162"/>
    </row>
    <row r="329" spans="1:10" s="1256" customFormat="1" hidden="1">
      <c r="A329" s="1156"/>
      <c r="B329" s="1218" t="s">
        <v>1385</v>
      </c>
      <c r="C329" s="1253" t="s">
        <v>1384</v>
      </c>
      <c r="D329" s="1212"/>
      <c r="E329" s="1212" t="s">
        <v>11</v>
      </c>
      <c r="F329" s="1240">
        <v>2</v>
      </c>
      <c r="G329" s="1213">
        <f t="shared" si="22"/>
        <v>1087</v>
      </c>
      <c r="H329" s="1214">
        <f t="shared" si="23"/>
        <v>2174</v>
      </c>
      <c r="I329" s="1205" t="s">
        <v>2308</v>
      </c>
      <c r="J329" s="1162"/>
    </row>
    <row r="330" spans="1:10" hidden="1">
      <c r="A330" s="1156"/>
      <c r="B330" s="1218" t="s">
        <v>1387</v>
      </c>
      <c r="C330" s="1253" t="s">
        <v>1386</v>
      </c>
      <c r="D330" s="1212"/>
      <c r="E330" s="1212" t="s">
        <v>11</v>
      </c>
      <c r="F330" s="1240">
        <v>1</v>
      </c>
      <c r="G330" s="1213">
        <f t="shared" si="22"/>
        <v>168</v>
      </c>
      <c r="H330" s="1214">
        <f t="shared" si="23"/>
        <v>168</v>
      </c>
      <c r="I330" s="1205" t="s">
        <v>2308</v>
      </c>
    </row>
    <row r="331" spans="1:10" hidden="1">
      <c r="A331" s="1156"/>
      <c r="B331" s="1218" t="s">
        <v>1389</v>
      </c>
      <c r="C331" s="1253" t="s">
        <v>1388</v>
      </c>
      <c r="D331" s="1212"/>
      <c r="E331" s="1212" t="s">
        <v>11</v>
      </c>
      <c r="F331" s="1240">
        <v>6</v>
      </c>
      <c r="G331" s="1213">
        <f t="shared" si="22"/>
        <v>32</v>
      </c>
      <c r="H331" s="1214">
        <f t="shared" si="23"/>
        <v>192</v>
      </c>
      <c r="I331" s="1205" t="s">
        <v>2308</v>
      </c>
    </row>
    <row r="332" spans="1:10" hidden="1">
      <c r="A332" s="1156"/>
      <c r="B332" s="1218"/>
      <c r="C332" s="1255" t="s">
        <v>68</v>
      </c>
      <c r="D332" s="1162"/>
      <c r="E332" s="1212"/>
      <c r="F332" s="1213"/>
      <c r="G332" s="1213"/>
      <c r="H332" s="1214"/>
      <c r="I332" s="1205" t="s">
        <v>2308</v>
      </c>
    </row>
    <row r="333" spans="1:10" hidden="1">
      <c r="A333" s="1156"/>
      <c r="B333" s="1212" t="s">
        <v>1391</v>
      </c>
      <c r="C333" s="1253" t="s">
        <v>1390</v>
      </c>
      <c r="D333" s="1162"/>
      <c r="E333" s="1212" t="s">
        <v>102</v>
      </c>
      <c r="F333" s="1213">
        <f>ROUND(0.9*2.1,2)</f>
        <v>1.89</v>
      </c>
      <c r="G333" s="1213">
        <f>G314</f>
        <v>1570</v>
      </c>
      <c r="H333" s="1214">
        <f>ROUND(F333*G333*1/3,2)</f>
        <v>989.1</v>
      </c>
      <c r="I333" s="1205" t="s">
        <v>2308</v>
      </c>
    </row>
    <row r="334" spans="1:10" hidden="1">
      <c r="A334" s="1156"/>
      <c r="B334" s="1218"/>
      <c r="C334" s="1255"/>
      <c r="D334" s="1212"/>
      <c r="E334" s="1212"/>
      <c r="F334" s="1212"/>
      <c r="G334" s="1212"/>
      <c r="H334" s="1222">
        <f>SUM(H324:H333)</f>
        <v>13359.1</v>
      </c>
      <c r="I334" s="1205" t="s">
        <v>2308</v>
      </c>
    </row>
    <row r="335" spans="1:10" ht="114.75" hidden="1">
      <c r="A335" s="1156">
        <v>2</v>
      </c>
      <c r="B335" s="1218"/>
      <c r="C335" s="1253" t="s">
        <v>1685</v>
      </c>
      <c r="D335" s="1212"/>
      <c r="E335" s="1212"/>
      <c r="F335" s="1212"/>
      <c r="G335" s="1212"/>
      <c r="H335" s="1215"/>
      <c r="I335" s="1205" t="s">
        <v>2308</v>
      </c>
    </row>
    <row r="336" spans="1:10" hidden="1">
      <c r="A336" s="1156"/>
      <c r="B336" s="1218"/>
      <c r="C336" s="1255" t="s">
        <v>100</v>
      </c>
      <c r="D336" s="1212"/>
      <c r="E336" s="1212"/>
      <c r="F336" s="1212"/>
      <c r="G336" s="1212"/>
      <c r="H336" s="1215"/>
      <c r="I336" s="1205" t="s">
        <v>2308</v>
      </c>
    </row>
    <row r="337" spans="1:10" s="1256" customFormat="1" hidden="1">
      <c r="A337" s="1156"/>
      <c r="B337" s="1218"/>
      <c r="C337" s="1255" t="s">
        <v>1</v>
      </c>
      <c r="D337" s="1212"/>
      <c r="E337" s="1212"/>
      <c r="F337" s="1212"/>
      <c r="G337" s="1212"/>
      <c r="H337" s="1215"/>
      <c r="I337" s="1205" t="s">
        <v>2308</v>
      </c>
      <c r="J337" s="1162"/>
    </row>
    <row r="338" spans="1:10" s="1256" customFormat="1" hidden="1">
      <c r="A338" s="1156"/>
      <c r="B338" s="1218"/>
      <c r="C338" s="1253" t="s">
        <v>2</v>
      </c>
      <c r="D338" s="1406">
        <v>2</v>
      </c>
      <c r="E338" s="1407">
        <v>1.9</v>
      </c>
      <c r="F338" s="1408">
        <v>0.1</v>
      </c>
      <c r="G338" s="1408">
        <v>7.4999999999999997E-2</v>
      </c>
      <c r="H338" s="1409">
        <f>ROUND(D338*E338*F338*G338,4)</f>
        <v>2.8500000000000001E-2</v>
      </c>
      <c r="I338" s="1205" t="s">
        <v>2308</v>
      </c>
      <c r="J338" s="1162"/>
    </row>
    <row r="339" spans="1:10" s="1256" customFormat="1" hidden="1">
      <c r="A339" s="1156"/>
      <c r="B339" s="1218"/>
      <c r="C339" s="1253" t="s">
        <v>741</v>
      </c>
      <c r="D339" s="1406">
        <v>1</v>
      </c>
      <c r="E339" s="1407">
        <v>0.9</v>
      </c>
      <c r="F339" s="1408">
        <v>0.1</v>
      </c>
      <c r="G339" s="1408">
        <v>7.4999999999999997E-2</v>
      </c>
      <c r="H339" s="1409">
        <f>ROUND(D339*E339*F339*G339,4)</f>
        <v>6.7999999999999996E-3</v>
      </c>
      <c r="I339" s="1205" t="s">
        <v>2308</v>
      </c>
      <c r="J339" s="1162"/>
    </row>
    <row r="340" spans="1:10" s="1256" customFormat="1" hidden="1">
      <c r="A340" s="1156"/>
      <c r="B340" s="1218"/>
      <c r="C340" s="1255"/>
      <c r="D340" s="1406"/>
      <c r="E340" s="1406"/>
      <c r="F340" s="1406"/>
      <c r="G340" s="1406"/>
      <c r="H340" s="1412">
        <f>SUM(H338:H339)</f>
        <v>3.5299999999999998E-2</v>
      </c>
      <c r="I340" s="1205" t="s">
        <v>2308</v>
      </c>
      <c r="J340" s="1162"/>
    </row>
    <row r="341" spans="1:10" s="1256" customFormat="1" hidden="1">
      <c r="A341" s="1156"/>
      <c r="B341" s="1218"/>
      <c r="C341" s="1255" t="s">
        <v>1686</v>
      </c>
      <c r="D341" s="1406">
        <v>2</v>
      </c>
      <c r="E341" s="1407">
        <v>2.0099999999999998</v>
      </c>
      <c r="F341" s="1408">
        <v>0.4</v>
      </c>
      <c r="G341" s="1408">
        <v>0.03</v>
      </c>
      <c r="H341" s="1409">
        <f>ROUND(D341*E341*F341*G341,4)</f>
        <v>4.82E-2</v>
      </c>
      <c r="I341" s="1205" t="s">
        <v>2308</v>
      </c>
      <c r="J341" s="1162"/>
    </row>
    <row r="342" spans="1:10" s="1256" customFormat="1" hidden="1">
      <c r="A342" s="1156"/>
      <c r="B342" s="1218"/>
      <c r="C342" s="1253"/>
      <c r="D342" s="1406"/>
      <c r="E342" s="1406"/>
      <c r="F342" s="1406"/>
      <c r="G342" s="1406"/>
      <c r="H342" s="1412">
        <f>SUM(H341:H341)</f>
        <v>4.82E-2</v>
      </c>
      <c r="I342" s="1205" t="s">
        <v>2308</v>
      </c>
      <c r="J342" s="1162"/>
    </row>
    <row r="343" spans="1:10" s="1256" customFormat="1" hidden="1">
      <c r="A343" s="1156"/>
      <c r="B343" s="1218" t="s">
        <v>1687</v>
      </c>
      <c r="C343" s="1253" t="s">
        <v>1688</v>
      </c>
      <c r="E343" s="1212" t="s">
        <v>35</v>
      </c>
      <c r="F343" s="1226">
        <f>H340</f>
        <v>3.5299999999999998E-2</v>
      </c>
      <c r="G343" s="1213">
        <f>'MINI SSR 2020-21'!$C$144</f>
        <v>46217</v>
      </c>
      <c r="H343" s="1214">
        <f t="shared" ref="H343:H350" si="24">ROUND(F343*G343,2)</f>
        <v>1631.46</v>
      </c>
      <c r="I343" s="1205" t="s">
        <v>2308</v>
      </c>
      <c r="J343" s="1162"/>
    </row>
    <row r="344" spans="1:10" s="1256" customFormat="1" hidden="1">
      <c r="A344" s="1156"/>
      <c r="B344" s="1218" t="s">
        <v>1689</v>
      </c>
      <c r="C344" s="1253" t="s">
        <v>1690</v>
      </c>
      <c r="E344" s="1212" t="s">
        <v>35</v>
      </c>
      <c r="F344" s="1226">
        <f>H342</f>
        <v>4.82E-2</v>
      </c>
      <c r="G344" s="1213">
        <f>'MINI SSR 2020-21'!C145</f>
        <v>58690</v>
      </c>
      <c r="H344" s="1214">
        <f t="shared" si="24"/>
        <v>2828.86</v>
      </c>
      <c r="I344" s="1205" t="s">
        <v>2308</v>
      </c>
      <c r="J344" s="1162"/>
    </row>
    <row r="345" spans="1:10" s="1256" customFormat="1" hidden="1">
      <c r="A345" s="1156"/>
      <c r="B345" s="1218" t="s">
        <v>1396</v>
      </c>
      <c r="C345" s="1253" t="s">
        <v>1691</v>
      </c>
      <c r="D345" s="1212"/>
      <c r="E345" s="1212" t="s">
        <v>11</v>
      </c>
      <c r="F345" s="1240">
        <v>2</v>
      </c>
      <c r="G345" s="1213">
        <f>'MINI SSR 2020-21'!G143</f>
        <v>84</v>
      </c>
      <c r="H345" s="1214">
        <f t="shared" si="24"/>
        <v>168</v>
      </c>
      <c r="I345" s="1205" t="s">
        <v>2308</v>
      </c>
      <c r="J345" s="1162"/>
    </row>
    <row r="346" spans="1:10" s="1256" customFormat="1" hidden="1">
      <c r="A346" s="1156"/>
      <c r="B346" s="1218" t="s">
        <v>1398</v>
      </c>
      <c r="C346" s="1253" t="s">
        <v>1380</v>
      </c>
      <c r="D346" s="1212"/>
      <c r="E346" s="1212" t="s">
        <v>11</v>
      </c>
      <c r="F346" s="1240">
        <v>6</v>
      </c>
      <c r="G346" s="1213">
        <f>'MINI SSR 2020-21'!G146</f>
        <v>117</v>
      </c>
      <c r="H346" s="1214">
        <f t="shared" si="24"/>
        <v>702</v>
      </c>
      <c r="I346" s="1205" t="s">
        <v>2308</v>
      </c>
      <c r="J346" s="1162"/>
    </row>
    <row r="347" spans="1:10" s="1256" customFormat="1" hidden="1">
      <c r="A347" s="1156"/>
      <c r="B347" s="1218" t="s">
        <v>1383</v>
      </c>
      <c r="C347" s="1253" t="s">
        <v>1382</v>
      </c>
      <c r="D347" s="1212"/>
      <c r="E347" s="1212" t="s">
        <v>11</v>
      </c>
      <c r="F347" s="1240"/>
      <c r="G347" s="1213">
        <f>'MINI SSR 2020-21'!G147</f>
        <v>103</v>
      </c>
      <c r="H347" s="1214">
        <f t="shared" si="24"/>
        <v>0</v>
      </c>
      <c r="I347" s="1205" t="s">
        <v>2308</v>
      </c>
      <c r="J347" s="1162"/>
    </row>
    <row r="348" spans="1:10" s="1256" customFormat="1" hidden="1">
      <c r="A348" s="1156"/>
      <c r="B348" s="1218" t="s">
        <v>1400</v>
      </c>
      <c r="C348" s="1253" t="s">
        <v>1692</v>
      </c>
      <c r="D348" s="1212"/>
      <c r="E348" s="1212" t="s">
        <v>11</v>
      </c>
      <c r="F348" s="1240">
        <v>2</v>
      </c>
      <c r="G348" s="1213">
        <f>'MINI SSR 2020-21'!G149</f>
        <v>308</v>
      </c>
      <c r="H348" s="1214">
        <f t="shared" si="24"/>
        <v>616</v>
      </c>
      <c r="I348" s="1205" t="s">
        <v>2308</v>
      </c>
      <c r="J348" s="1162"/>
    </row>
    <row r="349" spans="1:10" hidden="1">
      <c r="A349" s="1156"/>
      <c r="B349" s="1218" t="s">
        <v>1693</v>
      </c>
      <c r="C349" s="1253" t="s">
        <v>1694</v>
      </c>
      <c r="D349" s="1212"/>
      <c r="E349" s="1212" t="s">
        <v>11</v>
      </c>
      <c r="F349" s="1240">
        <v>1</v>
      </c>
      <c r="G349" s="1213">
        <f>'MINI SSR 2020-21'!G155</f>
        <v>53</v>
      </c>
      <c r="H349" s="1214">
        <f t="shared" si="24"/>
        <v>53</v>
      </c>
      <c r="I349" s="1205" t="s">
        <v>2308</v>
      </c>
    </row>
    <row r="350" spans="1:10" hidden="1">
      <c r="A350" s="1156"/>
      <c r="B350" s="1218" t="s">
        <v>1389</v>
      </c>
      <c r="C350" s="1253" t="s">
        <v>1388</v>
      </c>
      <c r="D350" s="1212"/>
      <c r="E350" s="1212" t="s">
        <v>11</v>
      </c>
      <c r="F350" s="1240">
        <v>6</v>
      </c>
      <c r="G350" s="1213">
        <f>'MINI SSR 2020-21'!G152</f>
        <v>32</v>
      </c>
      <c r="H350" s="1214">
        <f t="shared" si="24"/>
        <v>192</v>
      </c>
      <c r="I350" s="1205" t="s">
        <v>2308</v>
      </c>
    </row>
    <row r="351" spans="1:10" hidden="1">
      <c r="A351" s="1156"/>
      <c r="B351" s="1218"/>
      <c r="C351" s="1255" t="s">
        <v>68</v>
      </c>
      <c r="D351" s="1162"/>
      <c r="E351" s="1212"/>
      <c r="F351" s="1213"/>
      <c r="G351" s="1217"/>
      <c r="H351" s="1214"/>
      <c r="I351" s="1205" t="s">
        <v>2308</v>
      </c>
    </row>
    <row r="352" spans="1:10" hidden="1">
      <c r="A352" s="1156"/>
      <c r="B352" s="1212" t="s">
        <v>1695</v>
      </c>
      <c r="C352" s="1253" t="s">
        <v>1390</v>
      </c>
      <c r="D352" s="1162"/>
      <c r="E352" s="1212" t="s">
        <v>102</v>
      </c>
      <c r="F352" s="1213">
        <f>ROUND(0.9*2.1,2)</f>
        <v>1.89</v>
      </c>
      <c r="G352" s="1213">
        <f>'MINI SSR 2020-21'!$C$150</f>
        <v>1452</v>
      </c>
      <c r="H352" s="1214">
        <f>ROUND(F352*G352*1/3,2)</f>
        <v>914.76</v>
      </c>
      <c r="I352" s="1205" t="s">
        <v>2308</v>
      </c>
    </row>
    <row r="353" spans="1:10" hidden="1">
      <c r="A353" s="1156"/>
      <c r="B353" s="1218"/>
      <c r="C353" s="1255"/>
      <c r="D353" s="1212"/>
      <c r="E353" s="1212"/>
      <c r="F353" s="1212"/>
      <c r="G353" s="1212"/>
      <c r="H353" s="1222">
        <f>SUM(H343:H352)</f>
        <v>7106.08</v>
      </c>
      <c r="I353" s="1205" t="s">
        <v>2308</v>
      </c>
    </row>
    <row r="354" spans="1:10" ht="114.75" hidden="1">
      <c r="A354" s="1156">
        <v>3</v>
      </c>
      <c r="B354" s="1218"/>
      <c r="C354" s="1253" t="s">
        <v>1696</v>
      </c>
      <c r="D354" s="1212"/>
      <c r="E354" s="1212"/>
      <c r="F354" s="1212"/>
      <c r="G354" s="1212"/>
      <c r="H354" s="1215"/>
      <c r="I354" s="1205" t="s">
        <v>2308</v>
      </c>
    </row>
    <row r="355" spans="1:10" hidden="1">
      <c r="A355" s="1156"/>
      <c r="B355" s="1218"/>
      <c r="C355" s="1255" t="s">
        <v>100</v>
      </c>
      <c r="D355" s="1212"/>
      <c r="E355" s="1212"/>
      <c r="F355" s="1212"/>
      <c r="G355" s="1212"/>
      <c r="H355" s="1215"/>
      <c r="I355" s="1205" t="s">
        <v>2308</v>
      </c>
    </row>
    <row r="356" spans="1:10" s="1256" customFormat="1" hidden="1">
      <c r="A356" s="1156"/>
      <c r="B356" s="1218"/>
      <c r="C356" s="1255" t="s">
        <v>1</v>
      </c>
      <c r="D356" s="1212"/>
      <c r="E356" s="1212"/>
      <c r="F356" s="1212"/>
      <c r="G356" s="1212"/>
      <c r="H356" s="1215"/>
      <c r="I356" s="1205" t="s">
        <v>2308</v>
      </c>
      <c r="J356" s="1162"/>
    </row>
    <row r="357" spans="1:10" s="1256" customFormat="1" hidden="1">
      <c r="A357" s="1156"/>
      <c r="B357" s="1218"/>
      <c r="C357" s="1253" t="s">
        <v>2</v>
      </c>
      <c r="D357" s="1406">
        <v>2</v>
      </c>
      <c r="E357" s="1407">
        <v>1.9</v>
      </c>
      <c r="F357" s="1408">
        <v>0.1</v>
      </c>
      <c r="G357" s="1408">
        <v>7.4999999999999997E-2</v>
      </c>
      <c r="H357" s="1409">
        <f>ROUND(D357*E357*F357*G357,4)</f>
        <v>2.8500000000000001E-2</v>
      </c>
      <c r="I357" s="1205" t="s">
        <v>2308</v>
      </c>
      <c r="J357" s="1162"/>
    </row>
    <row r="358" spans="1:10" s="1256" customFormat="1" hidden="1">
      <c r="A358" s="1156"/>
      <c r="B358" s="1218"/>
      <c r="C358" s="1253" t="s">
        <v>741</v>
      </c>
      <c r="D358" s="1406">
        <v>1</v>
      </c>
      <c r="E358" s="1407">
        <v>0.8</v>
      </c>
      <c r="F358" s="1408">
        <v>0.1</v>
      </c>
      <c r="G358" s="1408">
        <v>7.4999999999999997E-2</v>
      </c>
      <c r="H358" s="1409">
        <f>ROUND(D358*E358*F358*G358,4)</f>
        <v>6.0000000000000001E-3</v>
      </c>
      <c r="I358" s="1205" t="s">
        <v>2308</v>
      </c>
      <c r="J358" s="1162"/>
    </row>
    <row r="359" spans="1:10" s="1256" customFormat="1" hidden="1">
      <c r="A359" s="1156"/>
      <c r="B359" s="1218"/>
      <c r="C359" s="1255"/>
      <c r="D359" s="1406"/>
      <c r="E359" s="1406"/>
      <c r="F359" s="1406"/>
      <c r="G359" s="1406"/>
      <c r="H359" s="1412">
        <f>SUM(H357:H358)</f>
        <v>3.4500000000000003E-2</v>
      </c>
      <c r="I359" s="1205" t="s">
        <v>2308</v>
      </c>
      <c r="J359" s="1162"/>
    </row>
    <row r="360" spans="1:10" s="1256" customFormat="1" hidden="1">
      <c r="A360" s="1156"/>
      <c r="B360" s="1218"/>
      <c r="C360" s="1255" t="s">
        <v>1686</v>
      </c>
      <c r="D360" s="1406">
        <v>1</v>
      </c>
      <c r="E360" s="1407">
        <v>2.0099999999999998</v>
      </c>
      <c r="F360" s="1408">
        <v>0.72</v>
      </c>
      <c r="G360" s="1408">
        <v>0.03</v>
      </c>
      <c r="H360" s="1409">
        <f>ROUND(D360*E360*F360*G360,4)</f>
        <v>4.3400000000000001E-2</v>
      </c>
      <c r="I360" s="1205" t="s">
        <v>2308</v>
      </c>
      <c r="J360" s="1162"/>
    </row>
    <row r="361" spans="1:10" s="1256" customFormat="1" hidden="1">
      <c r="A361" s="1156"/>
      <c r="B361" s="1218"/>
      <c r="C361" s="1253"/>
      <c r="D361" s="1406"/>
      <c r="E361" s="1406"/>
      <c r="F361" s="1406"/>
      <c r="G361" s="1406"/>
      <c r="H361" s="1412">
        <f>SUM(H360:H360)</f>
        <v>4.3400000000000001E-2</v>
      </c>
      <c r="I361" s="1205" t="s">
        <v>2308</v>
      </c>
      <c r="J361" s="1162"/>
    </row>
    <row r="362" spans="1:10" s="1256" customFormat="1" hidden="1">
      <c r="A362" s="1156"/>
      <c r="B362" s="1218" t="s">
        <v>1687</v>
      </c>
      <c r="C362" s="1253" t="s">
        <v>1688</v>
      </c>
      <c r="E362" s="1212" t="s">
        <v>35</v>
      </c>
      <c r="F362" s="1226">
        <f>H359</f>
        <v>3.4500000000000003E-2</v>
      </c>
      <c r="G362" s="1213">
        <f>'MINI SSR 2020-21'!C144</f>
        <v>46217</v>
      </c>
      <c r="H362" s="1214">
        <f t="shared" ref="H362:H369" si="25">ROUND(F362*G362,2)</f>
        <v>1594.49</v>
      </c>
      <c r="I362" s="1205" t="s">
        <v>2308</v>
      </c>
      <c r="J362" s="1162"/>
    </row>
    <row r="363" spans="1:10" s="1256" customFormat="1" hidden="1">
      <c r="A363" s="1156"/>
      <c r="B363" s="1218" t="s">
        <v>1689</v>
      </c>
      <c r="C363" s="1253" t="s">
        <v>1690</v>
      </c>
      <c r="E363" s="1212" t="s">
        <v>35</v>
      </c>
      <c r="F363" s="1226">
        <f>H361</f>
        <v>4.3400000000000001E-2</v>
      </c>
      <c r="G363" s="1213">
        <f>'MINI SSR 2020-21'!C145</f>
        <v>58690</v>
      </c>
      <c r="H363" s="1214">
        <f t="shared" si="25"/>
        <v>2547.15</v>
      </c>
      <c r="I363" s="1205" t="s">
        <v>2308</v>
      </c>
      <c r="J363" s="1162"/>
    </row>
    <row r="364" spans="1:10" s="1256" customFormat="1" hidden="1">
      <c r="A364" s="1156"/>
      <c r="B364" s="1218" t="s">
        <v>1396</v>
      </c>
      <c r="C364" s="1253" t="s">
        <v>1691</v>
      </c>
      <c r="D364" s="1212"/>
      <c r="E364" s="1212" t="s">
        <v>11</v>
      </c>
      <c r="F364" s="1240">
        <v>2</v>
      </c>
      <c r="G364" s="1213">
        <f t="shared" ref="G364:G369" si="26">G345</f>
        <v>84</v>
      </c>
      <c r="H364" s="1214">
        <f t="shared" si="25"/>
        <v>168</v>
      </c>
      <c r="I364" s="1205" t="s">
        <v>2308</v>
      </c>
      <c r="J364" s="1162"/>
    </row>
    <row r="365" spans="1:10" s="1256" customFormat="1" hidden="1">
      <c r="A365" s="1156"/>
      <c r="B365" s="1218" t="s">
        <v>1398</v>
      </c>
      <c r="C365" s="1253" t="s">
        <v>1380</v>
      </c>
      <c r="D365" s="1212"/>
      <c r="E365" s="1212" t="s">
        <v>11</v>
      </c>
      <c r="F365" s="1240">
        <v>3</v>
      </c>
      <c r="G365" s="1213">
        <f t="shared" si="26"/>
        <v>117</v>
      </c>
      <c r="H365" s="1214">
        <f t="shared" si="25"/>
        <v>351</v>
      </c>
      <c r="I365" s="1205" t="s">
        <v>2308</v>
      </c>
      <c r="J365" s="1162"/>
    </row>
    <row r="366" spans="1:10" s="1256" customFormat="1" hidden="1">
      <c r="A366" s="1156"/>
      <c r="B366" s="1218" t="s">
        <v>1383</v>
      </c>
      <c r="C366" s="1253" t="s">
        <v>1382</v>
      </c>
      <c r="D366" s="1212"/>
      <c r="E366" s="1212" t="s">
        <v>11</v>
      </c>
      <c r="F366" s="1240"/>
      <c r="G366" s="1213">
        <f t="shared" si="26"/>
        <v>103</v>
      </c>
      <c r="H366" s="1214">
        <f t="shared" si="25"/>
        <v>0</v>
      </c>
      <c r="I366" s="1205" t="s">
        <v>2308</v>
      </c>
      <c r="J366" s="1162"/>
    </row>
    <row r="367" spans="1:10" s="1256" customFormat="1" hidden="1">
      <c r="A367" s="1156"/>
      <c r="B367" s="1218" t="s">
        <v>1400</v>
      </c>
      <c r="C367" s="1253" t="s">
        <v>1692</v>
      </c>
      <c r="D367" s="1212"/>
      <c r="E367" s="1212" t="s">
        <v>11</v>
      </c>
      <c r="F367" s="1240">
        <v>2</v>
      </c>
      <c r="G367" s="1213">
        <f t="shared" si="26"/>
        <v>308</v>
      </c>
      <c r="H367" s="1214">
        <f t="shared" si="25"/>
        <v>616</v>
      </c>
      <c r="I367" s="1205" t="s">
        <v>2308</v>
      </c>
      <c r="J367" s="1162"/>
    </row>
    <row r="368" spans="1:10" hidden="1">
      <c r="A368" s="1156"/>
      <c r="B368" s="1218" t="s">
        <v>1693</v>
      </c>
      <c r="C368" s="1253" t="s">
        <v>1694</v>
      </c>
      <c r="D368" s="1212"/>
      <c r="E368" s="1212" t="s">
        <v>11</v>
      </c>
      <c r="F368" s="1240">
        <v>1</v>
      </c>
      <c r="G368" s="1213">
        <f t="shared" si="26"/>
        <v>53</v>
      </c>
      <c r="H368" s="1214">
        <f t="shared" si="25"/>
        <v>53</v>
      </c>
      <c r="I368" s="1205" t="s">
        <v>2308</v>
      </c>
    </row>
    <row r="369" spans="1:10" hidden="1">
      <c r="A369" s="1156"/>
      <c r="B369" s="1218" t="s">
        <v>1389</v>
      </c>
      <c r="C369" s="1253" t="s">
        <v>1388</v>
      </c>
      <c r="D369" s="1212"/>
      <c r="E369" s="1212" t="s">
        <v>11</v>
      </c>
      <c r="F369" s="1240">
        <v>6</v>
      </c>
      <c r="G369" s="1213">
        <f t="shared" si="26"/>
        <v>32</v>
      </c>
      <c r="H369" s="1214">
        <f t="shared" si="25"/>
        <v>192</v>
      </c>
      <c r="I369" s="1205" t="s">
        <v>2308</v>
      </c>
    </row>
    <row r="370" spans="1:10" hidden="1">
      <c r="A370" s="1156"/>
      <c r="B370" s="1218"/>
      <c r="C370" s="1255" t="s">
        <v>68</v>
      </c>
      <c r="D370" s="1162"/>
      <c r="E370" s="1212"/>
      <c r="F370" s="1213"/>
      <c r="G370" s="1213"/>
      <c r="H370" s="1214"/>
      <c r="I370" s="1205" t="s">
        <v>2308</v>
      </c>
    </row>
    <row r="371" spans="1:10" hidden="1">
      <c r="A371" s="1156"/>
      <c r="B371" s="1212" t="s">
        <v>1695</v>
      </c>
      <c r="C371" s="1253" t="s">
        <v>1390</v>
      </c>
      <c r="D371" s="1162"/>
      <c r="E371" s="1212" t="s">
        <v>102</v>
      </c>
      <c r="F371" s="1213">
        <f>ROUND(0.8*2.1,2)</f>
        <v>1.68</v>
      </c>
      <c r="G371" s="1213">
        <f>G352</f>
        <v>1452</v>
      </c>
      <c r="H371" s="1214">
        <f>ROUND(F371*G371*1/3,2)</f>
        <v>813.12</v>
      </c>
      <c r="I371" s="1205" t="s">
        <v>2308</v>
      </c>
    </row>
    <row r="372" spans="1:10" hidden="1">
      <c r="A372" s="1156"/>
      <c r="B372" s="1218"/>
      <c r="C372" s="1255"/>
      <c r="D372" s="1212"/>
      <c r="E372" s="1212"/>
      <c r="F372" s="1212"/>
      <c r="G372" s="1212"/>
      <c r="H372" s="1222">
        <f>SUM(H362:H371)</f>
        <v>6334.76</v>
      </c>
      <c r="I372" s="1205" t="s">
        <v>2308</v>
      </c>
    </row>
    <row r="373" spans="1:10" ht="127.5" hidden="1">
      <c r="A373" s="1156">
        <v>5</v>
      </c>
      <c r="B373" s="1218"/>
      <c r="C373" s="1253" t="s">
        <v>1311</v>
      </c>
      <c r="D373" s="1212"/>
      <c r="E373" s="1212"/>
      <c r="F373" s="1212"/>
      <c r="G373" s="1212"/>
      <c r="H373" s="1215"/>
      <c r="I373" s="1205" t="s">
        <v>2308</v>
      </c>
    </row>
    <row r="374" spans="1:10" hidden="1">
      <c r="A374" s="1156"/>
      <c r="B374" s="1218"/>
      <c r="C374" s="1255" t="s">
        <v>100</v>
      </c>
      <c r="D374" s="1212"/>
      <c r="E374" s="1212"/>
      <c r="F374" s="1212"/>
      <c r="G374" s="1212"/>
      <c r="H374" s="1215"/>
      <c r="I374" s="1205" t="s">
        <v>2308</v>
      </c>
    </row>
    <row r="375" spans="1:10" s="1256" customFormat="1" hidden="1">
      <c r="A375" s="1156"/>
      <c r="B375" s="1218"/>
      <c r="C375" s="1255" t="s">
        <v>594</v>
      </c>
      <c r="D375" s="1212"/>
      <c r="E375" s="1212"/>
      <c r="F375" s="1212"/>
      <c r="G375" s="1212"/>
      <c r="H375" s="1215"/>
      <c r="I375" s="1205" t="s">
        <v>2308</v>
      </c>
      <c r="J375" s="1162"/>
    </row>
    <row r="376" spans="1:10" s="1256" customFormat="1" hidden="1">
      <c r="A376" s="1156"/>
      <c r="B376" s="1218"/>
      <c r="C376" s="1253" t="s">
        <v>2</v>
      </c>
      <c r="D376" s="1406">
        <v>2</v>
      </c>
      <c r="E376" s="1407">
        <v>1.9</v>
      </c>
      <c r="F376" s="1408">
        <v>0.1</v>
      </c>
      <c r="G376" s="1408">
        <v>7.4999999999999997E-2</v>
      </c>
      <c r="H376" s="1409">
        <f>ROUND(D376*E376*F376*G376,4)</f>
        <v>2.8500000000000001E-2</v>
      </c>
      <c r="I376" s="1205" t="s">
        <v>2308</v>
      </c>
      <c r="J376" s="1162"/>
    </row>
    <row r="377" spans="1:10" s="1256" customFormat="1" hidden="1">
      <c r="A377" s="1156"/>
      <c r="B377" s="1218"/>
      <c r="C377" s="1253" t="s">
        <v>741</v>
      </c>
      <c r="D377" s="1406">
        <v>1</v>
      </c>
      <c r="E377" s="1407">
        <v>1.05</v>
      </c>
      <c r="F377" s="1408">
        <v>0.1</v>
      </c>
      <c r="G377" s="1408">
        <v>7.4999999999999997E-2</v>
      </c>
      <c r="H377" s="1409">
        <f>ROUND(D377*E377*F377*G377,4)</f>
        <v>7.9000000000000008E-3</v>
      </c>
      <c r="I377" s="1205" t="s">
        <v>2308</v>
      </c>
      <c r="J377" s="1162"/>
    </row>
    <row r="378" spans="1:10" s="1256" customFormat="1" hidden="1">
      <c r="A378" s="1156"/>
      <c r="B378" s="1218"/>
      <c r="C378" s="1255"/>
      <c r="D378" s="1406"/>
      <c r="E378" s="1406"/>
      <c r="F378" s="1406"/>
      <c r="G378" s="1406"/>
      <c r="H378" s="1412">
        <f>SUM(H376:H377)</f>
        <v>3.6400000000000002E-2</v>
      </c>
      <c r="I378" s="1205" t="s">
        <v>2308</v>
      </c>
      <c r="J378" s="1162"/>
    </row>
    <row r="379" spans="1:10" s="1256" customFormat="1" hidden="1">
      <c r="A379" s="1156"/>
      <c r="B379" s="1218"/>
      <c r="C379" s="1255" t="s">
        <v>320</v>
      </c>
      <c r="D379" s="1406">
        <v>1</v>
      </c>
      <c r="E379" s="1407">
        <v>2.0099999999999998</v>
      </c>
      <c r="F379" s="1408">
        <v>0.94</v>
      </c>
      <c r="G379" s="1408">
        <v>0.03</v>
      </c>
      <c r="H379" s="1409">
        <f>ROUND(D379*E379*F379*G379,4)</f>
        <v>5.67E-2</v>
      </c>
      <c r="I379" s="1205" t="s">
        <v>2308</v>
      </c>
      <c r="J379" s="1162"/>
    </row>
    <row r="380" spans="1:10" s="1256" customFormat="1" hidden="1">
      <c r="A380" s="1156"/>
      <c r="B380" s="1218"/>
      <c r="C380" s="1253"/>
      <c r="D380" s="1406"/>
      <c r="E380" s="1406"/>
      <c r="F380" s="1406"/>
      <c r="G380" s="1406"/>
      <c r="H380" s="1412">
        <f>SUM(H379:H379)</f>
        <v>5.67E-2</v>
      </c>
      <c r="I380" s="1205" t="s">
        <v>2308</v>
      </c>
      <c r="J380" s="1162"/>
    </row>
    <row r="381" spans="1:10" s="1256" customFormat="1" hidden="1">
      <c r="A381" s="1156"/>
      <c r="B381" s="1218" t="s">
        <v>1375</v>
      </c>
      <c r="C381" s="1253" t="s">
        <v>1374</v>
      </c>
      <c r="E381" s="1212" t="s">
        <v>35</v>
      </c>
      <c r="F381" s="1226">
        <f>H378</f>
        <v>3.6400000000000002E-2</v>
      </c>
      <c r="G381" s="1213">
        <f>'MINI SSR 2020-21'!$C$142</f>
        <v>71195</v>
      </c>
      <c r="H381" s="1214">
        <f t="shared" ref="H381:H388" si="27">ROUND(F381*G381,2)</f>
        <v>2591.5</v>
      </c>
      <c r="I381" s="1205" t="s">
        <v>2308</v>
      </c>
      <c r="J381" s="1162"/>
    </row>
    <row r="382" spans="1:10" s="1256" customFormat="1" hidden="1">
      <c r="A382" s="1156"/>
      <c r="B382" s="1218" t="s">
        <v>1377</v>
      </c>
      <c r="C382" s="1253" t="s">
        <v>1376</v>
      </c>
      <c r="E382" s="1212" t="s">
        <v>35</v>
      </c>
      <c r="F382" s="1226">
        <f>H380</f>
        <v>5.67E-2</v>
      </c>
      <c r="G382" s="1213">
        <f>'MINI SSR 2020-21'!C143</f>
        <v>142391</v>
      </c>
      <c r="H382" s="1214">
        <f t="shared" si="27"/>
        <v>8073.57</v>
      </c>
      <c r="I382" s="1205" t="s">
        <v>2308</v>
      </c>
      <c r="J382" s="1162"/>
    </row>
    <row r="383" spans="1:10" s="1256" customFormat="1" hidden="1">
      <c r="A383" s="1156"/>
      <c r="B383" s="1218" t="s">
        <v>1379</v>
      </c>
      <c r="C383" s="1253" t="s">
        <v>1378</v>
      </c>
      <c r="D383" s="1212"/>
      <c r="E383" s="1212" t="s">
        <v>11</v>
      </c>
      <c r="F383" s="1240">
        <v>2</v>
      </c>
      <c r="G383" s="1213">
        <f t="shared" ref="G383:G388" si="28">G252</f>
        <v>231</v>
      </c>
      <c r="H383" s="1214">
        <f t="shared" si="27"/>
        <v>462</v>
      </c>
      <c r="I383" s="1205" t="s">
        <v>2308</v>
      </c>
      <c r="J383" s="1162"/>
    </row>
    <row r="384" spans="1:10" s="1256" customFormat="1" hidden="1">
      <c r="A384" s="1156"/>
      <c r="B384" s="1218" t="s">
        <v>1381</v>
      </c>
      <c r="C384" s="1253" t="s">
        <v>1380</v>
      </c>
      <c r="D384" s="1212"/>
      <c r="E384" s="1212" t="s">
        <v>11</v>
      </c>
      <c r="F384" s="1240">
        <v>3</v>
      </c>
      <c r="G384" s="1213">
        <f t="shared" si="28"/>
        <v>246</v>
      </c>
      <c r="H384" s="1214">
        <f t="shared" si="27"/>
        <v>738</v>
      </c>
      <c r="I384" s="1205" t="s">
        <v>2308</v>
      </c>
      <c r="J384" s="1162"/>
    </row>
    <row r="385" spans="1:11" s="1256" customFormat="1" hidden="1">
      <c r="A385" s="1156"/>
      <c r="B385" s="1218" t="s">
        <v>1383</v>
      </c>
      <c r="C385" s="1253" t="s">
        <v>1382</v>
      </c>
      <c r="D385" s="1212"/>
      <c r="E385" s="1212" t="s">
        <v>11</v>
      </c>
      <c r="F385" s="1240"/>
      <c r="G385" s="1213">
        <f t="shared" si="28"/>
        <v>103</v>
      </c>
      <c r="H385" s="1214">
        <f t="shared" si="27"/>
        <v>0</v>
      </c>
      <c r="I385" s="1205" t="s">
        <v>2308</v>
      </c>
      <c r="J385" s="1162"/>
    </row>
    <row r="386" spans="1:11" s="1256" customFormat="1" hidden="1">
      <c r="A386" s="1156"/>
      <c r="B386" s="1218" t="s">
        <v>1385</v>
      </c>
      <c r="C386" s="1253" t="s">
        <v>1384</v>
      </c>
      <c r="D386" s="1212"/>
      <c r="E386" s="1212" t="s">
        <v>11</v>
      </c>
      <c r="F386" s="1240">
        <v>2</v>
      </c>
      <c r="G386" s="1213">
        <f t="shared" si="28"/>
        <v>1087</v>
      </c>
      <c r="H386" s="1214">
        <f t="shared" si="27"/>
        <v>2174</v>
      </c>
      <c r="I386" s="1205" t="s">
        <v>2308</v>
      </c>
      <c r="J386" s="1162"/>
    </row>
    <row r="387" spans="1:11" hidden="1">
      <c r="A387" s="1156"/>
      <c r="B387" s="1218" t="s">
        <v>1387</v>
      </c>
      <c r="C387" s="1253" t="s">
        <v>1386</v>
      </c>
      <c r="D387" s="1212"/>
      <c r="E387" s="1212" t="s">
        <v>11</v>
      </c>
      <c r="F387" s="1240">
        <v>1</v>
      </c>
      <c r="G387" s="1213">
        <f t="shared" si="28"/>
        <v>168</v>
      </c>
      <c r="H387" s="1214">
        <f t="shared" si="27"/>
        <v>168</v>
      </c>
      <c r="I387" s="1205" t="s">
        <v>2308</v>
      </c>
    </row>
    <row r="388" spans="1:11" hidden="1">
      <c r="A388" s="1156"/>
      <c r="B388" s="1218" t="s">
        <v>1389</v>
      </c>
      <c r="C388" s="1253" t="s">
        <v>1388</v>
      </c>
      <c r="D388" s="1212"/>
      <c r="E388" s="1212" t="s">
        <v>11</v>
      </c>
      <c r="F388" s="1240">
        <v>6</v>
      </c>
      <c r="G388" s="1213">
        <f t="shared" si="28"/>
        <v>32</v>
      </c>
      <c r="H388" s="1214">
        <f t="shared" si="27"/>
        <v>192</v>
      </c>
      <c r="I388" s="1205" t="s">
        <v>2308</v>
      </c>
    </row>
    <row r="389" spans="1:11" hidden="1">
      <c r="A389" s="1156"/>
      <c r="B389" s="1218"/>
      <c r="C389" s="1255" t="s">
        <v>68</v>
      </c>
      <c r="D389" s="1162"/>
      <c r="E389" s="1212"/>
      <c r="F389" s="1213"/>
      <c r="G389" s="1213"/>
      <c r="H389" s="1214"/>
      <c r="I389" s="1205" t="s">
        <v>2308</v>
      </c>
    </row>
    <row r="390" spans="1:11" hidden="1">
      <c r="A390" s="1156"/>
      <c r="B390" s="1212" t="s">
        <v>1391</v>
      </c>
      <c r="C390" s="1253" t="s">
        <v>1390</v>
      </c>
      <c r="D390" s="1162"/>
      <c r="E390" s="1212" t="s">
        <v>102</v>
      </c>
      <c r="F390" s="1213">
        <f>ROUND(1.05*2.1,2)</f>
        <v>2.21</v>
      </c>
      <c r="G390" s="1213">
        <f>G259</f>
        <v>1570</v>
      </c>
      <c r="H390" s="1214">
        <f>ROUND(F390*G390*1/3,2)</f>
        <v>1156.57</v>
      </c>
      <c r="I390" s="1205" t="s">
        <v>2308</v>
      </c>
    </row>
    <row r="391" spans="1:11" hidden="1">
      <c r="A391" s="1156"/>
      <c r="B391" s="1218"/>
      <c r="C391" s="1255"/>
      <c r="D391" s="1212"/>
      <c r="E391" s="1212"/>
      <c r="F391" s="1212"/>
      <c r="G391" s="1212"/>
      <c r="H391" s="1222">
        <f>SUM(H381:H390)</f>
        <v>15555.64</v>
      </c>
      <c r="I391" s="1205" t="s">
        <v>2308</v>
      </c>
    </row>
    <row r="392" spans="1:11" ht="76.5" hidden="1">
      <c r="A392" s="1156">
        <v>3</v>
      </c>
      <c r="B392" s="1218"/>
      <c r="C392" s="1253" t="s">
        <v>2783</v>
      </c>
      <c r="D392" s="1212"/>
      <c r="E392" s="1212"/>
      <c r="F392" s="1212"/>
      <c r="G392" s="1212"/>
      <c r="H392" s="1215"/>
      <c r="I392" s="1205" t="s">
        <v>2308</v>
      </c>
    </row>
    <row r="393" spans="1:11" hidden="1">
      <c r="A393" s="1156"/>
      <c r="B393" s="1218"/>
      <c r="C393" s="1255" t="s">
        <v>100</v>
      </c>
      <c r="D393" s="1212"/>
      <c r="E393" s="1212"/>
      <c r="F393" s="1212"/>
      <c r="G393" s="1212"/>
      <c r="H393" s="1215"/>
      <c r="I393" s="1205" t="s">
        <v>2308</v>
      </c>
    </row>
    <row r="394" spans="1:11" s="1256" customFormat="1" hidden="1">
      <c r="A394" s="1156"/>
      <c r="B394" s="1218"/>
      <c r="C394" s="1255" t="s">
        <v>60</v>
      </c>
      <c r="D394" s="1212"/>
      <c r="E394" s="1212"/>
      <c r="F394" s="1212"/>
      <c r="G394" s="1212"/>
      <c r="H394" s="1215"/>
      <c r="I394" s="1205" t="s">
        <v>2308</v>
      </c>
      <c r="J394" s="1162"/>
    </row>
    <row r="395" spans="1:11" s="1256" customFormat="1" hidden="1">
      <c r="A395" s="1156"/>
      <c r="B395" s="1218"/>
      <c r="C395" s="1255" t="s">
        <v>1</v>
      </c>
      <c r="D395" s="1212"/>
      <c r="E395" s="1212"/>
      <c r="F395" s="1212"/>
      <c r="G395" s="1212"/>
      <c r="H395" s="1215"/>
      <c r="I395" s="1205" t="s">
        <v>2308</v>
      </c>
      <c r="J395" s="1162"/>
    </row>
    <row r="396" spans="1:11" s="1256" customFormat="1" hidden="1">
      <c r="A396" s="1156"/>
      <c r="B396" s="1218"/>
      <c r="C396" s="1253" t="s">
        <v>2</v>
      </c>
      <c r="D396" s="1406">
        <v>2</v>
      </c>
      <c r="E396" s="1407">
        <v>1.95</v>
      </c>
      <c r="F396" s="1408">
        <v>0.1</v>
      </c>
      <c r="G396" s="1408">
        <v>7.4999999999999997E-2</v>
      </c>
      <c r="H396" s="1409">
        <f>ROUND(D396*E396*F396*G396,4)</f>
        <v>2.93E-2</v>
      </c>
      <c r="I396" s="1205" t="s">
        <v>2308</v>
      </c>
      <c r="J396" s="1162"/>
    </row>
    <row r="397" spans="1:11" s="1256" customFormat="1" hidden="1">
      <c r="A397" s="1156"/>
      <c r="B397" s="1218"/>
      <c r="C397" s="1253" t="s">
        <v>741</v>
      </c>
      <c r="D397" s="1406">
        <v>2</v>
      </c>
      <c r="E397" s="1407">
        <v>1.05</v>
      </c>
      <c r="F397" s="1408">
        <v>0.1</v>
      </c>
      <c r="G397" s="1408">
        <v>7.4999999999999997E-2</v>
      </c>
      <c r="H397" s="1409">
        <f>ROUND(D397*E397*F397*G397,4)</f>
        <v>1.5800000000000002E-2</v>
      </c>
      <c r="I397" s="1205" t="s">
        <v>2308</v>
      </c>
      <c r="J397" s="1162"/>
    </row>
    <row r="398" spans="1:11" s="1256" customFormat="1" hidden="1">
      <c r="A398" s="1156"/>
      <c r="B398" s="1218"/>
      <c r="C398" s="1255"/>
      <c r="D398" s="1212"/>
      <c r="E398" s="1212"/>
      <c r="F398" s="1212"/>
      <c r="G398" s="1212"/>
      <c r="H398" s="1410">
        <f>SUM(H396:H397)</f>
        <v>4.5100000000000001E-2</v>
      </c>
      <c r="I398" s="1205" t="s">
        <v>2308</v>
      </c>
      <c r="J398" s="1162"/>
    </row>
    <row r="399" spans="1:11" s="1256" customFormat="1" hidden="1">
      <c r="A399" s="1156"/>
      <c r="B399" s="1218" t="s">
        <v>1375</v>
      </c>
      <c r="C399" s="1253" t="s">
        <v>1374</v>
      </c>
      <c r="D399" s="1212"/>
      <c r="E399" s="1212" t="s">
        <v>35</v>
      </c>
      <c r="F399" s="1226">
        <f>H398</f>
        <v>4.5100000000000001E-2</v>
      </c>
      <c r="G399" s="1213">
        <f>'MINI SSR 2020-21'!$C$142</f>
        <v>71195</v>
      </c>
      <c r="H399" s="1214">
        <f t="shared" ref="H399:H407" si="29">ROUND(F399*G399,2)</f>
        <v>3210.89</v>
      </c>
      <c r="I399" s="1205" t="s">
        <v>2308</v>
      </c>
      <c r="J399" s="1162"/>
    </row>
    <row r="400" spans="1:11" s="1256" customFormat="1" hidden="1">
      <c r="A400" s="1156"/>
      <c r="B400" s="1212" t="s">
        <v>2099</v>
      </c>
      <c r="C400" s="1253" t="s">
        <v>2100</v>
      </c>
      <c r="D400" s="1212"/>
      <c r="E400" s="1212" t="s">
        <v>102</v>
      </c>
      <c r="F400" s="1226">
        <f>ROUND(0.74*1.995,2)</f>
        <v>1.48</v>
      </c>
      <c r="G400" s="1213">
        <f>'MINI SSR 2020-21'!$C$148</f>
        <v>1790</v>
      </c>
      <c r="H400" s="1214"/>
      <c r="I400" s="1205" t="s">
        <v>2308</v>
      </c>
      <c r="J400" s="1162"/>
      <c r="K400" s="1256">
        <f>(1*0.775)/1.05</f>
        <v>0.73809523809523814</v>
      </c>
    </row>
    <row r="401" spans="1:12" s="1256" customFormat="1" hidden="1">
      <c r="A401" s="1156"/>
      <c r="B401" s="1212" t="s">
        <v>2101</v>
      </c>
      <c r="C401" s="1253" t="s">
        <v>2105</v>
      </c>
      <c r="D401" s="1212"/>
      <c r="E401" s="1212" t="s">
        <v>102</v>
      </c>
      <c r="F401" s="1226">
        <f>F400</f>
        <v>1.48</v>
      </c>
      <c r="G401" s="1213">
        <f>'MINI SSR 2020-21'!$C$151</f>
        <v>754</v>
      </c>
      <c r="H401" s="1214"/>
      <c r="I401" s="1205" t="s">
        <v>2308</v>
      </c>
      <c r="J401" s="1162"/>
    </row>
    <row r="402" spans="1:12" hidden="1">
      <c r="A402" s="1156"/>
      <c r="B402" s="1212" t="s">
        <v>1396</v>
      </c>
      <c r="C402" s="1253" t="s">
        <v>1395</v>
      </c>
      <c r="D402" s="1212"/>
      <c r="E402" s="1212" t="s">
        <v>11</v>
      </c>
      <c r="F402" s="1240">
        <v>2</v>
      </c>
      <c r="G402" s="1213">
        <f>'MINI SSR 2020-21'!$G$143</f>
        <v>84</v>
      </c>
      <c r="H402" s="1214"/>
      <c r="I402" s="1205" t="s">
        <v>2308</v>
      </c>
    </row>
    <row r="403" spans="1:12" hidden="1">
      <c r="A403" s="1156"/>
      <c r="B403" s="1212" t="s">
        <v>1398</v>
      </c>
      <c r="C403" s="1253" t="s">
        <v>1397</v>
      </c>
      <c r="D403" s="1212"/>
      <c r="E403" s="1212" t="s">
        <v>11</v>
      </c>
      <c r="F403" s="1240">
        <v>3</v>
      </c>
      <c r="G403" s="1213">
        <f>'MINI SSR 2020-21'!$G$146</f>
        <v>117</v>
      </c>
      <c r="H403" s="1214"/>
      <c r="I403" s="1205" t="s">
        <v>2308</v>
      </c>
    </row>
    <row r="404" spans="1:12" hidden="1">
      <c r="A404" s="1156"/>
      <c r="B404" s="1212" t="s">
        <v>1383</v>
      </c>
      <c r="C404" s="1253" t="s">
        <v>1382</v>
      </c>
      <c r="D404" s="1212"/>
      <c r="E404" s="1212" t="s">
        <v>11</v>
      </c>
      <c r="F404" s="1240">
        <v>2</v>
      </c>
      <c r="G404" s="1213">
        <f>'MINI SSR 2020-21'!$G$144</f>
        <v>103</v>
      </c>
      <c r="H404" s="1214"/>
      <c r="I404" s="1205" t="s">
        <v>2308</v>
      </c>
    </row>
    <row r="405" spans="1:12" hidden="1">
      <c r="A405" s="1156"/>
      <c r="B405" s="1212" t="s">
        <v>1400</v>
      </c>
      <c r="C405" s="1253" t="s">
        <v>1399</v>
      </c>
      <c r="D405" s="1212"/>
      <c r="E405" s="1212" t="s">
        <v>11</v>
      </c>
      <c r="F405" s="1240">
        <v>2</v>
      </c>
      <c r="G405" s="1213">
        <f>'MINI SSR 2020-21'!$G$149</f>
        <v>308</v>
      </c>
      <c r="H405" s="1214"/>
      <c r="I405" s="1205" t="s">
        <v>2308</v>
      </c>
    </row>
    <row r="406" spans="1:12" hidden="1">
      <c r="A406" s="1156"/>
      <c r="B406" s="1212" t="s">
        <v>1402</v>
      </c>
      <c r="C406" s="1253" t="s">
        <v>1401</v>
      </c>
      <c r="D406" s="1212"/>
      <c r="E406" s="1212" t="s">
        <v>11</v>
      </c>
      <c r="F406" s="1240">
        <v>1</v>
      </c>
      <c r="G406" s="1213">
        <f>'MINI SSR 2020-21'!$G$155</f>
        <v>53</v>
      </c>
      <c r="H406" s="1214"/>
      <c r="I406" s="1205" t="s">
        <v>2308</v>
      </c>
    </row>
    <row r="407" spans="1:12" hidden="1">
      <c r="A407" s="1156"/>
      <c r="B407" s="1212" t="s">
        <v>1389</v>
      </c>
      <c r="C407" s="1253" t="s">
        <v>1388</v>
      </c>
      <c r="D407" s="1212"/>
      <c r="E407" s="1212" t="s">
        <v>11</v>
      </c>
      <c r="F407" s="1240">
        <v>6</v>
      </c>
      <c r="G407" s="1213">
        <f>'MINI SSR 2020-21'!$G$152</f>
        <v>32</v>
      </c>
      <c r="H407" s="1214">
        <f t="shared" si="29"/>
        <v>192</v>
      </c>
      <c r="I407" s="1205" t="s">
        <v>2308</v>
      </c>
    </row>
    <row r="408" spans="1:12" hidden="1">
      <c r="A408" s="1212"/>
      <c r="B408" s="1212"/>
      <c r="C408" s="1255" t="s">
        <v>68</v>
      </c>
      <c r="D408" s="1212"/>
      <c r="E408" s="1212"/>
      <c r="F408" s="1213"/>
      <c r="G408" s="1217"/>
      <c r="H408" s="1214"/>
      <c r="I408" s="1205" t="s">
        <v>2308</v>
      </c>
    </row>
    <row r="409" spans="1:12" ht="25.5" hidden="1">
      <c r="A409" s="1212"/>
      <c r="B409" s="1212" t="s">
        <v>1391</v>
      </c>
      <c r="C409" s="1253" t="s">
        <v>1403</v>
      </c>
      <c r="D409" s="1212"/>
      <c r="E409" s="1212" t="s">
        <v>102</v>
      </c>
      <c r="F409" s="1213">
        <f>ROUND(1.05*2.1,2)</f>
        <v>2.21</v>
      </c>
      <c r="G409" s="1213">
        <f>'MINI SSR 2020-21'!$C$150</f>
        <v>1452</v>
      </c>
      <c r="H409" s="1214">
        <f>ROUND(F409*G409*1/3,2)</f>
        <v>1069.6400000000001</v>
      </c>
      <c r="I409" s="1205" t="s">
        <v>2308</v>
      </c>
      <c r="L409" s="1260"/>
    </row>
    <row r="410" spans="1:12" ht="13.5" hidden="1" thickBot="1">
      <c r="A410" s="1212"/>
      <c r="B410" s="1212"/>
      <c r="C410" s="1255"/>
      <c r="D410" s="1212"/>
      <c r="E410" s="1212"/>
      <c r="F410" s="1212"/>
      <c r="G410" s="1212"/>
      <c r="H410" s="1222">
        <f>SUM(H399:H409)</f>
        <v>4472.53</v>
      </c>
      <c r="I410" s="1205" t="s">
        <v>2308</v>
      </c>
      <c r="L410" s="1411">
        <f>SUM(L409)</f>
        <v>0</v>
      </c>
    </row>
    <row r="411" spans="1:12" ht="127.5" hidden="1">
      <c r="A411" s="1156">
        <v>5</v>
      </c>
      <c r="B411" s="1218"/>
      <c r="C411" s="1253" t="s">
        <v>2145</v>
      </c>
      <c r="D411" s="1212"/>
      <c r="E411" s="1212"/>
      <c r="F411" s="1212"/>
      <c r="G411" s="1212"/>
      <c r="H411" s="1215"/>
      <c r="I411" s="1205" t="s">
        <v>2308</v>
      </c>
    </row>
    <row r="412" spans="1:12" hidden="1">
      <c r="A412" s="1156"/>
      <c r="B412" s="1218"/>
      <c r="C412" s="1255" t="s">
        <v>100</v>
      </c>
      <c r="D412" s="1212"/>
      <c r="E412" s="1212"/>
      <c r="F412" s="1212"/>
      <c r="G412" s="1212"/>
      <c r="H412" s="1215"/>
      <c r="I412" s="1205" t="s">
        <v>2308</v>
      </c>
    </row>
    <row r="413" spans="1:12" s="1256" customFormat="1" hidden="1">
      <c r="A413" s="1156"/>
      <c r="B413" s="1218"/>
      <c r="C413" s="1255" t="s">
        <v>60</v>
      </c>
      <c r="D413" s="1212"/>
      <c r="E413" s="1212"/>
      <c r="F413" s="1212"/>
      <c r="G413" s="1212"/>
      <c r="H413" s="1215"/>
      <c r="I413" s="1205" t="s">
        <v>2308</v>
      </c>
      <c r="J413" s="1162"/>
    </row>
    <row r="414" spans="1:12" s="1256" customFormat="1" hidden="1">
      <c r="A414" s="1156"/>
      <c r="B414" s="1218"/>
      <c r="C414" s="1255" t="s">
        <v>1</v>
      </c>
      <c r="D414" s="1212"/>
      <c r="E414" s="1212"/>
      <c r="F414" s="1212"/>
      <c r="G414" s="1212"/>
      <c r="H414" s="1215"/>
      <c r="I414" s="1205" t="s">
        <v>2308</v>
      </c>
      <c r="J414" s="1162"/>
    </row>
    <row r="415" spans="1:12" s="1256" customFormat="1" hidden="1">
      <c r="A415" s="1156"/>
      <c r="B415" s="1218"/>
      <c r="C415" s="1253" t="s">
        <v>2</v>
      </c>
      <c r="D415" s="1406">
        <v>2</v>
      </c>
      <c r="E415" s="1407">
        <v>1.95</v>
      </c>
      <c r="F415" s="1408">
        <v>0.1</v>
      </c>
      <c r="G415" s="1408">
        <v>7.4999999999999997E-2</v>
      </c>
      <c r="H415" s="1409">
        <f>ROUND(D415*E415*F415*G415,4)</f>
        <v>2.93E-2</v>
      </c>
      <c r="I415" s="1205" t="s">
        <v>2308</v>
      </c>
      <c r="J415" s="1162"/>
    </row>
    <row r="416" spans="1:12" s="1256" customFormat="1" hidden="1">
      <c r="A416" s="1156"/>
      <c r="B416" s="1218"/>
      <c r="C416" s="1253" t="s">
        <v>741</v>
      </c>
      <c r="D416" s="1406">
        <v>2</v>
      </c>
      <c r="E416" s="1407">
        <v>0.9</v>
      </c>
      <c r="F416" s="1408">
        <v>0.1</v>
      </c>
      <c r="G416" s="1408">
        <v>7.4999999999999997E-2</v>
      </c>
      <c r="H416" s="1409">
        <f>ROUND(D416*E416*F416*G416,4)</f>
        <v>1.35E-2</v>
      </c>
      <c r="I416" s="1205" t="s">
        <v>2308</v>
      </c>
      <c r="J416" s="1162"/>
    </row>
    <row r="417" spans="1:12" s="1256" customFormat="1" hidden="1">
      <c r="A417" s="1156"/>
      <c r="B417" s="1218"/>
      <c r="C417" s="1255"/>
      <c r="D417" s="1212"/>
      <c r="E417" s="1212"/>
      <c r="F417" s="1212"/>
      <c r="G417" s="1212"/>
      <c r="H417" s="1410">
        <f>SUM(H415:H416)</f>
        <v>4.2799999999999998E-2</v>
      </c>
      <c r="I417" s="1205" t="s">
        <v>2308</v>
      </c>
      <c r="J417" s="1162"/>
    </row>
    <row r="418" spans="1:12" s="1256" customFormat="1" hidden="1">
      <c r="A418" s="1156"/>
      <c r="B418" s="1218" t="s">
        <v>1375</v>
      </c>
      <c r="C418" s="1253" t="s">
        <v>1374</v>
      </c>
      <c r="D418" s="1212"/>
      <c r="E418" s="1212" t="s">
        <v>35</v>
      </c>
      <c r="F418" s="1226">
        <f>H417</f>
        <v>4.2799999999999998E-2</v>
      </c>
      <c r="G418" s="1213">
        <f>'MINI SSR 2020-21'!$C$142</f>
        <v>71195</v>
      </c>
      <c r="H418" s="1214">
        <f t="shared" ref="H418:H426" si="30">ROUND(F418*G418,2)</f>
        <v>3047.15</v>
      </c>
      <c r="I418" s="1205" t="s">
        <v>2308</v>
      </c>
      <c r="J418" s="1162"/>
    </row>
    <row r="419" spans="1:12" s="1256" customFormat="1" hidden="1">
      <c r="A419" s="1156"/>
      <c r="B419" s="1212" t="s">
        <v>2099</v>
      </c>
      <c r="C419" s="1253" t="s">
        <v>2100</v>
      </c>
      <c r="D419" s="1212"/>
      <c r="E419" s="1212" t="s">
        <v>102</v>
      </c>
      <c r="F419" s="1226">
        <f>ROUND(0.66*1.995,2)</f>
        <v>1.32</v>
      </c>
      <c r="G419" s="1213">
        <f>'MINI SSR 2020-21'!$C$148</f>
        <v>1790</v>
      </c>
      <c r="H419" s="1214">
        <f t="shared" si="30"/>
        <v>2362.8000000000002</v>
      </c>
      <c r="I419" s="1205" t="s">
        <v>2308</v>
      </c>
      <c r="J419" s="1162"/>
    </row>
    <row r="420" spans="1:12" s="1256" customFormat="1" hidden="1">
      <c r="A420" s="1156"/>
      <c r="B420" s="1212" t="s">
        <v>2101</v>
      </c>
      <c r="C420" s="1253" t="s">
        <v>2105</v>
      </c>
      <c r="D420" s="1212"/>
      <c r="E420" s="1212" t="s">
        <v>102</v>
      </c>
      <c r="F420" s="1226">
        <f>F419</f>
        <v>1.32</v>
      </c>
      <c r="G420" s="1213">
        <f>'MINI SSR 2020-21'!$C$151</f>
        <v>754</v>
      </c>
      <c r="H420" s="1214">
        <f t="shared" si="30"/>
        <v>995.28</v>
      </c>
      <c r="I420" s="1205" t="s">
        <v>2308</v>
      </c>
      <c r="J420" s="1162"/>
    </row>
    <row r="421" spans="1:12" hidden="1">
      <c r="A421" s="1156"/>
      <c r="B421" s="1212" t="s">
        <v>1396</v>
      </c>
      <c r="C421" s="1253" t="s">
        <v>1395</v>
      </c>
      <c r="D421" s="1212"/>
      <c r="E421" s="1212" t="s">
        <v>11</v>
      </c>
      <c r="F421" s="1240">
        <v>2</v>
      </c>
      <c r="G421" s="1213">
        <f>'MINI SSR 2020-21'!$G$143</f>
        <v>84</v>
      </c>
      <c r="H421" s="1214">
        <f t="shared" si="30"/>
        <v>168</v>
      </c>
      <c r="I421" s="1205" t="s">
        <v>2308</v>
      </c>
    </row>
    <row r="422" spans="1:12" hidden="1">
      <c r="A422" s="1156"/>
      <c r="B422" s="1212" t="s">
        <v>1398</v>
      </c>
      <c r="C422" s="1253" t="s">
        <v>1397</v>
      </c>
      <c r="D422" s="1212"/>
      <c r="E422" s="1212" t="s">
        <v>11</v>
      </c>
      <c r="F422" s="1240">
        <v>3</v>
      </c>
      <c r="G422" s="1213">
        <f>'MINI SSR 2020-21'!$G$146</f>
        <v>117</v>
      </c>
      <c r="H422" s="1214">
        <f t="shared" si="30"/>
        <v>351</v>
      </c>
      <c r="I422" s="1205" t="s">
        <v>2308</v>
      </c>
    </row>
    <row r="423" spans="1:12" hidden="1">
      <c r="A423" s="1156"/>
      <c r="B423" s="1212" t="s">
        <v>1383</v>
      </c>
      <c r="C423" s="1253" t="s">
        <v>1382</v>
      </c>
      <c r="D423" s="1212"/>
      <c r="E423" s="1212" t="s">
        <v>11</v>
      </c>
      <c r="F423" s="1240">
        <v>2</v>
      </c>
      <c r="G423" s="1213">
        <f>'MINI SSR 2020-21'!$G$144</f>
        <v>103</v>
      </c>
      <c r="H423" s="1214">
        <f t="shared" si="30"/>
        <v>206</v>
      </c>
      <c r="I423" s="1205" t="s">
        <v>2308</v>
      </c>
    </row>
    <row r="424" spans="1:12" hidden="1">
      <c r="A424" s="1156"/>
      <c r="B424" s="1212" t="s">
        <v>1400</v>
      </c>
      <c r="C424" s="1253" t="s">
        <v>1399</v>
      </c>
      <c r="D424" s="1212"/>
      <c r="E424" s="1212" t="s">
        <v>11</v>
      </c>
      <c r="F424" s="1240">
        <v>2</v>
      </c>
      <c r="G424" s="1213">
        <f>'MINI SSR 2020-21'!$G$149</f>
        <v>308</v>
      </c>
      <c r="H424" s="1214">
        <f t="shared" si="30"/>
        <v>616</v>
      </c>
      <c r="I424" s="1205" t="s">
        <v>2308</v>
      </c>
    </row>
    <row r="425" spans="1:12" hidden="1">
      <c r="A425" s="1156"/>
      <c r="B425" s="1212" t="s">
        <v>1402</v>
      </c>
      <c r="C425" s="1253" t="s">
        <v>1401</v>
      </c>
      <c r="D425" s="1212"/>
      <c r="E425" s="1212" t="s">
        <v>11</v>
      </c>
      <c r="F425" s="1240">
        <v>1</v>
      </c>
      <c r="G425" s="1213">
        <f>'MINI SSR 2020-21'!$G$155</f>
        <v>53</v>
      </c>
      <c r="H425" s="1214">
        <f t="shared" si="30"/>
        <v>53</v>
      </c>
      <c r="I425" s="1205" t="s">
        <v>2308</v>
      </c>
    </row>
    <row r="426" spans="1:12" hidden="1">
      <c r="A426" s="1156"/>
      <c r="B426" s="1212" t="s">
        <v>1389</v>
      </c>
      <c r="C426" s="1253" t="s">
        <v>1388</v>
      </c>
      <c r="D426" s="1212"/>
      <c r="E426" s="1212" t="s">
        <v>11</v>
      </c>
      <c r="F426" s="1240">
        <v>6</v>
      </c>
      <c r="G426" s="1213">
        <f>'MINI SSR 2020-21'!$G$152</f>
        <v>32</v>
      </c>
      <c r="H426" s="1214">
        <f t="shared" si="30"/>
        <v>192</v>
      </c>
      <c r="I426" s="1205" t="s">
        <v>2308</v>
      </c>
    </row>
    <row r="427" spans="1:12" hidden="1">
      <c r="A427" s="1212"/>
      <c r="B427" s="1212"/>
      <c r="C427" s="1255" t="s">
        <v>68</v>
      </c>
      <c r="D427" s="1212"/>
      <c r="E427" s="1212"/>
      <c r="F427" s="1213"/>
      <c r="G427" s="1217"/>
      <c r="H427" s="1214"/>
      <c r="I427" s="1205" t="s">
        <v>2308</v>
      </c>
    </row>
    <row r="428" spans="1:12" ht="25.5" hidden="1">
      <c r="A428" s="1212"/>
      <c r="B428" s="1212" t="s">
        <v>1391</v>
      </c>
      <c r="C428" s="1253" t="s">
        <v>1403</v>
      </c>
      <c r="D428" s="1212"/>
      <c r="E428" s="1212" t="s">
        <v>102</v>
      </c>
      <c r="F428" s="1213">
        <f>ROUND(0.9*2.1,2)</f>
        <v>1.89</v>
      </c>
      <c r="G428" s="1213">
        <f>'MINI SSR 2020-21'!$C$150</f>
        <v>1452</v>
      </c>
      <c r="H428" s="1214">
        <f>ROUND(F428*G428*1/3,2)</f>
        <v>914.76</v>
      </c>
      <c r="I428" s="1205" t="s">
        <v>2308</v>
      </c>
      <c r="L428" s="1260"/>
    </row>
    <row r="429" spans="1:12" ht="13.5" hidden="1" thickBot="1">
      <c r="A429" s="1212"/>
      <c r="B429" s="1212"/>
      <c r="C429" s="1255"/>
      <c r="D429" s="1212"/>
      <c r="E429" s="1212"/>
      <c r="F429" s="1212"/>
      <c r="G429" s="1212"/>
      <c r="H429" s="1222">
        <f>SUM(H418:H428)</f>
        <v>8905.99</v>
      </c>
      <c r="I429" s="1205" t="s">
        <v>2308</v>
      </c>
      <c r="L429" s="1411">
        <f>SUM(L428)</f>
        <v>0</v>
      </c>
    </row>
    <row r="430" spans="1:12" ht="51" hidden="1">
      <c r="A430" s="1156">
        <v>7</v>
      </c>
      <c r="B430" s="1218"/>
      <c r="C430" s="1253" t="s">
        <v>1200</v>
      </c>
      <c r="D430" s="1212"/>
      <c r="E430" s="1212"/>
      <c r="F430" s="1212"/>
      <c r="G430" s="1212"/>
      <c r="H430" s="1215"/>
      <c r="I430" s="1205" t="s">
        <v>2308</v>
      </c>
    </row>
    <row r="431" spans="1:12" s="1256" customFormat="1" hidden="1">
      <c r="A431" s="1156"/>
      <c r="B431" s="1218"/>
      <c r="C431" s="1253" t="s">
        <v>695</v>
      </c>
      <c r="E431" s="1212" t="s">
        <v>35</v>
      </c>
      <c r="F431" s="1223">
        <v>8.0000000000000002E-3</v>
      </c>
      <c r="G431" s="1213">
        <f>'MINI SSR 2020-21'!C144</f>
        <v>46217</v>
      </c>
      <c r="H431" s="1214">
        <f>ROUND(F431*G431,2)</f>
        <v>369.74</v>
      </c>
      <c r="I431" s="1205" t="s">
        <v>2308</v>
      </c>
      <c r="J431" s="1162"/>
    </row>
    <row r="432" spans="1:12" s="1256" customFormat="1" hidden="1">
      <c r="A432" s="1156"/>
      <c r="B432" s="1218"/>
      <c r="C432" s="1253" t="s">
        <v>1199</v>
      </c>
      <c r="E432" s="1212" t="s">
        <v>4</v>
      </c>
      <c r="F432" s="1223">
        <v>0.5</v>
      </c>
      <c r="G432" s="1213">
        <f>'lead 20-21'!L9/1000</f>
        <v>48.38</v>
      </c>
      <c r="H432" s="1214">
        <f>ROUND(F432*G432,2)</f>
        <v>24.19</v>
      </c>
      <c r="I432" s="1205" t="s">
        <v>2308</v>
      </c>
      <c r="J432" s="1162"/>
    </row>
    <row r="433" spans="1:12" s="1256" customFormat="1" hidden="1">
      <c r="A433" s="1156"/>
      <c r="B433" s="1218" t="s">
        <v>1407</v>
      </c>
      <c r="C433" s="1253" t="s">
        <v>1406</v>
      </c>
      <c r="E433" s="1212" t="s">
        <v>102</v>
      </c>
      <c r="F433" s="1223">
        <v>0.27</v>
      </c>
      <c r="G433" s="1213">
        <f>'MINI SSR 2020-21'!G153</f>
        <v>373</v>
      </c>
      <c r="H433" s="1214">
        <f>ROUND(F433*G433,2)</f>
        <v>100.71</v>
      </c>
      <c r="I433" s="1205" t="s">
        <v>2308</v>
      </c>
      <c r="J433" s="1162"/>
    </row>
    <row r="434" spans="1:12" hidden="1">
      <c r="A434" s="1212"/>
      <c r="B434" s="1212"/>
      <c r="C434" s="1253"/>
      <c r="D434" s="1212"/>
      <c r="E434" s="1213"/>
      <c r="F434" s="1213"/>
      <c r="G434" s="1213"/>
      <c r="H434" s="1214"/>
      <c r="I434" s="1205" t="s">
        <v>2308</v>
      </c>
      <c r="L434" s="1260"/>
    </row>
    <row r="435" spans="1:12" ht="13.5" hidden="1" thickBot="1">
      <c r="A435" s="1212"/>
      <c r="B435" s="1212"/>
      <c r="C435" s="1255" t="s">
        <v>1405</v>
      </c>
      <c r="D435" s="1212"/>
      <c r="E435" s="1212"/>
      <c r="F435" s="1212"/>
      <c r="G435" s="1212"/>
      <c r="H435" s="1222">
        <f>SUM(H431:H434)</f>
        <v>494.64</v>
      </c>
      <c r="I435" s="1205" t="s">
        <v>2308</v>
      </c>
      <c r="L435" s="1411">
        <f>SUM(L434)</f>
        <v>0</v>
      </c>
    </row>
    <row r="436" spans="1:12" hidden="1">
      <c r="A436" s="1156">
        <v>1</v>
      </c>
      <c r="B436" s="1218"/>
      <c r="C436" s="1253" t="s">
        <v>932</v>
      </c>
      <c r="D436" s="1212"/>
      <c r="E436" s="1212"/>
      <c r="F436" s="1212"/>
      <c r="G436" s="1212"/>
      <c r="H436" s="1215"/>
      <c r="I436" s="1205" t="s">
        <v>2308</v>
      </c>
    </row>
    <row r="437" spans="1:12" hidden="1">
      <c r="A437" s="1212"/>
      <c r="B437" s="1212" t="s">
        <v>1408</v>
      </c>
      <c r="C437" s="1253" t="s">
        <v>379</v>
      </c>
      <c r="D437" s="1212" t="s">
        <v>102</v>
      </c>
      <c r="E437" s="1213">
        <v>1</v>
      </c>
      <c r="F437" s="1213">
        <f>'MINI SSR 2020-21'!G154</f>
        <v>340</v>
      </c>
      <c r="G437" s="1213"/>
      <c r="H437" s="1214">
        <f>ROUND(E437*F437,2)</f>
        <v>340</v>
      </c>
      <c r="I437" s="1205" t="s">
        <v>2308</v>
      </c>
    </row>
    <row r="438" spans="1:12" hidden="1">
      <c r="A438" s="1212"/>
      <c r="B438" s="1212"/>
      <c r="C438" s="1253" t="s">
        <v>929</v>
      </c>
      <c r="D438" s="1156" t="s">
        <v>108</v>
      </c>
      <c r="E438" s="1221">
        <v>0.06</v>
      </c>
      <c r="F438" s="1221">
        <f>'MINI SSR 2020-21'!H3</f>
        <v>550</v>
      </c>
      <c r="G438" s="1221"/>
      <c r="H438" s="1224">
        <f>ROUND(E438*F438,2)</f>
        <v>33</v>
      </c>
      <c r="I438" s="1205" t="s">
        <v>2308</v>
      </c>
    </row>
    <row r="439" spans="1:12" hidden="1">
      <c r="A439" s="1212"/>
      <c r="B439" s="1212"/>
      <c r="C439" s="1253" t="s">
        <v>930</v>
      </c>
      <c r="D439" s="1156" t="s">
        <v>108</v>
      </c>
      <c r="E439" s="1221">
        <v>0.06</v>
      </c>
      <c r="F439" s="1221">
        <f>'MINI SSR 2020-21'!H4</f>
        <v>500</v>
      </c>
      <c r="G439" s="1221"/>
      <c r="H439" s="1224">
        <f>ROUND(E439*F439,2)</f>
        <v>30</v>
      </c>
      <c r="I439" s="1205" t="s">
        <v>2308</v>
      </c>
    </row>
    <row r="440" spans="1:12" hidden="1">
      <c r="A440" s="1212"/>
      <c r="B440" s="1212"/>
      <c r="C440" s="1254" t="s">
        <v>931</v>
      </c>
      <c r="D440" s="1156" t="s">
        <v>108</v>
      </c>
      <c r="E440" s="1166">
        <v>0.27500000000000002</v>
      </c>
      <c r="F440" s="1221">
        <f>'MINI SSR 2020-21'!H5</f>
        <v>460</v>
      </c>
      <c r="G440" s="1221"/>
      <c r="H440" s="1224">
        <f>ROUND(E440*F440,2)</f>
        <v>126.5</v>
      </c>
      <c r="I440" s="1205" t="s">
        <v>2308</v>
      </c>
    </row>
    <row r="441" spans="1:12" hidden="1">
      <c r="A441" s="1212"/>
      <c r="B441" s="1212"/>
      <c r="C441" s="1255" t="s">
        <v>1404</v>
      </c>
      <c r="D441" s="1212"/>
      <c r="E441" s="1212"/>
      <c r="F441" s="1212"/>
      <c r="G441" s="1212"/>
      <c r="H441" s="1222">
        <f>SUM(H437:H440)</f>
        <v>529.5</v>
      </c>
      <c r="I441" s="1205" t="s">
        <v>2308</v>
      </c>
    </row>
    <row r="442" spans="1:12" ht="255" hidden="1">
      <c r="A442" s="1156">
        <v>2</v>
      </c>
      <c r="B442" s="1218"/>
      <c r="C442" s="1253" t="s">
        <v>910</v>
      </c>
      <c r="D442" s="1212"/>
      <c r="E442" s="1212"/>
      <c r="F442" s="1212"/>
      <c r="G442" s="1212"/>
      <c r="H442" s="1215"/>
      <c r="I442" s="1205" t="s">
        <v>2308</v>
      </c>
    </row>
    <row r="443" spans="1:12" hidden="1">
      <c r="A443" s="1212"/>
      <c r="B443" s="1212"/>
      <c r="C443" s="1253" t="s">
        <v>911</v>
      </c>
      <c r="D443" s="1212"/>
      <c r="E443" s="1223"/>
      <c r="F443" s="1213"/>
      <c r="G443" s="1213"/>
      <c r="H443" s="1214"/>
      <c r="I443" s="1205" t="s">
        <v>2308</v>
      </c>
    </row>
    <row r="444" spans="1:12" hidden="1">
      <c r="A444" s="1212"/>
      <c r="B444" s="1212" t="s">
        <v>1410</v>
      </c>
      <c r="C444" s="1253" t="s">
        <v>1409</v>
      </c>
      <c r="D444" s="1212"/>
      <c r="E444" s="1212" t="s">
        <v>277</v>
      </c>
      <c r="F444" s="1223">
        <v>6.7</v>
      </c>
      <c r="G444" s="1213">
        <f>'MINI SSR 2020-21'!C147</f>
        <v>805</v>
      </c>
      <c r="H444" s="1214">
        <f t="shared" ref="H444:H451" si="31">ROUND(F444*G444,2)</f>
        <v>5393.5</v>
      </c>
      <c r="I444" s="1205" t="s">
        <v>2308</v>
      </c>
    </row>
    <row r="445" spans="1:12" hidden="1">
      <c r="A445" s="1212"/>
      <c r="B445" s="1212" t="s">
        <v>1412</v>
      </c>
      <c r="C445" s="1253" t="s">
        <v>1411</v>
      </c>
      <c r="D445" s="1212"/>
      <c r="E445" s="1212" t="s">
        <v>102</v>
      </c>
      <c r="F445" s="1223">
        <v>0.86899999999999999</v>
      </c>
      <c r="G445" s="1213">
        <f>'MINI SSR 2020-21'!C151</f>
        <v>754</v>
      </c>
      <c r="H445" s="1214">
        <f t="shared" si="31"/>
        <v>655.23</v>
      </c>
      <c r="I445" s="1205" t="s">
        <v>2308</v>
      </c>
    </row>
    <row r="446" spans="1:12" hidden="1">
      <c r="A446" s="1212"/>
      <c r="B446" s="1212" t="s">
        <v>1393</v>
      </c>
      <c r="C446" s="1253" t="s">
        <v>379</v>
      </c>
      <c r="D446" s="1212"/>
      <c r="E446" s="1212" t="s">
        <v>102</v>
      </c>
      <c r="F446" s="1223">
        <f>ROUND(1.1*2.03,2)</f>
        <v>2.23</v>
      </c>
      <c r="G446" s="1213">
        <f>'MINI SSR 2020-21'!C146</f>
        <v>3030</v>
      </c>
      <c r="H446" s="1214">
        <f t="shared" si="31"/>
        <v>6756.9</v>
      </c>
      <c r="I446" s="1205" t="s">
        <v>2308</v>
      </c>
    </row>
    <row r="447" spans="1:12" hidden="1">
      <c r="A447" s="1212"/>
      <c r="B447" s="1212" t="s">
        <v>1394</v>
      </c>
      <c r="C447" s="1253" t="s">
        <v>1413</v>
      </c>
      <c r="D447" s="1212"/>
      <c r="E447" s="1212" t="s">
        <v>102</v>
      </c>
      <c r="F447" s="1223">
        <v>1.6870000000000001</v>
      </c>
      <c r="G447" s="1213">
        <f>'MINI SSR 2020-21'!C151</f>
        <v>754</v>
      </c>
      <c r="H447" s="1214">
        <f t="shared" si="31"/>
        <v>1272</v>
      </c>
      <c r="I447" s="1205" t="s">
        <v>2308</v>
      </c>
      <c r="L447" s="1260"/>
    </row>
    <row r="448" spans="1:12" hidden="1">
      <c r="A448" s="1156"/>
      <c r="B448" s="1218" t="s">
        <v>1415</v>
      </c>
      <c r="C448" s="1253" t="s">
        <v>1414</v>
      </c>
      <c r="D448" s="1212"/>
      <c r="E448" s="1212" t="s">
        <v>11</v>
      </c>
      <c r="F448" s="1240">
        <v>2</v>
      </c>
      <c r="G448" s="1213">
        <f>'MINI SSR 2020-21'!G144</f>
        <v>103</v>
      </c>
      <c r="H448" s="1214">
        <f t="shared" si="31"/>
        <v>206</v>
      </c>
      <c r="I448" s="1205" t="s">
        <v>2308</v>
      </c>
    </row>
    <row r="449" spans="1:12" hidden="1">
      <c r="A449" s="1156"/>
      <c r="B449" s="1218" t="s">
        <v>1383</v>
      </c>
      <c r="C449" s="1253" t="s">
        <v>1382</v>
      </c>
      <c r="D449" s="1212"/>
      <c r="E449" s="1212" t="s">
        <v>11</v>
      </c>
      <c r="F449" s="1240">
        <v>2</v>
      </c>
      <c r="G449" s="1213">
        <f>'MINI SSR 2020-21'!G147</f>
        <v>103</v>
      </c>
      <c r="H449" s="1214">
        <f t="shared" si="31"/>
        <v>206</v>
      </c>
      <c r="I449" s="1205" t="s">
        <v>2308</v>
      </c>
    </row>
    <row r="450" spans="1:12" hidden="1">
      <c r="A450" s="1156"/>
      <c r="B450" s="1218" t="s">
        <v>1400</v>
      </c>
      <c r="C450" s="1253" t="s">
        <v>1399</v>
      </c>
      <c r="D450" s="1212"/>
      <c r="E450" s="1212" t="s">
        <v>11</v>
      </c>
      <c r="F450" s="1240">
        <v>2</v>
      </c>
      <c r="G450" s="1213">
        <f>'MINI SSR 2020-21'!G149</f>
        <v>308</v>
      </c>
      <c r="H450" s="1214">
        <f t="shared" si="31"/>
        <v>616</v>
      </c>
      <c r="I450" s="1205" t="s">
        <v>2308</v>
      </c>
    </row>
    <row r="451" spans="1:12" hidden="1">
      <c r="A451" s="1156"/>
      <c r="B451" s="1218"/>
      <c r="C451" s="1253" t="s">
        <v>912</v>
      </c>
      <c r="D451" s="1212"/>
      <c r="E451" s="1212" t="s">
        <v>11</v>
      </c>
      <c r="F451" s="1240">
        <v>1</v>
      </c>
      <c r="G451" s="1213">
        <f>'MINI SSR 2020-21'!G155</f>
        <v>53</v>
      </c>
      <c r="H451" s="1214">
        <f t="shared" si="31"/>
        <v>53</v>
      </c>
      <c r="I451" s="1205" t="s">
        <v>2308</v>
      </c>
    </row>
    <row r="452" spans="1:12" hidden="1">
      <c r="A452" s="1212"/>
      <c r="B452" s="1212"/>
      <c r="C452" s="1253" t="s">
        <v>909</v>
      </c>
      <c r="D452" s="1212"/>
      <c r="E452" s="1213"/>
      <c r="F452" s="1213"/>
      <c r="G452" s="1213"/>
      <c r="H452" s="1222">
        <f>SUM(H444:H451)</f>
        <v>15158.63</v>
      </c>
      <c r="I452" s="1205" t="s">
        <v>2308</v>
      </c>
    </row>
    <row r="453" spans="1:12" hidden="1">
      <c r="A453" s="1212"/>
      <c r="B453" s="1212"/>
      <c r="C453" s="1253" t="s">
        <v>121</v>
      </c>
      <c r="D453" s="1212"/>
      <c r="E453" s="1212"/>
      <c r="F453" s="1212"/>
      <c r="G453" s="1212"/>
      <c r="H453" s="1222">
        <f>ROUND(H452/2.556,2)</f>
        <v>5930.61</v>
      </c>
      <c r="I453" s="1205" t="s">
        <v>2308</v>
      </c>
    </row>
    <row r="454" spans="1:12" ht="255" hidden="1">
      <c r="A454" s="1156">
        <v>2</v>
      </c>
      <c r="B454" s="1218"/>
      <c r="C454" s="1253" t="s">
        <v>910</v>
      </c>
      <c r="D454" s="1212"/>
      <c r="E454" s="1212"/>
      <c r="F454" s="1212"/>
      <c r="G454" s="1212"/>
      <c r="H454" s="1215"/>
      <c r="I454" s="1205" t="s">
        <v>2308</v>
      </c>
    </row>
    <row r="455" spans="1:12" hidden="1">
      <c r="A455" s="1212"/>
      <c r="B455" s="1212"/>
      <c r="C455" s="1253" t="s">
        <v>911</v>
      </c>
      <c r="D455" s="1212"/>
      <c r="E455" s="1223"/>
      <c r="F455" s="1213"/>
      <c r="G455" s="1213"/>
      <c r="H455" s="1214"/>
      <c r="I455" s="1205" t="s">
        <v>2308</v>
      </c>
    </row>
    <row r="456" spans="1:12" hidden="1">
      <c r="A456" s="1212"/>
      <c r="B456" s="1212" t="s">
        <v>1410</v>
      </c>
      <c r="C456" s="1253" t="s">
        <v>1409</v>
      </c>
      <c r="D456" s="1212"/>
      <c r="E456" s="1212" t="s">
        <v>277</v>
      </c>
      <c r="F456" s="1223">
        <v>5.45</v>
      </c>
      <c r="G456" s="1213">
        <f t="shared" ref="G456:G463" si="32">G444</f>
        <v>805</v>
      </c>
      <c r="H456" s="1214">
        <f t="shared" ref="H456:H463" si="33">ROUND(F456*G456,2)</f>
        <v>4387.25</v>
      </c>
      <c r="I456" s="1205" t="s">
        <v>2308</v>
      </c>
    </row>
    <row r="457" spans="1:12" hidden="1">
      <c r="A457" s="1212"/>
      <c r="B457" s="1212" t="s">
        <v>1412</v>
      </c>
      <c r="C457" s="1253" t="s">
        <v>1411</v>
      </c>
      <c r="D457" s="1212"/>
      <c r="E457" s="1212" t="s">
        <v>102</v>
      </c>
      <c r="F457" s="1223">
        <v>0.86899999999999999</v>
      </c>
      <c r="G457" s="1213">
        <f t="shared" si="32"/>
        <v>754</v>
      </c>
      <c r="H457" s="1214">
        <f t="shared" si="33"/>
        <v>655.23</v>
      </c>
      <c r="I457" s="1205" t="s">
        <v>2308</v>
      </c>
    </row>
    <row r="458" spans="1:12" hidden="1">
      <c r="A458" s="1212"/>
      <c r="B458" s="1212" t="s">
        <v>1393</v>
      </c>
      <c r="C458" s="1253" t="s">
        <v>379</v>
      </c>
      <c r="D458" s="1212"/>
      <c r="E458" s="1212" t="s">
        <v>102</v>
      </c>
      <c r="F458" s="1223">
        <f>ROUND(1.1*2.03,2)</f>
        <v>2.23</v>
      </c>
      <c r="G458" s="1213">
        <f t="shared" si="32"/>
        <v>3030</v>
      </c>
      <c r="H458" s="1214">
        <f t="shared" si="33"/>
        <v>6756.9</v>
      </c>
      <c r="I458" s="1205" t="s">
        <v>2308</v>
      </c>
    </row>
    <row r="459" spans="1:12" hidden="1">
      <c r="A459" s="1212"/>
      <c r="B459" s="1212" t="s">
        <v>1394</v>
      </c>
      <c r="C459" s="1253" t="s">
        <v>1413</v>
      </c>
      <c r="D459" s="1212"/>
      <c r="E459" s="1212" t="s">
        <v>102</v>
      </c>
      <c r="F459" s="1223">
        <v>1.6870000000000001</v>
      </c>
      <c r="G459" s="1213">
        <f t="shared" si="32"/>
        <v>754</v>
      </c>
      <c r="H459" s="1214">
        <f t="shared" si="33"/>
        <v>1272</v>
      </c>
      <c r="I459" s="1205" t="s">
        <v>2308</v>
      </c>
      <c r="L459" s="1260"/>
    </row>
    <row r="460" spans="1:12" hidden="1">
      <c r="A460" s="1156"/>
      <c r="B460" s="1218" t="s">
        <v>1415</v>
      </c>
      <c r="C460" s="1253" t="s">
        <v>1414</v>
      </c>
      <c r="D460" s="1212"/>
      <c r="E460" s="1212" t="s">
        <v>11</v>
      </c>
      <c r="F460" s="1240">
        <v>2</v>
      </c>
      <c r="G460" s="1213">
        <f t="shared" si="32"/>
        <v>103</v>
      </c>
      <c r="H460" s="1214">
        <f t="shared" si="33"/>
        <v>206</v>
      </c>
      <c r="I460" s="1205" t="s">
        <v>2308</v>
      </c>
    </row>
    <row r="461" spans="1:12" hidden="1">
      <c r="A461" s="1156"/>
      <c r="B461" s="1218" t="s">
        <v>1383</v>
      </c>
      <c r="C461" s="1253" t="s">
        <v>1382</v>
      </c>
      <c r="D461" s="1212"/>
      <c r="E461" s="1212" t="s">
        <v>11</v>
      </c>
      <c r="F461" s="1240">
        <v>4</v>
      </c>
      <c r="G461" s="1213">
        <f t="shared" si="32"/>
        <v>103</v>
      </c>
      <c r="H461" s="1214">
        <f t="shared" si="33"/>
        <v>412</v>
      </c>
      <c r="I461" s="1205" t="s">
        <v>2308</v>
      </c>
    </row>
    <row r="462" spans="1:12" hidden="1">
      <c r="A462" s="1156"/>
      <c r="B462" s="1218" t="s">
        <v>1400</v>
      </c>
      <c r="C462" s="1253" t="s">
        <v>1399</v>
      </c>
      <c r="D462" s="1212"/>
      <c r="E462" s="1212" t="s">
        <v>11</v>
      </c>
      <c r="F462" s="1240">
        <v>2</v>
      </c>
      <c r="G462" s="1213">
        <f t="shared" si="32"/>
        <v>308</v>
      </c>
      <c r="H462" s="1214">
        <f t="shared" si="33"/>
        <v>616</v>
      </c>
      <c r="I462" s="1205" t="s">
        <v>2308</v>
      </c>
    </row>
    <row r="463" spans="1:12" hidden="1">
      <c r="A463" s="1156"/>
      <c r="B463" s="1218"/>
      <c r="C463" s="1253" t="s">
        <v>912</v>
      </c>
      <c r="D463" s="1212"/>
      <c r="E463" s="1212" t="s">
        <v>11</v>
      </c>
      <c r="F463" s="1240">
        <v>1</v>
      </c>
      <c r="G463" s="1213">
        <f t="shared" si="32"/>
        <v>53</v>
      </c>
      <c r="H463" s="1214">
        <f t="shared" si="33"/>
        <v>53</v>
      </c>
      <c r="I463" s="1205" t="s">
        <v>2308</v>
      </c>
    </row>
    <row r="464" spans="1:12" hidden="1">
      <c r="A464" s="1212"/>
      <c r="B464" s="1212"/>
      <c r="C464" s="1253" t="s">
        <v>909</v>
      </c>
      <c r="D464" s="1212"/>
      <c r="E464" s="1213"/>
      <c r="F464" s="1213"/>
      <c r="G464" s="1213"/>
      <c r="H464" s="1222">
        <f>SUM(H456:H463)</f>
        <v>14358.38</v>
      </c>
      <c r="I464" s="1205" t="s">
        <v>2308</v>
      </c>
    </row>
    <row r="465" spans="1:10" hidden="1">
      <c r="A465" s="1212"/>
      <c r="B465" s="1212"/>
      <c r="C465" s="1253" t="s">
        <v>121</v>
      </c>
      <c r="D465" s="1212"/>
      <c r="E465" s="1212"/>
      <c r="F465" s="1212"/>
      <c r="G465" s="1212"/>
      <c r="H465" s="1222">
        <f>ROUND(H464/2.556,2)</f>
        <v>5617.52</v>
      </c>
      <c r="I465" s="1205" t="s">
        <v>2308</v>
      </c>
    </row>
    <row r="466" spans="1:10" ht="258.75" hidden="1">
      <c r="A466" s="1156">
        <v>1</v>
      </c>
      <c r="B466" s="1218"/>
      <c r="C466" s="1413" t="s">
        <v>3440</v>
      </c>
      <c r="D466" s="1212"/>
      <c r="E466" s="1212"/>
      <c r="F466" s="1212"/>
      <c r="G466" s="1212"/>
      <c r="H466" s="1215"/>
      <c r="I466" s="1205" t="s">
        <v>2308</v>
      </c>
    </row>
    <row r="467" spans="1:10" hidden="1">
      <c r="A467" s="1212"/>
      <c r="B467" s="1212" t="s">
        <v>1417</v>
      </c>
      <c r="C467" s="1253" t="s">
        <v>1416</v>
      </c>
      <c r="D467" s="1212" t="s">
        <v>102</v>
      </c>
      <c r="E467" s="1213">
        <v>1</v>
      </c>
      <c r="F467" s="1213">
        <f>'MINI SSR 2020-21'!C153</f>
        <v>6038</v>
      </c>
      <c r="G467" s="1213"/>
      <c r="H467" s="1214">
        <f>ROUND(E467*F467,2)</f>
        <v>6038</v>
      </c>
      <c r="I467" s="1205" t="s">
        <v>2308</v>
      </c>
    </row>
    <row r="468" spans="1:10" hidden="1">
      <c r="A468" s="1212"/>
      <c r="B468" s="1212"/>
      <c r="C468" s="1255"/>
      <c r="D468" s="1212"/>
      <c r="E468" s="1212"/>
      <c r="F468" s="1212"/>
      <c r="G468" s="1212"/>
      <c r="H468" s="1222">
        <f>SUM(H467:H467)</f>
        <v>6038</v>
      </c>
      <c r="I468" s="1205" t="s">
        <v>2308</v>
      </c>
    </row>
    <row r="469" spans="1:10" hidden="1">
      <c r="A469" s="1212"/>
      <c r="B469" s="1212" t="s">
        <v>1417</v>
      </c>
      <c r="C469" s="1253" t="s">
        <v>1418</v>
      </c>
      <c r="D469" s="1212" t="s">
        <v>102</v>
      </c>
      <c r="E469" s="1213">
        <v>1</v>
      </c>
      <c r="F469" s="1213">
        <f>'MINI SSR 2020-21'!C152</f>
        <v>8058</v>
      </c>
      <c r="G469" s="1213"/>
      <c r="H469" s="1214">
        <f>ROUND(E469*F469,2)</f>
        <v>8058</v>
      </c>
      <c r="I469" s="1205" t="s">
        <v>2308</v>
      </c>
    </row>
    <row r="470" spans="1:10" hidden="1">
      <c r="A470" s="1212"/>
      <c r="B470" s="1212"/>
      <c r="C470" s="1255"/>
      <c r="D470" s="1212"/>
      <c r="E470" s="1212"/>
      <c r="F470" s="1212"/>
      <c r="G470" s="1212"/>
      <c r="H470" s="1222">
        <f>SUM(H469:H469)</f>
        <v>8058</v>
      </c>
      <c r="I470" s="1205" t="s">
        <v>2308</v>
      </c>
    </row>
    <row r="471" spans="1:10" hidden="1">
      <c r="A471" s="1212">
        <v>8</v>
      </c>
      <c r="B471" s="1212" t="s">
        <v>1420</v>
      </c>
      <c r="C471" s="1253" t="s">
        <v>1419</v>
      </c>
      <c r="D471" s="1212" t="s">
        <v>102</v>
      </c>
      <c r="E471" s="1213">
        <v>1</v>
      </c>
      <c r="F471" s="1213">
        <f>'MINI SSR 2020-21'!C154</f>
        <v>5830</v>
      </c>
      <c r="G471" s="1213"/>
      <c r="H471" s="1214">
        <f>ROUND(E471*F471,2)</f>
        <v>5830</v>
      </c>
      <c r="I471" s="1205" t="s">
        <v>2308</v>
      </c>
    </row>
    <row r="472" spans="1:10" hidden="1">
      <c r="A472" s="1212"/>
      <c r="B472" s="1212"/>
      <c r="C472" s="1255"/>
      <c r="D472" s="1212"/>
      <c r="E472" s="1212"/>
      <c r="F472" s="1212"/>
      <c r="G472" s="1212"/>
      <c r="H472" s="1222">
        <f>SUM(H471:H471)</f>
        <v>5830</v>
      </c>
      <c r="I472" s="1205" t="s">
        <v>2308</v>
      </c>
    </row>
    <row r="473" spans="1:10" ht="38.25" hidden="1">
      <c r="A473" s="1156">
        <v>3</v>
      </c>
      <c r="B473" s="1218"/>
      <c r="C473" s="1253" t="s">
        <v>2293</v>
      </c>
      <c r="D473" s="1212"/>
      <c r="E473" s="1212"/>
      <c r="F473" s="1212"/>
      <c r="G473" s="1212"/>
      <c r="H473" s="1215"/>
      <c r="I473" s="1205" t="s">
        <v>2308</v>
      </c>
    </row>
    <row r="474" spans="1:10" hidden="1">
      <c r="A474" s="1212"/>
      <c r="B474" s="1212" t="s">
        <v>2291</v>
      </c>
      <c r="C474" s="1253" t="s">
        <v>1416</v>
      </c>
      <c r="D474" s="1212" t="s">
        <v>102</v>
      </c>
      <c r="E474" s="1213">
        <v>1</v>
      </c>
      <c r="F474" s="1213">
        <f>'MINI SSR 2020-21'!C156</f>
        <v>3797</v>
      </c>
      <c r="G474" s="1213"/>
      <c r="H474" s="1214">
        <f>ROUND(E474*F474,2)</f>
        <v>3797</v>
      </c>
      <c r="I474" s="1205" t="s">
        <v>2308</v>
      </c>
    </row>
    <row r="475" spans="1:10" hidden="1">
      <c r="A475" s="1212"/>
      <c r="B475" s="1212"/>
      <c r="C475" s="1255"/>
      <c r="D475" s="1212"/>
      <c r="E475" s="1212"/>
      <c r="F475" s="1212"/>
      <c r="G475" s="1212"/>
      <c r="H475" s="1222">
        <f>SUM(H474:H474)</f>
        <v>3797</v>
      </c>
      <c r="I475" s="1205" t="s">
        <v>2308</v>
      </c>
    </row>
    <row r="476" spans="1:10" s="1210" customFormat="1" ht="19.5" hidden="1" customHeight="1">
      <c r="A476" s="1764"/>
      <c r="B476" s="1764"/>
      <c r="C476" s="1259" t="s">
        <v>2319</v>
      </c>
      <c r="D476" s="1764"/>
      <c r="E476" s="1764"/>
      <c r="F476" s="1764"/>
      <c r="G476" s="1764"/>
      <c r="H476" s="1764"/>
      <c r="I476" s="1205" t="s">
        <v>2321</v>
      </c>
    </row>
    <row r="477" spans="1:10" ht="127.5" hidden="1">
      <c r="A477" s="1156">
        <v>1</v>
      </c>
      <c r="B477" s="1218"/>
      <c r="C477" s="1253" t="s">
        <v>1309</v>
      </c>
      <c r="D477" s="1212"/>
      <c r="E477" s="1212"/>
      <c r="F477" s="1212"/>
      <c r="G477" s="1212"/>
      <c r="H477" s="1215"/>
      <c r="I477" s="1205" t="s">
        <v>2321</v>
      </c>
    </row>
    <row r="478" spans="1:10" hidden="1">
      <c r="A478" s="1156"/>
      <c r="B478" s="1218"/>
      <c r="C478" s="1255" t="s">
        <v>100</v>
      </c>
      <c r="D478" s="1212"/>
      <c r="E478" s="1212"/>
      <c r="F478" s="1212"/>
      <c r="G478" s="1212"/>
      <c r="H478" s="1215"/>
      <c r="I478" s="1205" t="s">
        <v>2321</v>
      </c>
    </row>
    <row r="479" spans="1:10" s="1256" customFormat="1" hidden="1">
      <c r="A479" s="1156"/>
      <c r="B479" s="1218"/>
      <c r="C479" s="1255" t="s">
        <v>594</v>
      </c>
      <c r="D479" s="1212"/>
      <c r="E479" s="1212"/>
      <c r="F479" s="1212"/>
      <c r="G479" s="1212"/>
      <c r="H479" s="1215"/>
      <c r="I479" s="1205" t="s">
        <v>2321</v>
      </c>
      <c r="J479" s="1162"/>
    </row>
    <row r="480" spans="1:10" s="1256" customFormat="1" hidden="1">
      <c r="A480" s="1156"/>
      <c r="B480" s="1218"/>
      <c r="C480" s="1253" t="s">
        <v>2</v>
      </c>
      <c r="D480" s="1406">
        <v>2</v>
      </c>
      <c r="E480" s="1407">
        <f>2.1-0.075-0.075</f>
        <v>1.95</v>
      </c>
      <c r="F480" s="1408">
        <v>0.1</v>
      </c>
      <c r="G480" s="1408">
        <v>7.4999999999999997E-2</v>
      </c>
      <c r="H480" s="1409">
        <f>ROUND(D480*E480*F480*G480,4)</f>
        <v>2.93E-2</v>
      </c>
      <c r="I480" s="1205" t="s">
        <v>2321</v>
      </c>
      <c r="J480" s="1162"/>
    </row>
    <row r="481" spans="1:12" s="1256" customFormat="1" hidden="1">
      <c r="A481" s="1156"/>
      <c r="B481" s="1218"/>
      <c r="C481" s="1253" t="s">
        <v>741</v>
      </c>
      <c r="D481" s="1406">
        <v>2</v>
      </c>
      <c r="E481" s="1407">
        <v>1.2</v>
      </c>
      <c r="F481" s="1408">
        <v>0.1</v>
      </c>
      <c r="G481" s="1408">
        <v>7.4999999999999997E-2</v>
      </c>
      <c r="H481" s="1409">
        <f>ROUND(D481*E481*F481*G481,4)</f>
        <v>1.7999999999999999E-2</v>
      </c>
      <c r="I481" s="1205" t="s">
        <v>2321</v>
      </c>
      <c r="J481" s="1162"/>
    </row>
    <row r="482" spans="1:12" s="1256" customFormat="1" hidden="1">
      <c r="A482" s="1156"/>
      <c r="B482" s="1218"/>
      <c r="C482" s="1255"/>
      <c r="D482" s="1212"/>
      <c r="E482" s="1212"/>
      <c r="F482" s="1212"/>
      <c r="G482" s="1212"/>
      <c r="H482" s="1410">
        <f>SUM(H480:H481)</f>
        <v>4.7299999999999995E-2</v>
      </c>
      <c r="I482" s="1205" t="s">
        <v>2321</v>
      </c>
      <c r="J482" s="1162"/>
    </row>
    <row r="483" spans="1:12" s="1256" customFormat="1" hidden="1">
      <c r="A483" s="1156"/>
      <c r="B483" s="1218"/>
      <c r="C483" s="1255" t="s">
        <v>320</v>
      </c>
      <c r="D483" s="1406">
        <v>2</v>
      </c>
      <c r="E483" s="1407">
        <f>2.1-0.075-0.075+0.05</f>
        <v>2</v>
      </c>
      <c r="F483" s="1408">
        <f>(1.2-0.075-0.075+0.05)/2</f>
        <v>0.55000000000000004</v>
      </c>
      <c r="G483" s="1408">
        <v>3.7999999999999999E-2</v>
      </c>
      <c r="H483" s="1409">
        <f>ROUND(D483*E483*F483*G483,4)</f>
        <v>8.3599999999999994E-2</v>
      </c>
      <c r="I483" s="1205" t="s">
        <v>2321</v>
      </c>
      <c r="J483" s="1162"/>
    </row>
    <row r="484" spans="1:12" s="1256" customFormat="1" hidden="1">
      <c r="A484" s="1156"/>
      <c r="B484" s="1218"/>
      <c r="C484" s="1255"/>
      <c r="D484" s="1212"/>
      <c r="E484" s="1212"/>
      <c r="F484" s="1212"/>
      <c r="G484" s="1212"/>
      <c r="H484" s="1410">
        <f>SUM(H483)</f>
        <v>8.3599999999999994E-2</v>
      </c>
      <c r="I484" s="1205" t="s">
        <v>2321</v>
      </c>
      <c r="J484" s="1162"/>
    </row>
    <row r="485" spans="1:12" s="1256" customFormat="1" hidden="1">
      <c r="A485" s="1156"/>
      <c r="B485" s="1218" t="s">
        <v>1375</v>
      </c>
      <c r="C485" s="1253" t="s">
        <v>1374</v>
      </c>
      <c r="D485" s="1212"/>
      <c r="E485" s="1212" t="s">
        <v>35</v>
      </c>
      <c r="F485" s="1226">
        <f>H482</f>
        <v>4.7299999999999995E-2</v>
      </c>
      <c r="G485" s="1213">
        <f>'MINI SSR 21-22'!C142</f>
        <v>74500</v>
      </c>
      <c r="H485" s="1214">
        <f t="shared" ref="H485:H492" si="34">ROUND(F485*G485,2)</f>
        <v>3523.85</v>
      </c>
      <c r="I485" s="1205" t="s">
        <v>2321</v>
      </c>
      <c r="J485" s="1162"/>
    </row>
    <row r="486" spans="1:12" s="1256" customFormat="1" hidden="1">
      <c r="A486" s="1156"/>
      <c r="B486" s="1218" t="s">
        <v>1377</v>
      </c>
      <c r="C486" s="1253" t="s">
        <v>1376</v>
      </c>
      <c r="D486" s="1212"/>
      <c r="E486" s="1212" t="s">
        <v>35</v>
      </c>
      <c r="F486" s="1226">
        <f>H484</f>
        <v>8.3599999999999994E-2</v>
      </c>
      <c r="G486" s="1213">
        <f>'MINI SSR 21-22'!C143</f>
        <v>149000</v>
      </c>
      <c r="H486" s="1214">
        <f t="shared" si="34"/>
        <v>12456.4</v>
      </c>
      <c r="I486" s="1205" t="s">
        <v>2321</v>
      </c>
      <c r="J486" s="1162"/>
    </row>
    <row r="487" spans="1:12" s="1256" customFormat="1" hidden="1">
      <c r="A487" s="1156"/>
      <c r="B487" s="1218" t="s">
        <v>1379</v>
      </c>
      <c r="C487" s="1253" t="s">
        <v>1378</v>
      </c>
      <c r="D487" s="1212"/>
      <c r="E487" s="1212" t="s">
        <v>11</v>
      </c>
      <c r="F487" s="1240">
        <v>2</v>
      </c>
      <c r="G487" s="1213">
        <f>'MINI SSR 21-22'!G142</f>
        <v>231</v>
      </c>
      <c r="H487" s="1214">
        <f t="shared" si="34"/>
        <v>462</v>
      </c>
      <c r="I487" s="1205" t="s">
        <v>2321</v>
      </c>
      <c r="J487" s="1162"/>
    </row>
    <row r="488" spans="1:12" hidden="1">
      <c r="A488" s="1156"/>
      <c r="B488" s="1218" t="s">
        <v>1381</v>
      </c>
      <c r="C488" s="1253" t="s">
        <v>1380</v>
      </c>
      <c r="D488" s="1212"/>
      <c r="E488" s="1212" t="s">
        <v>11</v>
      </c>
      <c r="F488" s="1240">
        <v>6</v>
      </c>
      <c r="G488" s="1213">
        <f>'MINI SSR 21-22'!G145</f>
        <v>246</v>
      </c>
      <c r="H488" s="1214">
        <f t="shared" si="34"/>
        <v>1476</v>
      </c>
      <c r="I488" s="1205" t="s">
        <v>2321</v>
      </c>
    </row>
    <row r="489" spans="1:12" hidden="1">
      <c r="A489" s="1156"/>
      <c r="B489" s="1218" t="s">
        <v>1383</v>
      </c>
      <c r="C489" s="1253" t="s">
        <v>1382</v>
      </c>
      <c r="D489" s="1212"/>
      <c r="E489" s="1212" t="s">
        <v>11</v>
      </c>
      <c r="F489" s="1240"/>
      <c r="G489" s="1213">
        <f>'MINI SSR 21-22'!G144</f>
        <v>103</v>
      </c>
      <c r="H489" s="1214">
        <f t="shared" si="34"/>
        <v>0</v>
      </c>
      <c r="I489" s="1205" t="s">
        <v>2321</v>
      </c>
    </row>
    <row r="490" spans="1:12" hidden="1">
      <c r="A490" s="1156"/>
      <c r="B490" s="1218" t="s">
        <v>1385</v>
      </c>
      <c r="C490" s="1253" t="s">
        <v>1384</v>
      </c>
      <c r="D490" s="1212"/>
      <c r="E490" s="1212" t="s">
        <v>11</v>
      </c>
      <c r="F490" s="1240">
        <v>2</v>
      </c>
      <c r="G490" s="1213">
        <f>'MINI SSR 21-22'!G148</f>
        <v>1087</v>
      </c>
      <c r="H490" s="1214">
        <f t="shared" si="34"/>
        <v>2174</v>
      </c>
      <c r="I490" s="1205" t="s">
        <v>2321</v>
      </c>
    </row>
    <row r="491" spans="1:12" hidden="1">
      <c r="A491" s="1156"/>
      <c r="B491" s="1218" t="s">
        <v>1387</v>
      </c>
      <c r="C491" s="1253" t="s">
        <v>1386</v>
      </c>
      <c r="D491" s="1212"/>
      <c r="E491" s="1212" t="s">
        <v>11</v>
      </c>
      <c r="F491" s="1240">
        <v>1</v>
      </c>
      <c r="G491" s="1213">
        <f>'MINI SSR 21-22'!G150</f>
        <v>168</v>
      </c>
      <c r="H491" s="1214">
        <f t="shared" si="34"/>
        <v>168</v>
      </c>
      <c r="I491" s="1205" t="s">
        <v>2321</v>
      </c>
    </row>
    <row r="492" spans="1:12" hidden="1">
      <c r="A492" s="1156"/>
      <c r="B492" s="1218" t="s">
        <v>1389</v>
      </c>
      <c r="C492" s="1253" t="s">
        <v>1388</v>
      </c>
      <c r="D492" s="1212"/>
      <c r="E492" s="1212" t="s">
        <v>11</v>
      </c>
      <c r="F492" s="1240">
        <v>6</v>
      </c>
      <c r="G492" s="1213">
        <f>'MINI SSR 21-22'!G152</f>
        <v>35</v>
      </c>
      <c r="H492" s="1214">
        <f t="shared" si="34"/>
        <v>210</v>
      </c>
      <c r="I492" s="1205" t="s">
        <v>2321</v>
      </c>
    </row>
    <row r="493" spans="1:12" hidden="1">
      <c r="A493" s="1212"/>
      <c r="B493" s="1212"/>
      <c r="C493" s="1255" t="s">
        <v>68</v>
      </c>
      <c r="D493" s="1212"/>
      <c r="E493" s="1212"/>
      <c r="F493" s="1213"/>
      <c r="G493" s="1217"/>
      <c r="H493" s="1214"/>
      <c r="I493" s="1205" t="s">
        <v>2321</v>
      </c>
    </row>
    <row r="494" spans="1:12" hidden="1">
      <c r="A494" s="1212"/>
      <c r="B494" s="1212" t="s">
        <v>1391</v>
      </c>
      <c r="C494" s="1253" t="s">
        <v>1390</v>
      </c>
      <c r="D494" s="1212"/>
      <c r="E494" s="1212" t="s">
        <v>102</v>
      </c>
      <c r="F494" s="1213">
        <f>ROUND(1.2*2.1,2)</f>
        <v>2.52</v>
      </c>
      <c r="G494" s="1213">
        <f>'MINI SSR 21-22'!C149</f>
        <v>1672</v>
      </c>
      <c r="H494" s="1214">
        <f>ROUND(F494*G494,2)</f>
        <v>4213.4399999999996</v>
      </c>
      <c r="I494" s="1205" t="s">
        <v>2321</v>
      </c>
      <c r="L494" s="1260">
        <f>H494</f>
        <v>4213.4399999999996</v>
      </c>
    </row>
    <row r="495" spans="1:12" ht="13.5" hidden="1" thickBot="1">
      <c r="A495" s="1212"/>
      <c r="B495" s="1212"/>
      <c r="C495" s="1255"/>
      <c r="D495" s="1212"/>
      <c r="E495" s="1212"/>
      <c r="F495" s="1212"/>
      <c r="G495" s="1212"/>
      <c r="H495" s="1222">
        <f>SUM(H485:H494)</f>
        <v>24683.69</v>
      </c>
      <c r="I495" s="1205" t="s">
        <v>2321</v>
      </c>
      <c r="L495" s="1411">
        <f>SUM(L494)</f>
        <v>4213.4399999999996</v>
      </c>
    </row>
    <row r="496" spans="1:12" ht="127.5" hidden="1">
      <c r="A496" s="1156">
        <v>2</v>
      </c>
      <c r="B496" s="1218"/>
      <c r="C496" s="1253" t="s">
        <v>2104</v>
      </c>
      <c r="D496" s="1212"/>
      <c r="E496" s="1212"/>
      <c r="F496" s="1212"/>
      <c r="G496" s="1212"/>
      <c r="H496" s="1215"/>
      <c r="I496" s="1205" t="s">
        <v>2321</v>
      </c>
    </row>
    <row r="497" spans="1:12" hidden="1">
      <c r="A497" s="1156"/>
      <c r="B497" s="1218"/>
      <c r="C497" s="1255" t="s">
        <v>100</v>
      </c>
      <c r="D497" s="1212"/>
      <c r="E497" s="1212"/>
      <c r="F497" s="1212"/>
      <c r="G497" s="1212"/>
      <c r="H497" s="1215"/>
      <c r="I497" s="1205" t="s">
        <v>2321</v>
      </c>
    </row>
    <row r="498" spans="1:12" s="1256" customFormat="1" hidden="1">
      <c r="A498" s="1156"/>
      <c r="B498" s="1218"/>
      <c r="C498" s="1255" t="s">
        <v>1</v>
      </c>
      <c r="D498" s="1212"/>
      <c r="E498" s="1212"/>
      <c r="F498" s="1212"/>
      <c r="G498" s="1212"/>
      <c r="H498" s="1215"/>
      <c r="I498" s="1205" t="s">
        <v>2321</v>
      </c>
      <c r="J498" s="1162"/>
    </row>
    <row r="499" spans="1:12" s="1256" customFormat="1" hidden="1">
      <c r="A499" s="1156"/>
      <c r="B499" s="1218"/>
      <c r="C499" s="1253" t="s">
        <v>2</v>
      </c>
      <c r="D499" s="1406">
        <v>2</v>
      </c>
      <c r="E499" s="1407">
        <v>1.9</v>
      </c>
      <c r="F499" s="1408">
        <v>0.1</v>
      </c>
      <c r="G499" s="1408">
        <v>7.4999999999999997E-2</v>
      </c>
      <c r="H499" s="1409">
        <f>ROUND(D499*E499*F499*G499,4)</f>
        <v>2.8500000000000001E-2</v>
      </c>
      <c r="I499" s="1205" t="s">
        <v>2321</v>
      </c>
      <c r="J499" s="1162"/>
    </row>
    <row r="500" spans="1:12" s="1256" customFormat="1" hidden="1">
      <c r="A500" s="1156"/>
      <c r="B500" s="1218"/>
      <c r="C500" s="1253" t="s">
        <v>741</v>
      </c>
      <c r="D500" s="1406">
        <v>1</v>
      </c>
      <c r="E500" s="1407">
        <v>1.2</v>
      </c>
      <c r="F500" s="1408">
        <v>0.1</v>
      </c>
      <c r="G500" s="1408">
        <v>7.4999999999999997E-2</v>
      </c>
      <c r="H500" s="1409">
        <f>ROUND(D500*E500*F500*G500,4)</f>
        <v>8.9999999999999993E-3</v>
      </c>
      <c r="I500" s="1205" t="s">
        <v>2321</v>
      </c>
      <c r="J500" s="1162"/>
    </row>
    <row r="501" spans="1:12" s="1256" customFormat="1" hidden="1">
      <c r="A501" s="1156"/>
      <c r="B501" s="1218"/>
      <c r="C501" s="1255"/>
      <c r="D501" s="1212"/>
      <c r="E501" s="1212"/>
      <c r="F501" s="1212"/>
      <c r="G501" s="1212"/>
      <c r="H501" s="1410">
        <f>SUM(H499:H500)</f>
        <v>3.7499999999999999E-2</v>
      </c>
      <c r="I501" s="1205" t="s">
        <v>2321</v>
      </c>
      <c r="J501" s="1162"/>
    </row>
    <row r="502" spans="1:12" s="1256" customFormat="1" hidden="1">
      <c r="A502" s="1156"/>
      <c r="B502" s="1212" t="s">
        <v>1375</v>
      </c>
      <c r="C502" s="1253" t="s">
        <v>1374</v>
      </c>
      <c r="D502" s="1212"/>
      <c r="E502" s="1212" t="s">
        <v>35</v>
      </c>
      <c r="F502" s="1226">
        <f>H501</f>
        <v>3.7499999999999999E-2</v>
      </c>
      <c r="G502" s="1213">
        <f>'MINI SSR 21-22'!C142</f>
        <v>74500</v>
      </c>
      <c r="H502" s="1214">
        <f t="shared" ref="H502:H510" si="35">ROUND(F502*G502,2)</f>
        <v>2793.75</v>
      </c>
      <c r="I502" s="1205" t="s">
        <v>2321</v>
      </c>
      <c r="J502" s="1162"/>
    </row>
    <row r="503" spans="1:12" s="1256" customFormat="1" hidden="1">
      <c r="A503" s="1156"/>
      <c r="B503" s="1212" t="s">
        <v>2099</v>
      </c>
      <c r="C503" s="1253" t="s">
        <v>2100</v>
      </c>
      <c r="D503" s="1212"/>
      <c r="E503" s="1212" t="s">
        <v>102</v>
      </c>
      <c r="F503" s="1226">
        <f>ROUND(1.05*1.995,2)</f>
        <v>2.09</v>
      </c>
      <c r="G503" s="1213">
        <f>'MINI SSR 21-22'!$C$148</f>
        <v>1790</v>
      </c>
      <c r="H503" s="1214">
        <f t="shared" si="35"/>
        <v>3741.1</v>
      </c>
      <c r="I503" s="1205" t="s">
        <v>2321</v>
      </c>
      <c r="J503" s="1162"/>
    </row>
    <row r="504" spans="1:12" s="1256" customFormat="1" hidden="1">
      <c r="A504" s="1156"/>
      <c r="B504" s="1212" t="s">
        <v>2101</v>
      </c>
      <c r="C504" s="1253" t="s">
        <v>2102</v>
      </c>
      <c r="D504" s="1212"/>
      <c r="E504" s="1212" t="s">
        <v>102</v>
      </c>
      <c r="F504" s="1226">
        <f>ROUND(1.05*1.995,2)</f>
        <v>2.09</v>
      </c>
      <c r="G504" s="1213">
        <f>'MINI SSR 21-22'!$C$151</f>
        <v>800</v>
      </c>
      <c r="H504" s="1214">
        <f t="shared" si="35"/>
        <v>1672</v>
      </c>
      <c r="I504" s="1205" t="s">
        <v>2321</v>
      </c>
      <c r="J504" s="1162"/>
    </row>
    <row r="505" spans="1:12" hidden="1">
      <c r="A505" s="1156"/>
      <c r="B505" s="1212" t="s">
        <v>1396</v>
      </c>
      <c r="C505" s="1253" t="s">
        <v>1395</v>
      </c>
      <c r="D505" s="1212"/>
      <c r="E505" s="1212" t="s">
        <v>11</v>
      </c>
      <c r="F505" s="1240">
        <v>2</v>
      </c>
      <c r="G505" s="1213">
        <f>'MINI SSR 21-22'!$G$143</f>
        <v>84</v>
      </c>
      <c r="H505" s="1214">
        <f t="shared" si="35"/>
        <v>168</v>
      </c>
      <c r="I505" s="1205" t="s">
        <v>2321</v>
      </c>
    </row>
    <row r="506" spans="1:12" hidden="1">
      <c r="A506" s="1156"/>
      <c r="B506" s="1212" t="s">
        <v>1398</v>
      </c>
      <c r="C506" s="1253" t="s">
        <v>1397</v>
      </c>
      <c r="D506" s="1212"/>
      <c r="E506" s="1212" t="s">
        <v>11</v>
      </c>
      <c r="F506" s="1240">
        <v>3</v>
      </c>
      <c r="G506" s="1213">
        <f>'MINI SSR 21-22'!$G$146</f>
        <v>117</v>
      </c>
      <c r="H506" s="1214">
        <f t="shared" si="35"/>
        <v>351</v>
      </c>
      <c r="I506" s="1205" t="s">
        <v>2321</v>
      </c>
    </row>
    <row r="507" spans="1:12" hidden="1">
      <c r="A507" s="1156"/>
      <c r="B507" s="1212" t="s">
        <v>1383</v>
      </c>
      <c r="C507" s="1253" t="s">
        <v>1382</v>
      </c>
      <c r="D507" s="1212"/>
      <c r="E507" s="1212" t="s">
        <v>11</v>
      </c>
      <c r="F507" s="1240">
        <v>2</v>
      </c>
      <c r="G507" s="1213">
        <f>'MINI SSR 21-22'!$G$147</f>
        <v>103</v>
      </c>
      <c r="H507" s="1214">
        <f t="shared" si="35"/>
        <v>206</v>
      </c>
      <c r="I507" s="1205" t="s">
        <v>2321</v>
      </c>
    </row>
    <row r="508" spans="1:12" hidden="1">
      <c r="A508" s="1156"/>
      <c r="B508" s="1212" t="s">
        <v>1400</v>
      </c>
      <c r="C508" s="1253" t="s">
        <v>1399</v>
      </c>
      <c r="D508" s="1212"/>
      <c r="E508" s="1212" t="s">
        <v>11</v>
      </c>
      <c r="F508" s="1240">
        <v>2</v>
      </c>
      <c r="G508" s="1213">
        <f>'MINI SSR 21-22'!$G$149</f>
        <v>308</v>
      </c>
      <c r="H508" s="1214">
        <f t="shared" si="35"/>
        <v>616</v>
      </c>
      <c r="I508" s="1205" t="s">
        <v>2321</v>
      </c>
    </row>
    <row r="509" spans="1:12" hidden="1">
      <c r="A509" s="1156"/>
      <c r="B509" s="1212" t="s">
        <v>1402</v>
      </c>
      <c r="C509" s="1253" t="s">
        <v>1401</v>
      </c>
      <c r="D509" s="1212"/>
      <c r="E509" s="1212" t="s">
        <v>11</v>
      </c>
      <c r="F509" s="1240">
        <v>1</v>
      </c>
      <c r="G509" s="1213">
        <f>'MINI SSR 21-22'!$G$155</f>
        <v>53</v>
      </c>
      <c r="H509" s="1214">
        <f t="shared" si="35"/>
        <v>53</v>
      </c>
      <c r="I509" s="1205" t="s">
        <v>2321</v>
      </c>
    </row>
    <row r="510" spans="1:12" hidden="1">
      <c r="A510" s="1156"/>
      <c r="B510" s="1212" t="s">
        <v>1389</v>
      </c>
      <c r="C510" s="1253" t="s">
        <v>1388</v>
      </c>
      <c r="D510" s="1212"/>
      <c r="E510" s="1212" t="s">
        <v>11</v>
      </c>
      <c r="F510" s="1240">
        <v>6</v>
      </c>
      <c r="G510" s="1213">
        <f>'MINI SSR 21-22'!$G$152</f>
        <v>35</v>
      </c>
      <c r="H510" s="1214">
        <f t="shared" si="35"/>
        <v>210</v>
      </c>
      <c r="I510" s="1205" t="s">
        <v>2321</v>
      </c>
    </row>
    <row r="511" spans="1:12" hidden="1">
      <c r="A511" s="1212"/>
      <c r="B511" s="1212"/>
      <c r="C511" s="1255" t="s">
        <v>68</v>
      </c>
      <c r="D511" s="1212"/>
      <c r="E511" s="1212"/>
      <c r="F511" s="1213"/>
      <c r="G511" s="1217"/>
      <c r="H511" s="1214"/>
      <c r="I511" s="1205" t="s">
        <v>2321</v>
      </c>
    </row>
    <row r="512" spans="1:12" ht="25.5" hidden="1">
      <c r="A512" s="1212"/>
      <c r="B512" s="1212" t="s">
        <v>1391</v>
      </c>
      <c r="C512" s="1253" t="s">
        <v>1403</v>
      </c>
      <c r="D512" s="1212"/>
      <c r="E512" s="1212" t="s">
        <v>102</v>
      </c>
      <c r="F512" s="1213">
        <f>ROUND(1.2*2.1,2)</f>
        <v>2.52</v>
      </c>
      <c r="G512" s="1213">
        <f>'MINI SSR 21-22'!C149</f>
        <v>1672</v>
      </c>
      <c r="H512" s="1214">
        <f>ROUND(F512*G512*1/3,2)</f>
        <v>1404.48</v>
      </c>
      <c r="I512" s="1205" t="s">
        <v>2321</v>
      </c>
      <c r="L512" s="1260"/>
    </row>
    <row r="513" spans="1:12" ht="13.5" hidden="1" thickBot="1">
      <c r="A513" s="1212"/>
      <c r="B513" s="1212"/>
      <c r="C513" s="1255"/>
      <c r="D513" s="1212"/>
      <c r="E513" s="1212"/>
      <c r="F513" s="1212"/>
      <c r="G513" s="1212"/>
      <c r="H513" s="1222">
        <f>SUM(H502:H512)</f>
        <v>11215.33</v>
      </c>
      <c r="I513" s="1205" t="s">
        <v>2321</v>
      </c>
      <c r="L513" s="1411"/>
    </row>
    <row r="514" spans="1:12" ht="127.5" hidden="1">
      <c r="A514" s="1156">
        <v>3</v>
      </c>
      <c r="B514" s="1218"/>
      <c r="C514" s="1253" t="s">
        <v>1310</v>
      </c>
      <c r="D514" s="1212"/>
      <c r="E514" s="1212"/>
      <c r="F514" s="1212"/>
      <c r="G514" s="1212"/>
      <c r="H514" s="1215"/>
      <c r="I514" s="1205" t="s">
        <v>2321</v>
      </c>
    </row>
    <row r="515" spans="1:12" hidden="1">
      <c r="A515" s="1156"/>
      <c r="B515" s="1218"/>
      <c r="C515" s="1255" t="s">
        <v>100</v>
      </c>
      <c r="D515" s="1212"/>
      <c r="E515" s="1212"/>
      <c r="F515" s="1212"/>
      <c r="G515" s="1212"/>
      <c r="H515" s="1215"/>
      <c r="I515" s="1205" t="s">
        <v>2321</v>
      </c>
    </row>
    <row r="516" spans="1:12" s="1256" customFormat="1" hidden="1">
      <c r="A516" s="1156"/>
      <c r="B516" s="1218"/>
      <c r="C516" s="1255" t="s">
        <v>1</v>
      </c>
      <c r="D516" s="1212"/>
      <c r="E516" s="1212"/>
      <c r="F516" s="1212"/>
      <c r="G516" s="1212"/>
      <c r="H516" s="1215"/>
      <c r="I516" s="1205" t="s">
        <v>2321</v>
      </c>
      <c r="J516" s="1162"/>
    </row>
    <row r="517" spans="1:12" s="1256" customFormat="1" hidden="1">
      <c r="A517" s="1156"/>
      <c r="B517" s="1218"/>
      <c r="C517" s="1253" t="s">
        <v>2</v>
      </c>
      <c r="D517" s="1406">
        <v>2</v>
      </c>
      <c r="E517" s="1407">
        <v>1.9</v>
      </c>
      <c r="F517" s="1408">
        <v>0.1</v>
      </c>
      <c r="G517" s="1408">
        <v>7.4999999999999997E-2</v>
      </c>
      <c r="H517" s="1409">
        <f>ROUND(D517*E517*F517*G517,4)</f>
        <v>2.8500000000000001E-2</v>
      </c>
      <c r="I517" s="1205" t="s">
        <v>2321</v>
      </c>
      <c r="J517" s="1162"/>
    </row>
    <row r="518" spans="1:12" s="1256" customFormat="1" hidden="1">
      <c r="A518" s="1156"/>
      <c r="B518" s="1218"/>
      <c r="C518" s="1253" t="s">
        <v>741</v>
      </c>
      <c r="D518" s="1406">
        <v>1</v>
      </c>
      <c r="E518" s="1407">
        <v>1.2</v>
      </c>
      <c r="F518" s="1408">
        <v>0.1</v>
      </c>
      <c r="G518" s="1408">
        <v>7.4999999999999997E-2</v>
      </c>
      <c r="H518" s="1409">
        <f>ROUND(D518*E518*F518*G518,4)</f>
        <v>8.9999999999999993E-3</v>
      </c>
      <c r="I518" s="1205" t="s">
        <v>2321</v>
      </c>
      <c r="J518" s="1162"/>
    </row>
    <row r="519" spans="1:12" s="1256" customFormat="1" hidden="1">
      <c r="A519" s="1156"/>
      <c r="B519" s="1218"/>
      <c r="C519" s="1255"/>
      <c r="D519" s="1212"/>
      <c r="E519" s="1212"/>
      <c r="F519" s="1212"/>
      <c r="G519" s="1212"/>
      <c r="H519" s="1410">
        <f>SUM(H517:H518)</f>
        <v>3.7499999999999999E-2</v>
      </c>
      <c r="I519" s="1205" t="s">
        <v>2321</v>
      </c>
      <c r="J519" s="1162"/>
    </row>
    <row r="520" spans="1:12" s="1256" customFormat="1" hidden="1">
      <c r="A520" s="1156"/>
      <c r="B520" s="1218" t="s">
        <v>1687</v>
      </c>
      <c r="C520" s="1253" t="s">
        <v>1688</v>
      </c>
      <c r="E520" s="1212" t="s">
        <v>35</v>
      </c>
      <c r="F520" s="1226">
        <f>H519</f>
        <v>3.7499999999999999E-2</v>
      </c>
      <c r="G520" s="1213">
        <f>'MINI SSR 21-22'!$C$144</f>
        <v>48500</v>
      </c>
      <c r="H520" s="1214">
        <f t="shared" ref="H520:H528" si="36">ROUND(F520*G520,2)</f>
        <v>1818.75</v>
      </c>
      <c r="I520" s="1205" t="s">
        <v>2321</v>
      </c>
      <c r="J520" s="1162"/>
    </row>
    <row r="521" spans="1:12" s="1256" customFormat="1" hidden="1">
      <c r="A521" s="1156"/>
      <c r="B521" s="1212" t="s">
        <v>2099</v>
      </c>
      <c r="C521" s="1253" t="s">
        <v>2100</v>
      </c>
      <c r="D521" s="1212"/>
      <c r="E521" s="1212" t="s">
        <v>102</v>
      </c>
      <c r="F521" s="1226">
        <f>ROUND(1.05*1.995,2)</f>
        <v>2.09</v>
      </c>
      <c r="G521" s="1213">
        <f>'MINI SSR 21-22'!$C$148</f>
        <v>1790</v>
      </c>
      <c r="H521" s="1214">
        <f t="shared" si="36"/>
        <v>3741.1</v>
      </c>
      <c r="I521" s="1205" t="s">
        <v>2321</v>
      </c>
      <c r="J521" s="1162"/>
    </row>
    <row r="522" spans="1:12" s="1256" customFormat="1" hidden="1">
      <c r="A522" s="1156"/>
      <c r="B522" s="1212" t="s">
        <v>2101</v>
      </c>
      <c r="C522" s="1253" t="s">
        <v>2102</v>
      </c>
      <c r="D522" s="1212"/>
      <c r="E522" s="1212" t="s">
        <v>102</v>
      </c>
      <c r="F522" s="1226">
        <f>ROUND(1.05*1.995,2)</f>
        <v>2.09</v>
      </c>
      <c r="G522" s="1213">
        <f>'MINI SSR 21-22'!$C$151</f>
        <v>800</v>
      </c>
      <c r="H522" s="1214">
        <f t="shared" si="36"/>
        <v>1672</v>
      </c>
      <c r="I522" s="1205" t="s">
        <v>2321</v>
      </c>
      <c r="J522" s="1162"/>
    </row>
    <row r="523" spans="1:12" hidden="1">
      <c r="A523" s="1156"/>
      <c r="B523" s="1212" t="s">
        <v>1396</v>
      </c>
      <c r="C523" s="1253" t="s">
        <v>1395</v>
      </c>
      <c r="D523" s="1212"/>
      <c r="E523" s="1212" t="s">
        <v>11</v>
      </c>
      <c r="F523" s="1240">
        <v>2</v>
      </c>
      <c r="G523" s="1213">
        <f>'MINI SSR 21-22'!$G$143</f>
        <v>84</v>
      </c>
      <c r="H523" s="1214">
        <f t="shared" si="36"/>
        <v>168</v>
      </c>
      <c r="I523" s="1205" t="s">
        <v>2321</v>
      </c>
    </row>
    <row r="524" spans="1:12" hidden="1">
      <c r="A524" s="1156"/>
      <c r="B524" s="1212" t="s">
        <v>1398</v>
      </c>
      <c r="C524" s="1253" t="s">
        <v>1397</v>
      </c>
      <c r="D524" s="1212"/>
      <c r="E524" s="1212" t="s">
        <v>11</v>
      </c>
      <c r="F524" s="1240">
        <v>3</v>
      </c>
      <c r="G524" s="1213">
        <f>'MINI SSR 21-22'!$G$146</f>
        <v>117</v>
      </c>
      <c r="H524" s="1214">
        <f t="shared" si="36"/>
        <v>351</v>
      </c>
      <c r="I524" s="1205" t="s">
        <v>2321</v>
      </c>
    </row>
    <row r="525" spans="1:12" hidden="1">
      <c r="A525" s="1156"/>
      <c r="B525" s="1212" t="s">
        <v>1383</v>
      </c>
      <c r="C525" s="1253" t="s">
        <v>1382</v>
      </c>
      <c r="D525" s="1212"/>
      <c r="E525" s="1212" t="s">
        <v>11</v>
      </c>
      <c r="F525" s="1240">
        <v>2</v>
      </c>
      <c r="G525" s="1213">
        <f>'MINI SSR 21-22'!$G$147</f>
        <v>103</v>
      </c>
      <c r="H525" s="1214">
        <f t="shared" si="36"/>
        <v>206</v>
      </c>
      <c r="I525" s="1205" t="s">
        <v>2321</v>
      </c>
    </row>
    <row r="526" spans="1:12" hidden="1">
      <c r="A526" s="1156"/>
      <c r="B526" s="1212" t="s">
        <v>1400</v>
      </c>
      <c r="C526" s="1253" t="s">
        <v>1399</v>
      </c>
      <c r="D526" s="1212"/>
      <c r="E526" s="1212" t="s">
        <v>11</v>
      </c>
      <c r="F526" s="1240">
        <v>2</v>
      </c>
      <c r="G526" s="1213">
        <f>'MINI SSR 21-22'!$G$149</f>
        <v>308</v>
      </c>
      <c r="H526" s="1214">
        <f t="shared" si="36"/>
        <v>616</v>
      </c>
      <c r="I526" s="1205" t="s">
        <v>2321</v>
      </c>
    </row>
    <row r="527" spans="1:12" hidden="1">
      <c r="A527" s="1156"/>
      <c r="B527" s="1212" t="s">
        <v>1402</v>
      </c>
      <c r="C527" s="1253" t="s">
        <v>1401</v>
      </c>
      <c r="D527" s="1212"/>
      <c r="E527" s="1212" t="s">
        <v>11</v>
      </c>
      <c r="F527" s="1240">
        <v>1</v>
      </c>
      <c r="G527" s="1213">
        <f>'MINI SSR 21-22'!$G$155</f>
        <v>53</v>
      </c>
      <c r="H527" s="1214">
        <f t="shared" si="36"/>
        <v>53</v>
      </c>
      <c r="I527" s="1205" t="s">
        <v>2321</v>
      </c>
    </row>
    <row r="528" spans="1:12" hidden="1">
      <c r="A528" s="1156"/>
      <c r="B528" s="1212" t="s">
        <v>1389</v>
      </c>
      <c r="C528" s="1253" t="s">
        <v>1388</v>
      </c>
      <c r="D528" s="1212"/>
      <c r="E528" s="1212" t="s">
        <v>11</v>
      </c>
      <c r="F528" s="1240">
        <v>6</v>
      </c>
      <c r="G528" s="1213">
        <f>'MINI SSR 21-22'!$G$152</f>
        <v>35</v>
      </c>
      <c r="H528" s="1214">
        <f t="shared" si="36"/>
        <v>210</v>
      </c>
      <c r="I528" s="1205" t="s">
        <v>2321</v>
      </c>
    </row>
    <row r="529" spans="1:12" hidden="1">
      <c r="A529" s="1212"/>
      <c r="B529" s="1212"/>
      <c r="C529" s="1255" t="s">
        <v>68</v>
      </c>
      <c r="D529" s="1212"/>
      <c r="E529" s="1212"/>
      <c r="F529" s="1213"/>
      <c r="G529" s="1217"/>
      <c r="H529" s="1214"/>
      <c r="I529" s="1205" t="s">
        <v>2321</v>
      </c>
    </row>
    <row r="530" spans="1:12" hidden="1">
      <c r="A530" s="1212"/>
      <c r="B530" s="1212" t="s">
        <v>1695</v>
      </c>
      <c r="C530" s="1253" t="s">
        <v>1390</v>
      </c>
      <c r="D530" s="1162"/>
      <c r="E530" s="1212" t="s">
        <v>102</v>
      </c>
      <c r="F530" s="1213">
        <f>ROUND(1.2*2.1,2)</f>
        <v>2.52</v>
      </c>
      <c r="G530" s="1213">
        <f>'MINI SSR 21-22'!$C$150</f>
        <v>1546</v>
      </c>
      <c r="H530" s="1214">
        <f>ROUND(F530*G530*1/3,2)</f>
        <v>1298.6400000000001</v>
      </c>
      <c r="I530" s="1205" t="s">
        <v>2321</v>
      </c>
      <c r="L530" s="1260"/>
    </row>
    <row r="531" spans="1:12" ht="13.5" hidden="1" thickBot="1">
      <c r="A531" s="1212"/>
      <c r="B531" s="1212"/>
      <c r="C531" s="1255"/>
      <c r="D531" s="1212"/>
      <c r="E531" s="1212"/>
      <c r="F531" s="1212"/>
      <c r="G531" s="1212"/>
      <c r="H531" s="1222">
        <f>SUM(H520:H530)</f>
        <v>10134.49</v>
      </c>
      <c r="I531" s="1205" t="s">
        <v>2321</v>
      </c>
      <c r="L531" s="1411"/>
    </row>
    <row r="532" spans="1:12" ht="114.75" hidden="1">
      <c r="A532" s="1156">
        <v>3</v>
      </c>
      <c r="B532" s="1218"/>
      <c r="C532" s="1253" t="s">
        <v>2419</v>
      </c>
      <c r="D532" s="1212"/>
      <c r="E532" s="1212"/>
      <c r="F532" s="1212"/>
      <c r="G532" s="1212"/>
      <c r="H532" s="1215"/>
      <c r="I532" s="1205" t="s">
        <v>2321</v>
      </c>
    </row>
    <row r="533" spans="1:12" hidden="1">
      <c r="A533" s="1156"/>
      <c r="B533" s="1218"/>
      <c r="C533" s="1255" t="s">
        <v>100</v>
      </c>
      <c r="D533" s="1212"/>
      <c r="E533" s="1212"/>
      <c r="F533" s="1212"/>
      <c r="G533" s="1212"/>
      <c r="H533" s="1215"/>
      <c r="I533" s="1205" t="s">
        <v>2321</v>
      </c>
    </row>
    <row r="534" spans="1:12" s="1256" customFormat="1" hidden="1">
      <c r="A534" s="1156"/>
      <c r="B534" s="1218"/>
      <c r="C534" s="1255" t="s">
        <v>594</v>
      </c>
      <c r="D534" s="1212"/>
      <c r="E534" s="1212"/>
      <c r="F534" s="1212"/>
      <c r="G534" s="1212"/>
      <c r="H534" s="1215"/>
      <c r="I534" s="1205" t="s">
        <v>2321</v>
      </c>
      <c r="J534" s="1162"/>
    </row>
    <row r="535" spans="1:12" s="1256" customFormat="1" hidden="1">
      <c r="A535" s="1156"/>
      <c r="B535" s="1218"/>
      <c r="C535" s="1253" t="s">
        <v>2</v>
      </c>
      <c r="D535" s="1406">
        <v>2</v>
      </c>
      <c r="E535" s="1407">
        <f>2.1-0.075-0.075</f>
        <v>1.95</v>
      </c>
      <c r="F535" s="1408">
        <v>0.1</v>
      </c>
      <c r="G535" s="1408">
        <v>7.4999999999999997E-2</v>
      </c>
      <c r="H535" s="1409">
        <f>ROUND(D535*E535*F535*G535,4)</f>
        <v>2.93E-2</v>
      </c>
      <c r="I535" s="1205" t="s">
        <v>2321</v>
      </c>
      <c r="J535" s="1162"/>
    </row>
    <row r="536" spans="1:12" s="1256" customFormat="1" hidden="1">
      <c r="A536" s="1156"/>
      <c r="B536" s="1218"/>
      <c r="C536" s="1253" t="s">
        <v>741</v>
      </c>
      <c r="D536" s="1406">
        <v>2</v>
      </c>
      <c r="E536" s="1407">
        <v>0.9</v>
      </c>
      <c r="F536" s="1408">
        <v>0.1</v>
      </c>
      <c r="G536" s="1408">
        <v>7.4999999999999997E-2</v>
      </c>
      <c r="H536" s="1409">
        <f>ROUND(D536*E536*F536*G536,4)</f>
        <v>1.35E-2</v>
      </c>
      <c r="I536" s="1205" t="s">
        <v>2321</v>
      </c>
      <c r="J536" s="1162"/>
    </row>
    <row r="537" spans="1:12" s="1256" customFormat="1" hidden="1">
      <c r="A537" s="1156"/>
      <c r="B537" s="1218"/>
      <c r="C537" s="1255"/>
      <c r="D537" s="1406"/>
      <c r="E537" s="1212"/>
      <c r="F537" s="1212"/>
      <c r="G537" s="1406"/>
      <c r="H537" s="1412">
        <f>SUM(H535:H536)</f>
        <v>4.2799999999999998E-2</v>
      </c>
      <c r="I537" s="1205" t="s">
        <v>2321</v>
      </c>
      <c r="J537" s="1162"/>
    </row>
    <row r="538" spans="1:12" s="1256" customFormat="1" hidden="1">
      <c r="A538" s="1156"/>
      <c r="B538" s="1218"/>
      <c r="C538" s="1255" t="s">
        <v>1686</v>
      </c>
      <c r="D538" s="1406">
        <v>2</v>
      </c>
      <c r="E538" s="1407">
        <f>2.1-0.075-0.075+0.05</f>
        <v>2</v>
      </c>
      <c r="F538" s="1408">
        <f>(0.9-0.075-0.075+0.05)/2</f>
        <v>0.40000000000000008</v>
      </c>
      <c r="G538" s="1408">
        <v>0.03</v>
      </c>
      <c r="H538" s="1409">
        <f>ROUND(D538*E538*F538*G538,4)</f>
        <v>4.8000000000000001E-2</v>
      </c>
      <c r="I538" s="1205" t="s">
        <v>2321</v>
      </c>
      <c r="J538" s="1162"/>
    </row>
    <row r="539" spans="1:12" s="1256" customFormat="1" hidden="1">
      <c r="A539" s="1156"/>
      <c r="B539" s="1218"/>
      <c r="C539" s="1253"/>
      <c r="D539" s="1406"/>
      <c r="E539" s="1406"/>
      <c r="F539" s="1406"/>
      <c r="G539" s="1406"/>
      <c r="H539" s="1412">
        <f>SUM(H538:H538)</f>
        <v>4.8000000000000001E-2</v>
      </c>
      <c r="I539" s="1205" t="s">
        <v>2321</v>
      </c>
      <c r="J539" s="1162"/>
    </row>
    <row r="540" spans="1:12" s="1256" customFormat="1" hidden="1">
      <c r="A540" s="1156"/>
      <c r="B540" s="1218" t="s">
        <v>1375</v>
      </c>
      <c r="C540" s="1253" t="s">
        <v>1374</v>
      </c>
      <c r="D540" s="1212"/>
      <c r="E540" s="1212" t="s">
        <v>35</v>
      </c>
      <c r="F540" s="1226">
        <f>H537</f>
        <v>4.2799999999999998E-2</v>
      </c>
      <c r="G540" s="1213">
        <f>'MINI SSR 21-22'!C142</f>
        <v>74500</v>
      </c>
      <c r="H540" s="1214">
        <f t="shared" ref="H540:H547" si="37">ROUND(F540*G540,2)</f>
        <v>3188.6</v>
      </c>
      <c r="I540" s="1205" t="s">
        <v>2321</v>
      </c>
      <c r="J540" s="1162"/>
    </row>
    <row r="541" spans="1:12" s="1256" customFormat="1" hidden="1">
      <c r="A541" s="1156"/>
      <c r="B541" s="1218" t="s">
        <v>1689</v>
      </c>
      <c r="C541" s="1253" t="s">
        <v>1690</v>
      </c>
      <c r="D541" s="1212"/>
      <c r="E541" s="1212" t="s">
        <v>35</v>
      </c>
      <c r="F541" s="1226">
        <f>H539</f>
        <v>4.8000000000000001E-2</v>
      </c>
      <c r="G541" s="1213">
        <f>'MINI SSR 21-22'!$C$145</f>
        <v>61000</v>
      </c>
      <c r="H541" s="1214">
        <f t="shared" si="37"/>
        <v>2928</v>
      </c>
      <c r="I541" s="1205" t="s">
        <v>2321</v>
      </c>
      <c r="J541" s="1162"/>
    </row>
    <row r="542" spans="1:12" s="1256" customFormat="1" hidden="1">
      <c r="A542" s="1156"/>
      <c r="B542" s="1212" t="s">
        <v>1396</v>
      </c>
      <c r="C542" s="1253" t="s">
        <v>1395</v>
      </c>
      <c r="D542" s="1212"/>
      <c r="E542" s="1212" t="s">
        <v>11</v>
      </c>
      <c r="F542" s="1240">
        <v>2</v>
      </c>
      <c r="G542" s="1213">
        <f>'MINI SSR 21-22'!$G$143</f>
        <v>84</v>
      </c>
      <c r="H542" s="1214">
        <f t="shared" si="37"/>
        <v>168</v>
      </c>
      <c r="I542" s="1205" t="s">
        <v>2321</v>
      </c>
      <c r="J542" s="1162"/>
    </row>
    <row r="543" spans="1:12" s="1256" customFormat="1" hidden="1">
      <c r="A543" s="1156"/>
      <c r="B543" s="1212" t="s">
        <v>1398</v>
      </c>
      <c r="C543" s="1253" t="s">
        <v>1397</v>
      </c>
      <c r="D543" s="1212"/>
      <c r="E543" s="1212" t="s">
        <v>11</v>
      </c>
      <c r="F543" s="1240">
        <v>6</v>
      </c>
      <c r="G543" s="1213">
        <f>'MINI SSR 21-22'!$G$146</f>
        <v>117</v>
      </c>
      <c r="H543" s="1214">
        <f t="shared" si="37"/>
        <v>702</v>
      </c>
      <c r="I543" s="1205" t="s">
        <v>2321</v>
      </c>
      <c r="J543" s="1162"/>
    </row>
    <row r="544" spans="1:12" s="1256" customFormat="1" hidden="1">
      <c r="A544" s="1156"/>
      <c r="B544" s="1218" t="s">
        <v>1383</v>
      </c>
      <c r="C544" s="1253" t="s">
        <v>1382</v>
      </c>
      <c r="D544" s="1212"/>
      <c r="E544" s="1212" t="s">
        <v>11</v>
      </c>
      <c r="F544" s="1240"/>
      <c r="G544" s="1213">
        <f t="shared" ref="G544:G547" si="38">G489</f>
        <v>103</v>
      </c>
      <c r="H544" s="1214">
        <f t="shared" si="37"/>
        <v>0</v>
      </c>
      <c r="I544" s="1205" t="s">
        <v>2321</v>
      </c>
      <c r="J544" s="1162"/>
    </row>
    <row r="545" spans="1:10" s="1256" customFormat="1" hidden="1">
      <c r="A545" s="1156"/>
      <c r="B545" s="1212" t="s">
        <v>1400</v>
      </c>
      <c r="C545" s="1253" t="s">
        <v>1399</v>
      </c>
      <c r="D545" s="1212"/>
      <c r="E545" s="1212" t="s">
        <v>11</v>
      </c>
      <c r="F545" s="1240">
        <v>2</v>
      </c>
      <c r="G545" s="1213">
        <f>'MINI SSR 21-22'!$G$149</f>
        <v>308</v>
      </c>
      <c r="H545" s="1214">
        <f t="shared" si="37"/>
        <v>616</v>
      </c>
      <c r="I545" s="1205" t="s">
        <v>2321</v>
      </c>
      <c r="J545" s="1162"/>
    </row>
    <row r="546" spans="1:10" hidden="1">
      <c r="A546" s="1156"/>
      <c r="B546" s="1212" t="s">
        <v>1402</v>
      </c>
      <c r="C546" s="1253" t="s">
        <v>1401</v>
      </c>
      <c r="D546" s="1212"/>
      <c r="E546" s="1212" t="s">
        <v>11</v>
      </c>
      <c r="F546" s="1240">
        <v>1</v>
      </c>
      <c r="G546" s="1213">
        <f>'MINI SSR 21-22'!$G$155</f>
        <v>53</v>
      </c>
      <c r="H546" s="1214">
        <f t="shared" si="37"/>
        <v>53</v>
      </c>
      <c r="I546" s="1205" t="s">
        <v>2321</v>
      </c>
    </row>
    <row r="547" spans="1:10" hidden="1">
      <c r="A547" s="1156"/>
      <c r="B547" s="1218" t="s">
        <v>1389</v>
      </c>
      <c r="C547" s="1253" t="s">
        <v>1388</v>
      </c>
      <c r="D547" s="1212"/>
      <c r="E547" s="1212" t="s">
        <v>11</v>
      </c>
      <c r="F547" s="1240">
        <v>6</v>
      </c>
      <c r="G547" s="1213">
        <f t="shared" si="38"/>
        <v>35</v>
      </c>
      <c r="H547" s="1214">
        <f t="shared" si="37"/>
        <v>210</v>
      </c>
      <c r="I547" s="1205" t="s">
        <v>2321</v>
      </c>
    </row>
    <row r="548" spans="1:10" hidden="1">
      <c r="A548" s="1156"/>
      <c r="B548" s="1218"/>
      <c r="C548" s="1255" t="s">
        <v>68</v>
      </c>
      <c r="D548" s="1162"/>
      <c r="E548" s="1212"/>
      <c r="F548" s="1213"/>
      <c r="G548" s="1213"/>
      <c r="H548" s="1214"/>
      <c r="I548" s="1205" t="s">
        <v>2321</v>
      </c>
    </row>
    <row r="549" spans="1:10" hidden="1">
      <c r="A549" s="1156"/>
      <c r="B549" s="1212" t="s">
        <v>1391</v>
      </c>
      <c r="C549" s="1253" t="s">
        <v>1390</v>
      </c>
      <c r="D549" s="1162"/>
      <c r="E549" s="1212" t="s">
        <v>102</v>
      </c>
      <c r="F549" s="1213">
        <f>ROUND(0.9*2.1,2)</f>
        <v>1.89</v>
      </c>
      <c r="G549" s="1213">
        <f>G494</f>
        <v>1672</v>
      </c>
      <c r="H549" s="1214">
        <f>ROUND(F549*G549*1/3,2)</f>
        <v>1053.3599999999999</v>
      </c>
      <c r="I549" s="1205" t="s">
        <v>2321</v>
      </c>
    </row>
    <row r="550" spans="1:10" hidden="1">
      <c r="A550" s="1156"/>
      <c r="B550" s="1218"/>
      <c r="C550" s="1255"/>
      <c r="D550" s="1212"/>
      <c r="E550" s="1212"/>
      <c r="F550" s="1212"/>
      <c r="G550" s="1212"/>
      <c r="H550" s="1222">
        <f>SUM(H540:H549)</f>
        <v>8918.9600000000009</v>
      </c>
      <c r="I550" s="1205" t="s">
        <v>2321</v>
      </c>
    </row>
    <row r="551" spans="1:10" ht="114.75" hidden="1">
      <c r="A551" s="1156">
        <v>4</v>
      </c>
      <c r="B551" s="1218"/>
      <c r="C551" s="1253" t="s">
        <v>2422</v>
      </c>
      <c r="D551" s="1212"/>
      <c r="E551" s="1212"/>
      <c r="F551" s="1212"/>
      <c r="G551" s="1212"/>
      <c r="H551" s="1215"/>
      <c r="I551" s="1205" t="s">
        <v>2321</v>
      </c>
    </row>
    <row r="552" spans="1:10" hidden="1">
      <c r="A552" s="1156"/>
      <c r="B552" s="1218"/>
      <c r="C552" s="1255" t="s">
        <v>100</v>
      </c>
      <c r="D552" s="1212"/>
      <c r="E552" s="1212"/>
      <c r="F552" s="1212"/>
      <c r="G552" s="1212"/>
      <c r="H552" s="1215"/>
      <c r="I552" s="1205" t="s">
        <v>2321</v>
      </c>
    </row>
    <row r="553" spans="1:10" s="1256" customFormat="1" hidden="1">
      <c r="A553" s="1156"/>
      <c r="B553" s="1218"/>
      <c r="C553" s="1255" t="s">
        <v>594</v>
      </c>
      <c r="D553" s="1212"/>
      <c r="E553" s="1212"/>
      <c r="F553" s="1212"/>
      <c r="G553" s="1212"/>
      <c r="H553" s="1215"/>
      <c r="I553" s="1205" t="s">
        <v>2321</v>
      </c>
      <c r="J553" s="1162"/>
    </row>
    <row r="554" spans="1:10" s="1256" customFormat="1" hidden="1">
      <c r="A554" s="1156"/>
      <c r="B554" s="1218"/>
      <c r="C554" s="1253" t="s">
        <v>2</v>
      </c>
      <c r="D554" s="1406">
        <v>2</v>
      </c>
      <c r="E554" s="1407">
        <f>2.1-0.075-0.075</f>
        <v>1.95</v>
      </c>
      <c r="F554" s="1408">
        <v>0.1</v>
      </c>
      <c r="G554" s="1408">
        <v>7.4999999999999997E-2</v>
      </c>
      <c r="H554" s="1409">
        <f>ROUND(D554*E554*F554*G554,4)</f>
        <v>2.93E-2</v>
      </c>
      <c r="I554" s="1205" t="s">
        <v>2321</v>
      </c>
      <c r="J554" s="1162"/>
    </row>
    <row r="555" spans="1:10" s="1256" customFormat="1" hidden="1">
      <c r="A555" s="1156"/>
      <c r="B555" s="1218"/>
      <c r="C555" s="1253" t="s">
        <v>741</v>
      </c>
      <c r="D555" s="1406">
        <v>2</v>
      </c>
      <c r="E555" s="1407">
        <v>0.8</v>
      </c>
      <c r="F555" s="1408">
        <v>0.1</v>
      </c>
      <c r="G555" s="1408">
        <v>7.4999999999999997E-2</v>
      </c>
      <c r="H555" s="1409">
        <f>ROUND(D555*E555*F555*G555,4)</f>
        <v>1.2E-2</v>
      </c>
      <c r="I555" s="1205" t="s">
        <v>2321</v>
      </c>
      <c r="J555" s="1162"/>
    </row>
    <row r="556" spans="1:10" s="1256" customFormat="1" hidden="1">
      <c r="A556" s="1156"/>
      <c r="B556" s="1218"/>
      <c r="C556" s="1255"/>
      <c r="D556" s="1406"/>
      <c r="E556" s="1212"/>
      <c r="F556" s="1212"/>
      <c r="G556" s="1406"/>
      <c r="H556" s="1412">
        <f>SUM(H554:H555)</f>
        <v>4.1300000000000003E-2</v>
      </c>
      <c r="I556" s="1205" t="s">
        <v>2321</v>
      </c>
      <c r="J556" s="1162"/>
    </row>
    <row r="557" spans="1:10" s="1256" customFormat="1" hidden="1">
      <c r="A557" s="1156"/>
      <c r="B557" s="1218"/>
      <c r="C557" s="1255" t="s">
        <v>320</v>
      </c>
      <c r="D557" s="1406">
        <v>1</v>
      </c>
      <c r="E557" s="1407">
        <f>2.1-0.075-0.075+0.05</f>
        <v>2</v>
      </c>
      <c r="F557" s="1408">
        <f>(0.8-0.075-0.075+0.05)</f>
        <v>0.70000000000000018</v>
      </c>
      <c r="G557" s="1408">
        <v>0.03</v>
      </c>
      <c r="H557" s="1409">
        <f>ROUND(D557*E557*F557*G557,4)</f>
        <v>4.2000000000000003E-2</v>
      </c>
      <c r="I557" s="1205" t="s">
        <v>2321</v>
      </c>
      <c r="J557" s="1162"/>
    </row>
    <row r="558" spans="1:10" s="1256" customFormat="1" hidden="1">
      <c r="A558" s="1156"/>
      <c r="B558" s="1218"/>
      <c r="C558" s="1253"/>
      <c r="D558" s="1406"/>
      <c r="E558" s="1406"/>
      <c r="F558" s="1406"/>
      <c r="G558" s="1406"/>
      <c r="H558" s="1412">
        <f>SUM(H557:H557)</f>
        <v>4.2000000000000003E-2</v>
      </c>
      <c r="I558" s="1205" t="s">
        <v>2321</v>
      </c>
      <c r="J558" s="1162"/>
    </row>
    <row r="559" spans="1:10" s="1256" customFormat="1" hidden="1">
      <c r="A559" s="1156"/>
      <c r="B559" s="1218" t="s">
        <v>1375</v>
      </c>
      <c r="C559" s="1253" t="s">
        <v>1374</v>
      </c>
      <c r="E559" s="1212" t="s">
        <v>35</v>
      </c>
      <c r="F559" s="1226">
        <f>H556</f>
        <v>4.1300000000000003E-2</v>
      </c>
      <c r="G559" s="1213">
        <f t="shared" ref="G559:G566" si="39">G540</f>
        <v>74500</v>
      </c>
      <c r="H559" s="1214">
        <f t="shared" ref="H559:H566" si="40">ROUND(F559*G559,2)</f>
        <v>3076.85</v>
      </c>
      <c r="I559" s="1205" t="s">
        <v>2321</v>
      </c>
      <c r="J559" s="1162"/>
    </row>
    <row r="560" spans="1:10" s="1256" customFormat="1" hidden="1">
      <c r="A560" s="1156"/>
      <c r="B560" s="1218" t="s">
        <v>1689</v>
      </c>
      <c r="C560" s="1253" t="s">
        <v>1690</v>
      </c>
      <c r="D560" s="1212"/>
      <c r="E560" s="1212" t="s">
        <v>35</v>
      </c>
      <c r="F560" s="1226">
        <f>H558</f>
        <v>4.2000000000000003E-2</v>
      </c>
      <c r="G560" s="1213">
        <f>'MINI SSR 21-22'!$C$145</f>
        <v>61000</v>
      </c>
      <c r="H560" s="1214">
        <f t="shared" si="40"/>
        <v>2562</v>
      </c>
      <c r="I560" s="1205" t="s">
        <v>2321</v>
      </c>
      <c r="J560" s="1162"/>
    </row>
    <row r="561" spans="1:10" s="1256" customFormat="1" hidden="1">
      <c r="A561" s="1156"/>
      <c r="B561" s="1212" t="s">
        <v>1396</v>
      </c>
      <c r="C561" s="1253" t="s">
        <v>1395</v>
      </c>
      <c r="D561" s="1212"/>
      <c r="E561" s="1212" t="s">
        <v>11</v>
      </c>
      <c r="F561" s="1240">
        <v>2</v>
      </c>
      <c r="G561" s="1213">
        <f>'MINI SSR 21-22'!$G$143</f>
        <v>84</v>
      </c>
      <c r="H561" s="1214">
        <f t="shared" si="40"/>
        <v>168</v>
      </c>
      <c r="I561" s="1205" t="s">
        <v>2321</v>
      </c>
      <c r="J561" s="1162"/>
    </row>
    <row r="562" spans="1:10" s="1256" customFormat="1" hidden="1">
      <c r="A562" s="1156"/>
      <c r="B562" s="1212" t="s">
        <v>1398</v>
      </c>
      <c r="C562" s="1253" t="s">
        <v>1397</v>
      </c>
      <c r="D562" s="1212"/>
      <c r="E562" s="1212" t="s">
        <v>11</v>
      </c>
      <c r="F562" s="1240">
        <v>3</v>
      </c>
      <c r="G562" s="1213">
        <f>'MINI SSR 21-22'!$G$146</f>
        <v>117</v>
      </c>
      <c r="H562" s="1214">
        <f t="shared" si="40"/>
        <v>351</v>
      </c>
      <c r="I562" s="1205" t="s">
        <v>2321</v>
      </c>
      <c r="J562" s="1162"/>
    </row>
    <row r="563" spans="1:10" s="1256" customFormat="1" hidden="1">
      <c r="A563" s="1156"/>
      <c r="B563" s="1218" t="s">
        <v>1383</v>
      </c>
      <c r="C563" s="1253" t="s">
        <v>1382</v>
      </c>
      <c r="D563" s="1212"/>
      <c r="E563" s="1212" t="s">
        <v>11</v>
      </c>
      <c r="F563" s="1240"/>
      <c r="G563" s="1213">
        <f t="shared" ref="G563" si="41">G508</f>
        <v>308</v>
      </c>
      <c r="H563" s="1214">
        <f t="shared" si="40"/>
        <v>0</v>
      </c>
      <c r="I563" s="1205" t="s">
        <v>2321</v>
      </c>
      <c r="J563" s="1162"/>
    </row>
    <row r="564" spans="1:10" s="1256" customFormat="1" hidden="1">
      <c r="A564" s="1156"/>
      <c r="B564" s="1212" t="s">
        <v>1400</v>
      </c>
      <c r="C564" s="1253" t="s">
        <v>1399</v>
      </c>
      <c r="D564" s="1212"/>
      <c r="E564" s="1212" t="s">
        <v>11</v>
      </c>
      <c r="F564" s="1240">
        <v>2</v>
      </c>
      <c r="G564" s="1213">
        <f>'MINI SSR 21-22'!$G$149</f>
        <v>308</v>
      </c>
      <c r="H564" s="1214">
        <f t="shared" si="40"/>
        <v>616</v>
      </c>
      <c r="I564" s="1205" t="s">
        <v>2321</v>
      </c>
      <c r="J564" s="1162"/>
    </row>
    <row r="565" spans="1:10" hidden="1">
      <c r="A565" s="1156"/>
      <c r="B565" s="1212" t="s">
        <v>1402</v>
      </c>
      <c r="C565" s="1253" t="s">
        <v>1401</v>
      </c>
      <c r="D565" s="1212"/>
      <c r="E565" s="1212" t="s">
        <v>11</v>
      </c>
      <c r="F565" s="1240">
        <v>1</v>
      </c>
      <c r="G565" s="1213">
        <f>'MINI SSR 21-22'!$G$155</f>
        <v>53</v>
      </c>
      <c r="H565" s="1214">
        <f t="shared" si="40"/>
        <v>53</v>
      </c>
      <c r="I565" s="1205" t="s">
        <v>2321</v>
      </c>
    </row>
    <row r="566" spans="1:10" hidden="1">
      <c r="A566" s="1156"/>
      <c r="B566" s="1218" t="s">
        <v>1389</v>
      </c>
      <c r="C566" s="1253" t="s">
        <v>1388</v>
      </c>
      <c r="D566" s="1212"/>
      <c r="E566" s="1212" t="s">
        <v>11</v>
      </c>
      <c r="F566" s="1240">
        <v>6</v>
      </c>
      <c r="G566" s="1213">
        <f t="shared" si="39"/>
        <v>35</v>
      </c>
      <c r="H566" s="1214">
        <f t="shared" si="40"/>
        <v>210</v>
      </c>
      <c r="I566" s="1205" t="s">
        <v>2321</v>
      </c>
    </row>
    <row r="567" spans="1:10" hidden="1">
      <c r="A567" s="1156"/>
      <c r="B567" s="1218"/>
      <c r="C567" s="1255" t="s">
        <v>68</v>
      </c>
      <c r="D567" s="1162"/>
      <c r="E567" s="1212"/>
      <c r="F567" s="1213"/>
      <c r="G567" s="1213"/>
      <c r="H567" s="1214"/>
      <c r="I567" s="1205" t="s">
        <v>2321</v>
      </c>
    </row>
    <row r="568" spans="1:10" hidden="1">
      <c r="A568" s="1156"/>
      <c r="B568" s="1212" t="s">
        <v>1391</v>
      </c>
      <c r="C568" s="1253" t="s">
        <v>1390</v>
      </c>
      <c r="D568" s="1162"/>
      <c r="E568" s="1212" t="s">
        <v>102</v>
      </c>
      <c r="F568" s="1213">
        <f>ROUND(0.8*2.1,2)</f>
        <v>1.68</v>
      </c>
      <c r="G568" s="1213">
        <f>G549</f>
        <v>1672</v>
      </c>
      <c r="H568" s="1214">
        <f>ROUND(F568*G568*1/3,2)</f>
        <v>936.32</v>
      </c>
      <c r="I568" s="1205" t="s">
        <v>2321</v>
      </c>
    </row>
    <row r="569" spans="1:10" hidden="1">
      <c r="A569" s="1156"/>
      <c r="B569" s="1218"/>
      <c r="C569" s="1255"/>
      <c r="D569" s="1212"/>
      <c r="E569" s="1212"/>
      <c r="F569" s="1212"/>
      <c r="G569" s="1212"/>
      <c r="H569" s="1222">
        <f>SUM(H559:H568)</f>
        <v>7973.17</v>
      </c>
      <c r="I569" s="1205" t="s">
        <v>2321</v>
      </c>
    </row>
    <row r="570" spans="1:10" ht="114.75" hidden="1">
      <c r="A570" s="1156">
        <v>2</v>
      </c>
      <c r="B570" s="1218"/>
      <c r="C570" s="1253" t="s">
        <v>1685</v>
      </c>
      <c r="D570" s="1212"/>
      <c r="E570" s="1212"/>
      <c r="F570" s="1212"/>
      <c r="G570" s="1212"/>
      <c r="H570" s="1215"/>
      <c r="I570" s="1205" t="s">
        <v>2321</v>
      </c>
    </row>
    <row r="571" spans="1:10" hidden="1">
      <c r="A571" s="1156"/>
      <c r="B571" s="1218"/>
      <c r="C571" s="1255" t="s">
        <v>100</v>
      </c>
      <c r="D571" s="1212"/>
      <c r="E571" s="1212"/>
      <c r="F571" s="1212"/>
      <c r="G571" s="1212"/>
      <c r="H571" s="1215"/>
      <c r="I571" s="1205" t="s">
        <v>2321</v>
      </c>
    </row>
    <row r="572" spans="1:10" s="1256" customFormat="1" hidden="1">
      <c r="A572" s="1156"/>
      <c r="B572" s="1218"/>
      <c r="C572" s="1255" t="s">
        <v>1</v>
      </c>
      <c r="D572" s="1212"/>
      <c r="E572" s="1212"/>
      <c r="F572" s="1212"/>
      <c r="G572" s="1212"/>
      <c r="H572" s="1215"/>
      <c r="I572" s="1205" t="s">
        <v>2321</v>
      </c>
      <c r="J572" s="1162"/>
    </row>
    <row r="573" spans="1:10" s="1256" customFormat="1" hidden="1">
      <c r="A573" s="1156"/>
      <c r="B573" s="1218"/>
      <c r="C573" s="1253" t="s">
        <v>2</v>
      </c>
      <c r="D573" s="1406">
        <v>2</v>
      </c>
      <c r="E573" s="1407">
        <v>1.9</v>
      </c>
      <c r="F573" s="1408">
        <v>0.1</v>
      </c>
      <c r="G573" s="1408">
        <v>7.4999999999999997E-2</v>
      </c>
      <c r="H573" s="1409">
        <f>ROUND(D573*E573*F573*G573,4)</f>
        <v>2.8500000000000001E-2</v>
      </c>
      <c r="I573" s="1205" t="s">
        <v>2321</v>
      </c>
      <c r="J573" s="1162"/>
    </row>
    <row r="574" spans="1:10" s="1256" customFormat="1" hidden="1">
      <c r="A574" s="1156"/>
      <c r="B574" s="1218"/>
      <c r="C574" s="1253" t="s">
        <v>741</v>
      </c>
      <c r="D574" s="1406">
        <v>1</v>
      </c>
      <c r="E574" s="1407">
        <v>0.9</v>
      </c>
      <c r="F574" s="1408">
        <v>0.1</v>
      </c>
      <c r="G574" s="1408">
        <v>7.4999999999999997E-2</v>
      </c>
      <c r="H574" s="1409">
        <f>ROUND(D574*E574*F574*G574,4)</f>
        <v>6.7999999999999996E-3</v>
      </c>
      <c r="I574" s="1205" t="s">
        <v>2321</v>
      </c>
      <c r="J574" s="1162"/>
    </row>
    <row r="575" spans="1:10" s="1256" customFormat="1" hidden="1">
      <c r="A575" s="1156"/>
      <c r="B575" s="1218"/>
      <c r="C575" s="1255"/>
      <c r="D575" s="1406"/>
      <c r="E575" s="1406"/>
      <c r="F575" s="1406"/>
      <c r="G575" s="1406"/>
      <c r="H575" s="1412">
        <f>SUM(H573:H574)</f>
        <v>3.5299999999999998E-2</v>
      </c>
      <c r="I575" s="1205" t="s">
        <v>2321</v>
      </c>
      <c r="J575" s="1162"/>
    </row>
    <row r="576" spans="1:10" s="1256" customFormat="1" hidden="1">
      <c r="A576" s="1156"/>
      <c r="B576" s="1218"/>
      <c r="C576" s="1255" t="s">
        <v>1686</v>
      </c>
      <c r="D576" s="1406">
        <v>2</v>
      </c>
      <c r="E576" s="1407">
        <v>2.0099999999999998</v>
      </c>
      <c r="F576" s="1408">
        <v>0.4</v>
      </c>
      <c r="G576" s="1408">
        <v>0.03</v>
      </c>
      <c r="H576" s="1409">
        <f>ROUND(D576*E576*F576*G576,4)</f>
        <v>4.82E-2</v>
      </c>
      <c r="I576" s="1205" t="s">
        <v>2321</v>
      </c>
      <c r="J576" s="1162"/>
    </row>
    <row r="577" spans="1:10" s="1256" customFormat="1" hidden="1">
      <c r="A577" s="1156"/>
      <c r="B577" s="1218"/>
      <c r="C577" s="1253"/>
      <c r="D577" s="1406"/>
      <c r="E577" s="1406"/>
      <c r="F577" s="1406"/>
      <c r="G577" s="1406"/>
      <c r="H577" s="1412">
        <f>SUM(H576:H576)</f>
        <v>4.82E-2</v>
      </c>
      <c r="I577" s="1205" t="s">
        <v>2321</v>
      </c>
      <c r="J577" s="1162"/>
    </row>
    <row r="578" spans="1:10" s="1256" customFormat="1" hidden="1">
      <c r="A578" s="1156"/>
      <c r="B578" s="1218" t="s">
        <v>1687</v>
      </c>
      <c r="C578" s="1253" t="s">
        <v>1688</v>
      </c>
      <c r="E578" s="1212" t="s">
        <v>35</v>
      </c>
      <c r="F578" s="1226">
        <f>H575</f>
        <v>3.5299999999999998E-2</v>
      </c>
      <c r="G578" s="1213">
        <f>'MINI SSR 21-22'!$C$144</f>
        <v>48500</v>
      </c>
      <c r="H578" s="1214">
        <f t="shared" ref="H578:H585" si="42">ROUND(F578*G578,2)</f>
        <v>1712.05</v>
      </c>
      <c r="I578" s="1205" t="s">
        <v>2321</v>
      </c>
      <c r="J578" s="1162"/>
    </row>
    <row r="579" spans="1:10" s="1256" customFormat="1" hidden="1">
      <c r="A579" s="1156"/>
      <c r="B579" s="1218" t="s">
        <v>1689</v>
      </c>
      <c r="C579" s="1253" t="s">
        <v>1690</v>
      </c>
      <c r="E579" s="1212" t="s">
        <v>35</v>
      </c>
      <c r="F579" s="1226">
        <f>H577</f>
        <v>4.82E-2</v>
      </c>
      <c r="G579" s="1213">
        <f>'MINI SSR 21-22'!$C$145</f>
        <v>61000</v>
      </c>
      <c r="H579" s="1214">
        <f t="shared" si="42"/>
        <v>2940.2</v>
      </c>
      <c r="I579" s="1205" t="s">
        <v>2321</v>
      </c>
      <c r="J579" s="1162"/>
    </row>
    <row r="580" spans="1:10" s="1256" customFormat="1" hidden="1">
      <c r="A580" s="1156"/>
      <c r="B580" s="1218" t="s">
        <v>1396</v>
      </c>
      <c r="C580" s="1253" t="s">
        <v>1691</v>
      </c>
      <c r="D580" s="1212"/>
      <c r="E580" s="1212" t="s">
        <v>11</v>
      </c>
      <c r="F580" s="1240">
        <v>2</v>
      </c>
      <c r="G580" s="1213">
        <f>'MINI SSR 21-22'!G143</f>
        <v>84</v>
      </c>
      <c r="H580" s="1214">
        <f t="shared" si="42"/>
        <v>168</v>
      </c>
      <c r="I580" s="1205" t="s">
        <v>2321</v>
      </c>
      <c r="J580" s="1162"/>
    </row>
    <row r="581" spans="1:10" s="1256" customFormat="1" hidden="1">
      <c r="A581" s="1156"/>
      <c r="B581" s="1218" t="s">
        <v>1398</v>
      </c>
      <c r="C581" s="1253" t="s">
        <v>1380</v>
      </c>
      <c r="D581" s="1212"/>
      <c r="E581" s="1212" t="s">
        <v>11</v>
      </c>
      <c r="F581" s="1240">
        <v>6</v>
      </c>
      <c r="G581" s="1213">
        <f>'MINI SSR 21-22'!G146</f>
        <v>117</v>
      </c>
      <c r="H581" s="1214">
        <f t="shared" si="42"/>
        <v>702</v>
      </c>
      <c r="I581" s="1205" t="s">
        <v>2321</v>
      </c>
      <c r="J581" s="1162"/>
    </row>
    <row r="582" spans="1:10" s="1256" customFormat="1" hidden="1">
      <c r="A582" s="1156"/>
      <c r="B582" s="1218" t="s">
        <v>1383</v>
      </c>
      <c r="C582" s="1253" t="s">
        <v>1382</v>
      </c>
      <c r="D582" s="1212"/>
      <c r="E582" s="1212" t="s">
        <v>11</v>
      </c>
      <c r="F582" s="1240"/>
      <c r="G582" s="1213">
        <f>'MINI SSR 21-22'!G147</f>
        <v>103</v>
      </c>
      <c r="H582" s="1214">
        <f t="shared" si="42"/>
        <v>0</v>
      </c>
      <c r="I582" s="1205" t="s">
        <v>2321</v>
      </c>
      <c r="J582" s="1162"/>
    </row>
    <row r="583" spans="1:10" s="1256" customFormat="1" hidden="1">
      <c r="A583" s="1156"/>
      <c r="B583" s="1218" t="s">
        <v>1400</v>
      </c>
      <c r="C583" s="1253" t="s">
        <v>1692</v>
      </c>
      <c r="D583" s="1212"/>
      <c r="E583" s="1212" t="s">
        <v>11</v>
      </c>
      <c r="F583" s="1240">
        <v>2</v>
      </c>
      <c r="G583" s="1213">
        <f>'MINI SSR 21-22'!G149</f>
        <v>308</v>
      </c>
      <c r="H583" s="1214">
        <f t="shared" si="42"/>
        <v>616</v>
      </c>
      <c r="I583" s="1205" t="s">
        <v>2321</v>
      </c>
      <c r="J583" s="1162"/>
    </row>
    <row r="584" spans="1:10" hidden="1">
      <c r="A584" s="1156"/>
      <c r="B584" s="1218" t="s">
        <v>1693</v>
      </c>
      <c r="C584" s="1253" t="s">
        <v>1694</v>
      </c>
      <c r="D584" s="1212"/>
      <c r="E584" s="1212" t="s">
        <v>11</v>
      </c>
      <c r="F584" s="1240">
        <v>1</v>
      </c>
      <c r="G584" s="1213">
        <f>'MINI SSR 21-22'!G155</f>
        <v>53</v>
      </c>
      <c r="H584" s="1214">
        <f t="shared" si="42"/>
        <v>53</v>
      </c>
      <c r="I584" s="1205" t="s">
        <v>2321</v>
      </c>
    </row>
    <row r="585" spans="1:10" hidden="1">
      <c r="A585" s="1156"/>
      <c r="B585" s="1218" t="s">
        <v>1389</v>
      </c>
      <c r="C585" s="1253" t="s">
        <v>1388</v>
      </c>
      <c r="D585" s="1212"/>
      <c r="E585" s="1212" t="s">
        <v>11</v>
      </c>
      <c r="F585" s="1240">
        <v>6</v>
      </c>
      <c r="G585" s="1213">
        <f>'MINI SSR 21-22'!G152</f>
        <v>35</v>
      </c>
      <c r="H585" s="1214">
        <f t="shared" si="42"/>
        <v>210</v>
      </c>
      <c r="I585" s="1205" t="s">
        <v>2321</v>
      </c>
    </row>
    <row r="586" spans="1:10" hidden="1">
      <c r="A586" s="1156"/>
      <c r="B586" s="1218"/>
      <c r="C586" s="1255" t="s">
        <v>68</v>
      </c>
      <c r="D586" s="1162"/>
      <c r="E586" s="1212"/>
      <c r="F586" s="1213"/>
      <c r="G586" s="1217"/>
      <c r="H586" s="1214"/>
      <c r="I586" s="1205" t="s">
        <v>2321</v>
      </c>
    </row>
    <row r="587" spans="1:10" hidden="1">
      <c r="A587" s="1156"/>
      <c r="B587" s="1212" t="s">
        <v>1695</v>
      </c>
      <c r="C587" s="1253" t="s">
        <v>1390</v>
      </c>
      <c r="D587" s="1162"/>
      <c r="E587" s="1212" t="s">
        <v>102</v>
      </c>
      <c r="F587" s="1213">
        <f>ROUND(0.9*2.1,2)</f>
        <v>1.89</v>
      </c>
      <c r="G587" s="1213">
        <f>'MINI SSR 21-22'!$C$150</f>
        <v>1546</v>
      </c>
      <c r="H587" s="1214">
        <f>ROUND(F587*G587*1/3,2)</f>
        <v>973.98</v>
      </c>
      <c r="I587" s="1205" t="s">
        <v>2321</v>
      </c>
    </row>
    <row r="588" spans="1:10" hidden="1">
      <c r="A588" s="1156"/>
      <c r="B588" s="1218"/>
      <c r="C588" s="1255"/>
      <c r="D588" s="1212"/>
      <c r="E588" s="1212"/>
      <c r="F588" s="1212"/>
      <c r="G588" s="1212"/>
      <c r="H588" s="1222">
        <f>SUM(H578:H587)</f>
        <v>7375.23</v>
      </c>
      <c r="I588" s="1205" t="s">
        <v>2321</v>
      </c>
    </row>
    <row r="589" spans="1:10" ht="114.75" hidden="1">
      <c r="A589" s="1156">
        <v>3</v>
      </c>
      <c r="B589" s="1218"/>
      <c r="C589" s="1253" t="s">
        <v>1696</v>
      </c>
      <c r="D589" s="1212"/>
      <c r="E589" s="1212"/>
      <c r="F589" s="1212"/>
      <c r="G589" s="1212"/>
      <c r="H589" s="1215"/>
      <c r="I589" s="1205" t="s">
        <v>2321</v>
      </c>
    </row>
    <row r="590" spans="1:10" hidden="1">
      <c r="A590" s="1156"/>
      <c r="B590" s="1218"/>
      <c r="C590" s="1255" t="s">
        <v>100</v>
      </c>
      <c r="D590" s="1212"/>
      <c r="E590" s="1212"/>
      <c r="F590" s="1212"/>
      <c r="G590" s="1212"/>
      <c r="H590" s="1215"/>
      <c r="I590" s="1205" t="s">
        <v>2321</v>
      </c>
    </row>
    <row r="591" spans="1:10" s="1256" customFormat="1" hidden="1">
      <c r="A591" s="1156"/>
      <c r="B591" s="1218"/>
      <c r="C591" s="1255" t="s">
        <v>1</v>
      </c>
      <c r="D591" s="1212"/>
      <c r="E591" s="1212"/>
      <c r="F591" s="1212"/>
      <c r="G591" s="1212"/>
      <c r="H591" s="1215"/>
      <c r="I591" s="1205" t="s">
        <v>2321</v>
      </c>
      <c r="J591" s="1162"/>
    </row>
    <row r="592" spans="1:10" s="1256" customFormat="1" hidden="1">
      <c r="A592" s="1156"/>
      <c r="B592" s="1218"/>
      <c r="C592" s="1253" t="s">
        <v>2</v>
      </c>
      <c r="D592" s="1406">
        <v>2</v>
      </c>
      <c r="E592" s="1407">
        <v>1.9</v>
      </c>
      <c r="F592" s="1408">
        <v>0.1</v>
      </c>
      <c r="G592" s="1408">
        <v>7.4999999999999997E-2</v>
      </c>
      <c r="H592" s="1409">
        <f>ROUND(D592*E592*F592*G592,4)</f>
        <v>2.8500000000000001E-2</v>
      </c>
      <c r="I592" s="1205" t="s">
        <v>2321</v>
      </c>
      <c r="J592" s="1162"/>
    </row>
    <row r="593" spans="1:10" s="1256" customFormat="1" hidden="1">
      <c r="A593" s="1156"/>
      <c r="B593" s="1218"/>
      <c r="C593" s="1253" t="s">
        <v>741</v>
      </c>
      <c r="D593" s="1406">
        <v>1</v>
      </c>
      <c r="E593" s="1407">
        <v>0.8</v>
      </c>
      <c r="F593" s="1408">
        <v>0.1</v>
      </c>
      <c r="G593" s="1408">
        <v>7.4999999999999997E-2</v>
      </c>
      <c r="H593" s="1409">
        <f>ROUND(D593*E593*F593*G593,4)</f>
        <v>6.0000000000000001E-3</v>
      </c>
      <c r="I593" s="1205" t="s">
        <v>2321</v>
      </c>
      <c r="J593" s="1162"/>
    </row>
    <row r="594" spans="1:10" s="1256" customFormat="1" hidden="1">
      <c r="A594" s="1156"/>
      <c r="B594" s="1218"/>
      <c r="C594" s="1255"/>
      <c r="D594" s="1406"/>
      <c r="E594" s="1406"/>
      <c r="F594" s="1406"/>
      <c r="G594" s="1406"/>
      <c r="H594" s="1412">
        <f>SUM(H592:H593)</f>
        <v>3.4500000000000003E-2</v>
      </c>
      <c r="I594" s="1205" t="s">
        <v>2321</v>
      </c>
      <c r="J594" s="1162"/>
    </row>
    <row r="595" spans="1:10" s="1256" customFormat="1" hidden="1">
      <c r="A595" s="1156"/>
      <c r="B595" s="1218"/>
      <c r="C595" s="1255" t="s">
        <v>1686</v>
      </c>
      <c r="D595" s="1406">
        <v>1</v>
      </c>
      <c r="E595" s="1407">
        <v>2.0099999999999998</v>
      </c>
      <c r="F595" s="1408">
        <v>0.72</v>
      </c>
      <c r="G595" s="1408">
        <v>0.03</v>
      </c>
      <c r="H595" s="1409">
        <f>ROUND(D595*E595*F595*G595,4)</f>
        <v>4.3400000000000001E-2</v>
      </c>
      <c r="I595" s="1205" t="s">
        <v>2321</v>
      </c>
      <c r="J595" s="1162"/>
    </row>
    <row r="596" spans="1:10" s="1256" customFormat="1" hidden="1">
      <c r="A596" s="1156"/>
      <c r="B596" s="1218"/>
      <c r="C596" s="1253"/>
      <c r="D596" s="1406"/>
      <c r="E596" s="1406"/>
      <c r="F596" s="1406"/>
      <c r="G596" s="1406"/>
      <c r="H596" s="1412">
        <f>SUM(H595:H595)</f>
        <v>4.3400000000000001E-2</v>
      </c>
      <c r="I596" s="1205" t="s">
        <v>2321</v>
      </c>
      <c r="J596" s="1162"/>
    </row>
    <row r="597" spans="1:10" s="1256" customFormat="1" hidden="1">
      <c r="A597" s="1156"/>
      <c r="B597" s="1218" t="s">
        <v>1687</v>
      </c>
      <c r="C597" s="1253" t="s">
        <v>1688</v>
      </c>
      <c r="E597" s="1212" t="s">
        <v>35</v>
      </c>
      <c r="F597" s="1226">
        <f>H594</f>
        <v>3.4500000000000003E-2</v>
      </c>
      <c r="G597" s="1213">
        <f>'MINI SSR 21-22'!C144</f>
        <v>48500</v>
      </c>
      <c r="H597" s="1214">
        <f t="shared" ref="H597:H604" si="43">ROUND(F597*G597,2)</f>
        <v>1673.25</v>
      </c>
      <c r="I597" s="1205" t="s">
        <v>2321</v>
      </c>
      <c r="J597" s="1162"/>
    </row>
    <row r="598" spans="1:10" s="1256" customFormat="1" hidden="1">
      <c r="A598" s="1156"/>
      <c r="B598" s="1218" t="s">
        <v>1689</v>
      </c>
      <c r="C598" s="1253" t="s">
        <v>1690</v>
      </c>
      <c r="E598" s="1212" t="s">
        <v>35</v>
      </c>
      <c r="F598" s="1226">
        <f>H596</f>
        <v>4.3400000000000001E-2</v>
      </c>
      <c r="G598" s="1213">
        <f>'MINI SSR 21-22'!C145</f>
        <v>61000</v>
      </c>
      <c r="H598" s="1214">
        <f t="shared" si="43"/>
        <v>2647.4</v>
      </c>
      <c r="I598" s="1205" t="s">
        <v>2321</v>
      </c>
      <c r="J598" s="1162"/>
    </row>
    <row r="599" spans="1:10" s="1256" customFormat="1" hidden="1">
      <c r="A599" s="1156"/>
      <c r="B599" s="1218" t="s">
        <v>1396</v>
      </c>
      <c r="C599" s="1253" t="s">
        <v>1691</v>
      </c>
      <c r="D599" s="1212"/>
      <c r="E599" s="1212" t="s">
        <v>11</v>
      </c>
      <c r="F599" s="1240">
        <v>2</v>
      </c>
      <c r="G599" s="1213">
        <f t="shared" ref="G599:G604" si="44">G580</f>
        <v>84</v>
      </c>
      <c r="H599" s="1214">
        <f t="shared" si="43"/>
        <v>168</v>
      </c>
      <c r="I599" s="1205" t="s">
        <v>2321</v>
      </c>
      <c r="J599" s="1162"/>
    </row>
    <row r="600" spans="1:10" s="1256" customFormat="1" hidden="1">
      <c r="A600" s="1156"/>
      <c r="B600" s="1218" t="s">
        <v>1398</v>
      </c>
      <c r="C600" s="1253" t="s">
        <v>1380</v>
      </c>
      <c r="D600" s="1212"/>
      <c r="E600" s="1212" t="s">
        <v>11</v>
      </c>
      <c r="F600" s="1240">
        <v>3</v>
      </c>
      <c r="G600" s="1213">
        <f t="shared" si="44"/>
        <v>117</v>
      </c>
      <c r="H600" s="1214">
        <f t="shared" si="43"/>
        <v>351</v>
      </c>
      <c r="I600" s="1205" t="s">
        <v>2321</v>
      </c>
      <c r="J600" s="1162"/>
    </row>
    <row r="601" spans="1:10" s="1256" customFormat="1" hidden="1">
      <c r="A601" s="1156"/>
      <c r="B601" s="1218" t="s">
        <v>1383</v>
      </c>
      <c r="C601" s="1253" t="s">
        <v>1382</v>
      </c>
      <c r="D601" s="1212"/>
      <c r="E601" s="1212" t="s">
        <v>11</v>
      </c>
      <c r="F601" s="1240"/>
      <c r="G601" s="1213">
        <f t="shared" si="44"/>
        <v>103</v>
      </c>
      <c r="H601" s="1214">
        <f t="shared" si="43"/>
        <v>0</v>
      </c>
      <c r="I601" s="1205" t="s">
        <v>2321</v>
      </c>
      <c r="J601" s="1162"/>
    </row>
    <row r="602" spans="1:10" s="1256" customFormat="1" hidden="1">
      <c r="A602" s="1156"/>
      <c r="B602" s="1218" t="s">
        <v>1400</v>
      </c>
      <c r="C602" s="1253" t="s">
        <v>1692</v>
      </c>
      <c r="D602" s="1212"/>
      <c r="E602" s="1212" t="s">
        <v>11</v>
      </c>
      <c r="F602" s="1240">
        <v>2</v>
      </c>
      <c r="G602" s="1213">
        <f t="shared" si="44"/>
        <v>308</v>
      </c>
      <c r="H602" s="1214">
        <f t="shared" si="43"/>
        <v>616</v>
      </c>
      <c r="I602" s="1205" t="s">
        <v>2321</v>
      </c>
      <c r="J602" s="1162"/>
    </row>
    <row r="603" spans="1:10" hidden="1">
      <c r="A603" s="1156"/>
      <c r="B603" s="1218" t="s">
        <v>1693</v>
      </c>
      <c r="C603" s="1253" t="s">
        <v>1694</v>
      </c>
      <c r="D603" s="1212"/>
      <c r="E603" s="1212" t="s">
        <v>11</v>
      </c>
      <c r="F603" s="1240">
        <v>1</v>
      </c>
      <c r="G603" s="1213">
        <f t="shared" si="44"/>
        <v>53</v>
      </c>
      <c r="H603" s="1214">
        <f t="shared" si="43"/>
        <v>53</v>
      </c>
      <c r="I603" s="1205" t="s">
        <v>2321</v>
      </c>
    </row>
    <row r="604" spans="1:10" hidden="1">
      <c r="A604" s="1156"/>
      <c r="B604" s="1218" t="s">
        <v>1389</v>
      </c>
      <c r="C604" s="1253" t="s">
        <v>1388</v>
      </c>
      <c r="D604" s="1212"/>
      <c r="E604" s="1212" t="s">
        <v>11</v>
      </c>
      <c r="F604" s="1240">
        <v>6</v>
      </c>
      <c r="G604" s="1213">
        <f t="shared" si="44"/>
        <v>35</v>
      </c>
      <c r="H604" s="1214">
        <f t="shared" si="43"/>
        <v>210</v>
      </c>
      <c r="I604" s="1205" t="s">
        <v>2321</v>
      </c>
    </row>
    <row r="605" spans="1:10" hidden="1">
      <c r="A605" s="1156"/>
      <c r="B605" s="1218"/>
      <c r="C605" s="1255" t="s">
        <v>68</v>
      </c>
      <c r="D605" s="1162"/>
      <c r="E605" s="1212"/>
      <c r="F605" s="1213"/>
      <c r="G605" s="1213"/>
      <c r="H605" s="1214"/>
      <c r="I605" s="1205" t="s">
        <v>2321</v>
      </c>
    </row>
    <row r="606" spans="1:10" hidden="1">
      <c r="A606" s="1156"/>
      <c r="B606" s="1212" t="s">
        <v>1695</v>
      </c>
      <c r="C606" s="1253" t="s">
        <v>1390</v>
      </c>
      <c r="D606" s="1162"/>
      <c r="E606" s="1212" t="s">
        <v>102</v>
      </c>
      <c r="F606" s="1213">
        <f>ROUND(0.8*2.1,2)</f>
        <v>1.68</v>
      </c>
      <c r="G606" s="1213">
        <f>G587</f>
        <v>1546</v>
      </c>
      <c r="H606" s="1214">
        <f>ROUND(F606*G606*1/3,2)</f>
        <v>865.76</v>
      </c>
      <c r="I606" s="1205" t="s">
        <v>2321</v>
      </c>
    </row>
    <row r="607" spans="1:10" hidden="1">
      <c r="A607" s="1156"/>
      <c r="B607" s="1218"/>
      <c r="C607" s="1255"/>
      <c r="D607" s="1212"/>
      <c r="E607" s="1212"/>
      <c r="F607" s="1212"/>
      <c r="G607" s="1212"/>
      <c r="H607" s="1222">
        <f>SUM(H597:H606)</f>
        <v>6584.41</v>
      </c>
      <c r="I607" s="1205" t="s">
        <v>2321</v>
      </c>
    </row>
    <row r="608" spans="1:10" ht="127.5" hidden="1">
      <c r="A608" s="1156">
        <v>5</v>
      </c>
      <c r="B608" s="1218"/>
      <c r="C608" s="1253" t="s">
        <v>1311</v>
      </c>
      <c r="D608" s="1212"/>
      <c r="E608" s="1212"/>
      <c r="F608" s="1212"/>
      <c r="G608" s="1212"/>
      <c r="H608" s="1215"/>
      <c r="I608" s="1205" t="s">
        <v>2321</v>
      </c>
    </row>
    <row r="609" spans="1:10" hidden="1">
      <c r="A609" s="1156"/>
      <c r="B609" s="1218"/>
      <c r="C609" s="1255" t="s">
        <v>100</v>
      </c>
      <c r="D609" s="1212"/>
      <c r="E609" s="1212"/>
      <c r="F609" s="1212"/>
      <c r="G609" s="1212"/>
      <c r="H609" s="1215"/>
      <c r="I609" s="1205" t="s">
        <v>2321</v>
      </c>
    </row>
    <row r="610" spans="1:10" s="1256" customFormat="1" hidden="1">
      <c r="A610" s="1156"/>
      <c r="B610" s="1218"/>
      <c r="C610" s="1255" t="s">
        <v>594</v>
      </c>
      <c r="D610" s="1212"/>
      <c r="E610" s="1212"/>
      <c r="F610" s="1212"/>
      <c r="G610" s="1212"/>
      <c r="H610" s="1215"/>
      <c r="I610" s="1205" t="s">
        <v>2321</v>
      </c>
      <c r="J610" s="1162"/>
    </row>
    <row r="611" spans="1:10" s="1256" customFormat="1" hidden="1">
      <c r="A611" s="1156"/>
      <c r="B611" s="1218"/>
      <c r="C611" s="1253" t="s">
        <v>2</v>
      </c>
      <c r="D611" s="1406">
        <v>2</v>
      </c>
      <c r="E611" s="1407">
        <v>1.9</v>
      </c>
      <c r="F611" s="1408">
        <v>0.1</v>
      </c>
      <c r="G611" s="1408">
        <v>7.4999999999999997E-2</v>
      </c>
      <c r="H611" s="1409">
        <f>ROUND(D611*E611*F611*G611,4)</f>
        <v>2.8500000000000001E-2</v>
      </c>
      <c r="I611" s="1205" t="s">
        <v>2321</v>
      </c>
      <c r="J611" s="1162"/>
    </row>
    <row r="612" spans="1:10" s="1256" customFormat="1" hidden="1">
      <c r="A612" s="1156"/>
      <c r="B612" s="1218"/>
      <c r="C612" s="1253" t="s">
        <v>741</v>
      </c>
      <c r="D612" s="1406">
        <v>1</v>
      </c>
      <c r="E612" s="1407">
        <v>1.05</v>
      </c>
      <c r="F612" s="1408">
        <v>0.1</v>
      </c>
      <c r="G612" s="1408">
        <v>7.4999999999999997E-2</v>
      </c>
      <c r="H612" s="1409">
        <f>ROUND(D612*E612*F612*G612,4)</f>
        <v>7.9000000000000008E-3</v>
      </c>
      <c r="I612" s="1205" t="s">
        <v>2321</v>
      </c>
      <c r="J612" s="1162"/>
    </row>
    <row r="613" spans="1:10" s="1256" customFormat="1" hidden="1">
      <c r="A613" s="1156"/>
      <c r="B613" s="1218"/>
      <c r="C613" s="1255"/>
      <c r="D613" s="1406"/>
      <c r="E613" s="1406"/>
      <c r="F613" s="1406"/>
      <c r="G613" s="1406"/>
      <c r="H613" s="1412">
        <f>SUM(H611:H612)</f>
        <v>3.6400000000000002E-2</v>
      </c>
      <c r="I613" s="1205" t="s">
        <v>2321</v>
      </c>
      <c r="J613" s="1162"/>
    </row>
    <row r="614" spans="1:10" s="1256" customFormat="1" hidden="1">
      <c r="A614" s="1156"/>
      <c r="B614" s="1218"/>
      <c r="C614" s="1255" t="s">
        <v>320</v>
      </c>
      <c r="D614" s="1406">
        <v>1</v>
      </c>
      <c r="E614" s="1407">
        <v>2.0099999999999998</v>
      </c>
      <c r="F614" s="1408">
        <v>0.94</v>
      </c>
      <c r="G614" s="1408">
        <v>0.03</v>
      </c>
      <c r="H614" s="1409">
        <f>ROUND(D614*E614*F614*G614,4)</f>
        <v>5.67E-2</v>
      </c>
      <c r="I614" s="1205" t="s">
        <v>2321</v>
      </c>
      <c r="J614" s="1162"/>
    </row>
    <row r="615" spans="1:10" s="1256" customFormat="1" hidden="1">
      <c r="A615" s="1156"/>
      <c r="B615" s="1218"/>
      <c r="C615" s="1253"/>
      <c r="D615" s="1406"/>
      <c r="E615" s="1406"/>
      <c r="F615" s="1406"/>
      <c r="G615" s="1406"/>
      <c r="H615" s="1412">
        <f>SUM(H614:H614)</f>
        <v>5.67E-2</v>
      </c>
      <c r="I615" s="1205" t="s">
        <v>2321</v>
      </c>
      <c r="J615" s="1162"/>
    </row>
    <row r="616" spans="1:10" s="1256" customFormat="1" hidden="1">
      <c r="A616" s="1156"/>
      <c r="B616" s="1218" t="s">
        <v>1375</v>
      </c>
      <c r="C616" s="1253" t="s">
        <v>1374</v>
      </c>
      <c r="E616" s="1212" t="s">
        <v>35</v>
      </c>
      <c r="F616" s="1226">
        <f>H613</f>
        <v>3.6400000000000002E-2</v>
      </c>
      <c r="G616" s="1213">
        <f>'MINI SSR 21-22'!$C$142</f>
        <v>74500</v>
      </c>
      <c r="H616" s="1214">
        <f t="shared" ref="H616:H623" si="45">ROUND(F616*G616,2)</f>
        <v>2711.8</v>
      </c>
      <c r="I616" s="1205" t="s">
        <v>2321</v>
      </c>
      <c r="J616" s="1162"/>
    </row>
    <row r="617" spans="1:10" s="1256" customFormat="1" hidden="1">
      <c r="A617" s="1156"/>
      <c r="B617" s="1218" t="s">
        <v>1377</v>
      </c>
      <c r="C617" s="1253" t="s">
        <v>1376</v>
      </c>
      <c r="E617" s="1212" t="s">
        <v>35</v>
      </c>
      <c r="F617" s="1226">
        <f>H615</f>
        <v>5.67E-2</v>
      </c>
      <c r="G617" s="1213">
        <f>'MINI SSR 21-22'!C143</f>
        <v>149000</v>
      </c>
      <c r="H617" s="1214">
        <f t="shared" si="45"/>
        <v>8448.2999999999993</v>
      </c>
      <c r="I617" s="1205" t="s">
        <v>2321</v>
      </c>
      <c r="J617" s="1162"/>
    </row>
    <row r="618" spans="1:10" s="1256" customFormat="1" hidden="1">
      <c r="A618" s="1156"/>
      <c r="B618" s="1218" t="s">
        <v>1379</v>
      </c>
      <c r="C618" s="1253" t="s">
        <v>1378</v>
      </c>
      <c r="D618" s="1212"/>
      <c r="E618" s="1212" t="s">
        <v>11</v>
      </c>
      <c r="F618" s="1240">
        <v>2</v>
      </c>
      <c r="G618" s="1213">
        <f t="shared" ref="G618:G623" si="46">G487</f>
        <v>231</v>
      </c>
      <c r="H618" s="1214">
        <f t="shared" si="45"/>
        <v>462</v>
      </c>
      <c r="I618" s="1205" t="s">
        <v>2321</v>
      </c>
      <c r="J618" s="1162"/>
    </row>
    <row r="619" spans="1:10" s="1256" customFormat="1" hidden="1">
      <c r="A619" s="1156"/>
      <c r="B619" s="1218" t="s">
        <v>1381</v>
      </c>
      <c r="C619" s="1253" t="s">
        <v>1380</v>
      </c>
      <c r="D619" s="1212"/>
      <c r="E619" s="1212" t="s">
        <v>11</v>
      </c>
      <c r="F619" s="1240">
        <v>3</v>
      </c>
      <c r="G619" s="1213">
        <f t="shared" si="46"/>
        <v>246</v>
      </c>
      <c r="H619" s="1214">
        <f t="shared" si="45"/>
        <v>738</v>
      </c>
      <c r="I619" s="1205" t="s">
        <v>2321</v>
      </c>
      <c r="J619" s="1162"/>
    </row>
    <row r="620" spans="1:10" s="1256" customFormat="1" hidden="1">
      <c r="A620" s="1156"/>
      <c r="B620" s="1218" t="s">
        <v>1383</v>
      </c>
      <c r="C620" s="1253" t="s">
        <v>1382</v>
      </c>
      <c r="D620" s="1212"/>
      <c r="E620" s="1212" t="s">
        <v>11</v>
      </c>
      <c r="F620" s="1240"/>
      <c r="G620" s="1213">
        <f t="shared" si="46"/>
        <v>103</v>
      </c>
      <c r="H620" s="1214">
        <f t="shared" si="45"/>
        <v>0</v>
      </c>
      <c r="I620" s="1205" t="s">
        <v>2321</v>
      </c>
      <c r="J620" s="1162"/>
    </row>
    <row r="621" spans="1:10" s="1256" customFormat="1" hidden="1">
      <c r="A621" s="1156"/>
      <c r="B621" s="1218" t="s">
        <v>1385</v>
      </c>
      <c r="C621" s="1253" t="s">
        <v>1384</v>
      </c>
      <c r="D621" s="1212"/>
      <c r="E621" s="1212" t="s">
        <v>11</v>
      </c>
      <c r="F621" s="1240">
        <v>2</v>
      </c>
      <c r="G621" s="1213">
        <f t="shared" si="46"/>
        <v>1087</v>
      </c>
      <c r="H621" s="1214">
        <f t="shared" si="45"/>
        <v>2174</v>
      </c>
      <c r="I621" s="1205" t="s">
        <v>2321</v>
      </c>
      <c r="J621" s="1162"/>
    </row>
    <row r="622" spans="1:10" hidden="1">
      <c r="A622" s="1156"/>
      <c r="B622" s="1218" t="s">
        <v>1387</v>
      </c>
      <c r="C622" s="1253" t="s">
        <v>1386</v>
      </c>
      <c r="D622" s="1212"/>
      <c r="E622" s="1212" t="s">
        <v>11</v>
      </c>
      <c r="F622" s="1240">
        <v>1</v>
      </c>
      <c r="G622" s="1213">
        <f t="shared" si="46"/>
        <v>168</v>
      </c>
      <c r="H622" s="1214">
        <f t="shared" si="45"/>
        <v>168</v>
      </c>
      <c r="I622" s="1205" t="s">
        <v>2321</v>
      </c>
    </row>
    <row r="623" spans="1:10" hidden="1">
      <c r="A623" s="1156"/>
      <c r="B623" s="1218" t="s">
        <v>1389</v>
      </c>
      <c r="C623" s="1253" t="s">
        <v>1388</v>
      </c>
      <c r="D623" s="1212"/>
      <c r="E623" s="1212" t="s">
        <v>11</v>
      </c>
      <c r="F623" s="1240">
        <v>6</v>
      </c>
      <c r="G623" s="1213">
        <f t="shared" si="46"/>
        <v>35</v>
      </c>
      <c r="H623" s="1214">
        <f t="shared" si="45"/>
        <v>210</v>
      </c>
      <c r="I623" s="1205" t="s">
        <v>2321</v>
      </c>
    </row>
    <row r="624" spans="1:10" hidden="1">
      <c r="A624" s="1156"/>
      <c r="B624" s="1218"/>
      <c r="C624" s="1255" t="s">
        <v>68</v>
      </c>
      <c r="D624" s="1162"/>
      <c r="E624" s="1212"/>
      <c r="F624" s="1213"/>
      <c r="G624" s="1213"/>
      <c r="H624" s="1214"/>
      <c r="I624" s="1205" t="s">
        <v>2321</v>
      </c>
    </row>
    <row r="625" spans="1:11" hidden="1">
      <c r="A625" s="1156"/>
      <c r="B625" s="1212" t="s">
        <v>1391</v>
      </c>
      <c r="C625" s="1253" t="s">
        <v>1390</v>
      </c>
      <c r="D625" s="1162"/>
      <c r="E625" s="1212" t="s">
        <v>102</v>
      </c>
      <c r="F625" s="1213">
        <f>ROUND(1.05*2.1,2)</f>
        <v>2.21</v>
      </c>
      <c r="G625" s="1213">
        <f>G494</f>
        <v>1672</v>
      </c>
      <c r="H625" s="1214">
        <f>ROUND(F625*G625*1/3,2)</f>
        <v>1231.71</v>
      </c>
      <c r="I625" s="1205" t="s">
        <v>2321</v>
      </c>
    </row>
    <row r="626" spans="1:11" hidden="1">
      <c r="A626" s="1156"/>
      <c r="B626" s="1218"/>
      <c r="C626" s="1255"/>
      <c r="D626" s="1212"/>
      <c r="E626" s="1212"/>
      <c r="F626" s="1212"/>
      <c r="G626" s="1212"/>
      <c r="H626" s="1222">
        <f>SUM(H616:H625)</f>
        <v>16143.809999999998</v>
      </c>
      <c r="I626" s="1205" t="s">
        <v>2321</v>
      </c>
    </row>
    <row r="627" spans="1:11" ht="127.5" hidden="1">
      <c r="A627" s="1156">
        <v>4</v>
      </c>
      <c r="B627" s="1218"/>
      <c r="C627" s="1253" t="s">
        <v>2213</v>
      </c>
      <c r="D627" s="1212"/>
      <c r="E627" s="1212"/>
      <c r="F627" s="1212"/>
      <c r="G627" s="1212"/>
      <c r="H627" s="1215"/>
      <c r="I627" s="1205" t="s">
        <v>2321</v>
      </c>
    </row>
    <row r="628" spans="1:11" hidden="1">
      <c r="A628" s="1156"/>
      <c r="B628" s="1218"/>
      <c r="C628" s="1255" t="s">
        <v>100</v>
      </c>
      <c r="D628" s="1212"/>
      <c r="E628" s="1212"/>
      <c r="F628" s="1212"/>
      <c r="G628" s="1212"/>
      <c r="H628" s="1215"/>
      <c r="I628" s="1205" t="s">
        <v>2321</v>
      </c>
    </row>
    <row r="629" spans="1:11" s="1256" customFormat="1" hidden="1">
      <c r="A629" s="1156"/>
      <c r="B629" s="1218"/>
      <c r="C629" s="1255" t="s">
        <v>60</v>
      </c>
      <c r="D629" s="1212"/>
      <c r="E629" s="1212"/>
      <c r="F629" s="1212"/>
      <c r="G629" s="1212"/>
      <c r="H629" s="1215"/>
      <c r="I629" s="1205" t="s">
        <v>2321</v>
      </c>
      <c r="J629" s="1162"/>
    </row>
    <row r="630" spans="1:11" s="1256" customFormat="1" hidden="1">
      <c r="A630" s="1156"/>
      <c r="B630" s="1218"/>
      <c r="C630" s="1255" t="s">
        <v>1</v>
      </c>
      <c r="D630" s="1212"/>
      <c r="E630" s="1212"/>
      <c r="F630" s="1212"/>
      <c r="G630" s="1212"/>
      <c r="H630" s="1215"/>
      <c r="I630" s="1205" t="s">
        <v>2321</v>
      </c>
      <c r="J630" s="1162"/>
    </row>
    <row r="631" spans="1:11" s="1256" customFormat="1" hidden="1">
      <c r="A631" s="1156"/>
      <c r="B631" s="1218"/>
      <c r="C631" s="1253" t="s">
        <v>2</v>
      </c>
      <c r="D631" s="1406">
        <v>2</v>
      </c>
      <c r="E631" s="1407">
        <v>1.95</v>
      </c>
      <c r="F631" s="1408">
        <v>0.1</v>
      </c>
      <c r="G631" s="1408">
        <v>7.4999999999999997E-2</v>
      </c>
      <c r="H631" s="1409">
        <f>ROUND(D631*E631*F631*G631,4)</f>
        <v>2.93E-2</v>
      </c>
      <c r="I631" s="1205" t="s">
        <v>2321</v>
      </c>
      <c r="J631" s="1162"/>
    </row>
    <row r="632" spans="1:11" s="1256" customFormat="1" hidden="1">
      <c r="A632" s="1156"/>
      <c r="B632" s="1218"/>
      <c r="C632" s="1253" t="s">
        <v>741</v>
      </c>
      <c r="D632" s="1406">
        <v>2</v>
      </c>
      <c r="E632" s="1407">
        <v>1.05</v>
      </c>
      <c r="F632" s="1408">
        <v>0.1</v>
      </c>
      <c r="G632" s="1408">
        <v>7.4999999999999997E-2</v>
      </c>
      <c r="H632" s="1409">
        <f>ROUND(D632*E632*F632*G632,4)</f>
        <v>1.5800000000000002E-2</v>
      </c>
      <c r="I632" s="1205" t="s">
        <v>2321</v>
      </c>
      <c r="J632" s="1162"/>
    </row>
    <row r="633" spans="1:11" s="1256" customFormat="1" hidden="1">
      <c r="A633" s="1156"/>
      <c r="B633" s="1218"/>
      <c r="C633" s="1255"/>
      <c r="D633" s="1212"/>
      <c r="E633" s="1212"/>
      <c r="F633" s="1212"/>
      <c r="G633" s="1212"/>
      <c r="H633" s="1410">
        <f>SUM(H631:H632)</f>
        <v>4.5100000000000001E-2</v>
      </c>
      <c r="I633" s="1205" t="s">
        <v>2321</v>
      </c>
      <c r="J633" s="1162"/>
    </row>
    <row r="634" spans="1:11" s="1256" customFormat="1" hidden="1">
      <c r="A634" s="1156"/>
      <c r="B634" s="1218" t="s">
        <v>1375</v>
      </c>
      <c r="C634" s="1253" t="s">
        <v>1374</v>
      </c>
      <c r="D634" s="1212"/>
      <c r="E634" s="1212" t="s">
        <v>35</v>
      </c>
      <c r="F634" s="1226">
        <f>H633</f>
        <v>4.5100000000000001E-2</v>
      </c>
      <c r="G634" s="1213">
        <f>'MINI SSR 21-22'!$C$142</f>
        <v>74500</v>
      </c>
      <c r="H634" s="1214">
        <f t="shared" ref="H634:H642" si="47">ROUND(F634*G634,2)</f>
        <v>3359.95</v>
      </c>
      <c r="I634" s="1205" t="s">
        <v>2321</v>
      </c>
      <c r="J634" s="1162"/>
    </row>
    <row r="635" spans="1:11" s="1256" customFormat="1" hidden="1">
      <c r="A635" s="1156"/>
      <c r="B635" s="1212" t="s">
        <v>2099</v>
      </c>
      <c r="C635" s="1253" t="s">
        <v>2100</v>
      </c>
      <c r="D635" s="1212"/>
      <c r="E635" s="1212" t="s">
        <v>102</v>
      </c>
      <c r="F635" s="1226">
        <f>ROUND(0.74*1.995,2)</f>
        <v>1.48</v>
      </c>
      <c r="G635" s="1213">
        <f>'MINI SSR 21-22'!$C$148</f>
        <v>1790</v>
      </c>
      <c r="H635" s="1214">
        <f t="shared" si="47"/>
        <v>2649.2</v>
      </c>
      <c r="I635" s="1205" t="s">
        <v>2321</v>
      </c>
      <c r="J635" s="1162"/>
      <c r="K635" s="1256">
        <f>(1*0.775)/1.05</f>
        <v>0.73809523809523814</v>
      </c>
    </row>
    <row r="636" spans="1:11" s="1256" customFormat="1" hidden="1">
      <c r="A636" s="1156"/>
      <c r="B636" s="1212" t="s">
        <v>2101</v>
      </c>
      <c r="C636" s="1253" t="s">
        <v>2105</v>
      </c>
      <c r="D636" s="1212"/>
      <c r="E636" s="1212" t="s">
        <v>102</v>
      </c>
      <c r="F636" s="1226">
        <f>F635</f>
        <v>1.48</v>
      </c>
      <c r="G636" s="1213">
        <f>'MINI SSR 21-22'!$C$151</f>
        <v>800</v>
      </c>
      <c r="H636" s="1214">
        <f t="shared" si="47"/>
        <v>1184</v>
      </c>
      <c r="I636" s="1205" t="s">
        <v>2321</v>
      </c>
      <c r="J636" s="1162"/>
    </row>
    <row r="637" spans="1:11" hidden="1">
      <c r="A637" s="1156"/>
      <c r="B637" s="1212" t="s">
        <v>1396</v>
      </c>
      <c r="C637" s="1253" t="s">
        <v>1395</v>
      </c>
      <c r="D637" s="1212"/>
      <c r="E637" s="1212" t="s">
        <v>11</v>
      </c>
      <c r="F637" s="1240">
        <v>2</v>
      </c>
      <c r="G637" s="1213">
        <f>'MINI SSR 21-22'!$G$143</f>
        <v>84</v>
      </c>
      <c r="H637" s="1214">
        <f t="shared" si="47"/>
        <v>168</v>
      </c>
      <c r="I637" s="1205" t="s">
        <v>2321</v>
      </c>
    </row>
    <row r="638" spans="1:11" hidden="1">
      <c r="A638" s="1156"/>
      <c r="B638" s="1212" t="s">
        <v>1398</v>
      </c>
      <c r="C638" s="1253" t="s">
        <v>1397</v>
      </c>
      <c r="D638" s="1212"/>
      <c r="E638" s="1212" t="s">
        <v>11</v>
      </c>
      <c r="F638" s="1240">
        <v>3</v>
      </c>
      <c r="G638" s="1213">
        <f>'MINI SSR 21-22'!$G$146</f>
        <v>117</v>
      </c>
      <c r="H638" s="1214">
        <f t="shared" si="47"/>
        <v>351</v>
      </c>
      <c r="I638" s="1205" t="s">
        <v>2321</v>
      </c>
    </row>
    <row r="639" spans="1:11" hidden="1">
      <c r="A639" s="1156"/>
      <c r="B639" s="1212" t="s">
        <v>1383</v>
      </c>
      <c r="C639" s="1253" t="s">
        <v>1382</v>
      </c>
      <c r="D639" s="1212"/>
      <c r="E639" s="1212" t="s">
        <v>11</v>
      </c>
      <c r="F639" s="1240">
        <v>2</v>
      </c>
      <c r="G639" s="1213">
        <f>'MINI SSR 21-22'!$G$144</f>
        <v>103</v>
      </c>
      <c r="H639" s="1214">
        <f t="shared" si="47"/>
        <v>206</v>
      </c>
      <c r="I639" s="1205" t="s">
        <v>2321</v>
      </c>
    </row>
    <row r="640" spans="1:11" hidden="1">
      <c r="A640" s="1156"/>
      <c r="B640" s="1212" t="s">
        <v>1400</v>
      </c>
      <c r="C640" s="1253" t="s">
        <v>1399</v>
      </c>
      <c r="D640" s="1212"/>
      <c r="E640" s="1212" t="s">
        <v>11</v>
      </c>
      <c r="F640" s="1240">
        <v>2</v>
      </c>
      <c r="G640" s="1213">
        <f>'MINI SSR 21-22'!$G$149</f>
        <v>308</v>
      </c>
      <c r="H640" s="1214">
        <f t="shared" si="47"/>
        <v>616</v>
      </c>
      <c r="I640" s="1205" t="s">
        <v>2321</v>
      </c>
    </row>
    <row r="641" spans="1:12" hidden="1">
      <c r="A641" s="1156"/>
      <c r="B641" s="1212" t="s">
        <v>1402</v>
      </c>
      <c r="C641" s="1253" t="s">
        <v>1401</v>
      </c>
      <c r="D641" s="1212"/>
      <c r="E641" s="1212" t="s">
        <v>11</v>
      </c>
      <c r="F641" s="1240">
        <v>1</v>
      </c>
      <c r="G641" s="1213">
        <f>'MINI SSR 21-22'!$G$155</f>
        <v>53</v>
      </c>
      <c r="H641" s="1214">
        <f t="shared" si="47"/>
        <v>53</v>
      </c>
      <c r="I641" s="1205" t="s">
        <v>2321</v>
      </c>
    </row>
    <row r="642" spans="1:12" hidden="1">
      <c r="A642" s="1156"/>
      <c r="B642" s="1212" t="s">
        <v>1389</v>
      </c>
      <c r="C642" s="1253" t="s">
        <v>1388</v>
      </c>
      <c r="D642" s="1212"/>
      <c r="E642" s="1212" t="s">
        <v>11</v>
      </c>
      <c r="F642" s="1240">
        <v>6</v>
      </c>
      <c r="G642" s="1213">
        <f>'MINI SSR 21-22'!$G$152</f>
        <v>35</v>
      </c>
      <c r="H642" s="1214">
        <f t="shared" si="47"/>
        <v>210</v>
      </c>
      <c r="I642" s="1205" t="s">
        <v>2321</v>
      </c>
    </row>
    <row r="643" spans="1:12" hidden="1">
      <c r="A643" s="1212"/>
      <c r="B643" s="1212"/>
      <c r="C643" s="1255" t="s">
        <v>68</v>
      </c>
      <c r="D643" s="1212"/>
      <c r="E643" s="1212"/>
      <c r="F643" s="1213"/>
      <c r="G643" s="1217"/>
      <c r="H643" s="1214"/>
      <c r="I643" s="1205" t="s">
        <v>2321</v>
      </c>
    </row>
    <row r="644" spans="1:12" ht="25.5" hidden="1">
      <c r="A644" s="1212"/>
      <c r="B644" s="1212" t="s">
        <v>1391</v>
      </c>
      <c r="C644" s="1253" t="s">
        <v>1403</v>
      </c>
      <c r="D644" s="1212"/>
      <c r="E644" s="1212" t="s">
        <v>102</v>
      </c>
      <c r="F644" s="1213">
        <f>ROUND(1.05*2.1,2)</f>
        <v>2.21</v>
      </c>
      <c r="G644" s="1213">
        <f>'MINI SSR 21-22'!$C$150</f>
        <v>1546</v>
      </c>
      <c r="H644" s="1214">
        <f>ROUND(F644*G644*1/3,2)</f>
        <v>1138.8900000000001</v>
      </c>
      <c r="I644" s="1205" t="s">
        <v>2321</v>
      </c>
      <c r="L644" s="1260"/>
    </row>
    <row r="645" spans="1:12" ht="13.5" hidden="1" thickBot="1">
      <c r="A645" s="1212"/>
      <c r="B645" s="1212"/>
      <c r="C645" s="1255"/>
      <c r="D645" s="1212"/>
      <c r="E645" s="1212"/>
      <c r="F645" s="1212"/>
      <c r="G645" s="1212"/>
      <c r="H645" s="1222">
        <f>SUM(H634:H644)</f>
        <v>9936.0399999999991</v>
      </c>
      <c r="I645" s="1205" t="s">
        <v>2321</v>
      </c>
      <c r="L645" s="1411">
        <f>SUM(L644)</f>
        <v>0</v>
      </c>
    </row>
    <row r="646" spans="1:12" ht="127.5" hidden="1">
      <c r="A646" s="1156">
        <v>2</v>
      </c>
      <c r="B646" s="1218"/>
      <c r="C646" s="1253" t="s">
        <v>2145</v>
      </c>
      <c r="D646" s="1212"/>
      <c r="E646" s="1212"/>
      <c r="F646" s="1212"/>
      <c r="G646" s="1212"/>
      <c r="H646" s="1215"/>
      <c r="I646" s="1205" t="s">
        <v>2321</v>
      </c>
    </row>
    <row r="647" spans="1:12" hidden="1">
      <c r="A647" s="1156"/>
      <c r="B647" s="1218"/>
      <c r="C647" s="1255" t="s">
        <v>100</v>
      </c>
      <c r="D647" s="1212"/>
      <c r="E647" s="1212"/>
      <c r="F647" s="1212"/>
      <c r="G647" s="1212"/>
      <c r="H647" s="1215"/>
      <c r="I647" s="1205" t="s">
        <v>2321</v>
      </c>
    </row>
    <row r="648" spans="1:12" s="1256" customFormat="1" hidden="1">
      <c r="A648" s="1156"/>
      <c r="B648" s="1218"/>
      <c r="C648" s="1255" t="s">
        <v>60</v>
      </c>
      <c r="D648" s="1212"/>
      <c r="E648" s="1212"/>
      <c r="F648" s="1212"/>
      <c r="G648" s="1212"/>
      <c r="H648" s="1215"/>
      <c r="I648" s="1205" t="s">
        <v>2321</v>
      </c>
      <c r="J648" s="1162"/>
    </row>
    <row r="649" spans="1:12" s="1256" customFormat="1" hidden="1">
      <c r="A649" s="1156"/>
      <c r="B649" s="1218"/>
      <c r="C649" s="1255" t="s">
        <v>1</v>
      </c>
      <c r="D649" s="1212"/>
      <c r="E649" s="1212"/>
      <c r="F649" s="1212"/>
      <c r="G649" s="1212"/>
      <c r="H649" s="1215"/>
      <c r="I649" s="1205" t="s">
        <v>2321</v>
      </c>
      <c r="J649" s="1162"/>
    </row>
    <row r="650" spans="1:12" s="1256" customFormat="1" hidden="1">
      <c r="A650" s="1156"/>
      <c r="B650" s="1218"/>
      <c r="C650" s="1253" t="s">
        <v>2</v>
      </c>
      <c r="D650" s="1406">
        <v>2</v>
      </c>
      <c r="E650" s="1407">
        <v>1.95</v>
      </c>
      <c r="F650" s="1408">
        <v>0.1</v>
      </c>
      <c r="G650" s="1408">
        <v>7.4999999999999997E-2</v>
      </c>
      <c r="H650" s="1409">
        <f>ROUND(D650*E650*F650*G650,4)</f>
        <v>2.93E-2</v>
      </c>
      <c r="I650" s="1205" t="s">
        <v>2321</v>
      </c>
      <c r="J650" s="1162"/>
    </row>
    <row r="651" spans="1:12" s="1256" customFormat="1" hidden="1">
      <c r="A651" s="1156"/>
      <c r="B651" s="1218"/>
      <c r="C651" s="1253" t="s">
        <v>741</v>
      </c>
      <c r="D651" s="1406">
        <v>2</v>
      </c>
      <c r="E651" s="1407">
        <v>0.9</v>
      </c>
      <c r="F651" s="1408">
        <v>0.1</v>
      </c>
      <c r="G651" s="1408">
        <v>7.4999999999999997E-2</v>
      </c>
      <c r="H651" s="1409">
        <f>ROUND(D651*E651*F651*G651,4)</f>
        <v>1.35E-2</v>
      </c>
      <c r="I651" s="1205" t="s">
        <v>2321</v>
      </c>
      <c r="J651" s="1162"/>
    </row>
    <row r="652" spans="1:12" s="1256" customFormat="1" hidden="1">
      <c r="A652" s="1156"/>
      <c r="B652" s="1218"/>
      <c r="C652" s="1255"/>
      <c r="D652" s="1212"/>
      <c r="E652" s="1212"/>
      <c r="F652" s="1212"/>
      <c r="G652" s="1212"/>
      <c r="H652" s="1410">
        <f>SUM(H650:H651)</f>
        <v>4.2799999999999998E-2</v>
      </c>
      <c r="I652" s="1205" t="s">
        <v>2321</v>
      </c>
      <c r="J652" s="1162"/>
    </row>
    <row r="653" spans="1:12" s="1256" customFormat="1" hidden="1">
      <c r="A653" s="1156"/>
      <c r="B653" s="1218" t="s">
        <v>1375</v>
      </c>
      <c r="C653" s="1253" t="s">
        <v>1374</v>
      </c>
      <c r="D653" s="1212"/>
      <c r="E653" s="1212" t="s">
        <v>35</v>
      </c>
      <c r="F653" s="1226">
        <f>H652</f>
        <v>4.2799999999999998E-2</v>
      </c>
      <c r="G653" s="1213">
        <f>'MINI SSR 21-22'!$C$142</f>
        <v>74500</v>
      </c>
      <c r="H653" s="1214">
        <f t="shared" ref="H653:H661" si="48">ROUND(F653*G653,2)</f>
        <v>3188.6</v>
      </c>
      <c r="I653" s="1205" t="s">
        <v>2321</v>
      </c>
      <c r="J653" s="1162"/>
    </row>
    <row r="654" spans="1:12" s="1256" customFormat="1" hidden="1">
      <c r="A654" s="1156"/>
      <c r="B654" s="1212" t="s">
        <v>2099</v>
      </c>
      <c r="C654" s="1253" t="s">
        <v>2100</v>
      </c>
      <c r="D654" s="1212"/>
      <c r="E654" s="1212" t="s">
        <v>102</v>
      </c>
      <c r="F654" s="1226">
        <f>ROUND(0.66*1.995,2)</f>
        <v>1.32</v>
      </c>
      <c r="G654" s="1213">
        <f>'MINI SSR 21-22'!$C$148</f>
        <v>1790</v>
      </c>
      <c r="H654" s="1214">
        <f t="shared" si="48"/>
        <v>2362.8000000000002</v>
      </c>
      <c r="I654" s="1205" t="s">
        <v>2321</v>
      </c>
      <c r="J654" s="1162"/>
    </row>
    <row r="655" spans="1:12" s="1256" customFormat="1" hidden="1">
      <c r="A655" s="1156"/>
      <c r="B655" s="1212" t="s">
        <v>2101</v>
      </c>
      <c r="C655" s="1253" t="s">
        <v>2105</v>
      </c>
      <c r="D655" s="1212"/>
      <c r="E655" s="1212" t="s">
        <v>102</v>
      </c>
      <c r="F655" s="1226">
        <f>F654</f>
        <v>1.32</v>
      </c>
      <c r="G655" s="1213">
        <f>'MINI SSR 21-22'!$C$151</f>
        <v>800</v>
      </c>
      <c r="H655" s="1214">
        <f t="shared" si="48"/>
        <v>1056</v>
      </c>
      <c r="I655" s="1205" t="s">
        <v>2321</v>
      </c>
      <c r="J655" s="1162"/>
    </row>
    <row r="656" spans="1:12" hidden="1">
      <c r="A656" s="1156"/>
      <c r="B656" s="1212" t="s">
        <v>1396</v>
      </c>
      <c r="C656" s="1253" t="s">
        <v>1395</v>
      </c>
      <c r="D656" s="1212"/>
      <c r="E656" s="1212" t="s">
        <v>11</v>
      </c>
      <c r="F656" s="1240">
        <v>2</v>
      </c>
      <c r="G656" s="1213">
        <f>'MINI SSR 21-22'!$G$143</f>
        <v>84</v>
      </c>
      <c r="H656" s="1214">
        <f t="shared" si="48"/>
        <v>168</v>
      </c>
      <c r="I656" s="1205" t="s">
        <v>2321</v>
      </c>
    </row>
    <row r="657" spans="1:12" hidden="1">
      <c r="A657" s="1156"/>
      <c r="B657" s="1212" t="s">
        <v>1398</v>
      </c>
      <c r="C657" s="1253" t="s">
        <v>1397</v>
      </c>
      <c r="D657" s="1212"/>
      <c r="E657" s="1212" t="s">
        <v>11</v>
      </c>
      <c r="F657" s="1240">
        <v>3</v>
      </c>
      <c r="G657" s="1213">
        <f>'MINI SSR 21-22'!$G$146</f>
        <v>117</v>
      </c>
      <c r="H657" s="1214">
        <f t="shared" si="48"/>
        <v>351</v>
      </c>
      <c r="I657" s="1205" t="s">
        <v>2321</v>
      </c>
    </row>
    <row r="658" spans="1:12" hidden="1">
      <c r="A658" s="1156"/>
      <c r="B658" s="1212" t="s">
        <v>1383</v>
      </c>
      <c r="C658" s="1253" t="s">
        <v>1382</v>
      </c>
      <c r="D658" s="1212"/>
      <c r="E658" s="1212" t="s">
        <v>11</v>
      </c>
      <c r="F658" s="1240">
        <v>2</v>
      </c>
      <c r="G658" s="1213">
        <f>'MINI SSR 21-22'!$G$144</f>
        <v>103</v>
      </c>
      <c r="H658" s="1214">
        <f t="shared" si="48"/>
        <v>206</v>
      </c>
      <c r="I658" s="1205" t="s">
        <v>2321</v>
      </c>
    </row>
    <row r="659" spans="1:12" hidden="1">
      <c r="A659" s="1156"/>
      <c r="B659" s="1212" t="s">
        <v>1400</v>
      </c>
      <c r="C659" s="1253" t="s">
        <v>1399</v>
      </c>
      <c r="D659" s="1212"/>
      <c r="E659" s="1212" t="s">
        <v>11</v>
      </c>
      <c r="F659" s="1240">
        <v>2</v>
      </c>
      <c r="G659" s="1213">
        <f>'MINI SSR 21-22'!$G$149</f>
        <v>308</v>
      </c>
      <c r="H659" s="1214">
        <f t="shared" si="48"/>
        <v>616</v>
      </c>
      <c r="I659" s="1205" t="s">
        <v>2321</v>
      </c>
    </row>
    <row r="660" spans="1:12" hidden="1">
      <c r="A660" s="1156"/>
      <c r="B660" s="1212" t="s">
        <v>1402</v>
      </c>
      <c r="C660" s="1253" t="s">
        <v>1401</v>
      </c>
      <c r="D660" s="1212"/>
      <c r="E660" s="1212" t="s">
        <v>11</v>
      </c>
      <c r="F660" s="1240">
        <v>1</v>
      </c>
      <c r="G660" s="1213">
        <f>'MINI SSR 21-22'!$G$155</f>
        <v>53</v>
      </c>
      <c r="H660" s="1214">
        <f t="shared" si="48"/>
        <v>53</v>
      </c>
      <c r="I660" s="1205" t="s">
        <v>2321</v>
      </c>
    </row>
    <row r="661" spans="1:12" hidden="1">
      <c r="A661" s="1156"/>
      <c r="B661" s="1212" t="s">
        <v>1389</v>
      </c>
      <c r="C661" s="1253" t="s">
        <v>1388</v>
      </c>
      <c r="D661" s="1212"/>
      <c r="E661" s="1212" t="s">
        <v>11</v>
      </c>
      <c r="F661" s="1240">
        <v>6</v>
      </c>
      <c r="G661" s="1213">
        <f>'MINI SSR 21-22'!$G$152</f>
        <v>35</v>
      </c>
      <c r="H661" s="1214">
        <f t="shared" si="48"/>
        <v>210</v>
      </c>
      <c r="I661" s="1205" t="s">
        <v>2321</v>
      </c>
    </row>
    <row r="662" spans="1:12" hidden="1">
      <c r="A662" s="1212"/>
      <c r="B662" s="1212"/>
      <c r="C662" s="1255" t="s">
        <v>68</v>
      </c>
      <c r="D662" s="1212"/>
      <c r="E662" s="1212"/>
      <c r="F662" s="1213"/>
      <c r="G662" s="1217"/>
      <c r="H662" s="1214"/>
      <c r="I662" s="1205" t="s">
        <v>2321</v>
      </c>
    </row>
    <row r="663" spans="1:12" ht="25.5" hidden="1">
      <c r="A663" s="1212"/>
      <c r="B663" s="1212" t="s">
        <v>1391</v>
      </c>
      <c r="C663" s="1253" t="s">
        <v>1403</v>
      </c>
      <c r="D663" s="1212"/>
      <c r="E663" s="1212" t="s">
        <v>102</v>
      </c>
      <c r="F663" s="1213">
        <f>ROUND(0.9*2.1,2)</f>
        <v>1.89</v>
      </c>
      <c r="G663" s="1213">
        <f>'MINI SSR 21-22'!$C$150</f>
        <v>1546</v>
      </c>
      <c r="H663" s="1214">
        <f>ROUND(F663*G663*1/3,2)</f>
        <v>973.98</v>
      </c>
      <c r="I663" s="1205" t="s">
        <v>2321</v>
      </c>
      <c r="L663" s="1260"/>
    </row>
    <row r="664" spans="1:12" ht="13.5" hidden="1" thickBot="1">
      <c r="A664" s="1212"/>
      <c r="B664" s="1212"/>
      <c r="C664" s="1255"/>
      <c r="D664" s="1212"/>
      <c r="E664" s="1212"/>
      <c r="F664" s="1212"/>
      <c r="G664" s="1212"/>
      <c r="H664" s="1222">
        <f>SUM(H653:H663)</f>
        <v>9185.3799999999992</v>
      </c>
      <c r="I664" s="1205" t="s">
        <v>2321</v>
      </c>
      <c r="L664" s="1411">
        <f>SUM(L663)</f>
        <v>0</v>
      </c>
    </row>
    <row r="665" spans="1:12" ht="51" hidden="1">
      <c r="A665" s="1156">
        <v>7</v>
      </c>
      <c r="B665" s="1218"/>
      <c r="C665" s="1253" t="s">
        <v>1200</v>
      </c>
      <c r="D665" s="1212"/>
      <c r="E665" s="1212"/>
      <c r="F665" s="1212"/>
      <c r="G665" s="1212"/>
      <c r="H665" s="1215"/>
      <c r="I665" s="1205" t="s">
        <v>2321</v>
      </c>
    </row>
    <row r="666" spans="1:12" s="1256" customFormat="1" hidden="1">
      <c r="A666" s="1156"/>
      <c r="B666" s="1218"/>
      <c r="C666" s="1253" t="s">
        <v>695</v>
      </c>
      <c r="E666" s="1212" t="s">
        <v>35</v>
      </c>
      <c r="F666" s="1223">
        <v>8.0000000000000002E-3</v>
      </c>
      <c r="G666" s="1213">
        <f>'MINI SSR 21-22'!C144</f>
        <v>48500</v>
      </c>
      <c r="H666" s="1214">
        <f>ROUND(F666*G666,2)</f>
        <v>388</v>
      </c>
      <c r="I666" s="1205" t="s">
        <v>2321</v>
      </c>
      <c r="J666" s="1162"/>
    </row>
    <row r="667" spans="1:12" s="1256" customFormat="1" hidden="1">
      <c r="A667" s="1156"/>
      <c r="B667" s="1218"/>
      <c r="C667" s="1253" t="s">
        <v>1199</v>
      </c>
      <c r="E667" s="1212" t="s">
        <v>4</v>
      </c>
      <c r="F667" s="1223">
        <v>0.5</v>
      </c>
      <c r="G667" s="1213">
        <f>'lead 21-22'!L9/1000</f>
        <v>64.31</v>
      </c>
      <c r="H667" s="1214">
        <f>ROUND(F667*G667,2)</f>
        <v>32.159999999999997</v>
      </c>
      <c r="I667" s="1205" t="s">
        <v>2321</v>
      </c>
      <c r="J667" s="1162"/>
    </row>
    <row r="668" spans="1:12" s="1256" customFormat="1" hidden="1">
      <c r="A668" s="1156"/>
      <c r="B668" s="1218" t="s">
        <v>1407</v>
      </c>
      <c r="C668" s="1253" t="s">
        <v>1406</v>
      </c>
      <c r="E668" s="1212" t="s">
        <v>102</v>
      </c>
      <c r="F668" s="1223">
        <v>0.27</v>
      </c>
      <c r="G668" s="1213">
        <f>'MINI SSR 21-22'!G153</f>
        <v>373</v>
      </c>
      <c r="H668" s="1214">
        <f>ROUND(F668*G668,2)</f>
        <v>100.71</v>
      </c>
      <c r="I668" s="1205" t="s">
        <v>2321</v>
      </c>
      <c r="J668" s="1162"/>
    </row>
    <row r="669" spans="1:12" hidden="1">
      <c r="A669" s="1212"/>
      <c r="B669" s="1212"/>
      <c r="C669" s="1253"/>
      <c r="D669" s="1212"/>
      <c r="E669" s="1213"/>
      <c r="F669" s="1213"/>
      <c r="G669" s="1213"/>
      <c r="H669" s="1214"/>
      <c r="I669" s="1205" t="s">
        <v>2321</v>
      </c>
      <c r="L669" s="1260"/>
    </row>
    <row r="670" spans="1:12" ht="13.5" hidden="1" thickBot="1">
      <c r="A670" s="1212"/>
      <c r="B670" s="1212"/>
      <c r="C670" s="1255" t="s">
        <v>1405</v>
      </c>
      <c r="D670" s="1212"/>
      <c r="E670" s="1212"/>
      <c r="F670" s="1212"/>
      <c r="G670" s="1212"/>
      <c r="H670" s="1222">
        <f>SUM(H666:H669)</f>
        <v>520.87</v>
      </c>
      <c r="I670" s="1205" t="s">
        <v>2321</v>
      </c>
      <c r="L670" s="1411">
        <f>SUM(L669)</f>
        <v>0</v>
      </c>
    </row>
    <row r="671" spans="1:12" hidden="1">
      <c r="A671" s="1156">
        <v>2</v>
      </c>
      <c r="B671" s="1218"/>
      <c r="C671" s="1253" t="s">
        <v>932</v>
      </c>
      <c r="D671" s="1212"/>
      <c r="E671" s="1212"/>
      <c r="F671" s="1212"/>
      <c r="G671" s="1212"/>
      <c r="H671" s="1215"/>
      <c r="I671" s="1205" t="s">
        <v>2321</v>
      </c>
    </row>
    <row r="672" spans="1:12" hidden="1">
      <c r="A672" s="1212"/>
      <c r="B672" s="1212" t="s">
        <v>1408</v>
      </c>
      <c r="C672" s="1253" t="s">
        <v>379</v>
      </c>
      <c r="D672" s="1212" t="s">
        <v>102</v>
      </c>
      <c r="E672" s="1213">
        <v>1</v>
      </c>
      <c r="F672" s="1213">
        <f>'MINI SSR 21-22'!G154</f>
        <v>353</v>
      </c>
      <c r="G672" s="1213"/>
      <c r="H672" s="1214">
        <f>ROUND(E672*F672,2)</f>
        <v>353</v>
      </c>
      <c r="I672" s="1205" t="s">
        <v>2321</v>
      </c>
    </row>
    <row r="673" spans="1:12" hidden="1">
      <c r="A673" s="1212"/>
      <c r="B673" s="1212"/>
      <c r="C673" s="1253" t="s">
        <v>929</v>
      </c>
      <c r="D673" s="1156" t="s">
        <v>108</v>
      </c>
      <c r="E673" s="1221">
        <v>0.06</v>
      </c>
      <c r="F673" s="1221">
        <f>'MINI SSR 21-22'!H3</f>
        <v>585</v>
      </c>
      <c r="G673" s="1221"/>
      <c r="H673" s="1224">
        <f>ROUND(E673*F673,2)</f>
        <v>35.1</v>
      </c>
      <c r="I673" s="1205" t="s">
        <v>2321</v>
      </c>
    </row>
    <row r="674" spans="1:12" hidden="1">
      <c r="A674" s="1212"/>
      <c r="B674" s="1212"/>
      <c r="C674" s="1253" t="s">
        <v>930</v>
      </c>
      <c r="D674" s="1156" t="s">
        <v>108</v>
      </c>
      <c r="E674" s="1221">
        <v>0.06</v>
      </c>
      <c r="F674" s="1221">
        <f>'MINI SSR 21-22'!H4</f>
        <v>525</v>
      </c>
      <c r="G674" s="1221"/>
      <c r="H674" s="1224">
        <f>ROUND(E674*F674,2)</f>
        <v>31.5</v>
      </c>
      <c r="I674" s="1205" t="s">
        <v>2321</v>
      </c>
    </row>
    <row r="675" spans="1:12" hidden="1">
      <c r="A675" s="1212"/>
      <c r="B675" s="1212"/>
      <c r="C675" s="1254" t="s">
        <v>931</v>
      </c>
      <c r="D675" s="1156" t="s">
        <v>108</v>
      </c>
      <c r="E675" s="1166">
        <v>0.27500000000000002</v>
      </c>
      <c r="F675" s="1221">
        <f>'MINI SSR 21-22'!H5</f>
        <v>490</v>
      </c>
      <c r="G675" s="1221"/>
      <c r="H675" s="1224">
        <f>ROUND(E675*F675,2)</f>
        <v>134.75</v>
      </c>
      <c r="I675" s="1205" t="s">
        <v>2321</v>
      </c>
    </row>
    <row r="676" spans="1:12" hidden="1">
      <c r="A676" s="1212"/>
      <c r="B676" s="1212"/>
      <c r="C676" s="1255" t="s">
        <v>1404</v>
      </c>
      <c r="D676" s="1212"/>
      <c r="E676" s="1212"/>
      <c r="F676" s="1212"/>
      <c r="G676" s="1212"/>
      <c r="H676" s="1222">
        <f>SUM(H672:H675)</f>
        <v>554.35</v>
      </c>
      <c r="I676" s="1205" t="s">
        <v>2321</v>
      </c>
    </row>
    <row r="677" spans="1:12" ht="255" hidden="1">
      <c r="A677" s="1156">
        <v>3</v>
      </c>
      <c r="B677" s="1218"/>
      <c r="C677" s="1253" t="s">
        <v>910</v>
      </c>
      <c r="D677" s="1212"/>
      <c r="E677" s="1212"/>
      <c r="F677" s="1212"/>
      <c r="G677" s="1212"/>
      <c r="H677" s="1215"/>
      <c r="I677" s="1205" t="s">
        <v>2321</v>
      </c>
    </row>
    <row r="678" spans="1:12" hidden="1">
      <c r="A678" s="1212"/>
      <c r="B678" s="1212"/>
      <c r="C678" s="1253" t="s">
        <v>911</v>
      </c>
      <c r="D678" s="1212"/>
      <c r="E678" s="1223"/>
      <c r="F678" s="1213"/>
      <c r="G678" s="1213"/>
      <c r="H678" s="1214"/>
      <c r="I678" s="1205" t="s">
        <v>2321</v>
      </c>
    </row>
    <row r="679" spans="1:12" hidden="1">
      <c r="A679" s="1212"/>
      <c r="B679" s="1212" t="s">
        <v>1410</v>
      </c>
      <c r="C679" s="1253" t="s">
        <v>1409</v>
      </c>
      <c r="D679" s="1212"/>
      <c r="E679" s="1212" t="s">
        <v>277</v>
      </c>
      <c r="F679" s="1223">
        <v>6.7</v>
      </c>
      <c r="G679" s="1213">
        <f>'MINI SSR 21-22'!C147</f>
        <v>805</v>
      </c>
      <c r="H679" s="1214">
        <f t="shared" ref="H679:H686" si="49">ROUND(F679*G679,2)</f>
        <v>5393.5</v>
      </c>
      <c r="I679" s="1205" t="s">
        <v>2321</v>
      </c>
    </row>
    <row r="680" spans="1:12" hidden="1">
      <c r="A680" s="1212"/>
      <c r="B680" s="1212" t="s">
        <v>1412</v>
      </c>
      <c r="C680" s="1253" t="s">
        <v>1411</v>
      </c>
      <c r="D680" s="1212"/>
      <c r="E680" s="1212" t="s">
        <v>102</v>
      </c>
      <c r="F680" s="1223">
        <v>0.86899999999999999</v>
      </c>
      <c r="G680" s="1213">
        <f>'MINI SSR 21-22'!C151</f>
        <v>800</v>
      </c>
      <c r="H680" s="1214">
        <f t="shared" si="49"/>
        <v>695.2</v>
      </c>
      <c r="I680" s="1205" t="s">
        <v>2321</v>
      </c>
    </row>
    <row r="681" spans="1:12" hidden="1">
      <c r="A681" s="1212"/>
      <c r="B681" s="1212" t="s">
        <v>1393</v>
      </c>
      <c r="C681" s="1253" t="s">
        <v>379</v>
      </c>
      <c r="D681" s="1212"/>
      <c r="E681" s="1212" t="s">
        <v>102</v>
      </c>
      <c r="F681" s="1223">
        <f>ROUND(1.1*2.03,2)</f>
        <v>2.23</v>
      </c>
      <c r="G681" s="1213">
        <f>'MINI SSR 21-22'!C146</f>
        <v>3030</v>
      </c>
      <c r="H681" s="1214">
        <f t="shared" si="49"/>
        <v>6756.9</v>
      </c>
      <c r="I681" s="1205" t="s">
        <v>2321</v>
      </c>
    </row>
    <row r="682" spans="1:12" hidden="1">
      <c r="A682" s="1212"/>
      <c r="B682" s="1212" t="s">
        <v>1394</v>
      </c>
      <c r="C682" s="1253" t="s">
        <v>1413</v>
      </c>
      <c r="D682" s="1212"/>
      <c r="E682" s="1212" t="s">
        <v>102</v>
      </c>
      <c r="F682" s="1223">
        <v>1.6870000000000001</v>
      </c>
      <c r="G682" s="1213">
        <f>'MINI SSR 21-22'!C151</f>
        <v>800</v>
      </c>
      <c r="H682" s="1214">
        <f t="shared" si="49"/>
        <v>1349.6</v>
      </c>
      <c r="I682" s="1205" t="s">
        <v>2321</v>
      </c>
      <c r="L682" s="1260"/>
    </row>
    <row r="683" spans="1:12" hidden="1">
      <c r="A683" s="1156"/>
      <c r="B683" s="1218" t="s">
        <v>1415</v>
      </c>
      <c r="C683" s="1253" t="s">
        <v>1414</v>
      </c>
      <c r="D683" s="1212"/>
      <c r="E683" s="1212" t="s">
        <v>11</v>
      </c>
      <c r="F683" s="1240">
        <v>2</v>
      </c>
      <c r="G683" s="1213">
        <f>'MINI SSR 21-22'!G144</f>
        <v>103</v>
      </c>
      <c r="H683" s="1214">
        <f t="shared" si="49"/>
        <v>206</v>
      </c>
      <c r="I683" s="1205" t="s">
        <v>2321</v>
      </c>
    </row>
    <row r="684" spans="1:12" hidden="1">
      <c r="A684" s="1156"/>
      <c r="B684" s="1218" t="s">
        <v>1383</v>
      </c>
      <c r="C684" s="1253" t="s">
        <v>1382</v>
      </c>
      <c r="D684" s="1212"/>
      <c r="E684" s="1212" t="s">
        <v>11</v>
      </c>
      <c r="F684" s="1240">
        <v>2</v>
      </c>
      <c r="G684" s="1213">
        <f>'MINI SSR 21-22'!G147</f>
        <v>103</v>
      </c>
      <c r="H684" s="1214">
        <f t="shared" si="49"/>
        <v>206</v>
      </c>
      <c r="I684" s="1205" t="s">
        <v>2321</v>
      </c>
    </row>
    <row r="685" spans="1:12" hidden="1">
      <c r="A685" s="1156"/>
      <c r="B685" s="1218" t="s">
        <v>1400</v>
      </c>
      <c r="C685" s="1253" t="s">
        <v>1399</v>
      </c>
      <c r="D685" s="1212"/>
      <c r="E685" s="1212" t="s">
        <v>11</v>
      </c>
      <c r="F685" s="1240">
        <v>2</v>
      </c>
      <c r="G685" s="1213">
        <f>'MINI SSR 21-22'!G149</f>
        <v>308</v>
      </c>
      <c r="H685" s="1214">
        <f t="shared" si="49"/>
        <v>616</v>
      </c>
      <c r="I685" s="1205" t="s">
        <v>2321</v>
      </c>
    </row>
    <row r="686" spans="1:12" hidden="1">
      <c r="A686" s="1156"/>
      <c r="B686" s="1218"/>
      <c r="C686" s="1253" t="s">
        <v>912</v>
      </c>
      <c r="D686" s="1212"/>
      <c r="E686" s="1212" t="s">
        <v>11</v>
      </c>
      <c r="F686" s="1240">
        <v>1</v>
      </c>
      <c r="G686" s="1213">
        <f>'MINI SSR 21-22'!G155</f>
        <v>53</v>
      </c>
      <c r="H686" s="1214">
        <f t="shared" si="49"/>
        <v>53</v>
      </c>
      <c r="I686" s="1205" t="s">
        <v>2321</v>
      </c>
    </row>
    <row r="687" spans="1:12" hidden="1">
      <c r="A687" s="1212"/>
      <c r="B687" s="1212"/>
      <c r="C687" s="1253" t="s">
        <v>909</v>
      </c>
      <c r="D687" s="1212"/>
      <c r="E687" s="1213"/>
      <c r="F687" s="1213"/>
      <c r="G687" s="1213"/>
      <c r="H687" s="1222">
        <f>SUM(H679:H686)</f>
        <v>15276.199999999999</v>
      </c>
      <c r="I687" s="1205" t="s">
        <v>2321</v>
      </c>
    </row>
    <row r="688" spans="1:12" hidden="1">
      <c r="A688" s="1212"/>
      <c r="B688" s="1212"/>
      <c r="C688" s="1253" t="s">
        <v>121</v>
      </c>
      <c r="D688" s="1212"/>
      <c r="E688" s="1212"/>
      <c r="F688" s="1212"/>
      <c r="G688" s="1212"/>
      <c r="H688" s="1222">
        <f>ROUND(H687/2.556,2)</f>
        <v>5976.6</v>
      </c>
      <c r="I688" s="1205" t="s">
        <v>2321</v>
      </c>
    </row>
    <row r="689" spans="1:12" ht="255" hidden="1">
      <c r="A689" s="1156">
        <v>2</v>
      </c>
      <c r="B689" s="1218"/>
      <c r="C689" s="1253" t="s">
        <v>910</v>
      </c>
      <c r="D689" s="1212"/>
      <c r="E689" s="1212"/>
      <c r="F689" s="1212"/>
      <c r="G689" s="1212"/>
      <c r="H689" s="1215"/>
      <c r="I689" s="1205" t="s">
        <v>2321</v>
      </c>
    </row>
    <row r="690" spans="1:12" hidden="1">
      <c r="A690" s="1212"/>
      <c r="B690" s="1212"/>
      <c r="C690" s="1253" t="s">
        <v>911</v>
      </c>
      <c r="D690" s="1212"/>
      <c r="E690" s="1223"/>
      <c r="F690" s="1213"/>
      <c r="G690" s="1213"/>
      <c r="H690" s="1214"/>
      <c r="I690" s="1205" t="s">
        <v>2321</v>
      </c>
    </row>
    <row r="691" spans="1:12" hidden="1">
      <c r="A691" s="1212"/>
      <c r="B691" s="1212" t="s">
        <v>1410</v>
      </c>
      <c r="C691" s="1253" t="s">
        <v>1409</v>
      </c>
      <c r="D691" s="1212"/>
      <c r="E691" s="1212" t="s">
        <v>277</v>
      </c>
      <c r="F691" s="1223">
        <v>5.45</v>
      </c>
      <c r="G691" s="1213">
        <f t="shared" ref="G691:G698" si="50">G679</f>
        <v>805</v>
      </c>
      <c r="H691" s="1214">
        <f t="shared" ref="H691:H698" si="51">ROUND(F691*G691,2)</f>
        <v>4387.25</v>
      </c>
      <c r="I691" s="1205" t="s">
        <v>2321</v>
      </c>
    </row>
    <row r="692" spans="1:12" hidden="1">
      <c r="A692" s="1212"/>
      <c r="B692" s="1212" t="s">
        <v>1412</v>
      </c>
      <c r="C692" s="1253" t="s">
        <v>1411</v>
      </c>
      <c r="D692" s="1212"/>
      <c r="E692" s="1212" t="s">
        <v>102</v>
      </c>
      <c r="F692" s="1223">
        <v>0.86899999999999999</v>
      </c>
      <c r="G692" s="1213">
        <f t="shared" si="50"/>
        <v>800</v>
      </c>
      <c r="H692" s="1214">
        <f t="shared" si="51"/>
        <v>695.2</v>
      </c>
      <c r="I692" s="1205" t="s">
        <v>2321</v>
      </c>
    </row>
    <row r="693" spans="1:12" hidden="1">
      <c r="A693" s="1212"/>
      <c r="B693" s="1212" t="s">
        <v>1393</v>
      </c>
      <c r="C693" s="1253" t="s">
        <v>379</v>
      </c>
      <c r="D693" s="1212"/>
      <c r="E693" s="1212" t="s">
        <v>102</v>
      </c>
      <c r="F693" s="1223">
        <f>ROUND(1.1*2.03,2)</f>
        <v>2.23</v>
      </c>
      <c r="G693" s="1213">
        <f t="shared" si="50"/>
        <v>3030</v>
      </c>
      <c r="H693" s="1214">
        <f t="shared" si="51"/>
        <v>6756.9</v>
      </c>
      <c r="I693" s="1205" t="s">
        <v>2321</v>
      </c>
    </row>
    <row r="694" spans="1:12" hidden="1">
      <c r="A694" s="1212"/>
      <c r="B694" s="1212" t="s">
        <v>1394</v>
      </c>
      <c r="C694" s="1253" t="s">
        <v>1413</v>
      </c>
      <c r="D694" s="1212"/>
      <c r="E694" s="1212" t="s">
        <v>102</v>
      </c>
      <c r="F694" s="1223">
        <v>1.6870000000000001</v>
      </c>
      <c r="G694" s="1213">
        <f t="shared" si="50"/>
        <v>800</v>
      </c>
      <c r="H694" s="1214">
        <f t="shared" si="51"/>
        <v>1349.6</v>
      </c>
      <c r="I694" s="1205" t="s">
        <v>2321</v>
      </c>
      <c r="L694" s="1260"/>
    </row>
    <row r="695" spans="1:12" hidden="1">
      <c r="A695" s="1156"/>
      <c r="B695" s="1218" t="s">
        <v>1415</v>
      </c>
      <c r="C695" s="1253" t="s">
        <v>1414</v>
      </c>
      <c r="D695" s="1212"/>
      <c r="E695" s="1212" t="s">
        <v>11</v>
      </c>
      <c r="F695" s="1240">
        <v>2</v>
      </c>
      <c r="G695" s="1213">
        <f t="shared" si="50"/>
        <v>103</v>
      </c>
      <c r="H695" s="1214">
        <f t="shared" si="51"/>
        <v>206</v>
      </c>
      <c r="I695" s="1205" t="s">
        <v>2321</v>
      </c>
    </row>
    <row r="696" spans="1:12" hidden="1">
      <c r="A696" s="1156"/>
      <c r="B696" s="1218" t="s">
        <v>1383</v>
      </c>
      <c r="C696" s="1253" t="s">
        <v>1382</v>
      </c>
      <c r="D696" s="1212"/>
      <c r="E696" s="1212" t="s">
        <v>11</v>
      </c>
      <c r="F696" s="1240">
        <v>4</v>
      </c>
      <c r="G696" s="1213">
        <f t="shared" si="50"/>
        <v>103</v>
      </c>
      <c r="H696" s="1214">
        <f t="shared" si="51"/>
        <v>412</v>
      </c>
      <c r="I696" s="1205" t="s">
        <v>2321</v>
      </c>
    </row>
    <row r="697" spans="1:12" hidden="1">
      <c r="A697" s="1156"/>
      <c r="B697" s="1218" t="s">
        <v>1400</v>
      </c>
      <c r="C697" s="1253" t="s">
        <v>1399</v>
      </c>
      <c r="D697" s="1212"/>
      <c r="E697" s="1212" t="s">
        <v>11</v>
      </c>
      <c r="F697" s="1240">
        <v>2</v>
      </c>
      <c r="G697" s="1213">
        <f t="shared" si="50"/>
        <v>308</v>
      </c>
      <c r="H697" s="1214">
        <f t="shared" si="51"/>
        <v>616</v>
      </c>
      <c r="I697" s="1205" t="s">
        <v>2321</v>
      </c>
    </row>
    <row r="698" spans="1:12" hidden="1">
      <c r="A698" s="1156"/>
      <c r="B698" s="1218"/>
      <c r="C698" s="1253" t="s">
        <v>912</v>
      </c>
      <c r="D698" s="1212"/>
      <c r="E698" s="1212" t="s">
        <v>11</v>
      </c>
      <c r="F698" s="1240">
        <v>1</v>
      </c>
      <c r="G698" s="1213">
        <f t="shared" si="50"/>
        <v>53</v>
      </c>
      <c r="H698" s="1214">
        <f t="shared" si="51"/>
        <v>53</v>
      </c>
      <c r="I698" s="1205" t="s">
        <v>2321</v>
      </c>
    </row>
    <row r="699" spans="1:12" hidden="1">
      <c r="A699" s="1212"/>
      <c r="B699" s="1212"/>
      <c r="C699" s="1253" t="s">
        <v>909</v>
      </c>
      <c r="D699" s="1212"/>
      <c r="E699" s="1213"/>
      <c r="F699" s="1213"/>
      <c r="G699" s="1213"/>
      <c r="H699" s="1222">
        <f>SUM(H691:H698)</f>
        <v>14475.949999999999</v>
      </c>
      <c r="I699" s="1205" t="s">
        <v>2321</v>
      </c>
    </row>
    <row r="700" spans="1:12" hidden="1">
      <c r="A700" s="1212"/>
      <c r="B700" s="1212"/>
      <c r="C700" s="1253" t="s">
        <v>121</v>
      </c>
      <c r="D700" s="1212"/>
      <c r="E700" s="1212"/>
      <c r="F700" s="1212"/>
      <c r="G700" s="1212"/>
      <c r="H700" s="1222">
        <f>ROUND(H699/2.556,2)</f>
        <v>5663.52</v>
      </c>
      <c r="I700" s="1205" t="s">
        <v>2321</v>
      </c>
    </row>
    <row r="701" spans="1:12" ht="336" hidden="1">
      <c r="A701" s="1156">
        <v>4</v>
      </c>
      <c r="B701" s="1218"/>
      <c r="C701" s="1414" t="s">
        <v>717</v>
      </c>
      <c r="D701" s="1212"/>
      <c r="E701" s="1212"/>
      <c r="F701" s="1212"/>
      <c r="G701" s="1212"/>
      <c r="H701" s="1215"/>
      <c r="I701" s="1205" t="s">
        <v>2321</v>
      </c>
    </row>
    <row r="702" spans="1:12" hidden="1">
      <c r="A702" s="1212"/>
      <c r="B702" s="1212" t="s">
        <v>1417</v>
      </c>
      <c r="C702" s="1253" t="s">
        <v>1416</v>
      </c>
      <c r="D702" s="1212" t="s">
        <v>102</v>
      </c>
      <c r="E702" s="1213">
        <v>1</v>
      </c>
      <c r="F702" s="1213">
        <f>'MINI SSR 21-22'!C153</f>
        <v>6038</v>
      </c>
      <c r="G702" s="1213"/>
      <c r="H702" s="1214">
        <f>ROUND(E702*F702,2)</f>
        <v>6038</v>
      </c>
      <c r="I702" s="1205" t="s">
        <v>2321</v>
      </c>
    </row>
    <row r="703" spans="1:12" hidden="1">
      <c r="A703" s="1212"/>
      <c r="B703" s="1212"/>
      <c r="C703" s="1255"/>
      <c r="D703" s="1212"/>
      <c r="E703" s="1212"/>
      <c r="F703" s="1212"/>
      <c r="G703" s="1212"/>
      <c r="H703" s="1222">
        <f>SUM(H702:H702)</f>
        <v>6038</v>
      </c>
      <c r="I703" s="1205" t="s">
        <v>2321</v>
      </c>
    </row>
    <row r="704" spans="1:12" hidden="1">
      <c r="A704" s="1212">
        <v>5</v>
      </c>
      <c r="B704" s="1212" t="s">
        <v>1417</v>
      </c>
      <c r="C704" s="1253" t="s">
        <v>1418</v>
      </c>
      <c r="D704" s="1212" t="s">
        <v>102</v>
      </c>
      <c r="E704" s="1213">
        <v>1</v>
      </c>
      <c r="F704" s="1213">
        <f>'MINI SSR 21-22'!C152</f>
        <v>8058</v>
      </c>
      <c r="G704" s="1213"/>
      <c r="H704" s="1214">
        <f>ROUND(E704*F704,2)</f>
        <v>8058</v>
      </c>
      <c r="I704" s="1205" t="s">
        <v>2321</v>
      </c>
    </row>
    <row r="705" spans="1:10" hidden="1">
      <c r="A705" s="1212"/>
      <c r="B705" s="1212"/>
      <c r="C705" s="1255"/>
      <c r="D705" s="1212"/>
      <c r="E705" s="1212"/>
      <c r="F705" s="1212"/>
      <c r="G705" s="1212"/>
      <c r="H705" s="1222">
        <f>SUM(H704:H704)</f>
        <v>8058</v>
      </c>
      <c r="I705" s="1205" t="s">
        <v>2321</v>
      </c>
    </row>
    <row r="706" spans="1:10" hidden="1">
      <c r="A706" s="1212">
        <v>6</v>
      </c>
      <c r="B706" s="1212" t="s">
        <v>1420</v>
      </c>
      <c r="C706" s="1253" t="s">
        <v>1419</v>
      </c>
      <c r="D706" s="1212" t="s">
        <v>102</v>
      </c>
      <c r="E706" s="1213">
        <v>1</v>
      </c>
      <c r="F706" s="1213">
        <f>'MINI SSR 21-22'!C154</f>
        <v>5830</v>
      </c>
      <c r="G706" s="1213"/>
      <c r="H706" s="1214">
        <f>ROUND(E706*F706,2)</f>
        <v>5830</v>
      </c>
      <c r="I706" s="1205" t="s">
        <v>2321</v>
      </c>
    </row>
    <row r="707" spans="1:10" hidden="1">
      <c r="A707" s="1212"/>
      <c r="B707" s="1212"/>
      <c r="C707" s="1255"/>
      <c r="D707" s="1212"/>
      <c r="E707" s="1212"/>
      <c r="F707" s="1212"/>
      <c r="G707" s="1212"/>
      <c r="H707" s="1222">
        <f>SUM(H706:H706)</f>
        <v>5830</v>
      </c>
      <c r="I707" s="1205" t="s">
        <v>2321</v>
      </c>
    </row>
    <row r="708" spans="1:10" ht="38.25" hidden="1">
      <c r="A708" s="1156">
        <v>3</v>
      </c>
      <c r="B708" s="1218"/>
      <c r="C708" s="1253" t="s">
        <v>2293</v>
      </c>
      <c r="D708" s="1212"/>
      <c r="E708" s="1212"/>
      <c r="F708" s="1212"/>
      <c r="G708" s="1212"/>
      <c r="H708" s="1215"/>
      <c r="I708" s="1205" t="s">
        <v>2321</v>
      </c>
    </row>
    <row r="709" spans="1:10" hidden="1">
      <c r="A709" s="1212"/>
      <c r="B709" s="1212" t="s">
        <v>2291</v>
      </c>
      <c r="C709" s="1253" t="s">
        <v>1416</v>
      </c>
      <c r="D709" s="1212" t="s">
        <v>102</v>
      </c>
      <c r="E709" s="1213">
        <v>1</v>
      </c>
      <c r="F709" s="1213">
        <f>'MINI SSR 21-22'!C156</f>
        <v>3797</v>
      </c>
      <c r="G709" s="1213"/>
      <c r="H709" s="1214">
        <f>ROUND(E709*F709,2)</f>
        <v>3797</v>
      </c>
      <c r="I709" s="1205" t="s">
        <v>2321</v>
      </c>
    </row>
    <row r="710" spans="1:10" hidden="1">
      <c r="A710" s="1212"/>
      <c r="B710" s="1212"/>
      <c r="C710" s="1255"/>
      <c r="D710" s="1212"/>
      <c r="E710" s="1212"/>
      <c r="F710" s="1212"/>
      <c r="G710" s="1212"/>
      <c r="H710" s="1222">
        <f>SUM(H709:H709)</f>
        <v>3797</v>
      </c>
      <c r="I710" s="1205" t="s">
        <v>2321</v>
      </c>
    </row>
    <row r="711" spans="1:10" hidden="1">
      <c r="A711" s="1212"/>
      <c r="B711" s="1212"/>
      <c r="C711" s="1259" t="s">
        <v>2320</v>
      </c>
      <c r="D711" s="1212"/>
      <c r="E711" s="1212"/>
      <c r="F711" s="1212"/>
      <c r="G711" s="1212"/>
      <c r="H711" s="1222"/>
      <c r="I711" s="1205" t="s">
        <v>2322</v>
      </c>
    </row>
    <row r="712" spans="1:10" ht="127.5" hidden="1">
      <c r="A712" s="1156">
        <v>1</v>
      </c>
      <c r="B712" s="1218"/>
      <c r="C712" s="1253" t="s">
        <v>1309</v>
      </c>
      <c r="D712" s="1212"/>
      <c r="E712" s="1212"/>
      <c r="F712" s="1212"/>
      <c r="G712" s="1212"/>
      <c r="H712" s="1215"/>
      <c r="I712" s="1205" t="s">
        <v>2322</v>
      </c>
    </row>
    <row r="713" spans="1:10" hidden="1">
      <c r="A713" s="1156"/>
      <c r="B713" s="1218"/>
      <c r="C713" s="1255" t="s">
        <v>100</v>
      </c>
      <c r="D713" s="1212"/>
      <c r="E713" s="1212"/>
      <c r="F713" s="1212"/>
      <c r="G713" s="1212"/>
      <c r="H713" s="1215"/>
      <c r="I713" s="1205" t="s">
        <v>2322</v>
      </c>
    </row>
    <row r="714" spans="1:10" s="1256" customFormat="1" hidden="1">
      <c r="A714" s="1156"/>
      <c r="B714" s="1218"/>
      <c r="C714" s="1255" t="s">
        <v>594</v>
      </c>
      <c r="D714" s="1212"/>
      <c r="E714" s="1212"/>
      <c r="F714" s="1212"/>
      <c r="G714" s="1212"/>
      <c r="H714" s="1215"/>
      <c r="I714" s="1205" t="s">
        <v>2322</v>
      </c>
      <c r="J714" s="1162"/>
    </row>
    <row r="715" spans="1:10" s="1256" customFormat="1" hidden="1">
      <c r="A715" s="1156"/>
      <c r="B715" s="1218"/>
      <c r="C715" s="1253" t="s">
        <v>2</v>
      </c>
      <c r="D715" s="1406">
        <v>2</v>
      </c>
      <c r="E715" s="1407">
        <v>1.9</v>
      </c>
      <c r="F715" s="1408">
        <v>0.1</v>
      </c>
      <c r="G715" s="1408">
        <v>7.4999999999999997E-2</v>
      </c>
      <c r="H715" s="1409">
        <f>ROUND(D715*E715*F715*G715,4)</f>
        <v>2.8500000000000001E-2</v>
      </c>
      <c r="I715" s="1205" t="s">
        <v>2322</v>
      </c>
      <c r="J715" s="1162"/>
    </row>
    <row r="716" spans="1:10" s="1256" customFormat="1" hidden="1">
      <c r="A716" s="1156"/>
      <c r="B716" s="1218"/>
      <c r="C716" s="1253" t="s">
        <v>741</v>
      </c>
      <c r="D716" s="1406">
        <v>2</v>
      </c>
      <c r="E716" s="1407">
        <v>1.2</v>
      </c>
      <c r="F716" s="1408">
        <v>0.1</v>
      </c>
      <c r="G716" s="1408">
        <v>7.4999999999999997E-2</v>
      </c>
      <c r="H716" s="1409">
        <f>ROUND(D716*E716*F716*G716,4)</f>
        <v>1.7999999999999999E-2</v>
      </c>
      <c r="I716" s="1205" t="s">
        <v>2322</v>
      </c>
      <c r="J716" s="1162"/>
    </row>
    <row r="717" spans="1:10" s="1256" customFormat="1" hidden="1">
      <c r="A717" s="1156"/>
      <c r="B717" s="1218"/>
      <c r="C717" s="1255"/>
      <c r="D717" s="1212"/>
      <c r="E717" s="1212"/>
      <c r="F717" s="1212"/>
      <c r="G717" s="1212"/>
      <c r="H717" s="1410">
        <f>SUM(H715:H716)</f>
        <v>4.65E-2</v>
      </c>
      <c r="I717" s="1205" t="s">
        <v>2322</v>
      </c>
      <c r="J717" s="1162"/>
    </row>
    <row r="718" spans="1:10" s="1256" customFormat="1" hidden="1">
      <c r="A718" s="1156"/>
      <c r="B718" s="1218"/>
      <c r="C718" s="1255" t="s">
        <v>320</v>
      </c>
      <c r="D718" s="1406">
        <v>2</v>
      </c>
      <c r="E718" s="1407">
        <v>1.95</v>
      </c>
      <c r="F718" s="1408">
        <v>0.52</v>
      </c>
      <c r="G718" s="1408">
        <v>0.03</v>
      </c>
      <c r="H718" s="1409">
        <f>ROUND(D718*E718*F718*G718,4)</f>
        <v>6.08E-2</v>
      </c>
      <c r="I718" s="1205" t="s">
        <v>2322</v>
      </c>
      <c r="J718" s="1162"/>
    </row>
    <row r="719" spans="1:10" s="1256" customFormat="1" hidden="1">
      <c r="A719" s="1156"/>
      <c r="B719" s="1218"/>
      <c r="C719" s="1255"/>
      <c r="D719" s="1212"/>
      <c r="E719" s="1212"/>
      <c r="F719" s="1212"/>
      <c r="G719" s="1212"/>
      <c r="H719" s="1410">
        <f>SUM(H718)</f>
        <v>6.08E-2</v>
      </c>
      <c r="I719" s="1205" t="s">
        <v>2322</v>
      </c>
      <c r="J719" s="1162"/>
    </row>
    <row r="720" spans="1:10" s="1256" customFormat="1" hidden="1">
      <c r="A720" s="1156"/>
      <c r="B720" s="1218" t="s">
        <v>1375</v>
      </c>
      <c r="C720" s="1253" t="s">
        <v>1374</v>
      </c>
      <c r="D720" s="1212"/>
      <c r="E720" s="1212" t="s">
        <v>35</v>
      </c>
      <c r="F720" s="1226">
        <f>H717</f>
        <v>4.65E-2</v>
      </c>
      <c r="G720" s="1213">
        <f>'MINI SSR 2022-23'!C142</f>
        <v>81950</v>
      </c>
      <c r="H720" s="1214">
        <f t="shared" ref="H720:H727" si="52">ROUND(F720*G720,2)</f>
        <v>3810.68</v>
      </c>
      <c r="I720" s="1205" t="s">
        <v>2322</v>
      </c>
      <c r="J720" s="1162"/>
    </row>
    <row r="721" spans="1:12" s="1256" customFormat="1" hidden="1">
      <c r="A721" s="1156"/>
      <c r="B721" s="1218" t="s">
        <v>1377</v>
      </c>
      <c r="C721" s="1253" t="s">
        <v>1376</v>
      </c>
      <c r="D721" s="1212"/>
      <c r="E721" s="1212" t="s">
        <v>35</v>
      </c>
      <c r="F721" s="1226">
        <f>H719</f>
        <v>6.08E-2</v>
      </c>
      <c r="G721" s="1213">
        <f>'MINI SSR 2022-23'!C143</f>
        <v>160920</v>
      </c>
      <c r="H721" s="1214">
        <f t="shared" si="52"/>
        <v>9783.94</v>
      </c>
      <c r="I721" s="1205" t="s">
        <v>2322</v>
      </c>
      <c r="J721" s="1162"/>
    </row>
    <row r="722" spans="1:12" s="1256" customFormat="1" hidden="1">
      <c r="A722" s="1156"/>
      <c r="B722" s="1218" t="s">
        <v>1379</v>
      </c>
      <c r="C722" s="1253" t="s">
        <v>1378</v>
      </c>
      <c r="D722" s="1212"/>
      <c r="E722" s="1212" t="s">
        <v>11</v>
      </c>
      <c r="F722" s="1240">
        <v>2</v>
      </c>
      <c r="G722" s="1213">
        <f>'MINI SSR 2022-23'!G142</f>
        <v>255</v>
      </c>
      <c r="H722" s="1214">
        <f t="shared" si="52"/>
        <v>510</v>
      </c>
      <c r="I722" s="1205" t="s">
        <v>2322</v>
      </c>
      <c r="J722" s="1162"/>
    </row>
    <row r="723" spans="1:12" hidden="1">
      <c r="A723" s="1156"/>
      <c r="B723" s="1218" t="s">
        <v>1381</v>
      </c>
      <c r="C723" s="1253" t="s">
        <v>1380</v>
      </c>
      <c r="D723" s="1212"/>
      <c r="E723" s="1212" t="s">
        <v>11</v>
      </c>
      <c r="F723" s="1240">
        <v>6</v>
      </c>
      <c r="G723" s="1213">
        <f>'MINI SSR 2022-23'!G145</f>
        <v>273</v>
      </c>
      <c r="H723" s="1214">
        <f t="shared" si="52"/>
        <v>1638</v>
      </c>
      <c r="I723" s="1205" t="s">
        <v>2322</v>
      </c>
    </row>
    <row r="724" spans="1:12" hidden="1">
      <c r="A724" s="1156"/>
      <c r="B724" s="1218" t="s">
        <v>1383</v>
      </c>
      <c r="C724" s="1253" t="s">
        <v>1382</v>
      </c>
      <c r="D724" s="1212"/>
      <c r="E724" s="1212" t="s">
        <v>11</v>
      </c>
      <c r="F724" s="1240"/>
      <c r="G724" s="1213">
        <f>'MINI SSR 2022-23'!G144</f>
        <v>108</v>
      </c>
      <c r="H724" s="1214">
        <f t="shared" si="52"/>
        <v>0</v>
      </c>
      <c r="I724" s="1205" t="s">
        <v>2322</v>
      </c>
    </row>
    <row r="725" spans="1:12" hidden="1">
      <c r="A725" s="1156"/>
      <c r="B725" s="1218" t="s">
        <v>1385</v>
      </c>
      <c r="C725" s="1253" t="s">
        <v>1384</v>
      </c>
      <c r="D725" s="1212"/>
      <c r="E725" s="1212" t="s">
        <v>11</v>
      </c>
      <c r="F725" s="1240">
        <v>2</v>
      </c>
      <c r="G725" s="1213">
        <f>'MINI SSR 2022-23'!G148</f>
        <v>1195</v>
      </c>
      <c r="H725" s="1214">
        <f t="shared" si="52"/>
        <v>2390</v>
      </c>
      <c r="I725" s="1205" t="s">
        <v>2322</v>
      </c>
    </row>
    <row r="726" spans="1:12" hidden="1">
      <c r="A726" s="1156"/>
      <c r="B726" s="1218" t="s">
        <v>1387</v>
      </c>
      <c r="C726" s="1253" t="s">
        <v>1386</v>
      </c>
      <c r="D726" s="1212"/>
      <c r="E726" s="1212" t="s">
        <v>11</v>
      </c>
      <c r="F726" s="1240">
        <v>1</v>
      </c>
      <c r="G726" s="1213">
        <f>'MINI SSR 2022-23'!G150</f>
        <v>185</v>
      </c>
      <c r="H726" s="1214">
        <f t="shared" si="52"/>
        <v>185</v>
      </c>
      <c r="I726" s="1205" t="s">
        <v>2322</v>
      </c>
    </row>
    <row r="727" spans="1:12" hidden="1">
      <c r="A727" s="1156"/>
      <c r="B727" s="1218" t="s">
        <v>1389</v>
      </c>
      <c r="C727" s="1253" t="s">
        <v>1388</v>
      </c>
      <c r="D727" s="1212"/>
      <c r="E727" s="1212" t="s">
        <v>11</v>
      </c>
      <c r="F727" s="1240">
        <v>6</v>
      </c>
      <c r="G727" s="1213">
        <f>'MINI SSR 2022-23'!G152</f>
        <v>39</v>
      </c>
      <c r="H727" s="1214">
        <f t="shared" si="52"/>
        <v>234</v>
      </c>
      <c r="I727" s="1205" t="s">
        <v>2322</v>
      </c>
    </row>
    <row r="728" spans="1:12" hidden="1">
      <c r="A728" s="1212"/>
      <c r="B728" s="1212"/>
      <c r="C728" s="1255" t="s">
        <v>68</v>
      </c>
      <c r="D728" s="1212"/>
      <c r="E728" s="1212"/>
      <c r="F728" s="1213"/>
      <c r="G728" s="1217"/>
      <c r="H728" s="1214"/>
      <c r="I728" s="1205" t="s">
        <v>2322</v>
      </c>
    </row>
    <row r="729" spans="1:12" hidden="1">
      <c r="A729" s="1212"/>
      <c r="B729" s="1212" t="s">
        <v>1391</v>
      </c>
      <c r="C729" s="1253" t="s">
        <v>1390</v>
      </c>
      <c r="D729" s="1212"/>
      <c r="E729" s="1212" t="s">
        <v>102</v>
      </c>
      <c r="F729" s="1213">
        <f>ROUND(1.2*2.1,2)</f>
        <v>2.52</v>
      </c>
      <c r="G729" s="1213">
        <f>'MINI SSR 2022-23'!C149</f>
        <v>1727</v>
      </c>
      <c r="H729" s="1214">
        <f>ROUND(F729*G729,2)</f>
        <v>4352.04</v>
      </c>
      <c r="I729" s="1205" t="s">
        <v>2322</v>
      </c>
      <c r="L729" s="1260">
        <f>H729</f>
        <v>4352.04</v>
      </c>
    </row>
    <row r="730" spans="1:12" ht="13.5" hidden="1" thickBot="1">
      <c r="A730" s="1212"/>
      <c r="B730" s="1212"/>
      <c r="C730" s="1255"/>
      <c r="D730" s="1212"/>
      <c r="E730" s="1212"/>
      <c r="F730" s="1212"/>
      <c r="G730" s="1212"/>
      <c r="H730" s="1222">
        <f>SUM(H720:H729)</f>
        <v>22903.660000000003</v>
      </c>
      <c r="I730" s="1205" t="s">
        <v>2322</v>
      </c>
      <c r="L730" s="1411">
        <f>SUM(L729)</f>
        <v>4352.04</v>
      </c>
    </row>
    <row r="731" spans="1:12" ht="127.5" hidden="1">
      <c r="A731" s="1156">
        <v>2</v>
      </c>
      <c r="B731" s="1218"/>
      <c r="C731" s="1253" t="s">
        <v>1310</v>
      </c>
      <c r="D731" s="1212"/>
      <c r="E731" s="1212"/>
      <c r="F731" s="1212"/>
      <c r="G731" s="1212"/>
      <c r="H731" s="1215"/>
      <c r="I731" s="1205" t="s">
        <v>2322</v>
      </c>
    </row>
    <row r="732" spans="1:12" hidden="1">
      <c r="A732" s="1156"/>
      <c r="B732" s="1218"/>
      <c r="C732" s="1255" t="s">
        <v>100</v>
      </c>
      <c r="D732" s="1212"/>
      <c r="E732" s="1212"/>
      <c r="F732" s="1212"/>
      <c r="G732" s="1212"/>
      <c r="H732" s="1215"/>
      <c r="I732" s="1205" t="s">
        <v>2322</v>
      </c>
    </row>
    <row r="733" spans="1:12" s="1256" customFormat="1" hidden="1">
      <c r="A733" s="1156"/>
      <c r="B733" s="1218"/>
      <c r="C733" s="1255" t="s">
        <v>1</v>
      </c>
      <c r="D733" s="1212"/>
      <c r="E733" s="1212"/>
      <c r="F733" s="1212"/>
      <c r="G733" s="1212"/>
      <c r="H733" s="1215"/>
      <c r="I733" s="1205" t="s">
        <v>2322</v>
      </c>
      <c r="J733" s="1162"/>
    </row>
    <row r="734" spans="1:12" s="1256" customFormat="1" hidden="1">
      <c r="A734" s="1156"/>
      <c r="B734" s="1218"/>
      <c r="C734" s="1253" t="s">
        <v>2</v>
      </c>
      <c r="D734" s="1406">
        <v>2</v>
      </c>
      <c r="E734" s="1407">
        <v>1.9</v>
      </c>
      <c r="F734" s="1408">
        <v>0.1</v>
      </c>
      <c r="G734" s="1408">
        <v>7.4999999999999997E-2</v>
      </c>
      <c r="H734" s="1409">
        <f>ROUND(D734*E734*F734*G734,4)</f>
        <v>2.8500000000000001E-2</v>
      </c>
      <c r="I734" s="1205" t="s">
        <v>2322</v>
      </c>
      <c r="J734" s="1162"/>
    </row>
    <row r="735" spans="1:12" s="1256" customFormat="1" hidden="1">
      <c r="A735" s="1156"/>
      <c r="B735" s="1218"/>
      <c r="C735" s="1253" t="s">
        <v>741</v>
      </c>
      <c r="D735" s="1406">
        <v>1</v>
      </c>
      <c r="E735" s="1407">
        <v>1.2</v>
      </c>
      <c r="F735" s="1408">
        <v>0.1</v>
      </c>
      <c r="G735" s="1408">
        <v>7.4999999999999997E-2</v>
      </c>
      <c r="H735" s="1409">
        <f>ROUND(D735*E735*F735*G735,4)</f>
        <v>8.9999999999999993E-3</v>
      </c>
      <c r="I735" s="1205" t="s">
        <v>2322</v>
      </c>
      <c r="J735" s="1162"/>
    </row>
    <row r="736" spans="1:12" s="1256" customFormat="1" hidden="1">
      <c r="A736" s="1156"/>
      <c r="B736" s="1218"/>
      <c r="C736" s="1255"/>
      <c r="D736" s="1212"/>
      <c r="E736" s="1212"/>
      <c r="F736" s="1212"/>
      <c r="G736" s="1212"/>
      <c r="H736" s="1410">
        <f>SUM(H734:H735)</f>
        <v>3.7499999999999999E-2</v>
      </c>
      <c r="I736" s="1205" t="s">
        <v>2322</v>
      </c>
      <c r="J736" s="1162"/>
    </row>
    <row r="737" spans="1:12" s="1256" customFormat="1" hidden="1">
      <c r="A737" s="1156"/>
      <c r="B737" s="1218" t="s">
        <v>1687</v>
      </c>
      <c r="C737" s="1253" t="s">
        <v>1688</v>
      </c>
      <c r="E737" s="1212" t="s">
        <v>35</v>
      </c>
      <c r="F737" s="1226">
        <f>H736</f>
        <v>3.7499999999999999E-2</v>
      </c>
      <c r="G737" s="1213">
        <f>'MINI SSR 2022-23'!$C$144</f>
        <v>51000</v>
      </c>
      <c r="H737" s="1214">
        <f t="shared" ref="H737:H745" si="53">ROUND(F737*G737,2)</f>
        <v>1912.5</v>
      </c>
      <c r="I737" s="1205" t="s">
        <v>2322</v>
      </c>
      <c r="J737" s="1162"/>
    </row>
    <row r="738" spans="1:12" s="1256" customFormat="1" hidden="1">
      <c r="A738" s="1156"/>
      <c r="B738" s="1212" t="s">
        <v>2099</v>
      </c>
      <c r="C738" s="1253" t="s">
        <v>2100</v>
      </c>
      <c r="D738" s="1212"/>
      <c r="E738" s="1212" t="s">
        <v>102</v>
      </c>
      <c r="F738" s="1226">
        <f>ROUND(1.05*1.995,2)</f>
        <v>2.09</v>
      </c>
      <c r="G738" s="1213">
        <f>'MINI SSR 2022-23'!$C$148</f>
        <v>2000</v>
      </c>
      <c r="H738" s="1214">
        <f t="shared" si="53"/>
        <v>4180</v>
      </c>
      <c r="I738" s="1205" t="s">
        <v>2322</v>
      </c>
      <c r="J738" s="1162"/>
    </row>
    <row r="739" spans="1:12" s="1256" customFormat="1" hidden="1">
      <c r="A739" s="1156"/>
      <c r="B739" s="1212" t="s">
        <v>2101</v>
      </c>
      <c r="C739" s="1253" t="s">
        <v>2102</v>
      </c>
      <c r="D739" s="1212"/>
      <c r="E739" s="1212" t="s">
        <v>102</v>
      </c>
      <c r="F739" s="1226">
        <f>ROUND(1.05*1.995,2)</f>
        <v>2.09</v>
      </c>
      <c r="G739" s="1213">
        <f>'MINI SSR 2022-23'!$C$151</f>
        <v>1036</v>
      </c>
      <c r="H739" s="1214">
        <f t="shared" si="53"/>
        <v>2165.2399999999998</v>
      </c>
      <c r="I739" s="1205" t="s">
        <v>2322</v>
      </c>
      <c r="J739" s="1162"/>
    </row>
    <row r="740" spans="1:12" hidden="1">
      <c r="A740" s="1156"/>
      <c r="B740" s="1212" t="s">
        <v>1396</v>
      </c>
      <c r="C740" s="1253" t="s">
        <v>1395</v>
      </c>
      <c r="D740" s="1212"/>
      <c r="E740" s="1212" t="s">
        <v>11</v>
      </c>
      <c r="F740" s="1240">
        <v>2</v>
      </c>
      <c r="G740" s="1213">
        <f>'MINI SSR 2022-23'!$G$143</f>
        <v>86.5</v>
      </c>
      <c r="H740" s="1214">
        <f t="shared" si="53"/>
        <v>173</v>
      </c>
      <c r="I740" s="1205" t="s">
        <v>2322</v>
      </c>
    </row>
    <row r="741" spans="1:12" hidden="1">
      <c r="A741" s="1156"/>
      <c r="B741" s="1212" t="s">
        <v>1398</v>
      </c>
      <c r="C741" s="1253" t="s">
        <v>1397</v>
      </c>
      <c r="D741" s="1212"/>
      <c r="E741" s="1212" t="s">
        <v>11</v>
      </c>
      <c r="F741" s="1240">
        <v>3</v>
      </c>
      <c r="G741" s="1213">
        <f>'MINI SSR 2022-23'!$G$146</f>
        <v>129</v>
      </c>
      <c r="H741" s="1214">
        <f t="shared" si="53"/>
        <v>387</v>
      </c>
      <c r="I741" s="1205" t="s">
        <v>2322</v>
      </c>
    </row>
    <row r="742" spans="1:12" hidden="1">
      <c r="A742" s="1156"/>
      <c r="B742" s="1212" t="s">
        <v>1383</v>
      </c>
      <c r="C742" s="1253" t="s">
        <v>1382</v>
      </c>
      <c r="D742" s="1212"/>
      <c r="E742" s="1212" t="s">
        <v>11</v>
      </c>
      <c r="F742" s="1240">
        <v>2</v>
      </c>
      <c r="G742" s="1213">
        <f>'MINI SSR 2022-23'!$G$147</f>
        <v>114</v>
      </c>
      <c r="H742" s="1214">
        <f t="shared" si="53"/>
        <v>228</v>
      </c>
      <c r="I742" s="1205" t="s">
        <v>2322</v>
      </c>
    </row>
    <row r="743" spans="1:12" hidden="1">
      <c r="A743" s="1156"/>
      <c r="B743" s="1212" t="s">
        <v>1400</v>
      </c>
      <c r="C743" s="1253" t="s">
        <v>1399</v>
      </c>
      <c r="D743" s="1212"/>
      <c r="E743" s="1212" t="s">
        <v>11</v>
      </c>
      <c r="F743" s="1240">
        <v>2</v>
      </c>
      <c r="G743" s="1213">
        <f>'MINI SSR 2022-23'!$G$149</f>
        <v>338</v>
      </c>
      <c r="H743" s="1214">
        <f t="shared" si="53"/>
        <v>676</v>
      </c>
      <c r="I743" s="1205" t="s">
        <v>2322</v>
      </c>
    </row>
    <row r="744" spans="1:12" hidden="1">
      <c r="A744" s="1156"/>
      <c r="B744" s="1212" t="s">
        <v>1402</v>
      </c>
      <c r="C744" s="1253" t="s">
        <v>1401</v>
      </c>
      <c r="D744" s="1212"/>
      <c r="E744" s="1212" t="s">
        <v>11</v>
      </c>
      <c r="F744" s="1240">
        <v>1</v>
      </c>
      <c r="G744" s="1213">
        <f>'MINI SSR 2022-23'!$G$155</f>
        <v>58</v>
      </c>
      <c r="H744" s="1214">
        <f t="shared" si="53"/>
        <v>58</v>
      </c>
      <c r="I744" s="1205" t="s">
        <v>2322</v>
      </c>
    </row>
    <row r="745" spans="1:12" hidden="1">
      <c r="A745" s="1156"/>
      <c r="B745" s="1212" t="s">
        <v>1389</v>
      </c>
      <c r="C745" s="1253" t="s">
        <v>1388</v>
      </c>
      <c r="D745" s="1212"/>
      <c r="E745" s="1212" t="s">
        <v>11</v>
      </c>
      <c r="F745" s="1240">
        <v>6</v>
      </c>
      <c r="G745" s="1213">
        <f>'MINI SSR 2022-23'!$G$152</f>
        <v>39</v>
      </c>
      <c r="H745" s="1214">
        <f t="shared" si="53"/>
        <v>234</v>
      </c>
      <c r="I745" s="1205" t="s">
        <v>2322</v>
      </c>
    </row>
    <row r="746" spans="1:12" hidden="1">
      <c r="A746" s="1212"/>
      <c r="B746" s="1212"/>
      <c r="C746" s="1255" t="s">
        <v>68</v>
      </c>
      <c r="D746" s="1212"/>
      <c r="E746" s="1212"/>
      <c r="F746" s="1213"/>
      <c r="G746" s="1217"/>
      <c r="H746" s="1214"/>
      <c r="I746" s="1205" t="s">
        <v>2322</v>
      </c>
    </row>
    <row r="747" spans="1:12" ht="25.5" hidden="1">
      <c r="A747" s="1212"/>
      <c r="B747" s="1212" t="s">
        <v>1391</v>
      </c>
      <c r="C747" s="1253" t="s">
        <v>1403</v>
      </c>
      <c r="D747" s="1212"/>
      <c r="E747" s="1212" t="s">
        <v>102</v>
      </c>
      <c r="F747" s="1213">
        <f>ROUND(1.2*2.1,2)</f>
        <v>2.52</v>
      </c>
      <c r="G747" s="1213">
        <f>'MINI SSR 2022-23'!C149</f>
        <v>1727</v>
      </c>
      <c r="H747" s="1214">
        <f>ROUND(F747*G747*1/3,2)</f>
        <v>1450.68</v>
      </c>
      <c r="I747" s="1205" t="s">
        <v>2322</v>
      </c>
      <c r="L747" s="1260"/>
    </row>
    <row r="748" spans="1:12" ht="13.5" hidden="1" thickBot="1">
      <c r="A748" s="1212"/>
      <c r="B748" s="1212"/>
      <c r="C748" s="1255"/>
      <c r="D748" s="1212"/>
      <c r="E748" s="1212"/>
      <c r="F748" s="1212"/>
      <c r="G748" s="1212"/>
      <c r="H748" s="1222">
        <f>SUM(H737:H747)</f>
        <v>11464.42</v>
      </c>
      <c r="I748" s="1205" t="s">
        <v>2322</v>
      </c>
      <c r="L748" s="1411"/>
    </row>
    <row r="749" spans="1:12" ht="127.5" hidden="1">
      <c r="A749" s="1156">
        <v>3</v>
      </c>
      <c r="B749" s="1218"/>
      <c r="C749" s="1253" t="s">
        <v>1310</v>
      </c>
      <c r="D749" s="1212"/>
      <c r="E749" s="1212"/>
      <c r="F749" s="1212"/>
      <c r="G749" s="1212"/>
      <c r="H749" s="1215"/>
      <c r="I749" s="1205" t="s">
        <v>2322</v>
      </c>
    </row>
    <row r="750" spans="1:12" hidden="1">
      <c r="A750" s="1156"/>
      <c r="B750" s="1218"/>
      <c r="C750" s="1255" t="s">
        <v>100</v>
      </c>
      <c r="D750" s="1212"/>
      <c r="E750" s="1212"/>
      <c r="F750" s="1212"/>
      <c r="G750" s="1212"/>
      <c r="H750" s="1215"/>
      <c r="I750" s="1205" t="s">
        <v>2322</v>
      </c>
    </row>
    <row r="751" spans="1:12" s="1256" customFormat="1" hidden="1">
      <c r="A751" s="1156"/>
      <c r="B751" s="1218"/>
      <c r="C751" s="1255" t="s">
        <v>1</v>
      </c>
      <c r="D751" s="1212"/>
      <c r="E751" s="1212"/>
      <c r="F751" s="1212"/>
      <c r="G751" s="1212"/>
      <c r="H751" s="1215"/>
      <c r="I751" s="1205" t="s">
        <v>2322</v>
      </c>
      <c r="J751" s="1162"/>
    </row>
    <row r="752" spans="1:12" s="1256" customFormat="1" hidden="1">
      <c r="A752" s="1156"/>
      <c r="B752" s="1218"/>
      <c r="C752" s="1253" t="s">
        <v>2</v>
      </c>
      <c r="D752" s="1406">
        <v>2</v>
      </c>
      <c r="E752" s="1407">
        <v>1.9</v>
      </c>
      <c r="F752" s="1408">
        <v>0.1</v>
      </c>
      <c r="G752" s="1408">
        <v>7.4999999999999997E-2</v>
      </c>
      <c r="H752" s="1409">
        <f>ROUND(D752*E752*F752*G752,4)</f>
        <v>2.8500000000000001E-2</v>
      </c>
      <c r="I752" s="1205" t="s">
        <v>2322</v>
      </c>
      <c r="J752" s="1162"/>
    </row>
    <row r="753" spans="1:12" s="1256" customFormat="1" hidden="1">
      <c r="A753" s="1156"/>
      <c r="B753" s="1218"/>
      <c r="C753" s="1253" t="s">
        <v>741</v>
      </c>
      <c r="D753" s="1406">
        <v>1</v>
      </c>
      <c r="E753" s="1407">
        <v>1.2</v>
      </c>
      <c r="F753" s="1408">
        <v>0.1</v>
      </c>
      <c r="G753" s="1408">
        <v>7.4999999999999997E-2</v>
      </c>
      <c r="H753" s="1409">
        <f>ROUND(D753*E753*F753*G753,4)</f>
        <v>8.9999999999999993E-3</v>
      </c>
      <c r="I753" s="1205" t="s">
        <v>2322</v>
      </c>
      <c r="J753" s="1162"/>
    </row>
    <row r="754" spans="1:12" s="1256" customFormat="1" hidden="1">
      <c r="A754" s="1156"/>
      <c r="B754" s="1218"/>
      <c r="C754" s="1255"/>
      <c r="D754" s="1212"/>
      <c r="E754" s="1212"/>
      <c r="F754" s="1212"/>
      <c r="G754" s="1212"/>
      <c r="H754" s="1410">
        <f>SUM(H752:H753)</f>
        <v>3.7499999999999999E-2</v>
      </c>
      <c r="I754" s="1205" t="s">
        <v>2322</v>
      </c>
      <c r="J754" s="1162"/>
    </row>
    <row r="755" spans="1:12" s="1256" customFormat="1" hidden="1">
      <c r="A755" s="1156"/>
      <c r="B755" s="1218" t="s">
        <v>1687</v>
      </c>
      <c r="C755" s="1253" t="s">
        <v>1688</v>
      </c>
      <c r="E755" s="1212" t="s">
        <v>35</v>
      </c>
      <c r="F755" s="1226">
        <f>H754</f>
        <v>3.7499999999999999E-2</v>
      </c>
      <c r="G755" s="1213">
        <f>'MINI SSR 2022-23'!$C$144</f>
        <v>51000</v>
      </c>
      <c r="H755" s="1214">
        <f t="shared" ref="H755:H763" si="54">ROUND(F755*G755,2)</f>
        <v>1912.5</v>
      </c>
      <c r="I755" s="1205" t="s">
        <v>2322</v>
      </c>
      <c r="J755" s="1162"/>
    </row>
    <row r="756" spans="1:12" s="1256" customFormat="1" hidden="1">
      <c r="A756" s="1156"/>
      <c r="B756" s="1212" t="s">
        <v>2099</v>
      </c>
      <c r="C756" s="1253" t="s">
        <v>2100</v>
      </c>
      <c r="D756" s="1212"/>
      <c r="E756" s="1212" t="s">
        <v>102</v>
      </c>
      <c r="F756" s="1226">
        <f>ROUND(1.05*1.995,2)</f>
        <v>2.09</v>
      </c>
      <c r="G756" s="1213">
        <f>'MINI SSR 2022-23'!$C$148</f>
        <v>2000</v>
      </c>
      <c r="H756" s="1214">
        <f t="shared" si="54"/>
        <v>4180</v>
      </c>
      <c r="I756" s="1205" t="s">
        <v>2322</v>
      </c>
      <c r="J756" s="1162"/>
    </row>
    <row r="757" spans="1:12" s="1256" customFormat="1" hidden="1">
      <c r="A757" s="1156"/>
      <c r="B757" s="1212" t="s">
        <v>2101</v>
      </c>
      <c r="C757" s="1253" t="s">
        <v>2102</v>
      </c>
      <c r="D757" s="1212"/>
      <c r="E757" s="1212" t="s">
        <v>102</v>
      </c>
      <c r="F757" s="1226">
        <f>ROUND(1.05*1.995,2)</f>
        <v>2.09</v>
      </c>
      <c r="G757" s="1213">
        <f>'MINI SSR 2022-23'!$C$151</f>
        <v>1036</v>
      </c>
      <c r="H757" s="1214">
        <f t="shared" si="54"/>
        <v>2165.2399999999998</v>
      </c>
      <c r="I757" s="1205" t="s">
        <v>2322</v>
      </c>
      <c r="J757" s="1162"/>
    </row>
    <row r="758" spans="1:12" hidden="1">
      <c r="A758" s="1156"/>
      <c r="B758" s="1212" t="s">
        <v>1396</v>
      </c>
      <c r="C758" s="1253" t="s">
        <v>1395</v>
      </c>
      <c r="D758" s="1212"/>
      <c r="E758" s="1212" t="s">
        <v>11</v>
      </c>
      <c r="F758" s="1240">
        <v>2</v>
      </c>
      <c r="G758" s="1213">
        <f>'MINI SSR 2022-23'!$G$143</f>
        <v>86.5</v>
      </c>
      <c r="H758" s="1214">
        <f t="shared" si="54"/>
        <v>173</v>
      </c>
      <c r="I758" s="1205" t="s">
        <v>2322</v>
      </c>
    </row>
    <row r="759" spans="1:12" hidden="1">
      <c r="A759" s="1156"/>
      <c r="B759" s="1212" t="s">
        <v>1398</v>
      </c>
      <c r="C759" s="1253" t="s">
        <v>1397</v>
      </c>
      <c r="D759" s="1212"/>
      <c r="E759" s="1212" t="s">
        <v>11</v>
      </c>
      <c r="F759" s="1240">
        <v>3</v>
      </c>
      <c r="G759" s="1213">
        <f>'MINI SSR 2022-23'!$G$146</f>
        <v>129</v>
      </c>
      <c r="H759" s="1214">
        <f t="shared" si="54"/>
        <v>387</v>
      </c>
      <c r="I759" s="1205" t="s">
        <v>2322</v>
      </c>
    </row>
    <row r="760" spans="1:12" hidden="1">
      <c r="A760" s="1156"/>
      <c r="B760" s="1212" t="s">
        <v>1383</v>
      </c>
      <c r="C760" s="1253" t="s">
        <v>1382</v>
      </c>
      <c r="D760" s="1212"/>
      <c r="E760" s="1212" t="s">
        <v>11</v>
      </c>
      <c r="F760" s="1240">
        <v>2</v>
      </c>
      <c r="G760" s="1213">
        <f>'MINI SSR 2022-23'!$G$147</f>
        <v>114</v>
      </c>
      <c r="H760" s="1214">
        <f t="shared" si="54"/>
        <v>228</v>
      </c>
      <c r="I760" s="1205" t="s">
        <v>2322</v>
      </c>
    </row>
    <row r="761" spans="1:12" hidden="1">
      <c r="A761" s="1156"/>
      <c r="B761" s="1212" t="s">
        <v>1400</v>
      </c>
      <c r="C761" s="1253" t="s">
        <v>1399</v>
      </c>
      <c r="D761" s="1212"/>
      <c r="E761" s="1212" t="s">
        <v>11</v>
      </c>
      <c r="F761" s="1240">
        <v>2</v>
      </c>
      <c r="G761" s="1213">
        <f>'MINI SSR 2022-23'!$G$149</f>
        <v>338</v>
      </c>
      <c r="H761" s="1214">
        <f t="shared" si="54"/>
        <v>676</v>
      </c>
      <c r="I761" s="1205" t="s">
        <v>2322</v>
      </c>
    </row>
    <row r="762" spans="1:12" hidden="1">
      <c r="A762" s="1156"/>
      <c r="B762" s="1212" t="s">
        <v>1402</v>
      </c>
      <c r="C762" s="1253" t="s">
        <v>1401</v>
      </c>
      <c r="D762" s="1212"/>
      <c r="E762" s="1212" t="s">
        <v>11</v>
      </c>
      <c r="F762" s="1240">
        <v>1</v>
      </c>
      <c r="G762" s="1213">
        <f>'MINI SSR 2022-23'!$G$155</f>
        <v>58</v>
      </c>
      <c r="H762" s="1214">
        <f t="shared" si="54"/>
        <v>58</v>
      </c>
      <c r="I762" s="1205" t="s">
        <v>2322</v>
      </c>
    </row>
    <row r="763" spans="1:12" hidden="1">
      <c r="A763" s="1156"/>
      <c r="B763" s="1212" t="s">
        <v>1389</v>
      </c>
      <c r="C763" s="1253" t="s">
        <v>1388</v>
      </c>
      <c r="D763" s="1212"/>
      <c r="E763" s="1212" t="s">
        <v>11</v>
      </c>
      <c r="F763" s="1240">
        <v>6</v>
      </c>
      <c r="G763" s="1213">
        <f>'MINI SSR 2022-23'!$G$152</f>
        <v>39</v>
      </c>
      <c r="H763" s="1214">
        <f t="shared" si="54"/>
        <v>234</v>
      </c>
      <c r="I763" s="1205" t="s">
        <v>2322</v>
      </c>
    </row>
    <row r="764" spans="1:12" hidden="1">
      <c r="A764" s="1212"/>
      <c r="B764" s="1212"/>
      <c r="C764" s="1255" t="s">
        <v>68</v>
      </c>
      <c r="D764" s="1212"/>
      <c r="E764" s="1212"/>
      <c r="F764" s="1213"/>
      <c r="G764" s="1217"/>
      <c r="H764" s="1214"/>
      <c r="I764" s="1205" t="s">
        <v>2322</v>
      </c>
    </row>
    <row r="765" spans="1:12" hidden="1">
      <c r="A765" s="1212"/>
      <c r="B765" s="1212" t="s">
        <v>1695</v>
      </c>
      <c r="C765" s="1253" t="s">
        <v>1390</v>
      </c>
      <c r="D765" s="1162"/>
      <c r="E765" s="1212" t="s">
        <v>102</v>
      </c>
      <c r="F765" s="1213">
        <f>ROUND(1.2*2.1,2)</f>
        <v>2.52</v>
      </c>
      <c r="G765" s="1213">
        <f>'MINI SSR 2022-23'!$C$150</f>
        <v>1701</v>
      </c>
      <c r="H765" s="1214">
        <f>ROUND(F765*G765*1/3,2)</f>
        <v>1428.84</v>
      </c>
      <c r="I765" s="1205" t="s">
        <v>2322</v>
      </c>
      <c r="L765" s="1260"/>
    </row>
    <row r="766" spans="1:12" ht="13.5" hidden="1" thickBot="1">
      <c r="A766" s="1212"/>
      <c r="B766" s="1212"/>
      <c r="C766" s="1255"/>
      <c r="D766" s="1212"/>
      <c r="E766" s="1212"/>
      <c r="F766" s="1212"/>
      <c r="G766" s="1212"/>
      <c r="H766" s="1222">
        <f>SUM(H755:H765)</f>
        <v>11442.58</v>
      </c>
      <c r="I766" s="1205" t="s">
        <v>2322</v>
      </c>
      <c r="L766" s="1411"/>
    </row>
    <row r="767" spans="1:12" ht="127.5" hidden="1">
      <c r="A767" s="1156">
        <v>3</v>
      </c>
      <c r="B767" s="1218"/>
      <c r="C767" s="1253" t="s">
        <v>1683</v>
      </c>
      <c r="D767" s="1212"/>
      <c r="E767" s="1212"/>
      <c r="F767" s="1212"/>
      <c r="G767" s="1212"/>
      <c r="H767" s="1215"/>
      <c r="I767" s="1205" t="s">
        <v>2322</v>
      </c>
    </row>
    <row r="768" spans="1:12" hidden="1">
      <c r="A768" s="1156"/>
      <c r="B768" s="1218"/>
      <c r="C768" s="1255" t="s">
        <v>100</v>
      </c>
      <c r="D768" s="1212"/>
      <c r="E768" s="1212"/>
      <c r="F768" s="1212"/>
      <c r="G768" s="1212"/>
      <c r="H768" s="1215"/>
      <c r="I768" s="1205" t="s">
        <v>2322</v>
      </c>
    </row>
    <row r="769" spans="1:10" s="1256" customFormat="1" hidden="1">
      <c r="A769" s="1156"/>
      <c r="B769" s="1218"/>
      <c r="C769" s="1255" t="s">
        <v>594</v>
      </c>
      <c r="D769" s="1212"/>
      <c r="E769" s="1212"/>
      <c r="F769" s="1212"/>
      <c r="G769" s="1212"/>
      <c r="H769" s="1215"/>
      <c r="I769" s="1205" t="s">
        <v>2322</v>
      </c>
      <c r="J769" s="1162"/>
    </row>
    <row r="770" spans="1:10" s="1256" customFormat="1" hidden="1">
      <c r="A770" s="1156"/>
      <c r="B770" s="1218"/>
      <c r="C770" s="1253" t="s">
        <v>2</v>
      </c>
      <c r="D770" s="1406">
        <v>2</v>
      </c>
      <c r="E770" s="1407">
        <v>1.9</v>
      </c>
      <c r="F770" s="1408">
        <v>0.1</v>
      </c>
      <c r="G770" s="1408">
        <v>7.4999999999999997E-2</v>
      </c>
      <c r="H770" s="1409">
        <f>ROUND(D770*E770*F770*G770,4)</f>
        <v>2.8500000000000001E-2</v>
      </c>
      <c r="I770" s="1205" t="s">
        <v>2322</v>
      </c>
      <c r="J770" s="1162"/>
    </row>
    <row r="771" spans="1:10" s="1256" customFormat="1" hidden="1">
      <c r="A771" s="1156"/>
      <c r="B771" s="1218"/>
      <c r="C771" s="1253" t="s">
        <v>741</v>
      </c>
      <c r="D771" s="1406">
        <v>1</v>
      </c>
      <c r="E771" s="1407">
        <v>0.9</v>
      </c>
      <c r="F771" s="1408">
        <v>0.1</v>
      </c>
      <c r="G771" s="1408">
        <v>7.4999999999999997E-2</v>
      </c>
      <c r="H771" s="1409">
        <f>ROUND(D771*E771*F771*G771,4)</f>
        <v>6.7999999999999996E-3</v>
      </c>
      <c r="I771" s="1205" t="s">
        <v>2322</v>
      </c>
      <c r="J771" s="1162"/>
    </row>
    <row r="772" spans="1:10" s="1256" customFormat="1" hidden="1">
      <c r="A772" s="1156"/>
      <c r="B772" s="1218"/>
      <c r="C772" s="1255"/>
      <c r="D772" s="1406"/>
      <c r="E772" s="1406"/>
      <c r="F772" s="1406"/>
      <c r="G772" s="1406"/>
      <c r="H772" s="1412">
        <f>SUM(H770:H771)</f>
        <v>3.5299999999999998E-2</v>
      </c>
      <c r="I772" s="1205" t="s">
        <v>2322</v>
      </c>
      <c r="J772" s="1162"/>
    </row>
    <row r="773" spans="1:10" s="1256" customFormat="1" hidden="1">
      <c r="A773" s="1156"/>
      <c r="B773" s="1218"/>
      <c r="C773" s="1255" t="s">
        <v>320</v>
      </c>
      <c r="D773" s="1406">
        <v>1</v>
      </c>
      <c r="E773" s="1407">
        <v>2.0099999999999998</v>
      </c>
      <c r="F773" s="1408">
        <v>0.8</v>
      </c>
      <c r="G773" s="1408">
        <v>0.03</v>
      </c>
      <c r="H773" s="1409">
        <f>ROUND(D773*E773*F773*G773,4)</f>
        <v>4.82E-2</v>
      </c>
      <c r="I773" s="1205" t="s">
        <v>2322</v>
      </c>
      <c r="J773" s="1162"/>
    </row>
    <row r="774" spans="1:10" s="1256" customFormat="1" hidden="1">
      <c r="A774" s="1156"/>
      <c r="B774" s="1218"/>
      <c r="C774" s="1253"/>
      <c r="D774" s="1406"/>
      <c r="E774" s="1406"/>
      <c r="F774" s="1406"/>
      <c r="G774" s="1406"/>
      <c r="H774" s="1412">
        <f>SUM(H773:H773)</f>
        <v>4.82E-2</v>
      </c>
      <c r="I774" s="1205" t="s">
        <v>2322</v>
      </c>
      <c r="J774" s="1162"/>
    </row>
    <row r="775" spans="1:10" s="1256" customFormat="1" hidden="1">
      <c r="A775" s="1156"/>
      <c r="B775" s="1218" t="s">
        <v>1375</v>
      </c>
      <c r="C775" s="1253" t="s">
        <v>1374</v>
      </c>
      <c r="E775" s="1212" t="s">
        <v>35</v>
      </c>
      <c r="F775" s="1226">
        <f>H772</f>
        <v>3.5299999999999998E-2</v>
      </c>
      <c r="G775" s="1213">
        <f>'MINI SSR 2022-23'!C142</f>
        <v>81950</v>
      </c>
      <c r="H775" s="1214">
        <f t="shared" ref="H775:H782" si="55">ROUND(F775*G775,2)</f>
        <v>2892.84</v>
      </c>
      <c r="I775" s="1205" t="s">
        <v>2322</v>
      </c>
      <c r="J775" s="1162"/>
    </row>
    <row r="776" spans="1:10" s="1256" customFormat="1" hidden="1">
      <c r="A776" s="1156"/>
      <c r="B776" s="1218" t="s">
        <v>1377</v>
      </c>
      <c r="C776" s="1253" t="s">
        <v>1376</v>
      </c>
      <c r="E776" s="1212" t="s">
        <v>35</v>
      </c>
      <c r="F776" s="1226">
        <f>H774</f>
        <v>4.82E-2</v>
      </c>
      <c r="G776" s="1213">
        <f>'MINI SSR 2022-23'!C143</f>
        <v>160920</v>
      </c>
      <c r="H776" s="1214">
        <f t="shared" si="55"/>
        <v>7756.34</v>
      </c>
      <c r="I776" s="1205" t="s">
        <v>2322</v>
      </c>
      <c r="J776" s="1162"/>
    </row>
    <row r="777" spans="1:10" s="1256" customFormat="1" hidden="1">
      <c r="A777" s="1156"/>
      <c r="B777" s="1218" t="s">
        <v>1379</v>
      </c>
      <c r="C777" s="1253" t="s">
        <v>1378</v>
      </c>
      <c r="D777" s="1212"/>
      <c r="E777" s="1212" t="s">
        <v>11</v>
      </c>
      <c r="F777" s="1240">
        <v>2</v>
      </c>
      <c r="G777" s="1213">
        <f t="shared" ref="G777:G782" si="56">G722</f>
        <v>255</v>
      </c>
      <c r="H777" s="1214">
        <f t="shared" si="55"/>
        <v>510</v>
      </c>
      <c r="I777" s="1205" t="s">
        <v>2322</v>
      </c>
      <c r="J777" s="1162"/>
    </row>
    <row r="778" spans="1:10" s="1256" customFormat="1" hidden="1">
      <c r="A778" s="1156"/>
      <c r="B778" s="1218" t="s">
        <v>1381</v>
      </c>
      <c r="C778" s="1253" t="s">
        <v>1380</v>
      </c>
      <c r="D778" s="1212"/>
      <c r="E778" s="1212" t="s">
        <v>11</v>
      </c>
      <c r="F778" s="1240">
        <v>3</v>
      </c>
      <c r="G778" s="1213">
        <f t="shared" si="56"/>
        <v>273</v>
      </c>
      <c r="H778" s="1214">
        <f t="shared" si="55"/>
        <v>819</v>
      </c>
      <c r="I778" s="1205" t="s">
        <v>2322</v>
      </c>
      <c r="J778" s="1162"/>
    </row>
    <row r="779" spans="1:10" s="1256" customFormat="1" hidden="1">
      <c r="A779" s="1156"/>
      <c r="B779" s="1218" t="s">
        <v>1383</v>
      </c>
      <c r="C779" s="1253" t="s">
        <v>1382</v>
      </c>
      <c r="D779" s="1212"/>
      <c r="E779" s="1212" t="s">
        <v>11</v>
      </c>
      <c r="F779" s="1240"/>
      <c r="G779" s="1213">
        <f t="shared" si="56"/>
        <v>108</v>
      </c>
      <c r="H779" s="1214">
        <f t="shared" si="55"/>
        <v>0</v>
      </c>
      <c r="I779" s="1205" t="s">
        <v>2322</v>
      </c>
      <c r="J779" s="1162"/>
    </row>
    <row r="780" spans="1:10" s="1256" customFormat="1" hidden="1">
      <c r="A780" s="1156"/>
      <c r="B780" s="1218" t="s">
        <v>1385</v>
      </c>
      <c r="C780" s="1253" t="s">
        <v>1384</v>
      </c>
      <c r="D780" s="1212"/>
      <c r="E780" s="1212" t="s">
        <v>11</v>
      </c>
      <c r="F780" s="1240">
        <v>2</v>
      </c>
      <c r="G780" s="1213">
        <f t="shared" si="56"/>
        <v>1195</v>
      </c>
      <c r="H780" s="1214">
        <f t="shared" si="55"/>
        <v>2390</v>
      </c>
      <c r="I780" s="1205" t="s">
        <v>2322</v>
      </c>
      <c r="J780" s="1162"/>
    </row>
    <row r="781" spans="1:10" hidden="1">
      <c r="A781" s="1156"/>
      <c r="B781" s="1218" t="s">
        <v>1387</v>
      </c>
      <c r="C781" s="1253" t="s">
        <v>1386</v>
      </c>
      <c r="D781" s="1212"/>
      <c r="E781" s="1212" t="s">
        <v>11</v>
      </c>
      <c r="F781" s="1240">
        <v>1</v>
      </c>
      <c r="G781" s="1213">
        <f t="shared" si="56"/>
        <v>185</v>
      </c>
      <c r="H781" s="1214">
        <f t="shared" si="55"/>
        <v>185</v>
      </c>
      <c r="I781" s="1205" t="s">
        <v>2322</v>
      </c>
    </row>
    <row r="782" spans="1:10" hidden="1">
      <c r="A782" s="1156"/>
      <c r="B782" s="1218" t="s">
        <v>1389</v>
      </c>
      <c r="C782" s="1253" t="s">
        <v>1388</v>
      </c>
      <c r="D782" s="1212"/>
      <c r="E782" s="1212" t="s">
        <v>11</v>
      </c>
      <c r="F782" s="1240">
        <v>6</v>
      </c>
      <c r="G782" s="1213">
        <f t="shared" si="56"/>
        <v>39</v>
      </c>
      <c r="H782" s="1214">
        <f t="shared" si="55"/>
        <v>234</v>
      </c>
      <c r="I782" s="1205" t="s">
        <v>2322</v>
      </c>
    </row>
    <row r="783" spans="1:10" hidden="1">
      <c r="A783" s="1156"/>
      <c r="B783" s="1218"/>
      <c r="C783" s="1255" t="s">
        <v>68</v>
      </c>
      <c r="D783" s="1162"/>
      <c r="E783" s="1212"/>
      <c r="F783" s="1213"/>
      <c r="G783" s="1213"/>
      <c r="H783" s="1214"/>
      <c r="I783" s="1205" t="s">
        <v>2322</v>
      </c>
    </row>
    <row r="784" spans="1:10" hidden="1">
      <c r="A784" s="1156"/>
      <c r="B784" s="1212" t="s">
        <v>1391</v>
      </c>
      <c r="C784" s="1253" t="s">
        <v>1390</v>
      </c>
      <c r="D784" s="1162"/>
      <c r="E784" s="1212" t="s">
        <v>102</v>
      </c>
      <c r="F784" s="1213">
        <f>ROUND(0.9*2.1,2)</f>
        <v>1.89</v>
      </c>
      <c r="G784" s="1213">
        <f>G729</f>
        <v>1727</v>
      </c>
      <c r="H784" s="1214">
        <f>ROUND(F784*G784*1/3,2)</f>
        <v>1088.01</v>
      </c>
      <c r="I784" s="1205" t="s">
        <v>2322</v>
      </c>
    </row>
    <row r="785" spans="1:10" hidden="1">
      <c r="A785" s="1156"/>
      <c r="B785" s="1218"/>
      <c r="C785" s="1255"/>
      <c r="D785" s="1212"/>
      <c r="E785" s="1212"/>
      <c r="F785" s="1212"/>
      <c r="G785" s="1212"/>
      <c r="H785" s="1222">
        <f>SUM(H775:H784)</f>
        <v>15875.19</v>
      </c>
      <c r="I785" s="1205" t="s">
        <v>2322</v>
      </c>
    </row>
    <row r="786" spans="1:10" ht="127.5" hidden="1">
      <c r="A786" s="1156">
        <v>4</v>
      </c>
      <c r="B786" s="1218"/>
      <c r="C786" s="1253" t="s">
        <v>1684</v>
      </c>
      <c r="D786" s="1212"/>
      <c r="E786" s="1212"/>
      <c r="F786" s="1212"/>
      <c r="G786" s="1212"/>
      <c r="H786" s="1215"/>
      <c r="I786" s="1205" t="s">
        <v>2322</v>
      </c>
    </row>
    <row r="787" spans="1:10" hidden="1">
      <c r="A787" s="1156"/>
      <c r="B787" s="1218"/>
      <c r="C787" s="1255" t="s">
        <v>100</v>
      </c>
      <c r="D787" s="1212"/>
      <c r="E787" s="1212"/>
      <c r="F787" s="1212"/>
      <c r="G787" s="1212"/>
      <c r="H787" s="1215"/>
      <c r="I787" s="1205" t="s">
        <v>2322</v>
      </c>
    </row>
    <row r="788" spans="1:10" s="1256" customFormat="1" hidden="1">
      <c r="A788" s="1156"/>
      <c r="B788" s="1218"/>
      <c r="C788" s="1255" t="s">
        <v>594</v>
      </c>
      <c r="D788" s="1212"/>
      <c r="E788" s="1212"/>
      <c r="F788" s="1212"/>
      <c r="G788" s="1212"/>
      <c r="H788" s="1215"/>
      <c r="I788" s="1205" t="s">
        <v>2322</v>
      </c>
      <c r="J788" s="1162"/>
    </row>
    <row r="789" spans="1:10" s="1256" customFormat="1" hidden="1">
      <c r="A789" s="1156"/>
      <c r="B789" s="1218"/>
      <c r="C789" s="1253" t="s">
        <v>2</v>
      </c>
      <c r="D789" s="1406">
        <v>2</v>
      </c>
      <c r="E789" s="1407">
        <v>1.9</v>
      </c>
      <c r="F789" s="1408">
        <v>0.1</v>
      </c>
      <c r="G789" s="1408">
        <v>7.4999999999999997E-2</v>
      </c>
      <c r="H789" s="1409">
        <f>ROUND(D789*E789*F789*G789,4)</f>
        <v>2.8500000000000001E-2</v>
      </c>
      <c r="I789" s="1205" t="s">
        <v>2322</v>
      </c>
      <c r="J789" s="1162"/>
    </row>
    <row r="790" spans="1:10" s="1256" customFormat="1" hidden="1">
      <c r="A790" s="1156"/>
      <c r="B790" s="1218"/>
      <c r="C790" s="1253" t="s">
        <v>741</v>
      </c>
      <c r="D790" s="1406">
        <v>1</v>
      </c>
      <c r="E790" s="1407">
        <v>0.8</v>
      </c>
      <c r="F790" s="1408">
        <v>0.1</v>
      </c>
      <c r="G790" s="1408">
        <v>7.4999999999999997E-2</v>
      </c>
      <c r="H790" s="1409">
        <f>ROUND(D790*E790*F790*G790,4)</f>
        <v>6.0000000000000001E-3</v>
      </c>
      <c r="I790" s="1205" t="s">
        <v>2322</v>
      </c>
      <c r="J790" s="1162"/>
    </row>
    <row r="791" spans="1:10" s="1256" customFormat="1" hidden="1">
      <c r="A791" s="1156"/>
      <c r="B791" s="1218"/>
      <c r="C791" s="1255"/>
      <c r="D791" s="1406"/>
      <c r="E791" s="1406"/>
      <c r="F791" s="1406"/>
      <c r="G791" s="1406"/>
      <c r="H791" s="1412">
        <f>SUM(H789:H790)</f>
        <v>3.4500000000000003E-2</v>
      </c>
      <c r="I791" s="1205" t="s">
        <v>2322</v>
      </c>
      <c r="J791" s="1162"/>
    </row>
    <row r="792" spans="1:10" s="1256" customFormat="1" hidden="1">
      <c r="A792" s="1156"/>
      <c r="B792" s="1218"/>
      <c r="C792" s="1255" t="s">
        <v>320</v>
      </c>
      <c r="D792" s="1406">
        <v>1</v>
      </c>
      <c r="E792" s="1407">
        <v>2.0099999999999998</v>
      </c>
      <c r="F792" s="1408">
        <v>0.72</v>
      </c>
      <c r="G792" s="1408">
        <v>0.03</v>
      </c>
      <c r="H792" s="1409">
        <f>ROUND(D792*E792*F792*G792,4)</f>
        <v>4.3400000000000001E-2</v>
      </c>
      <c r="I792" s="1205" t="s">
        <v>2322</v>
      </c>
      <c r="J792" s="1162"/>
    </row>
    <row r="793" spans="1:10" s="1256" customFormat="1" hidden="1">
      <c r="A793" s="1156"/>
      <c r="B793" s="1218"/>
      <c r="C793" s="1253"/>
      <c r="D793" s="1406"/>
      <c r="E793" s="1406"/>
      <c r="F793" s="1406"/>
      <c r="G793" s="1406"/>
      <c r="H793" s="1412">
        <f>SUM(H792:H792)</f>
        <v>4.3400000000000001E-2</v>
      </c>
      <c r="I793" s="1205" t="s">
        <v>2322</v>
      </c>
      <c r="J793" s="1162"/>
    </row>
    <row r="794" spans="1:10" s="1256" customFormat="1" hidden="1">
      <c r="A794" s="1156"/>
      <c r="B794" s="1218" t="s">
        <v>1375</v>
      </c>
      <c r="C794" s="1253" t="s">
        <v>1374</v>
      </c>
      <c r="E794" s="1212" t="s">
        <v>35</v>
      </c>
      <c r="F794" s="1226">
        <f>H791</f>
        <v>3.4500000000000003E-2</v>
      </c>
      <c r="G794" s="1213">
        <f t="shared" ref="G794:G801" si="57">G775</f>
        <v>81950</v>
      </c>
      <c r="H794" s="1214">
        <f t="shared" ref="H794:H801" si="58">ROUND(F794*G794,2)</f>
        <v>2827.28</v>
      </c>
      <c r="I794" s="1205" t="s">
        <v>2322</v>
      </c>
      <c r="J794" s="1162"/>
    </row>
    <row r="795" spans="1:10" s="1256" customFormat="1" hidden="1">
      <c r="A795" s="1156"/>
      <c r="B795" s="1218" t="s">
        <v>1377</v>
      </c>
      <c r="C795" s="1253" t="s">
        <v>1376</v>
      </c>
      <c r="E795" s="1212" t="s">
        <v>35</v>
      </c>
      <c r="F795" s="1226">
        <f>H793</f>
        <v>4.3400000000000001E-2</v>
      </c>
      <c r="G795" s="1213">
        <f t="shared" si="57"/>
        <v>160920</v>
      </c>
      <c r="H795" s="1214">
        <f t="shared" si="58"/>
        <v>6983.93</v>
      </c>
      <c r="I795" s="1205" t="s">
        <v>2322</v>
      </c>
      <c r="J795" s="1162"/>
    </row>
    <row r="796" spans="1:10" s="1256" customFormat="1" hidden="1">
      <c r="A796" s="1156"/>
      <c r="B796" s="1218" t="s">
        <v>1379</v>
      </c>
      <c r="C796" s="1253" t="s">
        <v>1378</v>
      </c>
      <c r="D796" s="1212"/>
      <c r="E796" s="1212" t="s">
        <v>11</v>
      </c>
      <c r="F796" s="1240">
        <v>2</v>
      </c>
      <c r="G796" s="1213">
        <f t="shared" si="57"/>
        <v>255</v>
      </c>
      <c r="H796" s="1214">
        <f t="shared" si="58"/>
        <v>510</v>
      </c>
      <c r="I796" s="1205" t="s">
        <v>2322</v>
      </c>
      <c r="J796" s="1162"/>
    </row>
    <row r="797" spans="1:10" s="1256" customFormat="1" hidden="1">
      <c r="A797" s="1156"/>
      <c r="B797" s="1218" t="s">
        <v>1381</v>
      </c>
      <c r="C797" s="1253" t="s">
        <v>1380</v>
      </c>
      <c r="D797" s="1212"/>
      <c r="E797" s="1212" t="s">
        <v>11</v>
      </c>
      <c r="F797" s="1240">
        <v>3</v>
      </c>
      <c r="G797" s="1213">
        <f t="shared" si="57"/>
        <v>273</v>
      </c>
      <c r="H797" s="1214">
        <f t="shared" si="58"/>
        <v>819</v>
      </c>
      <c r="I797" s="1205" t="s">
        <v>2322</v>
      </c>
      <c r="J797" s="1162"/>
    </row>
    <row r="798" spans="1:10" s="1256" customFormat="1" hidden="1">
      <c r="A798" s="1156"/>
      <c r="B798" s="1218" t="s">
        <v>1383</v>
      </c>
      <c r="C798" s="1253" t="s">
        <v>1382</v>
      </c>
      <c r="D798" s="1212"/>
      <c r="E798" s="1212" t="s">
        <v>11</v>
      </c>
      <c r="F798" s="1240"/>
      <c r="G798" s="1213">
        <f t="shared" si="57"/>
        <v>108</v>
      </c>
      <c r="H798" s="1214">
        <f t="shared" si="58"/>
        <v>0</v>
      </c>
      <c r="I798" s="1205" t="s">
        <v>2322</v>
      </c>
      <c r="J798" s="1162"/>
    </row>
    <row r="799" spans="1:10" s="1256" customFormat="1" hidden="1">
      <c r="A799" s="1156"/>
      <c r="B799" s="1218" t="s">
        <v>1385</v>
      </c>
      <c r="C799" s="1253" t="s">
        <v>1384</v>
      </c>
      <c r="D799" s="1212"/>
      <c r="E799" s="1212" t="s">
        <v>11</v>
      </c>
      <c r="F799" s="1240">
        <v>2</v>
      </c>
      <c r="G799" s="1213">
        <f t="shared" si="57"/>
        <v>1195</v>
      </c>
      <c r="H799" s="1214">
        <f t="shared" si="58"/>
        <v>2390</v>
      </c>
      <c r="I799" s="1205" t="s">
        <v>2322</v>
      </c>
      <c r="J799" s="1162"/>
    </row>
    <row r="800" spans="1:10" hidden="1">
      <c r="A800" s="1156"/>
      <c r="B800" s="1218" t="s">
        <v>1387</v>
      </c>
      <c r="C800" s="1253" t="s">
        <v>1386</v>
      </c>
      <c r="D800" s="1212"/>
      <c r="E800" s="1212" t="s">
        <v>11</v>
      </c>
      <c r="F800" s="1240">
        <v>1</v>
      </c>
      <c r="G800" s="1213">
        <f t="shared" si="57"/>
        <v>185</v>
      </c>
      <c r="H800" s="1214">
        <f t="shared" si="58"/>
        <v>185</v>
      </c>
      <c r="I800" s="1205" t="s">
        <v>2322</v>
      </c>
    </row>
    <row r="801" spans="1:10" hidden="1">
      <c r="A801" s="1156"/>
      <c r="B801" s="1218" t="s">
        <v>1389</v>
      </c>
      <c r="C801" s="1253" t="s">
        <v>1388</v>
      </c>
      <c r="D801" s="1212"/>
      <c r="E801" s="1212" t="s">
        <v>11</v>
      </c>
      <c r="F801" s="1240">
        <v>6</v>
      </c>
      <c r="G801" s="1213">
        <f t="shared" si="57"/>
        <v>39</v>
      </c>
      <c r="H801" s="1214">
        <f t="shared" si="58"/>
        <v>234</v>
      </c>
      <c r="I801" s="1205" t="s">
        <v>2322</v>
      </c>
    </row>
    <row r="802" spans="1:10" hidden="1">
      <c r="A802" s="1156"/>
      <c r="B802" s="1218"/>
      <c r="C802" s="1255" t="s">
        <v>68</v>
      </c>
      <c r="D802" s="1162"/>
      <c r="E802" s="1212"/>
      <c r="F802" s="1213"/>
      <c r="G802" s="1213"/>
      <c r="H802" s="1214"/>
      <c r="I802" s="1205" t="s">
        <v>2322</v>
      </c>
    </row>
    <row r="803" spans="1:10" hidden="1">
      <c r="A803" s="1156"/>
      <c r="B803" s="1212" t="s">
        <v>1391</v>
      </c>
      <c r="C803" s="1253" t="s">
        <v>1390</v>
      </c>
      <c r="D803" s="1162"/>
      <c r="E803" s="1212" t="s">
        <v>102</v>
      </c>
      <c r="F803" s="1213">
        <f>ROUND(0.9*2.1,2)</f>
        <v>1.89</v>
      </c>
      <c r="G803" s="1213">
        <f>G784</f>
        <v>1727</v>
      </c>
      <c r="H803" s="1214">
        <f>ROUND(F803*G803*1/3,2)</f>
        <v>1088.01</v>
      </c>
      <c r="I803" s="1205" t="s">
        <v>2322</v>
      </c>
    </row>
    <row r="804" spans="1:10" hidden="1">
      <c r="A804" s="1156"/>
      <c r="B804" s="1218"/>
      <c r="C804" s="1255"/>
      <c r="D804" s="1212"/>
      <c r="E804" s="1212"/>
      <c r="F804" s="1212"/>
      <c r="G804" s="1212"/>
      <c r="H804" s="1222">
        <f>SUM(H794:H803)</f>
        <v>15037.220000000001</v>
      </c>
      <c r="I804" s="1205" t="s">
        <v>2322</v>
      </c>
    </row>
    <row r="805" spans="1:10" ht="114.75" hidden="1">
      <c r="A805" s="1156">
        <v>2</v>
      </c>
      <c r="B805" s="1218"/>
      <c r="C805" s="1253" t="s">
        <v>1685</v>
      </c>
      <c r="D805" s="1212"/>
      <c r="E805" s="1212"/>
      <c r="F805" s="1212"/>
      <c r="G805" s="1212"/>
      <c r="H805" s="1215"/>
      <c r="I805" s="1205" t="s">
        <v>2322</v>
      </c>
    </row>
    <row r="806" spans="1:10" hidden="1">
      <c r="A806" s="1156"/>
      <c r="B806" s="1218"/>
      <c r="C806" s="1255" t="s">
        <v>100</v>
      </c>
      <c r="D806" s="1212"/>
      <c r="E806" s="1212"/>
      <c r="F806" s="1212"/>
      <c r="G806" s="1212"/>
      <c r="H806" s="1215"/>
      <c r="I806" s="1205" t="s">
        <v>2322</v>
      </c>
    </row>
    <row r="807" spans="1:10" s="1256" customFormat="1" hidden="1">
      <c r="A807" s="1156"/>
      <c r="B807" s="1218"/>
      <c r="C807" s="1255" t="s">
        <v>1</v>
      </c>
      <c r="D807" s="1212"/>
      <c r="E807" s="1212"/>
      <c r="F807" s="1212"/>
      <c r="G807" s="1212"/>
      <c r="H807" s="1215"/>
      <c r="I807" s="1205" t="s">
        <v>2322</v>
      </c>
      <c r="J807" s="1162"/>
    </row>
    <row r="808" spans="1:10" s="1256" customFormat="1" hidden="1">
      <c r="A808" s="1156"/>
      <c r="B808" s="1218"/>
      <c r="C808" s="1253" t="s">
        <v>2</v>
      </c>
      <c r="D808" s="1406">
        <v>2</v>
      </c>
      <c r="E808" s="1407">
        <v>1.9</v>
      </c>
      <c r="F808" s="1408">
        <v>0.1</v>
      </c>
      <c r="G808" s="1408">
        <v>7.4999999999999997E-2</v>
      </c>
      <c r="H808" s="1409">
        <f>ROUND(D808*E808*F808*G808,4)</f>
        <v>2.8500000000000001E-2</v>
      </c>
      <c r="I808" s="1205" t="s">
        <v>2322</v>
      </c>
      <c r="J808" s="1162"/>
    </row>
    <row r="809" spans="1:10" s="1256" customFormat="1" hidden="1">
      <c r="A809" s="1156"/>
      <c r="B809" s="1218"/>
      <c r="C809" s="1253" t="s">
        <v>741</v>
      </c>
      <c r="D809" s="1406">
        <v>1</v>
      </c>
      <c r="E809" s="1407">
        <v>0.9</v>
      </c>
      <c r="F809" s="1408">
        <v>0.1</v>
      </c>
      <c r="G809" s="1408">
        <v>7.4999999999999997E-2</v>
      </c>
      <c r="H809" s="1409">
        <f>ROUND(D809*E809*F809*G809,4)</f>
        <v>6.7999999999999996E-3</v>
      </c>
      <c r="I809" s="1205" t="s">
        <v>2322</v>
      </c>
      <c r="J809" s="1162"/>
    </row>
    <row r="810" spans="1:10" s="1256" customFormat="1" hidden="1">
      <c r="A810" s="1156"/>
      <c r="B810" s="1218"/>
      <c r="C810" s="1255"/>
      <c r="D810" s="1406"/>
      <c r="E810" s="1406"/>
      <c r="F810" s="1406"/>
      <c r="G810" s="1406"/>
      <c r="H810" s="1412">
        <f>SUM(H808:H809)</f>
        <v>3.5299999999999998E-2</v>
      </c>
      <c r="I810" s="1205" t="s">
        <v>2322</v>
      </c>
      <c r="J810" s="1162"/>
    </row>
    <row r="811" spans="1:10" s="1256" customFormat="1" hidden="1">
      <c r="A811" s="1156"/>
      <c r="B811" s="1218"/>
      <c r="C811" s="1255" t="s">
        <v>1686</v>
      </c>
      <c r="D811" s="1406">
        <v>2</v>
      </c>
      <c r="E811" s="1407">
        <v>2.0099999999999998</v>
      </c>
      <c r="F811" s="1408">
        <v>0.4</v>
      </c>
      <c r="G811" s="1408">
        <v>0.03</v>
      </c>
      <c r="H811" s="1409">
        <f>ROUND(D811*E811*F811*G811,4)</f>
        <v>4.82E-2</v>
      </c>
      <c r="I811" s="1205" t="s">
        <v>2322</v>
      </c>
      <c r="J811" s="1162"/>
    </row>
    <row r="812" spans="1:10" s="1256" customFormat="1" hidden="1">
      <c r="A812" s="1156"/>
      <c r="B812" s="1218"/>
      <c r="C812" s="1253"/>
      <c r="D812" s="1406"/>
      <c r="E812" s="1406"/>
      <c r="F812" s="1406"/>
      <c r="G812" s="1406"/>
      <c r="H812" s="1412">
        <f>SUM(H811:H811)</f>
        <v>4.82E-2</v>
      </c>
      <c r="I812" s="1205" t="s">
        <v>2322</v>
      </c>
      <c r="J812" s="1162"/>
    </row>
    <row r="813" spans="1:10" s="1256" customFormat="1" hidden="1">
      <c r="A813" s="1156"/>
      <c r="B813" s="1218" t="s">
        <v>1687</v>
      </c>
      <c r="C813" s="1253" t="s">
        <v>1688</v>
      </c>
      <c r="E813" s="1212" t="s">
        <v>35</v>
      </c>
      <c r="F813" s="1226">
        <f>H810</f>
        <v>3.5299999999999998E-2</v>
      </c>
      <c r="G813" s="1213">
        <f>'MINI SSR 2022-23'!$C$144</f>
        <v>51000</v>
      </c>
      <c r="H813" s="1214">
        <f t="shared" ref="H813:H820" si="59">ROUND(F813*G813,2)</f>
        <v>1800.3</v>
      </c>
      <c r="I813" s="1205" t="s">
        <v>2322</v>
      </c>
      <c r="J813" s="1162"/>
    </row>
    <row r="814" spans="1:10" s="1256" customFormat="1" hidden="1">
      <c r="A814" s="1156"/>
      <c r="B814" s="1218" t="s">
        <v>1689</v>
      </c>
      <c r="C814" s="1253" t="s">
        <v>1690</v>
      </c>
      <c r="E814" s="1212" t="s">
        <v>35</v>
      </c>
      <c r="F814" s="1226">
        <f>H812</f>
        <v>4.82E-2</v>
      </c>
      <c r="G814" s="1213">
        <f>'MINI SSR 2022-23'!C145</f>
        <v>63950</v>
      </c>
      <c r="H814" s="1214">
        <f t="shared" si="59"/>
        <v>3082.39</v>
      </c>
      <c r="I814" s="1205" t="s">
        <v>2322</v>
      </c>
      <c r="J814" s="1162"/>
    </row>
    <row r="815" spans="1:10" s="1256" customFormat="1" hidden="1">
      <c r="A815" s="1156"/>
      <c r="B815" s="1218" t="s">
        <v>1396</v>
      </c>
      <c r="C815" s="1253" t="s">
        <v>1691</v>
      </c>
      <c r="D815" s="1212"/>
      <c r="E815" s="1212" t="s">
        <v>11</v>
      </c>
      <c r="F815" s="1240">
        <v>2</v>
      </c>
      <c r="G815" s="1213">
        <f>'MINI SSR 2022-23'!G143</f>
        <v>86.5</v>
      </c>
      <c r="H815" s="1214">
        <f t="shared" si="59"/>
        <v>173</v>
      </c>
      <c r="I815" s="1205" t="s">
        <v>2322</v>
      </c>
      <c r="J815" s="1162"/>
    </row>
    <row r="816" spans="1:10" s="1256" customFormat="1" hidden="1">
      <c r="A816" s="1156"/>
      <c r="B816" s="1218" t="s">
        <v>1398</v>
      </c>
      <c r="C816" s="1253" t="s">
        <v>1380</v>
      </c>
      <c r="D816" s="1212"/>
      <c r="E816" s="1212" t="s">
        <v>11</v>
      </c>
      <c r="F816" s="1240">
        <v>6</v>
      </c>
      <c r="G816" s="1213">
        <f>'MINI SSR 2022-23'!G146</f>
        <v>129</v>
      </c>
      <c r="H816" s="1214">
        <f t="shared" si="59"/>
        <v>774</v>
      </c>
      <c r="I816" s="1205" t="s">
        <v>2322</v>
      </c>
      <c r="J816" s="1162"/>
    </row>
    <row r="817" spans="1:10" s="1256" customFormat="1" hidden="1">
      <c r="A817" s="1156"/>
      <c r="B817" s="1218" t="s">
        <v>1383</v>
      </c>
      <c r="C817" s="1253" t="s">
        <v>1382</v>
      </c>
      <c r="D817" s="1212"/>
      <c r="E817" s="1212" t="s">
        <v>11</v>
      </c>
      <c r="F817" s="1240"/>
      <c r="G817" s="1213">
        <f>'MINI SSR 2022-23'!G147</f>
        <v>114</v>
      </c>
      <c r="H817" s="1214">
        <f t="shared" si="59"/>
        <v>0</v>
      </c>
      <c r="I817" s="1205" t="s">
        <v>2322</v>
      </c>
      <c r="J817" s="1162"/>
    </row>
    <row r="818" spans="1:10" s="1256" customFormat="1" hidden="1">
      <c r="A818" s="1156"/>
      <c r="B818" s="1218" t="s">
        <v>1400</v>
      </c>
      <c r="C818" s="1253" t="s">
        <v>1692</v>
      </c>
      <c r="D818" s="1212"/>
      <c r="E818" s="1212" t="s">
        <v>11</v>
      </c>
      <c r="F818" s="1240">
        <v>2</v>
      </c>
      <c r="G818" s="1213">
        <f>'MINI SSR 2022-23'!G149</f>
        <v>338</v>
      </c>
      <c r="H818" s="1214">
        <f t="shared" si="59"/>
        <v>676</v>
      </c>
      <c r="I818" s="1205" t="s">
        <v>2322</v>
      </c>
      <c r="J818" s="1162"/>
    </row>
    <row r="819" spans="1:10" hidden="1">
      <c r="A819" s="1156"/>
      <c r="B819" s="1218" t="s">
        <v>1693</v>
      </c>
      <c r="C819" s="1253" t="s">
        <v>1694</v>
      </c>
      <c r="D819" s="1212"/>
      <c r="E819" s="1212" t="s">
        <v>11</v>
      </c>
      <c r="F819" s="1240">
        <v>1</v>
      </c>
      <c r="G819" s="1213">
        <f>'MINI SSR 2022-23'!G155</f>
        <v>58</v>
      </c>
      <c r="H819" s="1214">
        <f t="shared" si="59"/>
        <v>58</v>
      </c>
      <c r="I819" s="1205" t="s">
        <v>2322</v>
      </c>
    </row>
    <row r="820" spans="1:10" hidden="1">
      <c r="A820" s="1156"/>
      <c r="B820" s="1218" t="s">
        <v>1389</v>
      </c>
      <c r="C820" s="1253" t="s">
        <v>1388</v>
      </c>
      <c r="D820" s="1212"/>
      <c r="E820" s="1212" t="s">
        <v>11</v>
      </c>
      <c r="F820" s="1240">
        <v>6</v>
      </c>
      <c r="G820" s="1213">
        <f>'MINI SSR 2022-23'!G152</f>
        <v>39</v>
      </c>
      <c r="H820" s="1214">
        <f t="shared" si="59"/>
        <v>234</v>
      </c>
      <c r="I820" s="1205" t="s">
        <v>2322</v>
      </c>
    </row>
    <row r="821" spans="1:10" hidden="1">
      <c r="A821" s="1156"/>
      <c r="B821" s="1218"/>
      <c r="C821" s="1255" t="s">
        <v>68</v>
      </c>
      <c r="D821" s="1162"/>
      <c r="E821" s="1212"/>
      <c r="F821" s="1213"/>
      <c r="G821" s="1217"/>
      <c r="H821" s="1214"/>
      <c r="I821" s="1205" t="s">
        <v>2322</v>
      </c>
    </row>
    <row r="822" spans="1:10" hidden="1">
      <c r="A822" s="1156"/>
      <c r="B822" s="1212" t="s">
        <v>1695</v>
      </c>
      <c r="C822" s="1253" t="s">
        <v>1390</v>
      </c>
      <c r="D822" s="1162"/>
      <c r="E822" s="1212" t="s">
        <v>102</v>
      </c>
      <c r="F822" s="1213">
        <f>ROUND(0.9*2.1,2)</f>
        <v>1.89</v>
      </c>
      <c r="G822" s="1213">
        <f>'MINI SSR 2022-23'!$C$150</f>
        <v>1701</v>
      </c>
      <c r="H822" s="1214">
        <f>ROUND(F822*G822*1/3,2)</f>
        <v>1071.6300000000001</v>
      </c>
      <c r="I822" s="1205" t="s">
        <v>2322</v>
      </c>
    </row>
    <row r="823" spans="1:10" hidden="1">
      <c r="A823" s="1156"/>
      <c r="B823" s="1218"/>
      <c r="C823" s="1255"/>
      <c r="D823" s="1212"/>
      <c r="E823" s="1212"/>
      <c r="F823" s="1212"/>
      <c r="G823" s="1212"/>
      <c r="H823" s="1222">
        <f>SUM(H813:H822)</f>
        <v>7869.32</v>
      </c>
      <c r="I823" s="1205" t="s">
        <v>2322</v>
      </c>
    </row>
    <row r="824" spans="1:10" ht="114.75" hidden="1">
      <c r="A824" s="1156">
        <v>3</v>
      </c>
      <c r="B824" s="1218"/>
      <c r="C824" s="1253" t="s">
        <v>1696</v>
      </c>
      <c r="D824" s="1212"/>
      <c r="E824" s="1212"/>
      <c r="F824" s="1212"/>
      <c r="G824" s="1212"/>
      <c r="H824" s="1215"/>
      <c r="I824" s="1205" t="s">
        <v>2322</v>
      </c>
    </row>
    <row r="825" spans="1:10" hidden="1">
      <c r="A825" s="1156"/>
      <c r="B825" s="1218"/>
      <c r="C825" s="1255" t="s">
        <v>100</v>
      </c>
      <c r="D825" s="1212"/>
      <c r="E825" s="1212"/>
      <c r="F825" s="1212"/>
      <c r="G825" s="1212"/>
      <c r="H825" s="1215"/>
      <c r="I825" s="1205" t="s">
        <v>2322</v>
      </c>
    </row>
    <row r="826" spans="1:10" s="1256" customFormat="1" hidden="1">
      <c r="A826" s="1156"/>
      <c r="B826" s="1218"/>
      <c r="C826" s="1255" t="s">
        <v>1</v>
      </c>
      <c r="D826" s="1212"/>
      <c r="E826" s="1212"/>
      <c r="F826" s="1212"/>
      <c r="G826" s="1212"/>
      <c r="H826" s="1215"/>
      <c r="I826" s="1205" t="s">
        <v>2322</v>
      </c>
      <c r="J826" s="1162"/>
    </row>
    <row r="827" spans="1:10" s="1256" customFormat="1" hidden="1">
      <c r="A827" s="1156"/>
      <c r="B827" s="1218"/>
      <c r="C827" s="1253" t="s">
        <v>2</v>
      </c>
      <c r="D827" s="1406">
        <v>2</v>
      </c>
      <c r="E827" s="1407">
        <v>1.9</v>
      </c>
      <c r="F827" s="1408">
        <v>0.1</v>
      </c>
      <c r="G827" s="1408">
        <v>7.4999999999999997E-2</v>
      </c>
      <c r="H827" s="1409">
        <f>ROUND(D827*E827*F827*G827,4)</f>
        <v>2.8500000000000001E-2</v>
      </c>
      <c r="I827" s="1205" t="s">
        <v>2322</v>
      </c>
      <c r="J827" s="1162"/>
    </row>
    <row r="828" spans="1:10" s="1256" customFormat="1" hidden="1">
      <c r="A828" s="1156"/>
      <c r="B828" s="1218"/>
      <c r="C828" s="1253" t="s">
        <v>741</v>
      </c>
      <c r="D828" s="1406">
        <v>1</v>
      </c>
      <c r="E828" s="1407">
        <v>0.8</v>
      </c>
      <c r="F828" s="1408">
        <v>0.1</v>
      </c>
      <c r="G828" s="1408">
        <v>7.4999999999999997E-2</v>
      </c>
      <c r="H828" s="1409">
        <f>ROUND(D828*E828*F828*G828,4)</f>
        <v>6.0000000000000001E-3</v>
      </c>
      <c r="I828" s="1205" t="s">
        <v>2322</v>
      </c>
      <c r="J828" s="1162"/>
    </row>
    <row r="829" spans="1:10" s="1256" customFormat="1" hidden="1">
      <c r="A829" s="1156"/>
      <c r="B829" s="1218"/>
      <c r="C829" s="1255"/>
      <c r="D829" s="1406"/>
      <c r="E829" s="1406"/>
      <c r="F829" s="1406"/>
      <c r="G829" s="1406"/>
      <c r="H829" s="1412">
        <f>SUM(H827:H828)</f>
        <v>3.4500000000000003E-2</v>
      </c>
      <c r="I829" s="1205" t="s">
        <v>2322</v>
      </c>
      <c r="J829" s="1162"/>
    </row>
    <row r="830" spans="1:10" s="1256" customFormat="1" hidden="1">
      <c r="A830" s="1156"/>
      <c r="B830" s="1218"/>
      <c r="C830" s="1255" t="s">
        <v>1686</v>
      </c>
      <c r="D830" s="1406">
        <v>1</v>
      </c>
      <c r="E830" s="1407">
        <v>2.0099999999999998</v>
      </c>
      <c r="F830" s="1408">
        <v>0.72</v>
      </c>
      <c r="G830" s="1408">
        <v>0.03</v>
      </c>
      <c r="H830" s="1409">
        <f>ROUND(D830*E830*F830*G830,4)</f>
        <v>4.3400000000000001E-2</v>
      </c>
      <c r="I830" s="1205" t="s">
        <v>2322</v>
      </c>
      <c r="J830" s="1162"/>
    </row>
    <row r="831" spans="1:10" s="1256" customFormat="1" hidden="1">
      <c r="A831" s="1156"/>
      <c r="B831" s="1218"/>
      <c r="C831" s="1253"/>
      <c r="D831" s="1406"/>
      <c r="E831" s="1406"/>
      <c r="F831" s="1406"/>
      <c r="G831" s="1406"/>
      <c r="H831" s="1412">
        <f>SUM(H830:H830)</f>
        <v>4.3400000000000001E-2</v>
      </c>
      <c r="I831" s="1205" t="s">
        <v>2322</v>
      </c>
      <c r="J831" s="1162"/>
    </row>
    <row r="832" spans="1:10" s="1256" customFormat="1" hidden="1">
      <c r="A832" s="1156"/>
      <c r="B832" s="1218" t="s">
        <v>1687</v>
      </c>
      <c r="C832" s="1253" t="s">
        <v>1688</v>
      </c>
      <c r="E832" s="1212" t="s">
        <v>35</v>
      </c>
      <c r="F832" s="1226">
        <f>H829</f>
        <v>3.4500000000000003E-2</v>
      </c>
      <c r="G832" s="1213">
        <f>'MINI SSR 2022-23'!C144</f>
        <v>51000</v>
      </c>
      <c r="H832" s="1214">
        <f t="shared" ref="H832:H839" si="60">ROUND(F832*G832,2)</f>
        <v>1759.5</v>
      </c>
      <c r="I832" s="1205" t="s">
        <v>2322</v>
      </c>
      <c r="J832" s="1162"/>
    </row>
    <row r="833" spans="1:10" s="1256" customFormat="1" hidden="1">
      <c r="A833" s="1156"/>
      <c r="B833" s="1218" t="s">
        <v>1689</v>
      </c>
      <c r="C833" s="1253" t="s">
        <v>1690</v>
      </c>
      <c r="E833" s="1212" t="s">
        <v>35</v>
      </c>
      <c r="F833" s="1226">
        <f>H831</f>
        <v>4.3400000000000001E-2</v>
      </c>
      <c r="G833" s="1213">
        <f>'MINI SSR 2022-23'!C145</f>
        <v>63950</v>
      </c>
      <c r="H833" s="1214">
        <f t="shared" si="60"/>
        <v>2775.43</v>
      </c>
      <c r="I833" s="1205" t="s">
        <v>2322</v>
      </c>
      <c r="J833" s="1162"/>
    </row>
    <row r="834" spans="1:10" s="1256" customFormat="1" hidden="1">
      <c r="A834" s="1156"/>
      <c r="B834" s="1218" t="s">
        <v>1396</v>
      </c>
      <c r="C834" s="1253" t="s">
        <v>1691</v>
      </c>
      <c r="D834" s="1212"/>
      <c r="E834" s="1212" t="s">
        <v>11</v>
      </c>
      <c r="F834" s="1240">
        <v>2</v>
      </c>
      <c r="G834" s="1213">
        <f t="shared" ref="G834:G839" si="61">G815</f>
        <v>86.5</v>
      </c>
      <c r="H834" s="1214">
        <f t="shared" si="60"/>
        <v>173</v>
      </c>
      <c r="I834" s="1205" t="s">
        <v>2322</v>
      </c>
      <c r="J834" s="1162"/>
    </row>
    <row r="835" spans="1:10" s="1256" customFormat="1" hidden="1">
      <c r="A835" s="1156"/>
      <c r="B835" s="1218" t="s">
        <v>1398</v>
      </c>
      <c r="C835" s="1253" t="s">
        <v>1380</v>
      </c>
      <c r="D835" s="1212"/>
      <c r="E835" s="1212" t="s">
        <v>11</v>
      </c>
      <c r="F835" s="1240">
        <v>3</v>
      </c>
      <c r="G835" s="1213">
        <f t="shared" si="61"/>
        <v>129</v>
      </c>
      <c r="H835" s="1214">
        <f t="shared" si="60"/>
        <v>387</v>
      </c>
      <c r="I835" s="1205" t="s">
        <v>2322</v>
      </c>
      <c r="J835" s="1162"/>
    </row>
    <row r="836" spans="1:10" s="1256" customFormat="1" hidden="1">
      <c r="A836" s="1156"/>
      <c r="B836" s="1218" t="s">
        <v>1383</v>
      </c>
      <c r="C836" s="1253" t="s">
        <v>1382</v>
      </c>
      <c r="D836" s="1212"/>
      <c r="E836" s="1212" t="s">
        <v>11</v>
      </c>
      <c r="F836" s="1240"/>
      <c r="G836" s="1213">
        <f t="shared" si="61"/>
        <v>114</v>
      </c>
      <c r="H836" s="1214">
        <f t="shared" si="60"/>
        <v>0</v>
      </c>
      <c r="I836" s="1205" t="s">
        <v>2322</v>
      </c>
      <c r="J836" s="1162"/>
    </row>
    <row r="837" spans="1:10" s="1256" customFormat="1" hidden="1">
      <c r="A837" s="1156"/>
      <c r="B837" s="1218" t="s">
        <v>1400</v>
      </c>
      <c r="C837" s="1253" t="s">
        <v>1692</v>
      </c>
      <c r="D837" s="1212"/>
      <c r="E837" s="1212" t="s">
        <v>11</v>
      </c>
      <c r="F837" s="1240">
        <v>2</v>
      </c>
      <c r="G837" s="1213">
        <f t="shared" si="61"/>
        <v>338</v>
      </c>
      <c r="H837" s="1214">
        <f t="shared" si="60"/>
        <v>676</v>
      </c>
      <c r="I837" s="1205" t="s">
        <v>2322</v>
      </c>
      <c r="J837" s="1162"/>
    </row>
    <row r="838" spans="1:10" hidden="1">
      <c r="A838" s="1156"/>
      <c r="B838" s="1218" t="s">
        <v>1693</v>
      </c>
      <c r="C838" s="1253" t="s">
        <v>1694</v>
      </c>
      <c r="D838" s="1212"/>
      <c r="E838" s="1212" t="s">
        <v>11</v>
      </c>
      <c r="F838" s="1240">
        <v>1</v>
      </c>
      <c r="G838" s="1213">
        <f t="shared" si="61"/>
        <v>58</v>
      </c>
      <c r="H838" s="1214">
        <f t="shared" si="60"/>
        <v>58</v>
      </c>
      <c r="I838" s="1205" t="s">
        <v>2322</v>
      </c>
    </row>
    <row r="839" spans="1:10" hidden="1">
      <c r="A839" s="1156"/>
      <c r="B839" s="1218" t="s">
        <v>1389</v>
      </c>
      <c r="C839" s="1253" t="s">
        <v>1388</v>
      </c>
      <c r="D839" s="1212"/>
      <c r="E839" s="1212" t="s">
        <v>11</v>
      </c>
      <c r="F839" s="1240">
        <v>6</v>
      </c>
      <c r="G839" s="1213">
        <f t="shared" si="61"/>
        <v>39</v>
      </c>
      <c r="H839" s="1214">
        <f t="shared" si="60"/>
        <v>234</v>
      </c>
      <c r="I839" s="1205" t="s">
        <v>2322</v>
      </c>
    </row>
    <row r="840" spans="1:10" hidden="1">
      <c r="A840" s="1156"/>
      <c r="B840" s="1218"/>
      <c r="C840" s="1255" t="s">
        <v>68</v>
      </c>
      <c r="D840" s="1162"/>
      <c r="E840" s="1212"/>
      <c r="F840" s="1213"/>
      <c r="G840" s="1213"/>
      <c r="H840" s="1214"/>
      <c r="I840" s="1205" t="s">
        <v>2322</v>
      </c>
    </row>
    <row r="841" spans="1:10" hidden="1">
      <c r="A841" s="1156"/>
      <c r="B841" s="1212" t="s">
        <v>1695</v>
      </c>
      <c r="C841" s="1253" t="s">
        <v>1390</v>
      </c>
      <c r="D841" s="1162"/>
      <c r="E841" s="1212" t="s">
        <v>102</v>
      </c>
      <c r="F841" s="1213">
        <f>ROUND(0.8*2.1,2)</f>
        <v>1.68</v>
      </c>
      <c r="G841" s="1213">
        <f>G822</f>
        <v>1701</v>
      </c>
      <c r="H841" s="1214">
        <f>ROUND(F841*G841*1/3,2)</f>
        <v>952.56</v>
      </c>
      <c r="I841" s="1205" t="s">
        <v>2322</v>
      </c>
    </row>
    <row r="842" spans="1:10" hidden="1">
      <c r="A842" s="1156"/>
      <c r="B842" s="1218"/>
      <c r="C842" s="1255"/>
      <c r="D842" s="1212"/>
      <c r="E842" s="1212"/>
      <c r="F842" s="1212"/>
      <c r="G842" s="1212"/>
      <c r="H842" s="1222">
        <f>SUM(H832:H841)</f>
        <v>7015.49</v>
      </c>
      <c r="I842" s="1205" t="s">
        <v>2322</v>
      </c>
    </row>
    <row r="843" spans="1:10" ht="127.5" hidden="1">
      <c r="A843" s="1156">
        <v>5</v>
      </c>
      <c r="B843" s="1218"/>
      <c r="C843" s="1253" t="s">
        <v>1311</v>
      </c>
      <c r="D843" s="1212"/>
      <c r="E843" s="1212"/>
      <c r="F843" s="1212"/>
      <c r="G843" s="1212"/>
      <c r="H843" s="1215"/>
      <c r="I843" s="1205" t="s">
        <v>2322</v>
      </c>
    </row>
    <row r="844" spans="1:10" hidden="1">
      <c r="A844" s="1156"/>
      <c r="B844" s="1218"/>
      <c r="C844" s="1255" t="s">
        <v>100</v>
      </c>
      <c r="D844" s="1212"/>
      <c r="E844" s="1212"/>
      <c r="F844" s="1212"/>
      <c r="G844" s="1212"/>
      <c r="H844" s="1215"/>
      <c r="I844" s="1205" t="s">
        <v>2322</v>
      </c>
    </row>
    <row r="845" spans="1:10" s="1256" customFormat="1" hidden="1">
      <c r="A845" s="1156"/>
      <c r="B845" s="1218"/>
      <c r="C845" s="1255" t="s">
        <v>594</v>
      </c>
      <c r="D845" s="1212"/>
      <c r="E845" s="1212"/>
      <c r="F845" s="1212"/>
      <c r="G845" s="1212"/>
      <c r="H845" s="1215"/>
      <c r="I845" s="1205" t="s">
        <v>2322</v>
      </c>
      <c r="J845" s="1162"/>
    </row>
    <row r="846" spans="1:10" s="1256" customFormat="1" hidden="1">
      <c r="A846" s="1156"/>
      <c r="B846" s="1218"/>
      <c r="C846" s="1253" t="s">
        <v>2</v>
      </c>
      <c r="D846" s="1406">
        <v>2</v>
      </c>
      <c r="E846" s="1407">
        <v>1.9</v>
      </c>
      <c r="F846" s="1408">
        <v>0.1</v>
      </c>
      <c r="G846" s="1408">
        <v>7.4999999999999997E-2</v>
      </c>
      <c r="H846" s="1409">
        <f>ROUND(D846*E846*F846*G846,4)</f>
        <v>2.8500000000000001E-2</v>
      </c>
      <c r="I846" s="1205" t="s">
        <v>2322</v>
      </c>
      <c r="J846" s="1162"/>
    </row>
    <row r="847" spans="1:10" s="1256" customFormat="1" hidden="1">
      <c r="A847" s="1156"/>
      <c r="B847" s="1218"/>
      <c r="C847" s="1253" t="s">
        <v>741</v>
      </c>
      <c r="D847" s="1406">
        <v>1</v>
      </c>
      <c r="E847" s="1407">
        <v>1.05</v>
      </c>
      <c r="F847" s="1408">
        <v>0.1</v>
      </c>
      <c r="G847" s="1408">
        <v>7.4999999999999997E-2</v>
      </c>
      <c r="H847" s="1409">
        <f>ROUND(D847*E847*F847*G847,4)</f>
        <v>7.9000000000000008E-3</v>
      </c>
      <c r="I847" s="1205" t="s">
        <v>2322</v>
      </c>
      <c r="J847" s="1162"/>
    </row>
    <row r="848" spans="1:10" s="1256" customFormat="1" hidden="1">
      <c r="A848" s="1156"/>
      <c r="B848" s="1218"/>
      <c r="C848" s="1255"/>
      <c r="D848" s="1406"/>
      <c r="E848" s="1406"/>
      <c r="F848" s="1406"/>
      <c r="G848" s="1406"/>
      <c r="H848" s="1412">
        <f>SUM(H846:H847)</f>
        <v>3.6400000000000002E-2</v>
      </c>
      <c r="I848" s="1205" t="s">
        <v>2322</v>
      </c>
      <c r="J848" s="1162"/>
    </row>
    <row r="849" spans="1:10" s="1256" customFormat="1" hidden="1">
      <c r="A849" s="1156"/>
      <c r="B849" s="1218"/>
      <c r="C849" s="1255" t="s">
        <v>320</v>
      </c>
      <c r="D849" s="1406">
        <v>1</v>
      </c>
      <c r="E849" s="1407">
        <v>2.0099999999999998</v>
      </c>
      <c r="F849" s="1408">
        <v>0.94</v>
      </c>
      <c r="G849" s="1408">
        <v>0.03</v>
      </c>
      <c r="H849" s="1409">
        <f>ROUND(D849*E849*F849*G849,4)</f>
        <v>5.67E-2</v>
      </c>
      <c r="I849" s="1205" t="s">
        <v>2322</v>
      </c>
      <c r="J849" s="1162"/>
    </row>
    <row r="850" spans="1:10" s="1256" customFormat="1" hidden="1">
      <c r="A850" s="1156"/>
      <c r="B850" s="1218"/>
      <c r="C850" s="1253"/>
      <c r="D850" s="1406"/>
      <c r="E850" s="1406"/>
      <c r="F850" s="1406"/>
      <c r="G850" s="1406"/>
      <c r="H850" s="1412">
        <f>SUM(H849:H849)</f>
        <v>5.67E-2</v>
      </c>
      <c r="I850" s="1205" t="s">
        <v>2322</v>
      </c>
      <c r="J850" s="1162"/>
    </row>
    <row r="851" spans="1:10" s="1256" customFormat="1" hidden="1">
      <c r="A851" s="1156"/>
      <c r="B851" s="1218" t="s">
        <v>1375</v>
      </c>
      <c r="C851" s="1253" t="s">
        <v>1374</v>
      </c>
      <c r="E851" s="1212" t="s">
        <v>35</v>
      </c>
      <c r="F851" s="1226">
        <f>H848</f>
        <v>3.6400000000000002E-2</v>
      </c>
      <c r="G851" s="1213">
        <f>'MINI SSR 2022-23'!$C$142</f>
        <v>81950</v>
      </c>
      <c r="H851" s="1214">
        <f t="shared" ref="H851:H858" si="62">ROUND(F851*G851,2)</f>
        <v>2982.98</v>
      </c>
      <c r="I851" s="1205" t="s">
        <v>2322</v>
      </c>
      <c r="J851" s="1162"/>
    </row>
    <row r="852" spans="1:10" s="1256" customFormat="1" hidden="1">
      <c r="A852" s="1156"/>
      <c r="B852" s="1218" t="s">
        <v>1377</v>
      </c>
      <c r="C852" s="1253" t="s">
        <v>1376</v>
      </c>
      <c r="E852" s="1212" t="s">
        <v>35</v>
      </c>
      <c r="F852" s="1226">
        <f>H850</f>
        <v>5.67E-2</v>
      </c>
      <c r="G852" s="1213">
        <f>'MINI SSR 2022-23'!C143</f>
        <v>160920</v>
      </c>
      <c r="H852" s="1214">
        <f t="shared" si="62"/>
        <v>9124.16</v>
      </c>
      <c r="I852" s="1205" t="s">
        <v>2322</v>
      </c>
      <c r="J852" s="1162"/>
    </row>
    <row r="853" spans="1:10" s="1256" customFormat="1" hidden="1">
      <c r="A853" s="1156"/>
      <c r="B853" s="1218" t="s">
        <v>1379</v>
      </c>
      <c r="C853" s="1253" t="s">
        <v>1378</v>
      </c>
      <c r="D853" s="1212"/>
      <c r="E853" s="1212" t="s">
        <v>11</v>
      </c>
      <c r="F853" s="1240">
        <v>2</v>
      </c>
      <c r="G853" s="1213">
        <f t="shared" ref="G853:G858" si="63">G722</f>
        <v>255</v>
      </c>
      <c r="H853" s="1214">
        <f t="shared" si="62"/>
        <v>510</v>
      </c>
      <c r="I853" s="1205" t="s">
        <v>2322</v>
      </c>
      <c r="J853" s="1162"/>
    </row>
    <row r="854" spans="1:10" s="1256" customFormat="1" hidden="1">
      <c r="A854" s="1156"/>
      <c r="B854" s="1218" t="s">
        <v>1381</v>
      </c>
      <c r="C854" s="1253" t="s">
        <v>1380</v>
      </c>
      <c r="D854" s="1212"/>
      <c r="E854" s="1212" t="s">
        <v>11</v>
      </c>
      <c r="F854" s="1240">
        <v>3</v>
      </c>
      <c r="G854" s="1213">
        <f t="shared" si="63"/>
        <v>273</v>
      </c>
      <c r="H854" s="1214">
        <f t="shared" si="62"/>
        <v>819</v>
      </c>
      <c r="I854" s="1205" t="s">
        <v>2322</v>
      </c>
      <c r="J854" s="1162"/>
    </row>
    <row r="855" spans="1:10" s="1256" customFormat="1" hidden="1">
      <c r="A855" s="1156"/>
      <c r="B855" s="1218" t="s">
        <v>1383</v>
      </c>
      <c r="C855" s="1253" t="s">
        <v>1382</v>
      </c>
      <c r="D855" s="1212"/>
      <c r="E855" s="1212" t="s">
        <v>11</v>
      </c>
      <c r="F855" s="1240"/>
      <c r="G855" s="1213">
        <f t="shared" si="63"/>
        <v>108</v>
      </c>
      <c r="H855" s="1214">
        <f t="shared" si="62"/>
        <v>0</v>
      </c>
      <c r="I855" s="1205" t="s">
        <v>2322</v>
      </c>
      <c r="J855" s="1162"/>
    </row>
    <row r="856" spans="1:10" s="1256" customFormat="1" hidden="1">
      <c r="A856" s="1156"/>
      <c r="B856" s="1218" t="s">
        <v>1385</v>
      </c>
      <c r="C856" s="1253" t="s">
        <v>1384</v>
      </c>
      <c r="D856" s="1212"/>
      <c r="E856" s="1212" t="s">
        <v>11</v>
      </c>
      <c r="F856" s="1240">
        <v>2</v>
      </c>
      <c r="G856" s="1213">
        <f t="shared" si="63"/>
        <v>1195</v>
      </c>
      <c r="H856" s="1214">
        <f t="shared" si="62"/>
        <v>2390</v>
      </c>
      <c r="I856" s="1205" t="s">
        <v>2322</v>
      </c>
      <c r="J856" s="1162"/>
    </row>
    <row r="857" spans="1:10" hidden="1">
      <c r="A857" s="1156"/>
      <c r="B857" s="1218" t="s">
        <v>1387</v>
      </c>
      <c r="C857" s="1253" t="s">
        <v>1386</v>
      </c>
      <c r="D857" s="1212"/>
      <c r="E857" s="1212" t="s">
        <v>11</v>
      </c>
      <c r="F857" s="1240">
        <v>1</v>
      </c>
      <c r="G857" s="1213">
        <f t="shared" si="63"/>
        <v>185</v>
      </c>
      <c r="H857" s="1214">
        <f t="shared" si="62"/>
        <v>185</v>
      </c>
      <c r="I857" s="1205" t="s">
        <v>2322</v>
      </c>
    </row>
    <row r="858" spans="1:10" hidden="1">
      <c r="A858" s="1156"/>
      <c r="B858" s="1218" t="s">
        <v>1389</v>
      </c>
      <c r="C858" s="1253" t="s">
        <v>1388</v>
      </c>
      <c r="D858" s="1212"/>
      <c r="E858" s="1212" t="s">
        <v>11</v>
      </c>
      <c r="F858" s="1240">
        <v>6</v>
      </c>
      <c r="G858" s="1213">
        <f t="shared" si="63"/>
        <v>39</v>
      </c>
      <c r="H858" s="1214">
        <f t="shared" si="62"/>
        <v>234</v>
      </c>
      <c r="I858" s="1205" t="s">
        <v>2322</v>
      </c>
    </row>
    <row r="859" spans="1:10" hidden="1">
      <c r="A859" s="1156"/>
      <c r="B859" s="1218"/>
      <c r="C859" s="1255" t="s">
        <v>68</v>
      </c>
      <c r="D859" s="1162"/>
      <c r="E859" s="1212"/>
      <c r="F859" s="1213"/>
      <c r="G859" s="1213"/>
      <c r="H859" s="1214"/>
      <c r="I859" s="1205" t="s">
        <v>2322</v>
      </c>
    </row>
    <row r="860" spans="1:10" hidden="1">
      <c r="A860" s="1156"/>
      <c r="B860" s="1212" t="s">
        <v>1391</v>
      </c>
      <c r="C860" s="1253" t="s">
        <v>1390</v>
      </c>
      <c r="D860" s="1162"/>
      <c r="E860" s="1212" t="s">
        <v>102</v>
      </c>
      <c r="F860" s="1213">
        <f>ROUND(1.05*2.1,2)</f>
        <v>2.21</v>
      </c>
      <c r="G860" s="1213">
        <f>G729</f>
        <v>1727</v>
      </c>
      <c r="H860" s="1214">
        <f>ROUND(F860*G860*1/3,2)</f>
        <v>1272.22</v>
      </c>
      <c r="I860" s="1205" t="s">
        <v>2322</v>
      </c>
    </row>
    <row r="861" spans="1:10" hidden="1">
      <c r="A861" s="1156"/>
      <c r="B861" s="1218"/>
      <c r="C861" s="1255"/>
      <c r="D861" s="1212"/>
      <c r="E861" s="1212"/>
      <c r="F861" s="1212"/>
      <c r="G861" s="1212"/>
      <c r="H861" s="1222">
        <f>SUM(H851:H860)</f>
        <v>17517.36</v>
      </c>
      <c r="I861" s="1205" t="s">
        <v>2322</v>
      </c>
    </row>
    <row r="862" spans="1:10" ht="127.5" hidden="1">
      <c r="A862" s="1156">
        <v>4</v>
      </c>
      <c r="B862" s="1218"/>
      <c r="C862" s="1253" t="s">
        <v>2213</v>
      </c>
      <c r="D862" s="1212"/>
      <c r="E862" s="1212"/>
      <c r="F862" s="1212"/>
      <c r="G862" s="1212"/>
      <c r="H862" s="1215"/>
      <c r="I862" s="1205" t="s">
        <v>2322</v>
      </c>
    </row>
    <row r="863" spans="1:10" hidden="1">
      <c r="A863" s="1156"/>
      <c r="B863" s="1218"/>
      <c r="C863" s="1255" t="s">
        <v>100</v>
      </c>
      <c r="D863" s="1212"/>
      <c r="E863" s="1212"/>
      <c r="F863" s="1212"/>
      <c r="G863" s="1212"/>
      <c r="H863" s="1215"/>
      <c r="I863" s="1205" t="s">
        <v>2322</v>
      </c>
    </row>
    <row r="864" spans="1:10" s="1256" customFormat="1" hidden="1">
      <c r="A864" s="1156"/>
      <c r="B864" s="1218"/>
      <c r="C864" s="1255" t="s">
        <v>60</v>
      </c>
      <c r="D864" s="1212"/>
      <c r="E864" s="1212"/>
      <c r="F864" s="1212"/>
      <c r="G864" s="1212"/>
      <c r="H864" s="1215"/>
      <c r="I864" s="1205" t="s">
        <v>2322</v>
      </c>
      <c r="J864" s="1162"/>
    </row>
    <row r="865" spans="1:12" s="1256" customFormat="1" hidden="1">
      <c r="A865" s="1156"/>
      <c r="B865" s="1218"/>
      <c r="C865" s="1255" t="s">
        <v>1</v>
      </c>
      <c r="D865" s="1212"/>
      <c r="E865" s="1212"/>
      <c r="F865" s="1212"/>
      <c r="G865" s="1212"/>
      <c r="H865" s="1215"/>
      <c r="I865" s="1205" t="s">
        <v>2322</v>
      </c>
      <c r="J865" s="1162"/>
    </row>
    <row r="866" spans="1:12" s="1256" customFormat="1" hidden="1">
      <c r="A866" s="1156"/>
      <c r="B866" s="1218"/>
      <c r="C866" s="1253" t="s">
        <v>2</v>
      </c>
      <c r="D866" s="1406">
        <v>2</v>
      </c>
      <c r="E866" s="1407">
        <v>1.95</v>
      </c>
      <c r="F866" s="1408">
        <v>0.1</v>
      </c>
      <c r="G866" s="1408">
        <v>7.4999999999999997E-2</v>
      </c>
      <c r="H866" s="1409">
        <f>ROUND(D866*E866*F866*G866,4)</f>
        <v>2.93E-2</v>
      </c>
      <c r="I866" s="1205" t="s">
        <v>2322</v>
      </c>
      <c r="J866" s="1162"/>
    </row>
    <row r="867" spans="1:12" s="1256" customFormat="1" hidden="1">
      <c r="A867" s="1156"/>
      <c r="B867" s="1218"/>
      <c r="C867" s="1253" t="s">
        <v>741</v>
      </c>
      <c r="D867" s="1406">
        <v>2</v>
      </c>
      <c r="E867" s="1407">
        <v>1.05</v>
      </c>
      <c r="F867" s="1408">
        <v>0.1</v>
      </c>
      <c r="G867" s="1408">
        <v>7.4999999999999997E-2</v>
      </c>
      <c r="H867" s="1409">
        <f>ROUND(D867*E867*F867*G867,4)</f>
        <v>1.5800000000000002E-2</v>
      </c>
      <c r="I867" s="1205" t="s">
        <v>2322</v>
      </c>
      <c r="J867" s="1162"/>
    </row>
    <row r="868" spans="1:12" s="1256" customFormat="1" hidden="1">
      <c r="A868" s="1156"/>
      <c r="B868" s="1218"/>
      <c r="C868" s="1255"/>
      <c r="D868" s="1212"/>
      <c r="E868" s="1212"/>
      <c r="F868" s="1212"/>
      <c r="G868" s="1212"/>
      <c r="H868" s="1410">
        <f>SUM(H866:H867)</f>
        <v>4.5100000000000001E-2</v>
      </c>
      <c r="I868" s="1205" t="s">
        <v>2322</v>
      </c>
      <c r="J868" s="1162"/>
    </row>
    <row r="869" spans="1:12" s="1256" customFormat="1" hidden="1">
      <c r="A869" s="1156"/>
      <c r="B869" s="1218" t="s">
        <v>1375</v>
      </c>
      <c r="C869" s="1253" t="s">
        <v>1374</v>
      </c>
      <c r="D869" s="1212"/>
      <c r="E869" s="1212" t="s">
        <v>35</v>
      </c>
      <c r="F869" s="1226">
        <f>H868</f>
        <v>4.5100000000000001E-2</v>
      </c>
      <c r="G869" s="1213">
        <f>'MINI SSR 2022-23'!$C$142</f>
        <v>81950</v>
      </c>
      <c r="H869" s="1214">
        <f t="shared" ref="H869:H877" si="64">ROUND(F869*G869,2)</f>
        <v>3695.95</v>
      </c>
      <c r="I869" s="1205" t="s">
        <v>2322</v>
      </c>
      <c r="J869" s="1162"/>
    </row>
    <row r="870" spans="1:12" s="1256" customFormat="1" hidden="1">
      <c r="A870" s="1156"/>
      <c r="B870" s="1212" t="s">
        <v>2099</v>
      </c>
      <c r="C870" s="1253" t="s">
        <v>2100</v>
      </c>
      <c r="D870" s="1212"/>
      <c r="E870" s="1212" t="s">
        <v>102</v>
      </c>
      <c r="F870" s="1226">
        <f>ROUND(0.74*1.995,2)</f>
        <v>1.48</v>
      </c>
      <c r="G870" s="1213">
        <f>'MINI SSR 2022-23'!$C$148</f>
        <v>2000</v>
      </c>
      <c r="H870" s="1214">
        <f t="shared" si="64"/>
        <v>2960</v>
      </c>
      <c r="I870" s="1205" t="s">
        <v>2322</v>
      </c>
      <c r="J870" s="1162"/>
      <c r="K870" s="1256">
        <f>(1*0.775)/1.05</f>
        <v>0.73809523809523814</v>
      </c>
    </row>
    <row r="871" spans="1:12" s="1256" customFormat="1" hidden="1">
      <c r="A871" s="1156"/>
      <c r="B871" s="1212" t="s">
        <v>2101</v>
      </c>
      <c r="C871" s="1253" t="s">
        <v>2105</v>
      </c>
      <c r="D871" s="1212"/>
      <c r="E871" s="1212" t="s">
        <v>102</v>
      </c>
      <c r="F871" s="1226">
        <f>F870</f>
        <v>1.48</v>
      </c>
      <c r="G871" s="1213">
        <f>'MINI SSR 2022-23'!$C$151</f>
        <v>1036</v>
      </c>
      <c r="H871" s="1214">
        <f t="shared" si="64"/>
        <v>1533.28</v>
      </c>
      <c r="I871" s="1205" t="s">
        <v>2322</v>
      </c>
      <c r="J871" s="1162"/>
    </row>
    <row r="872" spans="1:12" hidden="1">
      <c r="A872" s="1156"/>
      <c r="B872" s="1212" t="s">
        <v>1396</v>
      </c>
      <c r="C872" s="1253" t="s">
        <v>1395</v>
      </c>
      <c r="D872" s="1212"/>
      <c r="E872" s="1212" t="s">
        <v>11</v>
      </c>
      <c r="F872" s="1240">
        <v>2</v>
      </c>
      <c r="G872" s="1213">
        <f>'MINI SSR 2022-23'!$G$143</f>
        <v>86.5</v>
      </c>
      <c r="H872" s="1214">
        <f t="shared" si="64"/>
        <v>173</v>
      </c>
      <c r="I872" s="1205" t="s">
        <v>2322</v>
      </c>
    </row>
    <row r="873" spans="1:12" hidden="1">
      <c r="A873" s="1156"/>
      <c r="B873" s="1212" t="s">
        <v>1398</v>
      </c>
      <c r="C873" s="1253" t="s">
        <v>1397</v>
      </c>
      <c r="D873" s="1212"/>
      <c r="E873" s="1212" t="s">
        <v>11</v>
      </c>
      <c r="F873" s="1240">
        <v>3</v>
      </c>
      <c r="G873" s="1213">
        <f>'MINI SSR 2022-23'!$G$146</f>
        <v>129</v>
      </c>
      <c r="H873" s="1214">
        <f t="shared" si="64"/>
        <v>387</v>
      </c>
      <c r="I873" s="1205" t="s">
        <v>2322</v>
      </c>
    </row>
    <row r="874" spans="1:12" hidden="1">
      <c r="A874" s="1156"/>
      <c r="B874" s="1212" t="s">
        <v>1383</v>
      </c>
      <c r="C874" s="1253" t="s">
        <v>1382</v>
      </c>
      <c r="D874" s="1212"/>
      <c r="E874" s="1212" t="s">
        <v>11</v>
      </c>
      <c r="F874" s="1240">
        <v>2</v>
      </c>
      <c r="G874" s="1213">
        <f>'MINI SSR 2022-23'!$G$144</f>
        <v>108</v>
      </c>
      <c r="H874" s="1214">
        <f t="shared" si="64"/>
        <v>216</v>
      </c>
      <c r="I874" s="1205" t="s">
        <v>2322</v>
      </c>
    </row>
    <row r="875" spans="1:12" hidden="1">
      <c r="A875" s="1156"/>
      <c r="B875" s="1212" t="s">
        <v>1400</v>
      </c>
      <c r="C875" s="1253" t="s">
        <v>1399</v>
      </c>
      <c r="D875" s="1212"/>
      <c r="E875" s="1212" t="s">
        <v>11</v>
      </c>
      <c r="F875" s="1240">
        <v>2</v>
      </c>
      <c r="G875" s="1213">
        <f>'MINI SSR 2022-23'!$G$149</f>
        <v>338</v>
      </c>
      <c r="H875" s="1214">
        <f t="shared" si="64"/>
        <v>676</v>
      </c>
      <c r="I875" s="1205" t="s">
        <v>2322</v>
      </c>
    </row>
    <row r="876" spans="1:12" hidden="1">
      <c r="A876" s="1156"/>
      <c r="B876" s="1212" t="s">
        <v>1402</v>
      </c>
      <c r="C876" s="1253" t="s">
        <v>1401</v>
      </c>
      <c r="D876" s="1212"/>
      <c r="E876" s="1212" t="s">
        <v>11</v>
      </c>
      <c r="F876" s="1240">
        <v>1</v>
      </c>
      <c r="G876" s="1213">
        <f>'MINI SSR 2022-23'!$G$155</f>
        <v>58</v>
      </c>
      <c r="H876" s="1214">
        <f t="shared" si="64"/>
        <v>58</v>
      </c>
      <c r="I876" s="1205" t="s">
        <v>2322</v>
      </c>
    </row>
    <row r="877" spans="1:12" hidden="1">
      <c r="A877" s="1156"/>
      <c r="B877" s="1212" t="s">
        <v>1389</v>
      </c>
      <c r="C877" s="1253" t="s">
        <v>1388</v>
      </c>
      <c r="D877" s="1212"/>
      <c r="E877" s="1212" t="s">
        <v>11</v>
      </c>
      <c r="F877" s="1240">
        <v>6</v>
      </c>
      <c r="G877" s="1213">
        <f>'MINI SSR 2022-23'!$G$152</f>
        <v>39</v>
      </c>
      <c r="H877" s="1214">
        <f t="shared" si="64"/>
        <v>234</v>
      </c>
      <c r="I877" s="1205" t="s">
        <v>2322</v>
      </c>
    </row>
    <row r="878" spans="1:12" hidden="1">
      <c r="A878" s="1212"/>
      <c r="B878" s="1212"/>
      <c r="C878" s="1255" t="s">
        <v>68</v>
      </c>
      <c r="D878" s="1212"/>
      <c r="E878" s="1212"/>
      <c r="F878" s="1213"/>
      <c r="G878" s="1217"/>
      <c r="H878" s="1214"/>
      <c r="I878" s="1205" t="s">
        <v>2322</v>
      </c>
    </row>
    <row r="879" spans="1:12" ht="25.5" hidden="1">
      <c r="A879" s="1212"/>
      <c r="B879" s="1212" t="s">
        <v>1391</v>
      </c>
      <c r="C879" s="1253" t="s">
        <v>1403</v>
      </c>
      <c r="D879" s="1212"/>
      <c r="E879" s="1212" t="s">
        <v>102</v>
      </c>
      <c r="F879" s="1213">
        <f>ROUND(1.05*2.1,2)</f>
        <v>2.21</v>
      </c>
      <c r="G879" s="1213">
        <f>'MINI SSR 2022-23'!$C$150</f>
        <v>1701</v>
      </c>
      <c r="H879" s="1214">
        <f>ROUND(F879*G879*1/3,2)</f>
        <v>1253.07</v>
      </c>
      <c r="I879" s="1205" t="s">
        <v>2322</v>
      </c>
      <c r="L879" s="1260"/>
    </row>
    <row r="880" spans="1:12" ht="13.5" hidden="1" thickBot="1">
      <c r="A880" s="1212"/>
      <c r="B880" s="1212"/>
      <c r="C880" s="1255"/>
      <c r="D880" s="1212"/>
      <c r="E880" s="1212"/>
      <c r="F880" s="1212"/>
      <c r="G880" s="1212"/>
      <c r="H880" s="1222">
        <f>SUM(H869:H879)</f>
        <v>11186.3</v>
      </c>
      <c r="I880" s="1205" t="s">
        <v>2322</v>
      </c>
      <c r="L880" s="1411">
        <f>SUM(L879)</f>
        <v>0</v>
      </c>
    </row>
    <row r="881" spans="1:10" ht="127.5" hidden="1">
      <c r="A881" s="1156">
        <v>5</v>
      </c>
      <c r="B881" s="1218"/>
      <c r="C881" s="1253" t="s">
        <v>2145</v>
      </c>
      <c r="D881" s="1212"/>
      <c r="E881" s="1212"/>
      <c r="F881" s="1212"/>
      <c r="G881" s="1212"/>
      <c r="H881" s="1215"/>
      <c r="I881" s="1205" t="s">
        <v>2322</v>
      </c>
    </row>
    <row r="882" spans="1:10" hidden="1">
      <c r="A882" s="1156"/>
      <c r="B882" s="1218"/>
      <c r="C882" s="1255" t="s">
        <v>100</v>
      </c>
      <c r="D882" s="1212"/>
      <c r="E882" s="1212"/>
      <c r="F882" s="1212"/>
      <c r="G882" s="1212"/>
      <c r="H882" s="1215"/>
      <c r="I882" s="1205" t="s">
        <v>2322</v>
      </c>
    </row>
    <row r="883" spans="1:10" s="1256" customFormat="1" hidden="1">
      <c r="A883" s="1156"/>
      <c r="B883" s="1218"/>
      <c r="C883" s="1255" t="s">
        <v>60</v>
      </c>
      <c r="D883" s="1212"/>
      <c r="E883" s="1212"/>
      <c r="F883" s="1212"/>
      <c r="G883" s="1212"/>
      <c r="H883" s="1215"/>
      <c r="I883" s="1205" t="s">
        <v>2322</v>
      </c>
      <c r="J883" s="1162"/>
    </row>
    <row r="884" spans="1:10" s="1256" customFormat="1" hidden="1">
      <c r="A884" s="1156"/>
      <c r="B884" s="1218"/>
      <c r="C884" s="1255" t="s">
        <v>1</v>
      </c>
      <c r="D884" s="1212"/>
      <c r="E884" s="1212"/>
      <c r="F884" s="1212"/>
      <c r="G884" s="1212"/>
      <c r="H884" s="1215"/>
      <c r="I884" s="1205" t="s">
        <v>2322</v>
      </c>
      <c r="J884" s="1162"/>
    </row>
    <row r="885" spans="1:10" s="1256" customFormat="1" hidden="1">
      <c r="A885" s="1156"/>
      <c r="B885" s="1218"/>
      <c r="C885" s="1253" t="s">
        <v>2</v>
      </c>
      <c r="D885" s="1406">
        <v>2</v>
      </c>
      <c r="E885" s="1407">
        <v>1.95</v>
      </c>
      <c r="F885" s="1408">
        <v>0.1</v>
      </c>
      <c r="G885" s="1408">
        <v>7.4999999999999997E-2</v>
      </c>
      <c r="H885" s="1409">
        <f>ROUND(D885*E885*F885*G885,4)</f>
        <v>2.93E-2</v>
      </c>
      <c r="I885" s="1205" t="s">
        <v>2322</v>
      </c>
      <c r="J885" s="1162"/>
    </row>
    <row r="886" spans="1:10" s="1256" customFormat="1" hidden="1">
      <c r="A886" s="1156"/>
      <c r="B886" s="1218"/>
      <c r="C886" s="1253" t="s">
        <v>741</v>
      </c>
      <c r="D886" s="1406">
        <v>2</v>
      </c>
      <c r="E886" s="1407">
        <v>0.9</v>
      </c>
      <c r="F886" s="1408">
        <v>0.1</v>
      </c>
      <c r="G886" s="1408">
        <v>7.4999999999999997E-2</v>
      </c>
      <c r="H886" s="1409">
        <f>ROUND(D886*E886*F886*G886,4)</f>
        <v>1.35E-2</v>
      </c>
      <c r="I886" s="1205" t="s">
        <v>2322</v>
      </c>
      <c r="J886" s="1162"/>
    </row>
    <row r="887" spans="1:10" s="1256" customFormat="1" hidden="1">
      <c r="A887" s="1156"/>
      <c r="B887" s="1218"/>
      <c r="C887" s="1255"/>
      <c r="D887" s="1212"/>
      <c r="E887" s="1212"/>
      <c r="F887" s="1212"/>
      <c r="G887" s="1212"/>
      <c r="H887" s="1410">
        <f>SUM(H885:H886)</f>
        <v>4.2799999999999998E-2</v>
      </c>
      <c r="I887" s="1205" t="s">
        <v>2322</v>
      </c>
      <c r="J887" s="1162"/>
    </row>
    <row r="888" spans="1:10" s="1256" customFormat="1" hidden="1">
      <c r="A888" s="1156"/>
      <c r="B888" s="1218" t="s">
        <v>1375</v>
      </c>
      <c r="C888" s="1253" t="s">
        <v>1374</v>
      </c>
      <c r="D888" s="1212"/>
      <c r="E888" s="1212" t="s">
        <v>35</v>
      </c>
      <c r="F888" s="1226">
        <f>H887</f>
        <v>4.2799999999999998E-2</v>
      </c>
      <c r="G888" s="1213">
        <f>'MINI SSR 2022-23'!$C$142</f>
        <v>81950</v>
      </c>
      <c r="H888" s="1214">
        <f t="shared" ref="H888:H896" si="65">ROUND(F888*G888,2)</f>
        <v>3507.46</v>
      </c>
      <c r="I888" s="1205" t="s">
        <v>2322</v>
      </c>
      <c r="J888" s="1162"/>
    </row>
    <row r="889" spans="1:10" s="1256" customFormat="1" hidden="1">
      <c r="A889" s="1156"/>
      <c r="B889" s="1212" t="s">
        <v>2099</v>
      </c>
      <c r="C889" s="1253" t="s">
        <v>2100</v>
      </c>
      <c r="D889" s="1212"/>
      <c r="E889" s="1212" t="s">
        <v>102</v>
      </c>
      <c r="F889" s="1226">
        <f>ROUND(0.66*1.995,2)</f>
        <v>1.32</v>
      </c>
      <c r="G889" s="1213">
        <f>'MINI SSR 2022-23'!$C$148</f>
        <v>2000</v>
      </c>
      <c r="H889" s="1214">
        <f t="shared" si="65"/>
        <v>2640</v>
      </c>
      <c r="I889" s="1205" t="s">
        <v>2322</v>
      </c>
      <c r="J889" s="1162"/>
    </row>
    <row r="890" spans="1:10" s="1256" customFormat="1" hidden="1">
      <c r="A890" s="1156"/>
      <c r="B890" s="1212" t="s">
        <v>2101</v>
      </c>
      <c r="C890" s="1253" t="s">
        <v>2105</v>
      </c>
      <c r="D890" s="1212"/>
      <c r="E890" s="1212" t="s">
        <v>102</v>
      </c>
      <c r="F890" s="1226">
        <f>F889</f>
        <v>1.32</v>
      </c>
      <c r="G890" s="1213">
        <f>'MINI SSR 2022-23'!$C$151</f>
        <v>1036</v>
      </c>
      <c r="H890" s="1214">
        <f t="shared" si="65"/>
        <v>1367.52</v>
      </c>
      <c r="I890" s="1205" t="s">
        <v>2322</v>
      </c>
      <c r="J890" s="1162"/>
    </row>
    <row r="891" spans="1:10" hidden="1">
      <c r="A891" s="1156"/>
      <c r="B891" s="1212" t="s">
        <v>1396</v>
      </c>
      <c r="C891" s="1253" t="s">
        <v>1395</v>
      </c>
      <c r="D891" s="1212"/>
      <c r="E891" s="1212" t="s">
        <v>11</v>
      </c>
      <c r="F891" s="1240">
        <v>2</v>
      </c>
      <c r="G891" s="1213">
        <f>'MINI SSR 2022-23'!$G$143</f>
        <v>86.5</v>
      </c>
      <c r="H891" s="1214">
        <f t="shared" si="65"/>
        <v>173</v>
      </c>
      <c r="I891" s="1205" t="s">
        <v>2322</v>
      </c>
    </row>
    <row r="892" spans="1:10" hidden="1">
      <c r="A892" s="1156"/>
      <c r="B892" s="1212" t="s">
        <v>1398</v>
      </c>
      <c r="C892" s="1253" t="s">
        <v>1397</v>
      </c>
      <c r="D892" s="1212"/>
      <c r="E892" s="1212" t="s">
        <v>11</v>
      </c>
      <c r="F892" s="1240">
        <v>3</v>
      </c>
      <c r="G892" s="1213">
        <f>'MINI SSR 2022-23'!$G$146</f>
        <v>129</v>
      </c>
      <c r="H892" s="1214">
        <f t="shared" si="65"/>
        <v>387</v>
      </c>
      <c r="I892" s="1205" t="s">
        <v>2322</v>
      </c>
    </row>
    <row r="893" spans="1:10" hidden="1">
      <c r="A893" s="1156"/>
      <c r="B893" s="1212" t="s">
        <v>1383</v>
      </c>
      <c r="C893" s="1253" t="s">
        <v>1382</v>
      </c>
      <c r="D893" s="1212"/>
      <c r="E893" s="1212" t="s">
        <v>11</v>
      </c>
      <c r="F893" s="1240">
        <v>2</v>
      </c>
      <c r="G893" s="1213">
        <f>'MINI SSR 2022-23'!$G$144</f>
        <v>108</v>
      </c>
      <c r="H893" s="1214">
        <f t="shared" si="65"/>
        <v>216</v>
      </c>
      <c r="I893" s="1205" t="s">
        <v>2322</v>
      </c>
    </row>
    <row r="894" spans="1:10" hidden="1">
      <c r="A894" s="1156"/>
      <c r="B894" s="1212" t="s">
        <v>1400</v>
      </c>
      <c r="C894" s="1253" t="s">
        <v>1399</v>
      </c>
      <c r="D894" s="1212"/>
      <c r="E894" s="1212" t="s">
        <v>11</v>
      </c>
      <c r="F894" s="1240">
        <v>2</v>
      </c>
      <c r="G894" s="1213">
        <f>'MINI SSR 2022-23'!$G$149</f>
        <v>338</v>
      </c>
      <c r="H894" s="1214">
        <f t="shared" si="65"/>
        <v>676</v>
      </c>
      <c r="I894" s="1205" t="s">
        <v>2322</v>
      </c>
    </row>
    <row r="895" spans="1:10" hidden="1">
      <c r="A895" s="1156"/>
      <c r="B895" s="1212" t="s">
        <v>1402</v>
      </c>
      <c r="C895" s="1253" t="s">
        <v>1401</v>
      </c>
      <c r="D895" s="1212"/>
      <c r="E895" s="1212" t="s">
        <v>11</v>
      </c>
      <c r="F895" s="1240">
        <v>1</v>
      </c>
      <c r="G895" s="1213">
        <f>'MINI SSR 2022-23'!$G$155</f>
        <v>58</v>
      </c>
      <c r="H895" s="1214">
        <f t="shared" si="65"/>
        <v>58</v>
      </c>
      <c r="I895" s="1205" t="s">
        <v>2322</v>
      </c>
    </row>
    <row r="896" spans="1:10" hidden="1">
      <c r="A896" s="1156"/>
      <c r="B896" s="1212" t="s">
        <v>1389</v>
      </c>
      <c r="C896" s="1253" t="s">
        <v>1388</v>
      </c>
      <c r="D896" s="1212"/>
      <c r="E896" s="1212" t="s">
        <v>11</v>
      </c>
      <c r="F896" s="1240">
        <v>6</v>
      </c>
      <c r="G896" s="1213">
        <f>'MINI SSR 2022-23'!$G$152</f>
        <v>39</v>
      </c>
      <c r="H896" s="1214">
        <f t="shared" si="65"/>
        <v>234</v>
      </c>
      <c r="I896" s="1205" t="s">
        <v>2322</v>
      </c>
    </row>
    <row r="897" spans="1:12" hidden="1">
      <c r="A897" s="1212"/>
      <c r="B897" s="1212"/>
      <c r="C897" s="1255" t="s">
        <v>68</v>
      </c>
      <c r="D897" s="1212"/>
      <c r="E897" s="1212"/>
      <c r="F897" s="1213"/>
      <c r="G897" s="1217"/>
      <c r="H897" s="1214"/>
      <c r="I897" s="1205" t="s">
        <v>2322</v>
      </c>
    </row>
    <row r="898" spans="1:12" ht="25.5" hidden="1">
      <c r="A898" s="1212"/>
      <c r="B898" s="1212" t="s">
        <v>1391</v>
      </c>
      <c r="C898" s="1253" t="s">
        <v>1403</v>
      </c>
      <c r="D898" s="1212"/>
      <c r="E898" s="1212" t="s">
        <v>102</v>
      </c>
      <c r="F898" s="1213">
        <f>ROUND(0.9*2.1,2)</f>
        <v>1.89</v>
      </c>
      <c r="G898" s="1213">
        <f>'MINI SSR 2022-23'!$C$150</f>
        <v>1701</v>
      </c>
      <c r="H898" s="1214">
        <f>ROUND(F898*G898*1/3,2)</f>
        <v>1071.6300000000001</v>
      </c>
      <c r="I898" s="1205" t="s">
        <v>2322</v>
      </c>
      <c r="L898" s="1260"/>
    </row>
    <row r="899" spans="1:12" ht="13.5" hidden="1" thickBot="1">
      <c r="A899" s="1212"/>
      <c r="B899" s="1212"/>
      <c r="C899" s="1255"/>
      <c r="D899" s="1212"/>
      <c r="E899" s="1212"/>
      <c r="F899" s="1212"/>
      <c r="G899" s="1212"/>
      <c r="H899" s="1222">
        <f>SUM(H888:H898)</f>
        <v>10330.61</v>
      </c>
      <c r="I899" s="1205" t="s">
        <v>2322</v>
      </c>
      <c r="L899" s="1411">
        <f>SUM(L898)</f>
        <v>0</v>
      </c>
    </row>
    <row r="900" spans="1:12" ht="51" hidden="1">
      <c r="A900" s="1156">
        <v>7</v>
      </c>
      <c r="B900" s="1218"/>
      <c r="C900" s="1253" t="s">
        <v>1200</v>
      </c>
      <c r="D900" s="1212"/>
      <c r="E900" s="1212"/>
      <c r="F900" s="1212"/>
      <c r="G900" s="1212"/>
      <c r="H900" s="1215"/>
      <c r="I900" s="1205" t="s">
        <v>2322</v>
      </c>
    </row>
    <row r="901" spans="1:12" s="1256" customFormat="1" hidden="1">
      <c r="A901" s="1156"/>
      <c r="B901" s="1218"/>
      <c r="C901" s="1253" t="s">
        <v>695</v>
      </c>
      <c r="E901" s="1212" t="s">
        <v>35</v>
      </c>
      <c r="F901" s="1223">
        <v>8.0000000000000002E-3</v>
      </c>
      <c r="G901" s="1213">
        <f>'MINI SSR 2022-23'!C144</f>
        <v>51000</v>
      </c>
      <c r="H901" s="1214">
        <f>ROUND(F901*G901,2)</f>
        <v>408</v>
      </c>
      <c r="I901" s="1205" t="s">
        <v>2322</v>
      </c>
      <c r="J901" s="1162"/>
    </row>
    <row r="902" spans="1:12" s="1256" customFormat="1" hidden="1">
      <c r="A902" s="1156"/>
      <c r="B902" s="1218"/>
      <c r="C902" s="1253" t="s">
        <v>1199</v>
      </c>
      <c r="E902" s="1212" t="s">
        <v>4</v>
      </c>
      <c r="F902" s="1223">
        <v>0.5</v>
      </c>
      <c r="G902" s="1213">
        <f>'lead 22-23'!L9/1000</f>
        <v>75.52</v>
      </c>
      <c r="H902" s="1214">
        <f>ROUND(F902*G902,2)</f>
        <v>37.76</v>
      </c>
      <c r="I902" s="1205" t="s">
        <v>2322</v>
      </c>
      <c r="J902" s="1162"/>
    </row>
    <row r="903" spans="1:12" s="1256" customFormat="1" hidden="1">
      <c r="A903" s="1156"/>
      <c r="B903" s="1218" t="s">
        <v>1407</v>
      </c>
      <c r="C903" s="1253" t="s">
        <v>1406</v>
      </c>
      <c r="E903" s="1212" t="s">
        <v>102</v>
      </c>
      <c r="F903" s="1223">
        <v>0.27</v>
      </c>
      <c r="G903" s="1213">
        <f>'MINI SSR 2022-23'!G153</f>
        <v>486</v>
      </c>
      <c r="H903" s="1214">
        <f>ROUND(F903*G903,2)</f>
        <v>131.22</v>
      </c>
      <c r="I903" s="1205" t="s">
        <v>2322</v>
      </c>
      <c r="J903" s="1162"/>
    </row>
    <row r="904" spans="1:12" hidden="1">
      <c r="A904" s="1212"/>
      <c r="B904" s="1212"/>
      <c r="C904" s="1253"/>
      <c r="D904" s="1212"/>
      <c r="E904" s="1213"/>
      <c r="F904" s="1213"/>
      <c r="G904" s="1213"/>
      <c r="H904" s="1214"/>
      <c r="I904" s="1205" t="s">
        <v>2322</v>
      </c>
      <c r="L904" s="1260"/>
    </row>
    <row r="905" spans="1:12" ht="13.5" hidden="1" thickBot="1">
      <c r="A905" s="1212"/>
      <c r="B905" s="1212"/>
      <c r="C905" s="1255" t="s">
        <v>1405</v>
      </c>
      <c r="D905" s="1212"/>
      <c r="E905" s="1212"/>
      <c r="F905" s="1212"/>
      <c r="G905" s="1212"/>
      <c r="H905" s="1222">
        <f>SUM(H901:H904)</f>
        <v>576.98</v>
      </c>
      <c r="I905" s="1205" t="s">
        <v>2322</v>
      </c>
      <c r="L905" s="1411">
        <f>SUM(L904)</f>
        <v>0</v>
      </c>
    </row>
    <row r="906" spans="1:12" hidden="1">
      <c r="A906" s="1156">
        <v>1</v>
      </c>
      <c r="B906" s="1218"/>
      <c r="C906" s="1253" t="s">
        <v>932</v>
      </c>
      <c r="D906" s="1212"/>
      <c r="E906" s="1212"/>
      <c r="F906" s="1212"/>
      <c r="G906" s="1212"/>
      <c r="H906" s="1215"/>
      <c r="I906" s="1205" t="s">
        <v>2322</v>
      </c>
    </row>
    <row r="907" spans="1:12" hidden="1">
      <c r="A907" s="1212"/>
      <c r="B907" s="1212" t="s">
        <v>1408</v>
      </c>
      <c r="C907" s="1253" t="s">
        <v>379</v>
      </c>
      <c r="D907" s="1212" t="s">
        <v>102</v>
      </c>
      <c r="E907" s="1213">
        <v>1</v>
      </c>
      <c r="F907" s="1213">
        <f>'MINI SSR 2022-23'!G154</f>
        <v>388</v>
      </c>
      <c r="G907" s="1213"/>
      <c r="H907" s="1214">
        <f>ROUND(E907*F907,2)</f>
        <v>388</v>
      </c>
      <c r="I907" s="1205" t="s">
        <v>2322</v>
      </c>
    </row>
    <row r="908" spans="1:12" hidden="1">
      <c r="A908" s="1212"/>
      <c r="B908" s="1212"/>
      <c r="C908" s="1253" t="s">
        <v>929</v>
      </c>
      <c r="D908" s="1156" t="s">
        <v>108</v>
      </c>
      <c r="E908" s="1221">
        <v>0.06</v>
      </c>
      <c r="F908" s="1221">
        <f>'MINI SSR 2022-23'!H3</f>
        <v>630</v>
      </c>
      <c r="G908" s="1221"/>
      <c r="H908" s="1224">
        <f>ROUND(E908*F908,2)</f>
        <v>37.799999999999997</v>
      </c>
      <c r="I908" s="1205" t="s">
        <v>2322</v>
      </c>
    </row>
    <row r="909" spans="1:12" hidden="1">
      <c r="A909" s="1212"/>
      <c r="B909" s="1212"/>
      <c r="C909" s="1253" t="s">
        <v>930</v>
      </c>
      <c r="D909" s="1156" t="s">
        <v>108</v>
      </c>
      <c r="E909" s="1221">
        <v>0.06</v>
      </c>
      <c r="F909" s="1221">
        <f>'MINI SSR 2022-23'!H4</f>
        <v>565</v>
      </c>
      <c r="G909" s="1221"/>
      <c r="H909" s="1224">
        <f>ROUND(E909*F909,2)</f>
        <v>33.9</v>
      </c>
      <c r="I909" s="1205" t="s">
        <v>2322</v>
      </c>
    </row>
    <row r="910" spans="1:12" hidden="1">
      <c r="A910" s="1212"/>
      <c r="B910" s="1212"/>
      <c r="C910" s="1254" t="s">
        <v>931</v>
      </c>
      <c r="D910" s="1156" t="s">
        <v>108</v>
      </c>
      <c r="E910" s="1166">
        <v>0.27500000000000002</v>
      </c>
      <c r="F910" s="1221">
        <f>'MINI SSR 2022-23'!H5</f>
        <v>525</v>
      </c>
      <c r="G910" s="1221"/>
      <c r="H910" s="1224">
        <f>ROUND(E910*F910,2)</f>
        <v>144.38</v>
      </c>
      <c r="I910" s="1205" t="s">
        <v>2322</v>
      </c>
    </row>
    <row r="911" spans="1:12" hidden="1">
      <c r="A911" s="1212"/>
      <c r="B911" s="1212"/>
      <c r="C911" s="1255" t="s">
        <v>1404</v>
      </c>
      <c r="D911" s="1212"/>
      <c r="E911" s="1212"/>
      <c r="F911" s="1212"/>
      <c r="G911" s="1212"/>
      <c r="H911" s="1222">
        <f>SUM(H907:H910)</f>
        <v>604.07999999999993</v>
      </c>
      <c r="I911" s="1205" t="s">
        <v>2322</v>
      </c>
    </row>
    <row r="912" spans="1:12" ht="255" hidden="1">
      <c r="A912" s="1156">
        <v>2</v>
      </c>
      <c r="B912" s="1218"/>
      <c r="C912" s="1253" t="s">
        <v>910</v>
      </c>
      <c r="D912" s="1212"/>
      <c r="E912" s="1212"/>
      <c r="F912" s="1212"/>
      <c r="G912" s="1212"/>
      <c r="H912" s="1215"/>
      <c r="I912" s="1205" t="s">
        <v>2322</v>
      </c>
    </row>
    <row r="913" spans="1:12" hidden="1">
      <c r="A913" s="1212"/>
      <c r="B913" s="1212"/>
      <c r="C913" s="1253" t="s">
        <v>911</v>
      </c>
      <c r="D913" s="1212"/>
      <c r="E913" s="1223"/>
      <c r="F913" s="1213"/>
      <c r="G913" s="1213"/>
      <c r="H913" s="1214"/>
      <c r="I913" s="1205" t="s">
        <v>2322</v>
      </c>
    </row>
    <row r="914" spans="1:12" hidden="1">
      <c r="A914" s="1212"/>
      <c r="B914" s="1212" t="s">
        <v>1410</v>
      </c>
      <c r="C914" s="1253" t="s">
        <v>1409</v>
      </c>
      <c r="D914" s="1212"/>
      <c r="E914" s="1212" t="s">
        <v>277</v>
      </c>
      <c r="F914" s="1223">
        <v>6.7</v>
      </c>
      <c r="G914" s="1213">
        <f>'MINI SSR 2022-23'!C147</f>
        <v>920</v>
      </c>
      <c r="H914" s="1214">
        <f t="shared" ref="H914:H921" si="66">ROUND(F914*G914,2)</f>
        <v>6164</v>
      </c>
      <c r="I914" s="1205" t="s">
        <v>2322</v>
      </c>
    </row>
    <row r="915" spans="1:12" hidden="1">
      <c r="A915" s="1212"/>
      <c r="B915" s="1212" t="s">
        <v>1412</v>
      </c>
      <c r="C915" s="1253" t="s">
        <v>1411</v>
      </c>
      <c r="D915" s="1212"/>
      <c r="E915" s="1212" t="s">
        <v>102</v>
      </c>
      <c r="F915" s="1223">
        <v>0.86899999999999999</v>
      </c>
      <c r="G915" s="1213">
        <f>'MINI SSR 2022-23'!C151</f>
        <v>1036</v>
      </c>
      <c r="H915" s="1214">
        <f t="shared" si="66"/>
        <v>900.28</v>
      </c>
      <c r="I915" s="1205" t="s">
        <v>2322</v>
      </c>
    </row>
    <row r="916" spans="1:12" hidden="1">
      <c r="A916" s="1212"/>
      <c r="B916" s="1212" t="s">
        <v>1393</v>
      </c>
      <c r="C916" s="1253" t="s">
        <v>379</v>
      </c>
      <c r="D916" s="1212"/>
      <c r="E916" s="1212" t="s">
        <v>102</v>
      </c>
      <c r="F916" s="1223">
        <f>ROUND(1.1*2.03,2)</f>
        <v>2.23</v>
      </c>
      <c r="G916" s="1213">
        <f>'MINI SSR 2022-23'!C146</f>
        <v>3394</v>
      </c>
      <c r="H916" s="1214">
        <f t="shared" si="66"/>
        <v>7568.62</v>
      </c>
      <c r="I916" s="1205" t="s">
        <v>2322</v>
      </c>
    </row>
    <row r="917" spans="1:12" hidden="1">
      <c r="A917" s="1212"/>
      <c r="B917" s="1212" t="s">
        <v>1394</v>
      </c>
      <c r="C917" s="1253" t="s">
        <v>1413</v>
      </c>
      <c r="D917" s="1212"/>
      <c r="E917" s="1212" t="s">
        <v>102</v>
      </c>
      <c r="F917" s="1223">
        <v>1.6870000000000001</v>
      </c>
      <c r="G917" s="1213">
        <f>'MINI SSR 2022-23'!C151</f>
        <v>1036</v>
      </c>
      <c r="H917" s="1214">
        <f t="shared" si="66"/>
        <v>1747.73</v>
      </c>
      <c r="I917" s="1205" t="s">
        <v>2322</v>
      </c>
      <c r="L917" s="1260"/>
    </row>
    <row r="918" spans="1:12" hidden="1">
      <c r="A918" s="1156"/>
      <c r="B918" s="1218" t="s">
        <v>1415</v>
      </c>
      <c r="C918" s="1253" t="s">
        <v>1414</v>
      </c>
      <c r="D918" s="1212"/>
      <c r="E918" s="1212" t="s">
        <v>11</v>
      </c>
      <c r="F918" s="1240">
        <v>2</v>
      </c>
      <c r="G918" s="1213">
        <f>'MINI SSR 2022-23'!G144</f>
        <v>108</v>
      </c>
      <c r="H918" s="1214">
        <f t="shared" si="66"/>
        <v>216</v>
      </c>
      <c r="I918" s="1205" t="s">
        <v>2322</v>
      </c>
    </row>
    <row r="919" spans="1:12" hidden="1">
      <c r="A919" s="1156"/>
      <c r="B919" s="1218" t="s">
        <v>1383</v>
      </c>
      <c r="C919" s="1253" t="s">
        <v>1382</v>
      </c>
      <c r="D919" s="1212"/>
      <c r="E919" s="1212" t="s">
        <v>11</v>
      </c>
      <c r="F919" s="1240">
        <v>2</v>
      </c>
      <c r="G919" s="1213">
        <f>'MINI SSR 2022-23'!G147</f>
        <v>114</v>
      </c>
      <c r="H919" s="1214">
        <f t="shared" si="66"/>
        <v>228</v>
      </c>
      <c r="I919" s="1205" t="s">
        <v>2322</v>
      </c>
    </row>
    <row r="920" spans="1:12" hidden="1">
      <c r="A920" s="1156"/>
      <c r="B920" s="1218" t="s">
        <v>1400</v>
      </c>
      <c r="C920" s="1253" t="s">
        <v>1399</v>
      </c>
      <c r="D920" s="1212"/>
      <c r="E920" s="1212" t="s">
        <v>11</v>
      </c>
      <c r="F920" s="1240">
        <v>2</v>
      </c>
      <c r="G920" s="1213">
        <f>'MINI SSR 2022-23'!G149</f>
        <v>338</v>
      </c>
      <c r="H920" s="1214">
        <f t="shared" si="66"/>
        <v>676</v>
      </c>
      <c r="I920" s="1205" t="s">
        <v>2322</v>
      </c>
    </row>
    <row r="921" spans="1:12" hidden="1">
      <c r="A921" s="1156"/>
      <c r="B921" s="1218"/>
      <c r="C921" s="1253" t="s">
        <v>912</v>
      </c>
      <c r="D921" s="1212"/>
      <c r="E921" s="1212" t="s">
        <v>11</v>
      </c>
      <c r="F921" s="1240">
        <v>1</v>
      </c>
      <c r="G921" s="1213">
        <f>'MINI SSR 2022-23'!G155</f>
        <v>58</v>
      </c>
      <c r="H921" s="1214">
        <f t="shared" si="66"/>
        <v>58</v>
      </c>
      <c r="I921" s="1205" t="s">
        <v>2322</v>
      </c>
    </row>
    <row r="922" spans="1:12" hidden="1">
      <c r="A922" s="1212"/>
      <c r="B922" s="1212"/>
      <c r="C922" s="1253" t="s">
        <v>909</v>
      </c>
      <c r="D922" s="1212"/>
      <c r="E922" s="1213"/>
      <c r="F922" s="1213"/>
      <c r="G922" s="1213"/>
      <c r="H922" s="1222">
        <f>SUM(H914:H921)</f>
        <v>17558.629999999997</v>
      </c>
      <c r="I922" s="1205" t="s">
        <v>2322</v>
      </c>
    </row>
    <row r="923" spans="1:12" hidden="1">
      <c r="A923" s="1212"/>
      <c r="B923" s="1212"/>
      <c r="C923" s="1253" t="s">
        <v>121</v>
      </c>
      <c r="D923" s="1212"/>
      <c r="E923" s="1212"/>
      <c r="F923" s="1212"/>
      <c r="G923" s="1212"/>
      <c r="H923" s="1222">
        <f>ROUND(H922/2.556,2)</f>
        <v>6869.57</v>
      </c>
      <c r="I923" s="1205" t="s">
        <v>2322</v>
      </c>
    </row>
    <row r="924" spans="1:12" ht="255" hidden="1">
      <c r="A924" s="1156">
        <v>2</v>
      </c>
      <c r="B924" s="1218"/>
      <c r="C924" s="1253" t="s">
        <v>910</v>
      </c>
      <c r="D924" s="1212"/>
      <c r="E924" s="1212"/>
      <c r="F924" s="1212"/>
      <c r="G924" s="1212"/>
      <c r="H924" s="1215"/>
      <c r="I924" s="1205" t="s">
        <v>2322</v>
      </c>
    </row>
    <row r="925" spans="1:12" hidden="1">
      <c r="A925" s="1212"/>
      <c r="B925" s="1212"/>
      <c r="C925" s="1253" t="s">
        <v>911</v>
      </c>
      <c r="D925" s="1212"/>
      <c r="E925" s="1223"/>
      <c r="F925" s="1213"/>
      <c r="G925" s="1213"/>
      <c r="H925" s="1214"/>
      <c r="I925" s="1205" t="s">
        <v>2322</v>
      </c>
    </row>
    <row r="926" spans="1:12" hidden="1">
      <c r="A926" s="1212"/>
      <c r="B926" s="1212" t="s">
        <v>1410</v>
      </c>
      <c r="C926" s="1253" t="s">
        <v>1409</v>
      </c>
      <c r="D926" s="1212"/>
      <c r="E926" s="1212" t="s">
        <v>277</v>
      </c>
      <c r="F926" s="1223">
        <v>5.45</v>
      </c>
      <c r="G926" s="1213">
        <f t="shared" ref="G926:G933" si="67">G914</f>
        <v>920</v>
      </c>
      <c r="H926" s="1214">
        <f t="shared" ref="H926:H933" si="68">ROUND(F926*G926,2)</f>
        <v>5014</v>
      </c>
      <c r="I926" s="1205" t="s">
        <v>2322</v>
      </c>
    </row>
    <row r="927" spans="1:12" hidden="1">
      <c r="A927" s="1212"/>
      <c r="B927" s="1212" t="s">
        <v>1412</v>
      </c>
      <c r="C927" s="1253" t="s">
        <v>1411</v>
      </c>
      <c r="D927" s="1212"/>
      <c r="E927" s="1212" t="s">
        <v>102</v>
      </c>
      <c r="F927" s="1223">
        <v>0.86899999999999999</v>
      </c>
      <c r="G927" s="1213">
        <f t="shared" si="67"/>
        <v>1036</v>
      </c>
      <c r="H927" s="1214">
        <f t="shared" si="68"/>
        <v>900.28</v>
      </c>
      <c r="I927" s="1205" t="s">
        <v>2322</v>
      </c>
    </row>
    <row r="928" spans="1:12" hidden="1">
      <c r="A928" s="1212"/>
      <c r="B928" s="1212" t="s">
        <v>1393</v>
      </c>
      <c r="C928" s="1253" t="s">
        <v>379</v>
      </c>
      <c r="D928" s="1212"/>
      <c r="E928" s="1212" t="s">
        <v>102</v>
      </c>
      <c r="F928" s="1223">
        <f>ROUND(1.1*2.03,2)</f>
        <v>2.23</v>
      </c>
      <c r="G928" s="1213">
        <f t="shared" si="67"/>
        <v>3394</v>
      </c>
      <c r="H928" s="1214">
        <f t="shared" si="68"/>
        <v>7568.62</v>
      </c>
      <c r="I928" s="1205" t="s">
        <v>2322</v>
      </c>
    </row>
    <row r="929" spans="1:12" hidden="1">
      <c r="A929" s="1212"/>
      <c r="B929" s="1212" t="s">
        <v>1394</v>
      </c>
      <c r="C929" s="1253" t="s">
        <v>1413</v>
      </c>
      <c r="D929" s="1212"/>
      <c r="E929" s="1212" t="s">
        <v>102</v>
      </c>
      <c r="F929" s="1223">
        <v>1.6870000000000001</v>
      </c>
      <c r="G929" s="1213">
        <f t="shared" si="67"/>
        <v>1036</v>
      </c>
      <c r="H929" s="1214">
        <f t="shared" si="68"/>
        <v>1747.73</v>
      </c>
      <c r="I929" s="1205" t="s">
        <v>2322</v>
      </c>
      <c r="L929" s="1260"/>
    </row>
    <row r="930" spans="1:12" hidden="1">
      <c r="A930" s="1156"/>
      <c r="B930" s="1218" t="s">
        <v>1415</v>
      </c>
      <c r="C930" s="1253" t="s">
        <v>1414</v>
      </c>
      <c r="D930" s="1212"/>
      <c r="E930" s="1212" t="s">
        <v>11</v>
      </c>
      <c r="F930" s="1240">
        <v>2</v>
      </c>
      <c r="G930" s="1213">
        <f t="shared" si="67"/>
        <v>108</v>
      </c>
      <c r="H930" s="1214">
        <f t="shared" si="68"/>
        <v>216</v>
      </c>
      <c r="I930" s="1205" t="s">
        <v>2322</v>
      </c>
    </row>
    <row r="931" spans="1:12" hidden="1">
      <c r="A931" s="1156"/>
      <c r="B931" s="1218" t="s">
        <v>1383</v>
      </c>
      <c r="C931" s="1253" t="s">
        <v>1382</v>
      </c>
      <c r="D931" s="1212"/>
      <c r="E931" s="1212" t="s">
        <v>11</v>
      </c>
      <c r="F931" s="1240">
        <v>4</v>
      </c>
      <c r="G931" s="1213">
        <f t="shared" si="67"/>
        <v>114</v>
      </c>
      <c r="H931" s="1214">
        <f t="shared" si="68"/>
        <v>456</v>
      </c>
      <c r="I931" s="1205" t="s">
        <v>2322</v>
      </c>
    </row>
    <row r="932" spans="1:12" hidden="1">
      <c r="A932" s="1156"/>
      <c r="B932" s="1218" t="s">
        <v>1400</v>
      </c>
      <c r="C932" s="1253" t="s">
        <v>1399</v>
      </c>
      <c r="D932" s="1212"/>
      <c r="E932" s="1212" t="s">
        <v>11</v>
      </c>
      <c r="F932" s="1240">
        <v>2</v>
      </c>
      <c r="G932" s="1213">
        <f t="shared" si="67"/>
        <v>338</v>
      </c>
      <c r="H932" s="1214">
        <f t="shared" si="68"/>
        <v>676</v>
      </c>
      <c r="I932" s="1205" t="s">
        <v>2322</v>
      </c>
    </row>
    <row r="933" spans="1:12" hidden="1">
      <c r="A933" s="1156"/>
      <c r="B933" s="1218"/>
      <c r="C933" s="1253" t="s">
        <v>912</v>
      </c>
      <c r="D933" s="1212"/>
      <c r="E933" s="1212" t="s">
        <v>11</v>
      </c>
      <c r="F933" s="1240">
        <v>1</v>
      </c>
      <c r="G933" s="1213">
        <f t="shared" si="67"/>
        <v>58</v>
      </c>
      <c r="H933" s="1214">
        <f t="shared" si="68"/>
        <v>58</v>
      </c>
      <c r="I933" s="1205" t="s">
        <v>2322</v>
      </c>
    </row>
    <row r="934" spans="1:12" hidden="1">
      <c r="A934" s="1212"/>
      <c r="B934" s="1212"/>
      <c r="C934" s="1253" t="s">
        <v>909</v>
      </c>
      <c r="D934" s="1212"/>
      <c r="E934" s="1213"/>
      <c r="F934" s="1213"/>
      <c r="G934" s="1213"/>
      <c r="H934" s="1222">
        <f>SUM(H926:H933)</f>
        <v>16636.629999999997</v>
      </c>
      <c r="I934" s="1205" t="s">
        <v>2322</v>
      </c>
    </row>
    <row r="935" spans="1:12" hidden="1">
      <c r="A935" s="1212"/>
      <c r="B935" s="1212"/>
      <c r="C935" s="1253" t="s">
        <v>121</v>
      </c>
      <c r="D935" s="1212"/>
      <c r="E935" s="1212"/>
      <c r="F935" s="1212"/>
      <c r="G935" s="1212"/>
      <c r="H935" s="1222">
        <f>ROUND(H934/2.556,2)</f>
        <v>6508.85</v>
      </c>
      <c r="I935" s="1205" t="s">
        <v>2322</v>
      </c>
    </row>
    <row r="936" spans="1:12" ht="324" hidden="1">
      <c r="A936" s="1156">
        <v>3</v>
      </c>
      <c r="B936" s="1218"/>
      <c r="C936" s="1414" t="s">
        <v>3440</v>
      </c>
      <c r="D936" s="1212"/>
      <c r="E936" s="1212"/>
      <c r="F936" s="1212"/>
      <c r="G936" s="1212"/>
      <c r="H936" s="1215"/>
      <c r="I936" s="1205" t="s">
        <v>2322</v>
      </c>
    </row>
    <row r="937" spans="1:12" hidden="1">
      <c r="A937" s="1212"/>
      <c r="B937" s="1212" t="s">
        <v>1417</v>
      </c>
      <c r="C937" s="1253" t="s">
        <v>1416</v>
      </c>
      <c r="D937" s="1212" t="s">
        <v>102</v>
      </c>
      <c r="E937" s="1213">
        <v>1</v>
      </c>
      <c r="F937" s="1213">
        <f>'MINI SSR 2022-23'!C153</f>
        <v>6460</v>
      </c>
      <c r="G937" s="1213"/>
      <c r="H937" s="1214">
        <f>ROUND(E937*F937,2)</f>
        <v>6460</v>
      </c>
      <c r="I937" s="1205" t="s">
        <v>2322</v>
      </c>
    </row>
    <row r="938" spans="1:12" hidden="1">
      <c r="A938" s="1212"/>
      <c r="B938" s="1212"/>
      <c r="C938" s="1255"/>
      <c r="D938" s="1212"/>
      <c r="E938" s="1212"/>
      <c r="F938" s="1212"/>
      <c r="G938" s="1212"/>
      <c r="H938" s="1222">
        <f>SUM(H937:H937)</f>
        <v>6460</v>
      </c>
      <c r="I938" s="1205" t="s">
        <v>2322</v>
      </c>
    </row>
    <row r="939" spans="1:12" hidden="1">
      <c r="A939" s="1212"/>
      <c r="B939" s="1212" t="s">
        <v>1996</v>
      </c>
      <c r="C939" s="1253" t="s">
        <v>1418</v>
      </c>
      <c r="D939" s="1212" t="s">
        <v>102</v>
      </c>
      <c r="E939" s="1213">
        <v>1</v>
      </c>
      <c r="F939" s="1213">
        <f>'MINI SSR 2022-23'!C152</f>
        <v>8622</v>
      </c>
      <c r="G939" s="1213"/>
      <c r="H939" s="1214">
        <f>ROUND(E939*F939,2)</f>
        <v>8622</v>
      </c>
      <c r="I939" s="1205" t="s">
        <v>2322</v>
      </c>
    </row>
    <row r="940" spans="1:12" hidden="1">
      <c r="A940" s="1212"/>
      <c r="B940" s="1212"/>
      <c r="C940" s="1255"/>
      <c r="D940" s="1212"/>
      <c r="E940" s="1212"/>
      <c r="F940" s="1212"/>
      <c r="G940" s="1212"/>
      <c r="H940" s="1222">
        <f>SUM(H939:H939)</f>
        <v>8622</v>
      </c>
      <c r="I940" s="1205" t="s">
        <v>2322</v>
      </c>
    </row>
    <row r="941" spans="1:12" hidden="1">
      <c r="A941" s="1212">
        <v>5</v>
      </c>
      <c r="B941" s="1212" t="s">
        <v>1420</v>
      </c>
      <c r="C941" s="1253" t="s">
        <v>1419</v>
      </c>
      <c r="D941" s="1212" t="s">
        <v>102</v>
      </c>
      <c r="E941" s="1213">
        <v>1</v>
      </c>
      <c r="F941" s="1213">
        <f>'MINI SSR 2022-23'!C154</f>
        <v>6238</v>
      </c>
      <c r="G941" s="1213"/>
      <c r="H941" s="1214">
        <f>ROUND(E941*F941,2)</f>
        <v>6238</v>
      </c>
      <c r="I941" s="1205" t="s">
        <v>2322</v>
      </c>
    </row>
    <row r="942" spans="1:12" hidden="1">
      <c r="A942" s="1212"/>
      <c r="B942" s="1212"/>
      <c r="C942" s="1255"/>
      <c r="D942" s="1212"/>
      <c r="E942" s="1212"/>
      <c r="F942" s="1212"/>
      <c r="G942" s="1212"/>
      <c r="H942" s="1222">
        <f>SUM(H941:H941)</f>
        <v>6238</v>
      </c>
      <c r="I942" s="1205" t="s">
        <v>2322</v>
      </c>
    </row>
    <row r="943" spans="1:12" ht="38.25" hidden="1">
      <c r="A943" s="1156">
        <v>3</v>
      </c>
      <c r="B943" s="1218"/>
      <c r="C943" s="1253" t="s">
        <v>2293</v>
      </c>
      <c r="D943" s="1212"/>
      <c r="E943" s="1212"/>
      <c r="F943" s="1212"/>
      <c r="G943" s="1212"/>
      <c r="H943" s="1215"/>
      <c r="I943" s="1205" t="s">
        <v>2322</v>
      </c>
    </row>
    <row r="944" spans="1:12" hidden="1">
      <c r="A944" s="1212"/>
      <c r="B944" s="1212" t="s">
        <v>2291</v>
      </c>
      <c r="C944" s="1253" t="s">
        <v>1416</v>
      </c>
      <c r="D944" s="1212" t="s">
        <v>102</v>
      </c>
      <c r="E944" s="1213">
        <v>1</v>
      </c>
      <c r="F944" s="1213">
        <f>'MINI SSR 2022-23'!C156</f>
        <v>4062</v>
      </c>
      <c r="G944" s="1213"/>
      <c r="H944" s="1214">
        <f>ROUND(E944*F944,2)</f>
        <v>4062</v>
      </c>
      <c r="I944" s="1205" t="s">
        <v>2322</v>
      </c>
    </row>
    <row r="945" spans="1:9" hidden="1">
      <c r="A945" s="1212"/>
      <c r="B945" s="1212"/>
      <c r="C945" s="1255"/>
      <c r="D945" s="1212"/>
      <c r="E945" s="1212"/>
      <c r="F945" s="1212"/>
      <c r="G945" s="1212"/>
      <c r="H945" s="1222">
        <f>SUM(H944:H944)</f>
        <v>4062</v>
      </c>
      <c r="I945" s="1205" t="s">
        <v>2322</v>
      </c>
    </row>
    <row r="946" spans="1:9" ht="15.95" customHeight="1"/>
    <row r="947" spans="1:9" ht="15.95" customHeight="1"/>
    <row r="948" spans="1:9" ht="15.95" customHeight="1">
      <c r="D948" s="1205" t="str">
        <f>'lead 19-20'!$H$31</f>
        <v>Deputy Executive Engineer</v>
      </c>
      <c r="G948" s="1205" t="str">
        <f>'lead 19-20'!K31</f>
        <v>Assistant  Engineer</v>
      </c>
    </row>
    <row r="949" spans="1:9">
      <c r="D949" s="1205" t="str">
        <f>'lead 19-20'!$H$32</f>
        <v>PRI Sub Division</v>
      </c>
      <c r="G949" s="1205" t="str">
        <f>'lead 19-20'!K32</f>
        <v>Mandal Praja parishad</v>
      </c>
    </row>
    <row r="950" spans="1:9">
      <c r="D950" s="1205" t="str">
        <f>'lead 19-20'!$H$33</f>
        <v>Kanigiri</v>
      </c>
      <c r="G950" s="1205" t="str">
        <f>'lead 19-20'!K33</f>
        <v>Kanigiri</v>
      </c>
    </row>
  </sheetData>
  <autoFilter ref="A5:H945">
    <filterColumn colId="0">
      <colorFilter dxfId="2"/>
    </filterColumn>
  </autoFilter>
  <mergeCells count="2">
    <mergeCell ref="A1:H1"/>
    <mergeCell ref="A2:H2"/>
  </mergeCells>
  <pageMargins left="0.74" right="0.23" top="0.52" bottom="0.45" header="0.34" footer="0.17"/>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sheetPr>
    <tabColor rgb="FF00B050"/>
  </sheetPr>
  <dimension ref="A1:H595"/>
  <sheetViews>
    <sheetView view="pageBreakPreview" zoomScale="115" zoomScaleNormal="70" zoomScaleSheetLayoutView="115" workbookViewId="0">
      <pane ySplit="3" topLeftCell="A4" activePane="bottomLeft" state="frozen"/>
      <selection activeCell="C31" sqref="C31:E31"/>
      <selection pane="bottomLeft" activeCell="D6" sqref="D6"/>
    </sheetView>
  </sheetViews>
  <sheetFormatPr defaultColWidth="13.85546875" defaultRowHeight="12.75"/>
  <cols>
    <col min="1" max="1" width="8.7109375" style="786" customWidth="1"/>
    <col min="2" max="2" width="4.7109375" style="994" customWidth="1"/>
    <col min="3" max="3" width="48" style="844" customWidth="1"/>
    <col min="4" max="4" width="6.85546875" style="845" customWidth="1"/>
    <col min="5" max="5" width="9.28515625" style="846" customWidth="1"/>
    <col min="6" max="6" width="8.7109375" style="846" customWidth="1"/>
    <col min="7" max="7" width="9.140625" style="847" bestFit="1" customWidth="1"/>
    <col min="8" max="8" width="7.7109375" style="745" customWidth="1"/>
    <col min="9" max="16384" width="13.85546875" style="745"/>
  </cols>
  <sheetData>
    <row r="1" spans="1:8" ht="15" customHeight="1">
      <c r="B1" s="1893" t="s">
        <v>2305</v>
      </c>
      <c r="C1" s="1893"/>
      <c r="D1" s="1893"/>
      <c r="E1" s="1893"/>
      <c r="F1" s="1893"/>
      <c r="G1" s="787"/>
    </row>
    <row r="2" spans="1:8" s="788" customFormat="1" ht="29.25" customHeight="1">
      <c r="A2" s="788" t="s">
        <v>321</v>
      </c>
      <c r="B2" s="789" t="s">
        <v>23</v>
      </c>
      <c r="C2" s="788" t="s">
        <v>322</v>
      </c>
      <c r="D2" s="788" t="s">
        <v>16</v>
      </c>
      <c r="E2" s="790" t="s">
        <v>138</v>
      </c>
      <c r="F2" s="790" t="s">
        <v>323</v>
      </c>
      <c r="G2" s="791" t="s">
        <v>324</v>
      </c>
    </row>
    <row r="3" spans="1:8" s="788" customFormat="1" ht="15" customHeight="1">
      <c r="A3" s="788">
        <v>1</v>
      </c>
      <c r="B3" s="788">
        <v>2</v>
      </c>
      <c r="C3" s="788">
        <v>3</v>
      </c>
      <c r="D3" s="788">
        <v>4</v>
      </c>
      <c r="E3" s="792">
        <v>5</v>
      </c>
      <c r="F3" s="792">
        <v>6</v>
      </c>
      <c r="G3" s="792">
        <v>7</v>
      </c>
    </row>
    <row r="4" spans="1:8" s="620" customFormat="1" ht="15">
      <c r="A4" s="793"/>
      <c r="B4" s="793"/>
      <c r="C4" s="794" t="s">
        <v>2021</v>
      </c>
      <c r="D4" s="795"/>
      <c r="E4" s="796"/>
      <c r="F4" s="797"/>
      <c r="G4" s="798"/>
      <c r="H4" s="601" t="s">
        <v>2226</v>
      </c>
    </row>
    <row r="5" spans="1:8" s="366" customFormat="1" ht="72">
      <c r="A5" s="793"/>
      <c r="B5" s="799">
        <v>1</v>
      </c>
      <c r="C5" s="800" t="s">
        <v>328</v>
      </c>
      <c r="D5" s="800"/>
      <c r="E5" s="800"/>
      <c r="F5" s="800"/>
      <c r="G5" s="801"/>
      <c r="H5" s="601" t="s">
        <v>2226</v>
      </c>
    </row>
    <row r="6" spans="1:8" s="366" customFormat="1">
      <c r="A6" s="793"/>
      <c r="B6" s="799"/>
      <c r="C6" s="421" t="s">
        <v>329</v>
      </c>
      <c r="D6" s="802" t="s">
        <v>115</v>
      </c>
      <c r="E6" s="802">
        <v>1</v>
      </c>
      <c r="F6" s="803">
        <f>'MINI SSR 19-20'!C66</f>
        <v>1784</v>
      </c>
      <c r="G6" s="801">
        <f>ROUND(E6*F6,2)</f>
        <v>1784</v>
      </c>
      <c r="H6" s="601" t="s">
        <v>2226</v>
      </c>
    </row>
    <row r="7" spans="1:8" s="366" customFormat="1">
      <c r="A7" s="793"/>
      <c r="B7" s="799"/>
      <c r="C7" s="421" t="s">
        <v>330</v>
      </c>
      <c r="D7" s="802" t="s">
        <v>115</v>
      </c>
      <c r="E7" s="802">
        <v>1</v>
      </c>
      <c r="F7" s="803">
        <f>'MINI SSR 19-20'!C67</f>
        <v>2226</v>
      </c>
      <c r="G7" s="801">
        <f>ROUND(E7*F7,2)</f>
        <v>2226</v>
      </c>
      <c r="H7" s="601" t="s">
        <v>2226</v>
      </c>
    </row>
    <row r="8" spans="1:8" s="366" customFormat="1">
      <c r="A8" s="793"/>
      <c r="B8" s="799"/>
      <c r="C8" s="421" t="s">
        <v>331</v>
      </c>
      <c r="D8" s="802" t="s">
        <v>115</v>
      </c>
      <c r="E8" s="802">
        <v>1</v>
      </c>
      <c r="F8" s="803">
        <f>'MINI SSR 19-20'!C68</f>
        <v>766</v>
      </c>
      <c r="G8" s="801">
        <f>ROUND(E8*F8,2)</f>
        <v>766</v>
      </c>
      <c r="H8" s="601" t="s">
        <v>2226</v>
      </c>
    </row>
    <row r="9" spans="1:8">
      <c r="A9" s="793"/>
      <c r="B9" s="799"/>
      <c r="C9" s="421"/>
      <c r="D9" s="802"/>
      <c r="E9" s="802"/>
      <c r="F9" s="803"/>
      <c r="G9" s="801">
        <f>SUM(G6:G8)</f>
        <v>4776</v>
      </c>
      <c r="H9" s="601" t="s">
        <v>2226</v>
      </c>
    </row>
    <row r="10" spans="1:8">
      <c r="A10" s="793"/>
      <c r="B10" s="799"/>
      <c r="C10" s="804" t="s">
        <v>332</v>
      </c>
      <c r="D10" s="805"/>
      <c r="E10" s="806"/>
      <c r="F10" s="806"/>
      <c r="G10" s="807">
        <v>0</v>
      </c>
      <c r="H10" s="601" t="s">
        <v>2226</v>
      </c>
    </row>
    <row r="11" spans="1:8">
      <c r="A11" s="793"/>
      <c r="B11" s="799"/>
      <c r="C11" s="421"/>
      <c r="D11" s="802"/>
      <c r="E11" s="802"/>
      <c r="F11" s="803"/>
      <c r="G11" s="801">
        <f>SUM(G9:G10)</f>
        <v>4776</v>
      </c>
      <c r="H11" s="601" t="s">
        <v>2226</v>
      </c>
    </row>
    <row r="12" spans="1:8" s="366" customFormat="1" ht="36">
      <c r="A12" s="793"/>
      <c r="B12" s="799">
        <v>2</v>
      </c>
      <c r="C12" s="800" t="s">
        <v>608</v>
      </c>
      <c r="D12" s="800"/>
      <c r="E12" s="800"/>
      <c r="F12" s="800"/>
      <c r="G12" s="801"/>
      <c r="H12" s="601" t="s">
        <v>2226</v>
      </c>
    </row>
    <row r="13" spans="1:8" s="366" customFormat="1">
      <c r="A13" s="793"/>
      <c r="B13" s="799"/>
      <c r="C13" s="421" t="s">
        <v>609</v>
      </c>
      <c r="D13" s="802" t="s">
        <v>115</v>
      </c>
      <c r="E13" s="802">
        <v>1</v>
      </c>
      <c r="F13" s="803">
        <f>'MINI SSR 19-20'!C69</f>
        <v>934</v>
      </c>
      <c r="G13" s="801">
        <f>ROUND(E13*F13,2)</f>
        <v>934</v>
      </c>
      <c r="H13" s="601" t="s">
        <v>2226</v>
      </c>
    </row>
    <row r="14" spans="1:8">
      <c r="A14" s="793"/>
      <c r="B14" s="799"/>
      <c r="C14" s="421"/>
      <c r="D14" s="802"/>
      <c r="E14" s="802"/>
      <c r="F14" s="803"/>
      <c r="G14" s="801">
        <f>SUM(G13)</f>
        <v>934</v>
      </c>
      <c r="H14" s="601" t="s">
        <v>2226</v>
      </c>
    </row>
    <row r="15" spans="1:8" s="366" customFormat="1" ht="60">
      <c r="A15" s="793"/>
      <c r="B15" s="799">
        <v>2</v>
      </c>
      <c r="C15" s="800" t="s">
        <v>1254</v>
      </c>
      <c r="D15" s="800"/>
      <c r="E15" s="800"/>
      <c r="F15" s="800"/>
      <c r="G15" s="801"/>
      <c r="H15" s="601" t="s">
        <v>2226</v>
      </c>
    </row>
    <row r="16" spans="1:8" s="366" customFormat="1">
      <c r="A16" s="793"/>
      <c r="B16" s="799"/>
      <c r="C16" s="421" t="s">
        <v>1255</v>
      </c>
      <c r="D16" s="802" t="s">
        <v>115</v>
      </c>
      <c r="E16" s="802">
        <v>1</v>
      </c>
      <c r="F16" s="803">
        <f>'MINI SSR 19-20'!C70</f>
        <v>2385</v>
      </c>
      <c r="G16" s="801">
        <f>ROUND(E16*F16,2)</f>
        <v>2385</v>
      </c>
      <c r="H16" s="601" t="s">
        <v>2226</v>
      </c>
    </row>
    <row r="17" spans="1:8">
      <c r="A17" s="793"/>
      <c r="B17" s="799"/>
      <c r="C17" s="421"/>
      <c r="D17" s="802"/>
      <c r="E17" s="802"/>
      <c r="F17" s="803"/>
      <c r="G17" s="801">
        <f>SUM(G16)</f>
        <v>2385</v>
      </c>
      <c r="H17" s="601" t="s">
        <v>2226</v>
      </c>
    </row>
    <row r="18" spans="1:8" s="813" customFormat="1" ht="152.25" customHeight="1">
      <c r="A18" s="808"/>
      <c r="B18" s="808">
        <v>3</v>
      </c>
      <c r="C18" s="809" t="s">
        <v>333</v>
      </c>
      <c r="D18" s="810"/>
      <c r="E18" s="809"/>
      <c r="F18" s="811"/>
      <c r="G18" s="812"/>
      <c r="H18" s="601" t="s">
        <v>2226</v>
      </c>
    </row>
    <row r="19" spans="1:8" s="813" customFormat="1">
      <c r="A19" s="808"/>
      <c r="B19" s="808"/>
      <c r="C19" s="814" t="s">
        <v>334</v>
      </c>
      <c r="D19" s="802" t="s">
        <v>115</v>
      </c>
      <c r="E19" s="802">
        <v>1</v>
      </c>
      <c r="F19" s="803">
        <f>'MINI SSR 19-20'!C71</f>
        <v>1370</v>
      </c>
      <c r="G19" s="801">
        <f>ROUND(E19*F19,2)</f>
        <v>1370</v>
      </c>
      <c r="H19" s="601" t="s">
        <v>2226</v>
      </c>
    </row>
    <row r="20" spans="1:8" s="813" customFormat="1">
      <c r="A20" s="808"/>
      <c r="B20" s="808"/>
      <c r="C20" s="814" t="s">
        <v>335</v>
      </c>
      <c r="D20" s="802" t="s">
        <v>115</v>
      </c>
      <c r="E20" s="802">
        <v>1</v>
      </c>
      <c r="F20" s="803">
        <f>'MINI SSR 19-20'!C72</f>
        <v>349</v>
      </c>
      <c r="G20" s="801">
        <f>ROUND(E20*F20,2)</f>
        <v>349</v>
      </c>
      <c r="H20" s="601" t="s">
        <v>2226</v>
      </c>
    </row>
    <row r="21" spans="1:8" s="813" customFormat="1" ht="24">
      <c r="A21" s="808"/>
      <c r="B21" s="808"/>
      <c r="C21" s="814" t="s">
        <v>336</v>
      </c>
      <c r="D21" s="802" t="s">
        <v>115</v>
      </c>
      <c r="E21" s="802">
        <v>1</v>
      </c>
      <c r="F21" s="803">
        <f>'MINI SSR 19-20'!C73</f>
        <v>86</v>
      </c>
      <c r="G21" s="801">
        <f>ROUND(E21*F21,2)</f>
        <v>86</v>
      </c>
      <c r="H21" s="601" t="s">
        <v>2226</v>
      </c>
    </row>
    <row r="22" spans="1:8" s="813" customFormat="1">
      <c r="A22" s="808"/>
      <c r="B22" s="808"/>
      <c r="C22" s="814" t="s">
        <v>337</v>
      </c>
      <c r="D22" s="802" t="s">
        <v>115</v>
      </c>
      <c r="E22" s="802">
        <v>1</v>
      </c>
      <c r="F22" s="803">
        <f>'MINI SSR 19-20'!C74</f>
        <v>22</v>
      </c>
      <c r="G22" s="801">
        <f>ROUND(E22*F22,2)</f>
        <v>22</v>
      </c>
      <c r="H22" s="601" t="s">
        <v>2226</v>
      </c>
    </row>
    <row r="23" spans="1:8" s="813" customFormat="1">
      <c r="A23" s="808"/>
      <c r="B23" s="808"/>
      <c r="C23" s="815"/>
      <c r="D23" s="802"/>
      <c r="E23" s="802"/>
      <c r="F23" s="803"/>
      <c r="G23" s="801">
        <f>SUM(G19:G22)</f>
        <v>1827</v>
      </c>
      <c r="H23" s="601" t="s">
        <v>2226</v>
      </c>
    </row>
    <row r="24" spans="1:8">
      <c r="A24" s="793"/>
      <c r="B24" s="799"/>
      <c r="C24" s="804" t="s">
        <v>332</v>
      </c>
      <c r="D24" s="805"/>
      <c r="E24" s="806"/>
      <c r="F24" s="806"/>
      <c r="G24" s="807">
        <v>0</v>
      </c>
      <c r="H24" s="601" t="s">
        <v>2226</v>
      </c>
    </row>
    <row r="25" spans="1:8">
      <c r="A25" s="793"/>
      <c r="B25" s="799"/>
      <c r="C25" s="421"/>
      <c r="D25" s="802"/>
      <c r="E25" s="802"/>
      <c r="F25" s="803"/>
      <c r="G25" s="801">
        <f>SUM(G23:G24)</f>
        <v>1827</v>
      </c>
      <c r="H25" s="601" t="s">
        <v>2226</v>
      </c>
    </row>
    <row r="26" spans="1:8" s="813" customFormat="1" ht="68.25" customHeight="1">
      <c r="A26" s="808"/>
      <c r="B26" s="808">
        <v>6</v>
      </c>
      <c r="C26" s="809" t="s">
        <v>339</v>
      </c>
      <c r="D26" s="810"/>
      <c r="E26" s="809"/>
      <c r="F26" s="811"/>
      <c r="G26" s="812"/>
      <c r="H26" s="601" t="s">
        <v>2226</v>
      </c>
    </row>
    <row r="27" spans="1:8" s="813" customFormat="1">
      <c r="A27" s="808"/>
      <c r="B27" s="808"/>
      <c r="C27" s="814" t="s">
        <v>340</v>
      </c>
      <c r="D27" s="802" t="s">
        <v>115</v>
      </c>
      <c r="E27" s="802">
        <v>1</v>
      </c>
      <c r="F27" s="803">
        <f>'MINI SSR 19-20'!C77</f>
        <v>117</v>
      </c>
      <c r="G27" s="801">
        <f>ROUND(E27*F27,2)</f>
        <v>117</v>
      </c>
      <c r="H27" s="601" t="s">
        <v>2226</v>
      </c>
    </row>
    <row r="28" spans="1:8">
      <c r="A28" s="793"/>
      <c r="B28" s="799"/>
      <c r="C28" s="804" t="s">
        <v>332</v>
      </c>
      <c r="D28" s="805"/>
      <c r="E28" s="806"/>
      <c r="F28" s="806"/>
      <c r="G28" s="807">
        <v>0</v>
      </c>
      <c r="H28" s="601" t="s">
        <v>2226</v>
      </c>
    </row>
    <row r="29" spans="1:8">
      <c r="A29" s="793"/>
      <c r="B29" s="799"/>
      <c r="C29" s="421"/>
      <c r="D29" s="802"/>
      <c r="E29" s="802"/>
      <c r="F29" s="803"/>
      <c r="G29" s="801">
        <f>SUM(G27:G28)</f>
        <v>117</v>
      </c>
      <c r="H29" s="601" t="s">
        <v>2226</v>
      </c>
    </row>
    <row r="30" spans="1:8" s="620" customFormat="1" ht="36">
      <c r="A30" s="793"/>
      <c r="B30" s="793">
        <v>4</v>
      </c>
      <c r="C30" s="800" t="s">
        <v>341</v>
      </c>
      <c r="D30" s="800"/>
      <c r="E30" s="800"/>
      <c r="F30" s="800"/>
      <c r="G30" s="800"/>
      <c r="H30" s="601" t="s">
        <v>2226</v>
      </c>
    </row>
    <row r="31" spans="1:8" s="620" customFormat="1" ht="15">
      <c r="A31" s="793"/>
      <c r="B31" s="793"/>
      <c r="C31" s="816" t="s">
        <v>342</v>
      </c>
      <c r="D31" s="816"/>
      <c r="E31" s="817"/>
      <c r="F31" s="817"/>
      <c r="G31" s="818"/>
      <c r="H31" s="601" t="s">
        <v>2226</v>
      </c>
    </row>
    <row r="32" spans="1:8" s="620" customFormat="1" ht="15">
      <c r="A32" s="793"/>
      <c r="B32" s="793"/>
      <c r="C32" s="816" t="s">
        <v>343</v>
      </c>
      <c r="D32" s="816" t="s">
        <v>277</v>
      </c>
      <c r="E32" s="817">
        <v>1</v>
      </c>
      <c r="F32" s="817">
        <f>'MINI SSR 19-20'!C78</f>
        <v>410</v>
      </c>
      <c r="G32" s="801">
        <f>ROUND(E32*F32,2)</f>
        <v>410</v>
      </c>
      <c r="H32" s="601" t="s">
        <v>2226</v>
      </c>
    </row>
    <row r="33" spans="1:8">
      <c r="A33" s="793"/>
      <c r="B33" s="799"/>
      <c r="C33" s="804" t="s">
        <v>332</v>
      </c>
      <c r="D33" s="805"/>
      <c r="E33" s="806"/>
      <c r="F33" s="806"/>
      <c r="G33" s="807">
        <v>0</v>
      </c>
      <c r="H33" s="601" t="s">
        <v>2226</v>
      </c>
    </row>
    <row r="34" spans="1:8" s="620" customFormat="1" ht="15">
      <c r="A34" s="793"/>
      <c r="B34" s="793"/>
      <c r="C34" s="816" t="s">
        <v>344</v>
      </c>
      <c r="D34" s="816"/>
      <c r="E34" s="816"/>
      <c r="F34" s="816"/>
      <c r="G34" s="798">
        <f>SUM(G32:G33)</f>
        <v>410</v>
      </c>
      <c r="H34" s="601" t="s">
        <v>2226</v>
      </c>
    </row>
    <row r="35" spans="1:8" s="620" customFormat="1" ht="15">
      <c r="A35" s="793"/>
      <c r="B35" s="793"/>
      <c r="C35" s="816" t="s">
        <v>345</v>
      </c>
      <c r="D35" s="816"/>
      <c r="E35" s="816"/>
      <c r="F35" s="816"/>
      <c r="G35" s="798">
        <f>G34/3</f>
        <v>136.66666666666666</v>
      </c>
      <c r="H35" s="601" t="s">
        <v>2226</v>
      </c>
    </row>
    <row r="36" spans="1:8" s="620" customFormat="1" ht="36">
      <c r="A36" s="793"/>
      <c r="B36" s="793">
        <v>5</v>
      </c>
      <c r="C36" s="800" t="s">
        <v>346</v>
      </c>
      <c r="D36" s="800"/>
      <c r="E36" s="800"/>
      <c r="F36" s="800"/>
      <c r="G36" s="800"/>
      <c r="H36" s="601" t="s">
        <v>2226</v>
      </c>
    </row>
    <row r="37" spans="1:8" s="620" customFormat="1" ht="15">
      <c r="A37" s="793"/>
      <c r="B37" s="793"/>
      <c r="C37" s="816" t="s">
        <v>342</v>
      </c>
      <c r="D37" s="816"/>
      <c r="E37" s="817"/>
      <c r="F37" s="817"/>
      <c r="G37" s="818"/>
      <c r="H37" s="601" t="s">
        <v>2226</v>
      </c>
    </row>
    <row r="38" spans="1:8" s="620" customFormat="1" ht="15">
      <c r="A38" s="793"/>
      <c r="B38" s="793"/>
      <c r="C38" s="816" t="s">
        <v>347</v>
      </c>
      <c r="D38" s="816" t="s">
        <v>277</v>
      </c>
      <c r="E38" s="817">
        <v>1</v>
      </c>
      <c r="F38" s="817">
        <f>'MINI SSR 19-20'!C79</f>
        <v>389</v>
      </c>
      <c r="G38" s="801">
        <f>ROUND(E38*F38,2)</f>
        <v>389</v>
      </c>
      <c r="H38" s="601" t="s">
        <v>2226</v>
      </c>
    </row>
    <row r="39" spans="1:8">
      <c r="A39" s="793"/>
      <c r="B39" s="799"/>
      <c r="C39" s="804" t="s">
        <v>332</v>
      </c>
      <c r="D39" s="805"/>
      <c r="E39" s="806"/>
      <c r="F39" s="806"/>
      <c r="G39" s="807">
        <v>0</v>
      </c>
      <c r="H39" s="601" t="s">
        <v>2226</v>
      </c>
    </row>
    <row r="40" spans="1:8" s="620" customFormat="1" ht="15">
      <c r="A40" s="793"/>
      <c r="B40" s="793"/>
      <c r="C40" s="816" t="s">
        <v>344</v>
      </c>
      <c r="D40" s="816"/>
      <c r="E40" s="816"/>
      <c r="F40" s="816"/>
      <c r="G40" s="798">
        <f>SUM(G38:G39)</f>
        <v>389</v>
      </c>
      <c r="H40" s="601" t="s">
        <v>2226</v>
      </c>
    </row>
    <row r="41" spans="1:8" s="620" customFormat="1" ht="15">
      <c r="A41" s="793"/>
      <c r="B41" s="793"/>
      <c r="C41" s="816" t="s">
        <v>345</v>
      </c>
      <c r="D41" s="816"/>
      <c r="E41" s="816"/>
      <c r="F41" s="816"/>
      <c r="G41" s="798">
        <f>G40/3</f>
        <v>129.66666666666666</v>
      </c>
      <c r="H41" s="601" t="s">
        <v>2226</v>
      </c>
    </row>
    <row r="42" spans="1:8" s="620" customFormat="1" ht="36">
      <c r="A42" s="793"/>
      <c r="B42" s="793">
        <v>6</v>
      </c>
      <c r="C42" s="800" t="s">
        <v>348</v>
      </c>
      <c r="D42" s="800"/>
      <c r="E42" s="800"/>
      <c r="F42" s="800"/>
      <c r="G42" s="800"/>
      <c r="H42" s="601" t="s">
        <v>2226</v>
      </c>
    </row>
    <row r="43" spans="1:8" s="620" customFormat="1" ht="15">
      <c r="A43" s="793"/>
      <c r="B43" s="793"/>
      <c r="C43" s="816" t="s">
        <v>342</v>
      </c>
      <c r="D43" s="816"/>
      <c r="E43" s="817"/>
      <c r="F43" s="817"/>
      <c r="G43" s="818"/>
      <c r="H43" s="601" t="s">
        <v>2226</v>
      </c>
    </row>
    <row r="44" spans="1:8" s="620" customFormat="1" ht="15">
      <c r="A44" s="793"/>
      <c r="B44" s="793"/>
      <c r="C44" s="816" t="s">
        <v>349</v>
      </c>
      <c r="D44" s="816" t="s">
        <v>277</v>
      </c>
      <c r="E44" s="817">
        <v>1</v>
      </c>
      <c r="F44" s="817">
        <f>'MINI SSR 19-20'!C80</f>
        <v>244</v>
      </c>
      <c r="G44" s="801">
        <f>ROUND(E44*F44,2)</f>
        <v>244</v>
      </c>
      <c r="H44" s="601" t="s">
        <v>2226</v>
      </c>
    </row>
    <row r="45" spans="1:8">
      <c r="A45" s="793"/>
      <c r="B45" s="799"/>
      <c r="C45" s="804" t="s">
        <v>332</v>
      </c>
      <c r="D45" s="805"/>
      <c r="E45" s="806"/>
      <c r="F45" s="806"/>
      <c r="G45" s="807">
        <v>0</v>
      </c>
      <c r="H45" s="601" t="s">
        <v>2226</v>
      </c>
    </row>
    <row r="46" spans="1:8" s="620" customFormat="1" ht="15">
      <c r="A46" s="793"/>
      <c r="B46" s="793"/>
      <c r="C46" s="816" t="s">
        <v>344</v>
      </c>
      <c r="D46" s="816"/>
      <c r="E46" s="816"/>
      <c r="F46" s="816"/>
      <c r="G46" s="798">
        <f>SUM(G44:G45)</f>
        <v>244</v>
      </c>
      <c r="H46" s="601" t="s">
        <v>2226</v>
      </c>
    </row>
    <row r="47" spans="1:8" s="620" customFormat="1" ht="15">
      <c r="A47" s="793"/>
      <c r="B47" s="793"/>
      <c r="C47" s="816" t="s">
        <v>345</v>
      </c>
      <c r="D47" s="816"/>
      <c r="E47" s="816"/>
      <c r="F47" s="816"/>
      <c r="G47" s="798">
        <f>G46/3</f>
        <v>81.333333333333329</v>
      </c>
      <c r="H47" s="601" t="s">
        <v>2226</v>
      </c>
    </row>
    <row r="48" spans="1:8" s="820" customFormat="1" ht="60">
      <c r="A48" s="793"/>
      <c r="B48" s="793">
        <v>7</v>
      </c>
      <c r="C48" s="421" t="s">
        <v>350</v>
      </c>
      <c r="D48" s="421"/>
      <c r="E48" s="793"/>
      <c r="F48" s="793"/>
      <c r="G48" s="819"/>
      <c r="H48" s="601" t="s">
        <v>2226</v>
      </c>
    </row>
    <row r="49" spans="1:8" s="820" customFormat="1">
      <c r="A49" s="800"/>
      <c r="B49" s="793"/>
      <c r="C49" s="794" t="s">
        <v>351</v>
      </c>
      <c r="D49" s="795" t="s">
        <v>279</v>
      </c>
      <c r="E49" s="796">
        <v>1</v>
      </c>
      <c r="F49" s="797">
        <f>'MINI SSR 19-20'!C81</f>
        <v>70</v>
      </c>
      <c r="G49" s="801">
        <f>ROUND(E49*F49,2)</f>
        <v>70</v>
      </c>
      <c r="H49" s="601" t="s">
        <v>2226</v>
      </c>
    </row>
    <row r="50" spans="1:8">
      <c r="A50" s="793"/>
      <c r="B50" s="799"/>
      <c r="C50" s="804" t="s">
        <v>332</v>
      </c>
      <c r="D50" s="805"/>
      <c r="E50" s="806"/>
      <c r="F50" s="806"/>
      <c r="G50" s="807">
        <v>0</v>
      </c>
      <c r="H50" s="601" t="s">
        <v>2226</v>
      </c>
    </row>
    <row r="51" spans="1:8" s="820" customFormat="1">
      <c r="A51" s="800"/>
      <c r="B51" s="793"/>
      <c r="C51" s="794"/>
      <c r="D51" s="795"/>
      <c r="E51" s="796"/>
      <c r="F51" s="797"/>
      <c r="G51" s="798">
        <f>SUM(G49:G50)</f>
        <v>70</v>
      </c>
      <c r="H51" s="601" t="s">
        <v>2226</v>
      </c>
    </row>
    <row r="52" spans="1:8" s="620" customFormat="1" ht="24">
      <c r="A52" s="793"/>
      <c r="B52" s="793">
        <v>11</v>
      </c>
      <c r="C52" s="421" t="s">
        <v>685</v>
      </c>
      <c r="D52" s="816"/>
      <c r="E52" s="795"/>
      <c r="F52" s="795"/>
      <c r="G52" s="816"/>
      <c r="H52" s="601" t="s">
        <v>2226</v>
      </c>
    </row>
    <row r="53" spans="1:8" s="620" customFormat="1" ht="15">
      <c r="A53" s="793"/>
      <c r="B53" s="793"/>
      <c r="C53" s="794" t="s">
        <v>686</v>
      </c>
      <c r="D53" s="795" t="s">
        <v>115</v>
      </c>
      <c r="E53" s="796">
        <v>1</v>
      </c>
      <c r="F53" s="797">
        <f>'MINI SSR 19-20'!C82</f>
        <v>1483</v>
      </c>
      <c r="G53" s="801">
        <f>ROUND(E53*F53,2)</f>
        <v>1483</v>
      </c>
      <c r="H53" s="601" t="s">
        <v>2226</v>
      </c>
    </row>
    <row r="54" spans="1:8">
      <c r="A54" s="793"/>
      <c r="B54" s="799"/>
      <c r="C54" s="804" t="s">
        <v>332</v>
      </c>
      <c r="D54" s="805"/>
      <c r="E54" s="806"/>
      <c r="F54" s="806"/>
      <c r="G54" s="807">
        <v>0</v>
      </c>
      <c r="H54" s="601" t="s">
        <v>2226</v>
      </c>
    </row>
    <row r="55" spans="1:8" s="620" customFormat="1" ht="15">
      <c r="A55" s="793"/>
      <c r="B55" s="793"/>
      <c r="C55" s="794"/>
      <c r="D55" s="795"/>
      <c r="E55" s="796"/>
      <c r="F55" s="797"/>
      <c r="G55" s="798">
        <f>SUM(G53:G54)</f>
        <v>1483</v>
      </c>
      <c r="H55" s="601" t="s">
        <v>2226</v>
      </c>
    </row>
    <row r="56" spans="1:8" s="620" customFormat="1" ht="48">
      <c r="A56" s="793"/>
      <c r="B56" s="793">
        <v>8</v>
      </c>
      <c r="C56" s="421" t="s">
        <v>352</v>
      </c>
      <c r="D56" s="816"/>
      <c r="E56" s="795"/>
      <c r="F56" s="795"/>
      <c r="G56" s="816"/>
      <c r="H56" s="601" t="s">
        <v>2226</v>
      </c>
    </row>
    <row r="57" spans="1:8" s="620" customFormat="1" ht="15">
      <c r="A57" s="793"/>
      <c r="B57" s="793"/>
      <c r="C57" s="794" t="s">
        <v>353</v>
      </c>
      <c r="D57" s="795" t="s">
        <v>115</v>
      </c>
      <c r="E57" s="796">
        <v>1</v>
      </c>
      <c r="F57" s="797">
        <f>'MINI SSR 19-20'!C72</f>
        <v>349</v>
      </c>
      <c r="G57" s="801">
        <f>ROUND(E57*F57,2)</f>
        <v>349</v>
      </c>
      <c r="H57" s="601" t="s">
        <v>2226</v>
      </c>
    </row>
    <row r="58" spans="1:8">
      <c r="A58" s="793"/>
      <c r="B58" s="799"/>
      <c r="C58" s="804" t="s">
        <v>332</v>
      </c>
      <c r="D58" s="805"/>
      <c r="E58" s="806"/>
      <c r="F58" s="806"/>
      <c r="G58" s="807">
        <v>0</v>
      </c>
      <c r="H58" s="601" t="s">
        <v>2226</v>
      </c>
    </row>
    <row r="59" spans="1:8" s="620" customFormat="1" ht="15">
      <c r="A59" s="793"/>
      <c r="B59" s="793"/>
      <c r="C59" s="794"/>
      <c r="D59" s="795"/>
      <c r="E59" s="796"/>
      <c r="F59" s="797"/>
      <c r="G59" s="798">
        <f>SUM(G57:G58)</f>
        <v>349</v>
      </c>
      <c r="H59" s="601" t="s">
        <v>2226</v>
      </c>
    </row>
    <row r="60" spans="1:8" s="620" customFormat="1" ht="72">
      <c r="A60" s="793"/>
      <c r="B60" s="793">
        <v>13</v>
      </c>
      <c r="C60" s="421" t="s">
        <v>354</v>
      </c>
      <c r="D60" s="816"/>
      <c r="E60" s="795"/>
      <c r="F60" s="795"/>
      <c r="G60" s="816"/>
      <c r="H60" s="601" t="s">
        <v>2226</v>
      </c>
    </row>
    <row r="61" spans="1:8" s="620" customFormat="1" ht="15">
      <c r="A61" s="793"/>
      <c r="B61" s="793"/>
      <c r="C61" s="794" t="s">
        <v>355</v>
      </c>
      <c r="D61" s="795" t="s">
        <v>115</v>
      </c>
      <c r="E61" s="796">
        <v>1</v>
      </c>
      <c r="F61" s="797">
        <f>'MINI SSR 19-20'!C83</f>
        <v>3758</v>
      </c>
      <c r="G61" s="801">
        <f>ROUND(E61*F61,2)</f>
        <v>3758</v>
      </c>
      <c r="H61" s="601" t="s">
        <v>2226</v>
      </c>
    </row>
    <row r="62" spans="1:8">
      <c r="A62" s="793"/>
      <c r="B62" s="799"/>
      <c r="C62" s="804" t="s">
        <v>332</v>
      </c>
      <c r="D62" s="805"/>
      <c r="E62" s="806"/>
      <c r="F62" s="806"/>
      <c r="G62" s="807">
        <v>0</v>
      </c>
      <c r="H62" s="601" t="s">
        <v>2226</v>
      </c>
    </row>
    <row r="63" spans="1:8" s="620" customFormat="1" ht="15">
      <c r="A63" s="793"/>
      <c r="B63" s="793"/>
      <c r="C63" s="794"/>
      <c r="D63" s="795"/>
      <c r="E63" s="796"/>
      <c r="F63" s="797"/>
      <c r="G63" s="798">
        <f>SUM(G61:G62)</f>
        <v>3758</v>
      </c>
      <c r="H63" s="601" t="s">
        <v>2226</v>
      </c>
    </row>
    <row r="64" spans="1:8" s="620" customFormat="1" ht="60">
      <c r="A64" s="793"/>
      <c r="B64" s="793">
        <v>9</v>
      </c>
      <c r="C64" s="421" t="s">
        <v>290</v>
      </c>
      <c r="D64" s="800"/>
      <c r="E64" s="793"/>
      <c r="F64" s="793"/>
      <c r="G64" s="819"/>
      <c r="H64" s="601" t="s">
        <v>2226</v>
      </c>
    </row>
    <row r="65" spans="1:8" s="620" customFormat="1" ht="15">
      <c r="A65" s="793"/>
      <c r="B65" s="793"/>
      <c r="C65" s="794" t="s">
        <v>356</v>
      </c>
      <c r="D65" s="795" t="s">
        <v>357</v>
      </c>
      <c r="E65" s="797">
        <v>1</v>
      </c>
      <c r="F65" s="797">
        <f>'MINI SSR 19-20'!H66</f>
        <v>5</v>
      </c>
      <c r="G65" s="801">
        <f>ROUND(E65*F65,2)</f>
        <v>5</v>
      </c>
      <c r="H65" s="601" t="s">
        <v>2226</v>
      </c>
    </row>
    <row r="66" spans="1:8" s="620" customFormat="1" ht="15">
      <c r="A66" s="793"/>
      <c r="B66" s="821"/>
      <c r="C66" s="794" t="s">
        <v>358</v>
      </c>
      <c r="D66" s="795" t="s">
        <v>357</v>
      </c>
      <c r="E66" s="797">
        <v>1</v>
      </c>
      <c r="F66" s="797">
        <f>'MINI SSR 19-20'!H67</f>
        <v>1</v>
      </c>
      <c r="G66" s="801">
        <f>ROUND(E66*F66,2)</f>
        <v>1</v>
      </c>
      <c r="H66" s="601" t="s">
        <v>2226</v>
      </c>
    </row>
    <row r="67" spans="1:8" s="620" customFormat="1" ht="15">
      <c r="A67" s="793"/>
      <c r="B67" s="821"/>
      <c r="C67" s="794"/>
      <c r="D67" s="795"/>
      <c r="E67" s="797"/>
      <c r="F67" s="797"/>
      <c r="G67" s="798">
        <f>SUM(G65:G66)</f>
        <v>6</v>
      </c>
      <c r="H67" s="601" t="s">
        <v>2226</v>
      </c>
    </row>
    <row r="68" spans="1:8">
      <c r="A68" s="793"/>
      <c r="B68" s="799"/>
      <c r="C68" s="804" t="s">
        <v>332</v>
      </c>
      <c r="D68" s="805"/>
      <c r="E68" s="806"/>
      <c r="F68" s="806"/>
      <c r="G68" s="807">
        <v>0</v>
      </c>
      <c r="H68" s="601" t="s">
        <v>2226</v>
      </c>
    </row>
    <row r="69" spans="1:8" s="620" customFormat="1" ht="15">
      <c r="A69" s="793"/>
      <c r="B69" s="821"/>
      <c r="C69" s="794"/>
      <c r="D69" s="795"/>
      <c r="E69" s="797"/>
      <c r="F69" s="797"/>
      <c r="G69" s="798">
        <f>SUM(G67:G68)</f>
        <v>6</v>
      </c>
      <c r="H69" s="601" t="s">
        <v>2226</v>
      </c>
    </row>
    <row r="70" spans="1:8" s="620" customFormat="1" ht="72">
      <c r="A70" s="793"/>
      <c r="B70" s="793">
        <v>10</v>
      </c>
      <c r="C70" s="421" t="s">
        <v>276</v>
      </c>
      <c r="D70" s="421"/>
      <c r="E70" s="421"/>
      <c r="F70" s="793"/>
      <c r="G70" s="819"/>
      <c r="H70" s="601" t="s">
        <v>2226</v>
      </c>
    </row>
    <row r="71" spans="1:8" s="620" customFormat="1" ht="15">
      <c r="A71" s="793"/>
      <c r="B71" s="793"/>
      <c r="C71" s="421" t="s">
        <v>359</v>
      </c>
      <c r="D71" s="816" t="s">
        <v>277</v>
      </c>
      <c r="E71" s="817">
        <v>1</v>
      </c>
      <c r="F71" s="797">
        <f>'MINI SSR 19-20'!H68</f>
        <v>53</v>
      </c>
      <c r="G71" s="801">
        <f>ROUND(E71*F71,2)</f>
        <v>53</v>
      </c>
      <c r="H71" s="601" t="s">
        <v>2226</v>
      </c>
    </row>
    <row r="72" spans="1:8">
      <c r="A72" s="793"/>
      <c r="B72" s="799"/>
      <c r="C72" s="804" t="s">
        <v>332</v>
      </c>
      <c r="D72" s="805"/>
      <c r="E72" s="806"/>
      <c r="F72" s="806"/>
      <c r="G72" s="807">
        <v>0</v>
      </c>
      <c r="H72" s="601" t="s">
        <v>2226</v>
      </c>
    </row>
    <row r="73" spans="1:8" s="620" customFormat="1" ht="15">
      <c r="A73" s="793"/>
      <c r="B73" s="821"/>
      <c r="C73" s="794"/>
      <c r="D73" s="795"/>
      <c r="E73" s="797"/>
      <c r="F73" s="797"/>
      <c r="G73" s="818">
        <f>SUM(G71:G72)</f>
        <v>53</v>
      </c>
      <c r="H73" s="601" t="s">
        <v>2226</v>
      </c>
    </row>
    <row r="74" spans="1:8" s="620" customFormat="1" ht="15">
      <c r="A74" s="793"/>
      <c r="B74" s="793"/>
      <c r="C74" s="421" t="s">
        <v>360</v>
      </c>
      <c r="D74" s="816" t="s">
        <v>277</v>
      </c>
      <c r="E74" s="817">
        <v>1</v>
      </c>
      <c r="F74" s="797">
        <f>'MINI SSR 19-20'!H69</f>
        <v>85</v>
      </c>
      <c r="G74" s="801">
        <f>ROUND(E74*F74,2)</f>
        <v>85</v>
      </c>
      <c r="H74" s="601" t="s">
        <v>2226</v>
      </c>
    </row>
    <row r="75" spans="1:8">
      <c r="A75" s="793"/>
      <c r="B75" s="799"/>
      <c r="C75" s="804" t="s">
        <v>332</v>
      </c>
      <c r="D75" s="805"/>
      <c r="E75" s="806"/>
      <c r="F75" s="806"/>
      <c r="G75" s="807">
        <v>0</v>
      </c>
      <c r="H75" s="601" t="s">
        <v>2226</v>
      </c>
    </row>
    <row r="76" spans="1:8" s="620" customFormat="1" ht="15">
      <c r="A76" s="793"/>
      <c r="B76" s="821"/>
      <c r="C76" s="794"/>
      <c r="D76" s="795"/>
      <c r="E76" s="797"/>
      <c r="F76" s="797"/>
      <c r="G76" s="818">
        <f>SUM(G74:G75)</f>
        <v>85</v>
      </c>
      <c r="H76" s="601" t="s">
        <v>2226</v>
      </c>
    </row>
    <row r="77" spans="1:8" s="620" customFormat="1" ht="15">
      <c r="A77" s="793"/>
      <c r="B77" s="793"/>
      <c r="C77" s="421" t="s">
        <v>3242</v>
      </c>
      <c r="D77" s="816" t="s">
        <v>277</v>
      </c>
      <c r="E77" s="817">
        <v>1</v>
      </c>
      <c r="F77" s="797">
        <f>'MINI SSR 19-20'!H70</f>
        <v>123</v>
      </c>
      <c r="G77" s="801">
        <f>ROUND(E77*F77,2)</f>
        <v>123</v>
      </c>
      <c r="H77" s="601" t="s">
        <v>2226</v>
      </c>
    </row>
    <row r="78" spans="1:8">
      <c r="A78" s="793"/>
      <c r="B78" s="799"/>
      <c r="C78" s="804" t="s">
        <v>332</v>
      </c>
      <c r="D78" s="805"/>
      <c r="E78" s="806"/>
      <c r="F78" s="806"/>
      <c r="G78" s="807">
        <v>0</v>
      </c>
      <c r="H78" s="601" t="s">
        <v>2226</v>
      </c>
    </row>
    <row r="79" spans="1:8" s="620" customFormat="1" ht="15">
      <c r="A79" s="793"/>
      <c r="B79" s="821"/>
      <c r="C79" s="794"/>
      <c r="D79" s="795"/>
      <c r="E79" s="797"/>
      <c r="F79" s="797"/>
      <c r="G79" s="818">
        <f>SUM(G77:G78)</f>
        <v>123</v>
      </c>
      <c r="H79" s="601" t="s">
        <v>2226</v>
      </c>
    </row>
    <row r="80" spans="1:8" s="620" customFormat="1" ht="15">
      <c r="A80" s="793"/>
      <c r="B80" s="793"/>
      <c r="C80" s="421" t="s">
        <v>362</v>
      </c>
      <c r="D80" s="816" t="s">
        <v>277</v>
      </c>
      <c r="E80" s="817">
        <v>1</v>
      </c>
      <c r="F80" s="797">
        <f>'MINI SSR 19-20'!H71</f>
        <v>193</v>
      </c>
      <c r="G80" s="801">
        <f>ROUND(E80*F80,2)</f>
        <v>193</v>
      </c>
      <c r="H80" s="601" t="s">
        <v>2226</v>
      </c>
    </row>
    <row r="81" spans="1:8">
      <c r="A81" s="793"/>
      <c r="B81" s="799"/>
      <c r="C81" s="804" t="s">
        <v>332</v>
      </c>
      <c r="D81" s="805"/>
      <c r="E81" s="806"/>
      <c r="F81" s="806"/>
      <c r="G81" s="807">
        <v>0</v>
      </c>
      <c r="H81" s="601" t="s">
        <v>2226</v>
      </c>
    </row>
    <row r="82" spans="1:8" s="620" customFormat="1" ht="15">
      <c r="A82" s="793"/>
      <c r="B82" s="821"/>
      <c r="C82" s="794"/>
      <c r="D82" s="795"/>
      <c r="E82" s="797"/>
      <c r="F82" s="797"/>
      <c r="G82" s="818">
        <f>SUM(G80:G81)</f>
        <v>193</v>
      </c>
      <c r="H82" s="601" t="s">
        <v>2226</v>
      </c>
    </row>
    <row r="83" spans="1:8" s="820" customFormat="1" ht="48">
      <c r="A83" s="793"/>
      <c r="B83" s="793">
        <v>16</v>
      </c>
      <c r="C83" s="421" t="s">
        <v>1262</v>
      </c>
      <c r="D83" s="421"/>
      <c r="E83" s="793"/>
      <c r="F83" s="793"/>
      <c r="G83" s="819"/>
      <c r="H83" s="601" t="s">
        <v>2226</v>
      </c>
    </row>
    <row r="84" spans="1:8" s="820" customFormat="1">
      <c r="A84" s="800"/>
      <c r="B84" s="793"/>
      <c r="C84" s="794" t="s">
        <v>380</v>
      </c>
      <c r="D84" s="795" t="s">
        <v>279</v>
      </c>
      <c r="E84" s="796">
        <v>1</v>
      </c>
      <c r="F84" s="797">
        <f>'MINI SSR 19-20'!H72</f>
        <v>24</v>
      </c>
      <c r="G84" s="801">
        <f>ROUND(E84*F84,2)</f>
        <v>24</v>
      </c>
      <c r="H84" s="601" t="s">
        <v>2226</v>
      </c>
    </row>
    <row r="85" spans="1:8">
      <c r="A85" s="793"/>
      <c r="B85" s="799"/>
      <c r="C85" s="804" t="s">
        <v>332</v>
      </c>
      <c r="D85" s="805"/>
      <c r="E85" s="806"/>
      <c r="F85" s="806"/>
      <c r="G85" s="807">
        <v>0</v>
      </c>
      <c r="H85" s="601" t="s">
        <v>2226</v>
      </c>
    </row>
    <row r="86" spans="1:8" s="820" customFormat="1">
      <c r="A86" s="800"/>
      <c r="B86" s="793"/>
      <c r="C86" s="794"/>
      <c r="D86" s="795"/>
      <c r="E86" s="796"/>
      <c r="F86" s="797"/>
      <c r="G86" s="798">
        <f>SUM(G84:G85)</f>
        <v>24</v>
      </c>
      <c r="H86" s="601" t="s">
        <v>2226</v>
      </c>
    </row>
    <row r="87" spans="1:8" s="820" customFormat="1" ht="72">
      <c r="A87" s="793"/>
      <c r="B87" s="793">
        <v>11</v>
      </c>
      <c r="C87" s="421" t="s">
        <v>363</v>
      </c>
      <c r="D87" s="421"/>
      <c r="E87" s="793"/>
      <c r="F87" s="793"/>
      <c r="G87" s="819"/>
      <c r="H87" s="601" t="s">
        <v>2226</v>
      </c>
    </row>
    <row r="88" spans="1:8" s="820" customFormat="1">
      <c r="A88" s="800"/>
      <c r="B88" s="793"/>
      <c r="C88" s="794" t="s">
        <v>364</v>
      </c>
      <c r="D88" s="795" t="s">
        <v>279</v>
      </c>
      <c r="E88" s="796">
        <v>1</v>
      </c>
      <c r="F88" s="797">
        <f>'MINI SSR 19-20'!H73</f>
        <v>31</v>
      </c>
      <c r="G88" s="801">
        <f>ROUND(E88*F88,2)</f>
        <v>31</v>
      </c>
      <c r="H88" s="601" t="s">
        <v>2226</v>
      </c>
    </row>
    <row r="89" spans="1:8">
      <c r="A89" s="793"/>
      <c r="B89" s="799"/>
      <c r="C89" s="804" t="s">
        <v>332</v>
      </c>
      <c r="D89" s="805"/>
      <c r="E89" s="806"/>
      <c r="F89" s="806"/>
      <c r="G89" s="807">
        <v>0</v>
      </c>
      <c r="H89" s="601" t="s">
        <v>2226</v>
      </c>
    </row>
    <row r="90" spans="1:8" s="820" customFormat="1">
      <c r="A90" s="800"/>
      <c r="B90" s="793"/>
      <c r="C90" s="794"/>
      <c r="D90" s="795"/>
      <c r="E90" s="796"/>
      <c r="F90" s="797"/>
      <c r="G90" s="798">
        <f>SUM(G88:G89)</f>
        <v>31</v>
      </c>
      <c r="H90" s="601" t="s">
        <v>2226</v>
      </c>
    </row>
    <row r="91" spans="1:8" s="620" customFormat="1" ht="48">
      <c r="A91" s="793"/>
      <c r="B91" s="793">
        <v>18</v>
      </c>
      <c r="C91" s="421" t="s">
        <v>365</v>
      </c>
      <c r="D91" s="800"/>
      <c r="E91" s="793"/>
      <c r="F91" s="793"/>
      <c r="G91" s="819"/>
      <c r="H91" s="601" t="s">
        <v>2226</v>
      </c>
    </row>
    <row r="92" spans="1:8" s="620" customFormat="1" ht="15">
      <c r="A92" s="793"/>
      <c r="B92" s="793"/>
      <c r="C92" s="794" t="s">
        <v>366</v>
      </c>
      <c r="D92" s="795" t="s">
        <v>115</v>
      </c>
      <c r="E92" s="797">
        <v>1</v>
      </c>
      <c r="F92" s="797">
        <f>'MINI SSR 19-20'!H74</f>
        <v>1051</v>
      </c>
      <c r="G92" s="801">
        <f>ROUND(E92*F92,2)</f>
        <v>1051</v>
      </c>
      <c r="H92" s="601" t="s">
        <v>2226</v>
      </c>
    </row>
    <row r="93" spans="1:8">
      <c r="A93" s="793"/>
      <c r="B93" s="799"/>
      <c r="C93" s="804" t="s">
        <v>332</v>
      </c>
      <c r="D93" s="805"/>
      <c r="E93" s="806"/>
      <c r="F93" s="806"/>
      <c r="G93" s="807">
        <v>0</v>
      </c>
      <c r="H93" s="601" t="s">
        <v>2226</v>
      </c>
    </row>
    <row r="94" spans="1:8" s="620" customFormat="1" ht="15">
      <c r="A94" s="793"/>
      <c r="B94" s="821"/>
      <c r="C94" s="794"/>
      <c r="D94" s="795"/>
      <c r="E94" s="797"/>
      <c r="F94" s="797"/>
      <c r="G94" s="798">
        <f>SUM(G92:G93)</f>
        <v>1051</v>
      </c>
      <c r="H94" s="601" t="s">
        <v>2226</v>
      </c>
    </row>
    <row r="95" spans="1:8" s="820" customFormat="1" ht="108">
      <c r="A95" s="822"/>
      <c r="B95" s="793">
        <v>19</v>
      </c>
      <c r="C95" s="800" t="s">
        <v>367</v>
      </c>
      <c r="D95" s="800"/>
      <c r="E95" s="800"/>
      <c r="F95" s="800"/>
      <c r="G95" s="823"/>
      <c r="H95" s="601" t="s">
        <v>2226</v>
      </c>
    </row>
    <row r="96" spans="1:8" s="820" customFormat="1">
      <c r="A96" s="824"/>
      <c r="B96" s="821"/>
      <c r="C96" s="825" t="s">
        <v>368</v>
      </c>
      <c r="D96" s="826"/>
      <c r="E96" s="826"/>
      <c r="F96" s="827"/>
      <c r="G96" s="828"/>
      <c r="H96" s="601" t="s">
        <v>2226</v>
      </c>
    </row>
    <row r="97" spans="1:8" s="820" customFormat="1">
      <c r="A97" s="824"/>
      <c r="B97" s="793"/>
      <c r="C97" s="824" t="s">
        <v>369</v>
      </c>
      <c r="D97" s="827" t="s">
        <v>370</v>
      </c>
      <c r="E97" s="826">
        <v>1</v>
      </c>
      <c r="F97" s="826">
        <f>'MINI SSR 19-20'!C78</f>
        <v>410</v>
      </c>
      <c r="G97" s="801">
        <f t="shared" ref="G97:G102" si="0">ROUND(E97*F97,2)</f>
        <v>410</v>
      </c>
      <c r="H97" s="601" t="s">
        <v>2226</v>
      </c>
    </row>
    <row r="98" spans="1:8" s="820" customFormat="1">
      <c r="A98" s="824"/>
      <c r="B98" s="793"/>
      <c r="C98" s="829" t="s">
        <v>371</v>
      </c>
      <c r="D98" s="827" t="s">
        <v>115</v>
      </c>
      <c r="E98" s="826">
        <v>1</v>
      </c>
      <c r="F98" s="826">
        <f>'MINI SSR 19-20'!H75</f>
        <v>70</v>
      </c>
      <c r="G98" s="801">
        <f t="shared" si="0"/>
        <v>70</v>
      </c>
      <c r="H98" s="601" t="s">
        <v>2226</v>
      </c>
    </row>
    <row r="99" spans="1:8" s="820" customFormat="1">
      <c r="A99" s="824"/>
      <c r="B99" s="793"/>
      <c r="C99" s="829" t="s">
        <v>372</v>
      </c>
      <c r="D99" s="827" t="s">
        <v>115</v>
      </c>
      <c r="E99" s="826">
        <v>3</v>
      </c>
      <c r="F99" s="826">
        <f>'MINI SSR 19-20'!H76</f>
        <v>15</v>
      </c>
      <c r="G99" s="801">
        <f t="shared" si="0"/>
        <v>45</v>
      </c>
      <c r="H99" s="601" t="s">
        <v>2226</v>
      </c>
    </row>
    <row r="100" spans="1:8" s="820" customFormat="1">
      <c r="A100" s="824"/>
      <c r="B100" s="793"/>
      <c r="C100" s="830" t="s">
        <v>373</v>
      </c>
      <c r="D100" s="827" t="s">
        <v>108</v>
      </c>
      <c r="E100" s="826">
        <v>0.3</v>
      </c>
      <c r="F100" s="826">
        <f>'MINI SSR 19-20'!H8</f>
        <v>580</v>
      </c>
      <c r="G100" s="801">
        <f t="shared" si="0"/>
        <v>174</v>
      </c>
      <c r="H100" s="601" t="s">
        <v>2226</v>
      </c>
    </row>
    <row r="101" spans="1:8" s="820" customFormat="1">
      <c r="A101" s="824"/>
      <c r="B101" s="793"/>
      <c r="C101" s="830" t="s">
        <v>374</v>
      </c>
      <c r="D101" s="827" t="s">
        <v>108</v>
      </c>
      <c r="E101" s="826">
        <v>0.7</v>
      </c>
      <c r="F101" s="826">
        <f>'MINI SSR 19-20'!H9</f>
        <v>460</v>
      </c>
      <c r="G101" s="801">
        <f t="shared" si="0"/>
        <v>322</v>
      </c>
      <c r="H101" s="601" t="s">
        <v>2226</v>
      </c>
    </row>
    <row r="102" spans="1:8" s="820" customFormat="1">
      <c r="A102" s="824"/>
      <c r="B102" s="793"/>
      <c r="C102" s="830" t="s">
        <v>375</v>
      </c>
      <c r="D102" s="827" t="s">
        <v>108</v>
      </c>
      <c r="E102" s="826">
        <v>1</v>
      </c>
      <c r="F102" s="826">
        <f>'MINI SSR 19-20'!H5</f>
        <v>420</v>
      </c>
      <c r="G102" s="801">
        <f t="shared" si="0"/>
        <v>420</v>
      </c>
      <c r="H102" s="601" t="s">
        <v>2226</v>
      </c>
    </row>
    <row r="103" spans="1:8" s="820" customFormat="1">
      <c r="A103" s="824"/>
      <c r="B103" s="793"/>
      <c r="C103" s="830"/>
      <c r="D103" s="827"/>
      <c r="E103" s="826"/>
      <c r="F103" s="826"/>
      <c r="G103" s="828">
        <f>SUM(G97:G102)</f>
        <v>1441</v>
      </c>
      <c r="H103" s="601" t="s">
        <v>2226</v>
      </c>
    </row>
    <row r="104" spans="1:8">
      <c r="A104" s="793"/>
      <c r="B104" s="799"/>
      <c r="C104" s="804" t="s">
        <v>332</v>
      </c>
      <c r="D104" s="805"/>
      <c r="E104" s="806"/>
      <c r="F104" s="806"/>
      <c r="G104" s="807">
        <v>0</v>
      </c>
      <c r="H104" s="601" t="s">
        <v>2226</v>
      </c>
    </row>
    <row r="105" spans="1:8" s="820" customFormat="1">
      <c r="A105" s="824"/>
      <c r="B105" s="821"/>
      <c r="C105" s="830" t="s">
        <v>376</v>
      </c>
      <c r="D105" s="827"/>
      <c r="E105" s="826"/>
      <c r="F105" s="826"/>
      <c r="G105" s="828">
        <f>SUM(G103:G104)</f>
        <v>1441</v>
      </c>
      <c r="H105" s="601" t="s">
        <v>2226</v>
      </c>
    </row>
    <row r="106" spans="1:8" s="820" customFormat="1">
      <c r="A106" s="824"/>
      <c r="B106" s="821"/>
      <c r="C106" s="830" t="s">
        <v>377</v>
      </c>
      <c r="D106" s="827"/>
      <c r="E106" s="826"/>
      <c r="F106" s="826"/>
      <c r="G106" s="831">
        <f>G105/3</f>
        <v>480.33333333333331</v>
      </c>
      <c r="H106" s="601" t="s">
        <v>2226</v>
      </c>
    </row>
    <row r="107" spans="1:8" s="670" customFormat="1" ht="113.25" customHeight="1">
      <c r="A107" s="832"/>
      <c r="B107" s="832">
        <v>1</v>
      </c>
      <c r="C107" s="700" t="s">
        <v>595</v>
      </c>
      <c r="D107" s="700"/>
      <c r="E107" s="673"/>
      <c r="F107" s="673"/>
      <c r="G107" s="38"/>
      <c r="H107" s="601" t="s">
        <v>2226</v>
      </c>
    </row>
    <row r="108" spans="1:8" s="670" customFormat="1">
      <c r="A108" s="691"/>
      <c r="B108" s="673"/>
      <c r="C108" s="696" t="s">
        <v>596</v>
      </c>
      <c r="D108" s="16" t="s">
        <v>279</v>
      </c>
      <c r="E108" s="833">
        <v>1</v>
      </c>
      <c r="F108" s="10">
        <f>'MINI SSR 19-20'!C86</f>
        <v>446.4</v>
      </c>
      <c r="G108" s="9">
        <f>(E108*F108)/1</f>
        <v>446.4</v>
      </c>
      <c r="H108" s="601" t="s">
        <v>2226</v>
      </c>
    </row>
    <row r="109" spans="1:8" s="670" customFormat="1">
      <c r="A109" s="691"/>
      <c r="B109" s="673"/>
      <c r="C109" s="696"/>
      <c r="D109" s="16"/>
      <c r="E109" s="833"/>
      <c r="F109" s="10"/>
      <c r="G109" s="9"/>
      <c r="H109" s="601" t="s">
        <v>2226</v>
      </c>
    </row>
    <row r="110" spans="1:8" s="670" customFormat="1">
      <c r="A110" s="691"/>
      <c r="B110" s="673"/>
      <c r="C110" s="696" t="s">
        <v>597</v>
      </c>
      <c r="D110" s="16" t="s">
        <v>279</v>
      </c>
      <c r="E110" s="833">
        <v>1</v>
      </c>
      <c r="F110" s="10">
        <f>'MINI SSR 19-20'!C87</f>
        <v>477.6</v>
      </c>
      <c r="G110" s="9">
        <f>(E110*F110)/1</f>
        <v>477.6</v>
      </c>
      <c r="H110" s="601" t="s">
        <v>2226</v>
      </c>
    </row>
    <row r="111" spans="1:8" s="670" customFormat="1">
      <c r="A111" s="691"/>
      <c r="B111" s="673"/>
      <c r="C111" s="696"/>
      <c r="D111" s="16"/>
      <c r="E111" s="833"/>
      <c r="F111" s="10"/>
      <c r="G111" s="9"/>
      <c r="H111" s="601" t="s">
        <v>2226</v>
      </c>
    </row>
    <row r="112" spans="1:8" s="670" customFormat="1">
      <c r="A112" s="691"/>
      <c r="B112" s="673"/>
      <c r="C112" s="696" t="s">
        <v>598</v>
      </c>
      <c r="D112" s="16" t="s">
        <v>279</v>
      </c>
      <c r="E112" s="833">
        <v>1</v>
      </c>
      <c r="F112" s="10">
        <f>'MINI SSR 19-20'!C88</f>
        <v>600</v>
      </c>
      <c r="G112" s="9">
        <f>(E112*F112)/1</f>
        <v>600</v>
      </c>
      <c r="H112" s="601" t="s">
        <v>2226</v>
      </c>
    </row>
    <row r="113" spans="1:8" s="670" customFormat="1">
      <c r="A113" s="691"/>
      <c r="B113" s="673"/>
      <c r="C113" s="696"/>
      <c r="D113" s="16"/>
      <c r="E113" s="833"/>
      <c r="F113" s="10"/>
      <c r="G113" s="9"/>
      <c r="H113" s="601" t="s">
        <v>2226</v>
      </c>
    </row>
    <row r="114" spans="1:8" s="670" customFormat="1" ht="51">
      <c r="A114" s="673"/>
      <c r="B114" s="673">
        <v>12</v>
      </c>
      <c r="C114" s="700" t="s">
        <v>592</v>
      </c>
      <c r="D114" s="700"/>
      <c r="E114" s="673"/>
      <c r="F114" s="673"/>
      <c r="G114" s="38"/>
      <c r="H114" s="601" t="s">
        <v>2226</v>
      </c>
    </row>
    <row r="115" spans="1:8" s="670" customFormat="1">
      <c r="A115" s="691"/>
      <c r="B115" s="673"/>
      <c r="C115" s="696" t="s">
        <v>599</v>
      </c>
      <c r="D115" s="16" t="s">
        <v>275</v>
      </c>
      <c r="E115" s="833">
        <v>1</v>
      </c>
      <c r="F115" s="10">
        <f>'MINI SSR 19-20'!C89</f>
        <v>24300</v>
      </c>
      <c r="G115" s="9">
        <f>(E115*F115)/1</f>
        <v>24300</v>
      </c>
      <c r="H115" s="601" t="s">
        <v>2226</v>
      </c>
    </row>
    <row r="116" spans="1:8" s="670" customFormat="1">
      <c r="A116" s="691"/>
      <c r="B116" s="673"/>
      <c r="C116" s="696"/>
      <c r="D116" s="16"/>
      <c r="E116" s="833"/>
      <c r="F116" s="10"/>
      <c r="G116" s="9">
        <f>SUM(G115:G115)</f>
        <v>24300</v>
      </c>
      <c r="H116" s="601" t="s">
        <v>2226</v>
      </c>
    </row>
    <row r="117" spans="1:8" s="670" customFormat="1" ht="51">
      <c r="A117" s="673"/>
      <c r="B117" s="673">
        <v>2</v>
      </c>
      <c r="C117" s="700" t="s">
        <v>1536</v>
      </c>
      <c r="D117" s="700"/>
      <c r="E117" s="673"/>
      <c r="F117" s="673"/>
      <c r="G117" s="38"/>
      <c r="H117" s="601" t="s">
        <v>2226</v>
      </c>
    </row>
    <row r="118" spans="1:8" s="670" customFormat="1">
      <c r="A118" s="691"/>
      <c r="B118" s="673"/>
      <c r="C118" s="696" t="s">
        <v>1571</v>
      </c>
      <c r="D118" s="16" t="s">
        <v>275</v>
      </c>
      <c r="E118" s="833">
        <v>1</v>
      </c>
      <c r="F118" s="10">
        <f>'MINI SSR 19-20'!C90</f>
        <v>16700</v>
      </c>
      <c r="G118" s="9">
        <f>(E118*F118)/1</f>
        <v>16700</v>
      </c>
      <c r="H118" s="601" t="s">
        <v>2226</v>
      </c>
    </row>
    <row r="119" spans="1:8" s="670" customFormat="1">
      <c r="A119" s="691"/>
      <c r="B119" s="673"/>
      <c r="C119" s="696" t="s">
        <v>2774</v>
      </c>
      <c r="D119" s="16" t="s">
        <v>275</v>
      </c>
      <c r="E119" s="833">
        <v>2</v>
      </c>
      <c r="F119" s="10">
        <v>196</v>
      </c>
      <c r="G119" s="9">
        <f t="shared" ref="G119:G123" si="1">(E119*F119)/1</f>
        <v>392</v>
      </c>
      <c r="H119" s="601" t="s">
        <v>2226</v>
      </c>
    </row>
    <row r="120" spans="1:8" s="670" customFormat="1">
      <c r="A120" s="691"/>
      <c r="B120" s="673"/>
      <c r="C120" s="696" t="s">
        <v>2771</v>
      </c>
      <c r="D120" s="16"/>
      <c r="E120" s="833">
        <f>G118</f>
        <v>16700</v>
      </c>
      <c r="F120" s="10">
        <v>0.02</v>
      </c>
      <c r="G120" s="9">
        <f t="shared" si="1"/>
        <v>334</v>
      </c>
      <c r="H120" s="601" t="s">
        <v>2226</v>
      </c>
    </row>
    <row r="121" spans="1:8" s="670" customFormat="1">
      <c r="A121" s="691"/>
      <c r="B121" s="673"/>
      <c r="C121" s="696" t="s">
        <v>2772</v>
      </c>
      <c r="D121" s="16" t="s">
        <v>275</v>
      </c>
      <c r="E121" s="833">
        <v>0.5</v>
      </c>
      <c r="F121" s="10">
        <v>550</v>
      </c>
      <c r="G121" s="9">
        <f t="shared" si="1"/>
        <v>275</v>
      </c>
      <c r="H121" s="601" t="s">
        <v>2226</v>
      </c>
    </row>
    <row r="122" spans="1:8" s="670" customFormat="1">
      <c r="A122" s="691"/>
      <c r="B122" s="673"/>
      <c r="C122" s="696" t="s">
        <v>157</v>
      </c>
      <c r="D122" s="16" t="s">
        <v>275</v>
      </c>
      <c r="E122" s="833">
        <v>1</v>
      </c>
      <c r="F122" s="10">
        <f>'MINI SSR 19-20'!H18</f>
        <v>418</v>
      </c>
      <c r="G122" s="9">
        <f t="shared" si="1"/>
        <v>418</v>
      </c>
      <c r="H122" s="601" t="s">
        <v>2226</v>
      </c>
    </row>
    <row r="123" spans="1:8" s="670" customFormat="1">
      <c r="A123" s="691"/>
      <c r="B123" s="673"/>
      <c r="C123" s="696" t="s">
        <v>2773</v>
      </c>
      <c r="D123" s="16" t="s">
        <v>275</v>
      </c>
      <c r="E123" s="833">
        <v>0.5</v>
      </c>
      <c r="F123" s="10">
        <v>580</v>
      </c>
      <c r="G123" s="9">
        <f t="shared" si="1"/>
        <v>290</v>
      </c>
      <c r="H123" s="601" t="s">
        <v>2226</v>
      </c>
    </row>
    <row r="124" spans="1:8" s="670" customFormat="1">
      <c r="A124" s="691"/>
      <c r="B124" s="673"/>
      <c r="C124" s="696"/>
      <c r="D124" s="16"/>
      <c r="E124" s="833"/>
      <c r="F124" s="10"/>
      <c r="G124" s="9">
        <f>SUM(G118:G123)</f>
        <v>18409</v>
      </c>
      <c r="H124" s="601" t="s">
        <v>2226</v>
      </c>
    </row>
    <row r="125" spans="1:8" s="670" customFormat="1" ht="51">
      <c r="A125" s="673"/>
      <c r="B125" s="673">
        <v>3</v>
      </c>
      <c r="C125" s="700" t="s">
        <v>600</v>
      </c>
      <c r="D125" s="700"/>
      <c r="E125" s="673"/>
      <c r="F125" s="673"/>
      <c r="G125" s="38"/>
      <c r="H125" s="601" t="s">
        <v>2226</v>
      </c>
    </row>
    <row r="126" spans="1:8" s="670" customFormat="1">
      <c r="A126" s="691"/>
      <c r="B126" s="673"/>
      <c r="C126" s="700" t="s">
        <v>378</v>
      </c>
      <c r="D126" s="16" t="s">
        <v>289</v>
      </c>
      <c r="E126" s="833">
        <v>1</v>
      </c>
      <c r="F126" s="10">
        <f>'MINI SSR 19-20'!C91</f>
        <v>325</v>
      </c>
      <c r="G126" s="9">
        <f>(E126*F126)/1</f>
        <v>325</v>
      </c>
      <c r="H126" s="601" t="s">
        <v>2226</v>
      </c>
    </row>
    <row r="127" spans="1:8" s="670" customFormat="1">
      <c r="A127" s="691"/>
      <c r="B127" s="673"/>
      <c r="C127" s="696"/>
      <c r="D127" s="16"/>
      <c r="E127" s="833"/>
      <c r="F127" s="10"/>
      <c r="G127" s="9">
        <f>SUM(G126:G126)</f>
        <v>325</v>
      </c>
      <c r="H127" s="601" t="s">
        <v>2226</v>
      </c>
    </row>
    <row r="128" spans="1:8" s="670" customFormat="1" ht="38.25">
      <c r="A128" s="673"/>
      <c r="B128" s="673">
        <v>4</v>
      </c>
      <c r="C128" s="357" t="s">
        <v>283</v>
      </c>
      <c r="D128" s="357"/>
      <c r="E128" s="832"/>
      <c r="F128" s="832"/>
      <c r="G128" s="834"/>
      <c r="H128" s="601" t="s">
        <v>2226</v>
      </c>
    </row>
    <row r="129" spans="1:8" s="670" customFormat="1">
      <c r="A129" s="691"/>
      <c r="B129" s="673"/>
      <c r="C129" s="624" t="s">
        <v>3253</v>
      </c>
      <c r="D129" s="617" t="s">
        <v>279</v>
      </c>
      <c r="E129" s="631">
        <v>1</v>
      </c>
      <c r="F129" s="622">
        <f>'MINI SSR 19-20'!C92</f>
        <v>64</v>
      </c>
      <c r="G129" s="630">
        <f>(E129*F129)/1</f>
        <v>64</v>
      </c>
      <c r="H129" s="601" t="s">
        <v>2226</v>
      </c>
    </row>
    <row r="130" spans="1:8" s="670" customFormat="1">
      <c r="A130" s="691"/>
      <c r="B130" s="673"/>
      <c r="C130" s="624"/>
      <c r="D130" s="617"/>
      <c r="E130" s="631"/>
      <c r="F130" s="622"/>
      <c r="G130" s="630">
        <f>SUM(G129:G129)</f>
        <v>64</v>
      </c>
      <c r="H130" s="601" t="s">
        <v>2226</v>
      </c>
    </row>
    <row r="131" spans="1:8" s="670" customFormat="1">
      <c r="A131" s="673"/>
      <c r="B131" s="673">
        <v>5</v>
      </c>
      <c r="C131" s="700" t="s">
        <v>287</v>
      </c>
      <c r="D131" s="700"/>
      <c r="E131" s="673"/>
      <c r="F131" s="673"/>
      <c r="G131" s="38"/>
      <c r="H131" s="601" t="s">
        <v>2226</v>
      </c>
    </row>
    <row r="132" spans="1:8" s="670" customFormat="1">
      <c r="A132" s="691"/>
      <c r="B132" s="673"/>
      <c r="C132" s="696" t="s">
        <v>3254</v>
      </c>
      <c r="D132" s="16" t="s">
        <v>275</v>
      </c>
      <c r="E132" s="833">
        <v>1</v>
      </c>
      <c r="F132" s="10">
        <f>'MINI SSR 19-20'!C93</f>
        <v>145.19999999999999</v>
      </c>
      <c r="G132" s="9">
        <f>(E132*F132)/1</f>
        <v>145.19999999999999</v>
      </c>
      <c r="H132" s="601" t="s">
        <v>2226</v>
      </c>
    </row>
    <row r="133" spans="1:8" s="670" customFormat="1">
      <c r="A133" s="691"/>
      <c r="B133" s="673"/>
      <c r="C133" s="696"/>
      <c r="D133" s="16"/>
      <c r="E133" s="833"/>
      <c r="F133" s="10"/>
      <c r="G133" s="9">
        <f>SUM(G132:G132)</f>
        <v>145.19999999999999</v>
      </c>
      <c r="H133" s="601" t="s">
        <v>2226</v>
      </c>
    </row>
    <row r="134" spans="1:8" s="670" customFormat="1">
      <c r="A134" s="673"/>
      <c r="B134" s="673">
        <v>6</v>
      </c>
      <c r="C134" s="700" t="s">
        <v>284</v>
      </c>
      <c r="D134" s="700"/>
      <c r="E134" s="673"/>
      <c r="F134" s="673"/>
      <c r="G134" s="38"/>
      <c r="H134" s="601" t="s">
        <v>2226</v>
      </c>
    </row>
    <row r="135" spans="1:8" s="670" customFormat="1">
      <c r="A135" s="691"/>
      <c r="B135" s="673"/>
      <c r="C135" s="696" t="s">
        <v>3255</v>
      </c>
      <c r="D135" s="16" t="s">
        <v>275</v>
      </c>
      <c r="E135" s="833">
        <v>1</v>
      </c>
      <c r="F135" s="10">
        <f>'MINI SSR 19-20'!C94</f>
        <v>109</v>
      </c>
      <c r="G135" s="9">
        <f>(E135*F135)/1</f>
        <v>109</v>
      </c>
      <c r="H135" s="601" t="s">
        <v>2226</v>
      </c>
    </row>
    <row r="136" spans="1:8" s="670" customFormat="1">
      <c r="A136" s="691"/>
      <c r="B136" s="673"/>
      <c r="C136" s="696"/>
      <c r="D136" s="16"/>
      <c r="E136" s="833"/>
      <c r="F136" s="10"/>
      <c r="G136" s="9">
        <f>SUM(G135:G135)</f>
        <v>109</v>
      </c>
      <c r="H136" s="601" t="s">
        <v>2226</v>
      </c>
    </row>
    <row r="137" spans="1:8" s="670" customFormat="1">
      <c r="A137" s="673"/>
      <c r="B137" s="673">
        <v>7</v>
      </c>
      <c r="C137" s="700" t="s">
        <v>2002</v>
      </c>
      <c r="D137" s="700"/>
      <c r="E137" s="673"/>
      <c r="F137" s="673"/>
      <c r="G137" s="38"/>
      <c r="H137" s="601" t="s">
        <v>2226</v>
      </c>
    </row>
    <row r="138" spans="1:8" s="670" customFormat="1">
      <c r="A138" s="691"/>
      <c r="B138" s="673"/>
      <c r="C138" s="696" t="s">
        <v>379</v>
      </c>
      <c r="D138" s="16" t="s">
        <v>279</v>
      </c>
      <c r="E138" s="833">
        <v>1</v>
      </c>
      <c r="F138" s="10">
        <f>'MINI SSR 19-20'!C95</f>
        <v>198</v>
      </c>
      <c r="G138" s="9">
        <f>(E138*F138)/1</f>
        <v>198</v>
      </c>
      <c r="H138" s="601" t="s">
        <v>2226</v>
      </c>
    </row>
    <row r="139" spans="1:8" s="670" customFormat="1">
      <c r="A139" s="691"/>
      <c r="B139" s="673"/>
      <c r="C139" s="696"/>
      <c r="D139" s="16"/>
      <c r="E139" s="833"/>
      <c r="F139" s="10"/>
      <c r="G139" s="9">
        <f>SUM(G138:G138)</f>
        <v>198</v>
      </c>
      <c r="H139" s="601" t="s">
        <v>2226</v>
      </c>
    </row>
    <row r="140" spans="1:8" s="670" customFormat="1">
      <c r="A140" s="673"/>
      <c r="B140" s="673">
        <v>8</v>
      </c>
      <c r="C140" s="700" t="s">
        <v>2003</v>
      </c>
      <c r="D140" s="700"/>
      <c r="E140" s="673"/>
      <c r="F140" s="673"/>
      <c r="G140" s="38"/>
      <c r="H140" s="601" t="s">
        <v>2226</v>
      </c>
    </row>
    <row r="141" spans="1:8" s="670" customFormat="1">
      <c r="A141" s="691"/>
      <c r="B141" s="673"/>
      <c r="C141" s="696" t="s">
        <v>3256</v>
      </c>
      <c r="D141" s="16" t="s">
        <v>275</v>
      </c>
      <c r="E141" s="833">
        <v>1</v>
      </c>
      <c r="F141" s="10">
        <f>'MINI SSR 19-20'!C96</f>
        <v>22</v>
      </c>
      <c r="G141" s="9">
        <f>(E141*F141)/1</f>
        <v>22</v>
      </c>
      <c r="H141" s="601" t="s">
        <v>2226</v>
      </c>
    </row>
    <row r="142" spans="1:8" s="670" customFormat="1">
      <c r="A142" s="691"/>
      <c r="B142" s="673"/>
      <c r="C142" s="696"/>
      <c r="D142" s="16"/>
      <c r="E142" s="833"/>
      <c r="F142" s="10"/>
      <c r="G142" s="9">
        <f>SUM(G141:G141)</f>
        <v>22</v>
      </c>
      <c r="H142" s="601" t="s">
        <v>2226</v>
      </c>
    </row>
    <row r="143" spans="1:8" s="670" customFormat="1" ht="51">
      <c r="A143" s="673"/>
      <c r="B143" s="673">
        <v>9</v>
      </c>
      <c r="C143" s="700" t="s">
        <v>601</v>
      </c>
      <c r="D143" s="700"/>
      <c r="E143" s="673"/>
      <c r="F143" s="673"/>
      <c r="G143" s="38"/>
      <c r="H143" s="601" t="s">
        <v>2226</v>
      </c>
    </row>
    <row r="144" spans="1:8" s="670" customFormat="1">
      <c r="A144" s="691"/>
      <c r="B144" s="673"/>
      <c r="C144" s="696" t="s">
        <v>602</v>
      </c>
      <c r="D144" s="16" t="s">
        <v>279</v>
      </c>
      <c r="E144" s="833">
        <v>1</v>
      </c>
      <c r="F144" s="10">
        <f>'MINI SSR 19-20'!C97</f>
        <v>80</v>
      </c>
      <c r="G144" s="9">
        <f>(E144*F144)/1</f>
        <v>80</v>
      </c>
      <c r="H144" s="601" t="s">
        <v>2226</v>
      </c>
    </row>
    <row r="145" spans="1:8" s="670" customFormat="1">
      <c r="A145" s="691"/>
      <c r="B145" s="673"/>
      <c r="C145" s="696"/>
      <c r="D145" s="16"/>
      <c r="E145" s="833"/>
      <c r="F145" s="10"/>
      <c r="G145" s="9">
        <f>SUM(G144:G144)</f>
        <v>80</v>
      </c>
      <c r="H145" s="601" t="s">
        <v>2226</v>
      </c>
    </row>
    <row r="146" spans="1:8" s="670" customFormat="1" ht="102">
      <c r="A146" s="673"/>
      <c r="B146" s="673">
        <v>10</v>
      </c>
      <c r="C146" s="700" t="s">
        <v>381</v>
      </c>
      <c r="D146" s="700"/>
      <c r="E146" s="673"/>
      <c r="F146" s="673"/>
      <c r="G146" s="38"/>
      <c r="H146" s="601" t="s">
        <v>2226</v>
      </c>
    </row>
    <row r="147" spans="1:8" s="670" customFormat="1">
      <c r="A147" s="691"/>
      <c r="B147" s="673"/>
      <c r="C147" s="624" t="s">
        <v>382</v>
      </c>
      <c r="D147" s="16" t="s">
        <v>115</v>
      </c>
      <c r="E147" s="833">
        <v>1</v>
      </c>
      <c r="F147" s="10">
        <f>'MINI SSR 19-20'!C98</f>
        <v>4500</v>
      </c>
      <c r="G147" s="9">
        <f>(E147*F147)/1</f>
        <v>4500</v>
      </c>
      <c r="H147" s="601" t="s">
        <v>2226</v>
      </c>
    </row>
    <row r="148" spans="1:8" s="670" customFormat="1">
      <c r="A148" s="691"/>
      <c r="B148" s="673"/>
      <c r="C148" s="696"/>
      <c r="D148" s="16"/>
      <c r="E148" s="833"/>
      <c r="F148" s="10"/>
      <c r="G148" s="9">
        <f>SUM(G147:G147)</f>
        <v>4500</v>
      </c>
      <c r="H148" s="601" t="s">
        <v>2226</v>
      </c>
    </row>
    <row r="149" spans="1:8" s="620" customFormat="1" ht="15">
      <c r="A149" s="832"/>
      <c r="B149" s="832"/>
      <c r="C149" s="624"/>
      <c r="D149" s="617"/>
      <c r="E149" s="631"/>
      <c r="F149" s="622"/>
      <c r="G149" s="630"/>
      <c r="H149" s="601" t="s">
        <v>2226</v>
      </c>
    </row>
    <row r="150" spans="1:8" s="620" customFormat="1" ht="24">
      <c r="A150" s="793"/>
      <c r="B150" s="793">
        <v>12</v>
      </c>
      <c r="C150" s="421" t="s">
        <v>718</v>
      </c>
      <c r="D150" s="816"/>
      <c r="E150" s="795"/>
      <c r="F150" s="795"/>
      <c r="G150" s="816"/>
      <c r="H150" s="601" t="s">
        <v>2226</v>
      </c>
    </row>
    <row r="151" spans="1:8" s="620" customFormat="1" ht="15">
      <c r="A151" s="793"/>
      <c r="B151" s="793"/>
      <c r="C151" s="794" t="s">
        <v>338</v>
      </c>
      <c r="D151" s="795" t="s">
        <v>115</v>
      </c>
      <c r="E151" s="796">
        <v>1</v>
      </c>
      <c r="F151" s="797">
        <f>'MINI SSR 19-20'!C75</f>
        <v>122</v>
      </c>
      <c r="G151" s="801">
        <f>ROUND(E151*F151,2)</f>
        <v>122</v>
      </c>
      <c r="H151" s="601" t="s">
        <v>2226</v>
      </c>
    </row>
    <row r="152" spans="1:8" s="620" customFormat="1" ht="15">
      <c r="A152" s="793"/>
      <c r="B152" s="793"/>
      <c r="C152" s="794"/>
      <c r="D152" s="795"/>
      <c r="E152" s="796"/>
      <c r="F152" s="797"/>
      <c r="G152" s="798">
        <f>SUM(G151:G151)</f>
        <v>122</v>
      </c>
      <c r="H152" s="601" t="s">
        <v>2226</v>
      </c>
    </row>
    <row r="153" spans="1:8" s="620" customFormat="1" ht="15">
      <c r="A153" s="793"/>
      <c r="B153" s="793"/>
      <c r="C153" s="794" t="s">
        <v>2022</v>
      </c>
      <c r="D153" s="795"/>
      <c r="E153" s="796"/>
      <c r="F153" s="797"/>
      <c r="G153" s="798"/>
      <c r="H153" s="58" t="s">
        <v>2308</v>
      </c>
    </row>
    <row r="154" spans="1:8" s="366" customFormat="1" ht="72">
      <c r="A154" s="793"/>
      <c r="B154" s="799">
        <v>1</v>
      </c>
      <c r="C154" s="800" t="s">
        <v>328</v>
      </c>
      <c r="D154" s="800"/>
      <c r="E154" s="800"/>
      <c r="F154" s="800"/>
      <c r="G154" s="801"/>
      <c r="H154" s="58" t="s">
        <v>2308</v>
      </c>
    </row>
    <row r="155" spans="1:8" s="366" customFormat="1">
      <c r="A155" s="793"/>
      <c r="B155" s="799"/>
      <c r="C155" s="421" t="s">
        <v>329</v>
      </c>
      <c r="D155" s="802" t="s">
        <v>115</v>
      </c>
      <c r="E155" s="802">
        <v>1</v>
      </c>
      <c r="F155" s="803">
        <f>'MINI SSR 2020-21'!C66</f>
        <v>1784</v>
      </c>
      <c r="G155" s="801">
        <f>ROUND(E155*F155,2)</f>
        <v>1784</v>
      </c>
      <c r="H155" s="58" t="s">
        <v>2308</v>
      </c>
    </row>
    <row r="156" spans="1:8" s="366" customFormat="1">
      <c r="A156" s="793"/>
      <c r="B156" s="799"/>
      <c r="C156" s="421" t="s">
        <v>330</v>
      </c>
      <c r="D156" s="802" t="s">
        <v>115</v>
      </c>
      <c r="E156" s="802">
        <v>1</v>
      </c>
      <c r="F156" s="803">
        <f>'MINI SSR 2020-21'!C67</f>
        <v>2226</v>
      </c>
      <c r="G156" s="801">
        <f>ROUND(E156*F156,2)</f>
        <v>2226</v>
      </c>
      <c r="H156" s="58" t="s">
        <v>2308</v>
      </c>
    </row>
    <row r="157" spans="1:8" s="366" customFormat="1">
      <c r="A157" s="793"/>
      <c r="B157" s="799"/>
      <c r="C157" s="421" t="s">
        <v>331</v>
      </c>
      <c r="D157" s="802" t="s">
        <v>115</v>
      </c>
      <c r="E157" s="802">
        <v>1</v>
      </c>
      <c r="F157" s="803">
        <f>'MINI SSR 2020-21'!C68</f>
        <v>766</v>
      </c>
      <c r="G157" s="801">
        <f>ROUND(E157*F157,2)</f>
        <v>766</v>
      </c>
      <c r="H157" s="58" t="s">
        <v>2308</v>
      </c>
    </row>
    <row r="158" spans="1:8">
      <c r="A158" s="793"/>
      <c r="B158" s="799"/>
      <c r="C158" s="421"/>
      <c r="D158" s="802"/>
      <c r="E158" s="802"/>
      <c r="F158" s="803"/>
      <c r="G158" s="801">
        <f>SUM(G155:G157)</f>
        <v>4776</v>
      </c>
      <c r="H158" s="58" t="s">
        <v>2308</v>
      </c>
    </row>
    <row r="159" spans="1:8">
      <c r="A159" s="793"/>
      <c r="B159" s="799"/>
      <c r="C159" s="804" t="s">
        <v>332</v>
      </c>
      <c r="D159" s="805"/>
      <c r="E159" s="806"/>
      <c r="F159" s="806"/>
      <c r="G159" s="807">
        <v>0</v>
      </c>
      <c r="H159" s="58" t="s">
        <v>2308</v>
      </c>
    </row>
    <row r="160" spans="1:8">
      <c r="A160" s="793"/>
      <c r="B160" s="799"/>
      <c r="C160" s="421"/>
      <c r="D160" s="802"/>
      <c r="E160" s="802"/>
      <c r="F160" s="803"/>
      <c r="G160" s="801">
        <f>SUM(G158:G159)</f>
        <v>4776</v>
      </c>
      <c r="H160" s="58" t="s">
        <v>2308</v>
      </c>
    </row>
    <row r="161" spans="1:8" s="366" customFormat="1" ht="36">
      <c r="A161" s="793"/>
      <c r="B161" s="799">
        <v>2</v>
      </c>
      <c r="C161" s="800" t="s">
        <v>608</v>
      </c>
      <c r="D161" s="800"/>
      <c r="E161" s="800"/>
      <c r="F161" s="800"/>
      <c r="G161" s="801"/>
      <c r="H161" s="58" t="s">
        <v>2308</v>
      </c>
    </row>
    <row r="162" spans="1:8" s="366" customFormat="1">
      <c r="A162" s="793"/>
      <c r="B162" s="799"/>
      <c r="C162" s="421" t="s">
        <v>609</v>
      </c>
      <c r="D162" s="802" t="s">
        <v>115</v>
      </c>
      <c r="E162" s="802">
        <v>1</v>
      </c>
      <c r="F162" s="803">
        <f>'MINI SSR 2020-21'!C69</f>
        <v>934</v>
      </c>
      <c r="G162" s="801">
        <f>ROUND(E162*F162,2)</f>
        <v>934</v>
      </c>
      <c r="H162" s="58" t="s">
        <v>2308</v>
      </c>
    </row>
    <row r="163" spans="1:8">
      <c r="A163" s="793"/>
      <c r="B163" s="799"/>
      <c r="C163" s="421"/>
      <c r="D163" s="802"/>
      <c r="E163" s="802"/>
      <c r="F163" s="803"/>
      <c r="G163" s="801">
        <f>SUM(G162)</f>
        <v>934</v>
      </c>
      <c r="H163" s="58" t="s">
        <v>2308</v>
      </c>
    </row>
    <row r="164" spans="1:8" s="366" customFormat="1" ht="60">
      <c r="A164" s="793"/>
      <c r="B164" s="799">
        <v>2</v>
      </c>
      <c r="C164" s="800" t="s">
        <v>1254</v>
      </c>
      <c r="D164" s="800"/>
      <c r="E164" s="800"/>
      <c r="F164" s="800"/>
      <c r="G164" s="801"/>
      <c r="H164" s="58" t="s">
        <v>2308</v>
      </c>
    </row>
    <row r="165" spans="1:8" s="366" customFormat="1">
      <c r="A165" s="793"/>
      <c r="B165" s="799"/>
      <c r="C165" s="421" t="s">
        <v>1255</v>
      </c>
      <c r="D165" s="802" t="s">
        <v>115</v>
      </c>
      <c r="E165" s="802">
        <v>1</v>
      </c>
      <c r="F165" s="803">
        <f>'MINI SSR 2020-21'!C70</f>
        <v>2385</v>
      </c>
      <c r="G165" s="801">
        <f>ROUND(E165*F165,2)</f>
        <v>2385</v>
      </c>
      <c r="H165" s="58" t="s">
        <v>2308</v>
      </c>
    </row>
    <row r="166" spans="1:8">
      <c r="A166" s="793"/>
      <c r="B166" s="799"/>
      <c r="C166" s="421"/>
      <c r="D166" s="802"/>
      <c r="E166" s="802"/>
      <c r="F166" s="803"/>
      <c r="G166" s="801">
        <f>SUM(G165)</f>
        <v>2385</v>
      </c>
      <c r="H166" s="58" t="s">
        <v>2308</v>
      </c>
    </row>
    <row r="167" spans="1:8" s="813" customFormat="1" ht="152.25" customHeight="1">
      <c r="A167" s="808"/>
      <c r="B167" s="808">
        <v>2</v>
      </c>
      <c r="C167" s="809" t="s">
        <v>333</v>
      </c>
      <c r="D167" s="810"/>
      <c r="E167" s="809"/>
      <c r="F167" s="811"/>
      <c r="G167" s="812"/>
      <c r="H167" s="58" t="s">
        <v>2308</v>
      </c>
    </row>
    <row r="168" spans="1:8" s="813" customFormat="1">
      <c r="A168" s="808"/>
      <c r="B168" s="808"/>
      <c r="C168" s="814" t="s">
        <v>334</v>
      </c>
      <c r="D168" s="802" t="s">
        <v>115</v>
      </c>
      <c r="E168" s="802">
        <v>1</v>
      </c>
      <c r="F168" s="803">
        <f>'MINI SSR 2020-21'!C71</f>
        <v>1370</v>
      </c>
      <c r="G168" s="801">
        <f>ROUND(E168*F168,2)</f>
        <v>1370</v>
      </c>
      <c r="H168" s="58" t="s">
        <v>2308</v>
      </c>
    </row>
    <row r="169" spans="1:8" s="813" customFormat="1">
      <c r="A169" s="808"/>
      <c r="B169" s="808"/>
      <c r="C169" s="814" t="s">
        <v>335</v>
      </c>
      <c r="D169" s="802" t="s">
        <v>115</v>
      </c>
      <c r="E169" s="802">
        <v>1</v>
      </c>
      <c r="F169" s="803">
        <f>'MINI SSR 2020-21'!C72</f>
        <v>349</v>
      </c>
      <c r="G169" s="801">
        <f>ROUND(E169*F169,2)</f>
        <v>349</v>
      </c>
      <c r="H169" s="58" t="s">
        <v>2308</v>
      </c>
    </row>
    <row r="170" spans="1:8" s="813" customFormat="1" ht="24">
      <c r="A170" s="808"/>
      <c r="B170" s="808"/>
      <c r="C170" s="814" t="s">
        <v>336</v>
      </c>
      <c r="D170" s="802" t="s">
        <v>115</v>
      </c>
      <c r="E170" s="802">
        <v>1</v>
      </c>
      <c r="F170" s="803">
        <f>'MINI SSR 2020-21'!C73</f>
        <v>86</v>
      </c>
      <c r="G170" s="801">
        <f>ROUND(E170*F170,2)</f>
        <v>86</v>
      </c>
      <c r="H170" s="58" t="s">
        <v>2308</v>
      </c>
    </row>
    <row r="171" spans="1:8" s="813" customFormat="1">
      <c r="A171" s="808"/>
      <c r="B171" s="808"/>
      <c r="C171" s="814" t="s">
        <v>337</v>
      </c>
      <c r="D171" s="802" t="s">
        <v>115</v>
      </c>
      <c r="E171" s="802">
        <v>1</v>
      </c>
      <c r="F171" s="803">
        <f>'MINI SSR 2020-21'!C74</f>
        <v>22</v>
      </c>
      <c r="G171" s="801">
        <f>ROUND(E171*F171,2)</f>
        <v>22</v>
      </c>
      <c r="H171" s="58" t="s">
        <v>2308</v>
      </c>
    </row>
    <row r="172" spans="1:8" s="813" customFormat="1">
      <c r="A172" s="808"/>
      <c r="B172" s="808"/>
      <c r="C172" s="815"/>
      <c r="D172" s="802"/>
      <c r="E172" s="802"/>
      <c r="F172" s="803"/>
      <c r="G172" s="801">
        <f>SUM(G168:G171)</f>
        <v>1827</v>
      </c>
      <c r="H172" s="58" t="s">
        <v>2308</v>
      </c>
    </row>
    <row r="173" spans="1:8">
      <c r="A173" s="793"/>
      <c r="B173" s="799"/>
      <c r="C173" s="804" t="s">
        <v>332</v>
      </c>
      <c r="D173" s="805"/>
      <c r="E173" s="806"/>
      <c r="F173" s="806"/>
      <c r="G173" s="807">
        <v>0</v>
      </c>
      <c r="H173" s="58" t="s">
        <v>2308</v>
      </c>
    </row>
    <row r="174" spans="1:8">
      <c r="A174" s="793"/>
      <c r="B174" s="799"/>
      <c r="C174" s="421"/>
      <c r="D174" s="802"/>
      <c r="E174" s="802"/>
      <c r="F174" s="803"/>
      <c r="G174" s="801">
        <f>SUM(G172:G173)</f>
        <v>1827</v>
      </c>
      <c r="H174" s="58" t="s">
        <v>2308</v>
      </c>
    </row>
    <row r="175" spans="1:8" s="813" customFormat="1" ht="68.25" customHeight="1">
      <c r="A175" s="808"/>
      <c r="B175" s="808">
        <v>6</v>
      </c>
      <c r="C175" s="809" t="s">
        <v>339</v>
      </c>
      <c r="D175" s="810"/>
      <c r="E175" s="809"/>
      <c r="F175" s="811"/>
      <c r="G175" s="812"/>
      <c r="H175" s="58" t="s">
        <v>2308</v>
      </c>
    </row>
    <row r="176" spans="1:8" s="813" customFormat="1">
      <c r="A176" s="808"/>
      <c r="B176" s="808"/>
      <c r="C176" s="814" t="s">
        <v>340</v>
      </c>
      <c r="D176" s="802" t="s">
        <v>115</v>
      </c>
      <c r="E176" s="802">
        <v>1</v>
      </c>
      <c r="F176" s="803">
        <f>'MINI SSR 2020-21'!C77</f>
        <v>117</v>
      </c>
      <c r="G176" s="801">
        <f>ROUND(E176*F176,2)</f>
        <v>117</v>
      </c>
      <c r="H176" s="58" t="s">
        <v>2308</v>
      </c>
    </row>
    <row r="177" spans="1:8">
      <c r="A177" s="793"/>
      <c r="B177" s="799"/>
      <c r="C177" s="804" t="s">
        <v>332</v>
      </c>
      <c r="D177" s="805"/>
      <c r="E177" s="806"/>
      <c r="F177" s="806"/>
      <c r="G177" s="807">
        <v>0</v>
      </c>
      <c r="H177" s="58" t="s">
        <v>2308</v>
      </c>
    </row>
    <row r="178" spans="1:8">
      <c r="A178" s="793"/>
      <c r="B178" s="799"/>
      <c r="C178" s="421"/>
      <c r="D178" s="802"/>
      <c r="E178" s="802"/>
      <c r="F178" s="803"/>
      <c r="G178" s="801">
        <f>SUM(G176:G177)</f>
        <v>117</v>
      </c>
      <c r="H178" s="58" t="s">
        <v>2308</v>
      </c>
    </row>
    <row r="179" spans="1:8" s="620" customFormat="1" ht="36">
      <c r="A179" s="793"/>
      <c r="B179" s="793">
        <v>3</v>
      </c>
      <c r="C179" s="800" t="s">
        <v>341</v>
      </c>
      <c r="D179" s="800"/>
      <c r="E179" s="800"/>
      <c r="F179" s="800"/>
      <c r="G179" s="800"/>
      <c r="H179" s="58" t="s">
        <v>2308</v>
      </c>
    </row>
    <row r="180" spans="1:8" s="620" customFormat="1" ht="15">
      <c r="A180" s="793"/>
      <c r="B180" s="793"/>
      <c r="C180" s="816" t="s">
        <v>342</v>
      </c>
      <c r="D180" s="816"/>
      <c r="E180" s="817"/>
      <c r="F180" s="817"/>
      <c r="G180" s="818"/>
      <c r="H180" s="58" t="s">
        <v>2308</v>
      </c>
    </row>
    <row r="181" spans="1:8" s="620" customFormat="1" ht="15">
      <c r="A181" s="793"/>
      <c r="B181" s="793"/>
      <c r="C181" s="816" t="s">
        <v>343</v>
      </c>
      <c r="D181" s="816" t="s">
        <v>277</v>
      </c>
      <c r="E181" s="817">
        <v>1</v>
      </c>
      <c r="F181" s="817">
        <f>'MINI SSR 2020-21'!C78</f>
        <v>410</v>
      </c>
      <c r="G181" s="801">
        <f>ROUND(E181*F181,2)</f>
        <v>410</v>
      </c>
      <c r="H181" s="58" t="s">
        <v>2308</v>
      </c>
    </row>
    <row r="182" spans="1:8">
      <c r="A182" s="793"/>
      <c r="B182" s="799"/>
      <c r="C182" s="804" t="s">
        <v>332</v>
      </c>
      <c r="D182" s="805"/>
      <c r="E182" s="806"/>
      <c r="F182" s="806"/>
      <c r="G182" s="807">
        <v>0</v>
      </c>
      <c r="H182" s="58" t="s">
        <v>2308</v>
      </c>
    </row>
    <row r="183" spans="1:8" s="620" customFormat="1" ht="15">
      <c r="A183" s="793"/>
      <c r="B183" s="793"/>
      <c r="C183" s="816" t="s">
        <v>344</v>
      </c>
      <c r="D183" s="816"/>
      <c r="E183" s="816"/>
      <c r="F183" s="816"/>
      <c r="G183" s="798">
        <f>SUM(G181:G182)</f>
        <v>410</v>
      </c>
      <c r="H183" s="58" t="s">
        <v>2308</v>
      </c>
    </row>
    <row r="184" spans="1:8" s="620" customFormat="1" ht="15">
      <c r="A184" s="793"/>
      <c r="B184" s="793"/>
      <c r="C184" s="816" t="s">
        <v>345</v>
      </c>
      <c r="D184" s="816"/>
      <c r="E184" s="816"/>
      <c r="F184" s="816"/>
      <c r="G184" s="798">
        <f>G183/3</f>
        <v>136.66666666666666</v>
      </c>
      <c r="H184" s="58" t="s">
        <v>2308</v>
      </c>
    </row>
    <row r="185" spans="1:8" s="620" customFormat="1" ht="36">
      <c r="A185" s="793"/>
      <c r="B185" s="793">
        <v>4</v>
      </c>
      <c r="C185" s="800" t="s">
        <v>346</v>
      </c>
      <c r="D185" s="800"/>
      <c r="E185" s="800"/>
      <c r="F185" s="800"/>
      <c r="G185" s="800"/>
      <c r="H185" s="58" t="s">
        <v>2308</v>
      </c>
    </row>
    <row r="186" spans="1:8" s="620" customFormat="1" ht="15">
      <c r="A186" s="793"/>
      <c r="B186" s="793"/>
      <c r="C186" s="816" t="s">
        <v>342</v>
      </c>
      <c r="D186" s="816"/>
      <c r="E186" s="817"/>
      <c r="F186" s="817"/>
      <c r="G186" s="818"/>
      <c r="H186" s="58" t="s">
        <v>2308</v>
      </c>
    </row>
    <row r="187" spans="1:8" s="620" customFormat="1" ht="15">
      <c r="A187" s="793"/>
      <c r="B187" s="793"/>
      <c r="C187" s="816" t="s">
        <v>347</v>
      </c>
      <c r="D187" s="816" t="s">
        <v>277</v>
      </c>
      <c r="E187" s="817">
        <v>1</v>
      </c>
      <c r="F187" s="817">
        <f>'MINI SSR 2020-21'!C79</f>
        <v>389</v>
      </c>
      <c r="G187" s="801">
        <f>ROUND(E187*F187,2)</f>
        <v>389</v>
      </c>
      <c r="H187" s="58" t="s">
        <v>2308</v>
      </c>
    </row>
    <row r="188" spans="1:8">
      <c r="A188" s="793"/>
      <c r="B188" s="799"/>
      <c r="C188" s="804" t="s">
        <v>332</v>
      </c>
      <c r="D188" s="805"/>
      <c r="E188" s="806"/>
      <c r="F188" s="806"/>
      <c r="G188" s="807">
        <v>0</v>
      </c>
      <c r="H188" s="58" t="s">
        <v>2308</v>
      </c>
    </row>
    <row r="189" spans="1:8" s="620" customFormat="1" ht="15">
      <c r="A189" s="793"/>
      <c r="B189" s="793"/>
      <c r="C189" s="816" t="s">
        <v>344</v>
      </c>
      <c r="D189" s="816"/>
      <c r="E189" s="816"/>
      <c r="F189" s="816"/>
      <c r="G189" s="798">
        <f>SUM(G187:G188)</f>
        <v>389</v>
      </c>
      <c r="H189" s="58" t="s">
        <v>2308</v>
      </c>
    </row>
    <row r="190" spans="1:8" s="620" customFormat="1" ht="15">
      <c r="A190" s="793"/>
      <c r="B190" s="793"/>
      <c r="C190" s="816" t="s">
        <v>345</v>
      </c>
      <c r="D190" s="816"/>
      <c r="E190" s="816"/>
      <c r="F190" s="816"/>
      <c r="G190" s="798">
        <f>G189/3</f>
        <v>129.66666666666666</v>
      </c>
      <c r="H190" s="58" t="s">
        <v>2308</v>
      </c>
    </row>
    <row r="191" spans="1:8" s="620" customFormat="1" ht="36">
      <c r="A191" s="793"/>
      <c r="B191" s="793">
        <v>5</v>
      </c>
      <c r="C191" s="800" t="s">
        <v>348</v>
      </c>
      <c r="D191" s="800"/>
      <c r="E191" s="800"/>
      <c r="F191" s="800"/>
      <c r="G191" s="800"/>
      <c r="H191" s="58" t="s">
        <v>2308</v>
      </c>
    </row>
    <row r="192" spans="1:8" s="620" customFormat="1" ht="15">
      <c r="A192" s="793"/>
      <c r="B192" s="793"/>
      <c r="C192" s="816" t="s">
        <v>342</v>
      </c>
      <c r="D192" s="816"/>
      <c r="E192" s="817"/>
      <c r="F192" s="817"/>
      <c r="G192" s="818"/>
      <c r="H192" s="58" t="s">
        <v>2308</v>
      </c>
    </row>
    <row r="193" spans="1:8" s="620" customFormat="1" ht="15">
      <c r="A193" s="793"/>
      <c r="B193" s="793"/>
      <c r="C193" s="816" t="s">
        <v>349</v>
      </c>
      <c r="D193" s="816" t="s">
        <v>277</v>
      </c>
      <c r="E193" s="817">
        <v>1</v>
      </c>
      <c r="F193" s="817">
        <f>'MINI SSR 2020-21'!C80</f>
        <v>244</v>
      </c>
      <c r="G193" s="801">
        <f>ROUND(E193*F193,2)</f>
        <v>244</v>
      </c>
      <c r="H193" s="58" t="s">
        <v>2308</v>
      </c>
    </row>
    <row r="194" spans="1:8">
      <c r="A194" s="793"/>
      <c r="B194" s="799"/>
      <c r="C194" s="804" t="s">
        <v>332</v>
      </c>
      <c r="D194" s="805"/>
      <c r="E194" s="806"/>
      <c r="F194" s="806"/>
      <c r="G194" s="807">
        <v>0</v>
      </c>
      <c r="H194" s="58" t="s">
        <v>2308</v>
      </c>
    </row>
    <row r="195" spans="1:8" s="620" customFormat="1" ht="15">
      <c r="A195" s="793"/>
      <c r="B195" s="793"/>
      <c r="C195" s="816" t="s">
        <v>344</v>
      </c>
      <c r="D195" s="816"/>
      <c r="E195" s="816"/>
      <c r="F195" s="816"/>
      <c r="G195" s="798">
        <f>SUM(G193:G194)</f>
        <v>244</v>
      </c>
      <c r="H195" s="58" t="s">
        <v>2308</v>
      </c>
    </row>
    <row r="196" spans="1:8" s="620" customFormat="1" ht="15">
      <c r="A196" s="793"/>
      <c r="B196" s="793"/>
      <c r="C196" s="816" t="s">
        <v>345</v>
      </c>
      <c r="D196" s="816"/>
      <c r="E196" s="816"/>
      <c r="F196" s="816"/>
      <c r="G196" s="798">
        <f>G195/3</f>
        <v>81.333333333333329</v>
      </c>
      <c r="H196" s="58" t="s">
        <v>2308</v>
      </c>
    </row>
    <row r="197" spans="1:8" s="820" customFormat="1" ht="60">
      <c r="A197" s="793"/>
      <c r="B197" s="793">
        <v>6</v>
      </c>
      <c r="C197" s="421" t="s">
        <v>350</v>
      </c>
      <c r="D197" s="421"/>
      <c r="E197" s="793"/>
      <c r="F197" s="793"/>
      <c r="G197" s="819"/>
      <c r="H197" s="58" t="s">
        <v>2308</v>
      </c>
    </row>
    <row r="198" spans="1:8" s="820" customFormat="1">
      <c r="A198" s="800"/>
      <c r="B198" s="793"/>
      <c r="C198" s="794" t="s">
        <v>351</v>
      </c>
      <c r="D198" s="795" t="s">
        <v>279</v>
      </c>
      <c r="E198" s="796">
        <v>1</v>
      </c>
      <c r="F198" s="797">
        <f>'MINI SSR 2020-21'!C81</f>
        <v>70</v>
      </c>
      <c r="G198" s="801">
        <f>ROUND(E198*F198,2)</f>
        <v>70</v>
      </c>
      <c r="H198" s="58" t="s">
        <v>2308</v>
      </c>
    </row>
    <row r="199" spans="1:8">
      <c r="A199" s="793"/>
      <c r="B199" s="799"/>
      <c r="C199" s="804" t="s">
        <v>332</v>
      </c>
      <c r="D199" s="805"/>
      <c r="E199" s="806"/>
      <c r="F199" s="806"/>
      <c r="G199" s="807">
        <v>0</v>
      </c>
      <c r="H199" s="58" t="s">
        <v>2308</v>
      </c>
    </row>
    <row r="200" spans="1:8" s="820" customFormat="1">
      <c r="A200" s="800"/>
      <c r="B200" s="793"/>
      <c r="C200" s="794"/>
      <c r="D200" s="795"/>
      <c r="E200" s="796"/>
      <c r="F200" s="797"/>
      <c r="G200" s="798">
        <f>SUM(G198:G199)</f>
        <v>70</v>
      </c>
      <c r="H200" s="58" t="s">
        <v>2308</v>
      </c>
    </row>
    <row r="201" spans="1:8" s="620" customFormat="1" ht="24">
      <c r="A201" s="793"/>
      <c r="B201" s="793">
        <v>8</v>
      </c>
      <c r="C201" s="421" t="s">
        <v>2577</v>
      </c>
      <c r="D201" s="816"/>
      <c r="E201" s="795"/>
      <c r="F201" s="795"/>
      <c r="G201" s="816"/>
      <c r="H201" s="58" t="s">
        <v>2308</v>
      </c>
    </row>
    <row r="202" spans="1:8" s="620" customFormat="1" ht="15">
      <c r="A202" s="793"/>
      <c r="B202" s="793"/>
      <c r="C202" s="794" t="s">
        <v>2578</v>
      </c>
      <c r="D202" s="795" t="s">
        <v>115</v>
      </c>
      <c r="E202" s="796">
        <v>1</v>
      </c>
      <c r="F202" s="797">
        <v>2769</v>
      </c>
      <c r="G202" s="801">
        <f>ROUND(E202*F202,2)</f>
        <v>2769</v>
      </c>
      <c r="H202" s="58" t="s">
        <v>2308</v>
      </c>
    </row>
    <row r="203" spans="1:8">
      <c r="A203" s="793"/>
      <c r="B203" s="799"/>
      <c r="C203" s="804" t="s">
        <v>332</v>
      </c>
      <c r="D203" s="805"/>
      <c r="E203" s="806"/>
      <c r="F203" s="806"/>
      <c r="G203" s="807">
        <v>0</v>
      </c>
      <c r="H203" s="58" t="s">
        <v>2308</v>
      </c>
    </row>
    <row r="204" spans="1:8" s="620" customFormat="1" ht="15">
      <c r="A204" s="793"/>
      <c r="B204" s="793"/>
      <c r="C204" s="794"/>
      <c r="D204" s="795"/>
      <c r="E204" s="796"/>
      <c r="F204" s="797"/>
      <c r="G204" s="798">
        <f>SUM(G202:G203)</f>
        <v>2769</v>
      </c>
      <c r="H204" s="58" t="s">
        <v>2308</v>
      </c>
    </row>
    <row r="205" spans="1:8" s="620" customFormat="1" ht="48">
      <c r="A205" s="793"/>
      <c r="B205" s="793">
        <v>7</v>
      </c>
      <c r="C205" s="421" t="s">
        <v>352</v>
      </c>
      <c r="D205" s="816"/>
      <c r="E205" s="795"/>
      <c r="F205" s="795"/>
      <c r="G205" s="816"/>
      <c r="H205" s="58" t="s">
        <v>2308</v>
      </c>
    </row>
    <row r="206" spans="1:8" s="620" customFormat="1" ht="15">
      <c r="A206" s="793"/>
      <c r="B206" s="793"/>
      <c r="C206" s="794" t="s">
        <v>353</v>
      </c>
      <c r="D206" s="795" t="s">
        <v>115</v>
      </c>
      <c r="E206" s="796">
        <v>1</v>
      </c>
      <c r="F206" s="797">
        <f>'MINI SSR 2020-21'!C72</f>
        <v>349</v>
      </c>
      <c r="G206" s="801">
        <f>ROUND(E206*F206,2)</f>
        <v>349</v>
      </c>
      <c r="H206" s="58" t="s">
        <v>2308</v>
      </c>
    </row>
    <row r="207" spans="1:8">
      <c r="A207" s="793"/>
      <c r="B207" s="799"/>
      <c r="C207" s="804" t="s">
        <v>332</v>
      </c>
      <c r="D207" s="805"/>
      <c r="E207" s="806"/>
      <c r="F207" s="806"/>
      <c r="G207" s="807">
        <v>0</v>
      </c>
      <c r="H207" s="58" t="s">
        <v>2308</v>
      </c>
    </row>
    <row r="208" spans="1:8" s="620" customFormat="1" ht="15">
      <c r="A208" s="793"/>
      <c r="B208" s="793"/>
      <c r="C208" s="794"/>
      <c r="D208" s="795"/>
      <c r="E208" s="796"/>
      <c r="F208" s="797"/>
      <c r="G208" s="798">
        <f>SUM(G206:G207)</f>
        <v>349</v>
      </c>
      <c r="H208" s="58" t="s">
        <v>2308</v>
      </c>
    </row>
    <row r="209" spans="1:8" s="620" customFormat="1" ht="72">
      <c r="A209" s="793"/>
      <c r="B209" s="793">
        <v>13</v>
      </c>
      <c r="C209" s="421" t="s">
        <v>354</v>
      </c>
      <c r="D209" s="816"/>
      <c r="E209" s="795"/>
      <c r="F209" s="795"/>
      <c r="G209" s="816"/>
      <c r="H209" s="58" t="s">
        <v>2308</v>
      </c>
    </row>
    <row r="210" spans="1:8" s="620" customFormat="1" ht="15">
      <c r="A210" s="793"/>
      <c r="B210" s="793"/>
      <c r="C210" s="794" t="s">
        <v>355</v>
      </c>
      <c r="D210" s="795" t="s">
        <v>115</v>
      </c>
      <c r="E210" s="796">
        <v>1</v>
      </c>
      <c r="F210" s="797">
        <f>'MINI SSR 2020-21'!C83</f>
        <v>3758</v>
      </c>
      <c r="G210" s="801">
        <f>ROUND(E210*F210,2)</f>
        <v>3758</v>
      </c>
      <c r="H210" s="58" t="s">
        <v>2308</v>
      </c>
    </row>
    <row r="211" spans="1:8">
      <c r="A211" s="793"/>
      <c r="B211" s="799"/>
      <c r="C211" s="804" t="s">
        <v>332</v>
      </c>
      <c r="D211" s="805"/>
      <c r="E211" s="806"/>
      <c r="F211" s="806"/>
      <c r="G211" s="807">
        <v>0</v>
      </c>
      <c r="H211" s="58" t="s">
        <v>2308</v>
      </c>
    </row>
    <row r="212" spans="1:8" s="620" customFormat="1" ht="15">
      <c r="A212" s="793"/>
      <c r="B212" s="793"/>
      <c r="C212" s="794"/>
      <c r="D212" s="795"/>
      <c r="E212" s="796"/>
      <c r="F212" s="797"/>
      <c r="G212" s="798">
        <f>SUM(G210:G211)</f>
        <v>3758</v>
      </c>
      <c r="H212" s="58" t="s">
        <v>2308</v>
      </c>
    </row>
    <row r="213" spans="1:8" s="620" customFormat="1" ht="60">
      <c r="A213" s="793"/>
      <c r="B213" s="793">
        <v>8</v>
      </c>
      <c r="C213" s="421" t="s">
        <v>290</v>
      </c>
      <c r="D213" s="800"/>
      <c r="E213" s="793"/>
      <c r="F213" s="793"/>
      <c r="G213" s="819"/>
      <c r="H213" s="58" t="s">
        <v>2308</v>
      </c>
    </row>
    <row r="214" spans="1:8" s="620" customFormat="1" ht="15">
      <c r="A214" s="793"/>
      <c r="B214" s="793"/>
      <c r="C214" s="794" t="s">
        <v>356</v>
      </c>
      <c r="D214" s="795" t="s">
        <v>357</v>
      </c>
      <c r="E214" s="797">
        <v>1</v>
      </c>
      <c r="F214" s="797">
        <f>'MINI SSR 2020-21'!H66</f>
        <v>5</v>
      </c>
      <c r="G214" s="801">
        <f>ROUND(E214*F214,2)</f>
        <v>5</v>
      </c>
      <c r="H214" s="58" t="s">
        <v>2308</v>
      </c>
    </row>
    <row r="215" spans="1:8" s="620" customFormat="1" ht="15">
      <c r="A215" s="793"/>
      <c r="B215" s="821"/>
      <c r="C215" s="794" t="s">
        <v>358</v>
      </c>
      <c r="D215" s="795" t="s">
        <v>357</v>
      </c>
      <c r="E215" s="797">
        <v>1</v>
      </c>
      <c r="F215" s="797">
        <f>'MINI SSR 2020-21'!H67</f>
        <v>1</v>
      </c>
      <c r="G215" s="801">
        <f>ROUND(E215*F215,2)</f>
        <v>1</v>
      </c>
      <c r="H215" s="58" t="s">
        <v>2308</v>
      </c>
    </row>
    <row r="216" spans="1:8" s="620" customFormat="1" ht="15">
      <c r="A216" s="793"/>
      <c r="B216" s="821"/>
      <c r="C216" s="794"/>
      <c r="D216" s="795"/>
      <c r="E216" s="797"/>
      <c r="F216" s="797"/>
      <c r="G216" s="798">
        <f>SUM(G214:G215)</f>
        <v>6</v>
      </c>
      <c r="H216" s="58" t="s">
        <v>2308</v>
      </c>
    </row>
    <row r="217" spans="1:8">
      <c r="A217" s="793"/>
      <c r="B217" s="799"/>
      <c r="C217" s="804" t="s">
        <v>332</v>
      </c>
      <c r="D217" s="805"/>
      <c r="E217" s="806"/>
      <c r="F217" s="806"/>
      <c r="G217" s="807">
        <v>0</v>
      </c>
      <c r="H217" s="58" t="s">
        <v>2308</v>
      </c>
    </row>
    <row r="218" spans="1:8" s="620" customFormat="1" ht="15">
      <c r="A218" s="793"/>
      <c r="B218" s="821"/>
      <c r="C218" s="794"/>
      <c r="D218" s="795"/>
      <c r="E218" s="797"/>
      <c r="F218" s="797"/>
      <c r="G218" s="798">
        <f>SUM(G216:G217)</f>
        <v>6</v>
      </c>
      <c r="H218" s="58" t="s">
        <v>2308</v>
      </c>
    </row>
    <row r="219" spans="1:8" s="620" customFormat="1" ht="72">
      <c r="A219" s="793"/>
      <c r="B219" s="793">
        <v>9</v>
      </c>
      <c r="C219" s="421" t="s">
        <v>276</v>
      </c>
      <c r="D219" s="421"/>
      <c r="E219" s="421"/>
      <c r="F219" s="793"/>
      <c r="G219" s="819"/>
      <c r="H219" s="58" t="s">
        <v>2308</v>
      </c>
    </row>
    <row r="220" spans="1:8" s="620" customFormat="1" ht="15">
      <c r="A220" s="793"/>
      <c r="B220" s="793"/>
      <c r="C220" s="421" t="s">
        <v>359</v>
      </c>
      <c r="D220" s="816" t="s">
        <v>277</v>
      </c>
      <c r="E220" s="817">
        <v>1</v>
      </c>
      <c r="F220" s="797">
        <f>'MINI SSR 2020-21'!H68</f>
        <v>53</v>
      </c>
      <c r="G220" s="801">
        <f>ROUND(E220*F220,2)</f>
        <v>53</v>
      </c>
      <c r="H220" s="58" t="s">
        <v>2308</v>
      </c>
    </row>
    <row r="221" spans="1:8">
      <c r="A221" s="793"/>
      <c r="B221" s="799"/>
      <c r="C221" s="804" t="s">
        <v>332</v>
      </c>
      <c r="D221" s="805"/>
      <c r="E221" s="806"/>
      <c r="F221" s="806"/>
      <c r="G221" s="807">
        <v>0</v>
      </c>
      <c r="H221" s="58" t="s">
        <v>2308</v>
      </c>
    </row>
    <row r="222" spans="1:8" s="620" customFormat="1" ht="15">
      <c r="A222" s="793"/>
      <c r="B222" s="821"/>
      <c r="C222" s="794"/>
      <c r="D222" s="795"/>
      <c r="E222" s="797"/>
      <c r="F222" s="797"/>
      <c r="G222" s="818">
        <f>SUM(G220:G221)</f>
        <v>53</v>
      </c>
      <c r="H222" s="58" t="s">
        <v>2308</v>
      </c>
    </row>
    <row r="223" spans="1:8" s="620" customFormat="1" ht="15">
      <c r="A223" s="793"/>
      <c r="B223" s="793"/>
      <c r="C223" s="421" t="s">
        <v>360</v>
      </c>
      <c r="D223" s="816" t="s">
        <v>277</v>
      </c>
      <c r="E223" s="817">
        <v>1</v>
      </c>
      <c r="F223" s="797">
        <f>'MINI SSR 2020-21'!H69</f>
        <v>85</v>
      </c>
      <c r="G223" s="801">
        <f>ROUND(E223*F223,2)</f>
        <v>85</v>
      </c>
      <c r="H223" s="58" t="s">
        <v>2308</v>
      </c>
    </row>
    <row r="224" spans="1:8">
      <c r="A224" s="793"/>
      <c r="B224" s="799"/>
      <c r="C224" s="804" t="s">
        <v>332</v>
      </c>
      <c r="D224" s="805"/>
      <c r="E224" s="806"/>
      <c r="F224" s="806"/>
      <c r="G224" s="807">
        <v>0</v>
      </c>
      <c r="H224" s="58" t="s">
        <v>2308</v>
      </c>
    </row>
    <row r="225" spans="1:8" s="620" customFormat="1" ht="15">
      <c r="A225" s="793"/>
      <c r="B225" s="821"/>
      <c r="C225" s="794"/>
      <c r="D225" s="795"/>
      <c r="E225" s="797"/>
      <c r="F225" s="797"/>
      <c r="G225" s="818">
        <f>SUM(G223:G224)</f>
        <v>85</v>
      </c>
      <c r="H225" s="58" t="s">
        <v>2308</v>
      </c>
    </row>
    <row r="226" spans="1:8" s="620" customFormat="1" ht="15">
      <c r="A226" s="793"/>
      <c r="B226" s="793"/>
      <c r="C226" s="421" t="s">
        <v>3242</v>
      </c>
      <c r="D226" s="816" t="s">
        <v>277</v>
      </c>
      <c r="E226" s="817">
        <v>1</v>
      </c>
      <c r="F226" s="797">
        <f>'MINI SSR 2020-21'!H70</f>
        <v>123</v>
      </c>
      <c r="G226" s="801">
        <f>ROUND(E226*F226,2)</f>
        <v>123</v>
      </c>
      <c r="H226" s="58" t="s">
        <v>2308</v>
      </c>
    </row>
    <row r="227" spans="1:8">
      <c r="A227" s="793"/>
      <c r="B227" s="799"/>
      <c r="C227" s="804" t="s">
        <v>332</v>
      </c>
      <c r="D227" s="805"/>
      <c r="E227" s="806"/>
      <c r="F227" s="806"/>
      <c r="G227" s="807">
        <v>0</v>
      </c>
      <c r="H227" s="58" t="s">
        <v>2308</v>
      </c>
    </row>
    <row r="228" spans="1:8" s="620" customFormat="1" ht="15">
      <c r="A228" s="793"/>
      <c r="B228" s="821"/>
      <c r="C228" s="794"/>
      <c r="D228" s="795"/>
      <c r="E228" s="797"/>
      <c r="F228" s="797"/>
      <c r="G228" s="818">
        <f>SUM(G226:G227)</f>
        <v>123</v>
      </c>
      <c r="H228" s="58" t="s">
        <v>2308</v>
      </c>
    </row>
    <row r="229" spans="1:8" s="620" customFormat="1" ht="15">
      <c r="A229" s="793"/>
      <c r="B229" s="793"/>
      <c r="C229" s="421" t="s">
        <v>362</v>
      </c>
      <c r="D229" s="816" t="s">
        <v>277</v>
      </c>
      <c r="E229" s="817">
        <v>1</v>
      </c>
      <c r="F229" s="797">
        <f>'MINI SSR 2020-21'!H71</f>
        <v>193</v>
      </c>
      <c r="G229" s="801">
        <f>ROUND(E229*F229,2)</f>
        <v>193</v>
      </c>
      <c r="H229" s="58" t="s">
        <v>2308</v>
      </c>
    </row>
    <row r="230" spans="1:8">
      <c r="A230" s="793"/>
      <c r="B230" s="799"/>
      <c r="C230" s="804" t="s">
        <v>332</v>
      </c>
      <c r="D230" s="805"/>
      <c r="E230" s="806"/>
      <c r="F230" s="806"/>
      <c r="G230" s="807">
        <v>0</v>
      </c>
      <c r="H230" s="58" t="s">
        <v>2308</v>
      </c>
    </row>
    <row r="231" spans="1:8" s="620" customFormat="1" ht="15">
      <c r="A231" s="793"/>
      <c r="B231" s="821"/>
      <c r="C231" s="794"/>
      <c r="D231" s="795"/>
      <c r="E231" s="797"/>
      <c r="F231" s="797"/>
      <c r="G231" s="818">
        <f>SUM(G229:G230)</f>
        <v>193</v>
      </c>
      <c r="H231" s="58" t="s">
        <v>2308</v>
      </c>
    </row>
    <row r="232" spans="1:8" s="820" customFormat="1" ht="48">
      <c r="A232" s="793"/>
      <c r="B232" s="793">
        <v>16</v>
      </c>
      <c r="C232" s="421" t="s">
        <v>1262</v>
      </c>
      <c r="D232" s="421"/>
      <c r="E232" s="793"/>
      <c r="F232" s="793"/>
      <c r="G232" s="819"/>
      <c r="H232" s="58" t="s">
        <v>2308</v>
      </c>
    </row>
    <row r="233" spans="1:8" s="820" customFormat="1">
      <c r="A233" s="800"/>
      <c r="B233" s="793"/>
      <c r="C233" s="794" t="s">
        <v>380</v>
      </c>
      <c r="D233" s="795" t="s">
        <v>279</v>
      </c>
      <c r="E233" s="796">
        <v>1</v>
      </c>
      <c r="F233" s="797">
        <f>'MINI SSR 2020-21'!H72</f>
        <v>24</v>
      </c>
      <c r="G233" s="801">
        <f>ROUND(E233*F233,2)</f>
        <v>24</v>
      </c>
      <c r="H233" s="58" t="s">
        <v>2308</v>
      </c>
    </row>
    <row r="234" spans="1:8">
      <c r="A234" s="793"/>
      <c r="B234" s="799"/>
      <c r="C234" s="804" t="s">
        <v>332</v>
      </c>
      <c r="D234" s="805"/>
      <c r="E234" s="806"/>
      <c r="F234" s="806"/>
      <c r="G234" s="807">
        <v>0</v>
      </c>
      <c r="H234" s="58" t="s">
        <v>2308</v>
      </c>
    </row>
    <row r="235" spans="1:8" s="820" customFormat="1">
      <c r="A235" s="800"/>
      <c r="B235" s="793"/>
      <c r="C235" s="794"/>
      <c r="D235" s="795"/>
      <c r="E235" s="796"/>
      <c r="F235" s="797"/>
      <c r="G235" s="798">
        <f>SUM(G233:G234)</f>
        <v>24</v>
      </c>
      <c r="H235" s="58" t="s">
        <v>2308</v>
      </c>
    </row>
    <row r="236" spans="1:8" s="820" customFormat="1" ht="72">
      <c r="A236" s="793"/>
      <c r="B236" s="793">
        <v>10</v>
      </c>
      <c r="C236" s="421" t="s">
        <v>363</v>
      </c>
      <c r="D236" s="421"/>
      <c r="E236" s="793"/>
      <c r="F236" s="793"/>
      <c r="G236" s="819"/>
      <c r="H236" s="58" t="s">
        <v>2308</v>
      </c>
    </row>
    <row r="237" spans="1:8" s="820" customFormat="1">
      <c r="A237" s="800"/>
      <c r="B237" s="793"/>
      <c r="C237" s="794" t="s">
        <v>364</v>
      </c>
      <c r="D237" s="795" t="s">
        <v>279</v>
      </c>
      <c r="E237" s="796">
        <v>1</v>
      </c>
      <c r="F237" s="797">
        <f>'MINI SSR 2020-21'!H73</f>
        <v>31</v>
      </c>
      <c r="G237" s="801">
        <f>ROUND(E237*F237,2)</f>
        <v>31</v>
      </c>
      <c r="H237" s="58" t="s">
        <v>2308</v>
      </c>
    </row>
    <row r="238" spans="1:8">
      <c r="A238" s="793"/>
      <c r="B238" s="799"/>
      <c r="C238" s="804" t="s">
        <v>332</v>
      </c>
      <c r="D238" s="805"/>
      <c r="E238" s="806"/>
      <c r="F238" s="806"/>
      <c r="G238" s="807">
        <v>0</v>
      </c>
      <c r="H238" s="58" t="s">
        <v>2308</v>
      </c>
    </row>
    <row r="239" spans="1:8" s="820" customFormat="1">
      <c r="A239" s="800"/>
      <c r="B239" s="793"/>
      <c r="C239" s="794"/>
      <c r="D239" s="795"/>
      <c r="E239" s="796"/>
      <c r="F239" s="797"/>
      <c r="G239" s="798">
        <f>SUM(G237:G238)</f>
        <v>31</v>
      </c>
      <c r="H239" s="58" t="s">
        <v>2308</v>
      </c>
    </row>
    <row r="240" spans="1:8" s="620" customFormat="1" ht="48">
      <c r="A240" s="793"/>
      <c r="B240" s="793">
        <v>18</v>
      </c>
      <c r="C240" s="421" t="s">
        <v>365</v>
      </c>
      <c r="D240" s="800"/>
      <c r="E240" s="793"/>
      <c r="F240" s="793"/>
      <c r="G240" s="819"/>
      <c r="H240" s="58" t="s">
        <v>2308</v>
      </c>
    </row>
    <row r="241" spans="1:8" s="620" customFormat="1" ht="15">
      <c r="A241" s="793"/>
      <c r="B241" s="793"/>
      <c r="C241" s="794" t="s">
        <v>366</v>
      </c>
      <c r="D241" s="795" t="s">
        <v>115</v>
      </c>
      <c r="E241" s="797">
        <v>1</v>
      </c>
      <c r="F241" s="797">
        <f>'MINI SSR 2020-21'!H74</f>
        <v>1051</v>
      </c>
      <c r="G241" s="801">
        <f>ROUND(E241*F241,2)</f>
        <v>1051</v>
      </c>
      <c r="H241" s="58" t="s">
        <v>2308</v>
      </c>
    </row>
    <row r="242" spans="1:8">
      <c r="A242" s="793"/>
      <c r="B242" s="799"/>
      <c r="C242" s="804" t="s">
        <v>332</v>
      </c>
      <c r="D242" s="805"/>
      <c r="E242" s="806"/>
      <c r="F242" s="806"/>
      <c r="G242" s="807">
        <v>0</v>
      </c>
      <c r="H242" s="58" t="s">
        <v>2308</v>
      </c>
    </row>
    <row r="243" spans="1:8" s="620" customFormat="1" ht="15">
      <c r="A243" s="793"/>
      <c r="B243" s="821"/>
      <c r="C243" s="794"/>
      <c r="D243" s="795"/>
      <c r="E243" s="797"/>
      <c r="F243" s="797"/>
      <c r="G243" s="798">
        <f>SUM(G241:G242)</f>
        <v>1051</v>
      </c>
      <c r="H243" s="58" t="s">
        <v>2308</v>
      </c>
    </row>
    <row r="244" spans="1:8" s="820" customFormat="1" ht="108">
      <c r="A244" s="822"/>
      <c r="B244" s="793">
        <v>19</v>
      </c>
      <c r="C244" s="800" t="s">
        <v>367</v>
      </c>
      <c r="D244" s="800"/>
      <c r="E244" s="800"/>
      <c r="F244" s="800"/>
      <c r="G244" s="823"/>
      <c r="H244" s="58" t="s">
        <v>2308</v>
      </c>
    </row>
    <row r="245" spans="1:8" s="820" customFormat="1">
      <c r="A245" s="824"/>
      <c r="B245" s="821"/>
      <c r="C245" s="825" t="s">
        <v>368</v>
      </c>
      <c r="D245" s="826"/>
      <c r="E245" s="826"/>
      <c r="F245" s="827"/>
      <c r="G245" s="828"/>
      <c r="H245" s="58" t="s">
        <v>2308</v>
      </c>
    </row>
    <row r="246" spans="1:8" s="820" customFormat="1">
      <c r="A246" s="824"/>
      <c r="B246" s="793"/>
      <c r="C246" s="824" t="s">
        <v>369</v>
      </c>
      <c r="D246" s="827" t="s">
        <v>370</v>
      </c>
      <c r="E246" s="826">
        <v>1</v>
      </c>
      <c r="F246" s="826">
        <f>'MINI SSR 2020-21'!C78</f>
        <v>410</v>
      </c>
      <c r="G246" s="801">
        <f t="shared" ref="G246:G251" si="2">ROUND(E246*F246,2)</f>
        <v>410</v>
      </c>
      <c r="H246" s="58" t="s">
        <v>2308</v>
      </c>
    </row>
    <row r="247" spans="1:8" s="820" customFormat="1">
      <c r="A247" s="824"/>
      <c r="B247" s="793"/>
      <c r="C247" s="829" t="s">
        <v>371</v>
      </c>
      <c r="D247" s="827" t="s">
        <v>115</v>
      </c>
      <c r="E247" s="826">
        <v>1</v>
      </c>
      <c r="F247" s="826">
        <f>'MINI SSR 2020-21'!H75</f>
        <v>70</v>
      </c>
      <c r="G247" s="801">
        <f t="shared" si="2"/>
        <v>70</v>
      </c>
      <c r="H247" s="58" t="s">
        <v>2308</v>
      </c>
    </row>
    <row r="248" spans="1:8" s="820" customFormat="1">
      <c r="A248" s="824"/>
      <c r="B248" s="793"/>
      <c r="C248" s="829" t="s">
        <v>372</v>
      </c>
      <c r="D248" s="827" t="s">
        <v>115</v>
      </c>
      <c r="E248" s="826">
        <v>3</v>
      </c>
      <c r="F248" s="826">
        <f>'MINI SSR 2020-21'!H76</f>
        <v>15</v>
      </c>
      <c r="G248" s="801">
        <f t="shared" si="2"/>
        <v>45</v>
      </c>
      <c r="H248" s="58" t="s">
        <v>2308</v>
      </c>
    </row>
    <row r="249" spans="1:8" s="820" customFormat="1">
      <c r="A249" s="824"/>
      <c r="B249" s="793"/>
      <c r="C249" s="830" t="s">
        <v>373</v>
      </c>
      <c r="D249" s="827" t="s">
        <v>108</v>
      </c>
      <c r="E249" s="826">
        <v>0.3</v>
      </c>
      <c r="F249" s="826">
        <f>'MINI SSR 2020-21'!H8</f>
        <v>615</v>
      </c>
      <c r="G249" s="801">
        <f t="shared" si="2"/>
        <v>184.5</v>
      </c>
      <c r="H249" s="58" t="s">
        <v>2308</v>
      </c>
    </row>
    <row r="250" spans="1:8" s="820" customFormat="1">
      <c r="A250" s="824"/>
      <c r="B250" s="793"/>
      <c r="C250" s="830" t="s">
        <v>374</v>
      </c>
      <c r="D250" s="827" t="s">
        <v>108</v>
      </c>
      <c r="E250" s="826">
        <v>0.7</v>
      </c>
      <c r="F250" s="826">
        <f>'MINI SSR 2020-21'!H9</f>
        <v>500</v>
      </c>
      <c r="G250" s="801">
        <f t="shared" si="2"/>
        <v>350</v>
      </c>
      <c r="H250" s="58" t="s">
        <v>2308</v>
      </c>
    </row>
    <row r="251" spans="1:8" s="820" customFormat="1">
      <c r="A251" s="824"/>
      <c r="B251" s="793"/>
      <c r="C251" s="830" t="s">
        <v>375</v>
      </c>
      <c r="D251" s="827" t="s">
        <v>108</v>
      </c>
      <c r="E251" s="826">
        <v>1</v>
      </c>
      <c r="F251" s="826">
        <f>'MINI SSR 2020-21'!H5</f>
        <v>460</v>
      </c>
      <c r="G251" s="801">
        <f t="shared" si="2"/>
        <v>460</v>
      </c>
      <c r="H251" s="58" t="s">
        <v>2308</v>
      </c>
    </row>
    <row r="252" spans="1:8" s="820" customFormat="1">
      <c r="A252" s="824"/>
      <c r="B252" s="793"/>
      <c r="C252" s="830"/>
      <c r="D252" s="827"/>
      <c r="E252" s="826"/>
      <c r="F252" s="826"/>
      <c r="G252" s="828">
        <f>SUM(G246:G251)</f>
        <v>1519.5</v>
      </c>
      <c r="H252" s="58" t="s">
        <v>2308</v>
      </c>
    </row>
    <row r="253" spans="1:8">
      <c r="A253" s="793"/>
      <c r="B253" s="799"/>
      <c r="C253" s="804" t="s">
        <v>332</v>
      </c>
      <c r="D253" s="805"/>
      <c r="E253" s="806"/>
      <c r="F253" s="806"/>
      <c r="G253" s="807">
        <v>0</v>
      </c>
      <c r="H253" s="58" t="s">
        <v>2308</v>
      </c>
    </row>
    <row r="254" spans="1:8" s="820" customFormat="1">
      <c r="A254" s="824"/>
      <c r="B254" s="821"/>
      <c r="C254" s="830" t="s">
        <v>376</v>
      </c>
      <c r="D254" s="827"/>
      <c r="E254" s="826"/>
      <c r="F254" s="826"/>
      <c r="G254" s="828">
        <f>SUM(G252:G253)</f>
        <v>1519.5</v>
      </c>
      <c r="H254" s="58" t="s">
        <v>2308</v>
      </c>
    </row>
    <row r="255" spans="1:8" s="820" customFormat="1">
      <c r="A255" s="824"/>
      <c r="B255" s="821"/>
      <c r="C255" s="830" t="s">
        <v>377</v>
      </c>
      <c r="D255" s="827"/>
      <c r="E255" s="826"/>
      <c r="F255" s="826"/>
      <c r="G255" s="831">
        <f>G254/3</f>
        <v>506.5</v>
      </c>
      <c r="H255" s="58" t="s">
        <v>2308</v>
      </c>
    </row>
    <row r="256" spans="1:8" s="670" customFormat="1" ht="113.25" customHeight="1">
      <c r="A256" s="832"/>
      <c r="B256" s="832">
        <v>11</v>
      </c>
      <c r="C256" s="700" t="s">
        <v>595</v>
      </c>
      <c r="D256" s="700"/>
      <c r="E256" s="673"/>
      <c r="F256" s="673"/>
      <c r="G256" s="38"/>
      <c r="H256" s="58" t="s">
        <v>2308</v>
      </c>
    </row>
    <row r="257" spans="1:8" s="670" customFormat="1">
      <c r="A257" s="691"/>
      <c r="B257" s="673"/>
      <c r="C257" s="696" t="s">
        <v>596</v>
      </c>
      <c r="D257" s="16" t="s">
        <v>279</v>
      </c>
      <c r="E257" s="833">
        <v>1</v>
      </c>
      <c r="F257" s="10">
        <f>'MINI SSR 2020-21'!C86</f>
        <v>446.4</v>
      </c>
      <c r="G257" s="9">
        <f>(E257*F257)/1</f>
        <v>446.4</v>
      </c>
      <c r="H257" s="58" t="s">
        <v>2308</v>
      </c>
    </row>
    <row r="258" spans="1:8" s="670" customFormat="1">
      <c r="A258" s="691"/>
      <c r="B258" s="673"/>
      <c r="C258" s="696"/>
      <c r="D258" s="16"/>
      <c r="E258" s="833"/>
      <c r="F258" s="10"/>
      <c r="G258" s="9"/>
      <c r="H258" s="58" t="s">
        <v>2308</v>
      </c>
    </row>
    <row r="259" spans="1:8" s="670" customFormat="1">
      <c r="A259" s="691"/>
      <c r="B259" s="673"/>
      <c r="C259" s="696" t="s">
        <v>597</v>
      </c>
      <c r="D259" s="16" t="s">
        <v>279</v>
      </c>
      <c r="E259" s="833">
        <v>1</v>
      </c>
      <c r="F259" s="10">
        <f>'MINI SSR 2020-21'!C87</f>
        <v>477.6</v>
      </c>
      <c r="G259" s="9">
        <f>(E259*F259)/1</f>
        <v>477.6</v>
      </c>
      <c r="H259" s="58" t="s">
        <v>2308</v>
      </c>
    </row>
    <row r="260" spans="1:8" s="670" customFormat="1">
      <c r="A260" s="691"/>
      <c r="B260" s="673"/>
      <c r="C260" s="696"/>
      <c r="D260" s="16"/>
      <c r="E260" s="833"/>
      <c r="F260" s="10"/>
      <c r="G260" s="9"/>
      <c r="H260" s="58" t="s">
        <v>2308</v>
      </c>
    </row>
    <row r="261" spans="1:8" s="670" customFormat="1">
      <c r="A261" s="691"/>
      <c r="B261" s="673"/>
      <c r="C261" s="696" t="s">
        <v>598</v>
      </c>
      <c r="D261" s="16" t="s">
        <v>279</v>
      </c>
      <c r="E261" s="833">
        <v>1</v>
      </c>
      <c r="F261" s="10">
        <f>'MINI SSR 2020-21'!C88</f>
        <v>535.70000000000005</v>
      </c>
      <c r="G261" s="9">
        <f>(E261*F261)/1</f>
        <v>535.70000000000005</v>
      </c>
      <c r="H261" s="58" t="s">
        <v>2308</v>
      </c>
    </row>
    <row r="262" spans="1:8" s="670" customFormat="1">
      <c r="A262" s="691"/>
      <c r="B262" s="673"/>
      <c r="C262" s="696"/>
      <c r="D262" s="16"/>
      <c r="E262" s="833"/>
      <c r="F262" s="10"/>
      <c r="G262" s="9"/>
      <c r="H262" s="58" t="s">
        <v>2308</v>
      </c>
    </row>
    <row r="263" spans="1:8" s="670" customFormat="1" ht="51">
      <c r="A263" s="673"/>
      <c r="B263" s="673">
        <v>12</v>
      </c>
      <c r="C263" s="700" t="s">
        <v>592</v>
      </c>
      <c r="D263" s="700"/>
      <c r="E263" s="673"/>
      <c r="F263" s="673"/>
      <c r="G263" s="38"/>
      <c r="H263" s="58" t="s">
        <v>2308</v>
      </c>
    </row>
    <row r="264" spans="1:8" s="670" customFormat="1">
      <c r="A264" s="691"/>
      <c r="B264" s="673"/>
      <c r="C264" s="696" t="s">
        <v>599</v>
      </c>
      <c r="D264" s="16" t="s">
        <v>275</v>
      </c>
      <c r="E264" s="833">
        <v>1</v>
      </c>
      <c r="F264" s="10">
        <f>'MINI SSR 2020-21'!C89</f>
        <v>24300</v>
      </c>
      <c r="G264" s="9">
        <f>(E264*F264)/1</f>
        <v>24300</v>
      </c>
      <c r="H264" s="58" t="s">
        <v>2308</v>
      </c>
    </row>
    <row r="265" spans="1:8" s="670" customFormat="1">
      <c r="A265" s="691"/>
      <c r="B265" s="673"/>
      <c r="C265" s="696"/>
      <c r="D265" s="16"/>
      <c r="E265" s="833"/>
      <c r="F265" s="10"/>
      <c r="G265" s="9">
        <f>SUM(G264:G264)</f>
        <v>24300</v>
      </c>
      <c r="H265" s="58" t="s">
        <v>2308</v>
      </c>
    </row>
    <row r="266" spans="1:8" s="670" customFormat="1" ht="127.5">
      <c r="A266" s="673"/>
      <c r="B266" s="673">
        <v>13</v>
      </c>
      <c r="C266" s="700" t="s">
        <v>2769</v>
      </c>
      <c r="D266" s="700"/>
      <c r="E266" s="673"/>
      <c r="F266" s="673"/>
      <c r="G266" s="38"/>
      <c r="H266" s="58" t="s">
        <v>2308</v>
      </c>
    </row>
    <row r="267" spans="1:8" s="670" customFormat="1" ht="25.5">
      <c r="A267" s="691"/>
      <c r="B267" s="673"/>
      <c r="C267" s="696" t="s">
        <v>2770</v>
      </c>
      <c r="D267" s="16" t="s">
        <v>275</v>
      </c>
      <c r="E267" s="833">
        <v>1</v>
      </c>
      <c r="F267" s="10">
        <f>'MINI SSR 2020-21'!C90</f>
        <v>16700</v>
      </c>
      <c r="G267" s="9">
        <f>(E267*F267)/1</f>
        <v>16700</v>
      </c>
      <c r="H267" s="58" t="s">
        <v>2308</v>
      </c>
    </row>
    <row r="268" spans="1:8" s="670" customFormat="1">
      <c r="A268" s="691"/>
      <c r="B268" s="673"/>
      <c r="C268" s="696" t="s">
        <v>2774</v>
      </c>
      <c r="D268" s="16" t="s">
        <v>275</v>
      </c>
      <c r="E268" s="833">
        <v>2</v>
      </c>
      <c r="F268" s="10">
        <v>196</v>
      </c>
      <c r="G268" s="9">
        <f t="shared" ref="G268:G272" si="3">(E268*F268)/1</f>
        <v>392</v>
      </c>
      <c r="H268" s="58" t="s">
        <v>2308</v>
      </c>
    </row>
    <row r="269" spans="1:8" s="670" customFormat="1">
      <c r="A269" s="691"/>
      <c r="B269" s="673"/>
      <c r="C269" s="696" t="s">
        <v>2771</v>
      </c>
      <c r="D269" s="16"/>
      <c r="E269" s="833">
        <f>G267</f>
        <v>16700</v>
      </c>
      <c r="F269" s="10">
        <v>0.02</v>
      </c>
      <c r="G269" s="9">
        <f t="shared" si="3"/>
        <v>334</v>
      </c>
      <c r="H269" s="58" t="s">
        <v>2308</v>
      </c>
    </row>
    <row r="270" spans="1:8" s="670" customFormat="1">
      <c r="A270" s="691"/>
      <c r="B270" s="673"/>
      <c r="C270" s="696" t="s">
        <v>2772</v>
      </c>
      <c r="D270" s="16" t="s">
        <v>275</v>
      </c>
      <c r="E270" s="833">
        <v>0.5</v>
      </c>
      <c r="F270" s="10">
        <v>585</v>
      </c>
      <c r="G270" s="9">
        <f t="shared" si="3"/>
        <v>292.5</v>
      </c>
      <c r="H270" s="58" t="s">
        <v>2308</v>
      </c>
    </row>
    <row r="271" spans="1:8" s="670" customFormat="1">
      <c r="A271" s="691"/>
      <c r="B271" s="673"/>
      <c r="C271" s="696" t="s">
        <v>157</v>
      </c>
      <c r="D271" s="16" t="s">
        <v>275</v>
      </c>
      <c r="E271" s="833">
        <v>1</v>
      </c>
      <c r="F271" s="10">
        <v>500</v>
      </c>
      <c r="G271" s="9">
        <f t="shared" si="3"/>
        <v>500</v>
      </c>
      <c r="H271" s="58" t="s">
        <v>2308</v>
      </c>
    </row>
    <row r="272" spans="1:8" s="670" customFormat="1">
      <c r="A272" s="691"/>
      <c r="B272" s="673"/>
      <c r="C272" s="696" t="s">
        <v>2773</v>
      </c>
      <c r="D272" s="16" t="s">
        <v>275</v>
      </c>
      <c r="E272" s="833">
        <v>0.5</v>
      </c>
      <c r="F272" s="10">
        <v>615</v>
      </c>
      <c r="G272" s="9">
        <f t="shared" si="3"/>
        <v>307.5</v>
      </c>
      <c r="H272" s="58" t="s">
        <v>2308</v>
      </c>
    </row>
    <row r="273" spans="1:8" s="670" customFormat="1">
      <c r="A273" s="691"/>
      <c r="B273" s="673"/>
      <c r="C273" s="696"/>
      <c r="D273" s="16"/>
      <c r="E273" s="833"/>
      <c r="F273" s="10"/>
      <c r="G273" s="9"/>
      <c r="H273" s="58" t="s">
        <v>2308</v>
      </c>
    </row>
    <row r="274" spans="1:8" s="670" customFormat="1">
      <c r="A274" s="691"/>
      <c r="B274" s="673"/>
      <c r="C274" s="696"/>
      <c r="D274" s="16"/>
      <c r="E274" s="833"/>
      <c r="F274" s="10"/>
      <c r="G274" s="9">
        <f>SUM(G267:G273)</f>
        <v>18526</v>
      </c>
      <c r="H274" s="58" t="s">
        <v>2308</v>
      </c>
    </row>
    <row r="275" spans="1:8" s="670" customFormat="1" ht="51">
      <c r="A275" s="673"/>
      <c r="B275" s="673">
        <v>14</v>
      </c>
      <c r="C275" s="700" t="s">
        <v>600</v>
      </c>
      <c r="D275" s="700"/>
      <c r="E275" s="673"/>
      <c r="F275" s="673"/>
      <c r="G275" s="38"/>
      <c r="H275" s="58" t="s">
        <v>2308</v>
      </c>
    </row>
    <row r="276" spans="1:8" s="670" customFormat="1">
      <c r="A276" s="691"/>
      <c r="B276" s="673"/>
      <c r="C276" s="700" t="s">
        <v>378</v>
      </c>
      <c r="D276" s="16" t="s">
        <v>289</v>
      </c>
      <c r="E276" s="833">
        <v>1</v>
      </c>
      <c r="F276" s="10">
        <f>'MINI SSR 2020-21'!C91</f>
        <v>325</v>
      </c>
      <c r="G276" s="9">
        <f>(E276*F276)/1</f>
        <v>325</v>
      </c>
      <c r="H276" s="58" t="s">
        <v>2308</v>
      </c>
    </row>
    <row r="277" spans="1:8" s="670" customFormat="1">
      <c r="A277" s="691"/>
      <c r="B277" s="673"/>
      <c r="C277" s="696"/>
      <c r="D277" s="16"/>
      <c r="E277" s="833"/>
      <c r="F277" s="10"/>
      <c r="G277" s="9">
        <f>SUM(G276:G276)</f>
        <v>325</v>
      </c>
      <c r="H277" s="58" t="s">
        <v>2308</v>
      </c>
    </row>
    <row r="278" spans="1:8" s="670" customFormat="1" ht="38.25">
      <c r="A278" s="673"/>
      <c r="B278" s="673">
        <v>15</v>
      </c>
      <c r="C278" s="357" t="s">
        <v>283</v>
      </c>
      <c r="D278" s="357"/>
      <c r="E278" s="832"/>
      <c r="F278" s="832"/>
      <c r="G278" s="834"/>
      <c r="H278" s="58" t="s">
        <v>2308</v>
      </c>
    </row>
    <row r="279" spans="1:8" s="670" customFormat="1">
      <c r="A279" s="691"/>
      <c r="B279" s="673"/>
      <c r="C279" s="624" t="s">
        <v>379</v>
      </c>
      <c r="D279" s="617" t="s">
        <v>279</v>
      </c>
      <c r="E279" s="631">
        <v>1</v>
      </c>
      <c r="F279" s="622">
        <f>'MINI SSR 2020-21'!C92</f>
        <v>59</v>
      </c>
      <c r="G279" s="630">
        <f>(E279*F279)/1</f>
        <v>59</v>
      </c>
      <c r="H279" s="58" t="s">
        <v>2308</v>
      </c>
    </row>
    <row r="280" spans="1:8" s="670" customFormat="1">
      <c r="A280" s="691"/>
      <c r="B280" s="673"/>
      <c r="C280" s="624"/>
      <c r="D280" s="617"/>
      <c r="E280" s="631"/>
      <c r="F280" s="622"/>
      <c r="G280" s="630">
        <f>SUM(G279:G279)</f>
        <v>59</v>
      </c>
      <c r="H280" s="58" t="s">
        <v>2308</v>
      </c>
    </row>
    <row r="281" spans="1:8" s="670" customFormat="1">
      <c r="A281" s="673"/>
      <c r="B281" s="673">
        <v>16</v>
      </c>
      <c r="C281" s="700" t="s">
        <v>287</v>
      </c>
      <c r="D281" s="700"/>
      <c r="E281" s="673"/>
      <c r="F281" s="673"/>
      <c r="G281" s="38"/>
      <c r="H281" s="58" t="s">
        <v>2308</v>
      </c>
    </row>
    <row r="282" spans="1:8" s="670" customFormat="1">
      <c r="A282" s="691"/>
      <c r="B282" s="673"/>
      <c r="C282" s="696" t="s">
        <v>380</v>
      </c>
      <c r="D282" s="16" t="s">
        <v>275</v>
      </c>
      <c r="E282" s="833">
        <v>1</v>
      </c>
      <c r="F282" s="10">
        <f>'MINI SSR 2020-21'!C93</f>
        <v>175</v>
      </c>
      <c r="G282" s="9">
        <f>(E282*F282)/1</f>
        <v>175</v>
      </c>
      <c r="H282" s="58" t="s">
        <v>2308</v>
      </c>
    </row>
    <row r="283" spans="1:8" s="670" customFormat="1">
      <c r="A283" s="691"/>
      <c r="B283" s="673"/>
      <c r="C283" s="696"/>
      <c r="D283" s="16"/>
      <c r="E283" s="833"/>
      <c r="F283" s="10"/>
      <c r="G283" s="9">
        <f>SUM(G282:G282)</f>
        <v>175</v>
      </c>
      <c r="H283" s="58" t="s">
        <v>2308</v>
      </c>
    </row>
    <row r="284" spans="1:8" s="670" customFormat="1">
      <c r="A284" s="673"/>
      <c r="B284" s="673">
        <v>17</v>
      </c>
      <c r="C284" s="700" t="s">
        <v>284</v>
      </c>
      <c r="D284" s="700"/>
      <c r="E284" s="673"/>
      <c r="F284" s="673"/>
      <c r="G284" s="38"/>
      <c r="H284" s="58" t="s">
        <v>2308</v>
      </c>
    </row>
    <row r="285" spans="1:8" s="670" customFormat="1">
      <c r="A285" s="691"/>
      <c r="B285" s="673"/>
      <c r="C285" s="696" t="s">
        <v>380</v>
      </c>
      <c r="D285" s="16" t="s">
        <v>275</v>
      </c>
      <c r="E285" s="833">
        <v>1</v>
      </c>
      <c r="F285" s="10">
        <f>'MINI SSR 2020-21'!C94</f>
        <v>300</v>
      </c>
      <c r="G285" s="9">
        <f>(E285*F285)/1</f>
        <v>300</v>
      </c>
      <c r="H285" s="58" t="s">
        <v>2308</v>
      </c>
    </row>
    <row r="286" spans="1:8" s="670" customFormat="1">
      <c r="A286" s="691"/>
      <c r="B286" s="673"/>
      <c r="C286" s="696"/>
      <c r="D286" s="16"/>
      <c r="E286" s="833"/>
      <c r="F286" s="10"/>
      <c r="G286" s="9">
        <f>SUM(G285:G285)</f>
        <v>300</v>
      </c>
      <c r="H286" s="58" t="s">
        <v>2308</v>
      </c>
    </row>
    <row r="287" spans="1:8" s="670" customFormat="1">
      <c r="A287" s="673"/>
      <c r="B287" s="673">
        <v>18</v>
      </c>
      <c r="C287" s="700" t="s">
        <v>2002</v>
      </c>
      <c r="D287" s="700"/>
      <c r="E287" s="673"/>
      <c r="F287" s="673"/>
      <c r="G287" s="38"/>
      <c r="H287" s="58" t="s">
        <v>2308</v>
      </c>
    </row>
    <row r="288" spans="1:8" s="670" customFormat="1">
      <c r="A288" s="691"/>
      <c r="B288" s="673"/>
      <c r="C288" s="696" t="s">
        <v>379</v>
      </c>
      <c r="D288" s="16" t="s">
        <v>279</v>
      </c>
      <c r="E288" s="833">
        <v>1</v>
      </c>
      <c r="F288" s="10">
        <f>'MINI SSR 2020-21'!C95</f>
        <v>400</v>
      </c>
      <c r="G288" s="9">
        <f>(E288*F288)/1</f>
        <v>400</v>
      </c>
      <c r="H288" s="58" t="s">
        <v>2308</v>
      </c>
    </row>
    <row r="289" spans="1:8" s="670" customFormat="1">
      <c r="A289" s="691"/>
      <c r="B289" s="673"/>
      <c r="C289" s="696"/>
      <c r="D289" s="16"/>
      <c r="E289" s="833"/>
      <c r="F289" s="10"/>
      <c r="G289" s="9">
        <f>SUM(G288:G288)</f>
        <v>400</v>
      </c>
      <c r="H289" s="58" t="s">
        <v>2308</v>
      </c>
    </row>
    <row r="290" spans="1:8" s="670" customFormat="1">
      <c r="A290" s="673"/>
      <c r="B290" s="673">
        <v>19</v>
      </c>
      <c r="C290" s="700" t="s">
        <v>2003</v>
      </c>
      <c r="D290" s="700"/>
      <c r="E290" s="673"/>
      <c r="F290" s="673"/>
      <c r="G290" s="38"/>
      <c r="H290" s="58" t="s">
        <v>2308</v>
      </c>
    </row>
    <row r="291" spans="1:8" s="670" customFormat="1">
      <c r="A291" s="691"/>
      <c r="B291" s="673"/>
      <c r="C291" s="696" t="s">
        <v>380</v>
      </c>
      <c r="D291" s="16" t="s">
        <v>275</v>
      </c>
      <c r="E291" s="833">
        <v>1</v>
      </c>
      <c r="F291" s="10">
        <f>'MINI SSR 2020-21'!C96</f>
        <v>70</v>
      </c>
      <c r="G291" s="9">
        <f>(E291*F291)/1</f>
        <v>70</v>
      </c>
      <c r="H291" s="58" t="s">
        <v>2308</v>
      </c>
    </row>
    <row r="292" spans="1:8" s="670" customFormat="1">
      <c r="A292" s="691"/>
      <c r="B292" s="673"/>
      <c r="C292" s="696"/>
      <c r="D292" s="16"/>
      <c r="E292" s="833"/>
      <c r="F292" s="10"/>
      <c r="G292" s="9">
        <f>SUM(G291:G291)</f>
        <v>70</v>
      </c>
      <c r="H292" s="58" t="s">
        <v>2308</v>
      </c>
    </row>
    <row r="293" spans="1:8" s="670" customFormat="1" ht="51">
      <c r="A293" s="673"/>
      <c r="B293" s="673">
        <v>20</v>
      </c>
      <c r="C293" s="700" t="s">
        <v>601</v>
      </c>
      <c r="D293" s="700"/>
      <c r="E293" s="673"/>
      <c r="F293" s="673"/>
      <c r="G293" s="38"/>
      <c r="H293" s="58" t="s">
        <v>2308</v>
      </c>
    </row>
    <row r="294" spans="1:8" s="670" customFormat="1">
      <c r="A294" s="691"/>
      <c r="B294" s="673"/>
      <c r="C294" s="696" t="s">
        <v>602</v>
      </c>
      <c r="D294" s="16" t="s">
        <v>279</v>
      </c>
      <c r="E294" s="833">
        <v>1</v>
      </c>
      <c r="F294" s="10">
        <f>'MINI SSR 2020-21'!C97</f>
        <v>80</v>
      </c>
      <c r="G294" s="9">
        <f>(E294*F294)/1</f>
        <v>80</v>
      </c>
      <c r="H294" s="58" t="s">
        <v>2308</v>
      </c>
    </row>
    <row r="295" spans="1:8" s="670" customFormat="1">
      <c r="A295" s="691"/>
      <c r="B295" s="673"/>
      <c r="C295" s="696"/>
      <c r="D295" s="16"/>
      <c r="E295" s="833"/>
      <c r="F295" s="10"/>
      <c r="G295" s="9">
        <f>SUM(G294:G294)</f>
        <v>80</v>
      </c>
      <c r="H295" s="58" t="s">
        <v>2308</v>
      </c>
    </row>
    <row r="296" spans="1:8" s="670" customFormat="1" ht="102">
      <c r="A296" s="673"/>
      <c r="B296" s="673">
        <v>21</v>
      </c>
      <c r="C296" s="700" t="s">
        <v>381</v>
      </c>
      <c r="D296" s="700"/>
      <c r="E296" s="673"/>
      <c r="F296" s="673"/>
      <c r="G296" s="38"/>
      <c r="H296" s="58" t="s">
        <v>2308</v>
      </c>
    </row>
    <row r="297" spans="1:8" s="670" customFormat="1">
      <c r="A297" s="691"/>
      <c r="B297" s="673"/>
      <c r="C297" s="624" t="s">
        <v>382</v>
      </c>
      <c r="D297" s="16" t="s">
        <v>115</v>
      </c>
      <c r="E297" s="833">
        <v>1</v>
      </c>
      <c r="F297" s="10">
        <f>'MINI SSR 2020-21'!C98</f>
        <v>4500</v>
      </c>
      <c r="G297" s="9">
        <f>(E297*F297)/1</f>
        <v>4500</v>
      </c>
      <c r="H297" s="58" t="s">
        <v>2308</v>
      </c>
    </row>
    <row r="298" spans="1:8" s="670" customFormat="1">
      <c r="A298" s="691"/>
      <c r="B298" s="673"/>
      <c r="C298" s="696"/>
      <c r="D298" s="16"/>
      <c r="E298" s="833"/>
      <c r="F298" s="10"/>
      <c r="G298" s="9">
        <f>SUM(G297:G297)</f>
        <v>4500</v>
      </c>
      <c r="H298" s="58" t="s">
        <v>2308</v>
      </c>
    </row>
    <row r="299" spans="1:8" s="620" customFormat="1" ht="15">
      <c r="A299" s="832"/>
      <c r="B299" s="832"/>
      <c r="C299" s="624"/>
      <c r="D299" s="617"/>
      <c r="E299" s="631"/>
      <c r="F299" s="622"/>
      <c r="G299" s="630"/>
      <c r="H299" s="58" t="s">
        <v>2308</v>
      </c>
    </row>
    <row r="300" spans="1:8" s="620" customFormat="1" ht="24">
      <c r="A300" s="793"/>
      <c r="B300" s="793">
        <v>22</v>
      </c>
      <c r="C300" s="421" t="s">
        <v>718</v>
      </c>
      <c r="D300" s="816"/>
      <c r="E300" s="795"/>
      <c r="F300" s="795"/>
      <c r="G300" s="816"/>
      <c r="H300" s="58" t="s">
        <v>2308</v>
      </c>
    </row>
    <row r="301" spans="1:8" s="620" customFormat="1" ht="15">
      <c r="A301" s="793"/>
      <c r="B301" s="793"/>
      <c r="C301" s="794" t="s">
        <v>338</v>
      </c>
      <c r="D301" s="795" t="s">
        <v>115</v>
      </c>
      <c r="E301" s="796">
        <v>1</v>
      </c>
      <c r="F301" s="797">
        <f>'MINI SSR 2020-21'!C75</f>
        <v>86</v>
      </c>
      <c r="G301" s="801">
        <f>ROUND(E301*F301,2)</f>
        <v>86</v>
      </c>
      <c r="H301" s="58" t="s">
        <v>2308</v>
      </c>
    </row>
    <row r="302" spans="1:8" s="620" customFormat="1" ht="15">
      <c r="A302" s="793"/>
      <c r="B302" s="793"/>
      <c r="C302" s="794"/>
      <c r="D302" s="795"/>
      <c r="E302" s="796"/>
      <c r="F302" s="797"/>
      <c r="G302" s="798">
        <f>SUM(G301:G301)</f>
        <v>86</v>
      </c>
      <c r="H302" s="58" t="s">
        <v>2308</v>
      </c>
    </row>
    <row r="303" spans="1:8" s="620" customFormat="1" ht="15">
      <c r="A303" s="793"/>
      <c r="B303" s="793"/>
      <c r="C303" s="795" t="s">
        <v>2319</v>
      </c>
      <c r="D303" s="795"/>
      <c r="E303" s="796"/>
      <c r="F303" s="797"/>
      <c r="G303" s="798"/>
      <c r="H303" s="601" t="s">
        <v>2321</v>
      </c>
    </row>
    <row r="304" spans="1:8" s="366" customFormat="1" ht="72">
      <c r="A304" s="793"/>
      <c r="B304" s="799">
        <v>1</v>
      </c>
      <c r="C304" s="800" t="s">
        <v>328</v>
      </c>
      <c r="D304" s="800"/>
      <c r="E304" s="800"/>
      <c r="F304" s="800"/>
      <c r="G304" s="801"/>
      <c r="H304" s="601" t="s">
        <v>2321</v>
      </c>
    </row>
    <row r="305" spans="1:8" s="366" customFormat="1">
      <c r="A305" s="793"/>
      <c r="B305" s="799"/>
      <c r="C305" s="421" t="s">
        <v>329</v>
      </c>
      <c r="D305" s="802" t="s">
        <v>115</v>
      </c>
      <c r="E305" s="802">
        <v>1</v>
      </c>
      <c r="F305" s="803">
        <f>'MINI SSR 21-22'!C66</f>
        <v>1870</v>
      </c>
      <c r="G305" s="801">
        <f>ROUND(E305*F305,2)</f>
        <v>1870</v>
      </c>
      <c r="H305" s="601" t="s">
        <v>2321</v>
      </c>
    </row>
    <row r="306" spans="1:8" s="366" customFormat="1">
      <c r="A306" s="793"/>
      <c r="B306" s="799"/>
      <c r="C306" s="421" t="s">
        <v>330</v>
      </c>
      <c r="D306" s="802" t="s">
        <v>115</v>
      </c>
      <c r="E306" s="802">
        <v>1</v>
      </c>
      <c r="F306" s="803">
        <f>'MINI SSR 21-22'!C67</f>
        <v>2333</v>
      </c>
      <c r="G306" s="801">
        <f>ROUND(E306*F306,2)</f>
        <v>2333</v>
      </c>
      <c r="H306" s="601" t="s">
        <v>2321</v>
      </c>
    </row>
    <row r="307" spans="1:8" s="366" customFormat="1">
      <c r="A307" s="793"/>
      <c r="B307" s="799"/>
      <c r="C307" s="421" t="s">
        <v>331</v>
      </c>
      <c r="D307" s="802" t="s">
        <v>115</v>
      </c>
      <c r="E307" s="802">
        <v>1</v>
      </c>
      <c r="F307" s="803">
        <f>'MINI SSR 21-22'!C68</f>
        <v>803</v>
      </c>
      <c r="G307" s="801">
        <f>ROUND(E307*F307,2)</f>
        <v>803</v>
      </c>
      <c r="H307" s="601" t="s">
        <v>2321</v>
      </c>
    </row>
    <row r="308" spans="1:8">
      <c r="A308" s="793"/>
      <c r="B308" s="799"/>
      <c r="C308" s="421"/>
      <c r="D308" s="802"/>
      <c r="E308" s="802"/>
      <c r="F308" s="803"/>
      <c r="G308" s="801">
        <f>SUM(G305:G307)</f>
        <v>5006</v>
      </c>
      <c r="H308" s="601" t="s">
        <v>2321</v>
      </c>
    </row>
    <row r="309" spans="1:8">
      <c r="A309" s="793"/>
      <c r="B309" s="799"/>
      <c r="C309" s="804" t="s">
        <v>332</v>
      </c>
      <c r="D309" s="805"/>
      <c r="E309" s="806"/>
      <c r="F309" s="806"/>
      <c r="G309" s="807">
        <v>0</v>
      </c>
      <c r="H309" s="601" t="s">
        <v>2321</v>
      </c>
    </row>
    <row r="310" spans="1:8">
      <c r="A310" s="793"/>
      <c r="B310" s="799"/>
      <c r="C310" s="421"/>
      <c r="D310" s="802"/>
      <c r="E310" s="802"/>
      <c r="F310" s="803"/>
      <c r="G310" s="801">
        <f>SUM(G308:G309)</f>
        <v>5006</v>
      </c>
      <c r="H310" s="601" t="s">
        <v>2321</v>
      </c>
    </row>
    <row r="311" spans="1:8" s="366" customFormat="1" ht="36">
      <c r="A311" s="793"/>
      <c r="B311" s="799">
        <v>2</v>
      </c>
      <c r="C311" s="800" t="s">
        <v>608</v>
      </c>
      <c r="D311" s="800"/>
      <c r="E311" s="800"/>
      <c r="F311" s="800"/>
      <c r="G311" s="801"/>
      <c r="H311" s="601" t="s">
        <v>2321</v>
      </c>
    </row>
    <row r="312" spans="1:8" s="366" customFormat="1">
      <c r="A312" s="793"/>
      <c r="B312" s="799"/>
      <c r="C312" s="421" t="s">
        <v>609</v>
      </c>
      <c r="D312" s="802" t="s">
        <v>115</v>
      </c>
      <c r="E312" s="802">
        <v>1</v>
      </c>
      <c r="F312" s="803">
        <f>'MINI SSR 21-22'!C69</f>
        <v>979</v>
      </c>
      <c r="G312" s="801">
        <f>ROUND(E312*F312,2)</f>
        <v>979</v>
      </c>
      <c r="H312" s="601" t="s">
        <v>2321</v>
      </c>
    </row>
    <row r="313" spans="1:8">
      <c r="A313" s="793"/>
      <c r="B313" s="799"/>
      <c r="C313" s="421"/>
      <c r="D313" s="802"/>
      <c r="E313" s="802"/>
      <c r="F313" s="803"/>
      <c r="G313" s="801">
        <f>SUM(G312)</f>
        <v>979</v>
      </c>
      <c r="H313" s="601" t="s">
        <v>2321</v>
      </c>
    </row>
    <row r="314" spans="1:8" s="366" customFormat="1" ht="60">
      <c r="A314" s="793"/>
      <c r="B314" s="799">
        <v>2</v>
      </c>
      <c r="C314" s="800" t="s">
        <v>1254</v>
      </c>
      <c r="D314" s="800"/>
      <c r="E314" s="800"/>
      <c r="F314" s="800"/>
      <c r="G314" s="801"/>
      <c r="H314" s="601" t="s">
        <v>2321</v>
      </c>
    </row>
    <row r="315" spans="1:8" s="366" customFormat="1">
      <c r="A315" s="793"/>
      <c r="B315" s="799"/>
      <c r="C315" s="421" t="s">
        <v>1255</v>
      </c>
      <c r="D315" s="802" t="s">
        <v>115</v>
      </c>
      <c r="E315" s="802">
        <v>1</v>
      </c>
      <c r="F315" s="803">
        <f>'MINI SSR 21-22'!C70</f>
        <v>2499</v>
      </c>
      <c r="G315" s="801">
        <f>ROUND(E315*F315,2)</f>
        <v>2499</v>
      </c>
      <c r="H315" s="601" t="s">
        <v>2321</v>
      </c>
    </row>
    <row r="316" spans="1:8">
      <c r="A316" s="793"/>
      <c r="B316" s="799"/>
      <c r="C316" s="421"/>
      <c r="D316" s="802"/>
      <c r="E316" s="802"/>
      <c r="F316" s="803"/>
      <c r="G316" s="801">
        <f>SUM(G315)</f>
        <v>2499</v>
      </c>
      <c r="H316" s="601" t="s">
        <v>2321</v>
      </c>
    </row>
    <row r="317" spans="1:8" s="813" customFormat="1" ht="152.25" customHeight="1">
      <c r="A317" s="808"/>
      <c r="B317" s="808">
        <v>3</v>
      </c>
      <c r="C317" s="809" t="s">
        <v>333</v>
      </c>
      <c r="D317" s="810"/>
      <c r="E317" s="809"/>
      <c r="F317" s="811"/>
      <c r="G317" s="812"/>
      <c r="H317" s="601" t="s">
        <v>2321</v>
      </c>
    </row>
    <row r="318" spans="1:8" s="813" customFormat="1">
      <c r="A318" s="808"/>
      <c r="B318" s="808"/>
      <c r="C318" s="814" t="s">
        <v>334</v>
      </c>
      <c r="D318" s="802" t="s">
        <v>115</v>
      </c>
      <c r="E318" s="802">
        <v>1</v>
      </c>
      <c r="F318" s="803">
        <f>'MINI SSR 21-22'!C71</f>
        <v>1436</v>
      </c>
      <c r="G318" s="801">
        <f>ROUND(E318*F318,2)</f>
        <v>1436</v>
      </c>
      <c r="H318" s="601" t="s">
        <v>2321</v>
      </c>
    </row>
    <row r="319" spans="1:8" s="813" customFormat="1">
      <c r="A319" s="808"/>
      <c r="B319" s="808"/>
      <c r="C319" s="814" t="s">
        <v>335</v>
      </c>
      <c r="D319" s="802" t="s">
        <v>115</v>
      </c>
      <c r="E319" s="802">
        <v>1</v>
      </c>
      <c r="F319" s="803">
        <f>'MINI SSR 21-22'!C72</f>
        <v>366</v>
      </c>
      <c r="G319" s="801">
        <f>ROUND(E319*F319,2)</f>
        <v>366</v>
      </c>
      <c r="H319" s="601" t="s">
        <v>2321</v>
      </c>
    </row>
    <row r="320" spans="1:8" s="813" customFormat="1" ht="24">
      <c r="A320" s="808"/>
      <c r="B320" s="808"/>
      <c r="C320" s="814" t="s">
        <v>336</v>
      </c>
      <c r="D320" s="802" t="s">
        <v>115</v>
      </c>
      <c r="E320" s="802">
        <v>1</v>
      </c>
      <c r="F320" s="803">
        <f>'MINI SSR 21-22'!C73</f>
        <v>90</v>
      </c>
      <c r="G320" s="801">
        <f>ROUND(E320*F320,2)</f>
        <v>90</v>
      </c>
      <c r="H320" s="601" t="s">
        <v>2321</v>
      </c>
    </row>
    <row r="321" spans="1:8" s="813" customFormat="1">
      <c r="A321" s="808"/>
      <c r="B321" s="808"/>
      <c r="C321" s="814" t="s">
        <v>337</v>
      </c>
      <c r="D321" s="802" t="s">
        <v>115</v>
      </c>
      <c r="E321" s="802">
        <v>1</v>
      </c>
      <c r="F321" s="803">
        <f>'MINI SSR 21-22'!C74</f>
        <v>23</v>
      </c>
      <c r="G321" s="801">
        <f>ROUND(E321*F321,2)</f>
        <v>23</v>
      </c>
      <c r="H321" s="601" t="s">
        <v>2321</v>
      </c>
    </row>
    <row r="322" spans="1:8" s="813" customFormat="1">
      <c r="A322" s="808"/>
      <c r="B322" s="808"/>
      <c r="C322" s="815"/>
      <c r="D322" s="802"/>
      <c r="E322" s="802"/>
      <c r="F322" s="803"/>
      <c r="G322" s="801">
        <f>SUM(G318:G321)</f>
        <v>1915</v>
      </c>
      <c r="H322" s="601" t="s">
        <v>2321</v>
      </c>
    </row>
    <row r="323" spans="1:8">
      <c r="A323" s="793"/>
      <c r="B323" s="799"/>
      <c r="C323" s="804" t="s">
        <v>332</v>
      </c>
      <c r="D323" s="805"/>
      <c r="E323" s="806"/>
      <c r="F323" s="806"/>
      <c r="G323" s="807">
        <v>0</v>
      </c>
      <c r="H323" s="601" t="s">
        <v>2321</v>
      </c>
    </row>
    <row r="324" spans="1:8">
      <c r="A324" s="793"/>
      <c r="B324" s="799"/>
      <c r="C324" s="421"/>
      <c r="D324" s="802"/>
      <c r="E324" s="802"/>
      <c r="F324" s="803"/>
      <c r="G324" s="801">
        <f>SUM(G322:G323)</f>
        <v>1915</v>
      </c>
      <c r="H324" s="601" t="s">
        <v>2321</v>
      </c>
    </row>
    <row r="325" spans="1:8" s="813" customFormat="1" ht="68.25" customHeight="1">
      <c r="A325" s="808"/>
      <c r="B325" s="808">
        <v>6</v>
      </c>
      <c r="C325" s="809" t="s">
        <v>339</v>
      </c>
      <c r="D325" s="810"/>
      <c r="E325" s="809"/>
      <c r="F325" s="811"/>
      <c r="G325" s="812"/>
      <c r="H325" s="601" t="s">
        <v>2321</v>
      </c>
    </row>
    <row r="326" spans="1:8" s="813" customFormat="1">
      <c r="A326" s="808"/>
      <c r="B326" s="808"/>
      <c r="C326" s="814" t="s">
        <v>340</v>
      </c>
      <c r="D326" s="802" t="s">
        <v>115</v>
      </c>
      <c r="E326" s="802">
        <v>1</v>
      </c>
      <c r="F326" s="803">
        <f>'MINI SSR 21-22'!C77</f>
        <v>122</v>
      </c>
      <c r="G326" s="801">
        <f>ROUND(E326*F326,2)</f>
        <v>122</v>
      </c>
      <c r="H326" s="601" t="s">
        <v>2321</v>
      </c>
    </row>
    <row r="327" spans="1:8">
      <c r="A327" s="793"/>
      <c r="B327" s="799"/>
      <c r="C327" s="804" t="s">
        <v>332</v>
      </c>
      <c r="D327" s="805"/>
      <c r="E327" s="806"/>
      <c r="F327" s="806"/>
      <c r="G327" s="807">
        <v>0</v>
      </c>
      <c r="H327" s="601" t="s">
        <v>2321</v>
      </c>
    </row>
    <row r="328" spans="1:8">
      <c r="A328" s="793"/>
      <c r="B328" s="799"/>
      <c r="C328" s="421"/>
      <c r="D328" s="802"/>
      <c r="E328" s="802"/>
      <c r="F328" s="803"/>
      <c r="G328" s="801">
        <f>SUM(G326:G327)</f>
        <v>122</v>
      </c>
      <c r="H328" s="601" t="s">
        <v>2321</v>
      </c>
    </row>
    <row r="329" spans="1:8" s="620" customFormat="1" ht="36">
      <c r="A329" s="793"/>
      <c r="B329" s="793">
        <v>1</v>
      </c>
      <c r="C329" s="800" t="s">
        <v>341</v>
      </c>
      <c r="D329" s="793"/>
      <c r="E329" s="793"/>
      <c r="F329" s="793"/>
      <c r="G329" s="800"/>
      <c r="H329" s="601" t="s">
        <v>2321</v>
      </c>
    </row>
    <row r="330" spans="1:8" s="620" customFormat="1" ht="15">
      <c r="A330" s="793"/>
      <c r="B330" s="793"/>
      <c r="C330" s="816" t="s">
        <v>342</v>
      </c>
      <c r="D330" s="795"/>
      <c r="E330" s="797"/>
      <c r="F330" s="797"/>
      <c r="G330" s="818"/>
      <c r="H330" s="601" t="s">
        <v>2321</v>
      </c>
    </row>
    <row r="331" spans="1:8" s="620" customFormat="1" ht="15">
      <c r="A331" s="793"/>
      <c r="B331" s="793"/>
      <c r="C331" s="816" t="s">
        <v>343</v>
      </c>
      <c r="D331" s="795" t="s">
        <v>277</v>
      </c>
      <c r="E331" s="797">
        <v>1</v>
      </c>
      <c r="F331" s="797">
        <f>'MINI SSR 21-22'!C78</f>
        <v>426</v>
      </c>
      <c r="G331" s="801">
        <f>ROUND(E331*F331,2)</f>
        <v>426</v>
      </c>
      <c r="H331" s="601" t="s">
        <v>2321</v>
      </c>
    </row>
    <row r="332" spans="1:8">
      <c r="A332" s="793"/>
      <c r="B332" s="799"/>
      <c r="C332" s="804" t="s">
        <v>332</v>
      </c>
      <c r="D332" s="805"/>
      <c r="E332" s="806"/>
      <c r="F332" s="806"/>
      <c r="G332" s="807">
        <v>0</v>
      </c>
      <c r="H332" s="601" t="s">
        <v>2321</v>
      </c>
    </row>
    <row r="333" spans="1:8" s="620" customFormat="1" ht="15">
      <c r="A333" s="793"/>
      <c r="B333" s="793"/>
      <c r="C333" s="816" t="s">
        <v>344</v>
      </c>
      <c r="D333" s="795"/>
      <c r="E333" s="795"/>
      <c r="F333" s="795"/>
      <c r="G333" s="798">
        <f>SUM(G331:G332)</f>
        <v>426</v>
      </c>
      <c r="H333" s="601" t="s">
        <v>2321</v>
      </c>
    </row>
    <row r="334" spans="1:8" s="620" customFormat="1" ht="15">
      <c r="A334" s="793"/>
      <c r="B334" s="793"/>
      <c r="C334" s="816" t="s">
        <v>345</v>
      </c>
      <c r="D334" s="795"/>
      <c r="E334" s="795"/>
      <c r="F334" s="795"/>
      <c r="G334" s="798">
        <f>G333/3</f>
        <v>142</v>
      </c>
      <c r="H334" s="601" t="s">
        <v>2321</v>
      </c>
    </row>
    <row r="335" spans="1:8" s="620" customFormat="1" ht="36">
      <c r="A335" s="793"/>
      <c r="B335" s="793">
        <v>5</v>
      </c>
      <c r="C335" s="800" t="s">
        <v>346</v>
      </c>
      <c r="D335" s="800"/>
      <c r="E335" s="800"/>
      <c r="F335" s="800"/>
      <c r="G335" s="800"/>
      <c r="H335" s="601" t="s">
        <v>2321</v>
      </c>
    </row>
    <row r="336" spans="1:8" s="620" customFormat="1" ht="15">
      <c r="A336" s="793"/>
      <c r="B336" s="793"/>
      <c r="C336" s="816" t="s">
        <v>342</v>
      </c>
      <c r="D336" s="816"/>
      <c r="E336" s="817"/>
      <c r="F336" s="817"/>
      <c r="G336" s="818"/>
      <c r="H336" s="601" t="s">
        <v>2321</v>
      </c>
    </row>
    <row r="337" spans="1:8" s="620" customFormat="1" ht="15">
      <c r="A337" s="793"/>
      <c r="B337" s="793"/>
      <c r="C337" s="816" t="s">
        <v>347</v>
      </c>
      <c r="D337" s="816" t="s">
        <v>277</v>
      </c>
      <c r="E337" s="817">
        <v>1</v>
      </c>
      <c r="F337" s="817">
        <f>'MINI SSR 21-22'!C79</f>
        <v>405</v>
      </c>
      <c r="G337" s="801">
        <f>ROUND(E337*F337,2)</f>
        <v>405</v>
      </c>
      <c r="H337" s="601" t="s">
        <v>2321</v>
      </c>
    </row>
    <row r="338" spans="1:8">
      <c r="A338" s="793"/>
      <c r="B338" s="799"/>
      <c r="C338" s="804" t="s">
        <v>332</v>
      </c>
      <c r="D338" s="805"/>
      <c r="E338" s="806"/>
      <c r="F338" s="806"/>
      <c r="G338" s="807">
        <v>0</v>
      </c>
      <c r="H338" s="601" t="s">
        <v>2321</v>
      </c>
    </row>
    <row r="339" spans="1:8" s="620" customFormat="1" ht="15">
      <c r="A339" s="793"/>
      <c r="B339" s="793"/>
      <c r="C339" s="816" t="s">
        <v>344</v>
      </c>
      <c r="D339" s="816"/>
      <c r="E339" s="816"/>
      <c r="F339" s="816"/>
      <c r="G339" s="798">
        <f>SUM(G337:G338)</f>
        <v>405</v>
      </c>
      <c r="H339" s="601" t="s">
        <v>2321</v>
      </c>
    </row>
    <row r="340" spans="1:8" s="620" customFormat="1" ht="15">
      <c r="A340" s="793"/>
      <c r="B340" s="793"/>
      <c r="C340" s="816" t="s">
        <v>345</v>
      </c>
      <c r="D340" s="816"/>
      <c r="E340" s="816"/>
      <c r="F340" s="816"/>
      <c r="G340" s="798">
        <f>G339/3</f>
        <v>135</v>
      </c>
      <c r="H340" s="601" t="s">
        <v>2321</v>
      </c>
    </row>
    <row r="341" spans="1:8" s="620" customFormat="1" ht="36">
      <c r="A341" s="793"/>
      <c r="B341" s="793">
        <v>2</v>
      </c>
      <c r="C341" s="800" t="s">
        <v>348</v>
      </c>
      <c r="D341" s="793"/>
      <c r="E341" s="793"/>
      <c r="F341" s="793"/>
      <c r="G341" s="800"/>
      <c r="H341" s="601" t="s">
        <v>2321</v>
      </c>
    </row>
    <row r="342" spans="1:8" s="620" customFormat="1" ht="15">
      <c r="A342" s="793"/>
      <c r="B342" s="793"/>
      <c r="C342" s="816" t="s">
        <v>342</v>
      </c>
      <c r="D342" s="795"/>
      <c r="E342" s="797"/>
      <c r="F342" s="797"/>
      <c r="G342" s="818"/>
      <c r="H342" s="601" t="s">
        <v>2321</v>
      </c>
    </row>
    <row r="343" spans="1:8" s="620" customFormat="1" ht="15">
      <c r="A343" s="793"/>
      <c r="B343" s="793"/>
      <c r="C343" s="816" t="s">
        <v>349</v>
      </c>
      <c r="D343" s="795" t="s">
        <v>277</v>
      </c>
      <c r="E343" s="797">
        <v>1</v>
      </c>
      <c r="F343" s="797">
        <f>'MINI SSR 21-22'!C80</f>
        <v>254</v>
      </c>
      <c r="G343" s="801">
        <f>ROUND(E343*F343,2)</f>
        <v>254</v>
      </c>
      <c r="H343" s="601" t="s">
        <v>2321</v>
      </c>
    </row>
    <row r="344" spans="1:8">
      <c r="A344" s="793"/>
      <c r="B344" s="799"/>
      <c r="C344" s="804" t="s">
        <v>332</v>
      </c>
      <c r="D344" s="805"/>
      <c r="E344" s="806"/>
      <c r="F344" s="806"/>
      <c r="G344" s="807">
        <v>0</v>
      </c>
      <c r="H344" s="601" t="s">
        <v>2321</v>
      </c>
    </row>
    <row r="345" spans="1:8" s="620" customFormat="1" ht="15">
      <c r="A345" s="793"/>
      <c r="B345" s="793"/>
      <c r="C345" s="816" t="s">
        <v>344</v>
      </c>
      <c r="D345" s="795"/>
      <c r="E345" s="795"/>
      <c r="F345" s="795"/>
      <c r="G345" s="798">
        <f>SUM(G343:G344)</f>
        <v>254</v>
      </c>
      <c r="H345" s="601" t="s">
        <v>2321</v>
      </c>
    </row>
    <row r="346" spans="1:8" s="620" customFormat="1" ht="15">
      <c r="A346" s="793"/>
      <c r="B346" s="793"/>
      <c r="C346" s="816" t="s">
        <v>345</v>
      </c>
      <c r="D346" s="795"/>
      <c r="E346" s="795"/>
      <c r="F346" s="795"/>
      <c r="G346" s="798">
        <f>G345/3</f>
        <v>84.666666666666671</v>
      </c>
      <c r="H346" s="601" t="s">
        <v>2321</v>
      </c>
    </row>
    <row r="347" spans="1:8" s="820" customFormat="1" ht="60">
      <c r="A347" s="793"/>
      <c r="B347" s="793">
        <v>3</v>
      </c>
      <c r="C347" s="421" t="s">
        <v>350</v>
      </c>
      <c r="D347" s="793"/>
      <c r="E347" s="793"/>
      <c r="F347" s="793"/>
      <c r="G347" s="819"/>
      <c r="H347" s="601" t="s">
        <v>2321</v>
      </c>
    </row>
    <row r="348" spans="1:8" s="820" customFormat="1">
      <c r="A348" s="800"/>
      <c r="B348" s="793"/>
      <c r="C348" s="794" t="s">
        <v>351</v>
      </c>
      <c r="D348" s="795" t="s">
        <v>279</v>
      </c>
      <c r="E348" s="796">
        <v>1</v>
      </c>
      <c r="F348" s="797">
        <f>'MINI SSR 21-22'!C81</f>
        <v>74</v>
      </c>
      <c r="G348" s="801">
        <f>ROUND(E348*F348,2)</f>
        <v>74</v>
      </c>
      <c r="H348" s="601" t="s">
        <v>2321</v>
      </c>
    </row>
    <row r="349" spans="1:8">
      <c r="A349" s="793"/>
      <c r="B349" s="799"/>
      <c r="C349" s="804" t="s">
        <v>332</v>
      </c>
      <c r="D349" s="805"/>
      <c r="E349" s="806"/>
      <c r="F349" s="806"/>
      <c r="G349" s="807">
        <v>0</v>
      </c>
      <c r="H349" s="601" t="s">
        <v>2321</v>
      </c>
    </row>
    <row r="350" spans="1:8" s="820" customFormat="1">
      <c r="A350" s="800"/>
      <c r="B350" s="793"/>
      <c r="C350" s="794"/>
      <c r="D350" s="795"/>
      <c r="E350" s="796"/>
      <c r="F350" s="797"/>
      <c r="G350" s="798">
        <f>SUM(G348:G349)</f>
        <v>74</v>
      </c>
      <c r="H350" s="601" t="s">
        <v>2321</v>
      </c>
    </row>
    <row r="351" spans="1:8" s="620" customFormat="1" ht="24">
      <c r="A351" s="793"/>
      <c r="B351" s="793">
        <v>11</v>
      </c>
      <c r="C351" s="421" t="s">
        <v>685</v>
      </c>
      <c r="D351" s="816"/>
      <c r="E351" s="795"/>
      <c r="F351" s="795"/>
      <c r="G351" s="816"/>
      <c r="H351" s="601" t="s">
        <v>2321</v>
      </c>
    </row>
    <row r="352" spans="1:8" s="620" customFormat="1" ht="15">
      <c r="A352" s="793"/>
      <c r="B352" s="793"/>
      <c r="C352" s="794" t="s">
        <v>686</v>
      </c>
      <c r="D352" s="795" t="s">
        <v>115</v>
      </c>
      <c r="E352" s="796">
        <v>1</v>
      </c>
      <c r="F352" s="797">
        <f>'MINI SSR 21-22'!C82</f>
        <v>1554</v>
      </c>
      <c r="G352" s="801">
        <f>ROUND(E352*F352,2)</f>
        <v>1554</v>
      </c>
      <c r="H352" s="601" t="s">
        <v>2321</v>
      </c>
    </row>
    <row r="353" spans="1:8">
      <c r="A353" s="793"/>
      <c r="B353" s="799"/>
      <c r="C353" s="804" t="s">
        <v>332</v>
      </c>
      <c r="D353" s="805"/>
      <c r="E353" s="806"/>
      <c r="F353" s="806"/>
      <c r="G353" s="807">
        <v>0</v>
      </c>
      <c r="H353" s="601" t="s">
        <v>2321</v>
      </c>
    </row>
    <row r="354" spans="1:8" s="620" customFormat="1" ht="15">
      <c r="A354" s="793"/>
      <c r="B354" s="793"/>
      <c r="C354" s="794"/>
      <c r="D354" s="795"/>
      <c r="E354" s="796"/>
      <c r="F354" s="797"/>
      <c r="G354" s="798">
        <f>SUM(G352:G353)</f>
        <v>1554</v>
      </c>
      <c r="H354" s="601" t="s">
        <v>2321</v>
      </c>
    </row>
    <row r="355" spans="1:8" s="620" customFormat="1" ht="48">
      <c r="A355" s="793"/>
      <c r="B355" s="793">
        <v>8</v>
      </c>
      <c r="C355" s="421" t="s">
        <v>352</v>
      </c>
      <c r="D355" s="816"/>
      <c r="E355" s="795"/>
      <c r="F355" s="795"/>
      <c r="G355" s="816"/>
      <c r="H355" s="601" t="s">
        <v>2321</v>
      </c>
    </row>
    <row r="356" spans="1:8" s="620" customFormat="1" ht="15">
      <c r="A356" s="793"/>
      <c r="B356" s="793"/>
      <c r="C356" s="794" t="s">
        <v>353</v>
      </c>
      <c r="D356" s="795" t="s">
        <v>115</v>
      </c>
      <c r="E356" s="796">
        <v>1</v>
      </c>
      <c r="F356" s="797">
        <f>'MINI SSR 21-22'!C72</f>
        <v>366</v>
      </c>
      <c r="G356" s="801">
        <f>ROUND(E356*F356,2)</f>
        <v>366</v>
      </c>
      <c r="H356" s="601" t="s">
        <v>2321</v>
      </c>
    </row>
    <row r="357" spans="1:8">
      <c r="A357" s="793"/>
      <c r="B357" s="799"/>
      <c r="C357" s="804" t="s">
        <v>332</v>
      </c>
      <c r="D357" s="805"/>
      <c r="E357" s="806"/>
      <c r="F357" s="806"/>
      <c r="G357" s="807">
        <v>0</v>
      </c>
      <c r="H357" s="601" t="s">
        <v>2321</v>
      </c>
    </row>
    <row r="358" spans="1:8" s="620" customFormat="1" ht="15">
      <c r="A358" s="793"/>
      <c r="B358" s="793"/>
      <c r="C358" s="794"/>
      <c r="D358" s="795"/>
      <c r="E358" s="796"/>
      <c r="F358" s="797"/>
      <c r="G358" s="798">
        <f>SUM(G356:G357)</f>
        <v>366</v>
      </c>
      <c r="H358" s="601" t="s">
        <v>2321</v>
      </c>
    </row>
    <row r="359" spans="1:8" s="620" customFormat="1" ht="72">
      <c r="A359" s="793"/>
      <c r="B359" s="793">
        <v>13</v>
      </c>
      <c r="C359" s="421" t="s">
        <v>354</v>
      </c>
      <c r="D359" s="816"/>
      <c r="E359" s="795"/>
      <c r="F359" s="795"/>
      <c r="G359" s="816"/>
      <c r="H359" s="601" t="s">
        <v>2321</v>
      </c>
    </row>
    <row r="360" spans="1:8" s="620" customFormat="1" ht="15">
      <c r="A360" s="793"/>
      <c r="B360" s="793"/>
      <c r="C360" s="794" t="s">
        <v>355</v>
      </c>
      <c r="D360" s="795" t="s">
        <v>115</v>
      </c>
      <c r="E360" s="796">
        <v>1</v>
      </c>
      <c r="F360" s="797">
        <f>'MINI SSR 21-22'!C83</f>
        <v>3938</v>
      </c>
      <c r="G360" s="801">
        <f>ROUND(E360*F360,2)</f>
        <v>3938</v>
      </c>
      <c r="H360" s="601" t="s">
        <v>2321</v>
      </c>
    </row>
    <row r="361" spans="1:8">
      <c r="A361" s="793"/>
      <c r="B361" s="799"/>
      <c r="C361" s="804" t="s">
        <v>332</v>
      </c>
      <c r="D361" s="805"/>
      <c r="E361" s="806"/>
      <c r="F361" s="806"/>
      <c r="G361" s="807">
        <v>0</v>
      </c>
      <c r="H361" s="601" t="s">
        <v>2321</v>
      </c>
    </row>
    <row r="362" spans="1:8" s="620" customFormat="1" ht="15">
      <c r="A362" s="793"/>
      <c r="B362" s="793"/>
      <c r="C362" s="794"/>
      <c r="D362" s="795"/>
      <c r="E362" s="796"/>
      <c r="F362" s="797"/>
      <c r="G362" s="798">
        <f>SUM(G360:G361)</f>
        <v>3938</v>
      </c>
      <c r="H362" s="601" t="s">
        <v>2321</v>
      </c>
    </row>
    <row r="363" spans="1:8" s="620" customFormat="1" ht="60">
      <c r="A363" s="793"/>
      <c r="B363" s="793">
        <v>9</v>
      </c>
      <c r="C363" s="421" t="s">
        <v>290</v>
      </c>
      <c r="D363" s="800"/>
      <c r="E363" s="793"/>
      <c r="F363" s="793"/>
      <c r="G363" s="819"/>
      <c r="H363" s="601" t="s">
        <v>2321</v>
      </c>
    </row>
    <row r="364" spans="1:8" s="620" customFormat="1" ht="15">
      <c r="A364" s="793"/>
      <c r="B364" s="793"/>
      <c r="C364" s="794" t="s">
        <v>356</v>
      </c>
      <c r="D364" s="795" t="s">
        <v>357</v>
      </c>
      <c r="E364" s="797">
        <v>1</v>
      </c>
      <c r="F364" s="797">
        <f>'MINI SSR 21-22'!H66</f>
        <v>5</v>
      </c>
      <c r="G364" s="801">
        <f>ROUND(E364*F364,2)</f>
        <v>5</v>
      </c>
      <c r="H364" s="601" t="s">
        <v>2321</v>
      </c>
    </row>
    <row r="365" spans="1:8" s="620" customFormat="1" ht="15">
      <c r="A365" s="793"/>
      <c r="B365" s="821"/>
      <c r="C365" s="794" t="s">
        <v>358</v>
      </c>
      <c r="D365" s="795" t="s">
        <v>357</v>
      </c>
      <c r="E365" s="797">
        <v>1</v>
      </c>
      <c r="F365" s="797">
        <f>'MINI SSR 21-22'!H67</f>
        <v>1</v>
      </c>
      <c r="G365" s="801">
        <f>ROUND(E365*F365,2)</f>
        <v>1</v>
      </c>
      <c r="H365" s="601" t="s">
        <v>2321</v>
      </c>
    </row>
    <row r="366" spans="1:8" s="620" customFormat="1" ht="15">
      <c r="A366" s="793"/>
      <c r="B366" s="821"/>
      <c r="C366" s="794"/>
      <c r="D366" s="795"/>
      <c r="E366" s="797"/>
      <c r="F366" s="797"/>
      <c r="G366" s="798">
        <f>SUM(G364:G365)</f>
        <v>6</v>
      </c>
      <c r="H366" s="601" t="s">
        <v>2321</v>
      </c>
    </row>
    <row r="367" spans="1:8">
      <c r="A367" s="793"/>
      <c r="B367" s="799"/>
      <c r="C367" s="804" t="s">
        <v>332</v>
      </c>
      <c r="D367" s="805"/>
      <c r="E367" s="806"/>
      <c r="F367" s="806"/>
      <c r="G367" s="807">
        <v>0</v>
      </c>
      <c r="H367" s="601" t="s">
        <v>2321</v>
      </c>
    </row>
    <row r="368" spans="1:8" s="620" customFormat="1" ht="15">
      <c r="A368" s="793"/>
      <c r="B368" s="821"/>
      <c r="C368" s="794"/>
      <c r="D368" s="795"/>
      <c r="E368" s="797"/>
      <c r="F368" s="797"/>
      <c r="G368" s="798">
        <f>SUM(G366:G367)</f>
        <v>6</v>
      </c>
      <c r="H368" s="601" t="s">
        <v>2321</v>
      </c>
    </row>
    <row r="369" spans="1:8" s="620" customFormat="1" ht="72">
      <c r="A369" s="793"/>
      <c r="B369" s="793">
        <v>4</v>
      </c>
      <c r="C369" s="421" t="s">
        <v>276</v>
      </c>
      <c r="D369" s="793"/>
      <c r="E369" s="793"/>
      <c r="F369" s="793"/>
      <c r="G369" s="819"/>
      <c r="H369" s="601" t="s">
        <v>2321</v>
      </c>
    </row>
    <row r="370" spans="1:8" s="620" customFormat="1" ht="15">
      <c r="A370" s="793"/>
      <c r="B370" s="793"/>
      <c r="C370" s="421" t="s">
        <v>359</v>
      </c>
      <c r="D370" s="816" t="s">
        <v>277</v>
      </c>
      <c r="E370" s="817">
        <v>1</v>
      </c>
      <c r="F370" s="797">
        <f>'MINI SSR 21-22'!H68</f>
        <v>56</v>
      </c>
      <c r="G370" s="801">
        <f>ROUND(E370*F370,2)</f>
        <v>56</v>
      </c>
      <c r="H370" s="601" t="s">
        <v>2321</v>
      </c>
    </row>
    <row r="371" spans="1:8">
      <c r="A371" s="793"/>
      <c r="B371" s="799"/>
      <c r="C371" s="804" t="s">
        <v>332</v>
      </c>
      <c r="D371" s="805"/>
      <c r="E371" s="806"/>
      <c r="F371" s="806"/>
      <c r="G371" s="807">
        <v>0</v>
      </c>
      <c r="H371" s="601" t="s">
        <v>2321</v>
      </c>
    </row>
    <row r="372" spans="1:8" s="620" customFormat="1" ht="15">
      <c r="A372" s="793"/>
      <c r="B372" s="821"/>
      <c r="C372" s="794"/>
      <c r="D372" s="795"/>
      <c r="E372" s="797"/>
      <c r="F372" s="797"/>
      <c r="G372" s="818">
        <f>SUM(G370:G371)</f>
        <v>56</v>
      </c>
      <c r="H372" s="601" t="s">
        <v>2321</v>
      </c>
    </row>
    <row r="373" spans="1:8" s="620" customFormat="1" ht="15">
      <c r="A373" s="793"/>
      <c r="B373" s="793"/>
      <c r="C373" s="421" t="s">
        <v>360</v>
      </c>
      <c r="D373" s="795" t="s">
        <v>277</v>
      </c>
      <c r="E373" s="797">
        <v>1</v>
      </c>
      <c r="F373" s="797">
        <f>'MINI SSR 21-22'!H69</f>
        <v>89</v>
      </c>
      <c r="G373" s="801">
        <f>ROUND(E373*F373,2)</f>
        <v>89</v>
      </c>
      <c r="H373" s="601" t="s">
        <v>2321</v>
      </c>
    </row>
    <row r="374" spans="1:8">
      <c r="A374" s="793"/>
      <c r="B374" s="799"/>
      <c r="C374" s="804" t="s">
        <v>332</v>
      </c>
      <c r="D374" s="805"/>
      <c r="E374" s="806"/>
      <c r="F374" s="806"/>
      <c r="G374" s="807">
        <v>0</v>
      </c>
      <c r="H374" s="601" t="s">
        <v>2321</v>
      </c>
    </row>
    <row r="375" spans="1:8" s="620" customFormat="1" ht="15">
      <c r="A375" s="793"/>
      <c r="B375" s="821"/>
      <c r="C375" s="794"/>
      <c r="D375" s="795"/>
      <c r="E375" s="797"/>
      <c r="F375" s="797"/>
      <c r="G375" s="818">
        <f>SUM(G373:G374)</f>
        <v>89</v>
      </c>
      <c r="H375" s="601" t="s">
        <v>2321</v>
      </c>
    </row>
    <row r="376" spans="1:8" s="620" customFormat="1" ht="15">
      <c r="A376" s="793"/>
      <c r="B376" s="793"/>
      <c r="C376" s="421" t="s">
        <v>361</v>
      </c>
      <c r="D376" s="816" t="s">
        <v>277</v>
      </c>
      <c r="E376" s="817">
        <v>1</v>
      </c>
      <c r="F376" s="797">
        <f>'MINI SSR 21-22'!H70</f>
        <v>129</v>
      </c>
      <c r="G376" s="801">
        <f>ROUND(E376*F376,2)</f>
        <v>129</v>
      </c>
      <c r="H376" s="601" t="s">
        <v>2321</v>
      </c>
    </row>
    <row r="377" spans="1:8">
      <c r="A377" s="793"/>
      <c r="B377" s="799"/>
      <c r="C377" s="804" t="s">
        <v>332</v>
      </c>
      <c r="D377" s="805"/>
      <c r="E377" s="806"/>
      <c r="F377" s="806"/>
      <c r="G377" s="807">
        <v>0</v>
      </c>
      <c r="H377" s="601" t="s">
        <v>2321</v>
      </c>
    </row>
    <row r="378" spans="1:8" s="620" customFormat="1" ht="15">
      <c r="A378" s="793"/>
      <c r="B378" s="821"/>
      <c r="C378" s="794"/>
      <c r="D378" s="795"/>
      <c r="E378" s="797"/>
      <c r="F378" s="797"/>
      <c r="G378" s="818">
        <f>SUM(G376:G377)</f>
        <v>129</v>
      </c>
      <c r="H378" s="601" t="s">
        <v>2321</v>
      </c>
    </row>
    <row r="379" spans="1:8" s="620" customFormat="1" ht="15">
      <c r="A379" s="793"/>
      <c r="B379" s="793"/>
      <c r="C379" s="421" t="s">
        <v>362</v>
      </c>
      <c r="D379" s="816" t="s">
        <v>277</v>
      </c>
      <c r="E379" s="817">
        <v>1</v>
      </c>
      <c r="F379" s="797">
        <f>'MINI SSR 21-22'!H71</f>
        <v>202</v>
      </c>
      <c r="G379" s="801">
        <f>ROUND(E379*F379,2)</f>
        <v>202</v>
      </c>
      <c r="H379" s="601" t="s">
        <v>2321</v>
      </c>
    </row>
    <row r="380" spans="1:8">
      <c r="A380" s="793"/>
      <c r="B380" s="799"/>
      <c r="C380" s="804" t="s">
        <v>332</v>
      </c>
      <c r="D380" s="805"/>
      <c r="E380" s="806"/>
      <c r="F380" s="806"/>
      <c r="G380" s="807">
        <v>0</v>
      </c>
      <c r="H380" s="601" t="s">
        <v>2321</v>
      </c>
    </row>
    <row r="381" spans="1:8" s="620" customFormat="1" ht="15">
      <c r="A381" s="793"/>
      <c r="B381" s="821"/>
      <c r="C381" s="794"/>
      <c r="D381" s="795"/>
      <c r="E381" s="797"/>
      <c r="F381" s="797"/>
      <c r="G381" s="818">
        <f>SUM(G379:G380)</f>
        <v>202</v>
      </c>
      <c r="H381" s="601" t="s">
        <v>2321</v>
      </c>
    </row>
    <row r="382" spans="1:8" s="820" customFormat="1" ht="48">
      <c r="A382" s="793"/>
      <c r="B382" s="793">
        <v>16</v>
      </c>
      <c r="C382" s="421" t="s">
        <v>1262</v>
      </c>
      <c r="D382" s="421"/>
      <c r="E382" s="793"/>
      <c r="F382" s="793"/>
      <c r="G382" s="819"/>
      <c r="H382" s="601" t="s">
        <v>2321</v>
      </c>
    </row>
    <row r="383" spans="1:8" s="820" customFormat="1">
      <c r="A383" s="800"/>
      <c r="B383" s="793"/>
      <c r="C383" s="794" t="s">
        <v>380</v>
      </c>
      <c r="D383" s="795" t="s">
        <v>279</v>
      </c>
      <c r="E383" s="796">
        <v>1</v>
      </c>
      <c r="F383" s="797">
        <f>'MINI SSR 21-22'!H72</f>
        <v>33</v>
      </c>
      <c r="G383" s="801">
        <f>ROUND(E383*F383,2)</f>
        <v>33</v>
      </c>
      <c r="H383" s="601" t="s">
        <v>2321</v>
      </c>
    </row>
    <row r="384" spans="1:8">
      <c r="A384" s="793"/>
      <c r="B384" s="799"/>
      <c r="C384" s="804" t="s">
        <v>332</v>
      </c>
      <c r="D384" s="805"/>
      <c r="E384" s="806"/>
      <c r="F384" s="806"/>
      <c r="G384" s="807">
        <v>0</v>
      </c>
      <c r="H384" s="601" t="s">
        <v>2321</v>
      </c>
    </row>
    <row r="385" spans="1:8" s="820" customFormat="1">
      <c r="A385" s="800"/>
      <c r="B385" s="793"/>
      <c r="C385" s="794"/>
      <c r="D385" s="795"/>
      <c r="E385" s="796"/>
      <c r="F385" s="797"/>
      <c r="G385" s="798">
        <f>SUM(G383:G384)</f>
        <v>33</v>
      </c>
      <c r="H385" s="601" t="s">
        <v>2321</v>
      </c>
    </row>
    <row r="386" spans="1:8" s="820" customFormat="1" ht="72">
      <c r="A386" s="793"/>
      <c r="B386" s="793">
        <v>5</v>
      </c>
      <c r="C386" s="421" t="s">
        <v>363</v>
      </c>
      <c r="D386" s="793"/>
      <c r="E386" s="793"/>
      <c r="F386" s="793"/>
      <c r="G386" s="819"/>
      <c r="H386" s="601" t="s">
        <v>2321</v>
      </c>
    </row>
    <row r="387" spans="1:8" s="820" customFormat="1">
      <c r="A387" s="800"/>
      <c r="B387" s="793"/>
      <c r="C387" s="794" t="s">
        <v>364</v>
      </c>
      <c r="D387" s="795" t="s">
        <v>279</v>
      </c>
      <c r="E387" s="796">
        <v>1</v>
      </c>
      <c r="F387" s="797">
        <f>'MINI SSR 21-22'!H73</f>
        <v>33</v>
      </c>
      <c r="G387" s="801">
        <f>ROUND(E387*F387,2)</f>
        <v>33</v>
      </c>
      <c r="H387" s="601" t="s">
        <v>2321</v>
      </c>
    </row>
    <row r="388" spans="1:8">
      <c r="A388" s="793"/>
      <c r="B388" s="799"/>
      <c r="C388" s="804" t="s">
        <v>332</v>
      </c>
      <c r="D388" s="805"/>
      <c r="E388" s="806"/>
      <c r="F388" s="806"/>
      <c r="G388" s="807">
        <v>0</v>
      </c>
      <c r="H388" s="601" t="s">
        <v>2321</v>
      </c>
    </row>
    <row r="389" spans="1:8" s="820" customFormat="1">
      <c r="A389" s="800"/>
      <c r="B389" s="793"/>
      <c r="C389" s="794"/>
      <c r="D389" s="795"/>
      <c r="E389" s="796"/>
      <c r="F389" s="797"/>
      <c r="G389" s="798">
        <f>SUM(G387:G388)</f>
        <v>33</v>
      </c>
      <c r="H389" s="601" t="s">
        <v>2321</v>
      </c>
    </row>
    <row r="390" spans="1:8" s="620" customFormat="1" ht="48">
      <c r="A390" s="793"/>
      <c r="B390" s="793">
        <v>18</v>
      </c>
      <c r="C390" s="421" t="s">
        <v>365</v>
      </c>
      <c r="D390" s="800"/>
      <c r="E390" s="793"/>
      <c r="F390" s="793"/>
      <c r="G390" s="819"/>
      <c r="H390" s="601" t="s">
        <v>2321</v>
      </c>
    </row>
    <row r="391" spans="1:8" s="620" customFormat="1" ht="15">
      <c r="A391" s="793"/>
      <c r="B391" s="793"/>
      <c r="C391" s="794" t="s">
        <v>366</v>
      </c>
      <c r="D391" s="795" t="s">
        <v>115</v>
      </c>
      <c r="E391" s="797">
        <v>1</v>
      </c>
      <c r="F391" s="797">
        <f>'MINI SSR 21-22'!H74</f>
        <v>1101</v>
      </c>
      <c r="G391" s="801">
        <f>ROUND(E391*F391,2)</f>
        <v>1101</v>
      </c>
      <c r="H391" s="601" t="s">
        <v>2321</v>
      </c>
    </row>
    <row r="392" spans="1:8">
      <c r="A392" s="793"/>
      <c r="B392" s="799"/>
      <c r="C392" s="804" t="s">
        <v>332</v>
      </c>
      <c r="D392" s="805"/>
      <c r="E392" s="806"/>
      <c r="F392" s="806"/>
      <c r="G392" s="807">
        <v>0</v>
      </c>
      <c r="H392" s="601" t="s">
        <v>2321</v>
      </c>
    </row>
    <row r="393" spans="1:8" s="620" customFormat="1" ht="15">
      <c r="A393" s="793"/>
      <c r="B393" s="821"/>
      <c r="C393" s="794"/>
      <c r="D393" s="795"/>
      <c r="E393" s="797"/>
      <c r="F393" s="797"/>
      <c r="G393" s="798">
        <f>SUM(G391:G392)</f>
        <v>1101</v>
      </c>
      <c r="H393" s="601" t="s">
        <v>2321</v>
      </c>
    </row>
    <row r="394" spans="1:8" s="820" customFormat="1" ht="108">
      <c r="A394" s="822"/>
      <c r="B394" s="793">
        <v>19</v>
      </c>
      <c r="C394" s="800" t="s">
        <v>367</v>
      </c>
      <c r="D394" s="800"/>
      <c r="E394" s="800"/>
      <c r="F394" s="800"/>
      <c r="G394" s="823"/>
      <c r="H394" s="601" t="s">
        <v>2321</v>
      </c>
    </row>
    <row r="395" spans="1:8" s="820" customFormat="1">
      <c r="A395" s="824"/>
      <c r="B395" s="821"/>
      <c r="C395" s="825" t="s">
        <v>368</v>
      </c>
      <c r="D395" s="826"/>
      <c r="E395" s="826"/>
      <c r="F395" s="827"/>
      <c r="G395" s="828"/>
      <c r="H395" s="601" t="s">
        <v>2321</v>
      </c>
    </row>
    <row r="396" spans="1:8" s="820" customFormat="1">
      <c r="A396" s="824"/>
      <c r="B396" s="793"/>
      <c r="C396" s="824" t="s">
        <v>369</v>
      </c>
      <c r="D396" s="827" t="s">
        <v>370</v>
      </c>
      <c r="E396" s="826">
        <v>1</v>
      </c>
      <c r="F396" s="826">
        <f>'MINI SSR 21-22'!C78</f>
        <v>426</v>
      </c>
      <c r="G396" s="801">
        <f t="shared" ref="G396:G401" si="4">ROUND(E396*F396,2)</f>
        <v>426</v>
      </c>
      <c r="H396" s="601" t="s">
        <v>2321</v>
      </c>
    </row>
    <row r="397" spans="1:8" s="820" customFormat="1">
      <c r="A397" s="824"/>
      <c r="B397" s="793"/>
      <c r="C397" s="829" t="s">
        <v>371</v>
      </c>
      <c r="D397" s="827" t="s">
        <v>115</v>
      </c>
      <c r="E397" s="826">
        <v>1</v>
      </c>
      <c r="F397" s="826">
        <f>'MINI SSR 21-22'!H75</f>
        <v>73</v>
      </c>
      <c r="G397" s="801">
        <f t="shared" si="4"/>
        <v>73</v>
      </c>
      <c r="H397" s="601" t="s">
        <v>2321</v>
      </c>
    </row>
    <row r="398" spans="1:8" s="820" customFormat="1">
      <c r="A398" s="824"/>
      <c r="B398" s="793"/>
      <c r="C398" s="829" t="s">
        <v>372</v>
      </c>
      <c r="D398" s="827" t="s">
        <v>115</v>
      </c>
      <c r="E398" s="826">
        <v>3</v>
      </c>
      <c r="F398" s="826">
        <f>'MINI SSR 21-22'!H76</f>
        <v>16</v>
      </c>
      <c r="G398" s="801">
        <f t="shared" si="4"/>
        <v>48</v>
      </c>
      <c r="H398" s="601" t="s">
        <v>2321</v>
      </c>
    </row>
    <row r="399" spans="1:8" s="820" customFormat="1">
      <c r="A399" s="824"/>
      <c r="B399" s="793"/>
      <c r="C399" s="830" t="s">
        <v>373</v>
      </c>
      <c r="D399" s="827" t="s">
        <v>108</v>
      </c>
      <c r="E399" s="826">
        <v>0.3</v>
      </c>
      <c r="F399" s="826">
        <f>'MINI SSR 21-22'!H8</f>
        <v>655</v>
      </c>
      <c r="G399" s="801">
        <f t="shared" si="4"/>
        <v>196.5</v>
      </c>
      <c r="H399" s="601" t="s">
        <v>2321</v>
      </c>
    </row>
    <row r="400" spans="1:8" s="820" customFormat="1">
      <c r="A400" s="824"/>
      <c r="B400" s="793"/>
      <c r="C400" s="830" t="s">
        <v>374</v>
      </c>
      <c r="D400" s="827" t="s">
        <v>108</v>
      </c>
      <c r="E400" s="826">
        <v>0.7</v>
      </c>
      <c r="F400" s="826">
        <f>'MINI SSR 21-22'!H9</f>
        <v>525</v>
      </c>
      <c r="G400" s="801">
        <f t="shared" si="4"/>
        <v>367.5</v>
      </c>
      <c r="H400" s="601" t="s">
        <v>2321</v>
      </c>
    </row>
    <row r="401" spans="1:8" s="820" customFormat="1">
      <c r="A401" s="824"/>
      <c r="B401" s="793"/>
      <c r="C401" s="830" t="s">
        <v>375</v>
      </c>
      <c r="D401" s="827" t="s">
        <v>108</v>
      </c>
      <c r="E401" s="826">
        <v>1</v>
      </c>
      <c r="F401" s="826">
        <f>'MINI SSR 21-22'!H5</f>
        <v>490</v>
      </c>
      <c r="G401" s="801">
        <f t="shared" si="4"/>
        <v>490</v>
      </c>
      <c r="H401" s="601" t="s">
        <v>2321</v>
      </c>
    </row>
    <row r="402" spans="1:8" s="820" customFormat="1">
      <c r="A402" s="824"/>
      <c r="B402" s="793"/>
      <c r="C402" s="830"/>
      <c r="D402" s="827"/>
      <c r="E402" s="826"/>
      <c r="F402" s="826"/>
      <c r="G402" s="828">
        <f>SUM(G396:G401)</f>
        <v>1601</v>
      </c>
      <c r="H402" s="601" t="s">
        <v>2321</v>
      </c>
    </row>
    <row r="403" spans="1:8">
      <c r="A403" s="793"/>
      <c r="B403" s="799"/>
      <c r="C403" s="804" t="s">
        <v>332</v>
      </c>
      <c r="D403" s="805"/>
      <c r="E403" s="806"/>
      <c r="F403" s="806"/>
      <c r="G403" s="807">
        <v>0</v>
      </c>
      <c r="H403" s="601" t="s">
        <v>2321</v>
      </c>
    </row>
    <row r="404" spans="1:8" s="820" customFormat="1">
      <c r="A404" s="824"/>
      <c r="B404" s="821"/>
      <c r="C404" s="830" t="s">
        <v>376</v>
      </c>
      <c r="D404" s="827"/>
      <c r="E404" s="826"/>
      <c r="F404" s="826"/>
      <c r="G404" s="828">
        <f>SUM(G402:G403)</f>
        <v>1601</v>
      </c>
      <c r="H404" s="601" t="s">
        <v>2321</v>
      </c>
    </row>
    <row r="405" spans="1:8" s="820" customFormat="1">
      <c r="A405" s="824"/>
      <c r="B405" s="821"/>
      <c r="C405" s="830" t="s">
        <v>377</v>
      </c>
      <c r="D405" s="827"/>
      <c r="E405" s="826"/>
      <c r="F405" s="826"/>
      <c r="G405" s="831">
        <f>G404/3</f>
        <v>533.66666666666663</v>
      </c>
      <c r="H405" s="601" t="s">
        <v>2321</v>
      </c>
    </row>
    <row r="406" spans="1:8" s="670" customFormat="1" ht="113.25" customHeight="1">
      <c r="A406" s="832"/>
      <c r="B406" s="832">
        <v>11</v>
      </c>
      <c r="C406" s="700" t="s">
        <v>595</v>
      </c>
      <c r="D406" s="700"/>
      <c r="E406" s="673"/>
      <c r="F406" s="673"/>
      <c r="G406" s="38"/>
      <c r="H406" s="601" t="s">
        <v>2321</v>
      </c>
    </row>
    <row r="407" spans="1:8" s="670" customFormat="1">
      <c r="A407" s="691"/>
      <c r="B407" s="673"/>
      <c r="C407" s="696" t="s">
        <v>596</v>
      </c>
      <c r="D407" s="16" t="s">
        <v>279</v>
      </c>
      <c r="E407" s="833">
        <v>1</v>
      </c>
      <c r="F407" s="10">
        <f>'MINI SSR 21-22'!C86</f>
        <v>470</v>
      </c>
      <c r="G407" s="9">
        <f>(E407*F407)/1</f>
        <v>470</v>
      </c>
      <c r="H407" s="601" t="s">
        <v>2321</v>
      </c>
    </row>
    <row r="408" spans="1:8" s="670" customFormat="1">
      <c r="A408" s="691"/>
      <c r="B408" s="673"/>
      <c r="C408" s="696"/>
      <c r="D408" s="16"/>
      <c r="E408" s="833"/>
      <c r="F408" s="10"/>
      <c r="G408" s="9"/>
      <c r="H408" s="601" t="s">
        <v>2321</v>
      </c>
    </row>
    <row r="409" spans="1:8" s="670" customFormat="1">
      <c r="A409" s="691"/>
      <c r="B409" s="673"/>
      <c r="C409" s="696" t="s">
        <v>597</v>
      </c>
      <c r="D409" s="16" t="s">
        <v>279</v>
      </c>
      <c r="E409" s="833">
        <v>1</v>
      </c>
      <c r="F409" s="10">
        <f>'MINI SSR 21-22'!C87</f>
        <v>502</v>
      </c>
      <c r="G409" s="9">
        <f>(E409*F409)/1</f>
        <v>502</v>
      </c>
      <c r="H409" s="601" t="s">
        <v>2321</v>
      </c>
    </row>
    <row r="410" spans="1:8" s="670" customFormat="1">
      <c r="A410" s="691"/>
      <c r="B410" s="673"/>
      <c r="C410" s="696"/>
      <c r="D410" s="16"/>
      <c r="E410" s="833"/>
      <c r="F410" s="10"/>
      <c r="G410" s="9"/>
      <c r="H410" s="601" t="s">
        <v>2321</v>
      </c>
    </row>
    <row r="411" spans="1:8" s="670" customFormat="1">
      <c r="A411" s="691"/>
      <c r="B411" s="673"/>
      <c r="C411" s="696" t="s">
        <v>598</v>
      </c>
      <c r="D411" s="16" t="s">
        <v>279</v>
      </c>
      <c r="E411" s="833">
        <v>1</v>
      </c>
      <c r="F411" s="10">
        <f>'MINI SSR 21-22'!C88</f>
        <v>563</v>
      </c>
      <c r="G411" s="9">
        <f>(E411*F411)/1</f>
        <v>563</v>
      </c>
      <c r="H411" s="601" t="s">
        <v>2321</v>
      </c>
    </row>
    <row r="412" spans="1:8" s="670" customFormat="1">
      <c r="A412" s="691"/>
      <c r="B412" s="673"/>
      <c r="C412" s="696"/>
      <c r="D412" s="16"/>
      <c r="E412" s="833"/>
      <c r="F412" s="10"/>
      <c r="G412" s="9"/>
      <c r="H412" s="601" t="s">
        <v>2321</v>
      </c>
    </row>
    <row r="413" spans="1:8" s="670" customFormat="1" ht="51">
      <c r="A413" s="673"/>
      <c r="B413" s="673">
        <v>12</v>
      </c>
      <c r="C413" s="700" t="s">
        <v>592</v>
      </c>
      <c r="D413" s="700"/>
      <c r="E413" s="673"/>
      <c r="F413" s="673"/>
      <c r="G413" s="38"/>
      <c r="H413" s="601" t="s">
        <v>2321</v>
      </c>
    </row>
    <row r="414" spans="1:8" s="670" customFormat="1">
      <c r="A414" s="691"/>
      <c r="B414" s="673"/>
      <c r="C414" s="696" t="s">
        <v>599</v>
      </c>
      <c r="D414" s="16" t="s">
        <v>275</v>
      </c>
      <c r="E414" s="833">
        <v>1</v>
      </c>
      <c r="F414" s="10">
        <f>'MINI SSR 21-22'!C89</f>
        <v>26730</v>
      </c>
      <c r="G414" s="9">
        <f>(E414*F414)/1</f>
        <v>26730</v>
      </c>
      <c r="H414" s="601" t="s">
        <v>2321</v>
      </c>
    </row>
    <row r="415" spans="1:8" s="670" customFormat="1">
      <c r="A415" s="691"/>
      <c r="B415" s="673"/>
      <c r="C415" s="696"/>
      <c r="D415" s="16"/>
      <c r="E415" s="833"/>
      <c r="F415" s="10"/>
      <c r="G415" s="9">
        <f>SUM(G414:G414)</f>
        <v>26730</v>
      </c>
      <c r="H415" s="601" t="s">
        <v>2321</v>
      </c>
    </row>
    <row r="416" spans="1:8" s="670" customFormat="1" ht="51">
      <c r="A416" s="673"/>
      <c r="B416" s="673">
        <v>13</v>
      </c>
      <c r="C416" s="700" t="s">
        <v>1536</v>
      </c>
      <c r="D416" s="700"/>
      <c r="E416" s="673"/>
      <c r="F416" s="673"/>
      <c r="G416" s="38"/>
      <c r="H416" s="601" t="s">
        <v>2321</v>
      </c>
    </row>
    <row r="417" spans="1:8" s="670" customFormat="1">
      <c r="A417" s="691"/>
      <c r="B417" s="673"/>
      <c r="C417" s="696" t="s">
        <v>1571</v>
      </c>
      <c r="D417" s="16" t="s">
        <v>275</v>
      </c>
      <c r="E417" s="833">
        <v>1</v>
      </c>
      <c r="F417" s="10">
        <f>'MINI SSR 21-22'!C90</f>
        <v>18370</v>
      </c>
      <c r="G417" s="9">
        <f>(E417*F417)/1</f>
        <v>18370</v>
      </c>
      <c r="H417" s="601" t="s">
        <v>2321</v>
      </c>
    </row>
    <row r="418" spans="1:8" s="670" customFormat="1">
      <c r="A418" s="691"/>
      <c r="B418" s="673"/>
      <c r="C418" s="696"/>
      <c r="D418" s="16"/>
      <c r="E418" s="833"/>
      <c r="F418" s="10"/>
      <c r="G418" s="9">
        <f>SUM(G417:G417)</f>
        <v>18370</v>
      </c>
      <c r="H418" s="601" t="s">
        <v>2321</v>
      </c>
    </row>
    <row r="419" spans="1:8" s="670" customFormat="1" ht="51">
      <c r="A419" s="673"/>
      <c r="B419" s="673">
        <v>14</v>
      </c>
      <c r="C419" s="700" t="s">
        <v>600</v>
      </c>
      <c r="D419" s="700"/>
      <c r="E419" s="673"/>
      <c r="F419" s="673"/>
      <c r="G419" s="38"/>
      <c r="H419" s="601" t="s">
        <v>2321</v>
      </c>
    </row>
    <row r="420" spans="1:8" s="670" customFormat="1">
      <c r="A420" s="691"/>
      <c r="B420" s="673"/>
      <c r="C420" s="700" t="s">
        <v>378</v>
      </c>
      <c r="D420" s="16" t="s">
        <v>289</v>
      </c>
      <c r="E420" s="833">
        <v>1</v>
      </c>
      <c r="F420" s="10">
        <f>'MINI SSR 21-22'!C91</f>
        <v>342</v>
      </c>
      <c r="G420" s="9">
        <f>(E420*F420)/1</f>
        <v>342</v>
      </c>
      <c r="H420" s="601" t="s">
        <v>2321</v>
      </c>
    </row>
    <row r="421" spans="1:8" s="670" customFormat="1">
      <c r="A421" s="691"/>
      <c r="B421" s="673"/>
      <c r="C421" s="696"/>
      <c r="D421" s="16"/>
      <c r="E421" s="833"/>
      <c r="F421" s="10"/>
      <c r="G421" s="9">
        <f>SUM(G420:G420)</f>
        <v>342</v>
      </c>
      <c r="H421" s="601" t="s">
        <v>2321</v>
      </c>
    </row>
    <row r="422" spans="1:8" s="670" customFormat="1" ht="38.25">
      <c r="A422" s="673"/>
      <c r="B422" s="673">
        <v>15</v>
      </c>
      <c r="C422" s="357" t="s">
        <v>283</v>
      </c>
      <c r="D422" s="357"/>
      <c r="E422" s="832"/>
      <c r="F422" s="832"/>
      <c r="G422" s="834"/>
      <c r="H422" s="601" t="s">
        <v>2321</v>
      </c>
    </row>
    <row r="423" spans="1:8" s="670" customFormat="1">
      <c r="A423" s="691"/>
      <c r="B423" s="673"/>
      <c r="C423" s="624" t="s">
        <v>379</v>
      </c>
      <c r="D423" s="617" t="s">
        <v>279</v>
      </c>
      <c r="E423" s="631">
        <v>1</v>
      </c>
      <c r="F423" s="622">
        <f>'MINI SSR 21-22'!C92</f>
        <v>73</v>
      </c>
      <c r="G423" s="630">
        <f>(E423*F423)/1</f>
        <v>73</v>
      </c>
      <c r="H423" s="601" t="s">
        <v>2321</v>
      </c>
    </row>
    <row r="424" spans="1:8" s="670" customFormat="1">
      <c r="A424" s="691"/>
      <c r="B424" s="673"/>
      <c r="C424" s="624"/>
      <c r="D424" s="617"/>
      <c r="E424" s="631"/>
      <c r="F424" s="622"/>
      <c r="G424" s="630">
        <f>SUM(G423:G423)</f>
        <v>73</v>
      </c>
      <c r="H424" s="601" t="s">
        <v>2321</v>
      </c>
    </row>
    <row r="425" spans="1:8" s="670" customFormat="1">
      <c r="A425" s="673"/>
      <c r="B425" s="673">
        <v>16</v>
      </c>
      <c r="C425" s="700" t="s">
        <v>287</v>
      </c>
      <c r="D425" s="700"/>
      <c r="E425" s="673"/>
      <c r="F425" s="673"/>
      <c r="G425" s="38"/>
      <c r="H425" s="601" t="s">
        <v>2321</v>
      </c>
    </row>
    <row r="426" spans="1:8" s="670" customFormat="1">
      <c r="A426" s="691"/>
      <c r="B426" s="673"/>
      <c r="C426" s="696" t="s">
        <v>380</v>
      </c>
      <c r="D426" s="16" t="s">
        <v>275</v>
      </c>
      <c r="E426" s="833">
        <v>1</v>
      </c>
      <c r="F426" s="10">
        <f>'MINI SSR 21-22'!C93</f>
        <v>177</v>
      </c>
      <c r="G426" s="9">
        <f>(E426*F426)/1</f>
        <v>177</v>
      </c>
      <c r="H426" s="601" t="s">
        <v>2321</v>
      </c>
    </row>
    <row r="427" spans="1:8" s="670" customFormat="1">
      <c r="A427" s="691"/>
      <c r="B427" s="673"/>
      <c r="C427" s="696"/>
      <c r="D427" s="16"/>
      <c r="E427" s="833"/>
      <c r="F427" s="10"/>
      <c r="G427" s="9">
        <f>SUM(G426:G426)</f>
        <v>177</v>
      </c>
      <c r="H427" s="601" t="s">
        <v>2321</v>
      </c>
    </row>
    <row r="428" spans="1:8" s="670" customFormat="1">
      <c r="A428" s="673"/>
      <c r="B428" s="673">
        <v>17</v>
      </c>
      <c r="C428" s="700" t="s">
        <v>284</v>
      </c>
      <c r="D428" s="700"/>
      <c r="E428" s="673"/>
      <c r="F428" s="673"/>
      <c r="G428" s="38"/>
      <c r="H428" s="601" t="s">
        <v>2321</v>
      </c>
    </row>
    <row r="429" spans="1:8" s="670" customFormat="1">
      <c r="A429" s="691"/>
      <c r="B429" s="673"/>
      <c r="C429" s="696" t="s">
        <v>380</v>
      </c>
      <c r="D429" s="16" t="s">
        <v>275</v>
      </c>
      <c r="E429" s="833">
        <v>1</v>
      </c>
      <c r="F429" s="10">
        <f>'MINI SSR 21-22'!C94</f>
        <v>315</v>
      </c>
      <c r="G429" s="9">
        <f>(E429*F429)/1</f>
        <v>315</v>
      </c>
      <c r="H429" s="601" t="s">
        <v>2321</v>
      </c>
    </row>
    <row r="430" spans="1:8" s="670" customFormat="1">
      <c r="A430" s="691"/>
      <c r="B430" s="673"/>
      <c r="C430" s="696"/>
      <c r="D430" s="16"/>
      <c r="E430" s="833"/>
      <c r="F430" s="10"/>
      <c r="G430" s="9">
        <f>SUM(G429:G429)</f>
        <v>315</v>
      </c>
      <c r="H430" s="601" t="s">
        <v>2321</v>
      </c>
    </row>
    <row r="431" spans="1:8" s="670" customFormat="1">
      <c r="A431" s="673"/>
      <c r="B431" s="673">
        <v>18</v>
      </c>
      <c r="C431" s="700" t="s">
        <v>2002</v>
      </c>
      <c r="D431" s="700"/>
      <c r="E431" s="673"/>
      <c r="F431" s="673"/>
      <c r="G431" s="38"/>
      <c r="H431" s="601" t="s">
        <v>2321</v>
      </c>
    </row>
    <row r="432" spans="1:8" s="670" customFormat="1">
      <c r="A432" s="691"/>
      <c r="B432" s="673"/>
      <c r="C432" s="696" t="s">
        <v>379</v>
      </c>
      <c r="D432" s="16" t="s">
        <v>279</v>
      </c>
      <c r="E432" s="833">
        <v>1</v>
      </c>
      <c r="F432" s="10">
        <f>'MINI SSR 21-22'!C95</f>
        <v>420</v>
      </c>
      <c r="G432" s="9">
        <f>(E432*F432)/1</f>
        <v>420</v>
      </c>
      <c r="H432" s="601" t="s">
        <v>2321</v>
      </c>
    </row>
    <row r="433" spans="1:8" s="670" customFormat="1">
      <c r="A433" s="691"/>
      <c r="B433" s="673"/>
      <c r="C433" s="696"/>
      <c r="D433" s="16"/>
      <c r="E433" s="833"/>
      <c r="F433" s="10"/>
      <c r="G433" s="9">
        <f>SUM(G432:G432)</f>
        <v>420</v>
      </c>
      <c r="H433" s="601" t="s">
        <v>2321</v>
      </c>
    </row>
    <row r="434" spans="1:8" s="670" customFormat="1">
      <c r="A434" s="673"/>
      <c r="B434" s="673">
        <v>19</v>
      </c>
      <c r="C434" s="700" t="s">
        <v>2003</v>
      </c>
      <c r="D434" s="700"/>
      <c r="E434" s="673"/>
      <c r="F434" s="673"/>
      <c r="G434" s="38"/>
      <c r="H434" s="601" t="s">
        <v>2321</v>
      </c>
    </row>
    <row r="435" spans="1:8" s="670" customFormat="1">
      <c r="A435" s="691"/>
      <c r="B435" s="673"/>
      <c r="C435" s="696" t="s">
        <v>380</v>
      </c>
      <c r="D435" s="16" t="s">
        <v>275</v>
      </c>
      <c r="E435" s="833">
        <v>1</v>
      </c>
      <c r="F435" s="10">
        <f>'MINI SSR 21-22'!C96</f>
        <v>73</v>
      </c>
      <c r="G435" s="9">
        <f>(E435*F435)/1</f>
        <v>73</v>
      </c>
      <c r="H435" s="601" t="s">
        <v>2321</v>
      </c>
    </row>
    <row r="436" spans="1:8" s="670" customFormat="1">
      <c r="A436" s="691"/>
      <c r="B436" s="673"/>
      <c r="C436" s="696"/>
      <c r="D436" s="16"/>
      <c r="E436" s="833"/>
      <c r="F436" s="10"/>
      <c r="G436" s="9">
        <f>SUM(G435:G435)</f>
        <v>73</v>
      </c>
      <c r="H436" s="601" t="s">
        <v>2321</v>
      </c>
    </row>
    <row r="437" spans="1:8" s="670" customFormat="1" ht="51">
      <c r="A437" s="673"/>
      <c r="B437" s="673">
        <v>20</v>
      </c>
      <c r="C437" s="700" t="s">
        <v>601</v>
      </c>
      <c r="D437" s="700"/>
      <c r="E437" s="673"/>
      <c r="F437" s="673"/>
      <c r="G437" s="38"/>
      <c r="H437" s="601" t="s">
        <v>2321</v>
      </c>
    </row>
    <row r="438" spans="1:8" s="670" customFormat="1">
      <c r="A438" s="691"/>
      <c r="B438" s="673"/>
      <c r="C438" s="696" t="s">
        <v>602</v>
      </c>
      <c r="D438" s="16" t="s">
        <v>279</v>
      </c>
      <c r="E438" s="833">
        <v>1</v>
      </c>
      <c r="F438" s="10">
        <f>'MINI SSR 21-22'!C97</f>
        <v>92</v>
      </c>
      <c r="G438" s="9">
        <f>(E438*F438)/1</f>
        <v>92</v>
      </c>
      <c r="H438" s="601" t="s">
        <v>2321</v>
      </c>
    </row>
    <row r="439" spans="1:8" s="670" customFormat="1">
      <c r="A439" s="691"/>
      <c r="B439" s="673"/>
      <c r="C439" s="696"/>
      <c r="D439" s="16"/>
      <c r="E439" s="833"/>
      <c r="F439" s="10"/>
      <c r="G439" s="9">
        <f>SUM(G438:G438)</f>
        <v>92</v>
      </c>
      <c r="H439" s="601" t="s">
        <v>2321</v>
      </c>
    </row>
    <row r="440" spans="1:8" s="670" customFormat="1" ht="102">
      <c r="A440" s="673"/>
      <c r="B440" s="673">
        <v>21</v>
      </c>
      <c r="C440" s="700" t="s">
        <v>381</v>
      </c>
      <c r="D440" s="700"/>
      <c r="E440" s="673"/>
      <c r="F440" s="673"/>
      <c r="G440" s="38"/>
      <c r="H440" s="601" t="s">
        <v>2321</v>
      </c>
    </row>
    <row r="441" spans="1:8" s="670" customFormat="1">
      <c r="A441" s="691"/>
      <c r="B441" s="673"/>
      <c r="C441" s="624" t="s">
        <v>382</v>
      </c>
      <c r="D441" s="16" t="s">
        <v>115</v>
      </c>
      <c r="E441" s="833">
        <v>1</v>
      </c>
      <c r="F441" s="10">
        <f>'MINI SSR 21-22'!C98</f>
        <v>4950</v>
      </c>
      <c r="G441" s="9">
        <f>(E441*F441)/1</f>
        <v>4950</v>
      </c>
      <c r="H441" s="601" t="s">
        <v>2321</v>
      </c>
    </row>
    <row r="442" spans="1:8" s="670" customFormat="1">
      <c r="A442" s="691"/>
      <c r="B442" s="673"/>
      <c r="C442" s="696"/>
      <c r="D442" s="16"/>
      <c r="E442" s="833"/>
      <c r="F442" s="10"/>
      <c r="G442" s="9">
        <f>SUM(G441:G441)</f>
        <v>4950</v>
      </c>
      <c r="H442" s="601" t="s">
        <v>2321</v>
      </c>
    </row>
    <row r="443" spans="1:8" s="620" customFormat="1" ht="15">
      <c r="A443" s="832"/>
      <c r="B443" s="832"/>
      <c r="C443" s="624"/>
      <c r="D443" s="617"/>
      <c r="E443" s="631"/>
      <c r="F443" s="622"/>
      <c r="G443" s="630"/>
      <c r="H443" s="601" t="s">
        <v>2321</v>
      </c>
    </row>
    <row r="444" spans="1:8" s="620" customFormat="1" ht="24">
      <c r="A444" s="793"/>
      <c r="B444" s="793">
        <v>12</v>
      </c>
      <c r="C444" s="421" t="s">
        <v>718</v>
      </c>
      <c r="D444" s="816"/>
      <c r="E444" s="795"/>
      <c r="F444" s="795"/>
      <c r="G444" s="816"/>
      <c r="H444" s="601" t="s">
        <v>2321</v>
      </c>
    </row>
    <row r="445" spans="1:8" s="620" customFormat="1" ht="15">
      <c r="A445" s="793"/>
      <c r="B445" s="793"/>
      <c r="C445" s="794" t="s">
        <v>338</v>
      </c>
      <c r="D445" s="795" t="s">
        <v>115</v>
      </c>
      <c r="E445" s="796">
        <v>1</v>
      </c>
      <c r="F445" s="797">
        <f>'MINI SSR 21-22'!C75</f>
        <v>89</v>
      </c>
      <c r="G445" s="801">
        <f>ROUND(E445*F445,2)</f>
        <v>89</v>
      </c>
      <c r="H445" s="601" t="s">
        <v>2321</v>
      </c>
    </row>
    <row r="446" spans="1:8" s="620" customFormat="1" ht="15">
      <c r="A446" s="793"/>
      <c r="B446" s="793"/>
      <c r="C446" s="794"/>
      <c r="D446" s="795"/>
      <c r="E446" s="796"/>
      <c r="F446" s="797"/>
      <c r="G446" s="798">
        <f>SUM(G445:G445)</f>
        <v>89</v>
      </c>
      <c r="H446" s="601" t="s">
        <v>2321</v>
      </c>
    </row>
    <row r="447" spans="1:8" s="620" customFormat="1" ht="15">
      <c r="A447" s="793"/>
      <c r="B447" s="793"/>
      <c r="C447" s="794" t="s">
        <v>2320</v>
      </c>
      <c r="D447" s="795"/>
      <c r="E447" s="796"/>
      <c r="F447" s="797"/>
      <c r="G447" s="798"/>
      <c r="H447" s="601" t="s">
        <v>2322</v>
      </c>
    </row>
    <row r="448" spans="1:8" s="366" customFormat="1" ht="72">
      <c r="A448" s="793"/>
      <c r="B448" s="799">
        <v>11</v>
      </c>
      <c r="C448" s="800" t="s">
        <v>328</v>
      </c>
      <c r="D448" s="800"/>
      <c r="E448" s="800"/>
      <c r="F448" s="800"/>
      <c r="G448" s="801"/>
      <c r="H448" s="601" t="s">
        <v>2322</v>
      </c>
    </row>
    <row r="449" spans="1:8" s="366" customFormat="1">
      <c r="A449" s="793"/>
      <c r="B449" s="799"/>
      <c r="C449" s="421" t="s">
        <v>329</v>
      </c>
      <c r="D449" s="802" t="s">
        <v>115</v>
      </c>
      <c r="E449" s="802">
        <v>1</v>
      </c>
      <c r="F449" s="803">
        <f>'MINI SSR 2022-23'!C66</f>
        <v>1979</v>
      </c>
      <c r="G449" s="801">
        <f>ROUND(E449*F449,2)</f>
        <v>1979</v>
      </c>
      <c r="H449" s="601" t="s">
        <v>2322</v>
      </c>
    </row>
    <row r="450" spans="1:8" s="366" customFormat="1">
      <c r="A450" s="793"/>
      <c r="B450" s="799"/>
      <c r="C450" s="421" t="s">
        <v>330</v>
      </c>
      <c r="D450" s="802" t="s">
        <v>115</v>
      </c>
      <c r="E450" s="802">
        <v>1</v>
      </c>
      <c r="F450" s="803">
        <f>'MINI SSR 2022-23'!C67</f>
        <v>2468</v>
      </c>
      <c r="G450" s="801">
        <f>ROUND(E450*F450,2)</f>
        <v>2468</v>
      </c>
      <c r="H450" s="601" t="s">
        <v>2322</v>
      </c>
    </row>
    <row r="451" spans="1:8" s="366" customFormat="1">
      <c r="A451" s="793"/>
      <c r="B451" s="799"/>
      <c r="C451" s="421" t="s">
        <v>331</v>
      </c>
      <c r="D451" s="802" t="s">
        <v>115</v>
      </c>
      <c r="E451" s="802">
        <v>1</v>
      </c>
      <c r="F451" s="803">
        <f>'MINI SSR 2022-23'!C68</f>
        <v>850</v>
      </c>
      <c r="G451" s="801">
        <f>ROUND(E451*F451,2)</f>
        <v>850</v>
      </c>
      <c r="H451" s="601" t="s">
        <v>2322</v>
      </c>
    </row>
    <row r="452" spans="1:8">
      <c r="A452" s="793"/>
      <c r="B452" s="799"/>
      <c r="C452" s="421"/>
      <c r="D452" s="802"/>
      <c r="E452" s="802"/>
      <c r="F452" s="803"/>
      <c r="G452" s="801">
        <f>SUM(G449:G451)</f>
        <v>5297</v>
      </c>
      <c r="H452" s="601" t="s">
        <v>2322</v>
      </c>
    </row>
    <row r="453" spans="1:8">
      <c r="A453" s="793"/>
      <c r="B453" s="799"/>
      <c r="C453" s="804" t="s">
        <v>332</v>
      </c>
      <c r="D453" s="805"/>
      <c r="E453" s="806"/>
      <c r="F453" s="806"/>
      <c r="G453" s="807">
        <v>0</v>
      </c>
      <c r="H453" s="601" t="s">
        <v>2322</v>
      </c>
    </row>
    <row r="454" spans="1:8">
      <c r="A454" s="793"/>
      <c r="B454" s="799"/>
      <c r="C454" s="421"/>
      <c r="D454" s="802"/>
      <c r="E454" s="802"/>
      <c r="F454" s="803"/>
      <c r="G454" s="801">
        <f>SUM(G452:G453)</f>
        <v>5297</v>
      </c>
      <c r="H454" s="601" t="s">
        <v>2322</v>
      </c>
    </row>
    <row r="455" spans="1:8" s="366" customFormat="1" ht="36">
      <c r="A455" s="793"/>
      <c r="B455" s="799">
        <v>2</v>
      </c>
      <c r="C455" s="800" t="s">
        <v>608</v>
      </c>
      <c r="D455" s="800"/>
      <c r="E455" s="800"/>
      <c r="F455" s="800"/>
      <c r="G455" s="801"/>
      <c r="H455" s="601" t="s">
        <v>2322</v>
      </c>
    </row>
    <row r="456" spans="1:8" s="366" customFormat="1">
      <c r="A456" s="793"/>
      <c r="B456" s="799"/>
      <c r="C456" s="421" t="s">
        <v>609</v>
      </c>
      <c r="D456" s="802" t="s">
        <v>115</v>
      </c>
      <c r="E456" s="802">
        <v>1</v>
      </c>
      <c r="F456" s="803">
        <f>'MINI SSR 2022-23'!C69</f>
        <v>1036</v>
      </c>
      <c r="G456" s="801">
        <f>ROUND(E456*F456,2)</f>
        <v>1036</v>
      </c>
      <c r="H456" s="601" t="s">
        <v>2322</v>
      </c>
    </row>
    <row r="457" spans="1:8">
      <c r="A457" s="793"/>
      <c r="B457" s="799"/>
      <c r="C457" s="421"/>
      <c r="D457" s="802"/>
      <c r="E457" s="802"/>
      <c r="F457" s="803"/>
      <c r="G457" s="801">
        <f>SUM(G456)</f>
        <v>1036</v>
      </c>
      <c r="H457" s="601" t="s">
        <v>2322</v>
      </c>
    </row>
    <row r="458" spans="1:8" s="366" customFormat="1" ht="60">
      <c r="A458" s="793"/>
      <c r="B458" s="799">
        <v>2</v>
      </c>
      <c r="C458" s="800" t="s">
        <v>1254</v>
      </c>
      <c r="D458" s="800"/>
      <c r="E458" s="800"/>
      <c r="F458" s="800"/>
      <c r="G458" s="801"/>
      <c r="H458" s="601" t="s">
        <v>2322</v>
      </c>
    </row>
    <row r="459" spans="1:8" s="366" customFormat="1">
      <c r="A459" s="793"/>
      <c r="B459" s="799"/>
      <c r="C459" s="421" t="s">
        <v>1255</v>
      </c>
      <c r="D459" s="802" t="s">
        <v>115</v>
      </c>
      <c r="E459" s="802">
        <v>1</v>
      </c>
      <c r="F459" s="803">
        <f>'MINI SSR 2022-23'!C70</f>
        <v>2644</v>
      </c>
      <c r="G459" s="801">
        <f>ROUND(E459*F459,2)</f>
        <v>2644</v>
      </c>
      <c r="H459" s="601" t="s">
        <v>2322</v>
      </c>
    </row>
    <row r="460" spans="1:8">
      <c r="A460" s="793"/>
      <c r="B460" s="799"/>
      <c r="C460" s="421"/>
      <c r="D460" s="802"/>
      <c r="E460" s="802"/>
      <c r="F460" s="803"/>
      <c r="G460" s="801">
        <f>SUM(G459)</f>
        <v>2644</v>
      </c>
      <c r="H460" s="601" t="s">
        <v>2322</v>
      </c>
    </row>
    <row r="461" spans="1:8" s="813" customFormat="1" ht="152.25" customHeight="1">
      <c r="A461" s="808"/>
      <c r="B461" s="808">
        <v>12</v>
      </c>
      <c r="C461" s="809" t="s">
        <v>333</v>
      </c>
      <c r="D461" s="810"/>
      <c r="E461" s="809"/>
      <c r="F461" s="811"/>
      <c r="G461" s="812"/>
      <c r="H461" s="601" t="s">
        <v>2322</v>
      </c>
    </row>
    <row r="462" spans="1:8" s="813" customFormat="1">
      <c r="A462" s="808"/>
      <c r="B462" s="808"/>
      <c r="C462" s="814" t="s">
        <v>334</v>
      </c>
      <c r="D462" s="802" t="s">
        <v>115</v>
      </c>
      <c r="E462" s="802">
        <v>1</v>
      </c>
      <c r="F462" s="803">
        <f>'MINI SSR 2022-23'!C71</f>
        <v>1519</v>
      </c>
      <c r="G462" s="801">
        <f>ROUND(E462*F462,2)</f>
        <v>1519</v>
      </c>
      <c r="H462" s="601" t="s">
        <v>2322</v>
      </c>
    </row>
    <row r="463" spans="1:8" s="813" customFormat="1">
      <c r="A463" s="808"/>
      <c r="B463" s="808"/>
      <c r="C463" s="814" t="s">
        <v>335</v>
      </c>
      <c r="D463" s="802" t="s">
        <v>115</v>
      </c>
      <c r="E463" s="802">
        <v>1</v>
      </c>
      <c r="F463" s="803">
        <f>'MINI SSR 2022-23'!C72</f>
        <v>387</v>
      </c>
      <c r="G463" s="801">
        <f>ROUND(E463*F463,2)</f>
        <v>387</v>
      </c>
      <c r="H463" s="601" t="s">
        <v>2322</v>
      </c>
    </row>
    <row r="464" spans="1:8" s="813" customFormat="1" ht="24">
      <c r="A464" s="808"/>
      <c r="B464" s="808"/>
      <c r="C464" s="814" t="s">
        <v>336</v>
      </c>
      <c r="D464" s="802" t="s">
        <v>115</v>
      </c>
      <c r="E464" s="802">
        <v>1</v>
      </c>
      <c r="F464" s="803">
        <f>'MINI SSR 2022-23'!C73</f>
        <v>95</v>
      </c>
      <c r="G464" s="801">
        <f>ROUND(E464*F464,2)</f>
        <v>95</v>
      </c>
      <c r="H464" s="601" t="s">
        <v>2322</v>
      </c>
    </row>
    <row r="465" spans="1:8" s="813" customFormat="1">
      <c r="A465" s="808"/>
      <c r="B465" s="808"/>
      <c r="C465" s="814" t="s">
        <v>337</v>
      </c>
      <c r="D465" s="802" t="s">
        <v>115</v>
      </c>
      <c r="E465" s="802">
        <v>1</v>
      </c>
      <c r="F465" s="803">
        <f>'MINI SSR 2022-23'!C74</f>
        <v>24</v>
      </c>
      <c r="G465" s="801">
        <f>ROUND(E465*F465,2)</f>
        <v>24</v>
      </c>
      <c r="H465" s="601" t="s">
        <v>2322</v>
      </c>
    </row>
    <row r="466" spans="1:8" s="813" customFormat="1">
      <c r="A466" s="808"/>
      <c r="B466" s="808"/>
      <c r="C466" s="815"/>
      <c r="D466" s="802"/>
      <c r="E466" s="802"/>
      <c r="F466" s="803"/>
      <c r="G466" s="801">
        <f>SUM(G462:G465)</f>
        <v>2025</v>
      </c>
      <c r="H466" s="601" t="s">
        <v>2322</v>
      </c>
    </row>
    <row r="467" spans="1:8">
      <c r="A467" s="793"/>
      <c r="B467" s="799"/>
      <c r="C467" s="804" t="s">
        <v>332</v>
      </c>
      <c r="D467" s="805"/>
      <c r="E467" s="806"/>
      <c r="F467" s="806"/>
      <c r="G467" s="807">
        <v>0</v>
      </c>
      <c r="H467" s="601" t="s">
        <v>2322</v>
      </c>
    </row>
    <row r="468" spans="1:8">
      <c r="A468" s="793"/>
      <c r="B468" s="799"/>
      <c r="C468" s="421"/>
      <c r="D468" s="802"/>
      <c r="E468" s="802"/>
      <c r="F468" s="803"/>
      <c r="G468" s="801">
        <f>SUM(G466:G467)</f>
        <v>2025</v>
      </c>
      <c r="H468" s="601" t="s">
        <v>2322</v>
      </c>
    </row>
    <row r="469" spans="1:8" s="813" customFormat="1" ht="68.25" customHeight="1">
      <c r="A469" s="808"/>
      <c r="B469" s="808">
        <v>6</v>
      </c>
      <c r="C469" s="809" t="s">
        <v>339</v>
      </c>
      <c r="D469" s="810"/>
      <c r="E469" s="809"/>
      <c r="F469" s="811"/>
      <c r="G469" s="812"/>
      <c r="H469" s="601" t="s">
        <v>2322</v>
      </c>
    </row>
    <row r="470" spans="1:8" s="813" customFormat="1">
      <c r="A470" s="808"/>
      <c r="B470" s="808"/>
      <c r="C470" s="814" t="s">
        <v>340</v>
      </c>
      <c r="D470" s="802" t="s">
        <v>115</v>
      </c>
      <c r="E470" s="802">
        <v>1</v>
      </c>
      <c r="F470" s="803">
        <f>'MINI SSR 2022-23'!C77</f>
        <v>128</v>
      </c>
      <c r="G470" s="801">
        <f>ROUND(E470*F470,2)</f>
        <v>128</v>
      </c>
      <c r="H470" s="601" t="s">
        <v>2322</v>
      </c>
    </row>
    <row r="471" spans="1:8">
      <c r="A471" s="793"/>
      <c r="B471" s="799"/>
      <c r="C471" s="804" t="s">
        <v>332</v>
      </c>
      <c r="D471" s="805"/>
      <c r="E471" s="806"/>
      <c r="F471" s="806"/>
      <c r="G471" s="807">
        <v>0</v>
      </c>
      <c r="H471" s="601" t="s">
        <v>2322</v>
      </c>
    </row>
    <row r="472" spans="1:8">
      <c r="A472" s="793"/>
      <c r="B472" s="799"/>
      <c r="C472" s="421"/>
      <c r="D472" s="802"/>
      <c r="E472" s="802"/>
      <c r="F472" s="803"/>
      <c r="G472" s="801">
        <f>SUM(G470:G471)</f>
        <v>128</v>
      </c>
      <c r="H472" s="601" t="s">
        <v>2322</v>
      </c>
    </row>
    <row r="473" spans="1:8" s="620" customFormat="1" ht="36">
      <c r="A473" s="793"/>
      <c r="B473" s="793">
        <v>13</v>
      </c>
      <c r="C473" s="800" t="s">
        <v>341</v>
      </c>
      <c r="D473" s="800"/>
      <c r="E473" s="800"/>
      <c r="F473" s="800"/>
      <c r="G473" s="800"/>
      <c r="H473" s="601" t="s">
        <v>2322</v>
      </c>
    </row>
    <row r="474" spans="1:8" s="620" customFormat="1" ht="15">
      <c r="A474" s="793"/>
      <c r="B474" s="793"/>
      <c r="C474" s="816" t="s">
        <v>342</v>
      </c>
      <c r="D474" s="816"/>
      <c r="E474" s="817"/>
      <c r="F474" s="817"/>
      <c r="G474" s="818"/>
      <c r="H474" s="601" t="s">
        <v>2322</v>
      </c>
    </row>
    <row r="475" spans="1:8" s="620" customFormat="1" ht="15">
      <c r="A475" s="793"/>
      <c r="B475" s="793"/>
      <c r="C475" s="816" t="s">
        <v>343</v>
      </c>
      <c r="D475" s="816" t="s">
        <v>277</v>
      </c>
      <c r="E475" s="817">
        <v>1</v>
      </c>
      <c r="F475" s="817">
        <f>'MINI SSR 2022-23'!C78</f>
        <v>447</v>
      </c>
      <c r="G475" s="801">
        <f>ROUND(E475*F475,2)</f>
        <v>447</v>
      </c>
      <c r="H475" s="601" t="s">
        <v>2322</v>
      </c>
    </row>
    <row r="476" spans="1:8">
      <c r="A476" s="793"/>
      <c r="B476" s="799"/>
      <c r="C476" s="804" t="s">
        <v>332</v>
      </c>
      <c r="D476" s="805"/>
      <c r="E476" s="806"/>
      <c r="F476" s="806"/>
      <c r="G476" s="807">
        <v>0</v>
      </c>
      <c r="H476" s="601" t="s">
        <v>2322</v>
      </c>
    </row>
    <row r="477" spans="1:8" s="620" customFormat="1" ht="15">
      <c r="A477" s="793"/>
      <c r="B477" s="793"/>
      <c r="C477" s="816" t="s">
        <v>344</v>
      </c>
      <c r="D477" s="816"/>
      <c r="E477" s="816"/>
      <c r="F477" s="816"/>
      <c r="G477" s="798">
        <f>SUM(G475:G476)</f>
        <v>447</v>
      </c>
      <c r="H477" s="601" t="s">
        <v>2322</v>
      </c>
    </row>
    <row r="478" spans="1:8" s="620" customFormat="1" ht="15">
      <c r="A478" s="793"/>
      <c r="B478" s="793"/>
      <c r="C478" s="816" t="s">
        <v>345</v>
      </c>
      <c r="D478" s="816"/>
      <c r="E478" s="816"/>
      <c r="F478" s="816"/>
      <c r="G478" s="798">
        <f>G477/3</f>
        <v>149</v>
      </c>
      <c r="H478" s="601" t="s">
        <v>2322</v>
      </c>
    </row>
    <row r="479" spans="1:8" s="620" customFormat="1" ht="36">
      <c r="A479" s="793"/>
      <c r="B479" s="793">
        <v>5</v>
      </c>
      <c r="C479" s="800" t="s">
        <v>346</v>
      </c>
      <c r="D479" s="800"/>
      <c r="E479" s="800"/>
      <c r="F479" s="800"/>
      <c r="G479" s="800"/>
      <c r="H479" s="601" t="s">
        <v>2322</v>
      </c>
    </row>
    <row r="480" spans="1:8" s="620" customFormat="1" ht="15">
      <c r="A480" s="793"/>
      <c r="B480" s="793"/>
      <c r="C480" s="816" t="s">
        <v>342</v>
      </c>
      <c r="D480" s="816"/>
      <c r="E480" s="817"/>
      <c r="F480" s="817"/>
      <c r="G480" s="818"/>
      <c r="H480" s="601" t="s">
        <v>2322</v>
      </c>
    </row>
    <row r="481" spans="1:8" s="620" customFormat="1" ht="15">
      <c r="A481" s="793"/>
      <c r="B481" s="793"/>
      <c r="C481" s="816" t="s">
        <v>347</v>
      </c>
      <c r="D481" s="816" t="s">
        <v>277</v>
      </c>
      <c r="E481" s="817">
        <v>1</v>
      </c>
      <c r="F481" s="817">
        <f>'MINI SSR 2022-23'!C79</f>
        <v>425</v>
      </c>
      <c r="G481" s="801">
        <f>ROUND(E481*F481,2)</f>
        <v>425</v>
      </c>
      <c r="H481" s="601" t="s">
        <v>2322</v>
      </c>
    </row>
    <row r="482" spans="1:8">
      <c r="A482" s="793"/>
      <c r="B482" s="799"/>
      <c r="C482" s="804" t="s">
        <v>332</v>
      </c>
      <c r="D482" s="805"/>
      <c r="E482" s="806"/>
      <c r="F482" s="806"/>
      <c r="G482" s="807">
        <v>0</v>
      </c>
      <c r="H482" s="601" t="s">
        <v>2322</v>
      </c>
    </row>
    <row r="483" spans="1:8" s="620" customFormat="1" ht="15">
      <c r="A483" s="793"/>
      <c r="B483" s="793"/>
      <c r="C483" s="816" t="s">
        <v>344</v>
      </c>
      <c r="D483" s="816"/>
      <c r="E483" s="816"/>
      <c r="F483" s="816"/>
      <c r="G483" s="798">
        <f>SUM(G481:G482)</f>
        <v>425</v>
      </c>
      <c r="H483" s="601" t="s">
        <v>2322</v>
      </c>
    </row>
    <row r="484" spans="1:8" s="620" customFormat="1" ht="15">
      <c r="A484" s="793"/>
      <c r="B484" s="793"/>
      <c r="C484" s="816" t="s">
        <v>345</v>
      </c>
      <c r="D484" s="816"/>
      <c r="E484" s="816"/>
      <c r="F484" s="816"/>
      <c r="G484" s="798">
        <f>G483/3</f>
        <v>141.66666666666666</v>
      </c>
      <c r="H484" s="601" t="s">
        <v>2322</v>
      </c>
    </row>
    <row r="485" spans="1:8" s="620" customFormat="1" ht="36">
      <c r="A485" s="793"/>
      <c r="B485" s="793">
        <v>14</v>
      </c>
      <c r="C485" s="800" t="s">
        <v>348</v>
      </c>
      <c r="D485" s="800"/>
      <c r="E485" s="800"/>
      <c r="F485" s="800"/>
      <c r="G485" s="800"/>
      <c r="H485" s="601" t="s">
        <v>2322</v>
      </c>
    </row>
    <row r="486" spans="1:8" s="620" customFormat="1" ht="15">
      <c r="A486" s="793"/>
      <c r="B486" s="793"/>
      <c r="C486" s="816" t="s">
        <v>342</v>
      </c>
      <c r="D486" s="816"/>
      <c r="E486" s="817"/>
      <c r="F486" s="817"/>
      <c r="G486" s="818"/>
      <c r="H486" s="601" t="s">
        <v>2322</v>
      </c>
    </row>
    <row r="487" spans="1:8" s="620" customFormat="1" ht="15">
      <c r="A487" s="793"/>
      <c r="B487" s="793"/>
      <c r="C487" s="816" t="s">
        <v>349</v>
      </c>
      <c r="D487" s="816" t="s">
        <v>277</v>
      </c>
      <c r="E487" s="817">
        <v>1</v>
      </c>
      <c r="F487" s="817">
        <f>'MINI SSR 2022-23'!C80</f>
        <v>267</v>
      </c>
      <c r="G487" s="801">
        <f>ROUND(E487*F487,2)</f>
        <v>267</v>
      </c>
      <c r="H487" s="601" t="s">
        <v>2322</v>
      </c>
    </row>
    <row r="488" spans="1:8">
      <c r="A488" s="793"/>
      <c r="B488" s="799"/>
      <c r="C488" s="804" t="s">
        <v>332</v>
      </c>
      <c r="D488" s="805"/>
      <c r="E488" s="806"/>
      <c r="F488" s="806"/>
      <c r="G488" s="807">
        <v>0</v>
      </c>
      <c r="H488" s="601" t="s">
        <v>2322</v>
      </c>
    </row>
    <row r="489" spans="1:8" s="620" customFormat="1" ht="15">
      <c r="A489" s="793"/>
      <c r="B489" s="793"/>
      <c r="C489" s="816" t="s">
        <v>344</v>
      </c>
      <c r="D489" s="816"/>
      <c r="E489" s="816"/>
      <c r="F489" s="816"/>
      <c r="G489" s="798">
        <f>SUM(G487:G488)</f>
        <v>267</v>
      </c>
      <c r="H489" s="601" t="s">
        <v>2322</v>
      </c>
    </row>
    <row r="490" spans="1:8" s="620" customFormat="1" ht="15">
      <c r="A490" s="793"/>
      <c r="B490" s="793"/>
      <c r="C490" s="816" t="s">
        <v>345</v>
      </c>
      <c r="D490" s="816"/>
      <c r="E490" s="816"/>
      <c r="F490" s="816"/>
      <c r="G490" s="798">
        <f>G489/3</f>
        <v>89</v>
      </c>
      <c r="H490" s="601" t="s">
        <v>2322</v>
      </c>
    </row>
    <row r="491" spans="1:8" s="820" customFormat="1" ht="60">
      <c r="A491" s="793"/>
      <c r="B491" s="793">
        <v>15</v>
      </c>
      <c r="C491" s="421" t="s">
        <v>350</v>
      </c>
      <c r="D491" s="421"/>
      <c r="E491" s="793"/>
      <c r="F491" s="793"/>
      <c r="G491" s="819"/>
      <c r="H491" s="601" t="s">
        <v>2322</v>
      </c>
    </row>
    <row r="492" spans="1:8" s="820" customFormat="1">
      <c r="A492" s="800"/>
      <c r="B492" s="793"/>
      <c r="C492" s="794" t="s">
        <v>351</v>
      </c>
      <c r="D492" s="795" t="s">
        <v>279</v>
      </c>
      <c r="E492" s="796">
        <v>1</v>
      </c>
      <c r="F492" s="797">
        <f>'MINI SSR 2022-23'!C81</f>
        <v>79</v>
      </c>
      <c r="G492" s="801">
        <f>ROUND(E492*F492,2)</f>
        <v>79</v>
      </c>
      <c r="H492" s="601" t="s">
        <v>2322</v>
      </c>
    </row>
    <row r="493" spans="1:8">
      <c r="A493" s="793"/>
      <c r="B493" s="799"/>
      <c r="C493" s="804" t="s">
        <v>332</v>
      </c>
      <c r="D493" s="805"/>
      <c r="E493" s="806"/>
      <c r="F493" s="806"/>
      <c r="G493" s="807">
        <v>0</v>
      </c>
      <c r="H493" s="601" t="s">
        <v>2322</v>
      </c>
    </row>
    <row r="494" spans="1:8" s="820" customFormat="1">
      <c r="A494" s="800"/>
      <c r="B494" s="793"/>
      <c r="C494" s="794"/>
      <c r="D494" s="795"/>
      <c r="E494" s="796"/>
      <c r="F494" s="797"/>
      <c r="G494" s="798">
        <f>SUM(G492:G493)</f>
        <v>79</v>
      </c>
      <c r="H494" s="601" t="s">
        <v>2322</v>
      </c>
    </row>
    <row r="495" spans="1:8" s="620" customFormat="1" ht="24">
      <c r="A495" s="793"/>
      <c r="B495" s="793">
        <v>11</v>
      </c>
      <c r="C495" s="421" t="s">
        <v>685</v>
      </c>
      <c r="D495" s="816"/>
      <c r="E495" s="795"/>
      <c r="F495" s="795"/>
      <c r="G495" s="816"/>
      <c r="H495" s="601" t="s">
        <v>2322</v>
      </c>
    </row>
    <row r="496" spans="1:8" s="620" customFormat="1" ht="15">
      <c r="A496" s="793"/>
      <c r="B496" s="793"/>
      <c r="C496" s="794" t="s">
        <v>686</v>
      </c>
      <c r="D496" s="795" t="s">
        <v>115</v>
      </c>
      <c r="E496" s="796">
        <v>1</v>
      </c>
      <c r="F496" s="797">
        <f>'MINI SSR 2022-23'!C82</f>
        <v>1644</v>
      </c>
      <c r="G496" s="801">
        <f>ROUND(E496*F496,2)</f>
        <v>1644</v>
      </c>
      <c r="H496" s="601" t="s">
        <v>2322</v>
      </c>
    </row>
    <row r="497" spans="1:8">
      <c r="A497" s="793"/>
      <c r="B497" s="799"/>
      <c r="C497" s="804" t="s">
        <v>332</v>
      </c>
      <c r="D497" s="805"/>
      <c r="E497" s="806"/>
      <c r="F497" s="806"/>
      <c r="G497" s="807">
        <v>0</v>
      </c>
      <c r="H497" s="601" t="s">
        <v>2322</v>
      </c>
    </row>
    <row r="498" spans="1:8" s="620" customFormat="1" ht="15">
      <c r="A498" s="793"/>
      <c r="B498" s="793"/>
      <c r="C498" s="794"/>
      <c r="D498" s="795"/>
      <c r="E498" s="796"/>
      <c r="F498" s="797"/>
      <c r="G498" s="798">
        <f>SUM(G496:G497)</f>
        <v>1644</v>
      </c>
      <c r="H498" s="601" t="s">
        <v>2322</v>
      </c>
    </row>
    <row r="499" spans="1:8" s="620" customFormat="1" ht="48">
      <c r="A499" s="793"/>
      <c r="B499" s="793">
        <v>16</v>
      </c>
      <c r="C499" s="421" t="s">
        <v>352</v>
      </c>
      <c r="D499" s="816"/>
      <c r="E499" s="795"/>
      <c r="F499" s="795"/>
      <c r="G499" s="816"/>
      <c r="H499" s="601" t="s">
        <v>2322</v>
      </c>
    </row>
    <row r="500" spans="1:8" s="620" customFormat="1" ht="15">
      <c r="A500" s="793"/>
      <c r="B500" s="793"/>
      <c r="C500" s="794" t="s">
        <v>353</v>
      </c>
      <c r="D500" s="795" t="s">
        <v>115</v>
      </c>
      <c r="E500" s="796">
        <v>1</v>
      </c>
      <c r="F500" s="797">
        <f>'MINI SSR 2022-23'!C72</f>
        <v>387</v>
      </c>
      <c r="G500" s="801">
        <f>ROUND(E500*F500,2)</f>
        <v>387</v>
      </c>
      <c r="H500" s="601" t="s">
        <v>2322</v>
      </c>
    </row>
    <row r="501" spans="1:8">
      <c r="A501" s="793"/>
      <c r="B501" s="799"/>
      <c r="C501" s="804" t="s">
        <v>332</v>
      </c>
      <c r="D501" s="805"/>
      <c r="E501" s="806"/>
      <c r="F501" s="806"/>
      <c r="G501" s="807">
        <v>0</v>
      </c>
      <c r="H501" s="601" t="s">
        <v>2322</v>
      </c>
    </row>
    <row r="502" spans="1:8" s="620" customFormat="1" ht="15">
      <c r="A502" s="793"/>
      <c r="B502" s="793"/>
      <c r="C502" s="794"/>
      <c r="D502" s="795"/>
      <c r="E502" s="796"/>
      <c r="F502" s="797"/>
      <c r="G502" s="798">
        <f>SUM(G500:G501)</f>
        <v>387</v>
      </c>
      <c r="H502" s="601" t="s">
        <v>2322</v>
      </c>
    </row>
    <row r="503" spans="1:8" s="620" customFormat="1" ht="72">
      <c r="A503" s="793"/>
      <c r="B503" s="793">
        <v>13</v>
      </c>
      <c r="C503" s="421" t="s">
        <v>354</v>
      </c>
      <c r="D503" s="816"/>
      <c r="E503" s="795"/>
      <c r="F503" s="795"/>
      <c r="G503" s="816"/>
      <c r="H503" s="601" t="s">
        <v>2322</v>
      </c>
    </row>
    <row r="504" spans="1:8" s="620" customFormat="1" ht="15">
      <c r="A504" s="793"/>
      <c r="B504" s="793"/>
      <c r="C504" s="794" t="s">
        <v>355</v>
      </c>
      <c r="D504" s="795" t="s">
        <v>115</v>
      </c>
      <c r="E504" s="796">
        <v>1</v>
      </c>
      <c r="F504" s="797">
        <f>'MINI SSR 2022-23'!C83</f>
        <v>4166</v>
      </c>
      <c r="G504" s="801">
        <f>ROUND(E504*F504,2)</f>
        <v>4166</v>
      </c>
      <c r="H504" s="601" t="s">
        <v>2322</v>
      </c>
    </row>
    <row r="505" spans="1:8">
      <c r="A505" s="793"/>
      <c r="B505" s="799"/>
      <c r="C505" s="804" t="s">
        <v>332</v>
      </c>
      <c r="D505" s="805"/>
      <c r="E505" s="806"/>
      <c r="F505" s="806"/>
      <c r="G505" s="807">
        <v>0</v>
      </c>
      <c r="H505" s="601" t="s">
        <v>2322</v>
      </c>
    </row>
    <row r="506" spans="1:8" s="620" customFormat="1" ht="15">
      <c r="A506" s="793"/>
      <c r="B506" s="793"/>
      <c r="C506" s="794"/>
      <c r="D506" s="795"/>
      <c r="E506" s="796"/>
      <c r="F506" s="797"/>
      <c r="G506" s="798">
        <f>SUM(G504:G505)</f>
        <v>4166</v>
      </c>
      <c r="H506" s="601" t="s">
        <v>2322</v>
      </c>
    </row>
    <row r="507" spans="1:8" s="620" customFormat="1" ht="60">
      <c r="A507" s="793"/>
      <c r="B507" s="793">
        <v>17</v>
      </c>
      <c r="C507" s="421" t="s">
        <v>290</v>
      </c>
      <c r="D507" s="800"/>
      <c r="E507" s="793"/>
      <c r="F507" s="793"/>
      <c r="G507" s="819"/>
      <c r="H507" s="601" t="s">
        <v>2322</v>
      </c>
    </row>
    <row r="508" spans="1:8" s="620" customFormat="1" ht="15">
      <c r="A508" s="793"/>
      <c r="B508" s="793"/>
      <c r="C508" s="794" t="s">
        <v>356</v>
      </c>
      <c r="D508" s="795" t="s">
        <v>357</v>
      </c>
      <c r="E508" s="797">
        <v>1</v>
      </c>
      <c r="F508" s="797">
        <f>'MINI SSR 2022-23'!H66</f>
        <v>8.5</v>
      </c>
      <c r="G508" s="801">
        <f>ROUND(E508*F508,2)</f>
        <v>8.5</v>
      </c>
      <c r="H508" s="601" t="s">
        <v>2322</v>
      </c>
    </row>
    <row r="509" spans="1:8" s="620" customFormat="1" ht="15">
      <c r="A509" s="793"/>
      <c r="B509" s="821"/>
      <c r="C509" s="794" t="s">
        <v>358</v>
      </c>
      <c r="D509" s="795" t="s">
        <v>357</v>
      </c>
      <c r="E509" s="797">
        <v>1</v>
      </c>
      <c r="F509" s="797">
        <f>'MINI SSR 2022-23'!H67</f>
        <v>1</v>
      </c>
      <c r="G509" s="801">
        <f>ROUND(E509*F509,2)</f>
        <v>1</v>
      </c>
      <c r="H509" s="601" t="s">
        <v>2322</v>
      </c>
    </row>
    <row r="510" spans="1:8" s="620" customFormat="1" ht="15">
      <c r="A510" s="793"/>
      <c r="B510" s="821"/>
      <c r="C510" s="794"/>
      <c r="D510" s="795"/>
      <c r="E510" s="797"/>
      <c r="F510" s="797"/>
      <c r="G510" s="798">
        <f>SUM(G508:G509)</f>
        <v>9.5</v>
      </c>
      <c r="H510" s="601" t="s">
        <v>2322</v>
      </c>
    </row>
    <row r="511" spans="1:8">
      <c r="A511" s="793"/>
      <c r="B511" s="799"/>
      <c r="C511" s="804" t="s">
        <v>332</v>
      </c>
      <c r="D511" s="805"/>
      <c r="E511" s="806"/>
      <c r="F511" s="806"/>
      <c r="G511" s="807">
        <v>0</v>
      </c>
      <c r="H511" s="601" t="s">
        <v>2322</v>
      </c>
    </row>
    <row r="512" spans="1:8" s="620" customFormat="1" ht="15">
      <c r="A512" s="793"/>
      <c r="B512" s="821"/>
      <c r="C512" s="794"/>
      <c r="D512" s="795"/>
      <c r="E512" s="797"/>
      <c r="F512" s="797"/>
      <c r="G512" s="798">
        <f>SUM(G510:G511)</f>
        <v>9.5</v>
      </c>
      <c r="H512" s="601" t="s">
        <v>2322</v>
      </c>
    </row>
    <row r="513" spans="1:8" s="620" customFormat="1" ht="72">
      <c r="A513" s="793"/>
      <c r="B513" s="793">
        <v>18</v>
      </c>
      <c r="C513" s="421" t="s">
        <v>276</v>
      </c>
      <c r="D513" s="421"/>
      <c r="E513" s="421"/>
      <c r="F513" s="793"/>
      <c r="G513" s="819"/>
      <c r="H513" s="601" t="s">
        <v>2322</v>
      </c>
    </row>
    <row r="514" spans="1:8" s="620" customFormat="1" ht="15">
      <c r="A514" s="793"/>
      <c r="B514" s="793"/>
      <c r="C514" s="421" t="s">
        <v>359</v>
      </c>
      <c r="D514" s="816" t="s">
        <v>277</v>
      </c>
      <c r="E514" s="817">
        <v>1</v>
      </c>
      <c r="F514" s="797">
        <f>'MINI SSR 2022-23'!H68</f>
        <v>59</v>
      </c>
      <c r="G514" s="801">
        <f>ROUND(E514*F514,2)</f>
        <v>59</v>
      </c>
      <c r="H514" s="601" t="s">
        <v>2322</v>
      </c>
    </row>
    <row r="515" spans="1:8">
      <c r="A515" s="793"/>
      <c r="B515" s="799"/>
      <c r="C515" s="804" t="s">
        <v>332</v>
      </c>
      <c r="D515" s="805"/>
      <c r="E515" s="806"/>
      <c r="F515" s="806"/>
      <c r="G515" s="807">
        <v>0</v>
      </c>
      <c r="H515" s="601" t="s">
        <v>2322</v>
      </c>
    </row>
    <row r="516" spans="1:8" s="620" customFormat="1" ht="15">
      <c r="A516" s="793"/>
      <c r="B516" s="821"/>
      <c r="C516" s="794"/>
      <c r="D516" s="795"/>
      <c r="E516" s="797"/>
      <c r="F516" s="797"/>
      <c r="G516" s="818">
        <f>SUM(G514:G515)</f>
        <v>59</v>
      </c>
      <c r="H516" s="601" t="s">
        <v>2322</v>
      </c>
    </row>
    <row r="517" spans="1:8" s="620" customFormat="1" ht="15">
      <c r="A517" s="793"/>
      <c r="B517" s="793"/>
      <c r="C517" s="421" t="s">
        <v>360</v>
      </c>
      <c r="D517" s="816" t="s">
        <v>277</v>
      </c>
      <c r="E517" s="817">
        <v>1</v>
      </c>
      <c r="F517" s="797">
        <f>'MINI SSR 2022-23'!H69</f>
        <v>94</v>
      </c>
      <c r="G517" s="801">
        <f>ROUND(E517*F517,2)</f>
        <v>94</v>
      </c>
      <c r="H517" s="601" t="s">
        <v>2322</v>
      </c>
    </row>
    <row r="518" spans="1:8">
      <c r="A518" s="793"/>
      <c r="B518" s="799"/>
      <c r="C518" s="804" t="s">
        <v>332</v>
      </c>
      <c r="D518" s="805"/>
      <c r="E518" s="806"/>
      <c r="F518" s="806"/>
      <c r="G518" s="807">
        <v>0</v>
      </c>
      <c r="H518" s="601" t="s">
        <v>2322</v>
      </c>
    </row>
    <row r="519" spans="1:8" s="620" customFormat="1" ht="15">
      <c r="A519" s="793"/>
      <c r="B519" s="821"/>
      <c r="C519" s="794"/>
      <c r="D519" s="795"/>
      <c r="E519" s="797"/>
      <c r="F519" s="797"/>
      <c r="G519" s="818">
        <f>SUM(G517:G518)</f>
        <v>94</v>
      </c>
      <c r="H519" s="601" t="s">
        <v>2322</v>
      </c>
    </row>
    <row r="520" spans="1:8" s="620" customFormat="1" ht="15">
      <c r="A520" s="793"/>
      <c r="B520" s="793"/>
      <c r="C520" s="421" t="s">
        <v>3242</v>
      </c>
      <c r="D520" s="816" t="s">
        <v>277</v>
      </c>
      <c r="E520" s="817">
        <v>1</v>
      </c>
      <c r="F520" s="797">
        <f>'MINI SSR 2022-23'!H70</f>
        <v>136</v>
      </c>
      <c r="G520" s="801">
        <f>ROUND(E520*F520,2)</f>
        <v>136</v>
      </c>
      <c r="H520" s="601" t="s">
        <v>2322</v>
      </c>
    </row>
    <row r="521" spans="1:8">
      <c r="A521" s="793"/>
      <c r="B521" s="799"/>
      <c r="C521" s="804" t="s">
        <v>332</v>
      </c>
      <c r="D521" s="805"/>
      <c r="E521" s="806"/>
      <c r="F521" s="806"/>
      <c r="G521" s="807">
        <v>0</v>
      </c>
      <c r="H521" s="601" t="s">
        <v>2322</v>
      </c>
    </row>
    <row r="522" spans="1:8" s="620" customFormat="1" ht="15">
      <c r="A522" s="793"/>
      <c r="B522" s="821"/>
      <c r="C522" s="794"/>
      <c r="D522" s="795"/>
      <c r="E522" s="797"/>
      <c r="F522" s="797"/>
      <c r="G522" s="818">
        <f>SUM(G520:G521)</f>
        <v>136</v>
      </c>
      <c r="H522" s="601" t="s">
        <v>2322</v>
      </c>
    </row>
    <row r="523" spans="1:8" s="620" customFormat="1" ht="15">
      <c r="A523" s="793"/>
      <c r="B523" s="793"/>
      <c r="C523" s="421" t="s">
        <v>362</v>
      </c>
      <c r="D523" s="816" t="s">
        <v>277</v>
      </c>
      <c r="E523" s="817">
        <v>1</v>
      </c>
      <c r="F523" s="797">
        <f>'MINI SSR 2022-23'!H71</f>
        <v>214</v>
      </c>
      <c r="G523" s="801">
        <f>ROUND(E523*F523,2)</f>
        <v>214</v>
      </c>
      <c r="H523" s="601" t="s">
        <v>2322</v>
      </c>
    </row>
    <row r="524" spans="1:8">
      <c r="A524" s="793"/>
      <c r="B524" s="799"/>
      <c r="C524" s="804" t="s">
        <v>332</v>
      </c>
      <c r="D524" s="805"/>
      <c r="E524" s="806"/>
      <c r="F524" s="806"/>
      <c r="G524" s="807">
        <v>0</v>
      </c>
      <c r="H524" s="601" t="s">
        <v>2322</v>
      </c>
    </row>
    <row r="525" spans="1:8" s="620" customFormat="1" ht="15">
      <c r="A525" s="793"/>
      <c r="B525" s="821"/>
      <c r="C525" s="794"/>
      <c r="D525" s="795"/>
      <c r="E525" s="797"/>
      <c r="F525" s="797"/>
      <c r="G525" s="818">
        <f>SUM(G523:G524)</f>
        <v>214</v>
      </c>
      <c r="H525" s="601" t="s">
        <v>2322</v>
      </c>
    </row>
    <row r="526" spans="1:8" s="820" customFormat="1" ht="48">
      <c r="A526" s="793"/>
      <c r="B526" s="793">
        <v>16</v>
      </c>
      <c r="C526" s="421" t="s">
        <v>1262</v>
      </c>
      <c r="D526" s="421"/>
      <c r="E526" s="793"/>
      <c r="F526" s="793"/>
      <c r="G526" s="819"/>
      <c r="H526" s="601" t="s">
        <v>2322</v>
      </c>
    </row>
    <row r="527" spans="1:8" s="820" customFormat="1">
      <c r="A527" s="800"/>
      <c r="B527" s="793"/>
      <c r="C527" s="794" t="s">
        <v>380</v>
      </c>
      <c r="D527" s="795" t="s">
        <v>279</v>
      </c>
      <c r="E527" s="796">
        <v>1</v>
      </c>
      <c r="F527" s="797">
        <f>'MINI SSR 2022-23'!H72</f>
        <v>35</v>
      </c>
      <c r="G527" s="801">
        <f>ROUND(E527*F527,2)</f>
        <v>35</v>
      </c>
      <c r="H527" s="601" t="s">
        <v>2322</v>
      </c>
    </row>
    <row r="528" spans="1:8">
      <c r="A528" s="793"/>
      <c r="B528" s="799"/>
      <c r="C528" s="804" t="s">
        <v>332</v>
      </c>
      <c r="D528" s="805"/>
      <c r="E528" s="806"/>
      <c r="F528" s="806"/>
      <c r="G528" s="807">
        <v>0</v>
      </c>
      <c r="H528" s="601" t="s">
        <v>2322</v>
      </c>
    </row>
    <row r="529" spans="1:8" s="820" customFormat="1">
      <c r="A529" s="800"/>
      <c r="B529" s="793"/>
      <c r="C529" s="794"/>
      <c r="D529" s="795"/>
      <c r="E529" s="796"/>
      <c r="F529" s="797"/>
      <c r="G529" s="798">
        <f>SUM(G527:G528)</f>
        <v>35</v>
      </c>
      <c r="H529" s="601" t="s">
        <v>2322</v>
      </c>
    </row>
    <row r="530" spans="1:8" s="820" customFormat="1" ht="72">
      <c r="A530" s="793"/>
      <c r="B530" s="793">
        <v>19</v>
      </c>
      <c r="C530" s="421" t="s">
        <v>363</v>
      </c>
      <c r="D530" s="421"/>
      <c r="E530" s="793"/>
      <c r="F530" s="793"/>
      <c r="G530" s="819"/>
      <c r="H530" s="601" t="s">
        <v>2322</v>
      </c>
    </row>
    <row r="531" spans="1:8" s="820" customFormat="1">
      <c r="A531" s="800"/>
      <c r="B531" s="793"/>
      <c r="C531" s="794" t="s">
        <v>364</v>
      </c>
      <c r="D531" s="795" t="s">
        <v>279</v>
      </c>
      <c r="E531" s="796">
        <v>1</v>
      </c>
      <c r="F531" s="797">
        <f>'MINI SSR 2022-23'!H73</f>
        <v>33</v>
      </c>
      <c r="G531" s="801">
        <f>ROUND(E531*F531,2)</f>
        <v>33</v>
      </c>
      <c r="H531" s="601" t="s">
        <v>2322</v>
      </c>
    </row>
    <row r="532" spans="1:8">
      <c r="A532" s="793"/>
      <c r="B532" s="799"/>
      <c r="C532" s="804" t="s">
        <v>332</v>
      </c>
      <c r="D532" s="805"/>
      <c r="E532" s="806"/>
      <c r="F532" s="806"/>
      <c r="G532" s="807">
        <v>0</v>
      </c>
      <c r="H532" s="601" t="s">
        <v>2322</v>
      </c>
    </row>
    <row r="533" spans="1:8" s="820" customFormat="1">
      <c r="A533" s="800"/>
      <c r="B533" s="793"/>
      <c r="C533" s="794"/>
      <c r="D533" s="795"/>
      <c r="E533" s="796"/>
      <c r="F533" s="797"/>
      <c r="G533" s="798">
        <f>SUM(G531:G532)</f>
        <v>33</v>
      </c>
      <c r="H533" s="601" t="s">
        <v>2322</v>
      </c>
    </row>
    <row r="534" spans="1:8" s="620" customFormat="1" ht="48">
      <c r="A534" s="793"/>
      <c r="B534" s="793">
        <v>18</v>
      </c>
      <c r="C534" s="421" t="s">
        <v>365</v>
      </c>
      <c r="D534" s="800"/>
      <c r="E534" s="793"/>
      <c r="F534" s="793"/>
      <c r="G534" s="819"/>
      <c r="H534" s="601" t="s">
        <v>2322</v>
      </c>
    </row>
    <row r="535" spans="1:8" s="620" customFormat="1" ht="15">
      <c r="A535" s="793"/>
      <c r="B535" s="793"/>
      <c r="C535" s="794" t="s">
        <v>366</v>
      </c>
      <c r="D535" s="795" t="s">
        <v>115</v>
      </c>
      <c r="E535" s="797">
        <v>1</v>
      </c>
      <c r="F535" s="797">
        <f>'MINI SSR 2022-23'!H74</f>
        <v>1165</v>
      </c>
      <c r="G535" s="801">
        <f>ROUND(E535*F535,2)</f>
        <v>1165</v>
      </c>
      <c r="H535" s="601" t="s">
        <v>2322</v>
      </c>
    </row>
    <row r="536" spans="1:8">
      <c r="A536" s="793"/>
      <c r="B536" s="799"/>
      <c r="C536" s="804" t="s">
        <v>332</v>
      </c>
      <c r="D536" s="805"/>
      <c r="E536" s="806"/>
      <c r="F536" s="806"/>
      <c r="G536" s="807">
        <v>0</v>
      </c>
      <c r="H536" s="601" t="s">
        <v>2322</v>
      </c>
    </row>
    <row r="537" spans="1:8" s="620" customFormat="1" ht="15">
      <c r="A537" s="793"/>
      <c r="B537" s="821"/>
      <c r="C537" s="794"/>
      <c r="D537" s="795"/>
      <c r="E537" s="797"/>
      <c r="F537" s="797"/>
      <c r="G537" s="798">
        <f>SUM(G535:G536)</f>
        <v>1165</v>
      </c>
      <c r="H537" s="601" t="s">
        <v>2322</v>
      </c>
    </row>
    <row r="538" spans="1:8" s="820" customFormat="1" ht="108">
      <c r="A538" s="822"/>
      <c r="B538" s="793">
        <v>19</v>
      </c>
      <c r="C538" s="800" t="s">
        <v>367</v>
      </c>
      <c r="D538" s="800"/>
      <c r="E538" s="800"/>
      <c r="F538" s="800"/>
      <c r="G538" s="823"/>
      <c r="H538" s="601" t="s">
        <v>2322</v>
      </c>
    </row>
    <row r="539" spans="1:8" s="820" customFormat="1">
      <c r="A539" s="824"/>
      <c r="B539" s="821"/>
      <c r="C539" s="825" t="s">
        <v>368</v>
      </c>
      <c r="D539" s="826"/>
      <c r="E539" s="826"/>
      <c r="F539" s="827"/>
      <c r="G539" s="828"/>
      <c r="H539" s="601" t="s">
        <v>2322</v>
      </c>
    </row>
    <row r="540" spans="1:8" s="820" customFormat="1">
      <c r="A540" s="824"/>
      <c r="B540" s="793"/>
      <c r="C540" s="824" t="s">
        <v>369</v>
      </c>
      <c r="D540" s="827" t="s">
        <v>370</v>
      </c>
      <c r="E540" s="826">
        <v>1</v>
      </c>
      <c r="F540" s="826">
        <f>'MINI SSR 2022-23'!C78</f>
        <v>447</v>
      </c>
      <c r="G540" s="801">
        <f t="shared" ref="G540:G545" si="5">ROUND(E540*F540,2)</f>
        <v>447</v>
      </c>
      <c r="H540" s="601" t="s">
        <v>2322</v>
      </c>
    </row>
    <row r="541" spans="1:8" s="820" customFormat="1">
      <c r="A541" s="824"/>
      <c r="B541" s="793"/>
      <c r="C541" s="829" t="s">
        <v>371</v>
      </c>
      <c r="D541" s="827" t="s">
        <v>115</v>
      </c>
      <c r="E541" s="826">
        <v>1</v>
      </c>
      <c r="F541" s="826">
        <f>'MINI SSR 2022-23'!H75</f>
        <v>77</v>
      </c>
      <c r="G541" s="801">
        <f t="shared" si="5"/>
        <v>77</v>
      </c>
      <c r="H541" s="601" t="s">
        <v>2322</v>
      </c>
    </row>
    <row r="542" spans="1:8" s="820" customFormat="1">
      <c r="A542" s="824"/>
      <c r="B542" s="793"/>
      <c r="C542" s="829" t="s">
        <v>372</v>
      </c>
      <c r="D542" s="827" t="s">
        <v>115</v>
      </c>
      <c r="E542" s="826">
        <v>3</v>
      </c>
      <c r="F542" s="826">
        <f>'MINI SSR 2022-23'!H76</f>
        <v>17</v>
      </c>
      <c r="G542" s="801">
        <f t="shared" si="5"/>
        <v>51</v>
      </c>
      <c r="H542" s="601" t="s">
        <v>2322</v>
      </c>
    </row>
    <row r="543" spans="1:8" s="820" customFormat="1">
      <c r="A543" s="824"/>
      <c r="B543" s="793"/>
      <c r="C543" s="830" t="s">
        <v>373</v>
      </c>
      <c r="D543" s="827" t="s">
        <v>108</v>
      </c>
      <c r="E543" s="826">
        <v>0.3</v>
      </c>
      <c r="F543" s="826">
        <f>'MINI SSR 2022-23'!H8</f>
        <v>705</v>
      </c>
      <c r="G543" s="801">
        <f t="shared" si="5"/>
        <v>211.5</v>
      </c>
      <c r="H543" s="601" t="s">
        <v>2322</v>
      </c>
    </row>
    <row r="544" spans="1:8" s="820" customFormat="1">
      <c r="A544" s="824"/>
      <c r="B544" s="793"/>
      <c r="C544" s="830" t="s">
        <v>374</v>
      </c>
      <c r="D544" s="827" t="s">
        <v>108</v>
      </c>
      <c r="E544" s="826">
        <v>0.7</v>
      </c>
      <c r="F544" s="826">
        <f>'MINI SSR 2022-23'!H9</f>
        <v>565</v>
      </c>
      <c r="G544" s="801">
        <f t="shared" si="5"/>
        <v>395.5</v>
      </c>
      <c r="H544" s="601" t="s">
        <v>2322</v>
      </c>
    </row>
    <row r="545" spans="1:8" s="820" customFormat="1">
      <c r="A545" s="824"/>
      <c r="B545" s="793"/>
      <c r="C545" s="830" t="s">
        <v>375</v>
      </c>
      <c r="D545" s="827" t="s">
        <v>108</v>
      </c>
      <c r="E545" s="826">
        <v>1</v>
      </c>
      <c r="F545" s="826">
        <f>'MINI SSR 2022-23'!H5</f>
        <v>525</v>
      </c>
      <c r="G545" s="801">
        <f t="shared" si="5"/>
        <v>525</v>
      </c>
      <c r="H545" s="601" t="s">
        <v>2322</v>
      </c>
    </row>
    <row r="546" spans="1:8" s="820" customFormat="1">
      <c r="A546" s="824"/>
      <c r="B546" s="793"/>
      <c r="C546" s="830"/>
      <c r="D546" s="827"/>
      <c r="E546" s="826"/>
      <c r="F546" s="826"/>
      <c r="G546" s="828">
        <f>SUM(G540:G545)</f>
        <v>1707</v>
      </c>
      <c r="H546" s="601" t="s">
        <v>2322</v>
      </c>
    </row>
    <row r="547" spans="1:8">
      <c r="A547" s="793"/>
      <c r="B547" s="799"/>
      <c r="C547" s="804" t="s">
        <v>332</v>
      </c>
      <c r="D547" s="805"/>
      <c r="E547" s="806"/>
      <c r="F547" s="806"/>
      <c r="G547" s="807">
        <v>0</v>
      </c>
      <c r="H547" s="601" t="s">
        <v>2322</v>
      </c>
    </row>
    <row r="548" spans="1:8" s="820" customFormat="1">
      <c r="A548" s="824"/>
      <c r="B548" s="821"/>
      <c r="C548" s="830" t="s">
        <v>376</v>
      </c>
      <c r="D548" s="827"/>
      <c r="E548" s="826"/>
      <c r="F548" s="826"/>
      <c r="G548" s="828">
        <f>SUM(G546:G547)</f>
        <v>1707</v>
      </c>
      <c r="H548" s="601" t="s">
        <v>2322</v>
      </c>
    </row>
    <row r="549" spans="1:8" s="820" customFormat="1">
      <c r="A549" s="824"/>
      <c r="B549" s="821"/>
      <c r="C549" s="830" t="s">
        <v>377</v>
      </c>
      <c r="D549" s="827"/>
      <c r="E549" s="826"/>
      <c r="F549" s="826"/>
      <c r="G549" s="831">
        <f>G548/3</f>
        <v>569</v>
      </c>
      <c r="H549" s="601" t="s">
        <v>2322</v>
      </c>
    </row>
    <row r="550" spans="1:8" s="670" customFormat="1" ht="113.25" customHeight="1">
      <c r="A550" s="832"/>
      <c r="B550" s="832">
        <v>11</v>
      </c>
      <c r="C550" s="700" t="s">
        <v>595</v>
      </c>
      <c r="D550" s="700"/>
      <c r="E550" s="673"/>
      <c r="F550" s="673"/>
      <c r="G550" s="38"/>
      <c r="H550" s="601" t="s">
        <v>2322</v>
      </c>
    </row>
    <row r="551" spans="1:8" s="670" customFormat="1">
      <c r="A551" s="691"/>
      <c r="B551" s="673"/>
      <c r="C551" s="696" t="s">
        <v>596</v>
      </c>
      <c r="D551" s="16" t="s">
        <v>279</v>
      </c>
      <c r="E551" s="833">
        <v>1</v>
      </c>
      <c r="F551" s="10">
        <f>'MINI SSR 2022-23'!C86</f>
        <v>446.4</v>
      </c>
      <c r="G551" s="9">
        <f>(E551*F551)/1</f>
        <v>446.4</v>
      </c>
      <c r="H551" s="601" t="s">
        <v>2322</v>
      </c>
    </row>
    <row r="552" spans="1:8" s="670" customFormat="1">
      <c r="A552" s="691"/>
      <c r="B552" s="673"/>
      <c r="C552" s="696"/>
      <c r="D552" s="16"/>
      <c r="E552" s="833"/>
      <c r="F552" s="10"/>
      <c r="G552" s="9"/>
      <c r="H552" s="601" t="s">
        <v>2322</v>
      </c>
    </row>
    <row r="553" spans="1:8" s="670" customFormat="1">
      <c r="A553" s="691"/>
      <c r="B553" s="673"/>
      <c r="C553" s="696" t="s">
        <v>597</v>
      </c>
      <c r="D553" s="16" t="s">
        <v>279</v>
      </c>
      <c r="E553" s="833">
        <v>1</v>
      </c>
      <c r="F553" s="10">
        <f>'MINI SSR 2022-23'!C87</f>
        <v>477.6</v>
      </c>
      <c r="G553" s="9">
        <f>(E553*F553)/1</f>
        <v>477.6</v>
      </c>
      <c r="H553" s="601" t="s">
        <v>2322</v>
      </c>
    </row>
    <row r="554" spans="1:8" s="670" customFormat="1">
      <c r="A554" s="691"/>
      <c r="B554" s="673"/>
      <c r="C554" s="696"/>
      <c r="D554" s="16"/>
      <c r="E554" s="833"/>
      <c r="F554" s="10"/>
      <c r="G554" s="9"/>
      <c r="H554" s="601" t="s">
        <v>2322</v>
      </c>
    </row>
    <row r="555" spans="1:8" s="670" customFormat="1">
      <c r="A555" s="691"/>
      <c r="B555" s="673"/>
      <c r="C555" s="696" t="s">
        <v>598</v>
      </c>
      <c r="D555" s="16" t="s">
        <v>279</v>
      </c>
      <c r="E555" s="833">
        <v>1</v>
      </c>
      <c r="F555" s="10">
        <f>'MINI SSR 2022-23'!C88</f>
        <v>535.70000000000005</v>
      </c>
      <c r="G555" s="9">
        <f>(E555*F555)/1</f>
        <v>535.70000000000005</v>
      </c>
      <c r="H555" s="601" t="s">
        <v>2322</v>
      </c>
    </row>
    <row r="556" spans="1:8" s="670" customFormat="1">
      <c r="A556" s="691"/>
      <c r="B556" s="673"/>
      <c r="C556" s="696"/>
      <c r="D556" s="16"/>
      <c r="E556" s="833"/>
      <c r="F556" s="10"/>
      <c r="G556" s="9"/>
      <c r="H556" s="601" t="s">
        <v>2322</v>
      </c>
    </row>
    <row r="557" spans="1:8" s="670" customFormat="1" ht="51">
      <c r="A557" s="673"/>
      <c r="B557" s="673">
        <v>12</v>
      </c>
      <c r="C557" s="700" t="s">
        <v>592</v>
      </c>
      <c r="D557" s="700"/>
      <c r="E557" s="673"/>
      <c r="F557" s="673"/>
      <c r="G557" s="38"/>
      <c r="H557" s="601" t="s">
        <v>2322</v>
      </c>
    </row>
    <row r="558" spans="1:8" s="670" customFormat="1">
      <c r="A558" s="691"/>
      <c r="B558" s="673"/>
      <c r="C558" s="696" t="s">
        <v>599</v>
      </c>
      <c r="D558" s="16" t="s">
        <v>275</v>
      </c>
      <c r="E558" s="833">
        <v>1</v>
      </c>
      <c r="F558" s="10">
        <f>'MINI SSR 2022-23'!C89</f>
        <v>26730</v>
      </c>
      <c r="G558" s="9">
        <f>(E558*F558)/1</f>
        <v>26730</v>
      </c>
      <c r="H558" s="601" t="s">
        <v>2322</v>
      </c>
    </row>
    <row r="559" spans="1:8" s="670" customFormat="1">
      <c r="A559" s="691"/>
      <c r="B559" s="673"/>
      <c r="C559" s="696"/>
      <c r="D559" s="16"/>
      <c r="E559" s="833"/>
      <c r="F559" s="10"/>
      <c r="G559" s="9">
        <f>SUM(G558:G558)</f>
        <v>26730</v>
      </c>
      <c r="H559" s="601" t="s">
        <v>2322</v>
      </c>
    </row>
    <row r="560" spans="1:8" s="670" customFormat="1" ht="51">
      <c r="A560" s="673"/>
      <c r="B560" s="673">
        <v>13</v>
      </c>
      <c r="C560" s="700" t="s">
        <v>1536</v>
      </c>
      <c r="D560" s="700"/>
      <c r="E560" s="673"/>
      <c r="F560" s="673"/>
      <c r="G560" s="38"/>
      <c r="H560" s="601" t="s">
        <v>2322</v>
      </c>
    </row>
    <row r="561" spans="1:8" s="670" customFormat="1">
      <c r="A561" s="691"/>
      <c r="B561" s="673"/>
      <c r="C561" s="696" t="s">
        <v>1571</v>
      </c>
      <c r="D561" s="16" t="s">
        <v>275</v>
      </c>
      <c r="E561" s="833">
        <v>1</v>
      </c>
      <c r="F561" s="10">
        <f>'MINI SSR 2022-23'!C90</f>
        <v>18370</v>
      </c>
      <c r="G561" s="9">
        <f>(E561*F561)/1</f>
        <v>18370</v>
      </c>
      <c r="H561" s="601" t="s">
        <v>2322</v>
      </c>
    </row>
    <row r="562" spans="1:8" s="670" customFormat="1">
      <c r="A562" s="691"/>
      <c r="B562" s="673"/>
      <c r="C562" s="696"/>
      <c r="D562" s="16"/>
      <c r="E562" s="833"/>
      <c r="F562" s="10"/>
      <c r="G562" s="9">
        <f>SUM(G561:G561)</f>
        <v>18370</v>
      </c>
      <c r="H562" s="601" t="s">
        <v>2322</v>
      </c>
    </row>
    <row r="563" spans="1:8" s="670" customFormat="1" ht="51">
      <c r="A563" s="673"/>
      <c r="B563" s="673">
        <v>14</v>
      </c>
      <c r="C563" s="700" t="s">
        <v>600</v>
      </c>
      <c r="D563" s="700"/>
      <c r="E563" s="673"/>
      <c r="F563" s="673"/>
      <c r="G563" s="38"/>
      <c r="H563" s="601" t="s">
        <v>2322</v>
      </c>
    </row>
    <row r="564" spans="1:8" s="670" customFormat="1">
      <c r="A564" s="691"/>
      <c r="B564" s="673"/>
      <c r="C564" s="700" t="s">
        <v>378</v>
      </c>
      <c r="D564" s="16" t="s">
        <v>289</v>
      </c>
      <c r="E564" s="833">
        <v>1</v>
      </c>
      <c r="F564" s="10">
        <f>'MINI SSR 2022-23'!C91</f>
        <v>325</v>
      </c>
      <c r="G564" s="9">
        <f>(E564*F564)/1</f>
        <v>325</v>
      </c>
      <c r="H564" s="601" t="s">
        <v>2322</v>
      </c>
    </row>
    <row r="565" spans="1:8" s="670" customFormat="1">
      <c r="A565" s="691"/>
      <c r="B565" s="673"/>
      <c r="C565" s="696"/>
      <c r="D565" s="16"/>
      <c r="E565" s="833"/>
      <c r="F565" s="10"/>
      <c r="G565" s="9">
        <f>SUM(G564:G564)</f>
        <v>325</v>
      </c>
      <c r="H565" s="601" t="s">
        <v>2322</v>
      </c>
    </row>
    <row r="566" spans="1:8" s="670" customFormat="1" ht="38.25">
      <c r="A566" s="673"/>
      <c r="B566" s="673">
        <v>15</v>
      </c>
      <c r="C566" s="357" t="s">
        <v>283</v>
      </c>
      <c r="D566" s="357"/>
      <c r="E566" s="832"/>
      <c r="F566" s="832"/>
      <c r="G566" s="834"/>
      <c r="H566" s="601" t="s">
        <v>2322</v>
      </c>
    </row>
    <row r="567" spans="1:8" s="670" customFormat="1">
      <c r="A567" s="691"/>
      <c r="B567" s="673"/>
      <c r="C567" s="624" t="s">
        <v>379</v>
      </c>
      <c r="D567" s="617" t="s">
        <v>279</v>
      </c>
      <c r="E567" s="631">
        <v>1</v>
      </c>
      <c r="F567" s="622">
        <f>'MINI SSR 2022-23'!C92</f>
        <v>85</v>
      </c>
      <c r="G567" s="630">
        <f>(E567*F567)/1</f>
        <v>85</v>
      </c>
      <c r="H567" s="601" t="s">
        <v>2322</v>
      </c>
    </row>
    <row r="568" spans="1:8" s="670" customFormat="1">
      <c r="A568" s="691"/>
      <c r="B568" s="673"/>
      <c r="C568" s="624"/>
      <c r="D568" s="617"/>
      <c r="E568" s="631"/>
      <c r="F568" s="622"/>
      <c r="G568" s="630">
        <f>SUM(G567:G567)</f>
        <v>85</v>
      </c>
      <c r="H568" s="601" t="s">
        <v>2322</v>
      </c>
    </row>
    <row r="569" spans="1:8" s="670" customFormat="1">
      <c r="A569" s="673"/>
      <c r="B569" s="673">
        <v>16</v>
      </c>
      <c r="C569" s="700" t="s">
        <v>287</v>
      </c>
      <c r="D569" s="700"/>
      <c r="E569" s="673"/>
      <c r="F569" s="673"/>
      <c r="G569" s="38"/>
      <c r="H569" s="601" t="s">
        <v>2322</v>
      </c>
    </row>
    <row r="570" spans="1:8" s="670" customFormat="1">
      <c r="A570" s="691"/>
      <c r="B570" s="673"/>
      <c r="C570" s="696" t="s">
        <v>380</v>
      </c>
      <c r="D570" s="16" t="s">
        <v>275</v>
      </c>
      <c r="E570" s="833">
        <v>1</v>
      </c>
      <c r="F570" s="10">
        <f>'MINI SSR 2022-23'!C93</f>
        <v>194</v>
      </c>
      <c r="G570" s="9">
        <f>(E570*F570)/1</f>
        <v>194</v>
      </c>
      <c r="H570" s="601" t="s">
        <v>2322</v>
      </c>
    </row>
    <row r="571" spans="1:8" s="670" customFormat="1">
      <c r="A571" s="691"/>
      <c r="B571" s="673"/>
      <c r="C571" s="696"/>
      <c r="D571" s="16"/>
      <c r="E571" s="833"/>
      <c r="F571" s="10"/>
      <c r="G571" s="9">
        <f>SUM(G570:G570)</f>
        <v>194</v>
      </c>
      <c r="H571" s="601" t="s">
        <v>2322</v>
      </c>
    </row>
    <row r="572" spans="1:8" s="670" customFormat="1">
      <c r="A572" s="673"/>
      <c r="B572" s="673">
        <v>17</v>
      </c>
      <c r="C572" s="700" t="s">
        <v>284</v>
      </c>
      <c r="D572" s="700"/>
      <c r="E572" s="673"/>
      <c r="F572" s="673"/>
      <c r="G572" s="38"/>
      <c r="H572" s="601" t="s">
        <v>2322</v>
      </c>
    </row>
    <row r="573" spans="1:8" s="670" customFormat="1">
      <c r="A573" s="691"/>
      <c r="B573" s="673"/>
      <c r="C573" s="696" t="s">
        <v>380</v>
      </c>
      <c r="D573" s="16" t="s">
        <v>275</v>
      </c>
      <c r="E573" s="833">
        <v>1</v>
      </c>
      <c r="F573" s="10">
        <f>'MINI SSR 2022-23'!C94</f>
        <v>300</v>
      </c>
      <c r="G573" s="9">
        <f>(E573*F573)/1</f>
        <v>300</v>
      </c>
      <c r="H573" s="601" t="s">
        <v>2322</v>
      </c>
    </row>
    <row r="574" spans="1:8" s="670" customFormat="1">
      <c r="A574" s="691"/>
      <c r="B574" s="673"/>
      <c r="C574" s="696"/>
      <c r="D574" s="16"/>
      <c r="E574" s="833"/>
      <c r="F574" s="10"/>
      <c r="G574" s="9">
        <f>SUM(G573:G573)</f>
        <v>300</v>
      </c>
      <c r="H574" s="601" t="s">
        <v>2322</v>
      </c>
    </row>
    <row r="575" spans="1:8" s="670" customFormat="1">
      <c r="A575" s="673"/>
      <c r="B575" s="673">
        <v>18</v>
      </c>
      <c r="C575" s="700" t="s">
        <v>2002</v>
      </c>
      <c r="D575" s="700"/>
      <c r="E575" s="673"/>
      <c r="F575" s="673"/>
      <c r="G575" s="38"/>
      <c r="H575" s="601" t="s">
        <v>2322</v>
      </c>
    </row>
    <row r="576" spans="1:8" s="670" customFormat="1">
      <c r="A576" s="691"/>
      <c r="B576" s="673"/>
      <c r="C576" s="696" t="s">
        <v>379</v>
      </c>
      <c r="D576" s="16" t="s">
        <v>279</v>
      </c>
      <c r="E576" s="833">
        <v>1</v>
      </c>
      <c r="F576" s="10">
        <f>'MINI SSR 2022-23'!C95</f>
        <v>400</v>
      </c>
      <c r="G576" s="9">
        <f>(E576*F576)/1</f>
        <v>400</v>
      </c>
      <c r="H576" s="601" t="s">
        <v>2322</v>
      </c>
    </row>
    <row r="577" spans="1:8" s="670" customFormat="1">
      <c r="A577" s="691"/>
      <c r="B577" s="673"/>
      <c r="C577" s="696"/>
      <c r="D577" s="16"/>
      <c r="E577" s="833"/>
      <c r="F577" s="10"/>
      <c r="G577" s="9">
        <f>SUM(G576:G576)</f>
        <v>400</v>
      </c>
      <c r="H577" s="601" t="s">
        <v>2322</v>
      </c>
    </row>
    <row r="578" spans="1:8" s="670" customFormat="1">
      <c r="A578" s="673"/>
      <c r="B578" s="673">
        <v>19</v>
      </c>
      <c r="C578" s="700" t="s">
        <v>2003</v>
      </c>
      <c r="D578" s="700"/>
      <c r="E578" s="673"/>
      <c r="F578" s="673"/>
      <c r="G578" s="38"/>
      <c r="H578" s="601" t="s">
        <v>2322</v>
      </c>
    </row>
    <row r="579" spans="1:8" s="670" customFormat="1">
      <c r="A579" s="691"/>
      <c r="B579" s="673"/>
      <c r="C579" s="696" t="s">
        <v>380</v>
      </c>
      <c r="D579" s="16" t="s">
        <v>275</v>
      </c>
      <c r="E579" s="833">
        <v>1</v>
      </c>
      <c r="F579" s="10">
        <f>'MINI SSR 2022-23'!C96</f>
        <v>77</v>
      </c>
      <c r="G579" s="9">
        <f>(E579*F579)/1</f>
        <v>77</v>
      </c>
      <c r="H579" s="601" t="s">
        <v>2322</v>
      </c>
    </row>
    <row r="580" spans="1:8" s="670" customFormat="1">
      <c r="A580" s="691"/>
      <c r="B580" s="673"/>
      <c r="C580" s="696"/>
      <c r="D580" s="16"/>
      <c r="E580" s="833"/>
      <c r="F580" s="10"/>
      <c r="G580" s="9">
        <f>SUM(G579:G579)</f>
        <v>77</v>
      </c>
      <c r="H580" s="601" t="s">
        <v>2322</v>
      </c>
    </row>
    <row r="581" spans="1:8" s="670" customFormat="1" ht="51">
      <c r="A581" s="673"/>
      <c r="B581" s="673">
        <v>20</v>
      </c>
      <c r="C581" s="700" t="s">
        <v>601</v>
      </c>
      <c r="D581" s="700"/>
      <c r="E581" s="673"/>
      <c r="F581" s="673"/>
      <c r="G581" s="38"/>
      <c r="H581" s="601" t="s">
        <v>2322</v>
      </c>
    </row>
    <row r="582" spans="1:8" s="670" customFormat="1">
      <c r="A582" s="691"/>
      <c r="B582" s="673"/>
      <c r="C582" s="696" t="s">
        <v>602</v>
      </c>
      <c r="D582" s="16" t="s">
        <v>279</v>
      </c>
      <c r="E582" s="833">
        <v>1</v>
      </c>
      <c r="F582" s="10">
        <f>'MINI SSR 2022-23'!C97</f>
        <v>105</v>
      </c>
      <c r="G582" s="9">
        <f>(E582*F582)/1</f>
        <v>105</v>
      </c>
      <c r="H582" s="601" t="s">
        <v>2322</v>
      </c>
    </row>
    <row r="583" spans="1:8" s="670" customFormat="1">
      <c r="A583" s="691"/>
      <c r="B583" s="673"/>
      <c r="C583" s="696"/>
      <c r="D583" s="16"/>
      <c r="E583" s="833"/>
      <c r="F583" s="10"/>
      <c r="G583" s="9">
        <f>SUM(G582:G582)</f>
        <v>105</v>
      </c>
      <c r="H583" s="601" t="s">
        <v>2322</v>
      </c>
    </row>
    <row r="584" spans="1:8" s="670" customFormat="1" ht="102">
      <c r="A584" s="673"/>
      <c r="B584" s="673">
        <v>21</v>
      </c>
      <c r="C584" s="700" t="s">
        <v>381</v>
      </c>
      <c r="D584" s="700"/>
      <c r="E584" s="673"/>
      <c r="F584" s="673"/>
      <c r="G584" s="38"/>
      <c r="H584" s="601" t="s">
        <v>2322</v>
      </c>
    </row>
    <row r="585" spans="1:8" s="670" customFormat="1">
      <c r="A585" s="691"/>
      <c r="B585" s="673"/>
      <c r="C585" s="624" t="s">
        <v>382</v>
      </c>
      <c r="D585" s="16" t="s">
        <v>115</v>
      </c>
      <c r="E585" s="833">
        <v>1</v>
      </c>
      <c r="F585" s="10">
        <f>'MINI SSR 2022-23'!C98</f>
        <v>5445</v>
      </c>
      <c r="G585" s="9">
        <f>(E585*F585)/1</f>
        <v>5445</v>
      </c>
      <c r="H585" s="601" t="s">
        <v>2322</v>
      </c>
    </row>
    <row r="586" spans="1:8" s="670" customFormat="1">
      <c r="A586" s="691"/>
      <c r="B586" s="673"/>
      <c r="C586" s="696"/>
      <c r="D586" s="16"/>
      <c r="E586" s="833"/>
      <c r="F586" s="10"/>
      <c r="G586" s="9">
        <f>SUM(G585:G585)</f>
        <v>5445</v>
      </c>
      <c r="H586" s="601" t="s">
        <v>2322</v>
      </c>
    </row>
    <row r="587" spans="1:8" s="620" customFormat="1" ht="15">
      <c r="A587" s="832"/>
      <c r="B587" s="832"/>
      <c r="C587" s="624"/>
      <c r="D587" s="617"/>
      <c r="E587" s="631"/>
      <c r="F587" s="622"/>
      <c r="G587" s="630"/>
      <c r="H587" s="601" t="s">
        <v>2322</v>
      </c>
    </row>
    <row r="588" spans="1:8" s="620" customFormat="1" ht="24">
      <c r="A588" s="793"/>
      <c r="B588" s="793">
        <v>20</v>
      </c>
      <c r="C588" s="421" t="s">
        <v>718</v>
      </c>
      <c r="D588" s="816"/>
      <c r="E588" s="795"/>
      <c r="F588" s="795"/>
      <c r="G588" s="816"/>
      <c r="H588" s="601" t="s">
        <v>2322</v>
      </c>
    </row>
    <row r="589" spans="1:8" s="620" customFormat="1" ht="15">
      <c r="A589" s="793"/>
      <c r="B589" s="793"/>
      <c r="C589" s="794" t="s">
        <v>338</v>
      </c>
      <c r="D589" s="795" t="s">
        <v>115</v>
      </c>
      <c r="E589" s="796">
        <v>1</v>
      </c>
      <c r="F589" s="797">
        <f>'MINI SSR 2022-23'!C75</f>
        <v>93</v>
      </c>
      <c r="G589" s="801">
        <f>ROUND(E589*F589,2)</f>
        <v>93</v>
      </c>
      <c r="H589" s="601" t="s">
        <v>2322</v>
      </c>
    </row>
    <row r="590" spans="1:8" s="620" customFormat="1" ht="15">
      <c r="A590" s="793"/>
      <c r="B590" s="793"/>
      <c r="C590" s="794"/>
      <c r="D590" s="795"/>
      <c r="E590" s="796"/>
      <c r="F590" s="797"/>
      <c r="G590" s="798">
        <f>SUM(G589:G589)</f>
        <v>93</v>
      </c>
      <c r="H590" s="601" t="s">
        <v>2322</v>
      </c>
    </row>
    <row r="591" spans="1:8" s="841" customFormat="1" ht="11.25">
      <c r="A591" s="835"/>
      <c r="B591" s="836"/>
      <c r="C591" s="837"/>
      <c r="D591" s="838"/>
      <c r="E591" s="839"/>
      <c r="F591" s="838"/>
      <c r="G591" s="840"/>
    </row>
    <row r="592" spans="1:8" s="841" customFormat="1" ht="11.25">
      <c r="A592" s="835"/>
      <c r="B592" s="836"/>
      <c r="C592" s="837"/>
      <c r="D592" s="838"/>
      <c r="E592" s="839"/>
      <c r="F592" s="838"/>
      <c r="G592" s="840"/>
    </row>
    <row r="593" spans="1:7" s="841" customFormat="1" ht="11.25">
      <c r="A593" s="835"/>
      <c r="B593" s="836"/>
      <c r="C593" s="842" t="str">
        <f>'lead 19-20'!H31</f>
        <v>Deputy Executive Engineer</v>
      </c>
      <c r="D593" s="838"/>
      <c r="E593" s="839"/>
      <c r="F593" s="838" t="str">
        <f>'lead 19-20'!K31</f>
        <v>Assistant  Engineer</v>
      </c>
      <c r="G593" s="840"/>
    </row>
    <row r="594" spans="1:7">
      <c r="A594" s="745"/>
      <c r="C594" s="842" t="str">
        <f>'lead 19-20'!H32</f>
        <v>PRI Sub Division</v>
      </c>
      <c r="D594" s="879"/>
      <c r="E594" s="879"/>
      <c r="F594" s="838" t="str">
        <f>'lead 19-20'!K32</f>
        <v>Mandal Praja parishad</v>
      </c>
      <c r="G594" s="843"/>
    </row>
    <row r="595" spans="1:7">
      <c r="A595" s="745"/>
      <c r="C595" s="842" t="str">
        <f>'lead 19-20'!H33</f>
        <v>Kanigiri</v>
      </c>
      <c r="D595" s="879"/>
      <c r="E595" s="879"/>
      <c r="F595" s="838" t="str">
        <f>'lead 19-20'!K33</f>
        <v>Kanigiri</v>
      </c>
      <c r="G595" s="843"/>
    </row>
  </sheetData>
  <autoFilter ref="A3:G590"/>
  <mergeCells count="1">
    <mergeCell ref="B1:F1"/>
  </mergeCells>
  <printOptions horizontalCentered="1"/>
  <pageMargins left="0.2" right="0.2" top="0.25" bottom="0.25" header="0.3" footer="0.3"/>
  <pageSetup paperSize="9" orientation="portrait" verticalDpi="300" r:id="rId1"/>
</worksheet>
</file>

<file path=xl/worksheets/sheet24.xml><?xml version="1.0" encoding="utf-8"?>
<worksheet xmlns="http://schemas.openxmlformats.org/spreadsheetml/2006/main" xmlns:r="http://schemas.openxmlformats.org/officeDocument/2006/relationships">
  <sheetPr filterMode="1">
    <tabColor rgb="FF00B050"/>
  </sheetPr>
  <dimension ref="A1:J1134"/>
  <sheetViews>
    <sheetView view="pageBreakPreview" topLeftCell="A253" zoomScaleSheetLayoutView="100" workbookViewId="0">
      <selection activeCell="C1131" sqref="A1131:XFD1131"/>
    </sheetView>
  </sheetViews>
  <sheetFormatPr defaultColWidth="9.140625" defaultRowHeight="12.75"/>
  <cols>
    <col min="1" max="1" width="9.140625" style="1262"/>
    <col min="2" max="2" width="5.140625" style="1313" customWidth="1"/>
    <col min="3" max="3" width="45.5703125" style="1262" customWidth="1"/>
    <col min="4" max="4" width="9.140625" style="1262"/>
    <col min="5" max="5" width="4.7109375" style="1262" customWidth="1"/>
    <col min="6" max="6" width="3.28515625" style="1262" customWidth="1"/>
    <col min="7" max="7" width="5" style="1262" customWidth="1"/>
    <col min="8" max="8" width="9.5703125" style="1262" bestFit="1" customWidth="1"/>
    <col min="9" max="9" width="9.140625" style="1262"/>
    <col min="10" max="10" width="9.140625" style="1261"/>
    <col min="11" max="16384" width="9.140625" style="1262"/>
  </cols>
  <sheetData>
    <row r="1" spans="1:10" ht="18.75">
      <c r="A1" s="1894" t="s">
        <v>2304</v>
      </c>
      <c r="B1" s="1894"/>
      <c r="C1" s="1894"/>
      <c r="D1" s="1894"/>
      <c r="E1" s="1894"/>
      <c r="F1" s="1894"/>
      <c r="G1" s="1894"/>
      <c r="H1" s="1894"/>
      <c r="I1" s="1894"/>
    </row>
    <row r="2" spans="1:10" ht="32.25" customHeight="1">
      <c r="A2" s="1765" t="s">
        <v>321</v>
      </c>
      <c r="B2" s="1765" t="s">
        <v>23</v>
      </c>
      <c r="C2" s="1765" t="s">
        <v>322</v>
      </c>
      <c r="D2" s="1895" t="s">
        <v>6</v>
      </c>
      <c r="E2" s="1895"/>
      <c r="F2" s="1896" t="s">
        <v>383</v>
      </c>
      <c r="G2" s="1896"/>
      <c r="H2" s="1766" t="s">
        <v>323</v>
      </c>
      <c r="I2" s="1766" t="s">
        <v>324</v>
      </c>
    </row>
    <row r="3" spans="1:10" s="1261" customFormat="1" ht="18" customHeight="1">
      <c r="A3" s="1765">
        <v>1</v>
      </c>
      <c r="B3" s="1765">
        <v>2</v>
      </c>
      <c r="C3" s="1765">
        <v>3</v>
      </c>
      <c r="D3" s="1895">
        <v>4</v>
      </c>
      <c r="E3" s="1895"/>
      <c r="F3" s="1897">
        <v>5</v>
      </c>
      <c r="G3" s="1897"/>
      <c r="H3" s="1767">
        <v>6</v>
      </c>
      <c r="I3" s="1767">
        <v>7</v>
      </c>
    </row>
    <row r="4" spans="1:10" s="1705" customFormat="1">
      <c r="A4" s="1698"/>
      <c r="B4" s="1673"/>
      <c r="C4" s="1673" t="s">
        <v>2021</v>
      </c>
      <c r="D4" s="1699"/>
      <c r="E4" s="1700"/>
      <c r="F4" s="1701"/>
      <c r="G4" s="1702"/>
      <c r="H4" s="1703"/>
      <c r="I4" s="1704"/>
      <c r="J4" s="1658" t="s">
        <v>2308</v>
      </c>
    </row>
    <row r="5" spans="1:10" s="1705" customFormat="1" ht="33.75">
      <c r="A5" s="1703" t="s">
        <v>1497</v>
      </c>
      <c r="B5" s="1673">
        <v>1</v>
      </c>
      <c r="C5" s="1706" t="s">
        <v>1506</v>
      </c>
      <c r="D5" s="1707"/>
      <c r="E5" s="1708"/>
      <c r="F5" s="1707"/>
      <c r="G5" s="1708"/>
      <c r="H5" s="1709"/>
      <c r="I5" s="1709"/>
      <c r="J5" s="1658" t="s">
        <v>2226</v>
      </c>
    </row>
    <row r="6" spans="1:10" s="1705" customFormat="1">
      <c r="A6" s="1698"/>
      <c r="B6" s="1673"/>
      <c r="C6" s="1706" t="s">
        <v>1498</v>
      </c>
      <c r="D6" s="1710"/>
      <c r="E6" s="1700"/>
      <c r="F6" s="1710"/>
      <c r="G6" s="1700"/>
      <c r="H6" s="1706"/>
      <c r="I6" s="1706"/>
      <c r="J6" s="1658" t="s">
        <v>2226</v>
      </c>
    </row>
    <row r="7" spans="1:10" s="1705" customFormat="1">
      <c r="A7" s="1698"/>
      <c r="B7" s="1673"/>
      <c r="C7" s="1711" t="s">
        <v>384</v>
      </c>
      <c r="D7" s="1712"/>
      <c r="E7" s="1713"/>
      <c r="F7" s="1714"/>
      <c r="G7" s="1715"/>
      <c r="H7" s="1703"/>
      <c r="I7" s="1716"/>
      <c r="J7" s="1658" t="s">
        <v>2226</v>
      </c>
    </row>
    <row r="8" spans="1:10" s="1705" customFormat="1">
      <c r="A8" s="1698"/>
      <c r="B8" s="1673"/>
      <c r="C8" s="1717" t="s">
        <v>156</v>
      </c>
      <c r="D8" s="1699">
        <v>2</v>
      </c>
      <c r="E8" s="1718" t="s">
        <v>27</v>
      </c>
      <c r="F8" s="1701">
        <v>1</v>
      </c>
      <c r="G8" s="1718" t="s">
        <v>27</v>
      </c>
      <c r="H8" s="1703">
        <f>'MINI SSR 19-20'!$H$16</f>
        <v>575</v>
      </c>
      <c r="I8" s="1716">
        <f>SUM(D8*H8/F8)</f>
        <v>1150</v>
      </c>
      <c r="J8" s="1658" t="s">
        <v>2226</v>
      </c>
    </row>
    <row r="9" spans="1:10" s="1705" customFormat="1">
      <c r="A9" s="1698"/>
      <c r="B9" s="1673"/>
      <c r="C9" s="1719" t="s">
        <v>1501</v>
      </c>
      <c r="D9" s="1699">
        <v>2</v>
      </c>
      <c r="E9" s="1718" t="s">
        <v>27</v>
      </c>
      <c r="F9" s="1701">
        <v>1</v>
      </c>
      <c r="G9" s="1718" t="s">
        <v>27</v>
      </c>
      <c r="H9" s="1703">
        <f>'MINI SSR 19-20'!$H$17</f>
        <v>471</v>
      </c>
      <c r="I9" s="1716">
        <f>SUM(D9*H9/F9)</f>
        <v>942</v>
      </c>
      <c r="J9" s="1658" t="s">
        <v>2226</v>
      </c>
    </row>
    <row r="10" spans="1:10" s="1705" customFormat="1">
      <c r="A10" s="1698"/>
      <c r="B10" s="1673"/>
      <c r="C10" s="1717" t="s">
        <v>1502</v>
      </c>
      <c r="D10" s="1699">
        <v>2</v>
      </c>
      <c r="E10" s="1718" t="s">
        <v>27</v>
      </c>
      <c r="F10" s="1701">
        <v>1</v>
      </c>
      <c r="G10" s="1718" t="s">
        <v>27</v>
      </c>
      <c r="H10" s="1703">
        <f>'MINI SSR 19-20'!$H$18</f>
        <v>418</v>
      </c>
      <c r="I10" s="1716">
        <f>SUM(D10*H10/F10)</f>
        <v>836</v>
      </c>
      <c r="J10" s="1658" t="s">
        <v>2226</v>
      </c>
    </row>
    <row r="11" spans="1:10" s="1705" customFormat="1">
      <c r="A11" s="1698"/>
      <c r="B11" s="1673"/>
      <c r="C11" s="1711" t="s">
        <v>327</v>
      </c>
      <c r="D11" s="1699"/>
      <c r="E11" s="1702"/>
      <c r="F11" s="1720"/>
      <c r="G11" s="1702"/>
      <c r="H11" s="1703"/>
      <c r="I11" s="1721"/>
      <c r="J11" s="1658" t="s">
        <v>2226</v>
      </c>
    </row>
    <row r="12" spans="1:10" s="1705" customFormat="1">
      <c r="A12" s="1698" t="s">
        <v>3247</v>
      </c>
      <c r="B12" s="1673"/>
      <c r="C12" s="1706" t="s">
        <v>1499</v>
      </c>
      <c r="D12" s="1699">
        <v>12</v>
      </c>
      <c r="E12" s="1718" t="s">
        <v>325</v>
      </c>
      <c r="F12" s="1701">
        <v>1</v>
      </c>
      <c r="G12" s="1718" t="s">
        <v>115</v>
      </c>
      <c r="H12" s="1703">
        <f>'MINI SSR 19-20'!C99</f>
        <v>65</v>
      </c>
      <c r="I12" s="1716">
        <f>SUM(D12*H12/F12)</f>
        <v>780</v>
      </c>
      <c r="J12" s="1658" t="s">
        <v>2226</v>
      </c>
    </row>
    <row r="13" spans="1:10" s="1705" customFormat="1">
      <c r="A13" s="1698" t="s">
        <v>1504</v>
      </c>
      <c r="B13" s="1673"/>
      <c r="C13" s="1706" t="s">
        <v>1500</v>
      </c>
      <c r="D13" s="1699">
        <v>12</v>
      </c>
      <c r="E13" s="1718" t="s">
        <v>325</v>
      </c>
      <c r="F13" s="1701">
        <v>1</v>
      </c>
      <c r="G13" s="1718" t="s">
        <v>115</v>
      </c>
      <c r="H13" s="1703">
        <f>'MINI SSR 19-20'!C101</f>
        <v>8</v>
      </c>
      <c r="I13" s="1716">
        <f>SUM(D13*H13/F13)</f>
        <v>96</v>
      </c>
      <c r="J13" s="1658" t="s">
        <v>2226</v>
      </c>
    </row>
    <row r="14" spans="1:10" s="1705" customFormat="1">
      <c r="A14" s="1698" t="s">
        <v>1505</v>
      </c>
      <c r="B14" s="1673"/>
      <c r="C14" s="1706" t="s">
        <v>1509</v>
      </c>
      <c r="D14" s="1699">
        <v>100</v>
      </c>
      <c r="E14" s="1718" t="s">
        <v>385</v>
      </c>
      <c r="F14" s="1701">
        <v>1</v>
      </c>
      <c r="G14" s="1718" t="s">
        <v>385</v>
      </c>
      <c r="H14" s="1703">
        <f>'MINI SSR 19-20'!C102</f>
        <v>33</v>
      </c>
      <c r="I14" s="1716">
        <f>SUM(D14*H14/F14)</f>
        <v>3300</v>
      </c>
      <c r="J14" s="1658" t="s">
        <v>2226</v>
      </c>
    </row>
    <row r="15" spans="1:10" s="1705" customFormat="1">
      <c r="A15" s="1722"/>
      <c r="B15" s="1723"/>
      <c r="C15" s="1709" t="s">
        <v>386</v>
      </c>
      <c r="D15" s="1699"/>
      <c r="E15" s="1718"/>
      <c r="F15" s="1701"/>
      <c r="G15" s="1718"/>
      <c r="H15" s="1703"/>
      <c r="I15" s="1721">
        <f>SUM(I8:I14)</f>
        <v>7104</v>
      </c>
      <c r="J15" s="1658" t="s">
        <v>2226</v>
      </c>
    </row>
    <row r="16" spans="1:10" s="1705" customFormat="1">
      <c r="A16" s="1722"/>
      <c r="B16" s="1723"/>
      <c r="C16" s="1709" t="s">
        <v>387</v>
      </c>
      <c r="D16" s="1724"/>
      <c r="E16" s="1718"/>
      <c r="F16" s="1701"/>
      <c r="G16" s="1718"/>
      <c r="H16" s="1725"/>
      <c r="I16" s="1721">
        <f>ROUND(I15/100,2)</f>
        <v>71.040000000000006</v>
      </c>
      <c r="J16" s="1658" t="s">
        <v>2226</v>
      </c>
    </row>
    <row r="17" spans="1:10" s="1705" customFormat="1" ht="33.75">
      <c r="A17" s="1703" t="s">
        <v>1660</v>
      </c>
      <c r="B17" s="1673">
        <v>2</v>
      </c>
      <c r="C17" s="1706" t="s">
        <v>1510</v>
      </c>
      <c r="D17" s="1707"/>
      <c r="E17" s="1708"/>
      <c r="F17" s="1707"/>
      <c r="G17" s="1708"/>
      <c r="H17" s="1709"/>
      <c r="I17" s="1709"/>
      <c r="J17" s="1658" t="s">
        <v>2226</v>
      </c>
    </row>
    <row r="18" spans="1:10" s="1705" customFormat="1">
      <c r="A18" s="1698"/>
      <c r="B18" s="1673"/>
      <c r="C18" s="1706" t="s">
        <v>1498</v>
      </c>
      <c r="D18" s="1710"/>
      <c r="E18" s="1700"/>
      <c r="F18" s="1710"/>
      <c r="G18" s="1700"/>
      <c r="H18" s="1706"/>
      <c r="I18" s="1706"/>
      <c r="J18" s="1658" t="s">
        <v>2226</v>
      </c>
    </row>
    <row r="19" spans="1:10" s="1705" customFormat="1">
      <c r="A19" s="1698"/>
      <c r="B19" s="1673"/>
      <c r="C19" s="1711" t="s">
        <v>384</v>
      </c>
      <c r="D19" s="1712"/>
      <c r="E19" s="1713"/>
      <c r="F19" s="1714"/>
      <c r="G19" s="1715"/>
      <c r="H19" s="1703"/>
      <c r="I19" s="1716"/>
      <c r="J19" s="1658" t="s">
        <v>2226</v>
      </c>
    </row>
    <row r="20" spans="1:10" s="1705" customFormat="1">
      <c r="A20" s="1698"/>
      <c r="B20" s="1673"/>
      <c r="C20" s="1717" t="s">
        <v>156</v>
      </c>
      <c r="D20" s="1699">
        <v>2</v>
      </c>
      <c r="E20" s="1718" t="s">
        <v>27</v>
      </c>
      <c r="F20" s="1701">
        <v>1</v>
      </c>
      <c r="G20" s="1718" t="s">
        <v>27</v>
      </c>
      <c r="H20" s="1703">
        <f>'MINI SSR 19-20'!$H$16</f>
        <v>575</v>
      </c>
      <c r="I20" s="1716">
        <f>SUM(D20*H20/F20)</f>
        <v>1150</v>
      </c>
      <c r="J20" s="1658" t="s">
        <v>2226</v>
      </c>
    </row>
    <row r="21" spans="1:10" s="1705" customFormat="1">
      <c r="A21" s="1698"/>
      <c r="B21" s="1673"/>
      <c r="C21" s="1719" t="s">
        <v>1501</v>
      </c>
      <c r="D21" s="1699">
        <v>2</v>
      </c>
      <c r="E21" s="1718" t="s">
        <v>27</v>
      </c>
      <c r="F21" s="1701">
        <v>1</v>
      </c>
      <c r="G21" s="1718" t="s">
        <v>27</v>
      </c>
      <c r="H21" s="1703">
        <f>'MINI SSR 19-20'!$H$17</f>
        <v>471</v>
      </c>
      <c r="I21" s="1716">
        <f>SUM(D21*H21/F21)</f>
        <v>942</v>
      </c>
      <c r="J21" s="1658" t="s">
        <v>2226</v>
      </c>
    </row>
    <row r="22" spans="1:10" s="1705" customFormat="1">
      <c r="A22" s="1698"/>
      <c r="B22" s="1673"/>
      <c r="C22" s="1717" t="s">
        <v>1502</v>
      </c>
      <c r="D22" s="1699">
        <v>2</v>
      </c>
      <c r="E22" s="1718" t="s">
        <v>27</v>
      </c>
      <c r="F22" s="1701">
        <v>1</v>
      </c>
      <c r="G22" s="1718" t="s">
        <v>27</v>
      </c>
      <c r="H22" s="1703">
        <f>'MINI SSR 19-20'!$H$18</f>
        <v>418</v>
      </c>
      <c r="I22" s="1716">
        <f>SUM(D22*H22/F22)</f>
        <v>836</v>
      </c>
      <c r="J22" s="1658" t="s">
        <v>2226</v>
      </c>
    </row>
    <row r="23" spans="1:10" s="1705" customFormat="1">
      <c r="A23" s="1698"/>
      <c r="B23" s="1673"/>
      <c r="C23" s="1717" t="s">
        <v>1508</v>
      </c>
      <c r="D23" s="1699">
        <v>2</v>
      </c>
      <c r="E23" s="1718" t="s">
        <v>27</v>
      </c>
      <c r="F23" s="1701">
        <v>1</v>
      </c>
      <c r="G23" s="1718" t="s">
        <v>27</v>
      </c>
      <c r="H23" s="1703">
        <f>'MINI SSR 19-20'!$H$3</f>
        <v>500</v>
      </c>
      <c r="I23" s="1716">
        <f>SUM(D23*H23/F23)</f>
        <v>1000</v>
      </c>
      <c r="J23" s="1658" t="s">
        <v>2226</v>
      </c>
    </row>
    <row r="24" spans="1:10" s="1705" customFormat="1">
      <c r="A24" s="1698"/>
      <c r="B24" s="1673"/>
      <c r="C24" s="1711" t="s">
        <v>327</v>
      </c>
      <c r="D24" s="1699"/>
      <c r="E24" s="1702"/>
      <c r="F24" s="1720"/>
      <c r="G24" s="1702"/>
      <c r="H24" s="1703"/>
      <c r="I24" s="1721"/>
      <c r="J24" s="1658" t="s">
        <v>2226</v>
      </c>
    </row>
    <row r="25" spans="1:10" s="1705" customFormat="1">
      <c r="A25" s="1698" t="s">
        <v>1505</v>
      </c>
      <c r="B25" s="1673"/>
      <c r="C25" s="1726" t="s">
        <v>1509</v>
      </c>
      <c r="D25" s="1699">
        <v>100</v>
      </c>
      <c r="E25" s="1718" t="s">
        <v>325</v>
      </c>
      <c r="F25" s="1701">
        <v>1</v>
      </c>
      <c r="G25" s="1718" t="s">
        <v>115</v>
      </c>
      <c r="H25" s="1703">
        <f>'MINI SSR 19-20'!C102</f>
        <v>33</v>
      </c>
      <c r="I25" s="1716">
        <f>SUM(D25*H25/F25)</f>
        <v>3300</v>
      </c>
      <c r="J25" s="1658" t="s">
        <v>2226</v>
      </c>
    </row>
    <row r="26" spans="1:10" s="1705" customFormat="1">
      <c r="A26" s="1698" t="s">
        <v>1511</v>
      </c>
      <c r="B26" s="1673"/>
      <c r="C26" s="1727" t="s">
        <v>1507</v>
      </c>
      <c r="D26" s="1699">
        <v>200</v>
      </c>
      <c r="E26" s="1718" t="s">
        <v>325</v>
      </c>
      <c r="F26" s="1701">
        <v>100</v>
      </c>
      <c r="G26" s="1718" t="s">
        <v>115</v>
      </c>
      <c r="H26" s="1703">
        <f>'MINI SSR 19-20'!C103</f>
        <v>30</v>
      </c>
      <c r="I26" s="1716">
        <f t="shared" ref="I26:I29" si="0">SUM(D26*H26/F26)</f>
        <v>60</v>
      </c>
      <c r="J26" s="1658" t="s">
        <v>2226</v>
      </c>
    </row>
    <row r="27" spans="1:10" s="1705" customFormat="1">
      <c r="A27" s="1698" t="s">
        <v>1503</v>
      </c>
      <c r="B27" s="1673"/>
      <c r="C27" s="1706" t="s">
        <v>1499</v>
      </c>
      <c r="D27" s="1699">
        <v>12</v>
      </c>
      <c r="E27" s="1718" t="s">
        <v>325</v>
      </c>
      <c r="F27" s="1701">
        <v>1</v>
      </c>
      <c r="G27" s="1718" t="s">
        <v>115</v>
      </c>
      <c r="H27" s="1703">
        <f>'MINI SSR 19-20'!C100</f>
        <v>25</v>
      </c>
      <c r="I27" s="1716">
        <f t="shared" si="0"/>
        <v>300</v>
      </c>
      <c r="J27" s="1658" t="s">
        <v>2226</v>
      </c>
    </row>
    <row r="28" spans="1:10" s="1705" customFormat="1">
      <c r="A28" s="1698" t="s">
        <v>1504</v>
      </c>
      <c r="B28" s="1673"/>
      <c r="C28" s="1706" t="s">
        <v>1500</v>
      </c>
      <c r="D28" s="1699">
        <v>12</v>
      </c>
      <c r="E28" s="1718" t="s">
        <v>325</v>
      </c>
      <c r="F28" s="1701">
        <v>1</v>
      </c>
      <c r="G28" s="1718" t="s">
        <v>115</v>
      </c>
      <c r="H28" s="1703">
        <f>'MINI SSR 19-20'!C101</f>
        <v>8</v>
      </c>
      <c r="I28" s="1716">
        <f t="shared" si="0"/>
        <v>96</v>
      </c>
      <c r="J28" s="1658" t="s">
        <v>2226</v>
      </c>
    </row>
    <row r="29" spans="1:10" s="1705" customFormat="1">
      <c r="A29" s="1698"/>
      <c r="B29" s="1673"/>
      <c r="C29" s="1726" t="s">
        <v>847</v>
      </c>
      <c r="D29" s="1699">
        <v>50</v>
      </c>
      <c r="E29" s="1718" t="s">
        <v>4</v>
      </c>
      <c r="F29" s="1701">
        <v>1</v>
      </c>
      <c r="G29" s="1718" t="s">
        <v>4</v>
      </c>
      <c r="H29" s="1703">
        <f>'lead 19-20'!L8/1000</f>
        <v>4.7</v>
      </c>
      <c r="I29" s="1716">
        <f t="shared" si="0"/>
        <v>235</v>
      </c>
      <c r="J29" s="1658" t="s">
        <v>2226</v>
      </c>
    </row>
    <row r="30" spans="1:10" s="1705" customFormat="1">
      <c r="A30" s="1722"/>
      <c r="B30" s="1723"/>
      <c r="C30" s="1709" t="s">
        <v>386</v>
      </c>
      <c r="D30" s="1699"/>
      <c r="E30" s="1718"/>
      <c r="F30" s="1701"/>
      <c r="G30" s="1718"/>
      <c r="H30" s="1703"/>
      <c r="I30" s="1721">
        <f>SUM(I20:I29)</f>
        <v>7919</v>
      </c>
      <c r="J30" s="1658" t="s">
        <v>2226</v>
      </c>
    </row>
    <row r="31" spans="1:10" s="1705" customFormat="1">
      <c r="A31" s="1722"/>
      <c r="B31" s="1723"/>
      <c r="C31" s="1709" t="s">
        <v>387</v>
      </c>
      <c r="D31" s="1724"/>
      <c r="E31" s="1718"/>
      <c r="F31" s="1701"/>
      <c r="G31" s="1718"/>
      <c r="H31" s="1725"/>
      <c r="I31" s="1721">
        <f>ROUND(I30/100,2)</f>
        <v>79.19</v>
      </c>
      <c r="J31" s="1658" t="s">
        <v>2226</v>
      </c>
    </row>
    <row r="32" spans="1:10" hidden="1">
      <c r="A32" s="1286"/>
      <c r="B32" s="1287"/>
      <c r="C32" s="1275"/>
      <c r="D32" s="1292"/>
      <c r="E32" s="1293"/>
      <c r="F32" s="1292"/>
      <c r="G32" s="1293"/>
      <c r="H32" s="1294"/>
      <c r="I32" s="1294"/>
      <c r="J32" s="1205" t="s">
        <v>2226</v>
      </c>
    </row>
    <row r="33" spans="1:10" hidden="1">
      <c r="A33" s="1286"/>
      <c r="B33" s="1287">
        <v>3</v>
      </c>
      <c r="C33" s="1270" t="s">
        <v>389</v>
      </c>
      <c r="D33" s="1271"/>
      <c r="E33" s="1272"/>
      <c r="F33" s="1271"/>
      <c r="G33" s="1272"/>
      <c r="H33" s="1273"/>
      <c r="I33" s="1273"/>
      <c r="J33" s="1205" t="s">
        <v>2226</v>
      </c>
    </row>
    <row r="34" spans="1:10" hidden="1">
      <c r="A34" s="1286"/>
      <c r="B34" s="1287"/>
      <c r="C34" s="1281" t="s">
        <v>390</v>
      </c>
      <c r="D34" s="1264">
        <v>1</v>
      </c>
      <c r="E34" s="1282" t="s">
        <v>277</v>
      </c>
      <c r="F34" s="1266">
        <v>1</v>
      </c>
      <c r="G34" s="1282" t="s">
        <v>277</v>
      </c>
      <c r="H34" s="1268">
        <f>'MINI SSR 19-20'!C104</f>
        <v>55</v>
      </c>
      <c r="I34" s="1280">
        <f>SUM(D34*H34/F34)</f>
        <v>55</v>
      </c>
      <c r="J34" s="1205" t="s">
        <v>2226</v>
      </c>
    </row>
    <row r="35" spans="1:10" hidden="1">
      <c r="A35" s="1286"/>
      <c r="B35" s="1287"/>
      <c r="C35" s="1283"/>
      <c r="D35" s="1264"/>
      <c r="E35" s="1282"/>
      <c r="F35" s="1266"/>
      <c r="G35" s="1282"/>
      <c r="H35" s="1268"/>
      <c r="I35" s="1280">
        <f>SUM(I34)</f>
        <v>55</v>
      </c>
      <c r="J35" s="1205" t="s">
        <v>2226</v>
      </c>
    </row>
    <row r="36" spans="1:10" s="1705" customFormat="1" ht="22.5">
      <c r="A36" s="1722"/>
      <c r="B36" s="1723">
        <v>3</v>
      </c>
      <c r="C36" s="1706" t="s">
        <v>427</v>
      </c>
      <c r="D36" s="1707"/>
      <c r="E36" s="1708"/>
      <c r="F36" s="1707"/>
      <c r="G36" s="1708"/>
      <c r="H36" s="1709"/>
      <c r="I36" s="1709"/>
      <c r="J36" s="1658" t="s">
        <v>2226</v>
      </c>
    </row>
    <row r="37" spans="1:10" s="1705" customFormat="1">
      <c r="A37" s="1722"/>
      <c r="B37" s="1723"/>
      <c r="C37" s="1717" t="s">
        <v>433</v>
      </c>
      <c r="D37" s="1699">
        <v>1</v>
      </c>
      <c r="E37" s="1718" t="s">
        <v>325</v>
      </c>
      <c r="F37" s="1701">
        <v>1</v>
      </c>
      <c r="G37" s="1718" t="s">
        <v>325</v>
      </c>
      <c r="H37" s="1703">
        <f>'MINI SSR 19-20'!C106</f>
        <v>205</v>
      </c>
      <c r="I37" s="1716">
        <f>SUM(D37*H37/F37)</f>
        <v>205</v>
      </c>
      <c r="J37" s="1658" t="s">
        <v>2226</v>
      </c>
    </row>
    <row r="38" spans="1:10" s="1705" customFormat="1">
      <c r="A38" s="1722"/>
      <c r="B38" s="1723"/>
      <c r="C38" s="1719"/>
      <c r="D38" s="1699"/>
      <c r="E38" s="1718"/>
      <c r="F38" s="1701"/>
      <c r="G38" s="1718"/>
      <c r="H38" s="1703"/>
      <c r="I38" s="1716">
        <f>SUM(I37)</f>
        <v>205</v>
      </c>
      <c r="J38" s="1658" t="s">
        <v>2226</v>
      </c>
    </row>
    <row r="39" spans="1:10" s="1705" customFormat="1" ht="22.5">
      <c r="A39" s="1722"/>
      <c r="B39" s="1723">
        <v>4</v>
      </c>
      <c r="C39" s="1706" t="s">
        <v>610</v>
      </c>
      <c r="D39" s="1707"/>
      <c r="E39" s="1708"/>
      <c r="F39" s="1707"/>
      <c r="G39" s="1708"/>
      <c r="H39" s="1709"/>
      <c r="I39" s="1709"/>
      <c r="J39" s="1658" t="s">
        <v>2226</v>
      </c>
    </row>
    <row r="40" spans="1:10" s="1705" customFormat="1">
      <c r="A40" s="1722"/>
      <c r="B40" s="1723"/>
      <c r="C40" s="1717" t="s">
        <v>611</v>
      </c>
      <c r="D40" s="1699">
        <v>1</v>
      </c>
      <c r="E40" s="1718" t="s">
        <v>325</v>
      </c>
      <c r="F40" s="1701">
        <v>1</v>
      </c>
      <c r="G40" s="1718" t="s">
        <v>325</v>
      </c>
      <c r="H40" s="1703">
        <f>'MINI SSR 19-20'!C107</f>
        <v>170</v>
      </c>
      <c r="I40" s="1716">
        <f>SUM(D40*H40/F40)</f>
        <v>170</v>
      </c>
      <c r="J40" s="1658" t="s">
        <v>2226</v>
      </c>
    </row>
    <row r="41" spans="1:10" s="1705" customFormat="1">
      <c r="A41" s="1722"/>
      <c r="B41" s="1723"/>
      <c r="C41" s="1719"/>
      <c r="D41" s="1699"/>
      <c r="E41" s="1718"/>
      <c r="F41" s="1701"/>
      <c r="G41" s="1718"/>
      <c r="H41" s="1703"/>
      <c r="I41" s="1716">
        <f>SUM(I40)</f>
        <v>170</v>
      </c>
      <c r="J41" s="1658" t="s">
        <v>2226</v>
      </c>
    </row>
    <row r="42" spans="1:10" ht="22.5" hidden="1">
      <c r="A42" s="1286"/>
      <c r="B42" s="1287">
        <v>3</v>
      </c>
      <c r="C42" s="1270" t="s">
        <v>690</v>
      </c>
      <c r="D42" s="1271"/>
      <c r="E42" s="1272"/>
      <c r="F42" s="1271"/>
      <c r="G42" s="1272"/>
      <c r="H42" s="1273"/>
      <c r="I42" s="1273"/>
      <c r="J42" s="1205" t="s">
        <v>2226</v>
      </c>
    </row>
    <row r="43" spans="1:10" hidden="1">
      <c r="A43" s="1286"/>
      <c r="B43" s="1287"/>
      <c r="C43" s="1281" t="s">
        <v>691</v>
      </c>
      <c r="D43" s="1264">
        <v>1</v>
      </c>
      <c r="E43" s="1282" t="s">
        <v>325</v>
      </c>
      <c r="F43" s="1266">
        <v>1</v>
      </c>
      <c r="G43" s="1282" t="s">
        <v>325</v>
      </c>
      <c r="H43" s="1268">
        <f>'MINI SSR 19-20'!C108</f>
        <v>130</v>
      </c>
      <c r="I43" s="1280">
        <f>SUM(D43*H43/F43)</f>
        <v>130</v>
      </c>
      <c r="J43" s="1205" t="s">
        <v>2226</v>
      </c>
    </row>
    <row r="44" spans="1:10" hidden="1">
      <c r="A44" s="1286"/>
      <c r="B44" s="1287"/>
      <c r="C44" s="1283"/>
      <c r="D44" s="1264"/>
      <c r="E44" s="1282"/>
      <c r="F44" s="1266"/>
      <c r="G44" s="1282"/>
      <c r="H44" s="1268"/>
      <c r="I44" s="1280">
        <f>SUM(I43)</f>
        <v>130</v>
      </c>
      <c r="J44" s="1205" t="s">
        <v>2226</v>
      </c>
    </row>
    <row r="45" spans="1:10" ht="22.5" hidden="1">
      <c r="A45" s="1286"/>
      <c r="B45" s="1287">
        <v>4</v>
      </c>
      <c r="C45" s="1270" t="s">
        <v>790</v>
      </c>
      <c r="D45" s="1271"/>
      <c r="E45" s="1272"/>
      <c r="F45" s="1271"/>
      <c r="G45" s="1272"/>
      <c r="H45" s="1273"/>
      <c r="I45" s="1273"/>
      <c r="J45" s="1205" t="s">
        <v>2226</v>
      </c>
    </row>
    <row r="46" spans="1:10" hidden="1">
      <c r="A46" s="1286"/>
      <c r="B46" s="1287"/>
      <c r="C46" s="1281" t="s">
        <v>791</v>
      </c>
      <c r="D46" s="1264">
        <v>1</v>
      </c>
      <c r="E46" s="1282" t="s">
        <v>325</v>
      </c>
      <c r="F46" s="1266">
        <v>1</v>
      </c>
      <c r="G46" s="1282" t="s">
        <v>325</v>
      </c>
      <c r="H46" s="1268">
        <f>'MINI SSR 19-20'!C109</f>
        <v>95</v>
      </c>
      <c r="I46" s="1280">
        <f>SUM(D46*H46/F46)</f>
        <v>95</v>
      </c>
      <c r="J46" s="1205" t="s">
        <v>2226</v>
      </c>
    </row>
    <row r="47" spans="1:10" hidden="1">
      <c r="A47" s="1286"/>
      <c r="B47" s="1287"/>
      <c r="C47" s="1283"/>
      <c r="D47" s="1264"/>
      <c r="E47" s="1282"/>
      <c r="F47" s="1266"/>
      <c r="G47" s="1282"/>
      <c r="H47" s="1268"/>
      <c r="I47" s="1280">
        <f>SUM(I46)</f>
        <v>95</v>
      </c>
      <c r="J47" s="1205" t="s">
        <v>2226</v>
      </c>
    </row>
    <row r="48" spans="1:10" ht="22.5" hidden="1">
      <c r="A48" s="1286"/>
      <c r="B48" s="1287">
        <v>8</v>
      </c>
      <c r="C48" s="1270" t="s">
        <v>612</v>
      </c>
      <c r="D48" s="1271"/>
      <c r="E48" s="1272"/>
      <c r="F48" s="1271"/>
      <c r="G48" s="1272"/>
      <c r="H48" s="1273"/>
      <c r="I48" s="1273"/>
      <c r="J48" s="1205" t="s">
        <v>2226</v>
      </c>
    </row>
    <row r="49" spans="1:10" hidden="1">
      <c r="A49" s="1286"/>
      <c r="B49" s="1287"/>
      <c r="C49" s="1281" t="s">
        <v>614</v>
      </c>
      <c r="D49" s="1264">
        <v>1</v>
      </c>
      <c r="E49" s="1282" t="s">
        <v>325</v>
      </c>
      <c r="F49" s="1266">
        <v>1</v>
      </c>
      <c r="G49" s="1282" t="s">
        <v>325</v>
      </c>
      <c r="H49" s="1268">
        <f>H37</f>
        <v>205</v>
      </c>
      <c r="I49" s="1280">
        <f>SUM(D49*H49/F49)</f>
        <v>205</v>
      </c>
      <c r="J49" s="1205" t="s">
        <v>2226</v>
      </c>
    </row>
    <row r="50" spans="1:10" hidden="1">
      <c r="A50" s="1286"/>
      <c r="B50" s="1287"/>
      <c r="C50" s="1281" t="s">
        <v>613</v>
      </c>
      <c r="D50" s="1264">
        <v>1</v>
      </c>
      <c r="E50" s="1282" t="s">
        <v>325</v>
      </c>
      <c r="F50" s="1266">
        <v>1</v>
      </c>
      <c r="G50" s="1282" t="s">
        <v>325</v>
      </c>
      <c r="H50" s="1268">
        <f>H43</f>
        <v>130</v>
      </c>
      <c r="I50" s="1280">
        <f>SUM(D50*H50/F50)</f>
        <v>130</v>
      </c>
      <c r="J50" s="1205" t="s">
        <v>2226</v>
      </c>
    </row>
    <row r="51" spans="1:10" hidden="1">
      <c r="A51" s="1286"/>
      <c r="B51" s="1287"/>
      <c r="C51" s="1283"/>
      <c r="D51" s="1264"/>
      <c r="E51" s="1282"/>
      <c r="F51" s="1266"/>
      <c r="G51" s="1282"/>
      <c r="H51" s="1268"/>
      <c r="I51" s="1280">
        <f>SUM(I49:I50)</f>
        <v>335</v>
      </c>
      <c r="J51" s="1205" t="s">
        <v>2226</v>
      </c>
    </row>
    <row r="52" spans="1:10" ht="22.5" hidden="1">
      <c r="A52" s="1286"/>
      <c r="B52" s="1287">
        <v>9</v>
      </c>
      <c r="C52" s="1270" t="s">
        <v>1512</v>
      </c>
      <c r="D52" s="1271"/>
      <c r="E52" s="1272"/>
      <c r="F52" s="1271"/>
      <c r="G52" s="1272"/>
      <c r="H52" s="1273"/>
      <c r="I52" s="1273"/>
      <c r="J52" s="1205" t="s">
        <v>2226</v>
      </c>
    </row>
    <row r="53" spans="1:10" hidden="1">
      <c r="A53" s="1286"/>
      <c r="B53" s="1287"/>
      <c r="C53" s="1281" t="s">
        <v>614</v>
      </c>
      <c r="D53" s="1264">
        <v>1</v>
      </c>
      <c r="E53" s="1282" t="s">
        <v>325</v>
      </c>
      <c r="F53" s="1266">
        <v>1</v>
      </c>
      <c r="G53" s="1282" t="s">
        <v>325</v>
      </c>
      <c r="H53" s="1268">
        <f>H37</f>
        <v>205</v>
      </c>
      <c r="I53" s="1280">
        <f>SUM(D53*H53/F53)</f>
        <v>205</v>
      </c>
      <c r="J53" s="1205" t="s">
        <v>2226</v>
      </c>
    </row>
    <row r="54" spans="1:10" hidden="1">
      <c r="A54" s="1286"/>
      <c r="B54" s="1287"/>
      <c r="C54" s="1281" t="s">
        <v>1513</v>
      </c>
      <c r="D54" s="1264">
        <v>1</v>
      </c>
      <c r="E54" s="1282" t="s">
        <v>325</v>
      </c>
      <c r="F54" s="1266">
        <v>1</v>
      </c>
      <c r="G54" s="1282" t="s">
        <v>325</v>
      </c>
      <c r="H54" s="1268">
        <f>'MINI SSR 19-20'!C109</f>
        <v>95</v>
      </c>
      <c r="I54" s="1280">
        <f>SUM(D54*H54/F54)</f>
        <v>95</v>
      </c>
      <c r="J54" s="1205" t="s">
        <v>2226</v>
      </c>
    </row>
    <row r="55" spans="1:10" hidden="1">
      <c r="A55" s="1286"/>
      <c r="B55" s="1287"/>
      <c r="C55" s="1283"/>
      <c r="D55" s="1264"/>
      <c r="E55" s="1282"/>
      <c r="F55" s="1266"/>
      <c r="G55" s="1282"/>
      <c r="H55" s="1268"/>
      <c r="I55" s="1280">
        <f>SUM(I53:I54)</f>
        <v>300</v>
      </c>
      <c r="J55" s="1205" t="s">
        <v>2226</v>
      </c>
    </row>
    <row r="56" spans="1:10" ht="22.5" hidden="1">
      <c r="A56" s="1286"/>
      <c r="B56" s="1287">
        <v>5</v>
      </c>
      <c r="C56" s="1270" t="s">
        <v>428</v>
      </c>
      <c r="D56" s="1271"/>
      <c r="E56" s="1272"/>
      <c r="F56" s="1271"/>
      <c r="G56" s="1272"/>
      <c r="H56" s="1273"/>
      <c r="I56" s="1273"/>
      <c r="J56" s="1205" t="s">
        <v>2226</v>
      </c>
    </row>
    <row r="57" spans="1:10" hidden="1">
      <c r="A57" s="1286"/>
      <c r="B57" s="1287"/>
      <c r="C57" s="1281" t="s">
        <v>434</v>
      </c>
      <c r="D57" s="1264">
        <v>1</v>
      </c>
      <c r="E57" s="1282" t="s">
        <v>325</v>
      </c>
      <c r="F57" s="1266">
        <v>1</v>
      </c>
      <c r="G57" s="1282" t="s">
        <v>325</v>
      </c>
      <c r="H57" s="1268">
        <f>'MINI SSR 19-20'!C112</f>
        <v>57</v>
      </c>
      <c r="I57" s="1280">
        <f>SUM(D57*H57/F57)</f>
        <v>57</v>
      </c>
      <c r="J57" s="1205" t="s">
        <v>2226</v>
      </c>
    </row>
    <row r="58" spans="1:10" hidden="1">
      <c r="A58" s="1286"/>
      <c r="B58" s="1287"/>
      <c r="C58" s="1283"/>
      <c r="D58" s="1264"/>
      <c r="E58" s="1282"/>
      <c r="F58" s="1266"/>
      <c r="G58" s="1282"/>
      <c r="H58" s="1268"/>
      <c r="I58" s="1280">
        <f>SUM(I57)</f>
        <v>57</v>
      </c>
      <c r="J58" s="1205" t="s">
        <v>2226</v>
      </c>
    </row>
    <row r="59" spans="1:10" s="1705" customFormat="1">
      <c r="A59" s="1722"/>
      <c r="B59" s="1723">
        <v>5</v>
      </c>
      <c r="C59" s="1706" t="s">
        <v>437</v>
      </c>
      <c r="D59" s="1707"/>
      <c r="E59" s="1708"/>
      <c r="F59" s="1707"/>
      <c r="G59" s="1708"/>
      <c r="H59" s="1709"/>
      <c r="I59" s="1709"/>
      <c r="J59" s="1658" t="s">
        <v>2226</v>
      </c>
    </row>
    <row r="60" spans="1:10" s="1705" customFormat="1">
      <c r="A60" s="1722"/>
      <c r="B60" s="1723"/>
      <c r="C60" s="1717" t="s">
        <v>438</v>
      </c>
      <c r="D60" s="1699">
        <v>1</v>
      </c>
      <c r="E60" s="1718" t="s">
        <v>325</v>
      </c>
      <c r="F60" s="1701">
        <v>1</v>
      </c>
      <c r="G60" s="1718" t="s">
        <v>325</v>
      </c>
      <c r="H60" s="1703">
        <f>'MINI SSR 19-20'!E106</f>
        <v>190</v>
      </c>
      <c r="I60" s="1716">
        <f>SUM(D60*H60/F60)</f>
        <v>190</v>
      </c>
      <c r="J60" s="1658" t="s">
        <v>2226</v>
      </c>
    </row>
    <row r="61" spans="1:10" s="1705" customFormat="1">
      <c r="A61" s="1722"/>
      <c r="B61" s="1723"/>
      <c r="C61" s="1719"/>
      <c r="D61" s="1699"/>
      <c r="E61" s="1718"/>
      <c r="F61" s="1701"/>
      <c r="G61" s="1718"/>
      <c r="H61" s="1703"/>
      <c r="I61" s="1716">
        <f>SUM(I60)</f>
        <v>190</v>
      </c>
      <c r="J61" s="1658" t="s">
        <v>2226</v>
      </c>
    </row>
    <row r="62" spans="1:10" s="1705" customFormat="1">
      <c r="A62" s="1722"/>
      <c r="B62" s="1723">
        <v>6</v>
      </c>
      <c r="C62" s="1706" t="s">
        <v>615</v>
      </c>
      <c r="D62" s="1707"/>
      <c r="E62" s="1708"/>
      <c r="F62" s="1707"/>
      <c r="G62" s="1708"/>
      <c r="H62" s="1709"/>
      <c r="I62" s="1709"/>
      <c r="J62" s="1658" t="s">
        <v>2226</v>
      </c>
    </row>
    <row r="63" spans="1:10" s="1705" customFormat="1">
      <c r="A63" s="1722"/>
      <c r="B63" s="1723"/>
      <c r="C63" s="1717" t="s">
        <v>616</v>
      </c>
      <c r="D63" s="1699">
        <v>1</v>
      </c>
      <c r="E63" s="1718" t="s">
        <v>325</v>
      </c>
      <c r="F63" s="1701">
        <v>1</v>
      </c>
      <c r="G63" s="1718" t="s">
        <v>325</v>
      </c>
      <c r="H63" s="1703">
        <f>'MINI SSR 19-20'!E107</f>
        <v>155</v>
      </c>
      <c r="I63" s="1716">
        <f>SUM(D63*H63/F63)</f>
        <v>155</v>
      </c>
      <c r="J63" s="1658" t="s">
        <v>2226</v>
      </c>
    </row>
    <row r="64" spans="1:10" s="1705" customFormat="1">
      <c r="A64" s="1722"/>
      <c r="B64" s="1723"/>
      <c r="C64" s="1719"/>
      <c r="D64" s="1699"/>
      <c r="E64" s="1718"/>
      <c r="F64" s="1701"/>
      <c r="G64" s="1718"/>
      <c r="H64" s="1703"/>
      <c r="I64" s="1716">
        <f>SUM(I63)</f>
        <v>155</v>
      </c>
      <c r="J64" s="1658" t="s">
        <v>2226</v>
      </c>
    </row>
    <row r="65" spans="1:10" hidden="1">
      <c r="A65" s="1286"/>
      <c r="B65" s="1287">
        <v>10</v>
      </c>
      <c r="C65" s="1270" t="s">
        <v>694</v>
      </c>
      <c r="D65" s="1271"/>
      <c r="E65" s="1272"/>
      <c r="F65" s="1271"/>
      <c r="G65" s="1272"/>
      <c r="H65" s="1273"/>
      <c r="I65" s="1273"/>
      <c r="J65" s="1205" t="s">
        <v>2226</v>
      </c>
    </row>
    <row r="66" spans="1:10" hidden="1">
      <c r="A66" s="1286"/>
      <c r="B66" s="1287"/>
      <c r="C66" s="1281" t="s">
        <v>619</v>
      </c>
      <c r="D66" s="1264">
        <v>1</v>
      </c>
      <c r="E66" s="1282" t="s">
        <v>325</v>
      </c>
      <c r="F66" s="1266">
        <v>1</v>
      </c>
      <c r="G66" s="1282" t="s">
        <v>325</v>
      </c>
      <c r="H66" s="1268">
        <f>'MINI SSR 19-20'!E108</f>
        <v>120</v>
      </c>
      <c r="I66" s="1280">
        <f>SUM(D66*H66/F66)</f>
        <v>120</v>
      </c>
      <c r="J66" s="1205" t="s">
        <v>2226</v>
      </c>
    </row>
    <row r="67" spans="1:10" hidden="1">
      <c r="A67" s="1286"/>
      <c r="B67" s="1287"/>
      <c r="C67" s="1283"/>
      <c r="D67" s="1264"/>
      <c r="E67" s="1282"/>
      <c r="F67" s="1266"/>
      <c r="G67" s="1282"/>
      <c r="H67" s="1268"/>
      <c r="I67" s="1280">
        <f>SUM(I66)</f>
        <v>120</v>
      </c>
      <c r="J67" s="1205" t="s">
        <v>2226</v>
      </c>
    </row>
    <row r="68" spans="1:10" hidden="1">
      <c r="A68" s="1286"/>
      <c r="B68" s="1287">
        <v>11</v>
      </c>
      <c r="C68" s="1270" t="s">
        <v>792</v>
      </c>
      <c r="D68" s="1271"/>
      <c r="E68" s="1272"/>
      <c r="F68" s="1271"/>
      <c r="G68" s="1272"/>
      <c r="H68" s="1273"/>
      <c r="I68" s="1273"/>
      <c r="J68" s="1205" t="s">
        <v>2226</v>
      </c>
    </row>
    <row r="69" spans="1:10" hidden="1">
      <c r="A69" s="1286"/>
      <c r="B69" s="1287"/>
      <c r="C69" s="1281" t="s">
        <v>793</v>
      </c>
      <c r="D69" s="1264">
        <v>1</v>
      </c>
      <c r="E69" s="1282" t="s">
        <v>325</v>
      </c>
      <c r="F69" s="1266">
        <v>1</v>
      </c>
      <c r="G69" s="1282" t="s">
        <v>325</v>
      </c>
      <c r="H69" s="1268">
        <f>'MINI SSR 19-20'!E109</f>
        <v>80</v>
      </c>
      <c r="I69" s="1280">
        <f>SUM(D69*H69/F69)</f>
        <v>80</v>
      </c>
      <c r="J69" s="1205" t="s">
        <v>2226</v>
      </c>
    </row>
    <row r="70" spans="1:10" hidden="1">
      <c r="A70" s="1286"/>
      <c r="B70" s="1287"/>
      <c r="C70" s="1283"/>
      <c r="D70" s="1264"/>
      <c r="E70" s="1282"/>
      <c r="F70" s="1266"/>
      <c r="G70" s="1282"/>
      <c r="H70" s="1268"/>
      <c r="I70" s="1280">
        <f>SUM(I69)</f>
        <v>80</v>
      </c>
      <c r="J70" s="1205" t="s">
        <v>2226</v>
      </c>
    </row>
    <row r="71" spans="1:10" hidden="1">
      <c r="A71" s="1286"/>
      <c r="B71" s="1287">
        <v>15</v>
      </c>
      <c r="C71" s="1270" t="s">
        <v>617</v>
      </c>
      <c r="D71" s="1271"/>
      <c r="E71" s="1272"/>
      <c r="F71" s="1271"/>
      <c r="G71" s="1272"/>
      <c r="H71" s="1273"/>
      <c r="I71" s="1273"/>
      <c r="J71" s="1205" t="s">
        <v>2226</v>
      </c>
    </row>
    <row r="72" spans="1:10" hidden="1">
      <c r="A72" s="1286"/>
      <c r="B72" s="1287"/>
      <c r="C72" s="1281" t="s">
        <v>618</v>
      </c>
      <c r="D72" s="1264">
        <v>1</v>
      </c>
      <c r="E72" s="1282" t="s">
        <v>325</v>
      </c>
      <c r="F72" s="1266">
        <v>1</v>
      </c>
      <c r="G72" s="1282" t="s">
        <v>325</v>
      </c>
      <c r="H72" s="1268">
        <f>'MINI SSR 19-20'!E106</f>
        <v>190</v>
      </c>
      <c r="I72" s="1280">
        <f>SUM(D72*H72/F72)</f>
        <v>190</v>
      </c>
      <c r="J72" s="1205" t="s">
        <v>2226</v>
      </c>
    </row>
    <row r="73" spans="1:10" hidden="1">
      <c r="A73" s="1286"/>
      <c r="B73" s="1287"/>
      <c r="C73" s="1281" t="s">
        <v>619</v>
      </c>
      <c r="D73" s="1264">
        <v>1</v>
      </c>
      <c r="E73" s="1282" t="s">
        <v>325</v>
      </c>
      <c r="F73" s="1266">
        <v>1</v>
      </c>
      <c r="G73" s="1282" t="s">
        <v>325</v>
      </c>
      <c r="H73" s="1268">
        <f>'MINI SSR 19-20'!E108</f>
        <v>120</v>
      </c>
      <c r="I73" s="1280">
        <f>SUM(D73*H73/F73)</f>
        <v>120</v>
      </c>
      <c r="J73" s="1205" t="s">
        <v>2226</v>
      </c>
    </row>
    <row r="74" spans="1:10" hidden="1">
      <c r="A74" s="1286"/>
      <c r="B74" s="1287"/>
      <c r="C74" s="1283"/>
      <c r="D74" s="1264"/>
      <c r="E74" s="1282"/>
      <c r="F74" s="1266"/>
      <c r="G74" s="1282"/>
      <c r="H74" s="1268"/>
      <c r="I74" s="1280">
        <f>SUM(I72:I73)</f>
        <v>310</v>
      </c>
      <c r="J74" s="1205" t="s">
        <v>2226</v>
      </c>
    </row>
    <row r="75" spans="1:10" hidden="1">
      <c r="A75" s="1286"/>
      <c r="B75" s="1287">
        <v>12</v>
      </c>
      <c r="C75" s="1270" t="s">
        <v>439</v>
      </c>
      <c r="D75" s="1271"/>
      <c r="E75" s="1272"/>
      <c r="F75" s="1271"/>
      <c r="G75" s="1272"/>
      <c r="H75" s="1273"/>
      <c r="I75" s="1273"/>
      <c r="J75" s="1205" t="s">
        <v>2226</v>
      </c>
    </row>
    <row r="76" spans="1:10" hidden="1">
      <c r="A76" s="1286"/>
      <c r="B76" s="1287"/>
      <c r="C76" s="1281" t="s">
        <v>440</v>
      </c>
      <c r="D76" s="1264">
        <v>1</v>
      </c>
      <c r="E76" s="1282" t="s">
        <v>325</v>
      </c>
      <c r="F76" s="1266">
        <v>1</v>
      </c>
      <c r="G76" s="1282" t="s">
        <v>325</v>
      </c>
      <c r="H76" s="1268">
        <f>'MINI SSR 19-20'!E112</f>
        <v>60</v>
      </c>
      <c r="I76" s="1280">
        <f>SUM(D76*H76/F76)</f>
        <v>60</v>
      </c>
      <c r="J76" s="1205" t="s">
        <v>2226</v>
      </c>
    </row>
    <row r="77" spans="1:10" hidden="1">
      <c r="A77" s="1286"/>
      <c r="B77" s="1287"/>
      <c r="C77" s="1283"/>
      <c r="D77" s="1264"/>
      <c r="E77" s="1282"/>
      <c r="F77" s="1266"/>
      <c r="G77" s="1282"/>
      <c r="H77" s="1268"/>
      <c r="I77" s="1280">
        <f>SUM(I76)</f>
        <v>60</v>
      </c>
      <c r="J77" s="1205" t="s">
        <v>2226</v>
      </c>
    </row>
    <row r="78" spans="1:10" hidden="1">
      <c r="A78" s="1286"/>
      <c r="B78" s="1287"/>
      <c r="C78" s="1286"/>
      <c r="D78" s="1292"/>
      <c r="E78" s="1293"/>
      <c r="F78" s="1292"/>
      <c r="G78" s="1293"/>
      <c r="H78" s="1286"/>
      <c r="I78" s="1286"/>
      <c r="J78" s="1205" t="s">
        <v>2226</v>
      </c>
    </row>
    <row r="79" spans="1:10" hidden="1">
      <c r="A79" s="1286"/>
      <c r="B79" s="1287">
        <v>5</v>
      </c>
      <c r="C79" s="1270" t="s">
        <v>624</v>
      </c>
      <c r="D79" s="1271"/>
      <c r="E79" s="1272"/>
      <c r="F79" s="1271"/>
      <c r="G79" s="1272"/>
      <c r="H79" s="1273"/>
      <c r="I79" s="1273"/>
      <c r="J79" s="1205" t="s">
        <v>2226</v>
      </c>
    </row>
    <row r="80" spans="1:10" hidden="1">
      <c r="A80" s="1286"/>
      <c r="B80" s="1287"/>
      <c r="C80" s="1281" t="s">
        <v>625</v>
      </c>
      <c r="D80" s="1264">
        <v>1</v>
      </c>
      <c r="E80" s="1282" t="s">
        <v>325</v>
      </c>
      <c r="F80" s="1266">
        <v>1</v>
      </c>
      <c r="G80" s="1282" t="s">
        <v>325</v>
      </c>
      <c r="H80" s="1268">
        <f>'MINI SSR 19-20'!C114</f>
        <v>18</v>
      </c>
      <c r="I80" s="1280">
        <f>SUM(D80*H80/F80)</f>
        <v>18</v>
      </c>
      <c r="J80" s="1205" t="s">
        <v>2226</v>
      </c>
    </row>
    <row r="81" spans="1:10" hidden="1">
      <c r="A81" s="1286"/>
      <c r="B81" s="1287"/>
      <c r="C81" s="1283"/>
      <c r="D81" s="1264"/>
      <c r="E81" s="1282"/>
      <c r="F81" s="1266"/>
      <c r="G81" s="1282"/>
      <c r="H81" s="1268"/>
      <c r="I81" s="1280">
        <f>SUM(I80)</f>
        <v>18</v>
      </c>
      <c r="J81" s="1205" t="s">
        <v>2226</v>
      </c>
    </row>
    <row r="82" spans="1:10" ht="22.5" hidden="1">
      <c r="A82" s="1286"/>
      <c r="B82" s="1287">
        <v>18</v>
      </c>
      <c r="C82" s="1270" t="s">
        <v>794</v>
      </c>
      <c r="D82" s="1271"/>
      <c r="E82" s="1272"/>
      <c r="F82" s="1271"/>
      <c r="G82" s="1272"/>
      <c r="H82" s="1273"/>
      <c r="I82" s="1273"/>
      <c r="J82" s="1205" t="s">
        <v>2226</v>
      </c>
    </row>
    <row r="83" spans="1:10" hidden="1">
      <c r="A83" s="1286"/>
      <c r="B83" s="1287"/>
      <c r="C83" s="1281" t="s">
        <v>795</v>
      </c>
      <c r="D83" s="1264">
        <v>1</v>
      </c>
      <c r="E83" s="1282" t="s">
        <v>325</v>
      </c>
      <c r="F83" s="1266">
        <v>1</v>
      </c>
      <c r="G83" s="1282" t="s">
        <v>325</v>
      </c>
      <c r="H83" s="1268">
        <f>'MINI SSR 19-20'!C115</f>
        <v>1290</v>
      </c>
      <c r="I83" s="1280">
        <f>SUM(D83*H83/F83)</f>
        <v>1290</v>
      </c>
      <c r="J83" s="1205" t="s">
        <v>2226</v>
      </c>
    </row>
    <row r="84" spans="1:10" hidden="1">
      <c r="A84" s="1286"/>
      <c r="B84" s="1287"/>
      <c r="C84" s="1283"/>
      <c r="D84" s="1264"/>
      <c r="E84" s="1282"/>
      <c r="F84" s="1266"/>
      <c r="G84" s="1282"/>
      <c r="H84" s="1268"/>
      <c r="I84" s="1280">
        <f>SUM(I83)</f>
        <v>1290</v>
      </c>
      <c r="J84" s="1205" t="s">
        <v>2226</v>
      </c>
    </row>
    <row r="85" spans="1:10" s="1705" customFormat="1" ht="67.5">
      <c r="A85" s="1728" t="s">
        <v>721</v>
      </c>
      <c r="B85" s="1698">
        <v>7</v>
      </c>
      <c r="C85" s="1706" t="s">
        <v>436</v>
      </c>
      <c r="D85" s="1710"/>
      <c r="E85" s="1700"/>
      <c r="F85" s="1710"/>
      <c r="G85" s="1700"/>
      <c r="H85" s="1706"/>
      <c r="I85" s="1706"/>
      <c r="J85" s="1658" t="s">
        <v>2226</v>
      </c>
    </row>
    <row r="86" spans="1:10" s="1705" customFormat="1" ht="22.5">
      <c r="A86" s="1703"/>
      <c r="B86" s="1673"/>
      <c r="C86" s="1706" t="s">
        <v>391</v>
      </c>
      <c r="D86" s="1699"/>
      <c r="E86" s="1702"/>
      <c r="F86" s="1701"/>
      <c r="G86" s="1702"/>
      <c r="H86" s="1703"/>
      <c r="I86" s="1704"/>
      <c r="J86" s="1658" t="s">
        <v>2226</v>
      </c>
    </row>
    <row r="87" spans="1:10" s="1705" customFormat="1" ht="33.75">
      <c r="A87" s="1703"/>
      <c r="B87" s="1673"/>
      <c r="C87" s="1706" t="s">
        <v>392</v>
      </c>
      <c r="D87" s="1710"/>
      <c r="E87" s="1700"/>
      <c r="F87" s="1710"/>
      <c r="G87" s="1700"/>
      <c r="H87" s="1706"/>
      <c r="I87" s="1706"/>
      <c r="J87" s="1658" t="s">
        <v>2226</v>
      </c>
    </row>
    <row r="88" spans="1:10" s="1705" customFormat="1">
      <c r="A88" s="1703"/>
      <c r="B88" s="1673"/>
      <c r="C88" s="1706" t="s">
        <v>384</v>
      </c>
      <c r="D88" s="1699"/>
      <c r="E88" s="1702"/>
      <c r="F88" s="1701"/>
      <c r="G88" s="1702"/>
      <c r="H88" s="1703"/>
      <c r="I88" s="1704"/>
      <c r="J88" s="1658" t="s">
        <v>2226</v>
      </c>
    </row>
    <row r="89" spans="1:10" s="1705" customFormat="1">
      <c r="A89" s="1703"/>
      <c r="B89" s="1673"/>
      <c r="C89" s="1706" t="s">
        <v>1661</v>
      </c>
      <c r="D89" s="1699">
        <v>0.6</v>
      </c>
      <c r="E89" s="1718" t="s">
        <v>27</v>
      </c>
      <c r="F89" s="1701">
        <v>1</v>
      </c>
      <c r="G89" s="1718" t="s">
        <v>27</v>
      </c>
      <c r="H89" s="1703">
        <f>'MINI SSR 19-20'!$H$16</f>
        <v>575</v>
      </c>
      <c r="I89" s="1704">
        <f>SUM(D89*H89/F89)</f>
        <v>345</v>
      </c>
      <c r="J89" s="1658" t="s">
        <v>2226</v>
      </c>
    </row>
    <row r="90" spans="1:10" s="1705" customFormat="1">
      <c r="A90" s="1703"/>
      <c r="B90" s="1673"/>
      <c r="C90" s="1706" t="s">
        <v>1662</v>
      </c>
      <c r="D90" s="1699">
        <v>1.2</v>
      </c>
      <c r="E90" s="1718" t="s">
        <v>27</v>
      </c>
      <c r="F90" s="1701">
        <v>1</v>
      </c>
      <c r="G90" s="1718" t="s">
        <v>27</v>
      </c>
      <c r="H90" s="1703">
        <f>'MINI SSR 19-20'!$H$17</f>
        <v>471</v>
      </c>
      <c r="I90" s="1716">
        <f>SUM(D90*H90/F90)</f>
        <v>565.19999999999993</v>
      </c>
      <c r="J90" s="1658" t="s">
        <v>2226</v>
      </c>
    </row>
    <row r="91" spans="1:10" s="1705" customFormat="1">
      <c r="A91" s="1703"/>
      <c r="B91" s="1673"/>
      <c r="C91" s="1706" t="s">
        <v>700</v>
      </c>
      <c r="D91" s="1699">
        <v>0.6</v>
      </c>
      <c r="E91" s="1718" t="s">
        <v>27</v>
      </c>
      <c r="F91" s="1701">
        <v>1</v>
      </c>
      <c r="G91" s="1718" t="s">
        <v>27</v>
      </c>
      <c r="H91" s="1703">
        <f>'MINI SSR 19-20'!$H$18</f>
        <v>418</v>
      </c>
      <c r="I91" s="1716">
        <f>SUM(D91*H91/F91)</f>
        <v>250.79999999999998</v>
      </c>
      <c r="J91" s="1658" t="s">
        <v>2226</v>
      </c>
    </row>
    <row r="92" spans="1:10" s="1705" customFormat="1">
      <c r="A92" s="1703"/>
      <c r="B92" s="1673"/>
      <c r="C92" s="1706" t="s">
        <v>327</v>
      </c>
      <c r="D92" s="1699"/>
      <c r="E92" s="1718"/>
      <c r="F92" s="1701"/>
      <c r="G92" s="1718"/>
      <c r="H92" s="1703"/>
      <c r="I92" s="1704"/>
      <c r="J92" s="1658" t="s">
        <v>2226</v>
      </c>
    </row>
    <row r="93" spans="1:10" s="1705" customFormat="1">
      <c r="A93" s="1703"/>
      <c r="B93" s="1673"/>
      <c r="C93" s="1729" t="s">
        <v>621</v>
      </c>
      <c r="D93" s="1730">
        <v>6</v>
      </c>
      <c r="E93" s="1702" t="s">
        <v>325</v>
      </c>
      <c r="F93" s="1701">
        <v>1</v>
      </c>
      <c r="G93" s="1702" t="s">
        <v>115</v>
      </c>
      <c r="H93" s="1703">
        <f>'MINI SSR 19-20'!C116</f>
        <v>15</v>
      </c>
      <c r="I93" s="1704">
        <f>SUM(D93*H93/F93)</f>
        <v>90</v>
      </c>
      <c r="J93" s="1658" t="s">
        <v>2226</v>
      </c>
    </row>
    <row r="94" spans="1:10" s="1705" customFormat="1" ht="45">
      <c r="A94" s="1703"/>
      <c r="B94" s="1673"/>
      <c r="C94" s="1729" t="s">
        <v>394</v>
      </c>
      <c r="D94" s="1699">
        <v>100</v>
      </c>
      <c r="E94" s="1718" t="s">
        <v>395</v>
      </c>
      <c r="F94" s="1701">
        <v>100</v>
      </c>
      <c r="G94" s="1718" t="s">
        <v>395</v>
      </c>
      <c r="H94" s="1703">
        <f>'MINI SSR 19-20'!C119</f>
        <v>1050</v>
      </c>
      <c r="I94" s="1704">
        <f>SUM(D94*H94/F94)</f>
        <v>1050</v>
      </c>
      <c r="J94" s="1658" t="s">
        <v>2226</v>
      </c>
    </row>
    <row r="95" spans="1:10" s="1705" customFormat="1">
      <c r="A95" s="1703"/>
      <c r="B95" s="1673"/>
      <c r="C95" s="1706" t="s">
        <v>396</v>
      </c>
      <c r="D95" s="1699"/>
      <c r="E95" s="1702"/>
      <c r="F95" s="1701"/>
      <c r="G95" s="1702"/>
      <c r="H95" s="1703"/>
      <c r="I95" s="1704">
        <f>SUM(I89:I94)</f>
        <v>2301</v>
      </c>
      <c r="J95" s="1658" t="s">
        <v>2226</v>
      </c>
    </row>
    <row r="96" spans="1:10" s="1705" customFormat="1">
      <c r="A96" s="1703"/>
      <c r="B96" s="1673"/>
      <c r="C96" s="1706" t="s">
        <v>397</v>
      </c>
      <c r="D96" s="1699"/>
      <c r="E96" s="1702"/>
      <c r="F96" s="1701"/>
      <c r="G96" s="1702"/>
      <c r="H96" s="1703"/>
      <c r="I96" s="1704">
        <f>ROUND(I95/6,2)</f>
        <v>383.5</v>
      </c>
      <c r="J96" s="1658" t="s">
        <v>2226</v>
      </c>
    </row>
    <row r="97" spans="1:10" s="1705" customFormat="1" ht="67.5">
      <c r="A97" s="1728" t="s">
        <v>721</v>
      </c>
      <c r="B97" s="1698">
        <v>8</v>
      </c>
      <c r="C97" s="1706" t="s">
        <v>435</v>
      </c>
      <c r="D97" s="1710"/>
      <c r="E97" s="1700"/>
      <c r="F97" s="1710"/>
      <c r="G97" s="1700"/>
      <c r="H97" s="1706"/>
      <c r="I97" s="1706"/>
      <c r="J97" s="1658" t="s">
        <v>2226</v>
      </c>
    </row>
    <row r="98" spans="1:10" s="1705" customFormat="1" ht="22.5">
      <c r="A98" s="1703"/>
      <c r="B98" s="1673"/>
      <c r="C98" s="1706" t="s">
        <v>391</v>
      </c>
      <c r="D98" s="1699"/>
      <c r="E98" s="1702"/>
      <c r="F98" s="1701"/>
      <c r="G98" s="1702"/>
      <c r="H98" s="1703"/>
      <c r="I98" s="1704"/>
      <c r="J98" s="1658" t="s">
        <v>2226</v>
      </c>
    </row>
    <row r="99" spans="1:10" s="1705" customFormat="1" ht="33.75">
      <c r="A99" s="1703"/>
      <c r="B99" s="1673"/>
      <c r="C99" s="1706" t="s">
        <v>392</v>
      </c>
      <c r="D99" s="1710"/>
      <c r="E99" s="1700"/>
      <c r="F99" s="1710"/>
      <c r="G99" s="1700"/>
      <c r="H99" s="1706"/>
      <c r="I99" s="1706"/>
      <c r="J99" s="1658" t="s">
        <v>2226</v>
      </c>
    </row>
    <row r="100" spans="1:10" s="1705" customFormat="1">
      <c r="A100" s="1703"/>
      <c r="B100" s="1673"/>
      <c r="C100" s="1706" t="s">
        <v>384</v>
      </c>
      <c r="D100" s="1699"/>
      <c r="E100" s="1702"/>
      <c r="F100" s="1701"/>
      <c r="G100" s="1702"/>
      <c r="H100" s="1703"/>
      <c r="I100" s="1704"/>
      <c r="J100" s="1658" t="s">
        <v>2226</v>
      </c>
    </row>
    <row r="101" spans="1:10" s="1705" customFormat="1">
      <c r="A101" s="1703"/>
      <c r="B101" s="1673"/>
      <c r="C101" s="1706" t="s">
        <v>1661</v>
      </c>
      <c r="D101" s="1699">
        <v>0.6</v>
      </c>
      <c r="E101" s="1718" t="s">
        <v>27</v>
      </c>
      <c r="F101" s="1701">
        <v>1</v>
      </c>
      <c r="G101" s="1718" t="s">
        <v>27</v>
      </c>
      <c r="H101" s="1703">
        <f>'MINI SSR 19-20'!$H$16</f>
        <v>575</v>
      </c>
      <c r="I101" s="1704">
        <f>SUM(D101*H101/F101)</f>
        <v>345</v>
      </c>
      <c r="J101" s="1658" t="s">
        <v>2226</v>
      </c>
    </row>
    <row r="102" spans="1:10" s="1705" customFormat="1">
      <c r="A102" s="1703"/>
      <c r="B102" s="1673"/>
      <c r="C102" s="1706" t="s">
        <v>1662</v>
      </c>
      <c r="D102" s="1699">
        <v>1.2</v>
      </c>
      <c r="E102" s="1718" t="s">
        <v>27</v>
      </c>
      <c r="F102" s="1701">
        <v>1</v>
      </c>
      <c r="G102" s="1718" t="s">
        <v>27</v>
      </c>
      <c r="H102" s="1703">
        <f>'MINI SSR 19-20'!$H$17</f>
        <v>471</v>
      </c>
      <c r="I102" s="1716">
        <f>SUM(D102*H102/F102)</f>
        <v>565.19999999999993</v>
      </c>
      <c r="J102" s="1658" t="s">
        <v>2226</v>
      </c>
    </row>
    <row r="103" spans="1:10" s="1705" customFormat="1">
      <c r="A103" s="1703"/>
      <c r="B103" s="1673"/>
      <c r="C103" s="1706" t="s">
        <v>700</v>
      </c>
      <c r="D103" s="1699">
        <v>0.6</v>
      </c>
      <c r="E103" s="1718" t="s">
        <v>27</v>
      </c>
      <c r="F103" s="1701">
        <v>1</v>
      </c>
      <c r="G103" s="1718" t="s">
        <v>27</v>
      </c>
      <c r="H103" s="1703">
        <f>'MINI SSR 19-20'!$H$18</f>
        <v>418</v>
      </c>
      <c r="I103" s="1716">
        <f>SUM(D103*H103/F103)</f>
        <v>250.79999999999998</v>
      </c>
      <c r="J103" s="1658" t="s">
        <v>2226</v>
      </c>
    </row>
    <row r="104" spans="1:10" s="1705" customFormat="1">
      <c r="A104" s="1703"/>
      <c r="B104" s="1673"/>
      <c r="C104" s="1706" t="s">
        <v>327</v>
      </c>
      <c r="D104" s="1699"/>
      <c r="E104" s="1718"/>
      <c r="F104" s="1701"/>
      <c r="G104" s="1718"/>
      <c r="H104" s="1703"/>
      <c r="I104" s="1704"/>
      <c r="J104" s="1658" t="s">
        <v>2226</v>
      </c>
    </row>
    <row r="105" spans="1:10" s="1705" customFormat="1">
      <c r="A105" s="1703"/>
      <c r="B105" s="1673"/>
      <c r="C105" s="1729" t="s">
        <v>621</v>
      </c>
      <c r="D105" s="1730">
        <v>6</v>
      </c>
      <c r="E105" s="1702" t="s">
        <v>325</v>
      </c>
      <c r="F105" s="1701">
        <v>1</v>
      </c>
      <c r="G105" s="1702" t="s">
        <v>115</v>
      </c>
      <c r="H105" s="1703">
        <f>'MINI SSR 19-20'!C116</f>
        <v>15</v>
      </c>
      <c r="I105" s="1704">
        <f>SUM(D105*H105/F105)</f>
        <v>90</v>
      </c>
      <c r="J105" s="1658" t="s">
        <v>2226</v>
      </c>
    </row>
    <row r="106" spans="1:10" s="1705" customFormat="1" ht="22.5">
      <c r="A106" s="1703"/>
      <c r="B106" s="1673"/>
      <c r="C106" s="1731" t="s">
        <v>393</v>
      </c>
      <c r="D106" s="1730">
        <v>6</v>
      </c>
      <c r="E106" s="1702" t="s">
        <v>325</v>
      </c>
      <c r="F106" s="1701">
        <v>1</v>
      </c>
      <c r="G106" s="1702" t="s">
        <v>115</v>
      </c>
      <c r="H106" s="1703">
        <f>'MINI SSR 19-20'!C120</f>
        <v>19</v>
      </c>
      <c r="I106" s="1704">
        <f>SUM(D106*H106/F106)</f>
        <v>114</v>
      </c>
      <c r="J106" s="1658" t="s">
        <v>2226</v>
      </c>
    </row>
    <row r="107" spans="1:10" s="1705" customFormat="1" ht="45">
      <c r="A107" s="1703"/>
      <c r="B107" s="1673"/>
      <c r="C107" s="1729" t="s">
        <v>394</v>
      </c>
      <c r="D107" s="1699">
        <v>100</v>
      </c>
      <c r="E107" s="1718" t="s">
        <v>395</v>
      </c>
      <c r="F107" s="1701">
        <v>100</v>
      </c>
      <c r="G107" s="1718" t="s">
        <v>395</v>
      </c>
      <c r="H107" s="1703">
        <f>'MINI SSR 19-20'!C119</f>
        <v>1050</v>
      </c>
      <c r="I107" s="1704">
        <f>SUM(D107*H107/F107)</f>
        <v>1050</v>
      </c>
      <c r="J107" s="1658" t="s">
        <v>2226</v>
      </c>
    </row>
    <row r="108" spans="1:10" s="1705" customFormat="1">
      <c r="A108" s="1703"/>
      <c r="B108" s="1673"/>
      <c r="C108" s="1706" t="s">
        <v>396</v>
      </c>
      <c r="D108" s="1699"/>
      <c r="E108" s="1702"/>
      <c r="F108" s="1701"/>
      <c r="G108" s="1702"/>
      <c r="H108" s="1703"/>
      <c r="I108" s="1704">
        <f>SUM(I101:I107)</f>
        <v>2415</v>
      </c>
      <c r="J108" s="1658" t="s">
        <v>2226</v>
      </c>
    </row>
    <row r="109" spans="1:10" s="1705" customFormat="1">
      <c r="A109" s="1703"/>
      <c r="B109" s="1673"/>
      <c r="C109" s="1706" t="s">
        <v>397</v>
      </c>
      <c r="D109" s="1699"/>
      <c r="E109" s="1702"/>
      <c r="F109" s="1701"/>
      <c r="G109" s="1702"/>
      <c r="H109" s="1703"/>
      <c r="I109" s="1704">
        <f>ROUND(I108/6,2)</f>
        <v>402.5</v>
      </c>
      <c r="J109" s="1658" t="s">
        <v>2226</v>
      </c>
    </row>
    <row r="110" spans="1:10" s="1705" customFormat="1" ht="45">
      <c r="A110" s="1728" t="s">
        <v>722</v>
      </c>
      <c r="B110" s="1698">
        <v>9</v>
      </c>
      <c r="C110" s="1706" t="s">
        <v>432</v>
      </c>
      <c r="D110" s="1710"/>
      <c r="E110" s="1700"/>
      <c r="F110" s="1710"/>
      <c r="G110" s="1700"/>
      <c r="H110" s="1706"/>
      <c r="I110" s="1706"/>
      <c r="J110" s="1658" t="s">
        <v>2226</v>
      </c>
    </row>
    <row r="111" spans="1:10" s="1705" customFormat="1">
      <c r="A111" s="1703"/>
      <c r="B111" s="1673"/>
      <c r="C111" s="1706" t="s">
        <v>384</v>
      </c>
      <c r="D111" s="1699"/>
      <c r="E111" s="1702"/>
      <c r="F111" s="1701"/>
      <c r="G111" s="1702"/>
      <c r="H111" s="1703"/>
      <c r="I111" s="1704"/>
      <c r="J111" s="1658" t="s">
        <v>2226</v>
      </c>
    </row>
    <row r="112" spans="1:10" s="1705" customFormat="1">
      <c r="A112" s="1703"/>
      <c r="B112" s="1673"/>
      <c r="C112" s="1706" t="s">
        <v>1661</v>
      </c>
      <c r="D112" s="1732">
        <v>6.7000000000000004E-2</v>
      </c>
      <c r="E112" s="1718" t="s">
        <v>27</v>
      </c>
      <c r="F112" s="1701">
        <v>1</v>
      </c>
      <c r="G112" s="1718" t="s">
        <v>27</v>
      </c>
      <c r="H112" s="1703">
        <f>'MINI SSR 19-20'!$H$16</f>
        <v>575</v>
      </c>
      <c r="I112" s="1704">
        <f>SUM(D112*H112/F112)</f>
        <v>38.525000000000006</v>
      </c>
      <c r="J112" s="1658" t="s">
        <v>2226</v>
      </c>
    </row>
    <row r="113" spans="1:10" s="1705" customFormat="1">
      <c r="A113" s="1703"/>
      <c r="B113" s="1673"/>
      <c r="C113" s="1706" t="s">
        <v>700</v>
      </c>
      <c r="D113" s="1732">
        <v>6.7000000000000004E-2</v>
      </c>
      <c r="E113" s="1718" t="s">
        <v>27</v>
      </c>
      <c r="F113" s="1701">
        <v>1</v>
      </c>
      <c r="G113" s="1718" t="s">
        <v>27</v>
      </c>
      <c r="H113" s="1703">
        <f>'MINI SSR 19-20'!$H$18</f>
        <v>418</v>
      </c>
      <c r="I113" s="1716">
        <f>SUM(D113*H113/F113)</f>
        <v>28.006</v>
      </c>
      <c r="J113" s="1658" t="s">
        <v>2226</v>
      </c>
    </row>
    <row r="114" spans="1:10" s="1705" customFormat="1">
      <c r="A114" s="1703"/>
      <c r="B114" s="1673"/>
      <c r="C114" s="1706" t="s">
        <v>327</v>
      </c>
      <c r="D114" s="1699"/>
      <c r="E114" s="1718"/>
      <c r="F114" s="1701"/>
      <c r="G114" s="1718"/>
      <c r="H114" s="1703"/>
      <c r="I114" s="1704"/>
      <c r="J114" s="1658" t="s">
        <v>2226</v>
      </c>
    </row>
    <row r="115" spans="1:10" s="1705" customFormat="1">
      <c r="A115" s="1703"/>
      <c r="B115" s="1673"/>
      <c r="C115" s="1729" t="s">
        <v>621</v>
      </c>
      <c r="D115" s="1730">
        <v>1</v>
      </c>
      <c r="E115" s="1702" t="s">
        <v>325</v>
      </c>
      <c r="F115" s="1701">
        <v>1</v>
      </c>
      <c r="G115" s="1702" t="s">
        <v>115</v>
      </c>
      <c r="H115" s="1703">
        <f>'MINI SSR 19-20'!C116</f>
        <v>15</v>
      </c>
      <c r="I115" s="1704">
        <f>SUM(D115*H115/F115)</f>
        <v>15</v>
      </c>
      <c r="J115" s="1658" t="s">
        <v>2226</v>
      </c>
    </row>
    <row r="116" spans="1:10" s="1705" customFormat="1">
      <c r="A116" s="1703"/>
      <c r="B116" s="1673"/>
      <c r="C116" s="1729" t="s">
        <v>622</v>
      </c>
      <c r="D116" s="1730">
        <v>1</v>
      </c>
      <c r="E116" s="1702" t="s">
        <v>115</v>
      </c>
      <c r="F116" s="1701">
        <v>1</v>
      </c>
      <c r="G116" s="1702" t="s">
        <v>115</v>
      </c>
      <c r="H116" s="1703">
        <f>'MINI SSR 19-20'!C118</f>
        <v>24</v>
      </c>
      <c r="I116" s="1704">
        <f>SUM(D116*H116/F116)</f>
        <v>24</v>
      </c>
      <c r="J116" s="1658" t="s">
        <v>2226</v>
      </c>
    </row>
    <row r="117" spans="1:10" s="1705" customFormat="1">
      <c r="A117" s="1703"/>
      <c r="B117" s="1673"/>
      <c r="C117" s="1711" t="s">
        <v>388</v>
      </c>
      <c r="D117" s="1724"/>
      <c r="E117" s="1702"/>
      <c r="F117" s="1733"/>
      <c r="G117" s="1734"/>
      <c r="H117" s="1735"/>
      <c r="I117" s="1704">
        <f>SUM(I112:I116)</f>
        <v>105.53100000000001</v>
      </c>
      <c r="J117" s="1658" t="s">
        <v>2226</v>
      </c>
    </row>
    <row r="118" spans="1:10" ht="45" hidden="1">
      <c r="A118" s="1295" t="s">
        <v>1263</v>
      </c>
      <c r="B118" s="1263">
        <v>9</v>
      </c>
      <c r="C118" s="1270" t="s">
        <v>1238</v>
      </c>
      <c r="D118" s="1274"/>
      <c r="E118" s="1265"/>
      <c r="F118" s="1274"/>
      <c r="G118" s="1265"/>
      <c r="H118" s="1270"/>
      <c r="I118" s="1270"/>
      <c r="J118" s="1205" t="s">
        <v>2226</v>
      </c>
    </row>
    <row r="119" spans="1:10" hidden="1">
      <c r="A119" s="1268"/>
      <c r="B119" s="1257"/>
      <c r="C119" s="1270" t="s">
        <v>384</v>
      </c>
      <c r="D119" s="1264"/>
      <c r="E119" s="1267"/>
      <c r="F119" s="1266"/>
      <c r="G119" s="1267"/>
      <c r="H119" s="1268"/>
      <c r="I119" s="1269"/>
      <c r="J119" s="1205" t="s">
        <v>2226</v>
      </c>
    </row>
    <row r="120" spans="1:10" hidden="1">
      <c r="A120" s="1268"/>
      <c r="B120" s="1257"/>
      <c r="C120" s="1270" t="s">
        <v>1661</v>
      </c>
      <c r="D120" s="1299">
        <v>0.1</v>
      </c>
      <c r="E120" s="1282" t="s">
        <v>27</v>
      </c>
      <c r="F120" s="1266">
        <v>1</v>
      </c>
      <c r="G120" s="1282" t="s">
        <v>27</v>
      </c>
      <c r="H120" s="1268">
        <f>'MINI SSR 19-20'!$H$16</f>
        <v>575</v>
      </c>
      <c r="I120" s="1269">
        <f>SUM(D120*H120/F120)</f>
        <v>57.5</v>
      </c>
      <c r="J120" s="1205" t="s">
        <v>2226</v>
      </c>
    </row>
    <row r="121" spans="1:10" hidden="1">
      <c r="A121" s="1268"/>
      <c r="B121" s="1257"/>
      <c r="C121" s="1270" t="s">
        <v>700</v>
      </c>
      <c r="D121" s="1299">
        <v>0.1</v>
      </c>
      <c r="E121" s="1282" t="s">
        <v>27</v>
      </c>
      <c r="F121" s="1266">
        <v>1</v>
      </c>
      <c r="G121" s="1282" t="s">
        <v>27</v>
      </c>
      <c r="H121" s="1268">
        <f>'MINI SSR 19-20'!$H$18</f>
        <v>418</v>
      </c>
      <c r="I121" s="1280">
        <f>SUM(D121*H121/F121)</f>
        <v>41.800000000000004</v>
      </c>
      <c r="J121" s="1205" t="s">
        <v>2226</v>
      </c>
    </row>
    <row r="122" spans="1:10" hidden="1">
      <c r="A122" s="1268"/>
      <c r="B122" s="1257"/>
      <c r="C122" s="1270" t="s">
        <v>327</v>
      </c>
      <c r="D122" s="1264"/>
      <c r="E122" s="1282"/>
      <c r="F122" s="1266"/>
      <c r="G122" s="1282"/>
      <c r="H122" s="1268"/>
      <c r="I122" s="1269"/>
      <c r="J122" s="1205" t="s">
        <v>2226</v>
      </c>
    </row>
    <row r="123" spans="1:10" hidden="1">
      <c r="A123" s="1268"/>
      <c r="B123" s="1257"/>
      <c r="C123" s="1296" t="s">
        <v>1264</v>
      </c>
      <c r="D123" s="1297">
        <v>1</v>
      </c>
      <c r="E123" s="1267" t="s">
        <v>325</v>
      </c>
      <c r="F123" s="1266">
        <v>1</v>
      </c>
      <c r="G123" s="1267" t="s">
        <v>115</v>
      </c>
      <c r="H123" s="1268">
        <f>'MINI SSR 19-20'!C121</f>
        <v>40</v>
      </c>
      <c r="I123" s="1269">
        <f>SUM(D123*H123/F123)</f>
        <v>40</v>
      </c>
      <c r="J123" s="1205" t="s">
        <v>2226</v>
      </c>
    </row>
    <row r="124" spans="1:10" hidden="1">
      <c r="A124" s="1268"/>
      <c r="B124" s="1257"/>
      <c r="C124" s="1296" t="s">
        <v>1266</v>
      </c>
      <c r="D124" s="1297">
        <v>1</v>
      </c>
      <c r="E124" s="1267" t="s">
        <v>115</v>
      </c>
      <c r="F124" s="1266">
        <v>1</v>
      </c>
      <c r="G124" s="1267" t="s">
        <v>115</v>
      </c>
      <c r="H124" s="1268">
        <f>'MINI SSR 19-20'!C122</f>
        <v>115</v>
      </c>
      <c r="I124" s="1269">
        <f>SUM(D124*H124/F124)</f>
        <v>115</v>
      </c>
      <c r="J124" s="1205" t="s">
        <v>2226</v>
      </c>
    </row>
    <row r="125" spans="1:10" ht="22.5" hidden="1">
      <c r="A125" s="1268"/>
      <c r="B125" s="1257"/>
      <c r="C125" s="1296" t="s">
        <v>1265</v>
      </c>
      <c r="D125" s="1297">
        <v>1</v>
      </c>
      <c r="E125" s="1267" t="s">
        <v>115</v>
      </c>
      <c r="F125" s="1266">
        <v>1</v>
      </c>
      <c r="G125" s="1267" t="s">
        <v>115</v>
      </c>
      <c r="H125" s="1268">
        <f>'MINI SSR 19-20'!C123</f>
        <v>90</v>
      </c>
      <c r="I125" s="1269">
        <f>SUM(D125*H125/F125)</f>
        <v>90</v>
      </c>
      <c r="J125" s="1205" t="s">
        <v>2226</v>
      </c>
    </row>
    <row r="126" spans="1:10" hidden="1">
      <c r="A126" s="1268"/>
      <c r="B126" s="1257"/>
      <c r="C126" s="1275" t="s">
        <v>388</v>
      </c>
      <c r="D126" s="1288"/>
      <c r="E126" s="1267"/>
      <c r="F126" s="1300"/>
      <c r="G126" s="1301"/>
      <c r="H126" s="1302"/>
      <c r="I126" s="1269">
        <f>SUM(I120:I125)</f>
        <v>344.3</v>
      </c>
      <c r="J126" s="1205" t="s">
        <v>2226</v>
      </c>
    </row>
    <row r="127" spans="1:10" ht="45" hidden="1">
      <c r="A127" s="1268" t="s">
        <v>441</v>
      </c>
      <c r="B127" s="1263">
        <v>27</v>
      </c>
      <c r="C127" s="1270" t="s">
        <v>620</v>
      </c>
      <c r="D127" s="1274"/>
      <c r="E127" s="1265"/>
      <c r="F127" s="1274"/>
      <c r="G127" s="1265"/>
      <c r="H127" s="1270"/>
      <c r="I127" s="1270"/>
      <c r="J127" s="1205" t="s">
        <v>2226</v>
      </c>
    </row>
    <row r="128" spans="1:10" hidden="1">
      <c r="A128" s="1268"/>
      <c r="B128" s="1257"/>
      <c r="C128" s="1270" t="s">
        <v>384</v>
      </c>
      <c r="D128" s="1264"/>
      <c r="E128" s="1267"/>
      <c r="F128" s="1266"/>
      <c r="G128" s="1267"/>
      <c r="H128" s="1268"/>
      <c r="I128" s="1269"/>
      <c r="J128" s="1205" t="s">
        <v>2226</v>
      </c>
    </row>
    <row r="129" spans="1:10" hidden="1">
      <c r="A129" s="1268"/>
      <c r="B129" s="1257"/>
      <c r="C129" s="1270" t="s">
        <v>1661</v>
      </c>
      <c r="D129" s="1299">
        <v>6.7000000000000004E-2</v>
      </c>
      <c r="E129" s="1282" t="s">
        <v>27</v>
      </c>
      <c r="F129" s="1266">
        <v>1</v>
      </c>
      <c r="G129" s="1282" t="s">
        <v>27</v>
      </c>
      <c r="H129" s="1268">
        <f>'MINI SSR 19-20'!$H$16</f>
        <v>575</v>
      </c>
      <c r="I129" s="1269">
        <f>SUM(D129*H129/F129)</f>
        <v>38.525000000000006</v>
      </c>
      <c r="J129" s="1205" t="s">
        <v>2226</v>
      </c>
    </row>
    <row r="130" spans="1:10" hidden="1">
      <c r="A130" s="1268"/>
      <c r="B130" s="1257"/>
      <c r="C130" s="1270" t="s">
        <v>700</v>
      </c>
      <c r="D130" s="1299">
        <v>6.7000000000000004E-2</v>
      </c>
      <c r="E130" s="1282" t="s">
        <v>27</v>
      </c>
      <c r="F130" s="1266">
        <v>1</v>
      </c>
      <c r="G130" s="1282" t="s">
        <v>27</v>
      </c>
      <c r="H130" s="1268">
        <f>'MINI SSR 19-20'!$H$18</f>
        <v>418</v>
      </c>
      <c r="I130" s="1280">
        <f>SUM(D130*H130/F130)</f>
        <v>28.006</v>
      </c>
      <c r="J130" s="1205" t="s">
        <v>2226</v>
      </c>
    </row>
    <row r="131" spans="1:10" hidden="1">
      <c r="A131" s="1268"/>
      <c r="B131" s="1257"/>
      <c r="C131" s="1270" t="s">
        <v>327</v>
      </c>
      <c r="D131" s="1264"/>
      <c r="E131" s="1282"/>
      <c r="F131" s="1266"/>
      <c r="G131" s="1282"/>
      <c r="H131" s="1268"/>
      <c r="I131" s="1269"/>
      <c r="J131" s="1205" t="s">
        <v>2226</v>
      </c>
    </row>
    <row r="132" spans="1:10" hidden="1">
      <c r="A132" s="1268"/>
      <c r="B132" s="1257"/>
      <c r="C132" s="1296" t="s">
        <v>621</v>
      </c>
      <c r="D132" s="1297">
        <v>1</v>
      </c>
      <c r="E132" s="1267" t="s">
        <v>325</v>
      </c>
      <c r="F132" s="1266">
        <v>1</v>
      </c>
      <c r="G132" s="1267" t="s">
        <v>115</v>
      </c>
      <c r="H132" s="1268">
        <f>'MINI SSR 19-20'!C116</f>
        <v>15</v>
      </c>
      <c r="I132" s="1269">
        <f>SUM(D132*H132/F132)</f>
        <v>15</v>
      </c>
      <c r="J132" s="1205" t="s">
        <v>2226</v>
      </c>
    </row>
    <row r="133" spans="1:10" hidden="1">
      <c r="A133" s="1268"/>
      <c r="B133" s="1257"/>
      <c r="C133" s="1296" t="s">
        <v>623</v>
      </c>
      <c r="D133" s="1297">
        <v>1</v>
      </c>
      <c r="E133" s="1267" t="s">
        <v>115</v>
      </c>
      <c r="F133" s="1266">
        <v>1</v>
      </c>
      <c r="G133" s="1267" t="s">
        <v>115</v>
      </c>
      <c r="H133" s="1268">
        <f>'MINI SSR 19-20'!C117</f>
        <v>18</v>
      </c>
      <c r="I133" s="1269">
        <f>SUM(D133*H133/F133)</f>
        <v>18</v>
      </c>
      <c r="J133" s="1205" t="s">
        <v>2226</v>
      </c>
    </row>
    <row r="134" spans="1:10" hidden="1">
      <c r="A134" s="1268"/>
      <c r="B134" s="1257"/>
      <c r="C134" s="1270" t="s">
        <v>945</v>
      </c>
      <c r="D134" s="1288"/>
      <c r="E134" s="1267"/>
      <c r="F134" s="1300"/>
      <c r="G134" s="1301"/>
      <c r="H134" s="1302"/>
      <c r="I134" s="1269">
        <f>SUM(I129:I133)</f>
        <v>99.531000000000006</v>
      </c>
      <c r="J134" s="1205" t="s">
        <v>2226</v>
      </c>
    </row>
    <row r="135" spans="1:10" ht="33.75" hidden="1">
      <c r="A135" s="1268" t="s">
        <v>1664</v>
      </c>
      <c r="B135" s="1263">
        <v>29</v>
      </c>
      <c r="C135" s="1270" t="s">
        <v>1665</v>
      </c>
      <c r="D135" s="1271"/>
      <c r="E135" s="1272"/>
      <c r="F135" s="1271"/>
      <c r="G135" s="1272"/>
      <c r="H135" s="1257"/>
      <c r="I135" s="1273"/>
      <c r="J135" s="1205" t="s">
        <v>2226</v>
      </c>
    </row>
    <row r="136" spans="1:10" ht="22.5" hidden="1">
      <c r="A136" s="1263"/>
      <c r="B136" s="1257"/>
      <c r="C136" s="1270" t="s">
        <v>391</v>
      </c>
      <c r="D136" s="1264"/>
      <c r="E136" s="1267"/>
      <c r="F136" s="1266"/>
      <c r="G136" s="1267"/>
      <c r="H136" s="1268"/>
      <c r="I136" s="1269"/>
      <c r="J136" s="1205" t="s">
        <v>2226</v>
      </c>
    </row>
    <row r="137" spans="1:10" hidden="1">
      <c r="A137" s="1263"/>
      <c r="B137" s="1257"/>
      <c r="C137" s="1270" t="s">
        <v>384</v>
      </c>
      <c r="D137" s="1264"/>
      <c r="E137" s="1267"/>
      <c r="F137" s="1266"/>
      <c r="G137" s="1267"/>
      <c r="H137" s="1268"/>
      <c r="I137" s="1269"/>
      <c r="J137" s="1205" t="s">
        <v>2226</v>
      </c>
    </row>
    <row r="138" spans="1:10" hidden="1">
      <c r="A138" s="1263"/>
      <c r="B138" s="1257"/>
      <c r="C138" s="1281" t="s">
        <v>1661</v>
      </c>
      <c r="D138" s="1264">
        <v>0.67</v>
      </c>
      <c r="E138" s="1282" t="s">
        <v>27</v>
      </c>
      <c r="F138" s="1266">
        <v>1</v>
      </c>
      <c r="G138" s="1282" t="s">
        <v>27</v>
      </c>
      <c r="H138" s="1268">
        <f>'MINI SSR 19-20'!$H$16</f>
        <v>575</v>
      </c>
      <c r="I138" s="1269">
        <f>SUM(D138*H138/F138)</f>
        <v>385.25</v>
      </c>
      <c r="J138" s="1205" t="s">
        <v>2226</v>
      </c>
    </row>
    <row r="139" spans="1:10" hidden="1">
      <c r="A139" s="1263"/>
      <c r="B139" s="1257"/>
      <c r="C139" s="1281" t="s">
        <v>1662</v>
      </c>
      <c r="D139" s="1264">
        <v>2</v>
      </c>
      <c r="E139" s="1282" t="s">
        <v>27</v>
      </c>
      <c r="F139" s="1266">
        <v>1</v>
      </c>
      <c r="G139" s="1282" t="s">
        <v>27</v>
      </c>
      <c r="H139" s="1268">
        <f>'MINI SSR 19-20'!$H$17</f>
        <v>471</v>
      </c>
      <c r="I139" s="1269">
        <f>SUM(D139*H139/F139)</f>
        <v>942</v>
      </c>
      <c r="J139" s="1205" t="s">
        <v>2226</v>
      </c>
    </row>
    <row r="140" spans="1:10" hidden="1">
      <c r="A140" s="1263"/>
      <c r="B140" s="1257"/>
      <c r="C140" s="1281" t="s">
        <v>700</v>
      </c>
      <c r="D140" s="1264">
        <v>0.67</v>
      </c>
      <c r="E140" s="1282" t="s">
        <v>27</v>
      </c>
      <c r="F140" s="1266">
        <v>1</v>
      </c>
      <c r="G140" s="1282" t="s">
        <v>27</v>
      </c>
      <c r="H140" s="1268">
        <f>'MINI SSR 19-20'!$H$18</f>
        <v>418</v>
      </c>
      <c r="I140" s="1269">
        <f>SUM(D140*H140/F140)</f>
        <v>280.06</v>
      </c>
      <c r="J140" s="1205" t="s">
        <v>2226</v>
      </c>
    </row>
    <row r="141" spans="1:10" hidden="1">
      <c r="A141" s="1263"/>
      <c r="B141" s="1257"/>
      <c r="C141" s="1270" t="s">
        <v>327</v>
      </c>
      <c r="D141" s="1264"/>
      <c r="E141" s="1282"/>
      <c r="F141" s="1266"/>
      <c r="G141" s="1282"/>
      <c r="H141" s="1268"/>
      <c r="I141" s="1269"/>
      <c r="J141" s="1205" t="s">
        <v>2226</v>
      </c>
    </row>
    <row r="142" spans="1:10" ht="33.75" hidden="1">
      <c r="A142" s="1263"/>
      <c r="B142" s="1257">
        <v>30</v>
      </c>
      <c r="C142" s="1296" t="s">
        <v>398</v>
      </c>
      <c r="D142" s="1264">
        <v>200</v>
      </c>
      <c r="E142" s="1267" t="s">
        <v>395</v>
      </c>
      <c r="F142" s="1266">
        <v>100</v>
      </c>
      <c r="G142" s="1267" t="s">
        <v>395</v>
      </c>
      <c r="H142" s="1268">
        <f>'MINI SSR 19-20'!C128</f>
        <v>1510</v>
      </c>
      <c r="I142" s="1269">
        <f>SUM(D142*H142/F142)</f>
        <v>3020</v>
      </c>
      <c r="J142" s="1205" t="s">
        <v>2226</v>
      </c>
    </row>
    <row r="143" spans="1:10" hidden="1">
      <c r="A143" s="1263"/>
      <c r="B143" s="1257"/>
      <c r="C143" s="1270" t="s">
        <v>399</v>
      </c>
      <c r="D143" s="1264"/>
      <c r="E143" s="1267"/>
      <c r="F143" s="1266"/>
      <c r="G143" s="1267"/>
      <c r="H143" s="1268"/>
      <c r="I143" s="1269">
        <f>SUM(I142:I142)</f>
        <v>3020</v>
      </c>
      <c r="J143" s="1205" t="s">
        <v>2226</v>
      </c>
    </row>
    <row r="144" spans="1:10" hidden="1">
      <c r="A144" s="1263"/>
      <c r="B144" s="1257"/>
      <c r="C144" s="1270" t="s">
        <v>400</v>
      </c>
      <c r="D144" s="1264"/>
      <c r="E144" s="1267"/>
      <c r="F144" s="1266"/>
      <c r="G144" s="1267"/>
      <c r="H144" s="1268"/>
      <c r="I144" s="1269">
        <f>SUM(I143/100)</f>
        <v>30.2</v>
      </c>
      <c r="J144" s="1205" t="s">
        <v>2226</v>
      </c>
    </row>
    <row r="145" spans="1:10" hidden="1">
      <c r="A145" s="1263"/>
      <c r="B145" s="1257"/>
      <c r="C145" s="1270" t="s">
        <v>399</v>
      </c>
      <c r="D145" s="1264"/>
      <c r="E145" s="1267"/>
      <c r="F145" s="1266"/>
      <c r="G145" s="1267"/>
      <c r="H145" s="1302"/>
      <c r="I145" s="1269">
        <f>SUM(I142:I144)</f>
        <v>6070.2</v>
      </c>
      <c r="J145" s="1205" t="s">
        <v>2226</v>
      </c>
    </row>
    <row r="146" spans="1:10" hidden="1">
      <c r="A146" s="1263"/>
      <c r="B146" s="1257"/>
      <c r="C146" s="1270" t="s">
        <v>400</v>
      </c>
      <c r="D146" s="1264"/>
      <c r="E146" s="1267"/>
      <c r="F146" s="1266"/>
      <c r="G146" s="1267"/>
      <c r="H146" s="1302"/>
      <c r="I146" s="1269">
        <f>ROUND(I145/100,2)</f>
        <v>60.7</v>
      </c>
      <c r="J146" s="1205" t="s">
        <v>2226</v>
      </c>
    </row>
    <row r="147" spans="1:10" ht="33.75" hidden="1">
      <c r="A147" s="1268" t="s">
        <v>2088</v>
      </c>
      <c r="B147" s="1263">
        <v>8</v>
      </c>
      <c r="C147" s="1270" t="s">
        <v>2093</v>
      </c>
      <c r="D147" s="1271"/>
      <c r="E147" s="1272"/>
      <c r="F147" s="1271"/>
      <c r="G147" s="1272"/>
      <c r="H147" s="1257"/>
      <c r="I147" s="1273"/>
      <c r="J147" s="1205" t="s">
        <v>2226</v>
      </c>
    </row>
    <row r="148" spans="1:10" hidden="1">
      <c r="A148" s="1263"/>
      <c r="B148" s="1257"/>
      <c r="C148" s="1270" t="s">
        <v>384</v>
      </c>
      <c r="D148" s="1264"/>
      <c r="E148" s="1267"/>
      <c r="F148" s="1266"/>
      <c r="G148" s="1267"/>
      <c r="H148" s="1268"/>
      <c r="I148" s="1269"/>
      <c r="J148" s="1205" t="s">
        <v>2226</v>
      </c>
    </row>
    <row r="149" spans="1:10" hidden="1">
      <c r="A149" s="1263"/>
      <c r="B149" s="1257"/>
      <c r="C149" s="1281" t="s">
        <v>1661</v>
      </c>
      <c r="D149" s="1264">
        <v>0.34</v>
      </c>
      <c r="E149" s="1282" t="s">
        <v>27</v>
      </c>
      <c r="F149" s="1266">
        <v>1</v>
      </c>
      <c r="G149" s="1282" t="s">
        <v>27</v>
      </c>
      <c r="H149" s="1268">
        <f>'MINI SSR 19-20'!$H$16</f>
        <v>575</v>
      </c>
      <c r="I149" s="1269">
        <f>SUM(D149*H149/F149)</f>
        <v>195.5</v>
      </c>
      <c r="J149" s="1205" t="s">
        <v>2226</v>
      </c>
    </row>
    <row r="150" spans="1:10" hidden="1">
      <c r="A150" s="1263"/>
      <c r="B150" s="1257"/>
      <c r="C150" s="1281" t="s">
        <v>1662</v>
      </c>
      <c r="D150" s="1264">
        <v>1</v>
      </c>
      <c r="E150" s="1282" t="s">
        <v>27</v>
      </c>
      <c r="F150" s="1266">
        <v>1</v>
      </c>
      <c r="G150" s="1282" t="s">
        <v>27</v>
      </c>
      <c r="H150" s="1268">
        <f>'MINI SSR 19-20'!$H$17</f>
        <v>471</v>
      </c>
      <c r="I150" s="1269">
        <f>SUM(D150*H150/F150)</f>
        <v>471</v>
      </c>
      <c r="J150" s="1205" t="s">
        <v>2226</v>
      </c>
    </row>
    <row r="151" spans="1:10" hidden="1">
      <c r="A151" s="1263"/>
      <c r="B151" s="1257"/>
      <c r="C151" s="1281" t="s">
        <v>700</v>
      </c>
      <c r="D151" s="1264">
        <v>0.34</v>
      </c>
      <c r="E151" s="1282" t="s">
        <v>27</v>
      </c>
      <c r="F151" s="1266">
        <v>1</v>
      </c>
      <c r="G151" s="1282" t="s">
        <v>27</v>
      </c>
      <c r="H151" s="1268">
        <f>'MINI SSR 19-20'!$H$18</f>
        <v>418</v>
      </c>
      <c r="I151" s="1269">
        <f>SUM(D151*H151/F151)</f>
        <v>142.12</v>
      </c>
      <c r="J151" s="1205" t="s">
        <v>2226</v>
      </c>
    </row>
    <row r="152" spans="1:10" hidden="1">
      <c r="A152" s="1263"/>
      <c r="B152" s="1257"/>
      <c r="C152" s="1296" t="s">
        <v>2089</v>
      </c>
      <c r="D152" s="1264">
        <v>100</v>
      </c>
      <c r="E152" s="1267" t="s">
        <v>395</v>
      </c>
      <c r="F152" s="1266">
        <v>100</v>
      </c>
      <c r="G152" s="1267" t="s">
        <v>395</v>
      </c>
      <c r="H152" s="1268">
        <f>'MINI SSR 19-20'!C134</f>
        <v>1050</v>
      </c>
      <c r="I152" s="1269">
        <f>SUM(D152*H152/F152)</f>
        <v>1050</v>
      </c>
      <c r="J152" s="1205" t="s">
        <v>2226</v>
      </c>
    </row>
    <row r="153" spans="1:10" hidden="1">
      <c r="A153" s="1263"/>
      <c r="B153" s="1257"/>
      <c r="C153" s="1270" t="s">
        <v>399</v>
      </c>
      <c r="D153" s="1264"/>
      <c r="E153" s="1267"/>
      <c r="F153" s="1266"/>
      <c r="G153" s="1267"/>
      <c r="H153" s="1268"/>
      <c r="I153" s="1269">
        <f>SUM(I149:I152)</f>
        <v>1858.62</v>
      </c>
      <c r="J153" s="1205" t="s">
        <v>2226</v>
      </c>
    </row>
    <row r="154" spans="1:10" hidden="1">
      <c r="A154" s="1263"/>
      <c r="B154" s="1257"/>
      <c r="C154" s="1270" t="s">
        <v>400</v>
      </c>
      <c r="D154" s="1264"/>
      <c r="E154" s="1267"/>
      <c r="F154" s="1266"/>
      <c r="G154" s="1267"/>
      <c r="H154" s="1268"/>
      <c r="I154" s="1269">
        <f>ROUND(I153/100,2)</f>
        <v>18.59</v>
      </c>
      <c r="J154" s="1205" t="s">
        <v>2226</v>
      </c>
    </row>
    <row r="155" spans="1:10" s="1705" customFormat="1" ht="46.5" customHeight="1">
      <c r="A155" s="1728" t="s">
        <v>723</v>
      </c>
      <c r="B155" s="1698">
        <v>10</v>
      </c>
      <c r="C155" s="1706" t="s">
        <v>401</v>
      </c>
      <c r="D155" s="1707"/>
      <c r="E155" s="1708"/>
      <c r="F155" s="1707"/>
      <c r="G155" s="1708"/>
      <c r="H155" s="1673"/>
      <c r="I155" s="1704"/>
      <c r="J155" s="1658" t="s">
        <v>2226</v>
      </c>
    </row>
    <row r="156" spans="1:10" s="1705" customFormat="1" ht="22.5">
      <c r="A156" s="1698"/>
      <c r="B156" s="1673"/>
      <c r="C156" s="1706" t="s">
        <v>391</v>
      </c>
      <c r="D156" s="1699"/>
      <c r="E156" s="1702"/>
      <c r="F156" s="1701"/>
      <c r="G156" s="1702"/>
      <c r="H156" s="1703"/>
      <c r="I156" s="1704"/>
      <c r="J156" s="1658" t="s">
        <v>2226</v>
      </c>
    </row>
    <row r="157" spans="1:10" s="1705" customFormat="1">
      <c r="A157" s="1698"/>
      <c r="B157" s="1673"/>
      <c r="C157" s="1706" t="s">
        <v>384</v>
      </c>
      <c r="D157" s="1699"/>
      <c r="E157" s="1702"/>
      <c r="F157" s="1701"/>
      <c r="G157" s="1702"/>
      <c r="H157" s="1703"/>
      <c r="I157" s="1704"/>
      <c r="J157" s="1658" t="s">
        <v>2226</v>
      </c>
    </row>
    <row r="158" spans="1:10" s="1705" customFormat="1">
      <c r="A158" s="1698"/>
      <c r="B158" s="1673"/>
      <c r="C158" s="1717" t="s">
        <v>1661</v>
      </c>
      <c r="D158" s="1699">
        <v>0.67</v>
      </c>
      <c r="E158" s="1718" t="s">
        <v>27</v>
      </c>
      <c r="F158" s="1701">
        <v>1</v>
      </c>
      <c r="G158" s="1718" t="s">
        <v>27</v>
      </c>
      <c r="H158" s="1703">
        <f>'MINI SSR 19-20'!$H$16</f>
        <v>575</v>
      </c>
      <c r="I158" s="1704">
        <f>SUM(D158*H158/F158)</f>
        <v>385.25</v>
      </c>
      <c r="J158" s="1658" t="s">
        <v>2226</v>
      </c>
    </row>
    <row r="159" spans="1:10" s="1705" customFormat="1">
      <c r="A159" s="1698"/>
      <c r="B159" s="1673"/>
      <c r="C159" s="1717" t="s">
        <v>1662</v>
      </c>
      <c r="D159" s="1699">
        <v>2</v>
      </c>
      <c r="E159" s="1718" t="s">
        <v>27</v>
      </c>
      <c r="F159" s="1701">
        <v>1</v>
      </c>
      <c r="G159" s="1718" t="s">
        <v>27</v>
      </c>
      <c r="H159" s="1703">
        <f>'MINI SSR 19-20'!$H$17</f>
        <v>471</v>
      </c>
      <c r="I159" s="1704">
        <f>SUM(D159*H159/F159)</f>
        <v>942</v>
      </c>
      <c r="J159" s="1658" t="s">
        <v>2226</v>
      </c>
    </row>
    <row r="160" spans="1:10" s="1705" customFormat="1">
      <c r="A160" s="1698"/>
      <c r="B160" s="1673"/>
      <c r="C160" s="1717" t="s">
        <v>700</v>
      </c>
      <c r="D160" s="1699">
        <v>0.67</v>
      </c>
      <c r="E160" s="1718" t="s">
        <v>27</v>
      </c>
      <c r="F160" s="1701">
        <v>1</v>
      </c>
      <c r="G160" s="1718" t="s">
        <v>27</v>
      </c>
      <c r="H160" s="1703">
        <f>'MINI SSR 19-20'!$H$18</f>
        <v>418</v>
      </c>
      <c r="I160" s="1704">
        <f>SUM(D160*H160/F160)</f>
        <v>280.06</v>
      </c>
      <c r="J160" s="1658" t="s">
        <v>2226</v>
      </c>
    </row>
    <row r="161" spans="1:10" s="1705" customFormat="1">
      <c r="A161" s="1698"/>
      <c r="B161" s="1673"/>
      <c r="C161" s="1706" t="s">
        <v>327</v>
      </c>
      <c r="D161" s="1699"/>
      <c r="E161" s="1718"/>
      <c r="F161" s="1701"/>
      <c r="G161" s="1718"/>
      <c r="H161" s="1703"/>
      <c r="I161" s="1704"/>
      <c r="J161" s="1658" t="s">
        <v>2226</v>
      </c>
    </row>
    <row r="162" spans="1:10" s="1705" customFormat="1" ht="33.75">
      <c r="A162" s="1698"/>
      <c r="B162" s="1673"/>
      <c r="C162" s="1729" t="s">
        <v>1666</v>
      </c>
      <c r="D162" s="1699">
        <v>200</v>
      </c>
      <c r="E162" s="1702" t="s">
        <v>395</v>
      </c>
      <c r="F162" s="1701">
        <v>100</v>
      </c>
      <c r="G162" s="1702" t="s">
        <v>395</v>
      </c>
      <c r="H162" s="1703">
        <f>'MINI SSR 19-20'!C129</f>
        <v>2440</v>
      </c>
      <c r="I162" s="1704">
        <f>SUM(D162*H162/F162)</f>
        <v>4880</v>
      </c>
      <c r="J162" s="1658" t="s">
        <v>2226</v>
      </c>
    </row>
    <row r="163" spans="1:10" s="1705" customFormat="1">
      <c r="A163" s="1698"/>
      <c r="B163" s="1673"/>
      <c r="C163" s="1706" t="s">
        <v>399</v>
      </c>
      <c r="D163" s="1699"/>
      <c r="E163" s="1702"/>
      <c r="F163" s="1701"/>
      <c r="G163" s="1702"/>
      <c r="H163" s="1703"/>
      <c r="I163" s="1704">
        <f>SUM(I158:I162)</f>
        <v>6487.3099999999995</v>
      </c>
      <c r="J163" s="1658" t="s">
        <v>2226</v>
      </c>
    </row>
    <row r="164" spans="1:10" s="1705" customFormat="1">
      <c r="A164" s="1698"/>
      <c r="B164" s="1673"/>
      <c r="C164" s="1706" t="s">
        <v>400</v>
      </c>
      <c r="D164" s="1699"/>
      <c r="E164" s="1702"/>
      <c r="F164" s="1701"/>
      <c r="G164" s="1702"/>
      <c r="H164" s="1703"/>
      <c r="I164" s="1704">
        <f>SUM(I163/100)</f>
        <v>64.873099999999994</v>
      </c>
      <c r="J164" s="1658" t="s">
        <v>2226</v>
      </c>
    </row>
    <row r="165" spans="1:10" ht="45" hidden="1">
      <c r="A165" s="1295" t="s">
        <v>724</v>
      </c>
      <c r="B165" s="1263">
        <v>11</v>
      </c>
      <c r="C165" s="1270" t="s">
        <v>402</v>
      </c>
      <c r="D165" s="1271"/>
      <c r="E165" s="1272"/>
      <c r="F165" s="1271"/>
      <c r="G165" s="1272"/>
      <c r="H165" s="1257"/>
      <c r="I165" s="1269"/>
      <c r="J165" s="1205" t="s">
        <v>2226</v>
      </c>
    </row>
    <row r="166" spans="1:10" ht="22.5" hidden="1">
      <c r="A166" s="1268"/>
      <c r="B166" s="1257"/>
      <c r="C166" s="1270" t="s">
        <v>403</v>
      </c>
      <c r="D166" s="1264"/>
      <c r="E166" s="1267"/>
      <c r="F166" s="1266"/>
      <c r="G166" s="1267"/>
      <c r="H166" s="1268"/>
      <c r="I166" s="1269"/>
      <c r="J166" s="1205" t="s">
        <v>2226</v>
      </c>
    </row>
    <row r="167" spans="1:10" hidden="1">
      <c r="A167" s="1268"/>
      <c r="B167" s="1257"/>
      <c r="C167" s="1270" t="s">
        <v>384</v>
      </c>
      <c r="D167" s="1264"/>
      <c r="E167" s="1267"/>
      <c r="F167" s="1266"/>
      <c r="G167" s="1267"/>
      <c r="H167" s="1268"/>
      <c r="I167" s="1269"/>
      <c r="J167" s="1205" t="s">
        <v>2226</v>
      </c>
    </row>
    <row r="168" spans="1:10" hidden="1">
      <c r="A168" s="1268"/>
      <c r="B168" s="1257"/>
      <c r="C168" s="1281" t="s">
        <v>1661</v>
      </c>
      <c r="D168" s="1264">
        <v>1</v>
      </c>
      <c r="E168" s="1282" t="s">
        <v>27</v>
      </c>
      <c r="F168" s="1266">
        <v>1</v>
      </c>
      <c r="G168" s="1282" t="s">
        <v>27</v>
      </c>
      <c r="H168" s="1268">
        <f>'MINI SSR 19-20'!$H$16</f>
        <v>575</v>
      </c>
      <c r="I168" s="1269">
        <f>SUM(D168*H168/F168)</f>
        <v>575</v>
      </c>
      <c r="J168" s="1205" t="s">
        <v>2226</v>
      </c>
    </row>
    <row r="169" spans="1:10" hidden="1">
      <c r="A169" s="1268"/>
      <c r="B169" s="1257"/>
      <c r="C169" s="1281" t="s">
        <v>1662</v>
      </c>
      <c r="D169" s="1264">
        <v>3</v>
      </c>
      <c r="E169" s="1282" t="s">
        <v>27</v>
      </c>
      <c r="F169" s="1266">
        <v>1</v>
      </c>
      <c r="G169" s="1282" t="s">
        <v>27</v>
      </c>
      <c r="H169" s="1268">
        <f>'MINI SSR 19-20'!$H$17</f>
        <v>471</v>
      </c>
      <c r="I169" s="1269">
        <f>SUM(D169*H169/F169)</f>
        <v>1413</v>
      </c>
      <c r="J169" s="1205" t="s">
        <v>2226</v>
      </c>
    </row>
    <row r="170" spans="1:10" hidden="1">
      <c r="A170" s="1268"/>
      <c r="B170" s="1257"/>
      <c r="C170" s="1281" t="s">
        <v>700</v>
      </c>
      <c r="D170" s="1264">
        <v>1</v>
      </c>
      <c r="E170" s="1282" t="s">
        <v>27</v>
      </c>
      <c r="F170" s="1266">
        <v>1</v>
      </c>
      <c r="G170" s="1282" t="s">
        <v>27</v>
      </c>
      <c r="H170" s="1268">
        <f>'MINI SSR 19-20'!$H$18</f>
        <v>418</v>
      </c>
      <c r="I170" s="1269">
        <f>SUM(D170*H170/F170)</f>
        <v>418</v>
      </c>
      <c r="J170" s="1205" t="s">
        <v>2226</v>
      </c>
    </row>
    <row r="171" spans="1:10" hidden="1">
      <c r="A171" s="1268"/>
      <c r="B171" s="1257"/>
      <c r="C171" s="1270" t="s">
        <v>327</v>
      </c>
      <c r="D171" s="1264"/>
      <c r="E171" s="1282"/>
      <c r="F171" s="1266"/>
      <c r="G171" s="1282"/>
      <c r="H171" s="1268"/>
      <c r="I171" s="1269"/>
      <c r="J171" s="1205" t="s">
        <v>2226</v>
      </c>
    </row>
    <row r="172" spans="1:10" ht="33.75" hidden="1">
      <c r="A172" s="1268"/>
      <c r="B172" s="1257"/>
      <c r="C172" s="1296" t="s">
        <v>1667</v>
      </c>
      <c r="D172" s="1264">
        <v>200</v>
      </c>
      <c r="E172" s="1267" t="s">
        <v>395</v>
      </c>
      <c r="F172" s="1266">
        <v>100</v>
      </c>
      <c r="G172" s="1267" t="s">
        <v>395</v>
      </c>
      <c r="H172" s="1268">
        <f>'MINI SSR 19-20'!C130</f>
        <v>3725</v>
      </c>
      <c r="I172" s="1269">
        <f>SUM(D172*H172/F172)</f>
        <v>7450</v>
      </c>
      <c r="J172" s="1205" t="s">
        <v>2226</v>
      </c>
    </row>
    <row r="173" spans="1:10" hidden="1">
      <c r="A173" s="1268"/>
      <c r="B173" s="1257"/>
      <c r="C173" s="1270" t="s">
        <v>399</v>
      </c>
      <c r="D173" s="1264"/>
      <c r="E173" s="1267"/>
      <c r="F173" s="1266"/>
      <c r="G173" s="1267"/>
      <c r="H173" s="1268"/>
      <c r="I173" s="1269">
        <f>SUM(I168:I172)</f>
        <v>9856</v>
      </c>
      <c r="J173" s="1205" t="s">
        <v>2226</v>
      </c>
    </row>
    <row r="174" spans="1:10" hidden="1">
      <c r="A174" s="1268"/>
      <c r="B174" s="1257"/>
      <c r="C174" s="1270" t="s">
        <v>400</v>
      </c>
      <c r="D174" s="1264"/>
      <c r="E174" s="1267"/>
      <c r="F174" s="1266"/>
      <c r="G174" s="1267"/>
      <c r="H174" s="1268"/>
      <c r="I174" s="1269">
        <f>SUM(I173/100)</f>
        <v>98.56</v>
      </c>
      <c r="J174" s="1205" t="s">
        <v>2226</v>
      </c>
    </row>
    <row r="175" spans="1:10" ht="45" hidden="1">
      <c r="A175" s="1295" t="s">
        <v>881</v>
      </c>
      <c r="B175" s="1263">
        <v>10</v>
      </c>
      <c r="C175" s="1270" t="s">
        <v>882</v>
      </c>
      <c r="D175" s="1271"/>
      <c r="E175" s="1272"/>
      <c r="F175" s="1271"/>
      <c r="G175" s="1272"/>
      <c r="H175" s="1257"/>
      <c r="I175" s="1269"/>
      <c r="J175" s="1205" t="s">
        <v>2226</v>
      </c>
    </row>
    <row r="176" spans="1:10" hidden="1">
      <c r="A176" s="1268"/>
      <c r="B176" s="1257"/>
      <c r="C176" s="1270" t="s">
        <v>384</v>
      </c>
      <c r="D176" s="1264"/>
      <c r="E176" s="1267"/>
      <c r="F176" s="1266"/>
      <c r="G176" s="1267"/>
      <c r="H176" s="1268"/>
      <c r="I176" s="1269"/>
      <c r="J176" s="1205" t="s">
        <v>2226</v>
      </c>
    </row>
    <row r="177" spans="1:10" hidden="1">
      <c r="A177" s="1268"/>
      <c r="B177" s="1257"/>
      <c r="C177" s="1281" t="s">
        <v>156</v>
      </c>
      <c r="D177" s="1264">
        <v>1</v>
      </c>
      <c r="E177" s="1282" t="s">
        <v>27</v>
      </c>
      <c r="F177" s="1266">
        <v>1</v>
      </c>
      <c r="G177" s="1282" t="s">
        <v>27</v>
      </c>
      <c r="H177" s="1268">
        <f>'MINI SSR 19-20'!$H$16</f>
        <v>575</v>
      </c>
      <c r="I177" s="1269">
        <f>SUM(D177*H177/F177)</f>
        <v>575</v>
      </c>
      <c r="J177" s="1205" t="s">
        <v>2226</v>
      </c>
    </row>
    <row r="178" spans="1:10" hidden="1">
      <c r="A178" s="1268"/>
      <c r="B178" s="1257"/>
      <c r="C178" s="1281" t="s">
        <v>886</v>
      </c>
      <c r="D178" s="1264">
        <v>1</v>
      </c>
      <c r="E178" s="1282" t="s">
        <v>27</v>
      </c>
      <c r="F178" s="1266">
        <v>1</v>
      </c>
      <c r="G178" s="1282" t="s">
        <v>27</v>
      </c>
      <c r="H178" s="1268">
        <f>'MINI SSR 19-20'!$H$17</f>
        <v>471</v>
      </c>
      <c r="I178" s="1269">
        <f>SUM(D178*H178/F178)</f>
        <v>471</v>
      </c>
      <c r="J178" s="1205" t="s">
        <v>2226</v>
      </c>
    </row>
    <row r="179" spans="1:10" hidden="1">
      <c r="A179" s="1268"/>
      <c r="B179" s="1257"/>
      <c r="C179" s="1281" t="s">
        <v>700</v>
      </c>
      <c r="D179" s="1264">
        <v>1</v>
      </c>
      <c r="E179" s="1282" t="s">
        <v>27</v>
      </c>
      <c r="F179" s="1266">
        <v>1</v>
      </c>
      <c r="G179" s="1282" t="s">
        <v>27</v>
      </c>
      <c r="H179" s="1268">
        <f>'MINI SSR 19-20'!$H$18</f>
        <v>418</v>
      </c>
      <c r="I179" s="1269">
        <f>SUM(D179*H179/F179)</f>
        <v>418</v>
      </c>
      <c r="J179" s="1205" t="s">
        <v>2226</v>
      </c>
    </row>
    <row r="180" spans="1:10" hidden="1">
      <c r="A180" s="1268"/>
      <c r="B180" s="1257"/>
      <c r="C180" s="1270" t="s">
        <v>327</v>
      </c>
      <c r="D180" s="1264"/>
      <c r="E180" s="1282"/>
      <c r="F180" s="1266"/>
      <c r="G180" s="1282"/>
      <c r="H180" s="1268"/>
      <c r="I180" s="1269"/>
      <c r="J180" s="1205" t="s">
        <v>2226</v>
      </c>
    </row>
    <row r="181" spans="1:10" hidden="1">
      <c r="A181" s="1268"/>
      <c r="B181" s="1257"/>
      <c r="C181" s="1296" t="s">
        <v>883</v>
      </c>
      <c r="D181" s="1264">
        <v>200</v>
      </c>
      <c r="E181" s="1267" t="s">
        <v>395</v>
      </c>
      <c r="F181" s="1266">
        <v>100</v>
      </c>
      <c r="G181" s="1267" t="s">
        <v>395</v>
      </c>
      <c r="H181" s="1268">
        <f>'MINI SSR 19-20'!C131</f>
        <v>1375</v>
      </c>
      <c r="I181" s="1269">
        <f>SUM(D181*H181/F181)</f>
        <v>2750</v>
      </c>
      <c r="J181" s="1205" t="s">
        <v>2226</v>
      </c>
    </row>
    <row r="182" spans="1:10" hidden="1">
      <c r="A182" s="1268"/>
      <c r="B182" s="1257"/>
      <c r="C182" s="1296" t="s">
        <v>884</v>
      </c>
      <c r="D182" s="1264">
        <v>6.7</v>
      </c>
      <c r="E182" s="1267" t="s">
        <v>4</v>
      </c>
      <c r="F182" s="1266">
        <v>1</v>
      </c>
      <c r="G182" s="1267" t="s">
        <v>4</v>
      </c>
      <c r="H182" s="1268">
        <f>'MINI SSR 19-20'!C132</f>
        <v>65</v>
      </c>
      <c r="I182" s="1269">
        <f t="shared" ref="I182:I183" si="1">SUM(D182*H182/F182)</f>
        <v>435.5</v>
      </c>
      <c r="J182" s="1205" t="s">
        <v>2226</v>
      </c>
    </row>
    <row r="183" spans="1:10" hidden="1">
      <c r="A183" s="1268"/>
      <c r="B183" s="1257"/>
      <c r="C183" s="1296" t="s">
        <v>885</v>
      </c>
      <c r="D183" s="1264">
        <v>100</v>
      </c>
      <c r="E183" s="1267" t="s">
        <v>325</v>
      </c>
      <c r="F183" s="1266">
        <v>100</v>
      </c>
      <c r="G183" s="1267" t="s">
        <v>115</v>
      </c>
      <c r="H183" s="1268">
        <f>'MINI SSR 19-20'!C133</f>
        <v>430</v>
      </c>
      <c r="I183" s="1269">
        <f t="shared" si="1"/>
        <v>430</v>
      </c>
      <c r="J183" s="1205" t="s">
        <v>2226</v>
      </c>
    </row>
    <row r="184" spans="1:10" hidden="1">
      <c r="A184" s="1268"/>
      <c r="B184" s="1257"/>
      <c r="C184" s="1270" t="s">
        <v>399</v>
      </c>
      <c r="D184" s="1264"/>
      <c r="E184" s="1267"/>
      <c r="F184" s="1266"/>
      <c r="G184" s="1267"/>
      <c r="H184" s="1268"/>
      <c r="I184" s="1269">
        <f>SUM(I177:I183)</f>
        <v>5079.5</v>
      </c>
      <c r="J184" s="1205" t="s">
        <v>2226</v>
      </c>
    </row>
    <row r="185" spans="1:10" hidden="1">
      <c r="A185" s="1268"/>
      <c r="B185" s="1257"/>
      <c r="C185" s="1270" t="s">
        <v>400</v>
      </c>
      <c r="D185" s="1264"/>
      <c r="E185" s="1267"/>
      <c r="F185" s="1266"/>
      <c r="G185" s="1267"/>
      <c r="H185" s="1268"/>
      <c r="I185" s="1269">
        <f>SUM(I184/100)</f>
        <v>50.795000000000002</v>
      </c>
      <c r="J185" s="1205" t="s">
        <v>2226</v>
      </c>
    </row>
    <row r="186" spans="1:10" s="1705" customFormat="1" ht="33.75">
      <c r="A186" s="1728" t="s">
        <v>725</v>
      </c>
      <c r="B186" s="1698">
        <v>11</v>
      </c>
      <c r="C186" s="1706" t="s">
        <v>1268</v>
      </c>
      <c r="D186" s="1710"/>
      <c r="E186" s="1700"/>
      <c r="F186" s="1710"/>
      <c r="G186" s="1700"/>
      <c r="H186" s="1706"/>
      <c r="I186" s="1706"/>
      <c r="J186" s="1658" t="s">
        <v>2226</v>
      </c>
    </row>
    <row r="187" spans="1:10" s="1705" customFormat="1" ht="22.5">
      <c r="A187" s="1698"/>
      <c r="B187" s="1673"/>
      <c r="C187" s="1706" t="s">
        <v>404</v>
      </c>
      <c r="D187" s="1710"/>
      <c r="E187" s="1700"/>
      <c r="F187" s="1710"/>
      <c r="G187" s="1700"/>
      <c r="H187" s="1706"/>
      <c r="I187" s="1706"/>
      <c r="J187" s="1658" t="s">
        <v>2226</v>
      </c>
    </row>
    <row r="188" spans="1:10" s="1705" customFormat="1">
      <c r="A188" s="1698"/>
      <c r="B188" s="1673"/>
      <c r="C188" s="1706" t="s">
        <v>384</v>
      </c>
      <c r="D188" s="1699"/>
      <c r="E188" s="1702"/>
      <c r="F188" s="1701"/>
      <c r="G188" s="1702"/>
      <c r="H188" s="1703"/>
      <c r="I188" s="1704"/>
      <c r="J188" s="1658" t="s">
        <v>2226</v>
      </c>
    </row>
    <row r="189" spans="1:10" s="1705" customFormat="1">
      <c r="A189" s="1698"/>
      <c r="B189" s="1673"/>
      <c r="C189" s="1717" t="s">
        <v>1661</v>
      </c>
      <c r="D189" s="1699">
        <v>0.05</v>
      </c>
      <c r="E189" s="1718" t="s">
        <v>27</v>
      </c>
      <c r="F189" s="1701">
        <v>1</v>
      </c>
      <c r="G189" s="1718" t="s">
        <v>27</v>
      </c>
      <c r="H189" s="1703">
        <f>'MINI SSR 19-20'!$H$16</f>
        <v>575</v>
      </c>
      <c r="I189" s="1704">
        <f>SUM(D189*H189/F189)</f>
        <v>28.75</v>
      </c>
      <c r="J189" s="1658" t="s">
        <v>2226</v>
      </c>
    </row>
    <row r="190" spans="1:10" s="1705" customFormat="1">
      <c r="A190" s="1698"/>
      <c r="B190" s="1673"/>
      <c r="C190" s="1717" t="s">
        <v>700</v>
      </c>
      <c r="D190" s="1699">
        <v>0.05</v>
      </c>
      <c r="E190" s="1718" t="s">
        <v>27</v>
      </c>
      <c r="F190" s="1701">
        <v>1</v>
      </c>
      <c r="G190" s="1718" t="s">
        <v>27</v>
      </c>
      <c r="H190" s="1703">
        <f>'MINI SSR 19-20'!$H$18</f>
        <v>418</v>
      </c>
      <c r="I190" s="1716">
        <f>SUM(D190*H190/F190)</f>
        <v>20.900000000000002</v>
      </c>
      <c r="J190" s="1658" t="s">
        <v>2226</v>
      </c>
    </row>
    <row r="191" spans="1:10" s="1705" customFormat="1">
      <c r="A191" s="1698"/>
      <c r="B191" s="1673"/>
      <c r="C191" s="1706" t="s">
        <v>327</v>
      </c>
      <c r="D191" s="1699"/>
      <c r="E191" s="1718"/>
      <c r="F191" s="1701"/>
      <c r="G191" s="1718"/>
      <c r="H191" s="1703"/>
      <c r="I191" s="1704"/>
      <c r="J191" s="1658" t="s">
        <v>2226</v>
      </c>
    </row>
    <row r="192" spans="1:10" s="1705" customFormat="1" ht="33.75">
      <c r="A192" s="1698"/>
      <c r="B192" s="1673"/>
      <c r="C192" s="1706" t="s">
        <v>1668</v>
      </c>
      <c r="D192" s="1730">
        <v>1</v>
      </c>
      <c r="E192" s="1702" t="s">
        <v>325</v>
      </c>
      <c r="F192" s="1701">
        <v>1</v>
      </c>
      <c r="G192" s="1702" t="s">
        <v>115</v>
      </c>
      <c r="H192" s="1703">
        <f>'MINI SSR 19-20'!G114</f>
        <v>18</v>
      </c>
      <c r="I192" s="1704">
        <f>SUM(D192*H192/F192)</f>
        <v>18</v>
      </c>
      <c r="J192" s="1658" t="s">
        <v>2226</v>
      </c>
    </row>
    <row r="193" spans="1:10" s="1705" customFormat="1">
      <c r="A193" s="1698"/>
      <c r="B193" s="1673"/>
      <c r="C193" s="1706" t="s">
        <v>1267</v>
      </c>
      <c r="D193" s="1730">
        <v>1</v>
      </c>
      <c r="E193" s="1702" t="s">
        <v>325</v>
      </c>
      <c r="F193" s="1701">
        <v>1</v>
      </c>
      <c r="G193" s="1702" t="s">
        <v>115</v>
      </c>
      <c r="H193" s="1703">
        <f>'MINI SSR 19-20'!G115</f>
        <v>110</v>
      </c>
      <c r="I193" s="1704">
        <f>SUM(D193*H193/F193)</f>
        <v>110</v>
      </c>
      <c r="J193" s="1658" t="s">
        <v>2226</v>
      </c>
    </row>
    <row r="194" spans="1:10" s="1705" customFormat="1">
      <c r="A194" s="1698"/>
      <c r="B194" s="1673"/>
      <c r="C194" s="1706" t="s">
        <v>405</v>
      </c>
      <c r="D194" s="1699"/>
      <c r="E194" s="1718"/>
      <c r="F194" s="1701"/>
      <c r="G194" s="1718"/>
      <c r="H194" s="1703"/>
      <c r="I194" s="1704">
        <f>SUM(I189:I193)</f>
        <v>177.65</v>
      </c>
      <c r="J194" s="1658" t="s">
        <v>2226</v>
      </c>
    </row>
    <row r="195" spans="1:10" s="1705" customFormat="1" ht="45">
      <c r="A195" s="1703" t="s">
        <v>1669</v>
      </c>
      <c r="B195" s="1698">
        <v>12</v>
      </c>
      <c r="C195" s="1706" t="s">
        <v>406</v>
      </c>
      <c r="D195" s="1710"/>
      <c r="E195" s="1700"/>
      <c r="F195" s="1710"/>
      <c r="G195" s="1700"/>
      <c r="H195" s="1706"/>
      <c r="I195" s="1706"/>
      <c r="J195" s="1658" t="s">
        <v>2226</v>
      </c>
    </row>
    <row r="196" spans="1:10" s="1705" customFormat="1" ht="33.75">
      <c r="A196" s="1698"/>
      <c r="B196" s="1698"/>
      <c r="C196" s="1706" t="s">
        <v>407</v>
      </c>
      <c r="D196" s="1779"/>
      <c r="E196" s="1700"/>
      <c r="F196" s="1710"/>
      <c r="G196" s="1700"/>
      <c r="H196" s="1706"/>
      <c r="I196" s="1706"/>
      <c r="J196" s="1658" t="s">
        <v>2226</v>
      </c>
    </row>
    <row r="197" spans="1:10" s="1705" customFormat="1" ht="33.75">
      <c r="A197" s="1698"/>
      <c r="B197" s="1698"/>
      <c r="C197" s="1706" t="s">
        <v>408</v>
      </c>
      <c r="D197" s="1779"/>
      <c r="E197" s="1700"/>
      <c r="F197" s="1710"/>
      <c r="G197" s="1700"/>
      <c r="H197" s="1706"/>
      <c r="I197" s="1706"/>
      <c r="J197" s="1658" t="s">
        <v>2226</v>
      </c>
    </row>
    <row r="198" spans="1:10" s="1705" customFormat="1">
      <c r="A198" s="1698"/>
      <c r="B198" s="1673"/>
      <c r="C198" s="1736" t="s">
        <v>409</v>
      </c>
      <c r="D198" s="1699"/>
      <c r="E198" s="1702"/>
      <c r="F198" s="1701"/>
      <c r="G198" s="1702"/>
      <c r="H198" s="1703"/>
      <c r="I198" s="1704"/>
      <c r="J198" s="1658" t="s">
        <v>2226</v>
      </c>
    </row>
    <row r="199" spans="1:10" s="1705" customFormat="1">
      <c r="A199" s="1698"/>
      <c r="B199" s="1673"/>
      <c r="C199" s="1717" t="s">
        <v>1661</v>
      </c>
      <c r="D199" s="1732">
        <v>0.125</v>
      </c>
      <c r="E199" s="1718" t="s">
        <v>27</v>
      </c>
      <c r="F199" s="1701">
        <v>1</v>
      </c>
      <c r="G199" s="1718" t="s">
        <v>27</v>
      </c>
      <c r="H199" s="1703">
        <f>'MINI SSR 19-20'!$H$16</f>
        <v>575</v>
      </c>
      <c r="I199" s="1704">
        <f>SUM(D199*H199/F199)</f>
        <v>71.875</v>
      </c>
      <c r="J199" s="1658" t="s">
        <v>2226</v>
      </c>
    </row>
    <row r="200" spans="1:10" s="1705" customFormat="1">
      <c r="A200" s="1698"/>
      <c r="B200" s="1673"/>
      <c r="C200" s="1717" t="s">
        <v>700</v>
      </c>
      <c r="D200" s="1732">
        <v>0.125</v>
      </c>
      <c r="E200" s="1718" t="s">
        <v>27</v>
      </c>
      <c r="F200" s="1701">
        <v>1</v>
      </c>
      <c r="G200" s="1718" t="s">
        <v>27</v>
      </c>
      <c r="H200" s="1703">
        <f>'MINI SSR 19-20'!$H$18</f>
        <v>418</v>
      </c>
      <c r="I200" s="1716">
        <f>SUM(D200*H200/F200)</f>
        <v>52.25</v>
      </c>
      <c r="J200" s="1658" t="s">
        <v>2226</v>
      </c>
    </row>
    <row r="201" spans="1:10" s="1705" customFormat="1">
      <c r="A201" s="1698"/>
      <c r="B201" s="1673"/>
      <c r="C201" s="1706" t="s">
        <v>410</v>
      </c>
      <c r="D201" s="1699"/>
      <c r="E201" s="1718"/>
      <c r="F201" s="1701"/>
      <c r="G201" s="1718"/>
      <c r="H201" s="1703"/>
      <c r="I201" s="1704"/>
      <c r="J201" s="1658" t="s">
        <v>2226</v>
      </c>
    </row>
    <row r="202" spans="1:10" s="1705" customFormat="1">
      <c r="A202" s="1698"/>
      <c r="B202" s="1673"/>
      <c r="C202" s="1729" t="s">
        <v>1670</v>
      </c>
      <c r="D202" s="1699">
        <v>1</v>
      </c>
      <c r="E202" s="1702" t="s">
        <v>385</v>
      </c>
      <c r="F202" s="1701">
        <v>100</v>
      </c>
      <c r="G202" s="1702" t="s">
        <v>395</v>
      </c>
      <c r="H202" s="1703">
        <f>'MINI SSR 19-20'!G116</f>
        <v>950</v>
      </c>
      <c r="I202" s="1704">
        <f>SUM(D202*H202/F202)</f>
        <v>9.5</v>
      </c>
      <c r="J202" s="1658" t="s">
        <v>2226</v>
      </c>
    </row>
    <row r="203" spans="1:10" s="1705" customFormat="1">
      <c r="A203" s="1698"/>
      <c r="B203" s="1673"/>
      <c r="C203" s="1729" t="s">
        <v>1671</v>
      </c>
      <c r="D203" s="1699">
        <v>1</v>
      </c>
      <c r="E203" s="1702" t="s">
        <v>115</v>
      </c>
      <c r="F203" s="1701">
        <v>1</v>
      </c>
      <c r="G203" s="1702" t="s">
        <v>115</v>
      </c>
      <c r="H203" s="1703">
        <f>'MINI SSR 19-20'!G117</f>
        <v>180</v>
      </c>
      <c r="I203" s="1704">
        <f>SUM(D203*H203/F203)</f>
        <v>180</v>
      </c>
      <c r="J203" s="1658" t="s">
        <v>2226</v>
      </c>
    </row>
    <row r="204" spans="1:10" s="1705" customFormat="1">
      <c r="A204" s="1698"/>
      <c r="B204" s="1673"/>
      <c r="C204" s="1729" t="s">
        <v>1672</v>
      </c>
      <c r="D204" s="1699">
        <v>1</v>
      </c>
      <c r="E204" s="1702" t="s">
        <v>325</v>
      </c>
      <c r="F204" s="1701">
        <v>1</v>
      </c>
      <c r="G204" s="1702" t="s">
        <v>325</v>
      </c>
      <c r="H204" s="1703">
        <f>'MINI SSR 19-20'!G118</f>
        <v>2300</v>
      </c>
      <c r="I204" s="1704">
        <f>SUM(D204*H204/F204)</f>
        <v>2300</v>
      </c>
      <c r="J204" s="1658" t="s">
        <v>2226</v>
      </c>
    </row>
    <row r="205" spans="1:10" s="1705" customFormat="1">
      <c r="A205" s="1698"/>
      <c r="B205" s="1673"/>
      <c r="C205" s="1706" t="s">
        <v>411</v>
      </c>
      <c r="D205" s="1699"/>
      <c r="E205" s="1702"/>
      <c r="F205" s="1701"/>
      <c r="G205" s="1702"/>
      <c r="H205" s="1737">
        <v>0.01</v>
      </c>
      <c r="I205" s="1704">
        <f>SUM(I204*H205)</f>
        <v>23</v>
      </c>
      <c r="J205" s="1658" t="s">
        <v>2226</v>
      </c>
    </row>
    <row r="206" spans="1:10" s="1705" customFormat="1">
      <c r="A206" s="1698"/>
      <c r="B206" s="1673"/>
      <c r="C206" s="1711" t="s">
        <v>388</v>
      </c>
      <c r="D206" s="1707"/>
      <c r="E206" s="1708"/>
      <c r="F206" s="1707"/>
      <c r="G206" s="1738"/>
      <c r="H206" s="1735"/>
      <c r="I206" s="1704">
        <f>SUM(I199:I205)</f>
        <v>2636.625</v>
      </c>
      <c r="J206" s="1658" t="s">
        <v>2226</v>
      </c>
    </row>
    <row r="207" spans="1:10" ht="33.75" hidden="1">
      <c r="A207" s="1268" t="s">
        <v>1673</v>
      </c>
      <c r="B207" s="1263">
        <v>12</v>
      </c>
      <c r="C207" s="1270" t="s">
        <v>946</v>
      </c>
      <c r="D207" s="1274"/>
      <c r="E207" s="1265"/>
      <c r="F207" s="1274"/>
      <c r="G207" s="1265"/>
      <c r="H207" s="1270"/>
      <c r="I207" s="1270"/>
      <c r="J207" s="1205" t="s">
        <v>2226</v>
      </c>
    </row>
    <row r="208" spans="1:10" hidden="1">
      <c r="A208" s="1263"/>
      <c r="B208" s="1257"/>
      <c r="C208" s="1296" t="s">
        <v>970</v>
      </c>
      <c r="D208" s="1264">
        <v>1</v>
      </c>
      <c r="E208" s="1267" t="s">
        <v>325</v>
      </c>
      <c r="F208" s="1266">
        <v>1</v>
      </c>
      <c r="G208" s="1267" t="s">
        <v>325</v>
      </c>
      <c r="H208" s="1268">
        <f>'MINI SSR 19-20'!G118</f>
        <v>2300</v>
      </c>
      <c r="I208" s="1269">
        <f>SUM(D208*H208/F208)</f>
        <v>2300</v>
      </c>
      <c r="J208" s="1205" t="s">
        <v>2226</v>
      </c>
    </row>
    <row r="209" spans="1:10" hidden="1">
      <c r="A209" s="1263"/>
      <c r="B209" s="1257"/>
      <c r="C209" s="1270" t="s">
        <v>411</v>
      </c>
      <c r="D209" s="1264"/>
      <c r="E209" s="1267"/>
      <c r="F209" s="1266"/>
      <c r="G209" s="1267"/>
      <c r="H209" s="1648">
        <v>0.01</v>
      </c>
      <c r="I209" s="1269">
        <f>SUM(I208*H209)</f>
        <v>23</v>
      </c>
      <c r="J209" s="1205" t="s">
        <v>2226</v>
      </c>
    </row>
    <row r="210" spans="1:10" hidden="1">
      <c r="A210" s="1263"/>
      <c r="B210" s="1257"/>
      <c r="C210" s="1275" t="s">
        <v>388</v>
      </c>
      <c r="D210" s="1271"/>
      <c r="E210" s="1272"/>
      <c r="F210" s="1271"/>
      <c r="G210" s="1649"/>
      <c r="H210" s="1302"/>
      <c r="I210" s="1269">
        <f>SUM(I208:I209)</f>
        <v>2323</v>
      </c>
      <c r="J210" s="1205" t="s">
        <v>2226</v>
      </c>
    </row>
    <row r="211" spans="1:10" ht="22.5" hidden="1">
      <c r="A211" s="1268" t="s">
        <v>1674</v>
      </c>
      <c r="B211" s="1263">
        <v>13</v>
      </c>
      <c r="C211" s="1270" t="s">
        <v>1675</v>
      </c>
      <c r="D211" s="1274"/>
      <c r="E211" s="1265"/>
      <c r="F211" s="1274"/>
      <c r="G211" s="1265"/>
      <c r="H211" s="1270"/>
      <c r="I211" s="1270"/>
      <c r="J211" s="1205" t="s">
        <v>2226</v>
      </c>
    </row>
    <row r="212" spans="1:10" hidden="1">
      <c r="A212" s="1263"/>
      <c r="B212" s="1257"/>
      <c r="C212" s="1296" t="s">
        <v>1671</v>
      </c>
      <c r="D212" s="1264">
        <v>1</v>
      </c>
      <c r="E212" s="1267" t="s">
        <v>325</v>
      </c>
      <c r="F212" s="1266">
        <v>1</v>
      </c>
      <c r="G212" s="1267" t="s">
        <v>325</v>
      </c>
      <c r="H212" s="1268">
        <f>'MINI SSR 19-20'!G117</f>
        <v>180</v>
      </c>
      <c r="I212" s="1269">
        <f>SUM(D212*H212/F212)</f>
        <v>180</v>
      </c>
      <c r="J212" s="1205" t="s">
        <v>2226</v>
      </c>
    </row>
    <row r="213" spans="1:10" hidden="1">
      <c r="A213" s="1263"/>
      <c r="B213" s="1257"/>
      <c r="C213" s="1281" t="s">
        <v>1661</v>
      </c>
      <c r="D213" s="1299">
        <v>0.1</v>
      </c>
      <c r="E213" s="1282" t="s">
        <v>27</v>
      </c>
      <c r="F213" s="1266">
        <v>1</v>
      </c>
      <c r="G213" s="1282" t="s">
        <v>27</v>
      </c>
      <c r="H213" s="1268">
        <f>'MINI SSR 19-20'!$H$16</f>
        <v>575</v>
      </c>
      <c r="I213" s="1269">
        <f>SUM(D213*H213/F213)</f>
        <v>57.5</v>
      </c>
      <c r="J213" s="1205" t="s">
        <v>2226</v>
      </c>
    </row>
    <row r="214" spans="1:10" hidden="1">
      <c r="A214" s="1263"/>
      <c r="B214" s="1257"/>
      <c r="C214" s="1270"/>
      <c r="D214" s="1264"/>
      <c r="E214" s="1267"/>
      <c r="F214" s="1266"/>
      <c r="G214" s="1267"/>
      <c r="H214" s="1648"/>
      <c r="I214" s="1269"/>
      <c r="J214" s="1205" t="s">
        <v>2226</v>
      </c>
    </row>
    <row r="215" spans="1:10" hidden="1">
      <c r="A215" s="1263"/>
      <c r="B215" s="1257"/>
      <c r="C215" s="1275" t="s">
        <v>388</v>
      </c>
      <c r="D215" s="1271"/>
      <c r="E215" s="1272"/>
      <c r="F215" s="1271"/>
      <c r="G215" s="1649"/>
      <c r="H215" s="1302"/>
      <c r="I215" s="1269">
        <f>SUM(I212:I214)</f>
        <v>237.5</v>
      </c>
      <c r="J215" s="1205" t="s">
        <v>2226</v>
      </c>
    </row>
    <row r="216" spans="1:10" ht="22.5" hidden="1">
      <c r="A216" s="1268" t="s">
        <v>1669</v>
      </c>
      <c r="B216" s="1263">
        <v>14</v>
      </c>
      <c r="C216" s="1270" t="s">
        <v>948</v>
      </c>
      <c r="D216" s="1274"/>
      <c r="E216" s="1265"/>
      <c r="F216" s="1274"/>
      <c r="G216" s="1265"/>
      <c r="H216" s="1270"/>
      <c r="I216" s="1270"/>
      <c r="J216" s="1205" t="s">
        <v>2226</v>
      </c>
    </row>
    <row r="217" spans="1:10" hidden="1">
      <c r="A217" s="1263"/>
      <c r="B217" s="1257"/>
      <c r="C217" s="1309" t="s">
        <v>409</v>
      </c>
      <c r="D217" s="1264"/>
      <c r="E217" s="1267"/>
      <c r="F217" s="1266"/>
      <c r="G217" s="1267"/>
      <c r="H217" s="1268"/>
      <c r="I217" s="1269"/>
      <c r="J217" s="1205" t="s">
        <v>2226</v>
      </c>
    </row>
    <row r="218" spans="1:10" hidden="1">
      <c r="A218" s="1263"/>
      <c r="B218" s="1257"/>
      <c r="C218" s="1281" t="s">
        <v>1661</v>
      </c>
      <c r="D218" s="1299">
        <v>0.125</v>
      </c>
      <c r="E218" s="1282" t="s">
        <v>27</v>
      </c>
      <c r="F218" s="1266">
        <v>1</v>
      </c>
      <c r="G218" s="1282" t="s">
        <v>27</v>
      </c>
      <c r="H218" s="1268">
        <f>'MINI SSR 19-20'!$H$16</f>
        <v>575</v>
      </c>
      <c r="I218" s="1269">
        <f>SUM(D218*H218/F218)</f>
        <v>71.875</v>
      </c>
      <c r="J218" s="1205" t="s">
        <v>2226</v>
      </c>
    </row>
    <row r="219" spans="1:10" hidden="1">
      <c r="A219" s="1263"/>
      <c r="B219" s="1257"/>
      <c r="C219" s="1281" t="s">
        <v>700</v>
      </c>
      <c r="D219" s="1299">
        <v>0.125</v>
      </c>
      <c r="E219" s="1282" t="s">
        <v>27</v>
      </c>
      <c r="F219" s="1266">
        <v>1</v>
      </c>
      <c r="G219" s="1282" t="s">
        <v>27</v>
      </c>
      <c r="H219" s="1268">
        <f>'MINI SSR 19-20'!$H$18</f>
        <v>418</v>
      </c>
      <c r="I219" s="1280">
        <f>SUM(D219*H219/F219)</f>
        <v>52.25</v>
      </c>
      <c r="J219" s="1205" t="s">
        <v>2226</v>
      </c>
    </row>
    <row r="220" spans="1:10" hidden="1">
      <c r="A220" s="1263"/>
      <c r="B220" s="1257"/>
      <c r="C220" s="1270" t="s">
        <v>410</v>
      </c>
      <c r="D220" s="1264"/>
      <c r="E220" s="1282"/>
      <c r="F220" s="1266"/>
      <c r="G220" s="1282"/>
      <c r="H220" s="1268"/>
      <c r="I220" s="1269"/>
      <c r="J220" s="1205" t="s">
        <v>2226</v>
      </c>
    </row>
    <row r="221" spans="1:10" hidden="1">
      <c r="A221" s="1263"/>
      <c r="B221" s="1257"/>
      <c r="C221" s="1296" t="s">
        <v>949</v>
      </c>
      <c r="D221" s="1264">
        <v>1</v>
      </c>
      <c r="E221" s="1267" t="s">
        <v>385</v>
      </c>
      <c r="F221" s="1266">
        <v>100</v>
      </c>
      <c r="G221" s="1267" t="s">
        <v>395</v>
      </c>
      <c r="H221" s="1268">
        <f>'MINI SSR 19-20'!G116</f>
        <v>950</v>
      </c>
      <c r="I221" s="1269">
        <f>SUM(D221*H221/F221)</f>
        <v>9.5</v>
      </c>
      <c r="J221" s="1205" t="s">
        <v>2226</v>
      </c>
    </row>
    <row r="222" spans="1:10" hidden="1">
      <c r="A222" s="1263"/>
      <c r="B222" s="1257"/>
      <c r="C222" s="1275" t="s">
        <v>388</v>
      </c>
      <c r="D222" s="1271"/>
      <c r="E222" s="1272"/>
      <c r="F222" s="1271"/>
      <c r="G222" s="1649"/>
      <c r="H222" s="1302"/>
      <c r="I222" s="1269">
        <f>SUM(I218:I221)</f>
        <v>133.625</v>
      </c>
      <c r="J222" s="1205" t="s">
        <v>2226</v>
      </c>
    </row>
    <row r="223" spans="1:10" ht="33.75" hidden="1">
      <c r="A223" s="1268" t="s">
        <v>1676</v>
      </c>
      <c r="B223" s="1263">
        <v>39</v>
      </c>
      <c r="C223" s="1270" t="s">
        <v>950</v>
      </c>
      <c r="D223" s="1274"/>
      <c r="E223" s="1265"/>
      <c r="F223" s="1274"/>
      <c r="G223" s="1265"/>
      <c r="H223" s="1270"/>
      <c r="I223" s="1270"/>
      <c r="J223" s="1205" t="s">
        <v>2226</v>
      </c>
    </row>
    <row r="224" spans="1:10" hidden="1">
      <c r="A224" s="1263"/>
      <c r="B224" s="1257"/>
      <c r="C224" s="1309" t="s">
        <v>409</v>
      </c>
      <c r="D224" s="1264"/>
      <c r="E224" s="1267"/>
      <c r="F224" s="1266"/>
      <c r="G224" s="1267"/>
      <c r="H224" s="1268"/>
      <c r="I224" s="1269"/>
      <c r="J224" s="1205" t="s">
        <v>2226</v>
      </c>
    </row>
    <row r="225" spans="1:10" hidden="1">
      <c r="A225" s="1263"/>
      <c r="B225" s="1257"/>
      <c r="C225" s="1281" t="s">
        <v>700</v>
      </c>
      <c r="D225" s="1299">
        <v>0.1</v>
      </c>
      <c r="E225" s="1282" t="s">
        <v>27</v>
      </c>
      <c r="F225" s="1266">
        <v>1</v>
      </c>
      <c r="G225" s="1282" t="s">
        <v>27</v>
      </c>
      <c r="H225" s="1268">
        <f>'MINI SSR 19-20'!$H$18</f>
        <v>418</v>
      </c>
      <c r="I225" s="1280">
        <f>SUM(D225*H225/F225)</f>
        <v>41.800000000000004</v>
      </c>
      <c r="J225" s="1205" t="s">
        <v>2226</v>
      </c>
    </row>
    <row r="226" spans="1:10" hidden="1">
      <c r="A226" s="1263"/>
      <c r="B226" s="1257"/>
      <c r="C226" s="1270" t="s">
        <v>410</v>
      </c>
      <c r="D226" s="1264"/>
      <c r="E226" s="1282"/>
      <c r="F226" s="1266"/>
      <c r="G226" s="1282"/>
      <c r="H226" s="1268"/>
      <c r="I226" s="1269"/>
      <c r="J226" s="1205" t="s">
        <v>2226</v>
      </c>
    </row>
    <row r="227" spans="1:10" ht="22.5" hidden="1">
      <c r="A227" s="1263"/>
      <c r="B227" s="1257"/>
      <c r="C227" s="1296" t="s">
        <v>1677</v>
      </c>
      <c r="D227" s="1264">
        <v>1</v>
      </c>
      <c r="E227" s="1267" t="s">
        <v>115</v>
      </c>
      <c r="F227" s="1266">
        <v>1</v>
      </c>
      <c r="G227" s="1267" t="s">
        <v>115</v>
      </c>
      <c r="H227" s="1268">
        <f>'MINI SSR 19-20'!G119</f>
        <v>85</v>
      </c>
      <c r="I227" s="1269">
        <f>SUM(D227*H227/F227)</f>
        <v>85</v>
      </c>
      <c r="J227" s="1205" t="s">
        <v>2226</v>
      </c>
    </row>
    <row r="228" spans="1:10" hidden="1">
      <c r="A228" s="1263"/>
      <c r="B228" s="1257"/>
      <c r="C228" s="1275" t="s">
        <v>388</v>
      </c>
      <c r="D228" s="1271"/>
      <c r="E228" s="1272"/>
      <c r="F228" s="1271"/>
      <c r="G228" s="1649"/>
      <c r="H228" s="1302"/>
      <c r="I228" s="1269">
        <f>SUM(I225:I227)</f>
        <v>126.80000000000001</v>
      </c>
      <c r="J228" s="1205" t="s">
        <v>2226</v>
      </c>
    </row>
    <row r="229" spans="1:10" ht="22.5" hidden="1">
      <c r="A229" s="1268" t="s">
        <v>1678</v>
      </c>
      <c r="B229" s="1287">
        <v>15</v>
      </c>
      <c r="C229" s="1270" t="s">
        <v>1679</v>
      </c>
      <c r="D229" s="1271"/>
      <c r="E229" s="1272"/>
      <c r="F229" s="1271"/>
      <c r="G229" s="1272"/>
      <c r="H229" s="1273"/>
      <c r="I229" s="1273"/>
      <c r="J229" s="1205" t="s">
        <v>2226</v>
      </c>
    </row>
    <row r="230" spans="1:10" hidden="1">
      <c r="A230" s="1286"/>
      <c r="B230" s="1287"/>
      <c r="C230" s="1281" t="s">
        <v>1575</v>
      </c>
      <c r="D230" s="1264">
        <v>1</v>
      </c>
      <c r="E230" s="1282" t="s">
        <v>325</v>
      </c>
      <c r="F230" s="1266">
        <v>1</v>
      </c>
      <c r="G230" s="1282" t="s">
        <v>325</v>
      </c>
      <c r="H230" s="1268">
        <f>'MINI SSR 19-20'!G120</f>
        <v>100</v>
      </c>
      <c r="I230" s="1280">
        <f>SUM(D230*H230/F230)</f>
        <v>100</v>
      </c>
      <c r="J230" s="1205" t="s">
        <v>2226</v>
      </c>
    </row>
    <row r="231" spans="1:10" hidden="1">
      <c r="A231" s="1263"/>
      <c r="B231" s="1257"/>
      <c r="C231" s="1281" t="s">
        <v>1680</v>
      </c>
      <c r="D231" s="1299">
        <v>0.16600000000000001</v>
      </c>
      <c r="E231" s="1282" t="s">
        <v>27</v>
      </c>
      <c r="F231" s="1266">
        <v>1</v>
      </c>
      <c r="G231" s="1282" t="s">
        <v>27</v>
      </c>
      <c r="H231" s="1268">
        <f>'MINI SSR 19-20'!H3</f>
        <v>500</v>
      </c>
      <c r="I231" s="1280">
        <f>SUM(D231*H231/F231)</f>
        <v>83</v>
      </c>
      <c r="J231" s="1205" t="s">
        <v>2226</v>
      </c>
    </row>
    <row r="232" spans="1:10" hidden="1">
      <c r="A232" s="1263"/>
      <c r="B232" s="1257"/>
      <c r="C232" s="1281" t="s">
        <v>1681</v>
      </c>
      <c r="D232" s="1299">
        <v>0.16600000000000001</v>
      </c>
      <c r="E232" s="1282" t="s">
        <v>27</v>
      </c>
      <c r="F232" s="1266">
        <v>1</v>
      </c>
      <c r="G232" s="1282" t="s">
        <v>27</v>
      </c>
      <c r="H232" s="1268">
        <f>'MINI SSR 19-20'!$H$18</f>
        <v>418</v>
      </c>
      <c r="I232" s="1280">
        <f>SUM(D232*H232/F232)</f>
        <v>69.388000000000005</v>
      </c>
      <c r="J232" s="1205" t="s">
        <v>2226</v>
      </c>
    </row>
    <row r="233" spans="1:10" hidden="1">
      <c r="A233" s="1286"/>
      <c r="B233" s="1287"/>
      <c r="C233" s="1283"/>
      <c r="D233" s="1264"/>
      <c r="E233" s="1282"/>
      <c r="F233" s="1266"/>
      <c r="G233" s="1282"/>
      <c r="H233" s="1268"/>
      <c r="I233" s="1280">
        <f>SUM(I230:I232)</f>
        <v>252.38800000000001</v>
      </c>
      <c r="J233" s="1205" t="s">
        <v>2226</v>
      </c>
    </row>
    <row r="234" spans="1:10" s="1705" customFormat="1" ht="56.25">
      <c r="A234" s="1728" t="s">
        <v>726</v>
      </c>
      <c r="B234" s="1698">
        <v>13</v>
      </c>
      <c r="C234" s="1706" t="s">
        <v>412</v>
      </c>
      <c r="D234" s="1710"/>
      <c r="E234" s="1700"/>
      <c r="F234" s="1710"/>
      <c r="G234" s="1700"/>
      <c r="H234" s="1706"/>
      <c r="I234" s="1706"/>
      <c r="J234" s="1658" t="s">
        <v>2226</v>
      </c>
    </row>
    <row r="235" spans="1:10" s="1705" customFormat="1">
      <c r="A235" s="1698"/>
      <c r="B235" s="1673"/>
      <c r="C235" s="1706" t="s">
        <v>409</v>
      </c>
      <c r="D235" s="1699"/>
      <c r="E235" s="1702"/>
      <c r="F235" s="1701"/>
      <c r="G235" s="1702"/>
      <c r="H235" s="1703"/>
      <c r="I235" s="1704"/>
      <c r="J235" s="1658" t="s">
        <v>2226</v>
      </c>
    </row>
    <row r="236" spans="1:10" s="1705" customFormat="1">
      <c r="A236" s="1698"/>
      <c r="B236" s="1673"/>
      <c r="C236" s="1717" t="s">
        <v>1661</v>
      </c>
      <c r="D236" s="1699">
        <v>0.1</v>
      </c>
      <c r="E236" s="1718" t="s">
        <v>27</v>
      </c>
      <c r="F236" s="1701">
        <v>1</v>
      </c>
      <c r="G236" s="1718" t="s">
        <v>27</v>
      </c>
      <c r="H236" s="1703">
        <f>'MINI SSR 19-20'!$H$16</f>
        <v>575</v>
      </c>
      <c r="I236" s="1704">
        <f>SUM(D236*H236/F236)</f>
        <v>57.5</v>
      </c>
      <c r="J236" s="1658" t="s">
        <v>2226</v>
      </c>
    </row>
    <row r="237" spans="1:10" s="1705" customFormat="1">
      <c r="A237" s="1698"/>
      <c r="B237" s="1673"/>
      <c r="C237" s="1717" t="s">
        <v>1662</v>
      </c>
      <c r="D237" s="1699">
        <v>0.1</v>
      </c>
      <c r="E237" s="1718" t="s">
        <v>27</v>
      </c>
      <c r="F237" s="1701">
        <v>1</v>
      </c>
      <c r="G237" s="1718" t="s">
        <v>27</v>
      </c>
      <c r="H237" s="1703">
        <f>'MINI SSR 19-20'!$H$17</f>
        <v>471</v>
      </c>
      <c r="I237" s="1704">
        <f>SUM(D237*H237/F237)</f>
        <v>47.1</v>
      </c>
      <c r="J237" s="1658" t="s">
        <v>2226</v>
      </c>
    </row>
    <row r="238" spans="1:10" s="1705" customFormat="1">
      <c r="A238" s="1698"/>
      <c r="B238" s="1673"/>
      <c r="C238" s="1706" t="s">
        <v>327</v>
      </c>
      <c r="D238" s="1699"/>
      <c r="E238" s="1718"/>
      <c r="F238" s="1701"/>
      <c r="G238" s="1718"/>
      <c r="H238" s="1703"/>
      <c r="I238" s="1704"/>
      <c r="J238" s="1658" t="s">
        <v>2226</v>
      </c>
    </row>
    <row r="239" spans="1:10" s="1705" customFormat="1">
      <c r="A239" s="1698"/>
      <c r="B239" s="1673"/>
      <c r="C239" s="1729" t="s">
        <v>1682</v>
      </c>
      <c r="D239" s="1699">
        <v>1</v>
      </c>
      <c r="E239" s="1702" t="s">
        <v>385</v>
      </c>
      <c r="F239" s="1701">
        <v>100</v>
      </c>
      <c r="G239" s="1702" t="s">
        <v>395</v>
      </c>
      <c r="H239" s="1703">
        <f>'MINI SSR 19-20'!G116</f>
        <v>950</v>
      </c>
      <c r="I239" s="1704">
        <f>SUM(D239*H239/F239)</f>
        <v>9.5</v>
      </c>
      <c r="J239" s="1658" t="s">
        <v>2226</v>
      </c>
    </row>
    <row r="240" spans="1:10" s="1705" customFormat="1">
      <c r="A240" s="1698"/>
      <c r="B240" s="1673"/>
      <c r="C240" s="1729" t="s">
        <v>2106</v>
      </c>
      <c r="D240" s="1730">
        <v>1</v>
      </c>
      <c r="E240" s="1702" t="s">
        <v>115</v>
      </c>
      <c r="F240" s="1701">
        <v>1</v>
      </c>
      <c r="G240" s="1702" t="s">
        <v>115</v>
      </c>
      <c r="H240" s="1703">
        <f>'MINI SSR 19-20'!G121</f>
        <v>290</v>
      </c>
      <c r="I240" s="1704">
        <f>SUM(D240*H240/F240)</f>
        <v>290</v>
      </c>
      <c r="J240" s="1658" t="s">
        <v>2226</v>
      </c>
    </row>
    <row r="241" spans="1:10" s="1705" customFormat="1">
      <c r="A241" s="1698"/>
      <c r="B241" s="1673"/>
      <c r="C241" s="1706" t="s">
        <v>405</v>
      </c>
      <c r="D241" s="1699"/>
      <c r="E241" s="1700"/>
      <c r="F241" s="1701"/>
      <c r="G241" s="1702"/>
      <c r="H241" s="1703"/>
      <c r="I241" s="1704">
        <f>SUM(I236:I240)</f>
        <v>404.1</v>
      </c>
      <c r="J241" s="1658" t="s">
        <v>2226</v>
      </c>
    </row>
    <row r="242" spans="1:10" s="1705" customFormat="1">
      <c r="A242" s="1722"/>
      <c r="B242" s="1723"/>
      <c r="C242" s="1722"/>
      <c r="D242" s="1739"/>
      <c r="E242" s="1740"/>
      <c r="F242" s="1739"/>
      <c r="G242" s="1740"/>
      <c r="H242" s="1722"/>
      <c r="I242" s="1722"/>
      <c r="J242" s="1658" t="s">
        <v>2226</v>
      </c>
    </row>
    <row r="243" spans="1:10" s="1705" customFormat="1" ht="67.5">
      <c r="A243" s="1728" t="s">
        <v>727</v>
      </c>
      <c r="B243" s="1698">
        <v>14</v>
      </c>
      <c r="C243" s="1706" t="s">
        <v>698</v>
      </c>
      <c r="D243" s="1710"/>
      <c r="E243" s="1700"/>
      <c r="F243" s="1710"/>
      <c r="G243" s="1700"/>
      <c r="H243" s="1706"/>
      <c r="I243" s="1706"/>
      <c r="J243" s="1658" t="s">
        <v>2226</v>
      </c>
    </row>
    <row r="244" spans="1:10" s="1705" customFormat="1">
      <c r="A244" s="1698"/>
      <c r="B244" s="1673"/>
      <c r="C244" s="1706" t="s">
        <v>409</v>
      </c>
      <c r="D244" s="1699"/>
      <c r="E244" s="1702"/>
      <c r="F244" s="1701"/>
      <c r="G244" s="1702"/>
      <c r="H244" s="1703"/>
      <c r="I244" s="1704"/>
      <c r="J244" s="1658" t="s">
        <v>2226</v>
      </c>
    </row>
    <row r="245" spans="1:10" s="1705" customFormat="1">
      <c r="A245" s="1698"/>
      <c r="B245" s="1673"/>
      <c r="C245" s="1717" t="s">
        <v>699</v>
      </c>
      <c r="D245" s="1699">
        <v>0.5</v>
      </c>
      <c r="E245" s="1718" t="s">
        <v>27</v>
      </c>
      <c r="F245" s="1701">
        <v>1</v>
      </c>
      <c r="G245" s="1718" t="s">
        <v>27</v>
      </c>
      <c r="H245" s="1703">
        <f>'MINI SSR 19-20'!$H$16</f>
        <v>575</v>
      </c>
      <c r="I245" s="1704">
        <f>SUM(D245*H245/F245)</f>
        <v>287.5</v>
      </c>
      <c r="J245" s="1658" t="s">
        <v>2226</v>
      </c>
    </row>
    <row r="246" spans="1:10" s="1705" customFormat="1">
      <c r="A246" s="1698"/>
      <c r="B246" s="1673"/>
      <c r="C246" s="1717" t="s">
        <v>219</v>
      </c>
      <c r="D246" s="1699">
        <v>0.5</v>
      </c>
      <c r="E246" s="1718" t="s">
        <v>27</v>
      </c>
      <c r="F246" s="1701">
        <v>1</v>
      </c>
      <c r="G246" s="1718" t="s">
        <v>27</v>
      </c>
      <c r="H246" s="1703">
        <f>'MINI SSR 19-20'!$H$17</f>
        <v>471</v>
      </c>
      <c r="I246" s="1704">
        <f>SUM(D246*H246/F246)</f>
        <v>235.5</v>
      </c>
      <c r="J246" s="1658" t="s">
        <v>2226</v>
      </c>
    </row>
    <row r="247" spans="1:10" s="1705" customFormat="1">
      <c r="A247" s="1698"/>
      <c r="B247" s="1673"/>
      <c r="C247" s="1717" t="s">
        <v>700</v>
      </c>
      <c r="D247" s="1699">
        <v>1</v>
      </c>
      <c r="E247" s="1718" t="s">
        <v>27</v>
      </c>
      <c r="F247" s="1701">
        <v>1</v>
      </c>
      <c r="G247" s="1718" t="s">
        <v>27</v>
      </c>
      <c r="H247" s="1703">
        <f>'MINI SSR 19-20'!$H$18</f>
        <v>418</v>
      </c>
      <c r="I247" s="1716">
        <f>SUM(D247*H247/F247)</f>
        <v>418</v>
      </c>
      <c r="J247" s="1658" t="s">
        <v>2226</v>
      </c>
    </row>
    <row r="248" spans="1:10" s="1705" customFormat="1">
      <c r="A248" s="1698"/>
      <c r="B248" s="1673"/>
      <c r="C248" s="1706" t="s">
        <v>327</v>
      </c>
      <c r="D248" s="1699"/>
      <c r="E248" s="1718"/>
      <c r="F248" s="1701"/>
      <c r="G248" s="1718"/>
      <c r="H248" s="1703"/>
      <c r="I248" s="1704"/>
      <c r="J248" s="1658" t="s">
        <v>2226</v>
      </c>
    </row>
    <row r="249" spans="1:10" s="1705" customFormat="1" ht="22.5">
      <c r="A249" s="1698"/>
      <c r="B249" s="1698"/>
      <c r="C249" s="1706" t="s">
        <v>701</v>
      </c>
      <c r="D249" s="1741">
        <v>1</v>
      </c>
      <c r="E249" s="1700" t="s">
        <v>325</v>
      </c>
      <c r="F249" s="1741">
        <v>1</v>
      </c>
      <c r="G249" s="1700" t="s">
        <v>115</v>
      </c>
      <c r="H249" s="1728">
        <f>'MINI SSR 19-20'!G122</f>
        <v>875</v>
      </c>
      <c r="I249" s="1742">
        <f>SUM(D249*H249/F249)</f>
        <v>875</v>
      </c>
      <c r="J249" s="1658" t="s">
        <v>2226</v>
      </c>
    </row>
    <row r="250" spans="1:10" s="1705" customFormat="1">
      <c r="A250" s="1698"/>
      <c r="B250" s="1673"/>
      <c r="C250" s="1729" t="s">
        <v>702</v>
      </c>
      <c r="D250" s="1730">
        <v>1</v>
      </c>
      <c r="E250" s="1702" t="s">
        <v>325</v>
      </c>
      <c r="F250" s="1701">
        <v>1</v>
      </c>
      <c r="G250" s="1702" t="s">
        <v>115</v>
      </c>
      <c r="H250" s="1728">
        <f>'MINI SSR 19-20'!G123</f>
        <v>360</v>
      </c>
      <c r="I250" s="1704">
        <f>SUM(D250*H250/F250)</f>
        <v>360</v>
      </c>
      <c r="J250" s="1658" t="s">
        <v>2226</v>
      </c>
    </row>
    <row r="251" spans="1:10" s="1705" customFormat="1">
      <c r="A251" s="1698"/>
      <c r="B251" s="1673"/>
      <c r="C251" s="1729" t="s">
        <v>703</v>
      </c>
      <c r="D251" s="1730">
        <v>4</v>
      </c>
      <c r="E251" s="1702" t="s">
        <v>325</v>
      </c>
      <c r="F251" s="1701">
        <v>1</v>
      </c>
      <c r="G251" s="1702" t="s">
        <v>115</v>
      </c>
      <c r="H251" s="1728">
        <f>'MINI SSR 19-20'!G124</f>
        <v>190</v>
      </c>
      <c r="I251" s="1704">
        <f>SUM(D251*H251/F251)</f>
        <v>760</v>
      </c>
      <c r="J251" s="1658" t="s">
        <v>2226</v>
      </c>
    </row>
    <row r="252" spans="1:10" s="1705" customFormat="1">
      <c r="A252" s="1698"/>
      <c r="B252" s="1743"/>
      <c r="C252" s="1711" t="s">
        <v>388</v>
      </c>
      <c r="D252" s="1744"/>
      <c r="E252" s="1745"/>
      <c r="F252" s="1720"/>
      <c r="G252" s="1734"/>
      <c r="H252" s="1735"/>
      <c r="I252" s="1746">
        <f>SUM(I245:I251)</f>
        <v>2936</v>
      </c>
      <c r="J252" s="1658" t="s">
        <v>2226</v>
      </c>
    </row>
    <row r="253" spans="1:10" s="1705" customFormat="1" ht="45">
      <c r="A253" s="1728"/>
      <c r="B253" s="1698">
        <v>15</v>
      </c>
      <c r="C253" s="1706" t="s">
        <v>941</v>
      </c>
      <c r="D253" s="1710"/>
      <c r="E253" s="1700"/>
      <c r="F253" s="1710"/>
      <c r="G253" s="1700"/>
      <c r="H253" s="1706"/>
      <c r="I253" s="1706"/>
      <c r="J253" s="1658" t="s">
        <v>2226</v>
      </c>
    </row>
    <row r="254" spans="1:10" s="1705" customFormat="1">
      <c r="A254" s="1698"/>
      <c r="B254" s="1673"/>
      <c r="C254" s="1706" t="s">
        <v>327</v>
      </c>
      <c r="D254" s="1699"/>
      <c r="E254" s="1718"/>
      <c r="F254" s="1701"/>
      <c r="G254" s="1718"/>
      <c r="H254" s="1703"/>
      <c r="I254" s="1704"/>
      <c r="J254" s="1658" t="s">
        <v>2226</v>
      </c>
    </row>
    <row r="255" spans="1:10" s="1705" customFormat="1">
      <c r="A255" s="1698"/>
      <c r="B255" s="1698"/>
      <c r="C255" s="1706" t="s">
        <v>942</v>
      </c>
      <c r="D255" s="1741">
        <v>2</v>
      </c>
      <c r="E255" s="1700" t="s">
        <v>325</v>
      </c>
      <c r="F255" s="1741">
        <v>1</v>
      </c>
      <c r="G255" s="1700" t="s">
        <v>115</v>
      </c>
      <c r="H255" s="1728">
        <f>'MINI SSR 19-20'!G125</f>
        <v>100</v>
      </c>
      <c r="I255" s="1742">
        <f>SUM(D255*H255/F255)</f>
        <v>200</v>
      </c>
      <c r="J255" s="1658" t="s">
        <v>2226</v>
      </c>
    </row>
    <row r="256" spans="1:10" s="1705" customFormat="1">
      <c r="A256" s="1698"/>
      <c r="B256" s="1673"/>
      <c r="C256" s="1729" t="s">
        <v>943</v>
      </c>
      <c r="D256" s="1730">
        <v>4</v>
      </c>
      <c r="E256" s="1702" t="s">
        <v>277</v>
      </c>
      <c r="F256" s="1701">
        <v>1</v>
      </c>
      <c r="G256" s="1702" t="s">
        <v>115</v>
      </c>
      <c r="H256" s="1703">
        <f>'MINI SSR 19-20'!G126/100</f>
        <v>51</v>
      </c>
      <c r="I256" s="1704">
        <f>SUM(D256*H256/F256)</f>
        <v>204</v>
      </c>
      <c r="J256" s="1658" t="s">
        <v>2226</v>
      </c>
    </row>
    <row r="257" spans="1:10" s="1705" customFormat="1">
      <c r="A257" s="1698"/>
      <c r="B257" s="1673"/>
      <c r="C257" s="1729" t="s">
        <v>944</v>
      </c>
      <c r="D257" s="1730">
        <v>1</v>
      </c>
      <c r="E257" s="1702" t="s">
        <v>325</v>
      </c>
      <c r="F257" s="1701">
        <v>1</v>
      </c>
      <c r="G257" s="1702" t="s">
        <v>115</v>
      </c>
      <c r="H257" s="1703">
        <f>'MINI SSR 19-20'!G127</f>
        <v>190</v>
      </c>
      <c r="I257" s="1704">
        <f>SUM(D257*H257/F257)</f>
        <v>190</v>
      </c>
      <c r="J257" s="1658" t="s">
        <v>2226</v>
      </c>
    </row>
    <row r="258" spans="1:10" s="1705" customFormat="1">
      <c r="A258" s="1698"/>
      <c r="B258" s="1673"/>
      <c r="C258" s="1706" t="s">
        <v>409</v>
      </c>
      <c r="D258" s="1699"/>
      <c r="E258" s="1702"/>
      <c r="F258" s="1701"/>
      <c r="G258" s="1702"/>
      <c r="H258" s="1703"/>
      <c r="I258" s="1704"/>
      <c r="J258" s="1658" t="s">
        <v>2226</v>
      </c>
    </row>
    <row r="259" spans="1:10" s="1705" customFormat="1">
      <c r="A259" s="1698"/>
      <c r="B259" s="1673"/>
      <c r="C259" s="1717" t="s">
        <v>699</v>
      </c>
      <c r="D259" s="1699">
        <v>0.2</v>
      </c>
      <c r="E259" s="1718" t="s">
        <v>27</v>
      </c>
      <c r="F259" s="1701">
        <v>1</v>
      </c>
      <c r="G259" s="1718" t="s">
        <v>27</v>
      </c>
      <c r="H259" s="1703">
        <f>'MINI SSR 19-20'!$H$16</f>
        <v>575</v>
      </c>
      <c r="I259" s="1704">
        <f>SUM(D259*H259/F259)</f>
        <v>115</v>
      </c>
      <c r="J259" s="1658" t="s">
        <v>2226</v>
      </c>
    </row>
    <row r="260" spans="1:10" s="1705" customFormat="1">
      <c r="A260" s="1698"/>
      <c r="B260" s="1673"/>
      <c r="C260" s="1717" t="s">
        <v>219</v>
      </c>
      <c r="D260" s="1699">
        <v>0.2</v>
      </c>
      <c r="E260" s="1718" t="s">
        <v>27</v>
      </c>
      <c r="F260" s="1701">
        <v>1</v>
      </c>
      <c r="G260" s="1718" t="s">
        <v>27</v>
      </c>
      <c r="H260" s="1703">
        <f>'MINI SSR 19-20'!$H$17</f>
        <v>471</v>
      </c>
      <c r="I260" s="1704">
        <f>SUM(D260*H260/F260)</f>
        <v>94.2</v>
      </c>
      <c r="J260" s="1658" t="s">
        <v>2226</v>
      </c>
    </row>
    <row r="261" spans="1:10" s="1705" customFormat="1">
      <c r="A261" s="1698"/>
      <c r="B261" s="1673"/>
      <c r="C261" s="1717" t="s">
        <v>700</v>
      </c>
      <c r="D261" s="1699">
        <v>0.2</v>
      </c>
      <c r="E261" s="1718" t="s">
        <v>27</v>
      </c>
      <c r="F261" s="1701">
        <v>1</v>
      </c>
      <c r="G261" s="1718" t="s">
        <v>27</v>
      </c>
      <c r="H261" s="1703">
        <f>'MINI SSR 19-20'!$H$18</f>
        <v>418</v>
      </c>
      <c r="I261" s="1716">
        <f>SUM(D261*H261/F261)</f>
        <v>83.600000000000009</v>
      </c>
      <c r="J261" s="1658" t="s">
        <v>2226</v>
      </c>
    </row>
    <row r="262" spans="1:10" s="1705" customFormat="1">
      <c r="A262" s="1698"/>
      <c r="B262" s="1743"/>
      <c r="C262" s="1711" t="s">
        <v>388</v>
      </c>
      <c r="D262" s="1744"/>
      <c r="E262" s="1745"/>
      <c r="F262" s="1720"/>
      <c r="G262" s="1734"/>
      <c r="H262" s="1735"/>
      <c r="I262" s="1746">
        <f>SUM(I255:I261)</f>
        <v>886.80000000000007</v>
      </c>
      <c r="J262" s="1658" t="s">
        <v>2226</v>
      </c>
    </row>
    <row r="263" spans="1:10" ht="78.75" hidden="1">
      <c r="A263" s="1295" t="s">
        <v>728</v>
      </c>
      <c r="B263" s="1257">
        <v>19</v>
      </c>
      <c r="C263" s="1270" t="s">
        <v>413</v>
      </c>
      <c r="D263" s="1274"/>
      <c r="E263" s="1265"/>
      <c r="F263" s="1274"/>
      <c r="G263" s="1265"/>
      <c r="H263" s="1270"/>
      <c r="I263" s="1270"/>
      <c r="J263" s="1205" t="s">
        <v>2226</v>
      </c>
    </row>
    <row r="264" spans="1:10" hidden="1">
      <c r="A264" s="1257"/>
      <c r="B264" s="1257"/>
      <c r="C264" s="1309" t="s">
        <v>414</v>
      </c>
      <c r="D264" s="1310"/>
      <c r="E264" s="1311"/>
      <c r="F264" s="1266"/>
      <c r="G264" s="1311"/>
      <c r="H264" s="1268"/>
      <c r="I264" s="1269"/>
      <c r="J264" s="1205" t="s">
        <v>2226</v>
      </c>
    </row>
    <row r="265" spans="1:10" hidden="1">
      <c r="A265" s="1257"/>
      <c r="B265" s="1257"/>
      <c r="C265" s="1281" t="s">
        <v>1662</v>
      </c>
      <c r="D265" s="1264">
        <v>0.5</v>
      </c>
      <c r="E265" s="1267" t="s">
        <v>325</v>
      </c>
      <c r="F265" s="1266">
        <v>1</v>
      </c>
      <c r="G265" s="1267" t="s">
        <v>115</v>
      </c>
      <c r="H265" s="1268">
        <f>'MINI SSR 19-20'!$H$17</f>
        <v>471</v>
      </c>
      <c r="I265" s="1269">
        <f>SUM(D265*H265/F265)</f>
        <v>235.5</v>
      </c>
      <c r="J265" s="1205" t="s">
        <v>2226</v>
      </c>
    </row>
    <row r="266" spans="1:10" hidden="1">
      <c r="A266" s="1257"/>
      <c r="B266" s="1257"/>
      <c r="C266" s="1281" t="s">
        <v>700</v>
      </c>
      <c r="D266" s="1264">
        <v>0.5</v>
      </c>
      <c r="E266" s="1282" t="s">
        <v>27</v>
      </c>
      <c r="F266" s="1266">
        <v>1</v>
      </c>
      <c r="G266" s="1282" t="s">
        <v>27</v>
      </c>
      <c r="H266" s="1268">
        <f>'MINI SSR 19-20'!$H$18</f>
        <v>418</v>
      </c>
      <c r="I266" s="1280">
        <f>SUM(D266*H266/F266)</f>
        <v>209</v>
      </c>
      <c r="J266" s="1205" t="s">
        <v>2226</v>
      </c>
    </row>
    <row r="267" spans="1:10" hidden="1">
      <c r="A267" s="1257"/>
      <c r="B267" s="1257"/>
      <c r="C267" s="1270" t="s">
        <v>106</v>
      </c>
      <c r="D267" s="1264"/>
      <c r="E267" s="1267"/>
      <c r="F267" s="1266"/>
      <c r="G267" s="1267"/>
      <c r="H267" s="1268"/>
      <c r="I267" s="1269"/>
      <c r="J267" s="1205" t="s">
        <v>2226</v>
      </c>
    </row>
    <row r="268" spans="1:10" hidden="1">
      <c r="A268" s="1257"/>
      <c r="B268" s="1257"/>
      <c r="C268" s="1281" t="s">
        <v>729</v>
      </c>
      <c r="D268" s="1264">
        <v>2.5</v>
      </c>
      <c r="E268" s="1311" t="s">
        <v>385</v>
      </c>
      <c r="F268" s="1266">
        <v>1</v>
      </c>
      <c r="G268" s="1311" t="s">
        <v>385</v>
      </c>
      <c r="H268" s="1268">
        <f>'MINI SSR 19-20'!G128</f>
        <v>350</v>
      </c>
      <c r="I268" s="1269">
        <f>SUM(D268*H268/F268)</f>
        <v>875</v>
      </c>
      <c r="J268" s="1205" t="s">
        <v>2226</v>
      </c>
    </row>
    <row r="269" spans="1:10" hidden="1">
      <c r="A269" s="1257"/>
      <c r="B269" s="1257"/>
      <c r="C269" s="1270" t="s">
        <v>730</v>
      </c>
      <c r="D269" s="1264">
        <v>0.24</v>
      </c>
      <c r="E269" s="1311" t="s">
        <v>141</v>
      </c>
      <c r="F269" s="1266">
        <v>1</v>
      </c>
      <c r="G269" s="1311" t="s">
        <v>4</v>
      </c>
      <c r="H269" s="1268">
        <f>'MINI SSR 19-20'!G129</f>
        <v>65</v>
      </c>
      <c r="I269" s="1269">
        <f>SUM(D269*H269/F269)</f>
        <v>15.6</v>
      </c>
      <c r="J269" s="1205" t="s">
        <v>2226</v>
      </c>
    </row>
    <row r="270" spans="1:10" hidden="1">
      <c r="A270" s="1257"/>
      <c r="B270" s="1257"/>
      <c r="C270" s="1270" t="s">
        <v>731</v>
      </c>
      <c r="D270" s="1264">
        <v>0.83</v>
      </c>
      <c r="E270" s="1311" t="s">
        <v>141</v>
      </c>
      <c r="F270" s="1266">
        <v>1</v>
      </c>
      <c r="G270" s="1311" t="s">
        <v>90</v>
      </c>
      <c r="H270" s="1268">
        <f>'MINI SSR 19-20'!G130</f>
        <v>65</v>
      </c>
      <c r="I270" s="1269">
        <f>SUM(D270*H270/F270)</f>
        <v>53.949999999999996</v>
      </c>
      <c r="J270" s="1205" t="s">
        <v>2226</v>
      </c>
    </row>
    <row r="271" spans="1:10" hidden="1">
      <c r="A271" s="1257"/>
      <c r="B271" s="1257"/>
      <c r="C271" s="1281" t="s">
        <v>732</v>
      </c>
      <c r="D271" s="1264">
        <v>16</v>
      </c>
      <c r="E271" s="1311" t="s">
        <v>325</v>
      </c>
      <c r="F271" s="1266">
        <v>1</v>
      </c>
      <c r="G271" s="1267" t="s">
        <v>115</v>
      </c>
      <c r="H271" s="1268">
        <f>'MINI SSR 19-20'!G131</f>
        <v>6</v>
      </c>
      <c r="I271" s="1269">
        <f t="shared" ref="I271:I278" si="2">SUM(D271*H271/F271)</f>
        <v>96</v>
      </c>
      <c r="J271" s="1205" t="s">
        <v>2226</v>
      </c>
    </row>
    <row r="272" spans="1:10" hidden="1">
      <c r="A272" s="1257"/>
      <c r="B272" s="1257"/>
      <c r="C272" s="1281" t="s">
        <v>733</v>
      </c>
      <c r="D272" s="1264">
        <v>2</v>
      </c>
      <c r="E272" s="1311" t="s">
        <v>415</v>
      </c>
      <c r="F272" s="1266">
        <v>1</v>
      </c>
      <c r="G272" s="1311" t="s">
        <v>416</v>
      </c>
      <c r="H272" s="1268">
        <f>'MINI SSR 19-20'!G132</f>
        <v>12</v>
      </c>
      <c r="I272" s="1269">
        <f t="shared" si="2"/>
        <v>24</v>
      </c>
      <c r="J272" s="1205" t="s">
        <v>2226</v>
      </c>
    </row>
    <row r="273" spans="1:10" hidden="1">
      <c r="A273" s="1257"/>
      <c r="B273" s="1257"/>
      <c r="C273" s="1281" t="s">
        <v>734</v>
      </c>
      <c r="D273" s="1264">
        <v>1</v>
      </c>
      <c r="E273" s="1267" t="s">
        <v>115</v>
      </c>
      <c r="F273" s="1266">
        <v>1</v>
      </c>
      <c r="G273" s="1267" t="s">
        <v>115</v>
      </c>
      <c r="H273" s="1268">
        <f>'MINI SSR 19-20'!G133</f>
        <v>250</v>
      </c>
      <c r="I273" s="1269">
        <f t="shared" si="2"/>
        <v>250</v>
      </c>
      <c r="J273" s="1205" t="s">
        <v>2226</v>
      </c>
    </row>
    <row r="274" spans="1:10" hidden="1">
      <c r="A274" s="1257"/>
      <c r="B274" s="1257"/>
      <c r="C274" s="1281" t="s">
        <v>735</v>
      </c>
      <c r="D274" s="1264">
        <v>1</v>
      </c>
      <c r="E274" s="1311" t="s">
        <v>115</v>
      </c>
      <c r="F274" s="1266">
        <v>1</v>
      </c>
      <c r="G274" s="1311" t="s">
        <v>115</v>
      </c>
      <c r="H274" s="1268">
        <f>'MINI SSR 19-20'!G134</f>
        <v>130</v>
      </c>
      <c r="I274" s="1269">
        <f t="shared" si="2"/>
        <v>130</v>
      </c>
      <c r="J274" s="1205" t="s">
        <v>2226</v>
      </c>
    </row>
    <row r="275" spans="1:10" hidden="1">
      <c r="A275" s="1257"/>
      <c r="B275" s="1257"/>
      <c r="C275" s="1281" t="s">
        <v>736</v>
      </c>
      <c r="D275" s="1264">
        <v>40</v>
      </c>
      <c r="E275" s="1311" t="s">
        <v>4</v>
      </c>
      <c r="F275" s="1266">
        <v>1</v>
      </c>
      <c r="G275" s="1311" t="s">
        <v>4</v>
      </c>
      <c r="H275" s="1268">
        <f>'MINI SSR 19-20'!G135</f>
        <v>20</v>
      </c>
      <c r="I275" s="1269">
        <f t="shared" si="2"/>
        <v>800</v>
      </c>
      <c r="J275" s="1205" t="s">
        <v>2226</v>
      </c>
    </row>
    <row r="276" spans="1:10" hidden="1">
      <c r="A276" s="1257"/>
      <c r="B276" s="1257"/>
      <c r="C276" s="1281" t="s">
        <v>737</v>
      </c>
      <c r="D276" s="1264">
        <v>20</v>
      </c>
      <c r="E276" s="1311" t="s">
        <v>4</v>
      </c>
      <c r="F276" s="1266">
        <v>1</v>
      </c>
      <c r="G276" s="1311" t="s">
        <v>4</v>
      </c>
      <c r="H276" s="1268">
        <f>'MINI SSR 19-20'!G136</f>
        <v>15</v>
      </c>
      <c r="I276" s="1269">
        <f t="shared" si="2"/>
        <v>300</v>
      </c>
      <c r="J276" s="1205" t="s">
        <v>2226</v>
      </c>
    </row>
    <row r="277" spans="1:10" ht="22.5" hidden="1">
      <c r="A277" s="1257"/>
      <c r="B277" s="1257"/>
      <c r="C277" s="1270" t="s">
        <v>738</v>
      </c>
      <c r="D277" s="1264">
        <v>0.65</v>
      </c>
      <c r="E277" s="1267" t="s">
        <v>35</v>
      </c>
      <c r="F277" s="1266">
        <v>1</v>
      </c>
      <c r="G277" s="1267" t="s">
        <v>35</v>
      </c>
      <c r="H277" s="1268">
        <f>'MINI SSR 19-20'!G137</f>
        <v>250</v>
      </c>
      <c r="I277" s="1269">
        <f t="shared" si="2"/>
        <v>162.5</v>
      </c>
      <c r="J277" s="1205" t="s">
        <v>2226</v>
      </c>
    </row>
    <row r="278" spans="1:10" ht="22.5" hidden="1">
      <c r="A278" s="1257"/>
      <c r="B278" s="1257"/>
      <c r="C278" s="1270" t="s">
        <v>739</v>
      </c>
      <c r="D278" s="1264">
        <v>0.65</v>
      </c>
      <c r="E278" s="1267" t="s">
        <v>35</v>
      </c>
      <c r="F278" s="1266">
        <v>1</v>
      </c>
      <c r="G278" s="1267" t="s">
        <v>35</v>
      </c>
      <c r="H278" s="1268">
        <f>'MINI SSR 19-20'!G138</f>
        <v>250</v>
      </c>
      <c r="I278" s="1269">
        <f t="shared" si="2"/>
        <v>162.5</v>
      </c>
      <c r="J278" s="1205" t="s">
        <v>2226</v>
      </c>
    </row>
    <row r="279" spans="1:10" ht="22.5" hidden="1">
      <c r="A279" s="1257"/>
      <c r="B279" s="1257"/>
      <c r="C279" s="1270" t="s">
        <v>417</v>
      </c>
      <c r="D279" s="1312">
        <v>0.25</v>
      </c>
      <c r="E279" s="1311"/>
      <c r="F279" s="1266"/>
      <c r="G279" s="1311"/>
      <c r="H279" s="1268">
        <f>I277+I278</f>
        <v>325</v>
      </c>
      <c r="I279" s="1269">
        <f>SUM(H279*D279)</f>
        <v>81.25</v>
      </c>
      <c r="J279" s="1205" t="s">
        <v>2226</v>
      </c>
    </row>
    <row r="280" spans="1:10" hidden="1">
      <c r="A280" s="1257"/>
      <c r="B280" s="1257"/>
      <c r="C280" s="1270" t="s">
        <v>418</v>
      </c>
      <c r="D280" s="1264"/>
      <c r="E280" s="1267"/>
      <c r="F280" s="1266"/>
      <c r="G280" s="1267"/>
      <c r="H280" s="1268"/>
      <c r="I280" s="1269">
        <v>9.52</v>
      </c>
      <c r="J280" s="1205" t="s">
        <v>2226</v>
      </c>
    </row>
    <row r="281" spans="1:10" hidden="1">
      <c r="A281" s="1257"/>
      <c r="B281" s="1257"/>
      <c r="C281" s="1270" t="s">
        <v>405</v>
      </c>
      <c r="D281" s="1264"/>
      <c r="E281" s="1267"/>
      <c r="F281" s="1266"/>
      <c r="G281" s="1267"/>
      <c r="H281" s="1268"/>
      <c r="I281" s="1269">
        <f>SUM(I265:I280)</f>
        <v>3404.82</v>
      </c>
      <c r="J281" s="1205" t="s">
        <v>2226</v>
      </c>
    </row>
    <row r="282" spans="1:10" ht="106.5" hidden="1" customHeight="1">
      <c r="A282" s="1295"/>
      <c r="B282" s="1263">
        <v>28</v>
      </c>
      <c r="C282" s="1270" t="s">
        <v>2261</v>
      </c>
      <c r="D282" s="1274"/>
      <c r="E282" s="1265"/>
      <c r="F282" s="1274"/>
      <c r="G282" s="1265"/>
      <c r="H282" s="1270"/>
      <c r="I282" s="1270"/>
      <c r="J282" s="1205" t="s">
        <v>2226</v>
      </c>
    </row>
    <row r="283" spans="1:10" hidden="1">
      <c r="A283" s="1263"/>
      <c r="B283" s="1257"/>
      <c r="C283" s="1281" t="s">
        <v>2096</v>
      </c>
      <c r="D283" s="1264">
        <v>1</v>
      </c>
      <c r="E283" s="1282" t="s">
        <v>115</v>
      </c>
      <c r="F283" s="1266">
        <v>1</v>
      </c>
      <c r="G283" s="1282" t="s">
        <v>115</v>
      </c>
      <c r="H283" s="1268">
        <f>'MINI SSR 19-20'!G139</f>
        <v>1980</v>
      </c>
      <c r="I283" s="1269">
        <f>SUM(D283*H283/F283)</f>
        <v>1980</v>
      </c>
      <c r="J283" s="1205" t="s">
        <v>2226</v>
      </c>
    </row>
    <row r="284" spans="1:10" hidden="1">
      <c r="A284" s="1263"/>
      <c r="B284" s="1257"/>
      <c r="C284" s="1270" t="s">
        <v>405</v>
      </c>
      <c r="D284" s="1264"/>
      <c r="E284" s="1265"/>
      <c r="F284" s="1266"/>
      <c r="G284" s="1267"/>
      <c r="H284" s="1268"/>
      <c r="I284" s="1269">
        <f>SUM(I283:I283)</f>
        <v>1980</v>
      </c>
      <c r="J284" s="1205" t="s">
        <v>2226</v>
      </c>
    </row>
    <row r="285" spans="1:10" ht="106.5" hidden="1" customHeight="1">
      <c r="A285" s="1295"/>
      <c r="B285" s="1263">
        <v>28</v>
      </c>
      <c r="C285" s="1270" t="s">
        <v>2262</v>
      </c>
      <c r="D285" s="1274"/>
      <c r="E285" s="1265"/>
      <c r="F285" s="1274"/>
      <c r="G285" s="1265"/>
      <c r="H285" s="1270"/>
      <c r="I285" s="1270"/>
      <c r="J285" s="1205" t="s">
        <v>2226</v>
      </c>
    </row>
    <row r="286" spans="1:10" hidden="1">
      <c r="A286" s="1263"/>
      <c r="B286" s="1257"/>
      <c r="C286" s="1281" t="s">
        <v>2269</v>
      </c>
      <c r="D286" s="1264">
        <v>1</v>
      </c>
      <c r="E286" s="1282" t="s">
        <v>115</v>
      </c>
      <c r="F286" s="1266">
        <v>1</v>
      </c>
      <c r="G286" s="1282" t="s">
        <v>115</v>
      </c>
      <c r="H286" s="1268">
        <f>'MINI SSR 19-20'!G140</f>
        <v>5900</v>
      </c>
      <c r="I286" s="1269">
        <f>SUM(D286*H286/F286)</f>
        <v>5900</v>
      </c>
      <c r="J286" s="1205" t="s">
        <v>2226</v>
      </c>
    </row>
    <row r="287" spans="1:10" hidden="1">
      <c r="A287" s="1263"/>
      <c r="B287" s="1257"/>
      <c r="C287" s="1270" t="s">
        <v>405</v>
      </c>
      <c r="D287" s="1264"/>
      <c r="E287" s="1265"/>
      <c r="F287" s="1266"/>
      <c r="G287" s="1267"/>
      <c r="H287" s="1268"/>
      <c r="I287" s="1269">
        <f>SUM(I286:I286)</f>
        <v>5900</v>
      </c>
      <c r="J287" s="1205" t="s">
        <v>2226</v>
      </c>
    </row>
    <row r="288" spans="1:10" hidden="1">
      <c r="A288" s="1263"/>
      <c r="B288" s="1257"/>
      <c r="C288" s="1257" t="s">
        <v>2022</v>
      </c>
      <c r="D288" s="1264"/>
      <c r="E288" s="1265"/>
      <c r="F288" s="1266"/>
      <c r="G288" s="1267"/>
      <c r="H288" s="1268"/>
      <c r="I288" s="1269"/>
      <c r="J288" s="1205" t="s">
        <v>2308</v>
      </c>
    </row>
    <row r="289" spans="1:10" ht="33.75" hidden="1">
      <c r="A289" s="1268" t="s">
        <v>1497</v>
      </c>
      <c r="B289" s="1257">
        <v>1</v>
      </c>
      <c r="C289" s="1270" t="s">
        <v>1506</v>
      </c>
      <c r="D289" s="1271"/>
      <c r="E289" s="1272"/>
      <c r="F289" s="1271"/>
      <c r="G289" s="1272"/>
      <c r="H289" s="1273"/>
      <c r="I289" s="1273"/>
      <c r="J289" s="1205" t="s">
        <v>2308</v>
      </c>
    </row>
    <row r="290" spans="1:10" hidden="1">
      <c r="A290" s="1263"/>
      <c r="B290" s="1257"/>
      <c r="C290" s="1270" t="s">
        <v>1498</v>
      </c>
      <c r="D290" s="1274"/>
      <c r="E290" s="1265"/>
      <c r="F290" s="1274"/>
      <c r="G290" s="1265"/>
      <c r="H290" s="1270"/>
      <c r="I290" s="1270"/>
      <c r="J290" s="1205" t="s">
        <v>2308</v>
      </c>
    </row>
    <row r="291" spans="1:10" hidden="1">
      <c r="A291" s="1263"/>
      <c r="B291" s="1257"/>
      <c r="C291" s="1275" t="s">
        <v>384</v>
      </c>
      <c r="D291" s="1276"/>
      <c r="E291" s="1277"/>
      <c r="F291" s="1278"/>
      <c r="G291" s="1279"/>
      <c r="H291" s="1268"/>
      <c r="I291" s="1280"/>
      <c r="J291" s="1205" t="s">
        <v>2308</v>
      </c>
    </row>
    <row r="292" spans="1:10" hidden="1">
      <c r="A292" s="1263"/>
      <c r="B292" s="1257"/>
      <c r="C292" s="1281" t="s">
        <v>156</v>
      </c>
      <c r="D292" s="1264">
        <v>2</v>
      </c>
      <c r="E292" s="1282" t="s">
        <v>27</v>
      </c>
      <c r="F292" s="1266">
        <v>1</v>
      </c>
      <c r="G292" s="1282" t="s">
        <v>27</v>
      </c>
      <c r="H292" s="1268">
        <f>'MINI SSR 2020-21'!$H$16</f>
        <v>610</v>
      </c>
      <c r="I292" s="1280">
        <f>SUM(D292*H292/F292)</f>
        <v>1220</v>
      </c>
      <c r="J292" s="1205" t="s">
        <v>2308</v>
      </c>
    </row>
    <row r="293" spans="1:10" hidden="1">
      <c r="A293" s="1263"/>
      <c r="B293" s="1257"/>
      <c r="C293" s="1283" t="s">
        <v>1501</v>
      </c>
      <c r="D293" s="1264">
        <v>2</v>
      </c>
      <c r="E293" s="1282" t="s">
        <v>27</v>
      </c>
      <c r="F293" s="1266">
        <v>1</v>
      </c>
      <c r="G293" s="1282" t="s">
        <v>27</v>
      </c>
      <c r="H293" s="1268">
        <f>'MINI SSR 2020-21'!$H$17</f>
        <v>500</v>
      </c>
      <c r="I293" s="1280">
        <f>SUM(D293*H293/F293)</f>
        <v>1000</v>
      </c>
      <c r="J293" s="1205" t="s">
        <v>2308</v>
      </c>
    </row>
    <row r="294" spans="1:10" hidden="1">
      <c r="A294" s="1263"/>
      <c r="B294" s="1257"/>
      <c r="C294" s="1281" t="s">
        <v>1502</v>
      </c>
      <c r="D294" s="1264">
        <v>2</v>
      </c>
      <c r="E294" s="1282" t="s">
        <v>27</v>
      </c>
      <c r="F294" s="1266">
        <v>1</v>
      </c>
      <c r="G294" s="1282" t="s">
        <v>27</v>
      </c>
      <c r="H294" s="1268">
        <f>'MINI SSR 2020-21'!$H$18</f>
        <v>445</v>
      </c>
      <c r="I294" s="1280">
        <f>SUM(D294*H294/F294)</f>
        <v>890</v>
      </c>
      <c r="J294" s="1205" t="s">
        <v>2308</v>
      </c>
    </row>
    <row r="295" spans="1:10" hidden="1">
      <c r="A295" s="1263"/>
      <c r="B295" s="1257"/>
      <c r="C295" s="1275" t="s">
        <v>327</v>
      </c>
      <c r="D295" s="1264"/>
      <c r="E295" s="1267"/>
      <c r="F295" s="1284"/>
      <c r="G295" s="1267"/>
      <c r="H295" s="1268"/>
      <c r="I295" s="1285"/>
      <c r="J295" s="1205" t="s">
        <v>2308</v>
      </c>
    </row>
    <row r="296" spans="1:10" hidden="1">
      <c r="A296" s="1263" t="s">
        <v>3248</v>
      </c>
      <c r="B296" s="1257"/>
      <c r="C296" s="1270" t="s">
        <v>1499</v>
      </c>
      <c r="D296" s="1264">
        <v>12</v>
      </c>
      <c r="E296" s="1282" t="s">
        <v>325</v>
      </c>
      <c r="F296" s="1266">
        <v>1</v>
      </c>
      <c r="G296" s="1282" t="s">
        <v>115</v>
      </c>
      <c r="H296" s="1268">
        <f>'MINI SSR 2020-21'!C99</f>
        <v>65</v>
      </c>
      <c r="I296" s="1280">
        <f>SUM(D296*H296/F296)</f>
        <v>780</v>
      </c>
      <c r="J296" s="1205" t="s">
        <v>2308</v>
      </c>
    </row>
    <row r="297" spans="1:10" hidden="1">
      <c r="A297" s="1263" t="s">
        <v>1504</v>
      </c>
      <c r="B297" s="1257"/>
      <c r="C297" s="1270" t="s">
        <v>1500</v>
      </c>
      <c r="D297" s="1264">
        <v>12</v>
      </c>
      <c r="E297" s="1282" t="s">
        <v>325</v>
      </c>
      <c r="F297" s="1266">
        <v>1</v>
      </c>
      <c r="G297" s="1282" t="s">
        <v>115</v>
      </c>
      <c r="H297" s="1268">
        <f>'MINI SSR 2020-21'!C101</f>
        <v>8</v>
      </c>
      <c r="I297" s="1280">
        <f>SUM(D297*H297/F297)</f>
        <v>96</v>
      </c>
      <c r="J297" s="1205" t="s">
        <v>2308</v>
      </c>
    </row>
    <row r="298" spans="1:10" hidden="1">
      <c r="A298" s="1263" t="s">
        <v>1505</v>
      </c>
      <c r="B298" s="1257"/>
      <c r="C298" s="1270" t="s">
        <v>1509</v>
      </c>
      <c r="D298" s="1264">
        <v>100</v>
      </c>
      <c r="E298" s="1282" t="s">
        <v>385</v>
      </c>
      <c r="F298" s="1266">
        <v>1</v>
      </c>
      <c r="G298" s="1282" t="s">
        <v>385</v>
      </c>
      <c r="H298" s="1268">
        <f>'MINI SSR 2020-21'!C102</f>
        <v>25</v>
      </c>
      <c r="I298" s="1280">
        <f>SUM(D298*H298/F298)</f>
        <v>2500</v>
      </c>
      <c r="J298" s="1205" t="s">
        <v>2308</v>
      </c>
    </row>
    <row r="299" spans="1:10" hidden="1">
      <c r="A299" s="1286"/>
      <c r="B299" s="1287"/>
      <c r="C299" s="1273" t="s">
        <v>386</v>
      </c>
      <c r="D299" s="1264"/>
      <c r="E299" s="1282"/>
      <c r="F299" s="1266"/>
      <c r="G299" s="1282"/>
      <c r="H299" s="1268"/>
      <c r="I299" s="1285">
        <f>SUM(I292:I298)</f>
        <v>6486</v>
      </c>
      <c r="J299" s="1205" t="s">
        <v>2308</v>
      </c>
    </row>
    <row r="300" spans="1:10" hidden="1">
      <c r="A300" s="1286"/>
      <c r="B300" s="1287"/>
      <c r="C300" s="1273" t="s">
        <v>387</v>
      </c>
      <c r="D300" s="1288"/>
      <c r="E300" s="1282"/>
      <c r="F300" s="1266"/>
      <c r="G300" s="1282"/>
      <c r="H300" s="1289"/>
      <c r="I300" s="1285">
        <f>ROUND(I299/100,2)</f>
        <v>64.86</v>
      </c>
      <c r="J300" s="1205" t="s">
        <v>2308</v>
      </c>
    </row>
    <row r="301" spans="1:10" ht="33.75" hidden="1">
      <c r="A301" s="1268" t="s">
        <v>1660</v>
      </c>
      <c r="B301" s="1257">
        <v>2</v>
      </c>
      <c r="C301" s="1270" t="s">
        <v>1510</v>
      </c>
      <c r="D301" s="1271"/>
      <c r="E301" s="1272"/>
      <c r="F301" s="1271"/>
      <c r="G301" s="1272"/>
      <c r="H301" s="1273"/>
      <c r="I301" s="1273"/>
      <c r="J301" s="1205" t="s">
        <v>2308</v>
      </c>
    </row>
    <row r="302" spans="1:10" hidden="1">
      <c r="A302" s="1263"/>
      <c r="B302" s="1257"/>
      <c r="C302" s="1270" t="s">
        <v>1498</v>
      </c>
      <c r="D302" s="1274"/>
      <c r="E302" s="1265"/>
      <c r="F302" s="1274"/>
      <c r="G302" s="1265"/>
      <c r="H302" s="1270"/>
      <c r="I302" s="1270"/>
      <c r="J302" s="1205" t="s">
        <v>2308</v>
      </c>
    </row>
    <row r="303" spans="1:10" hidden="1">
      <c r="A303" s="1263"/>
      <c r="B303" s="1257"/>
      <c r="C303" s="1275" t="s">
        <v>384</v>
      </c>
      <c r="D303" s="1276"/>
      <c r="E303" s="1277"/>
      <c r="F303" s="1278"/>
      <c r="G303" s="1279"/>
      <c r="H303" s="1268"/>
      <c r="I303" s="1280"/>
      <c r="J303" s="1205" t="s">
        <v>2308</v>
      </c>
    </row>
    <row r="304" spans="1:10" hidden="1">
      <c r="A304" s="1263"/>
      <c r="B304" s="1257"/>
      <c r="C304" s="1281" t="s">
        <v>156</v>
      </c>
      <c r="D304" s="1264">
        <v>2</v>
      </c>
      <c r="E304" s="1282" t="s">
        <v>27</v>
      </c>
      <c r="F304" s="1266">
        <v>1</v>
      </c>
      <c r="G304" s="1282" t="s">
        <v>27</v>
      </c>
      <c r="H304" s="1268">
        <f>'MINI SSR 2020-21'!$H$16</f>
        <v>610</v>
      </c>
      <c r="I304" s="1280">
        <f>SUM(D304*H304/F304)</f>
        <v>1220</v>
      </c>
      <c r="J304" s="1205" t="s">
        <v>2308</v>
      </c>
    </row>
    <row r="305" spans="1:10" hidden="1">
      <c r="A305" s="1263"/>
      <c r="B305" s="1257"/>
      <c r="C305" s="1283" t="s">
        <v>1501</v>
      </c>
      <c r="D305" s="1264">
        <v>2</v>
      </c>
      <c r="E305" s="1282" t="s">
        <v>27</v>
      </c>
      <c r="F305" s="1266">
        <v>1</v>
      </c>
      <c r="G305" s="1282" t="s">
        <v>27</v>
      </c>
      <c r="H305" s="1268">
        <f>'MINI SSR 2020-21'!$H$17</f>
        <v>500</v>
      </c>
      <c r="I305" s="1280">
        <f>SUM(D305*H305/F305)</f>
        <v>1000</v>
      </c>
      <c r="J305" s="1205" t="s">
        <v>2308</v>
      </c>
    </row>
    <row r="306" spans="1:10" hidden="1">
      <c r="A306" s="1263"/>
      <c r="B306" s="1257"/>
      <c r="C306" s="1281" t="s">
        <v>1502</v>
      </c>
      <c r="D306" s="1264">
        <v>2</v>
      </c>
      <c r="E306" s="1282" t="s">
        <v>27</v>
      </c>
      <c r="F306" s="1266">
        <v>1</v>
      </c>
      <c r="G306" s="1282" t="s">
        <v>27</v>
      </c>
      <c r="H306" s="1268">
        <f>'MINI SSR 2020-21'!$H$18</f>
        <v>445</v>
      </c>
      <c r="I306" s="1280">
        <f>SUM(D306*H306/F306)</f>
        <v>890</v>
      </c>
      <c r="J306" s="1205" t="s">
        <v>2308</v>
      </c>
    </row>
    <row r="307" spans="1:10" hidden="1">
      <c r="A307" s="1263"/>
      <c r="B307" s="1257"/>
      <c r="C307" s="1281" t="s">
        <v>1508</v>
      </c>
      <c r="D307" s="1264">
        <v>2</v>
      </c>
      <c r="E307" s="1282" t="s">
        <v>27</v>
      </c>
      <c r="F307" s="1266">
        <v>1</v>
      </c>
      <c r="G307" s="1282" t="s">
        <v>27</v>
      </c>
      <c r="H307" s="1268">
        <f>'MINI SSR 2020-21'!$H$3</f>
        <v>550</v>
      </c>
      <c r="I307" s="1280">
        <f>SUM(D307*H307/F307)</f>
        <v>1100</v>
      </c>
      <c r="J307" s="1205" t="s">
        <v>2308</v>
      </c>
    </row>
    <row r="308" spans="1:10" hidden="1">
      <c r="A308" s="1263"/>
      <c r="B308" s="1257"/>
      <c r="C308" s="1275" t="s">
        <v>327</v>
      </c>
      <c r="D308" s="1264"/>
      <c r="E308" s="1267"/>
      <c r="F308" s="1284"/>
      <c r="G308" s="1267"/>
      <c r="H308" s="1268"/>
      <c r="I308" s="1285"/>
      <c r="J308" s="1205" t="s">
        <v>2308</v>
      </c>
    </row>
    <row r="309" spans="1:10" hidden="1">
      <c r="A309" s="1263" t="s">
        <v>1505</v>
      </c>
      <c r="B309" s="1257"/>
      <c r="C309" s="1290" t="s">
        <v>1509</v>
      </c>
      <c r="D309" s="1264">
        <v>100</v>
      </c>
      <c r="E309" s="1282" t="s">
        <v>325</v>
      </c>
      <c r="F309" s="1266">
        <v>1</v>
      </c>
      <c r="G309" s="1282" t="s">
        <v>115</v>
      </c>
      <c r="H309" s="1268">
        <f>'MINI SSR 2020-21'!C102</f>
        <v>25</v>
      </c>
      <c r="I309" s="1280">
        <f>SUM(D309*H309/F309)</f>
        <v>2500</v>
      </c>
      <c r="J309" s="1205" t="s">
        <v>2308</v>
      </c>
    </row>
    <row r="310" spans="1:10" hidden="1">
      <c r="A310" s="1263" t="s">
        <v>1511</v>
      </c>
      <c r="B310" s="1257"/>
      <c r="C310" s="1291" t="s">
        <v>1507</v>
      </c>
      <c r="D310" s="1264">
        <v>200</v>
      </c>
      <c r="E310" s="1282" t="s">
        <v>325</v>
      </c>
      <c r="F310" s="1266">
        <v>100</v>
      </c>
      <c r="G310" s="1282" t="s">
        <v>115</v>
      </c>
      <c r="H310" s="1268">
        <f>'MINI SSR 2020-21'!C103</f>
        <v>30</v>
      </c>
      <c r="I310" s="1280">
        <f>SUM(D310*H310/F310)</f>
        <v>60</v>
      </c>
      <c r="J310" s="1205" t="s">
        <v>2308</v>
      </c>
    </row>
    <row r="311" spans="1:10" hidden="1">
      <c r="A311" s="1263" t="s">
        <v>1503</v>
      </c>
      <c r="B311" s="1257"/>
      <c r="C311" s="1270" t="s">
        <v>1499</v>
      </c>
      <c r="D311" s="1264">
        <v>12</v>
      </c>
      <c r="E311" s="1282" t="s">
        <v>325</v>
      </c>
      <c r="F311" s="1266">
        <v>1</v>
      </c>
      <c r="G311" s="1282" t="s">
        <v>115</v>
      </c>
      <c r="H311" s="1268">
        <f>'MINI SSR 2020-21'!C100</f>
        <v>20</v>
      </c>
      <c r="I311" s="1280">
        <f>SUM(D311*H311/F311)</f>
        <v>240</v>
      </c>
      <c r="J311" s="1205" t="s">
        <v>2308</v>
      </c>
    </row>
    <row r="312" spans="1:10" hidden="1">
      <c r="A312" s="1263" t="s">
        <v>1504</v>
      </c>
      <c r="B312" s="1257"/>
      <c r="C312" s="1270" t="s">
        <v>1500</v>
      </c>
      <c r="D312" s="1264">
        <v>12</v>
      </c>
      <c r="E312" s="1282" t="s">
        <v>325</v>
      </c>
      <c r="F312" s="1266">
        <v>1</v>
      </c>
      <c r="G312" s="1282" t="s">
        <v>115</v>
      </c>
      <c r="H312" s="1268">
        <f>'MINI SSR 2020-21'!C101</f>
        <v>8</v>
      </c>
      <c r="I312" s="1280">
        <f>SUM(D312*H312/F312)</f>
        <v>96</v>
      </c>
      <c r="J312" s="1205" t="s">
        <v>2308</v>
      </c>
    </row>
    <row r="313" spans="1:10" hidden="1">
      <c r="A313" s="1263"/>
      <c r="B313" s="1257"/>
      <c r="C313" s="1290" t="s">
        <v>847</v>
      </c>
      <c r="D313" s="1264">
        <v>50</v>
      </c>
      <c r="E313" s="1282" t="s">
        <v>4</v>
      </c>
      <c r="F313" s="1266">
        <v>1</v>
      </c>
      <c r="G313" s="1282" t="s">
        <v>4</v>
      </c>
      <c r="H313" s="1268">
        <f>'lead 20-21'!L8/1000</f>
        <v>4.7</v>
      </c>
      <c r="I313" s="1280">
        <f>SUM(D313*H313/F313)</f>
        <v>235</v>
      </c>
      <c r="J313" s="1205" t="s">
        <v>2308</v>
      </c>
    </row>
    <row r="314" spans="1:10" hidden="1">
      <c r="A314" s="1286"/>
      <c r="B314" s="1287"/>
      <c r="C314" s="1273" t="s">
        <v>386</v>
      </c>
      <c r="D314" s="1264"/>
      <c r="E314" s="1282"/>
      <c r="F314" s="1266"/>
      <c r="G314" s="1282"/>
      <c r="H314" s="1268"/>
      <c r="I314" s="1285">
        <f>SUM(I304:I313)</f>
        <v>7341</v>
      </c>
      <c r="J314" s="1205" t="s">
        <v>2308</v>
      </c>
    </row>
    <row r="315" spans="1:10" hidden="1">
      <c r="A315" s="1286"/>
      <c r="B315" s="1287"/>
      <c r="C315" s="1273" t="s">
        <v>387</v>
      </c>
      <c r="D315" s="1288"/>
      <c r="E315" s="1282"/>
      <c r="F315" s="1266"/>
      <c r="G315" s="1282"/>
      <c r="H315" s="1289"/>
      <c r="I315" s="1285">
        <f>ROUND(I314/100,2)</f>
        <v>73.41</v>
      </c>
      <c r="J315" s="1205" t="s">
        <v>2308</v>
      </c>
    </row>
    <row r="316" spans="1:10" hidden="1">
      <c r="A316" s="1286"/>
      <c r="B316" s="1287"/>
      <c r="C316" s="1275"/>
      <c r="D316" s="1292"/>
      <c r="E316" s="1293"/>
      <c r="F316" s="1292"/>
      <c r="G316" s="1293"/>
      <c r="H316" s="1294"/>
      <c r="I316" s="1294"/>
      <c r="J316" s="1205" t="s">
        <v>2308</v>
      </c>
    </row>
    <row r="317" spans="1:10" hidden="1">
      <c r="A317" s="1286"/>
      <c r="B317" s="1287">
        <v>3</v>
      </c>
      <c r="C317" s="1270" t="s">
        <v>389</v>
      </c>
      <c r="D317" s="1271"/>
      <c r="E317" s="1272"/>
      <c r="F317" s="1271"/>
      <c r="G317" s="1272"/>
      <c r="H317" s="1273"/>
      <c r="I317" s="1273"/>
      <c r="J317" s="1205" t="s">
        <v>2308</v>
      </c>
    </row>
    <row r="318" spans="1:10" hidden="1">
      <c r="A318" s="1286"/>
      <c r="B318" s="1287"/>
      <c r="C318" s="1281" t="s">
        <v>390</v>
      </c>
      <c r="D318" s="1264">
        <v>1</v>
      </c>
      <c r="E318" s="1282" t="s">
        <v>277</v>
      </c>
      <c r="F318" s="1266">
        <v>1</v>
      </c>
      <c r="G318" s="1282" t="s">
        <v>277</v>
      </c>
      <c r="H318" s="1268">
        <f>'MINI SSR 2020-21'!C104</f>
        <v>55</v>
      </c>
      <c r="I318" s="1280">
        <f>SUM(D318*H318/F318)</f>
        <v>55</v>
      </c>
      <c r="J318" s="1205" t="s">
        <v>2308</v>
      </c>
    </row>
    <row r="319" spans="1:10" hidden="1">
      <c r="A319" s="1286"/>
      <c r="B319" s="1287"/>
      <c r="C319" s="1283"/>
      <c r="D319" s="1264"/>
      <c r="E319" s="1282"/>
      <c r="F319" s="1266"/>
      <c r="G319" s="1282"/>
      <c r="H319" s="1268"/>
      <c r="I319" s="1280">
        <f>SUM(I318)</f>
        <v>55</v>
      </c>
      <c r="J319" s="1205" t="s">
        <v>2308</v>
      </c>
    </row>
    <row r="320" spans="1:10" ht="22.5" hidden="1">
      <c r="A320" s="1286"/>
      <c r="B320" s="1287">
        <v>3</v>
      </c>
      <c r="C320" s="1270" t="s">
        <v>427</v>
      </c>
      <c r="D320" s="1271"/>
      <c r="E320" s="1272"/>
      <c r="F320" s="1271"/>
      <c r="G320" s="1272"/>
      <c r="H320" s="1273"/>
      <c r="I320" s="1273"/>
      <c r="J320" s="1205" t="s">
        <v>2308</v>
      </c>
    </row>
    <row r="321" spans="1:10" hidden="1">
      <c r="A321" s="1286"/>
      <c r="B321" s="1287"/>
      <c r="C321" s="1281" t="s">
        <v>433</v>
      </c>
      <c r="D321" s="1264">
        <v>1</v>
      </c>
      <c r="E321" s="1282" t="s">
        <v>325</v>
      </c>
      <c r="F321" s="1266">
        <v>1</v>
      </c>
      <c r="G321" s="1282" t="s">
        <v>325</v>
      </c>
      <c r="H321" s="1268">
        <f>'MINI SSR 2020-21'!C106</f>
        <v>205</v>
      </c>
      <c r="I321" s="1280">
        <f>SUM(D321*H321/F321)</f>
        <v>205</v>
      </c>
      <c r="J321" s="1205" t="s">
        <v>2308</v>
      </c>
    </row>
    <row r="322" spans="1:10" hidden="1">
      <c r="A322" s="1286"/>
      <c r="B322" s="1287"/>
      <c r="C322" s="1283"/>
      <c r="D322" s="1264"/>
      <c r="E322" s="1282"/>
      <c r="F322" s="1266"/>
      <c r="G322" s="1282"/>
      <c r="H322" s="1268"/>
      <c r="I322" s="1280">
        <f>SUM(I321)</f>
        <v>205</v>
      </c>
      <c r="J322" s="1205" t="s">
        <v>2308</v>
      </c>
    </row>
    <row r="323" spans="1:10" ht="22.5" hidden="1">
      <c r="A323" s="1286"/>
      <c r="B323" s="1287">
        <v>4</v>
      </c>
      <c r="C323" s="1270" t="s">
        <v>610</v>
      </c>
      <c r="D323" s="1271"/>
      <c r="E323" s="1272"/>
      <c r="F323" s="1271"/>
      <c r="G323" s="1272"/>
      <c r="H323" s="1273"/>
      <c r="I323" s="1273"/>
      <c r="J323" s="1205" t="s">
        <v>2308</v>
      </c>
    </row>
    <row r="324" spans="1:10" hidden="1">
      <c r="A324" s="1286"/>
      <c r="B324" s="1287"/>
      <c r="C324" s="1281" t="s">
        <v>611</v>
      </c>
      <c r="D324" s="1264">
        <v>1</v>
      </c>
      <c r="E324" s="1282" t="s">
        <v>325</v>
      </c>
      <c r="F324" s="1266">
        <v>1</v>
      </c>
      <c r="G324" s="1282" t="s">
        <v>325</v>
      </c>
      <c r="H324" s="1268">
        <f>'MINI SSR 2020-21'!C107</f>
        <v>170</v>
      </c>
      <c r="I324" s="1280">
        <f>SUM(D324*H324/F324)</f>
        <v>170</v>
      </c>
      <c r="J324" s="1205" t="s">
        <v>2308</v>
      </c>
    </row>
    <row r="325" spans="1:10" hidden="1">
      <c r="A325" s="1286"/>
      <c r="B325" s="1287"/>
      <c r="C325" s="1283"/>
      <c r="D325" s="1264"/>
      <c r="E325" s="1282"/>
      <c r="F325" s="1266"/>
      <c r="G325" s="1282"/>
      <c r="H325" s="1268"/>
      <c r="I325" s="1280">
        <f>SUM(I324)</f>
        <v>170</v>
      </c>
      <c r="J325" s="1205" t="s">
        <v>2308</v>
      </c>
    </row>
    <row r="326" spans="1:10" ht="22.5" hidden="1">
      <c r="A326" s="1286"/>
      <c r="B326" s="1287">
        <v>5</v>
      </c>
      <c r="C326" s="1270" t="s">
        <v>690</v>
      </c>
      <c r="D326" s="1271"/>
      <c r="E326" s="1272"/>
      <c r="F326" s="1271"/>
      <c r="G326" s="1272"/>
      <c r="H326" s="1273"/>
      <c r="I326" s="1273"/>
      <c r="J326" s="1205" t="s">
        <v>2308</v>
      </c>
    </row>
    <row r="327" spans="1:10" hidden="1">
      <c r="A327" s="1286"/>
      <c r="B327" s="1287"/>
      <c r="C327" s="1281" t="s">
        <v>691</v>
      </c>
      <c r="D327" s="1264">
        <v>1</v>
      </c>
      <c r="E327" s="1282" t="s">
        <v>325</v>
      </c>
      <c r="F327" s="1266">
        <v>1</v>
      </c>
      <c r="G327" s="1282" t="s">
        <v>325</v>
      </c>
      <c r="H327" s="1268">
        <f>'MINI SSR 2020-21'!C108</f>
        <v>130</v>
      </c>
      <c r="I327" s="1280">
        <f>SUM(D327*H327/F327)</f>
        <v>130</v>
      </c>
      <c r="J327" s="1205" t="s">
        <v>2308</v>
      </c>
    </row>
    <row r="328" spans="1:10" hidden="1">
      <c r="A328" s="1286"/>
      <c r="B328" s="1287"/>
      <c r="C328" s="1283"/>
      <c r="D328" s="1264"/>
      <c r="E328" s="1282"/>
      <c r="F328" s="1266"/>
      <c r="G328" s="1282"/>
      <c r="H328" s="1268"/>
      <c r="I328" s="1280">
        <f>SUM(I327)</f>
        <v>130</v>
      </c>
      <c r="J328" s="1205" t="s">
        <v>2308</v>
      </c>
    </row>
    <row r="329" spans="1:10" ht="22.5" hidden="1">
      <c r="A329" s="1286"/>
      <c r="B329" s="1287">
        <v>6</v>
      </c>
      <c r="C329" s="1270" t="s">
        <v>790</v>
      </c>
      <c r="D329" s="1271"/>
      <c r="E329" s="1272"/>
      <c r="F329" s="1271"/>
      <c r="G329" s="1272"/>
      <c r="H329" s="1273"/>
      <c r="I329" s="1273"/>
      <c r="J329" s="1205" t="s">
        <v>2308</v>
      </c>
    </row>
    <row r="330" spans="1:10" hidden="1">
      <c r="A330" s="1286"/>
      <c r="B330" s="1287"/>
      <c r="C330" s="1281" t="s">
        <v>791</v>
      </c>
      <c r="D330" s="1264">
        <v>1</v>
      </c>
      <c r="E330" s="1282" t="s">
        <v>325</v>
      </c>
      <c r="F330" s="1266">
        <v>1</v>
      </c>
      <c r="G330" s="1282" t="s">
        <v>325</v>
      </c>
      <c r="H330" s="1268">
        <f>'MINI SSR 2020-21'!C109</f>
        <v>95</v>
      </c>
      <c r="I330" s="1280">
        <f>SUM(D330*H330/F330)</f>
        <v>95</v>
      </c>
      <c r="J330" s="1205" t="s">
        <v>2308</v>
      </c>
    </row>
    <row r="331" spans="1:10" hidden="1">
      <c r="A331" s="1286"/>
      <c r="B331" s="1287"/>
      <c r="C331" s="1283"/>
      <c r="D331" s="1264"/>
      <c r="E331" s="1282"/>
      <c r="F331" s="1266"/>
      <c r="G331" s="1282"/>
      <c r="H331" s="1268"/>
      <c r="I331" s="1280">
        <f>SUM(I330)</f>
        <v>95</v>
      </c>
      <c r="J331" s="1205" t="s">
        <v>2308</v>
      </c>
    </row>
    <row r="332" spans="1:10" ht="22.5" hidden="1">
      <c r="A332" s="1286"/>
      <c r="B332" s="1287">
        <v>8</v>
      </c>
      <c r="C332" s="1270" t="s">
        <v>612</v>
      </c>
      <c r="D332" s="1271"/>
      <c r="E332" s="1272"/>
      <c r="F332" s="1271"/>
      <c r="G332" s="1272"/>
      <c r="H332" s="1273"/>
      <c r="I332" s="1273"/>
      <c r="J332" s="1205" t="s">
        <v>2308</v>
      </c>
    </row>
    <row r="333" spans="1:10" hidden="1">
      <c r="A333" s="1286"/>
      <c r="B333" s="1287"/>
      <c r="C333" s="1281" t="s">
        <v>614</v>
      </c>
      <c r="D333" s="1264">
        <v>1</v>
      </c>
      <c r="E333" s="1282" t="s">
        <v>325</v>
      </c>
      <c r="F333" s="1266">
        <v>1</v>
      </c>
      <c r="G333" s="1282" t="s">
        <v>325</v>
      </c>
      <c r="H333" s="1268">
        <f>H321</f>
        <v>205</v>
      </c>
      <c r="I333" s="1280">
        <f>SUM(D333*H333/F333)</f>
        <v>205</v>
      </c>
      <c r="J333" s="1205" t="s">
        <v>2308</v>
      </c>
    </row>
    <row r="334" spans="1:10" hidden="1">
      <c r="A334" s="1286"/>
      <c r="B334" s="1287"/>
      <c r="C334" s="1281" t="s">
        <v>613</v>
      </c>
      <c r="D334" s="1264">
        <v>1</v>
      </c>
      <c r="E334" s="1282" t="s">
        <v>325</v>
      </c>
      <c r="F334" s="1266">
        <v>1</v>
      </c>
      <c r="G334" s="1282" t="s">
        <v>325</v>
      </c>
      <c r="H334" s="1268">
        <f>H327</f>
        <v>130</v>
      </c>
      <c r="I334" s="1280">
        <f>SUM(D334*H334/F334)</f>
        <v>130</v>
      </c>
      <c r="J334" s="1205" t="s">
        <v>2308</v>
      </c>
    </row>
    <row r="335" spans="1:10" hidden="1">
      <c r="A335" s="1286"/>
      <c r="B335" s="1287"/>
      <c r="C335" s="1283"/>
      <c r="D335" s="1264"/>
      <c r="E335" s="1282"/>
      <c r="F335" s="1266"/>
      <c r="G335" s="1282"/>
      <c r="H335" s="1268"/>
      <c r="I335" s="1280">
        <f>SUM(I333:I334)</f>
        <v>335</v>
      </c>
      <c r="J335" s="1205" t="s">
        <v>2308</v>
      </c>
    </row>
    <row r="336" spans="1:10" ht="22.5" hidden="1">
      <c r="A336" s="1286"/>
      <c r="B336" s="1287">
        <v>9</v>
      </c>
      <c r="C336" s="1270" t="s">
        <v>1512</v>
      </c>
      <c r="D336" s="1271"/>
      <c r="E336" s="1272"/>
      <c r="F336" s="1271"/>
      <c r="G336" s="1272"/>
      <c r="H336" s="1273"/>
      <c r="I336" s="1273"/>
      <c r="J336" s="1205" t="s">
        <v>2308</v>
      </c>
    </row>
    <row r="337" spans="1:10" hidden="1">
      <c r="A337" s="1286"/>
      <c r="B337" s="1287"/>
      <c r="C337" s="1281" t="s">
        <v>614</v>
      </c>
      <c r="D337" s="1264">
        <v>1</v>
      </c>
      <c r="E337" s="1282" t="s">
        <v>325</v>
      </c>
      <c r="F337" s="1266">
        <v>1</v>
      </c>
      <c r="G337" s="1282" t="s">
        <v>325</v>
      </c>
      <c r="H337" s="1268">
        <f>H321</f>
        <v>205</v>
      </c>
      <c r="I337" s="1280">
        <f>SUM(D337*H337/F337)</f>
        <v>205</v>
      </c>
      <c r="J337" s="1205" t="s">
        <v>2308</v>
      </c>
    </row>
    <row r="338" spans="1:10" hidden="1">
      <c r="A338" s="1286"/>
      <c r="B338" s="1287"/>
      <c r="C338" s="1281" t="s">
        <v>1513</v>
      </c>
      <c r="D338" s="1264">
        <v>1</v>
      </c>
      <c r="E338" s="1282" t="s">
        <v>325</v>
      </c>
      <c r="F338" s="1266">
        <v>1</v>
      </c>
      <c r="G338" s="1282" t="s">
        <v>325</v>
      </c>
      <c r="H338" s="1268">
        <f>'MINI SSR 2020-21'!C109</f>
        <v>95</v>
      </c>
      <c r="I338" s="1280">
        <f>SUM(D338*H338/F338)</f>
        <v>95</v>
      </c>
      <c r="J338" s="1205" t="s">
        <v>2308</v>
      </c>
    </row>
    <row r="339" spans="1:10" hidden="1">
      <c r="A339" s="1286"/>
      <c r="B339" s="1287"/>
      <c r="C339" s="1283"/>
      <c r="D339" s="1264"/>
      <c r="E339" s="1282"/>
      <c r="F339" s="1266"/>
      <c r="G339" s="1282"/>
      <c r="H339" s="1268"/>
      <c r="I339" s="1280">
        <f>SUM(I337:I338)</f>
        <v>300</v>
      </c>
      <c r="J339" s="1205" t="s">
        <v>2308</v>
      </c>
    </row>
    <row r="340" spans="1:10" ht="22.5" hidden="1">
      <c r="A340" s="1286"/>
      <c r="B340" s="1287">
        <v>6</v>
      </c>
      <c r="C340" s="1270" t="s">
        <v>428</v>
      </c>
      <c r="D340" s="1271"/>
      <c r="E340" s="1272"/>
      <c r="F340" s="1271"/>
      <c r="G340" s="1272"/>
      <c r="H340" s="1273"/>
      <c r="I340" s="1273"/>
      <c r="J340" s="1205" t="s">
        <v>2308</v>
      </c>
    </row>
    <row r="341" spans="1:10" hidden="1">
      <c r="A341" s="1286"/>
      <c r="B341" s="1287"/>
      <c r="C341" s="1281" t="s">
        <v>434</v>
      </c>
      <c r="D341" s="1264">
        <v>1</v>
      </c>
      <c r="E341" s="1282" t="s">
        <v>325</v>
      </c>
      <c r="F341" s="1266">
        <v>1</v>
      </c>
      <c r="G341" s="1282" t="s">
        <v>325</v>
      </c>
      <c r="H341" s="1268">
        <f>'MINI SSR 2020-21'!C112</f>
        <v>57</v>
      </c>
      <c r="I341" s="1280">
        <f>SUM(D341*H341/F341)</f>
        <v>57</v>
      </c>
      <c r="J341" s="1205" t="s">
        <v>2308</v>
      </c>
    </row>
    <row r="342" spans="1:10" hidden="1">
      <c r="A342" s="1286"/>
      <c r="B342" s="1287"/>
      <c r="C342" s="1283"/>
      <c r="D342" s="1264"/>
      <c r="E342" s="1282"/>
      <c r="F342" s="1266"/>
      <c r="G342" s="1282"/>
      <c r="H342" s="1268"/>
      <c r="I342" s="1280">
        <f>SUM(I341)</f>
        <v>57</v>
      </c>
      <c r="J342" s="1205" t="s">
        <v>2308</v>
      </c>
    </row>
    <row r="343" spans="1:10" hidden="1">
      <c r="A343" s="1286"/>
      <c r="B343" s="1287">
        <v>7</v>
      </c>
      <c r="C343" s="1270" t="s">
        <v>437</v>
      </c>
      <c r="D343" s="1271"/>
      <c r="E343" s="1272"/>
      <c r="F343" s="1271"/>
      <c r="G343" s="1272"/>
      <c r="H343" s="1273"/>
      <c r="I343" s="1273"/>
      <c r="J343" s="1205" t="s">
        <v>2308</v>
      </c>
    </row>
    <row r="344" spans="1:10" hidden="1">
      <c r="A344" s="1286"/>
      <c r="B344" s="1287"/>
      <c r="C344" s="1281" t="s">
        <v>438</v>
      </c>
      <c r="D344" s="1264">
        <v>1</v>
      </c>
      <c r="E344" s="1282" t="s">
        <v>325</v>
      </c>
      <c r="F344" s="1266">
        <v>1</v>
      </c>
      <c r="G344" s="1282" t="s">
        <v>325</v>
      </c>
      <c r="H344" s="1268">
        <f>'MINI SSR 2020-21'!E106</f>
        <v>190</v>
      </c>
      <c r="I344" s="1280">
        <f>SUM(D344*H344/F344)</f>
        <v>190</v>
      </c>
      <c r="J344" s="1205" t="s">
        <v>2308</v>
      </c>
    </row>
    <row r="345" spans="1:10" hidden="1">
      <c r="A345" s="1286"/>
      <c r="B345" s="1287"/>
      <c r="C345" s="1283"/>
      <c r="D345" s="1264"/>
      <c r="E345" s="1282"/>
      <c r="F345" s="1266"/>
      <c r="G345" s="1282"/>
      <c r="H345" s="1268"/>
      <c r="I345" s="1280">
        <f>SUM(I344)</f>
        <v>190</v>
      </c>
      <c r="J345" s="1205" t="s">
        <v>2308</v>
      </c>
    </row>
    <row r="346" spans="1:10" hidden="1">
      <c r="A346" s="1286"/>
      <c r="B346" s="1287">
        <v>8</v>
      </c>
      <c r="C346" s="1270" t="s">
        <v>615</v>
      </c>
      <c r="D346" s="1271"/>
      <c r="E346" s="1272"/>
      <c r="F346" s="1271"/>
      <c r="G346" s="1272"/>
      <c r="H346" s="1273"/>
      <c r="I346" s="1273"/>
      <c r="J346" s="1205" t="s">
        <v>2308</v>
      </c>
    </row>
    <row r="347" spans="1:10" hidden="1">
      <c r="A347" s="1286"/>
      <c r="B347" s="1287"/>
      <c r="C347" s="1281" t="s">
        <v>616</v>
      </c>
      <c r="D347" s="1264">
        <v>1</v>
      </c>
      <c r="E347" s="1282" t="s">
        <v>325</v>
      </c>
      <c r="F347" s="1266">
        <v>1</v>
      </c>
      <c r="G347" s="1282" t="s">
        <v>325</v>
      </c>
      <c r="H347" s="1268">
        <f>'MINI SSR 2020-21'!E107</f>
        <v>155</v>
      </c>
      <c r="I347" s="1280">
        <f>SUM(D347*H347/F347)</f>
        <v>155</v>
      </c>
      <c r="J347" s="1205" t="s">
        <v>2308</v>
      </c>
    </row>
    <row r="348" spans="1:10" hidden="1">
      <c r="A348" s="1286"/>
      <c r="B348" s="1287"/>
      <c r="C348" s="1283"/>
      <c r="D348" s="1264"/>
      <c r="E348" s="1282"/>
      <c r="F348" s="1266"/>
      <c r="G348" s="1282"/>
      <c r="H348" s="1268"/>
      <c r="I348" s="1280">
        <f>SUM(I347)</f>
        <v>155</v>
      </c>
      <c r="J348" s="1205" t="s">
        <v>2308</v>
      </c>
    </row>
    <row r="349" spans="1:10" hidden="1">
      <c r="A349" s="1286"/>
      <c r="B349" s="1287">
        <v>9</v>
      </c>
      <c r="C349" s="1270" t="s">
        <v>694</v>
      </c>
      <c r="D349" s="1271"/>
      <c r="E349" s="1272"/>
      <c r="F349" s="1271"/>
      <c r="G349" s="1272"/>
      <c r="H349" s="1273"/>
      <c r="I349" s="1273"/>
      <c r="J349" s="1205" t="s">
        <v>2308</v>
      </c>
    </row>
    <row r="350" spans="1:10" hidden="1">
      <c r="A350" s="1286"/>
      <c r="B350" s="1287"/>
      <c r="C350" s="1281" t="s">
        <v>619</v>
      </c>
      <c r="D350" s="1264">
        <v>1</v>
      </c>
      <c r="E350" s="1282" t="s">
        <v>325</v>
      </c>
      <c r="F350" s="1266">
        <v>1</v>
      </c>
      <c r="G350" s="1282" t="s">
        <v>325</v>
      </c>
      <c r="H350" s="1268">
        <f>'MINI SSR 2020-21'!E108</f>
        <v>120</v>
      </c>
      <c r="I350" s="1280">
        <f>SUM(D350*H350/F350)</f>
        <v>120</v>
      </c>
      <c r="J350" s="1205" t="s">
        <v>2308</v>
      </c>
    </row>
    <row r="351" spans="1:10" hidden="1">
      <c r="A351" s="1286"/>
      <c r="B351" s="1287"/>
      <c r="C351" s="1283"/>
      <c r="D351" s="1264"/>
      <c r="E351" s="1282"/>
      <c r="F351" s="1266"/>
      <c r="G351" s="1282"/>
      <c r="H351" s="1268"/>
      <c r="I351" s="1280">
        <f>SUM(I350)</f>
        <v>120</v>
      </c>
      <c r="J351" s="1205" t="s">
        <v>2308</v>
      </c>
    </row>
    <row r="352" spans="1:10" hidden="1">
      <c r="A352" s="1286"/>
      <c r="B352" s="1287">
        <v>10</v>
      </c>
      <c r="C352" s="1270" t="s">
        <v>792</v>
      </c>
      <c r="D352" s="1271"/>
      <c r="E352" s="1272"/>
      <c r="F352" s="1271"/>
      <c r="G352" s="1272"/>
      <c r="H352" s="1273"/>
      <c r="I352" s="1273"/>
      <c r="J352" s="1205" t="s">
        <v>2308</v>
      </c>
    </row>
    <row r="353" spans="1:10" hidden="1">
      <c r="A353" s="1286"/>
      <c r="B353" s="1287"/>
      <c r="C353" s="1281" t="s">
        <v>793</v>
      </c>
      <c r="D353" s="1264">
        <v>1</v>
      </c>
      <c r="E353" s="1282" t="s">
        <v>325</v>
      </c>
      <c r="F353" s="1266">
        <v>1</v>
      </c>
      <c r="G353" s="1282" t="s">
        <v>325</v>
      </c>
      <c r="H353" s="1268">
        <f>'MINI SSR 2020-21'!E109</f>
        <v>80</v>
      </c>
      <c r="I353" s="1280">
        <f>SUM(D353*H353/F353)</f>
        <v>80</v>
      </c>
      <c r="J353" s="1205" t="s">
        <v>2308</v>
      </c>
    </row>
    <row r="354" spans="1:10" hidden="1">
      <c r="A354" s="1286"/>
      <c r="B354" s="1287"/>
      <c r="C354" s="1283"/>
      <c r="D354" s="1264"/>
      <c r="E354" s="1282"/>
      <c r="F354" s="1266"/>
      <c r="G354" s="1282"/>
      <c r="H354" s="1268"/>
      <c r="I354" s="1280">
        <f>SUM(I353)</f>
        <v>80</v>
      </c>
      <c r="J354" s="1205" t="s">
        <v>2308</v>
      </c>
    </row>
    <row r="355" spans="1:10" hidden="1">
      <c r="A355" s="1286"/>
      <c r="B355" s="1287">
        <v>15</v>
      </c>
      <c r="C355" s="1270" t="s">
        <v>617</v>
      </c>
      <c r="D355" s="1271"/>
      <c r="E355" s="1272"/>
      <c r="F355" s="1271"/>
      <c r="G355" s="1272"/>
      <c r="H355" s="1273"/>
      <c r="I355" s="1273"/>
      <c r="J355" s="1205" t="s">
        <v>2308</v>
      </c>
    </row>
    <row r="356" spans="1:10" hidden="1">
      <c r="A356" s="1286"/>
      <c r="B356" s="1287"/>
      <c r="C356" s="1281" t="s">
        <v>618</v>
      </c>
      <c r="D356" s="1264">
        <v>1</v>
      </c>
      <c r="E356" s="1282" t="s">
        <v>325</v>
      </c>
      <c r="F356" s="1266">
        <v>1</v>
      </c>
      <c r="G356" s="1282" t="s">
        <v>325</v>
      </c>
      <c r="H356" s="1268">
        <f>'MINI SSR 2020-21'!E106</f>
        <v>190</v>
      </c>
      <c r="I356" s="1280">
        <f>SUM(D356*H356/F356)</f>
        <v>190</v>
      </c>
      <c r="J356" s="1205" t="s">
        <v>2308</v>
      </c>
    </row>
    <row r="357" spans="1:10" hidden="1">
      <c r="A357" s="1286"/>
      <c r="B357" s="1287"/>
      <c r="C357" s="1281" t="s">
        <v>619</v>
      </c>
      <c r="D357" s="1264">
        <v>1</v>
      </c>
      <c r="E357" s="1282" t="s">
        <v>325</v>
      </c>
      <c r="F357" s="1266">
        <v>1</v>
      </c>
      <c r="G357" s="1282" t="s">
        <v>325</v>
      </c>
      <c r="H357" s="1268">
        <f>'MINI SSR 2020-21'!E108</f>
        <v>120</v>
      </c>
      <c r="I357" s="1280">
        <f>SUM(D357*H357/F357)</f>
        <v>120</v>
      </c>
      <c r="J357" s="1205" t="s">
        <v>2308</v>
      </c>
    </row>
    <row r="358" spans="1:10" hidden="1">
      <c r="A358" s="1286"/>
      <c r="B358" s="1287"/>
      <c r="C358" s="1283"/>
      <c r="D358" s="1264"/>
      <c r="E358" s="1282"/>
      <c r="F358" s="1266"/>
      <c r="G358" s="1282"/>
      <c r="H358" s="1268"/>
      <c r="I358" s="1280">
        <f>SUM(I356:I357)</f>
        <v>310</v>
      </c>
      <c r="J358" s="1205" t="s">
        <v>2308</v>
      </c>
    </row>
    <row r="359" spans="1:10" hidden="1">
      <c r="A359" s="1286"/>
      <c r="B359" s="1287">
        <v>10</v>
      </c>
      <c r="C359" s="1270" t="s">
        <v>439</v>
      </c>
      <c r="D359" s="1271"/>
      <c r="E359" s="1272"/>
      <c r="F359" s="1271"/>
      <c r="G359" s="1272"/>
      <c r="H359" s="1273"/>
      <c r="I359" s="1273"/>
      <c r="J359" s="1205" t="s">
        <v>2308</v>
      </c>
    </row>
    <row r="360" spans="1:10" hidden="1">
      <c r="A360" s="1286"/>
      <c r="B360" s="1287"/>
      <c r="C360" s="1281" t="s">
        <v>440</v>
      </c>
      <c r="D360" s="1264">
        <v>1</v>
      </c>
      <c r="E360" s="1282" t="s">
        <v>325</v>
      </c>
      <c r="F360" s="1266">
        <v>1</v>
      </c>
      <c r="G360" s="1282" t="s">
        <v>325</v>
      </c>
      <c r="H360" s="1268">
        <f>'MINI SSR 2020-21'!E112</f>
        <v>60</v>
      </c>
      <c r="I360" s="1280">
        <f>SUM(D360*H360/F360)</f>
        <v>60</v>
      </c>
      <c r="J360" s="1205" t="s">
        <v>2308</v>
      </c>
    </row>
    <row r="361" spans="1:10" hidden="1">
      <c r="A361" s="1286"/>
      <c r="B361" s="1287"/>
      <c r="C361" s="1283"/>
      <c r="D361" s="1264"/>
      <c r="E361" s="1282"/>
      <c r="F361" s="1266"/>
      <c r="G361" s="1282"/>
      <c r="H361" s="1268"/>
      <c r="I361" s="1280">
        <f>SUM(I360)</f>
        <v>60</v>
      </c>
      <c r="J361" s="1205" t="s">
        <v>2308</v>
      </c>
    </row>
    <row r="362" spans="1:10" hidden="1">
      <c r="A362" s="1286"/>
      <c r="B362" s="1287"/>
      <c r="C362" s="1286"/>
      <c r="D362" s="1292"/>
      <c r="E362" s="1293"/>
      <c r="F362" s="1292"/>
      <c r="G362" s="1293"/>
      <c r="H362" s="1286"/>
      <c r="I362" s="1286"/>
      <c r="J362" s="1205" t="s">
        <v>2308</v>
      </c>
    </row>
    <row r="363" spans="1:10" hidden="1">
      <c r="A363" s="1286"/>
      <c r="B363" s="1287">
        <v>11</v>
      </c>
      <c r="C363" s="1270" t="s">
        <v>624</v>
      </c>
      <c r="D363" s="1271"/>
      <c r="E363" s="1272"/>
      <c r="F363" s="1271"/>
      <c r="G363" s="1272"/>
      <c r="H363" s="1273"/>
      <c r="I363" s="1273"/>
      <c r="J363" s="1205" t="s">
        <v>2308</v>
      </c>
    </row>
    <row r="364" spans="1:10" hidden="1">
      <c r="A364" s="1286"/>
      <c r="B364" s="1287"/>
      <c r="C364" s="1281" t="s">
        <v>625</v>
      </c>
      <c r="D364" s="1264">
        <v>1</v>
      </c>
      <c r="E364" s="1282" t="s">
        <v>325</v>
      </c>
      <c r="F364" s="1266">
        <v>1</v>
      </c>
      <c r="G364" s="1282" t="s">
        <v>325</v>
      </c>
      <c r="H364" s="1268">
        <f>'MINI SSR 2020-21'!C114</f>
        <v>18</v>
      </c>
      <c r="I364" s="1280">
        <f>SUM(D364*H364/F364)</f>
        <v>18</v>
      </c>
      <c r="J364" s="1205" t="s">
        <v>2308</v>
      </c>
    </row>
    <row r="365" spans="1:10" hidden="1">
      <c r="A365" s="1286"/>
      <c r="B365" s="1287"/>
      <c r="C365" s="1283"/>
      <c r="D365" s="1264"/>
      <c r="E365" s="1282"/>
      <c r="F365" s="1266"/>
      <c r="G365" s="1282"/>
      <c r="H365" s="1268"/>
      <c r="I365" s="1280">
        <f>SUM(I364)</f>
        <v>18</v>
      </c>
      <c r="J365" s="1205" t="s">
        <v>2308</v>
      </c>
    </row>
    <row r="366" spans="1:10" ht="22.5" hidden="1">
      <c r="A366" s="1286"/>
      <c r="B366" s="1287">
        <v>18</v>
      </c>
      <c r="C366" s="1270" t="s">
        <v>794</v>
      </c>
      <c r="D366" s="1271"/>
      <c r="E366" s="1272"/>
      <c r="F366" s="1271"/>
      <c r="G366" s="1272"/>
      <c r="H366" s="1273"/>
      <c r="I366" s="1273"/>
      <c r="J366" s="1205" t="s">
        <v>2308</v>
      </c>
    </row>
    <row r="367" spans="1:10" hidden="1">
      <c r="A367" s="1286"/>
      <c r="B367" s="1287"/>
      <c r="C367" s="1281" t="s">
        <v>795</v>
      </c>
      <c r="D367" s="1264">
        <v>1</v>
      </c>
      <c r="E367" s="1282" t="s">
        <v>325</v>
      </c>
      <c r="F367" s="1266">
        <v>1</v>
      </c>
      <c r="G367" s="1282" t="s">
        <v>325</v>
      </c>
      <c r="H367" s="1268">
        <f>'MINI SSR 2020-21'!C115</f>
        <v>1290</v>
      </c>
      <c r="I367" s="1280">
        <f>SUM(D367*H367/F367)</f>
        <v>1290</v>
      </c>
      <c r="J367" s="1205" t="s">
        <v>2308</v>
      </c>
    </row>
    <row r="368" spans="1:10" hidden="1">
      <c r="A368" s="1286"/>
      <c r="B368" s="1287"/>
      <c r="C368" s="1283"/>
      <c r="D368" s="1264"/>
      <c r="E368" s="1282"/>
      <c r="F368" s="1266"/>
      <c r="G368" s="1282"/>
      <c r="H368" s="1268"/>
      <c r="I368" s="1280">
        <f>SUM(I367)</f>
        <v>1290</v>
      </c>
      <c r="J368" s="1205" t="s">
        <v>2308</v>
      </c>
    </row>
    <row r="369" spans="1:10" ht="67.5" hidden="1">
      <c r="A369" s="1295" t="s">
        <v>721</v>
      </c>
      <c r="B369" s="1263">
        <v>12</v>
      </c>
      <c r="C369" s="1270" t="s">
        <v>436</v>
      </c>
      <c r="D369" s="1274"/>
      <c r="E369" s="1265"/>
      <c r="F369" s="1274"/>
      <c r="G369" s="1265"/>
      <c r="H369" s="1270"/>
      <c r="I369" s="1270"/>
      <c r="J369" s="1205" t="s">
        <v>2308</v>
      </c>
    </row>
    <row r="370" spans="1:10" ht="22.5" hidden="1">
      <c r="A370" s="1268"/>
      <c r="B370" s="1257"/>
      <c r="C370" s="1270" t="s">
        <v>391</v>
      </c>
      <c r="D370" s="1264"/>
      <c r="E370" s="1267"/>
      <c r="F370" s="1266"/>
      <c r="G370" s="1267"/>
      <c r="H370" s="1268"/>
      <c r="I370" s="1269"/>
      <c r="J370" s="1205" t="s">
        <v>2308</v>
      </c>
    </row>
    <row r="371" spans="1:10" ht="33.75" hidden="1">
      <c r="A371" s="1268"/>
      <c r="B371" s="1257"/>
      <c r="C371" s="1270" t="s">
        <v>392</v>
      </c>
      <c r="D371" s="1274"/>
      <c r="E371" s="1265"/>
      <c r="F371" s="1274"/>
      <c r="G371" s="1265"/>
      <c r="H371" s="1270"/>
      <c r="I371" s="1270"/>
      <c r="J371" s="1205" t="s">
        <v>2308</v>
      </c>
    </row>
    <row r="372" spans="1:10" hidden="1">
      <c r="A372" s="1268"/>
      <c r="B372" s="1257"/>
      <c r="C372" s="1270" t="s">
        <v>384</v>
      </c>
      <c r="D372" s="1264"/>
      <c r="E372" s="1267"/>
      <c r="F372" s="1266"/>
      <c r="G372" s="1267"/>
      <c r="H372" s="1268"/>
      <c r="I372" s="1269"/>
      <c r="J372" s="1205" t="s">
        <v>2308</v>
      </c>
    </row>
    <row r="373" spans="1:10" hidden="1">
      <c r="A373" s="1268"/>
      <c r="B373" s="1257"/>
      <c r="C373" s="1270" t="s">
        <v>1661</v>
      </c>
      <c r="D373" s="1264">
        <v>0.6</v>
      </c>
      <c r="E373" s="1282" t="s">
        <v>27</v>
      </c>
      <c r="F373" s="1266">
        <v>1</v>
      </c>
      <c r="G373" s="1282" t="s">
        <v>27</v>
      </c>
      <c r="H373" s="1268">
        <f>'MINI SSR 2020-21'!$H$16</f>
        <v>610</v>
      </c>
      <c r="I373" s="1269">
        <f>SUM(D373*H373/F373)</f>
        <v>366</v>
      </c>
      <c r="J373" s="1205" t="s">
        <v>2308</v>
      </c>
    </row>
    <row r="374" spans="1:10" hidden="1">
      <c r="A374" s="1268"/>
      <c r="B374" s="1257"/>
      <c r="C374" s="1270" t="s">
        <v>1662</v>
      </c>
      <c r="D374" s="1264">
        <v>1.2</v>
      </c>
      <c r="E374" s="1282" t="s">
        <v>27</v>
      </c>
      <c r="F374" s="1266">
        <v>1</v>
      </c>
      <c r="G374" s="1282" t="s">
        <v>27</v>
      </c>
      <c r="H374" s="1268">
        <f>'MINI SSR 2020-21'!$H$17</f>
        <v>500</v>
      </c>
      <c r="I374" s="1280">
        <f>SUM(D374*H374/F374)</f>
        <v>600</v>
      </c>
      <c r="J374" s="1205" t="s">
        <v>2308</v>
      </c>
    </row>
    <row r="375" spans="1:10" hidden="1">
      <c r="A375" s="1268"/>
      <c r="B375" s="1257"/>
      <c r="C375" s="1270" t="s">
        <v>700</v>
      </c>
      <c r="D375" s="1264">
        <v>0.6</v>
      </c>
      <c r="E375" s="1282" t="s">
        <v>27</v>
      </c>
      <c r="F375" s="1266">
        <v>1</v>
      </c>
      <c r="G375" s="1282" t="s">
        <v>27</v>
      </c>
      <c r="H375" s="1268">
        <f>'MINI SSR 2020-21'!$H$18</f>
        <v>445</v>
      </c>
      <c r="I375" s="1280">
        <f>SUM(D375*H375/F375)</f>
        <v>267</v>
      </c>
      <c r="J375" s="1205" t="s">
        <v>2308</v>
      </c>
    </row>
    <row r="376" spans="1:10" hidden="1">
      <c r="A376" s="1268"/>
      <c r="B376" s="1257"/>
      <c r="C376" s="1270" t="s">
        <v>327</v>
      </c>
      <c r="D376" s="1264"/>
      <c r="E376" s="1282"/>
      <c r="F376" s="1266"/>
      <c r="G376" s="1282"/>
      <c r="H376" s="1268"/>
      <c r="I376" s="1269"/>
      <c r="J376" s="1205" t="s">
        <v>2308</v>
      </c>
    </row>
    <row r="377" spans="1:10" hidden="1">
      <c r="A377" s="1268"/>
      <c r="B377" s="1257"/>
      <c r="C377" s="1296" t="s">
        <v>621</v>
      </c>
      <c r="D377" s="1297">
        <v>6</v>
      </c>
      <c r="E377" s="1267" t="s">
        <v>325</v>
      </c>
      <c r="F377" s="1266">
        <v>1</v>
      </c>
      <c r="G377" s="1267" t="s">
        <v>115</v>
      </c>
      <c r="H377" s="1268">
        <f>'MINI SSR 2020-21'!C116</f>
        <v>15</v>
      </c>
      <c r="I377" s="1269">
        <f>SUM(D377*H377/F377)</f>
        <v>90</v>
      </c>
      <c r="J377" s="1205" t="s">
        <v>2308</v>
      </c>
    </row>
    <row r="378" spans="1:10" ht="45" hidden="1">
      <c r="A378" s="1268"/>
      <c r="B378" s="1257"/>
      <c r="C378" s="1296" t="s">
        <v>394</v>
      </c>
      <c r="D378" s="1264">
        <v>100</v>
      </c>
      <c r="E378" s="1282" t="s">
        <v>395</v>
      </c>
      <c r="F378" s="1266">
        <v>100</v>
      </c>
      <c r="G378" s="1282" t="s">
        <v>395</v>
      </c>
      <c r="H378" s="1268">
        <f>'MINI SSR 2020-21'!C119</f>
        <v>1050</v>
      </c>
      <c r="I378" s="1269">
        <f>SUM(D378*H378/F378)</f>
        <v>1050</v>
      </c>
      <c r="J378" s="1205" t="s">
        <v>2308</v>
      </c>
    </row>
    <row r="379" spans="1:10" hidden="1">
      <c r="A379" s="1268"/>
      <c r="B379" s="1257"/>
      <c r="C379" s="1270" t="s">
        <v>396</v>
      </c>
      <c r="D379" s="1264"/>
      <c r="E379" s="1267"/>
      <c r="F379" s="1266"/>
      <c r="G379" s="1267"/>
      <c r="H379" s="1268"/>
      <c r="I379" s="1269">
        <f>SUM(I373:I378)</f>
        <v>2373</v>
      </c>
      <c r="J379" s="1205" t="s">
        <v>2308</v>
      </c>
    </row>
    <row r="380" spans="1:10" hidden="1">
      <c r="A380" s="1268"/>
      <c r="B380" s="1257"/>
      <c r="C380" s="1270" t="s">
        <v>397</v>
      </c>
      <c r="D380" s="1264"/>
      <c r="E380" s="1267"/>
      <c r="F380" s="1266"/>
      <c r="G380" s="1267"/>
      <c r="H380" s="1268"/>
      <c r="I380" s="1269">
        <f>ROUND(I379/6,2)</f>
        <v>395.5</v>
      </c>
      <c r="J380" s="1205" t="s">
        <v>2308</v>
      </c>
    </row>
    <row r="381" spans="1:10" ht="67.5" hidden="1">
      <c r="A381" s="1295" t="s">
        <v>721</v>
      </c>
      <c r="B381" s="1263">
        <v>13</v>
      </c>
      <c r="C381" s="1270" t="s">
        <v>435</v>
      </c>
      <c r="D381" s="1274"/>
      <c r="E381" s="1265"/>
      <c r="F381" s="1274"/>
      <c r="G381" s="1265"/>
      <c r="H381" s="1270"/>
      <c r="I381" s="1270"/>
      <c r="J381" s="1205" t="s">
        <v>2308</v>
      </c>
    </row>
    <row r="382" spans="1:10" ht="22.5" hidden="1">
      <c r="A382" s="1268"/>
      <c r="B382" s="1257"/>
      <c r="C382" s="1270" t="s">
        <v>391</v>
      </c>
      <c r="D382" s="1264"/>
      <c r="E382" s="1267"/>
      <c r="F382" s="1266"/>
      <c r="G382" s="1267"/>
      <c r="H382" s="1268"/>
      <c r="I382" s="1269"/>
      <c r="J382" s="1205" t="s">
        <v>2308</v>
      </c>
    </row>
    <row r="383" spans="1:10" ht="33.75" hidden="1">
      <c r="A383" s="1268"/>
      <c r="B383" s="1257"/>
      <c r="C383" s="1270" t="s">
        <v>392</v>
      </c>
      <c r="D383" s="1274"/>
      <c r="E383" s="1265"/>
      <c r="F383" s="1274"/>
      <c r="G383" s="1265"/>
      <c r="H383" s="1270"/>
      <c r="I383" s="1270"/>
      <c r="J383" s="1205" t="s">
        <v>2308</v>
      </c>
    </row>
    <row r="384" spans="1:10" hidden="1">
      <c r="A384" s="1268"/>
      <c r="B384" s="1257"/>
      <c r="C384" s="1270" t="s">
        <v>384</v>
      </c>
      <c r="D384" s="1264"/>
      <c r="E384" s="1267"/>
      <c r="F384" s="1266"/>
      <c r="G384" s="1267"/>
      <c r="H384" s="1268"/>
      <c r="I384" s="1269"/>
      <c r="J384" s="1205" t="s">
        <v>2308</v>
      </c>
    </row>
    <row r="385" spans="1:10" hidden="1">
      <c r="A385" s="1268"/>
      <c r="B385" s="1257"/>
      <c r="C385" s="1270" t="s">
        <v>1661</v>
      </c>
      <c r="D385" s="1264">
        <v>0.6</v>
      </c>
      <c r="E385" s="1282" t="s">
        <v>27</v>
      </c>
      <c r="F385" s="1266">
        <v>1</v>
      </c>
      <c r="G385" s="1282" t="s">
        <v>27</v>
      </c>
      <c r="H385" s="1268">
        <f>'MINI SSR 2020-21'!$H$16</f>
        <v>610</v>
      </c>
      <c r="I385" s="1269">
        <f>SUM(D385*H385/F385)</f>
        <v>366</v>
      </c>
      <c r="J385" s="1205" t="s">
        <v>2308</v>
      </c>
    </row>
    <row r="386" spans="1:10" hidden="1">
      <c r="A386" s="1268"/>
      <c r="B386" s="1257"/>
      <c r="C386" s="1270" t="s">
        <v>1662</v>
      </c>
      <c r="D386" s="1264">
        <v>1.2</v>
      </c>
      <c r="E386" s="1282" t="s">
        <v>27</v>
      </c>
      <c r="F386" s="1266">
        <v>1</v>
      </c>
      <c r="G386" s="1282" t="s">
        <v>27</v>
      </c>
      <c r="H386" s="1268">
        <f>'MINI SSR 2020-21'!$H$17</f>
        <v>500</v>
      </c>
      <c r="I386" s="1280">
        <f>SUM(D386*H386/F386)</f>
        <v>600</v>
      </c>
      <c r="J386" s="1205" t="s">
        <v>2308</v>
      </c>
    </row>
    <row r="387" spans="1:10" hidden="1">
      <c r="A387" s="1268"/>
      <c r="B387" s="1257"/>
      <c r="C387" s="1270" t="s">
        <v>700</v>
      </c>
      <c r="D387" s="1264">
        <v>0.6</v>
      </c>
      <c r="E387" s="1282" t="s">
        <v>27</v>
      </c>
      <c r="F387" s="1266">
        <v>1</v>
      </c>
      <c r="G387" s="1282" t="s">
        <v>27</v>
      </c>
      <c r="H387" s="1268">
        <f>'MINI SSR 2020-21'!$H$18</f>
        <v>445</v>
      </c>
      <c r="I387" s="1280">
        <f>SUM(D387*H387/F387)</f>
        <v>267</v>
      </c>
      <c r="J387" s="1205" t="s">
        <v>2308</v>
      </c>
    </row>
    <row r="388" spans="1:10" hidden="1">
      <c r="A388" s="1268"/>
      <c r="B388" s="1257"/>
      <c r="C388" s="1270" t="s">
        <v>327</v>
      </c>
      <c r="D388" s="1264"/>
      <c r="E388" s="1282"/>
      <c r="F388" s="1266"/>
      <c r="G388" s="1282"/>
      <c r="H388" s="1268"/>
      <c r="I388" s="1269"/>
      <c r="J388" s="1205" t="s">
        <v>2308</v>
      </c>
    </row>
    <row r="389" spans="1:10" hidden="1">
      <c r="A389" s="1268"/>
      <c r="B389" s="1257"/>
      <c r="C389" s="1296" t="s">
        <v>621</v>
      </c>
      <c r="D389" s="1297">
        <v>6</v>
      </c>
      <c r="E389" s="1267" t="s">
        <v>325</v>
      </c>
      <c r="F389" s="1266">
        <v>1</v>
      </c>
      <c r="G389" s="1267" t="s">
        <v>115</v>
      </c>
      <c r="H389" s="1268">
        <f>'MINI SSR 2020-21'!C116</f>
        <v>15</v>
      </c>
      <c r="I389" s="1269">
        <f>SUM(D389*H389/F389)</f>
        <v>90</v>
      </c>
      <c r="J389" s="1205" t="s">
        <v>2308</v>
      </c>
    </row>
    <row r="390" spans="1:10" ht="22.5" hidden="1">
      <c r="A390" s="1268"/>
      <c r="B390" s="1257"/>
      <c r="C390" s="1298" t="s">
        <v>393</v>
      </c>
      <c r="D390" s="1297">
        <v>6</v>
      </c>
      <c r="E390" s="1267" t="s">
        <v>325</v>
      </c>
      <c r="F390" s="1266">
        <v>1</v>
      </c>
      <c r="G390" s="1267" t="s">
        <v>115</v>
      </c>
      <c r="H390" s="1268">
        <f>'MINI SSR 2020-21'!C120</f>
        <v>19</v>
      </c>
      <c r="I390" s="1269">
        <f>SUM(D390*H390/F390)</f>
        <v>114</v>
      </c>
      <c r="J390" s="1205" t="s">
        <v>2308</v>
      </c>
    </row>
    <row r="391" spans="1:10" ht="45" hidden="1">
      <c r="A391" s="1268"/>
      <c r="B391" s="1257"/>
      <c r="C391" s="1296" t="s">
        <v>394</v>
      </c>
      <c r="D391" s="1264">
        <v>100</v>
      </c>
      <c r="E391" s="1282" t="s">
        <v>395</v>
      </c>
      <c r="F391" s="1266">
        <v>100</v>
      </c>
      <c r="G391" s="1282" t="s">
        <v>395</v>
      </c>
      <c r="H391" s="1268">
        <f>'MINI SSR 2020-21'!C119</f>
        <v>1050</v>
      </c>
      <c r="I391" s="1269">
        <f>SUM(D391*H391/F391)</f>
        <v>1050</v>
      </c>
      <c r="J391" s="1205" t="s">
        <v>2308</v>
      </c>
    </row>
    <row r="392" spans="1:10" hidden="1">
      <c r="A392" s="1268"/>
      <c r="B392" s="1257"/>
      <c r="C392" s="1270" t="s">
        <v>396</v>
      </c>
      <c r="D392" s="1264"/>
      <c r="E392" s="1267"/>
      <c r="F392" s="1266"/>
      <c r="G392" s="1267"/>
      <c r="H392" s="1268"/>
      <c r="I392" s="1269">
        <f>SUM(I385:I391)</f>
        <v>2487</v>
      </c>
      <c r="J392" s="1205" t="s">
        <v>2308</v>
      </c>
    </row>
    <row r="393" spans="1:10" hidden="1">
      <c r="A393" s="1268"/>
      <c r="B393" s="1257"/>
      <c r="C393" s="1270" t="s">
        <v>397</v>
      </c>
      <c r="D393" s="1264"/>
      <c r="E393" s="1267"/>
      <c r="F393" s="1266"/>
      <c r="G393" s="1267"/>
      <c r="H393" s="1268"/>
      <c r="I393" s="1269">
        <f>ROUND(I392/6,2)</f>
        <v>414.5</v>
      </c>
      <c r="J393" s="1205" t="s">
        <v>2308</v>
      </c>
    </row>
    <row r="394" spans="1:10" ht="45" hidden="1">
      <c r="A394" s="1295" t="s">
        <v>722</v>
      </c>
      <c r="B394" s="1263">
        <v>13</v>
      </c>
      <c r="C394" s="1270" t="s">
        <v>432</v>
      </c>
      <c r="D394" s="1274"/>
      <c r="E394" s="1265"/>
      <c r="F394" s="1274"/>
      <c r="G394" s="1265"/>
      <c r="H394" s="1270"/>
      <c r="I394" s="1270"/>
      <c r="J394" s="1205" t="s">
        <v>2308</v>
      </c>
    </row>
    <row r="395" spans="1:10" hidden="1">
      <c r="A395" s="1268"/>
      <c r="B395" s="1257"/>
      <c r="C395" s="1270" t="s">
        <v>384</v>
      </c>
      <c r="D395" s="1264"/>
      <c r="E395" s="1267"/>
      <c r="F395" s="1266"/>
      <c r="G395" s="1267"/>
      <c r="H395" s="1268"/>
      <c r="I395" s="1269"/>
      <c r="J395" s="1205" t="s">
        <v>2308</v>
      </c>
    </row>
    <row r="396" spans="1:10" hidden="1">
      <c r="A396" s="1268"/>
      <c r="B396" s="1257"/>
      <c r="C396" s="1270" t="s">
        <v>1661</v>
      </c>
      <c r="D396" s="1299">
        <v>6.7000000000000004E-2</v>
      </c>
      <c r="E396" s="1282" t="s">
        <v>27</v>
      </c>
      <c r="F396" s="1266">
        <v>1</v>
      </c>
      <c r="G396" s="1282" t="s">
        <v>27</v>
      </c>
      <c r="H396" s="1268">
        <f>'MINI SSR 2020-21'!$H$16</f>
        <v>610</v>
      </c>
      <c r="I396" s="1269">
        <f>SUM(D396*H396/F396)</f>
        <v>40.870000000000005</v>
      </c>
      <c r="J396" s="1205" t="s">
        <v>2308</v>
      </c>
    </row>
    <row r="397" spans="1:10" hidden="1">
      <c r="A397" s="1268"/>
      <c r="B397" s="1257"/>
      <c r="C397" s="1270" t="s">
        <v>700</v>
      </c>
      <c r="D397" s="1299">
        <v>6.7000000000000004E-2</v>
      </c>
      <c r="E397" s="1282" t="s">
        <v>27</v>
      </c>
      <c r="F397" s="1266">
        <v>1</v>
      </c>
      <c r="G397" s="1282" t="s">
        <v>27</v>
      </c>
      <c r="H397" s="1268">
        <f>'MINI SSR 2020-21'!$H$18</f>
        <v>445</v>
      </c>
      <c r="I397" s="1280">
        <f>SUM(D397*H397/F397)</f>
        <v>29.815000000000001</v>
      </c>
      <c r="J397" s="1205" t="s">
        <v>2308</v>
      </c>
    </row>
    <row r="398" spans="1:10" hidden="1">
      <c r="A398" s="1268"/>
      <c r="B398" s="1257"/>
      <c r="C398" s="1270" t="s">
        <v>327</v>
      </c>
      <c r="D398" s="1264"/>
      <c r="E398" s="1282"/>
      <c r="F398" s="1266"/>
      <c r="G398" s="1282"/>
      <c r="H398" s="1268"/>
      <c r="I398" s="1269"/>
      <c r="J398" s="1205" t="s">
        <v>2308</v>
      </c>
    </row>
    <row r="399" spans="1:10" hidden="1">
      <c r="A399" s="1268"/>
      <c r="B399" s="1257"/>
      <c r="C399" s="1296" t="s">
        <v>621</v>
      </c>
      <c r="D399" s="1297">
        <v>1</v>
      </c>
      <c r="E399" s="1267" t="s">
        <v>325</v>
      </c>
      <c r="F399" s="1266">
        <v>1</v>
      </c>
      <c r="G399" s="1267" t="s">
        <v>115</v>
      </c>
      <c r="H399" s="1268">
        <f>'MINI SSR 2020-21'!C116</f>
        <v>15</v>
      </c>
      <c r="I399" s="1269">
        <f>SUM(D399*H399/F399)</f>
        <v>15</v>
      </c>
      <c r="J399" s="1205" t="s">
        <v>2308</v>
      </c>
    </row>
    <row r="400" spans="1:10" hidden="1">
      <c r="A400" s="1268"/>
      <c r="B400" s="1257"/>
      <c r="C400" s="1296" t="s">
        <v>622</v>
      </c>
      <c r="D400" s="1297">
        <v>1</v>
      </c>
      <c r="E400" s="1267" t="s">
        <v>115</v>
      </c>
      <c r="F400" s="1266">
        <v>1</v>
      </c>
      <c r="G400" s="1267" t="s">
        <v>115</v>
      </c>
      <c r="H400" s="1268">
        <f>'MINI SSR 2020-21'!C118</f>
        <v>24</v>
      </c>
      <c r="I400" s="1269">
        <f>SUM(D400*H400/F400)</f>
        <v>24</v>
      </c>
      <c r="J400" s="1205" t="s">
        <v>2308</v>
      </c>
    </row>
    <row r="401" spans="1:10" hidden="1">
      <c r="A401" s="1268"/>
      <c r="B401" s="1257"/>
      <c r="C401" s="1275" t="s">
        <v>388</v>
      </c>
      <c r="D401" s="1288"/>
      <c r="E401" s="1267"/>
      <c r="F401" s="1300"/>
      <c r="G401" s="1301"/>
      <c r="H401" s="1302"/>
      <c r="I401" s="1269">
        <f>SUM(I396:I400)</f>
        <v>109.685</v>
      </c>
      <c r="J401" s="1205" t="s">
        <v>2308</v>
      </c>
    </row>
    <row r="402" spans="1:10" ht="45" hidden="1">
      <c r="A402" s="1295" t="s">
        <v>1263</v>
      </c>
      <c r="B402" s="1263">
        <v>14</v>
      </c>
      <c r="C402" s="1270" t="s">
        <v>1238</v>
      </c>
      <c r="D402" s="1274"/>
      <c r="E402" s="1265"/>
      <c r="F402" s="1274"/>
      <c r="G402" s="1265"/>
      <c r="H402" s="1270"/>
      <c r="I402" s="1270"/>
      <c r="J402" s="1205" t="s">
        <v>2308</v>
      </c>
    </row>
    <row r="403" spans="1:10" hidden="1">
      <c r="A403" s="1268"/>
      <c r="B403" s="1257"/>
      <c r="C403" s="1270" t="s">
        <v>384</v>
      </c>
      <c r="D403" s="1264"/>
      <c r="E403" s="1267"/>
      <c r="F403" s="1266"/>
      <c r="G403" s="1267"/>
      <c r="H403" s="1268"/>
      <c r="I403" s="1269"/>
      <c r="J403" s="1205" t="s">
        <v>2308</v>
      </c>
    </row>
    <row r="404" spans="1:10" hidden="1">
      <c r="A404" s="1268"/>
      <c r="B404" s="1257"/>
      <c r="C404" s="1270" t="s">
        <v>1661</v>
      </c>
      <c r="D404" s="1299">
        <v>0.1</v>
      </c>
      <c r="E404" s="1282" t="s">
        <v>27</v>
      </c>
      <c r="F404" s="1266">
        <v>1</v>
      </c>
      <c r="G404" s="1282" t="s">
        <v>27</v>
      </c>
      <c r="H404" s="1268">
        <f>'MINI SSR 2020-21'!$H$16</f>
        <v>610</v>
      </c>
      <c r="I404" s="1269">
        <f>SUM(D404*H404/F404)</f>
        <v>61</v>
      </c>
      <c r="J404" s="1205" t="s">
        <v>2308</v>
      </c>
    </row>
    <row r="405" spans="1:10" hidden="1">
      <c r="A405" s="1268"/>
      <c r="B405" s="1257"/>
      <c r="C405" s="1270" t="s">
        <v>700</v>
      </c>
      <c r="D405" s="1299">
        <v>0.1</v>
      </c>
      <c r="E405" s="1282" t="s">
        <v>27</v>
      </c>
      <c r="F405" s="1266">
        <v>1</v>
      </c>
      <c r="G405" s="1282" t="s">
        <v>27</v>
      </c>
      <c r="H405" s="1268">
        <f>'MINI SSR 2020-21'!$H$18</f>
        <v>445</v>
      </c>
      <c r="I405" s="1280">
        <f>SUM(D405*H405/F405)</f>
        <v>44.5</v>
      </c>
      <c r="J405" s="1205" t="s">
        <v>2308</v>
      </c>
    </row>
    <row r="406" spans="1:10" hidden="1">
      <c r="A406" s="1268"/>
      <c r="B406" s="1257"/>
      <c r="C406" s="1270" t="s">
        <v>327</v>
      </c>
      <c r="D406" s="1264"/>
      <c r="E406" s="1282"/>
      <c r="F406" s="1266"/>
      <c r="G406" s="1282"/>
      <c r="H406" s="1268"/>
      <c r="I406" s="1269"/>
      <c r="J406" s="1205" t="s">
        <v>2308</v>
      </c>
    </row>
    <row r="407" spans="1:10" hidden="1">
      <c r="A407" s="1268"/>
      <c r="B407" s="1257"/>
      <c r="C407" s="1296" t="s">
        <v>1264</v>
      </c>
      <c r="D407" s="1297">
        <v>1</v>
      </c>
      <c r="E407" s="1267" t="s">
        <v>325</v>
      </c>
      <c r="F407" s="1266">
        <v>1</v>
      </c>
      <c r="G407" s="1267" t="s">
        <v>115</v>
      </c>
      <c r="H407" s="1268">
        <f>'MINI SSR 2020-21'!C121</f>
        <v>40</v>
      </c>
      <c r="I407" s="1269">
        <f>SUM(D407*H407/F407)</f>
        <v>40</v>
      </c>
      <c r="J407" s="1205" t="s">
        <v>2308</v>
      </c>
    </row>
    <row r="408" spans="1:10" hidden="1">
      <c r="A408" s="1268"/>
      <c r="B408" s="1257"/>
      <c r="C408" s="1296" t="s">
        <v>1266</v>
      </c>
      <c r="D408" s="1297">
        <v>1</v>
      </c>
      <c r="E408" s="1267" t="s">
        <v>115</v>
      </c>
      <c r="F408" s="1266">
        <v>1</v>
      </c>
      <c r="G408" s="1267" t="s">
        <v>115</v>
      </c>
      <c r="H408" s="1268">
        <f>'MINI SSR 2020-21'!C122</f>
        <v>115</v>
      </c>
      <c r="I408" s="1269">
        <f>SUM(D408*H408/F408)</f>
        <v>115</v>
      </c>
      <c r="J408" s="1205" t="s">
        <v>2308</v>
      </c>
    </row>
    <row r="409" spans="1:10" ht="22.5" hidden="1">
      <c r="A409" s="1268"/>
      <c r="B409" s="1257"/>
      <c r="C409" s="1296" t="s">
        <v>1265</v>
      </c>
      <c r="D409" s="1297">
        <v>1</v>
      </c>
      <c r="E409" s="1267" t="s">
        <v>115</v>
      </c>
      <c r="F409" s="1266">
        <v>1</v>
      </c>
      <c r="G409" s="1267" t="s">
        <v>115</v>
      </c>
      <c r="H409" s="1268">
        <f>'MINI SSR 2020-21'!C123</f>
        <v>115</v>
      </c>
      <c r="I409" s="1269">
        <f>SUM(D409*H409/F409)</f>
        <v>115</v>
      </c>
      <c r="J409" s="1205" t="s">
        <v>2308</v>
      </c>
    </row>
    <row r="410" spans="1:10" hidden="1">
      <c r="A410" s="1268"/>
      <c r="B410" s="1257"/>
      <c r="C410" s="1275" t="s">
        <v>388</v>
      </c>
      <c r="D410" s="1288"/>
      <c r="E410" s="1267"/>
      <c r="F410" s="1300"/>
      <c r="G410" s="1301"/>
      <c r="H410" s="1302"/>
      <c r="I410" s="1269">
        <f>SUM(I404:I409)</f>
        <v>375.5</v>
      </c>
      <c r="J410" s="1205" t="s">
        <v>2308</v>
      </c>
    </row>
    <row r="411" spans="1:10" ht="45" hidden="1">
      <c r="A411" s="1268" t="s">
        <v>441</v>
      </c>
      <c r="B411" s="1263">
        <v>27</v>
      </c>
      <c r="C411" s="1270" t="s">
        <v>620</v>
      </c>
      <c r="D411" s="1274"/>
      <c r="E411" s="1265"/>
      <c r="F411" s="1274"/>
      <c r="G411" s="1265"/>
      <c r="H411" s="1270"/>
      <c r="I411" s="1270"/>
      <c r="J411" s="1205" t="s">
        <v>2308</v>
      </c>
    </row>
    <row r="412" spans="1:10" hidden="1">
      <c r="A412" s="1268"/>
      <c r="B412" s="1257"/>
      <c r="C412" s="1270" t="s">
        <v>384</v>
      </c>
      <c r="D412" s="1264"/>
      <c r="E412" s="1267"/>
      <c r="F412" s="1266"/>
      <c r="G412" s="1267"/>
      <c r="H412" s="1268"/>
      <c r="I412" s="1269"/>
      <c r="J412" s="1205" t="s">
        <v>2308</v>
      </c>
    </row>
    <row r="413" spans="1:10" hidden="1">
      <c r="A413" s="1268"/>
      <c r="B413" s="1257"/>
      <c r="C413" s="1270" t="s">
        <v>1661</v>
      </c>
      <c r="D413" s="1299">
        <v>6.7000000000000004E-2</v>
      </c>
      <c r="E413" s="1282" t="s">
        <v>27</v>
      </c>
      <c r="F413" s="1266">
        <v>1</v>
      </c>
      <c r="G413" s="1282" t="s">
        <v>27</v>
      </c>
      <c r="H413" s="1268">
        <f>'MINI SSR 2020-21'!$H$16</f>
        <v>610</v>
      </c>
      <c r="I413" s="1269">
        <f>SUM(D413*H413/F413)</f>
        <v>40.870000000000005</v>
      </c>
      <c r="J413" s="1205" t="s">
        <v>2308</v>
      </c>
    </row>
    <row r="414" spans="1:10" hidden="1">
      <c r="A414" s="1268"/>
      <c r="B414" s="1257"/>
      <c r="C414" s="1270" t="s">
        <v>700</v>
      </c>
      <c r="D414" s="1299">
        <v>6.7000000000000004E-2</v>
      </c>
      <c r="E414" s="1282" t="s">
        <v>27</v>
      </c>
      <c r="F414" s="1266">
        <v>1</v>
      </c>
      <c r="G414" s="1282" t="s">
        <v>27</v>
      </c>
      <c r="H414" s="1268">
        <f>'MINI SSR 2020-21'!$H$18</f>
        <v>445</v>
      </c>
      <c r="I414" s="1280">
        <f>SUM(D414*H414/F414)</f>
        <v>29.815000000000001</v>
      </c>
      <c r="J414" s="1205" t="s">
        <v>2308</v>
      </c>
    </row>
    <row r="415" spans="1:10" hidden="1">
      <c r="A415" s="1268"/>
      <c r="B415" s="1257"/>
      <c r="C415" s="1270" t="s">
        <v>327</v>
      </c>
      <c r="D415" s="1264"/>
      <c r="E415" s="1282"/>
      <c r="F415" s="1266"/>
      <c r="G415" s="1282"/>
      <c r="H415" s="1268"/>
      <c r="I415" s="1269"/>
      <c r="J415" s="1205" t="s">
        <v>2308</v>
      </c>
    </row>
    <row r="416" spans="1:10" hidden="1">
      <c r="A416" s="1268"/>
      <c r="B416" s="1257"/>
      <c r="C416" s="1296" t="s">
        <v>621</v>
      </c>
      <c r="D416" s="1297">
        <v>1</v>
      </c>
      <c r="E416" s="1267" t="s">
        <v>325</v>
      </c>
      <c r="F416" s="1266">
        <v>1</v>
      </c>
      <c r="G416" s="1267" t="s">
        <v>115</v>
      </c>
      <c r="H416" s="1268">
        <f>'MINI SSR 2020-21'!C116</f>
        <v>15</v>
      </c>
      <c r="I416" s="1269">
        <f>SUM(D416*H416/F416)</f>
        <v>15</v>
      </c>
      <c r="J416" s="1205" t="s">
        <v>2308</v>
      </c>
    </row>
    <row r="417" spans="1:10" hidden="1">
      <c r="A417" s="1268"/>
      <c r="B417" s="1257"/>
      <c r="C417" s="1296" t="s">
        <v>623</v>
      </c>
      <c r="D417" s="1297">
        <v>1</v>
      </c>
      <c r="E417" s="1267" t="s">
        <v>115</v>
      </c>
      <c r="F417" s="1266">
        <v>1</v>
      </c>
      <c r="G417" s="1267" t="s">
        <v>115</v>
      </c>
      <c r="H417" s="1268">
        <f>'MINI SSR 2020-21'!C117</f>
        <v>18</v>
      </c>
      <c r="I417" s="1269">
        <f>SUM(D417*H417/F417)</f>
        <v>18</v>
      </c>
      <c r="J417" s="1205" t="s">
        <v>2308</v>
      </c>
    </row>
    <row r="418" spans="1:10" hidden="1">
      <c r="A418" s="1268"/>
      <c r="B418" s="1257"/>
      <c r="C418" s="1270" t="s">
        <v>945</v>
      </c>
      <c r="D418" s="1288"/>
      <c r="E418" s="1267"/>
      <c r="F418" s="1300"/>
      <c r="G418" s="1301"/>
      <c r="H418" s="1302"/>
      <c r="I418" s="1269">
        <f>SUM(I413:I417)</f>
        <v>103.685</v>
      </c>
      <c r="J418" s="1205" t="s">
        <v>2308</v>
      </c>
    </row>
    <row r="419" spans="1:10" ht="33.75" hidden="1">
      <c r="A419" s="1268" t="s">
        <v>1664</v>
      </c>
      <c r="B419" s="1263">
        <v>29</v>
      </c>
      <c r="C419" s="1270" t="s">
        <v>1665</v>
      </c>
      <c r="D419" s="1271"/>
      <c r="E419" s="1272"/>
      <c r="F419" s="1271"/>
      <c r="G419" s="1272"/>
      <c r="H419" s="1257"/>
      <c r="I419" s="1273"/>
      <c r="J419" s="1205" t="s">
        <v>2308</v>
      </c>
    </row>
    <row r="420" spans="1:10" ht="22.5" hidden="1">
      <c r="A420" s="1263"/>
      <c r="B420" s="1257"/>
      <c r="C420" s="1270" t="s">
        <v>391</v>
      </c>
      <c r="D420" s="1264"/>
      <c r="E420" s="1267"/>
      <c r="F420" s="1266"/>
      <c r="G420" s="1267"/>
      <c r="H420" s="1268"/>
      <c r="I420" s="1269"/>
      <c r="J420" s="1205" t="s">
        <v>2308</v>
      </c>
    </row>
    <row r="421" spans="1:10" hidden="1">
      <c r="A421" s="1263"/>
      <c r="B421" s="1257"/>
      <c r="C421" s="1270" t="s">
        <v>384</v>
      </c>
      <c r="D421" s="1264"/>
      <c r="E421" s="1267"/>
      <c r="F421" s="1266"/>
      <c r="G421" s="1267"/>
      <c r="H421" s="1268"/>
      <c r="I421" s="1269"/>
      <c r="J421" s="1205" t="s">
        <v>2308</v>
      </c>
    </row>
    <row r="422" spans="1:10" hidden="1">
      <c r="A422" s="1263"/>
      <c r="B422" s="1257"/>
      <c r="C422" s="1281" t="s">
        <v>1661</v>
      </c>
      <c r="D422" s="1264">
        <v>0.67</v>
      </c>
      <c r="E422" s="1282" t="s">
        <v>27</v>
      </c>
      <c r="F422" s="1266">
        <v>1</v>
      </c>
      <c r="G422" s="1282" t="s">
        <v>27</v>
      </c>
      <c r="H422" s="1268">
        <f>'MINI SSR 2020-21'!$H$16</f>
        <v>610</v>
      </c>
      <c r="I422" s="1269">
        <f>SUM(D422*H422/F422)</f>
        <v>408.70000000000005</v>
      </c>
      <c r="J422" s="1205" t="s">
        <v>2308</v>
      </c>
    </row>
    <row r="423" spans="1:10" hidden="1">
      <c r="A423" s="1263"/>
      <c r="B423" s="1257"/>
      <c r="C423" s="1281" t="s">
        <v>1662</v>
      </c>
      <c r="D423" s="1264">
        <v>2</v>
      </c>
      <c r="E423" s="1282" t="s">
        <v>27</v>
      </c>
      <c r="F423" s="1266">
        <v>1</v>
      </c>
      <c r="G423" s="1282" t="s">
        <v>27</v>
      </c>
      <c r="H423" s="1268">
        <f>'MINI SSR 2020-21'!$H$17</f>
        <v>500</v>
      </c>
      <c r="I423" s="1269">
        <f>SUM(D423*H423/F423)</f>
        <v>1000</v>
      </c>
      <c r="J423" s="1205" t="s">
        <v>2308</v>
      </c>
    </row>
    <row r="424" spans="1:10" hidden="1">
      <c r="A424" s="1263"/>
      <c r="B424" s="1257"/>
      <c r="C424" s="1281" t="s">
        <v>700</v>
      </c>
      <c r="D424" s="1264">
        <v>0.67</v>
      </c>
      <c r="E424" s="1282" t="s">
        <v>27</v>
      </c>
      <c r="F424" s="1266">
        <v>1</v>
      </c>
      <c r="G424" s="1282" t="s">
        <v>27</v>
      </c>
      <c r="H424" s="1268">
        <f>'MINI SSR 2020-21'!$H$18</f>
        <v>445</v>
      </c>
      <c r="I424" s="1269">
        <f>SUM(D424*H424/F424)</f>
        <v>298.15000000000003</v>
      </c>
      <c r="J424" s="1205" t="s">
        <v>2308</v>
      </c>
    </row>
    <row r="425" spans="1:10" hidden="1">
      <c r="A425" s="1263"/>
      <c r="B425" s="1257"/>
      <c r="C425" s="1270" t="s">
        <v>327</v>
      </c>
      <c r="D425" s="1264"/>
      <c r="E425" s="1282"/>
      <c r="F425" s="1266"/>
      <c r="G425" s="1282"/>
      <c r="H425" s="1268"/>
      <c r="I425" s="1269"/>
      <c r="J425" s="1205" t="s">
        <v>2308</v>
      </c>
    </row>
    <row r="426" spans="1:10" ht="33.75" hidden="1">
      <c r="A426" s="1263"/>
      <c r="B426" s="1257">
        <v>30</v>
      </c>
      <c r="C426" s="1296" t="s">
        <v>398</v>
      </c>
      <c r="D426" s="1264">
        <v>200</v>
      </c>
      <c r="E426" s="1267" t="s">
        <v>395</v>
      </c>
      <c r="F426" s="1266">
        <v>100</v>
      </c>
      <c r="G426" s="1267" t="s">
        <v>395</v>
      </c>
      <c r="H426" s="1268">
        <f>'MINI SSR 2020-21'!C128</f>
        <v>1510</v>
      </c>
      <c r="I426" s="1269">
        <f>SUM(D426*H426/F426)</f>
        <v>3020</v>
      </c>
      <c r="J426" s="1205" t="s">
        <v>2308</v>
      </c>
    </row>
    <row r="427" spans="1:10" hidden="1">
      <c r="A427" s="1263"/>
      <c r="B427" s="1257"/>
      <c r="C427" s="1270" t="s">
        <v>399</v>
      </c>
      <c r="D427" s="1264"/>
      <c r="E427" s="1267"/>
      <c r="F427" s="1266"/>
      <c r="G427" s="1267"/>
      <c r="H427" s="1268"/>
      <c r="I427" s="1269">
        <f>SUM(I426:I426)</f>
        <v>3020</v>
      </c>
      <c r="J427" s="1205" t="s">
        <v>2308</v>
      </c>
    </row>
    <row r="428" spans="1:10" hidden="1">
      <c r="A428" s="1263"/>
      <c r="B428" s="1257"/>
      <c r="C428" s="1270" t="s">
        <v>400</v>
      </c>
      <c r="D428" s="1264"/>
      <c r="E428" s="1267"/>
      <c r="F428" s="1266"/>
      <c r="G428" s="1267"/>
      <c r="H428" s="1268"/>
      <c r="I428" s="1269">
        <f>SUM(I427/100)</f>
        <v>30.2</v>
      </c>
      <c r="J428" s="1205" t="s">
        <v>2308</v>
      </c>
    </row>
    <row r="429" spans="1:10" hidden="1">
      <c r="A429" s="1263"/>
      <c r="B429" s="1257"/>
      <c r="C429" s="1270" t="s">
        <v>399</v>
      </c>
      <c r="D429" s="1264"/>
      <c r="E429" s="1267"/>
      <c r="F429" s="1266"/>
      <c r="G429" s="1267"/>
      <c r="H429" s="1302"/>
      <c r="I429" s="1269">
        <f>SUM(I426:I428)</f>
        <v>6070.2</v>
      </c>
      <c r="J429" s="1205" t="s">
        <v>2308</v>
      </c>
    </row>
    <row r="430" spans="1:10" hidden="1">
      <c r="A430" s="1263"/>
      <c r="B430" s="1257"/>
      <c r="C430" s="1270" t="s">
        <v>400</v>
      </c>
      <c r="D430" s="1264"/>
      <c r="E430" s="1267"/>
      <c r="F430" s="1266"/>
      <c r="G430" s="1267"/>
      <c r="H430" s="1302"/>
      <c r="I430" s="1269">
        <f>ROUND(I429/100,2)</f>
        <v>60.7</v>
      </c>
      <c r="J430" s="1205" t="s">
        <v>2308</v>
      </c>
    </row>
    <row r="431" spans="1:10" ht="33.75" hidden="1">
      <c r="A431" s="1268" t="s">
        <v>2088</v>
      </c>
      <c r="B431" s="1263">
        <v>15</v>
      </c>
      <c r="C431" s="1270" t="s">
        <v>2093</v>
      </c>
      <c r="D431" s="1271"/>
      <c r="E431" s="1272"/>
      <c r="F431" s="1271"/>
      <c r="G431" s="1272"/>
      <c r="H431" s="1257"/>
      <c r="I431" s="1273"/>
      <c r="J431" s="1205" t="s">
        <v>2308</v>
      </c>
    </row>
    <row r="432" spans="1:10" hidden="1">
      <c r="A432" s="1263"/>
      <c r="B432" s="1257"/>
      <c r="C432" s="1270" t="s">
        <v>384</v>
      </c>
      <c r="D432" s="1264"/>
      <c r="E432" s="1267"/>
      <c r="F432" s="1266"/>
      <c r="G432" s="1267"/>
      <c r="H432" s="1268"/>
      <c r="I432" s="1269"/>
      <c r="J432" s="1205" t="s">
        <v>2308</v>
      </c>
    </row>
    <row r="433" spans="1:10" hidden="1">
      <c r="A433" s="1263"/>
      <c r="B433" s="1257"/>
      <c r="C433" s="1281" t="s">
        <v>1661</v>
      </c>
      <c r="D433" s="1264">
        <v>0.34</v>
      </c>
      <c r="E433" s="1282" t="s">
        <v>27</v>
      </c>
      <c r="F433" s="1266">
        <v>1</v>
      </c>
      <c r="G433" s="1282" t="s">
        <v>27</v>
      </c>
      <c r="H433" s="1268">
        <f>'MINI SSR 2020-21'!$H$16</f>
        <v>610</v>
      </c>
      <c r="I433" s="1269">
        <f>SUM(D433*H433/F433)</f>
        <v>207.4</v>
      </c>
      <c r="J433" s="1205" t="s">
        <v>2308</v>
      </c>
    </row>
    <row r="434" spans="1:10" hidden="1">
      <c r="A434" s="1263"/>
      <c r="B434" s="1257"/>
      <c r="C434" s="1281" t="s">
        <v>1662</v>
      </c>
      <c r="D434" s="1264">
        <v>1</v>
      </c>
      <c r="E434" s="1282" t="s">
        <v>27</v>
      </c>
      <c r="F434" s="1266">
        <v>1</v>
      </c>
      <c r="G434" s="1282" t="s">
        <v>27</v>
      </c>
      <c r="H434" s="1268">
        <f>'MINI SSR 2020-21'!$H$17</f>
        <v>500</v>
      </c>
      <c r="I434" s="1269">
        <f>SUM(D434*H434/F434)</f>
        <v>500</v>
      </c>
      <c r="J434" s="1205" t="s">
        <v>2308</v>
      </c>
    </row>
    <row r="435" spans="1:10" hidden="1">
      <c r="A435" s="1263"/>
      <c r="B435" s="1257"/>
      <c r="C435" s="1281" t="s">
        <v>700</v>
      </c>
      <c r="D435" s="1264">
        <v>0.34</v>
      </c>
      <c r="E435" s="1282" t="s">
        <v>27</v>
      </c>
      <c r="F435" s="1266">
        <v>1</v>
      </c>
      <c r="G435" s="1282" t="s">
        <v>27</v>
      </c>
      <c r="H435" s="1268">
        <f>'MINI SSR 2020-21'!$H$18</f>
        <v>445</v>
      </c>
      <c r="I435" s="1269">
        <f>SUM(D435*H435/F435)</f>
        <v>151.30000000000001</v>
      </c>
      <c r="J435" s="1205" t="s">
        <v>2308</v>
      </c>
    </row>
    <row r="436" spans="1:10" hidden="1">
      <c r="A436" s="1263"/>
      <c r="B436" s="1257"/>
      <c r="C436" s="1296" t="s">
        <v>2089</v>
      </c>
      <c r="D436" s="1264">
        <v>100</v>
      </c>
      <c r="E436" s="1267" t="s">
        <v>395</v>
      </c>
      <c r="F436" s="1266">
        <v>100</v>
      </c>
      <c r="G436" s="1267" t="s">
        <v>395</v>
      </c>
      <c r="H436" s="1268">
        <f>'MINI SSR 2020-21'!C134</f>
        <v>1050</v>
      </c>
      <c r="I436" s="1269">
        <f>SUM(D436*H436/F436)</f>
        <v>1050</v>
      </c>
      <c r="J436" s="1205" t="s">
        <v>2308</v>
      </c>
    </row>
    <row r="437" spans="1:10" hidden="1">
      <c r="A437" s="1263"/>
      <c r="B437" s="1257"/>
      <c r="C437" s="1270" t="s">
        <v>399</v>
      </c>
      <c r="D437" s="1264"/>
      <c r="E437" s="1267"/>
      <c r="F437" s="1266"/>
      <c r="G437" s="1267"/>
      <c r="H437" s="1268"/>
      <c r="I437" s="1269">
        <f>SUM(I433:I436)</f>
        <v>1908.7</v>
      </c>
      <c r="J437" s="1205" t="s">
        <v>2308</v>
      </c>
    </row>
    <row r="438" spans="1:10" hidden="1">
      <c r="A438" s="1263"/>
      <c r="B438" s="1257"/>
      <c r="C438" s="1270" t="s">
        <v>400</v>
      </c>
      <c r="D438" s="1264"/>
      <c r="E438" s="1267"/>
      <c r="F438" s="1266"/>
      <c r="G438" s="1267"/>
      <c r="H438" s="1268"/>
      <c r="I438" s="1269">
        <f>ROUND(I437/100,2)</f>
        <v>19.09</v>
      </c>
      <c r="J438" s="1205" t="s">
        <v>2308</v>
      </c>
    </row>
    <row r="439" spans="1:10" ht="46.5" hidden="1" customHeight="1">
      <c r="A439" s="1295" t="s">
        <v>723</v>
      </c>
      <c r="B439" s="1263">
        <v>16</v>
      </c>
      <c r="C439" s="1270" t="s">
        <v>401</v>
      </c>
      <c r="D439" s="1271"/>
      <c r="E439" s="1272"/>
      <c r="F439" s="1271"/>
      <c r="G439" s="1272"/>
      <c r="H439" s="1257"/>
      <c r="I439" s="1269"/>
      <c r="J439" s="1205" t="s">
        <v>2308</v>
      </c>
    </row>
    <row r="440" spans="1:10" ht="22.5" hidden="1">
      <c r="A440" s="1263"/>
      <c r="B440" s="1257"/>
      <c r="C440" s="1270" t="s">
        <v>391</v>
      </c>
      <c r="D440" s="1264"/>
      <c r="E440" s="1267"/>
      <c r="F440" s="1266"/>
      <c r="G440" s="1267"/>
      <c r="H440" s="1268"/>
      <c r="I440" s="1269"/>
      <c r="J440" s="1205" t="s">
        <v>2308</v>
      </c>
    </row>
    <row r="441" spans="1:10" hidden="1">
      <c r="A441" s="1263"/>
      <c r="B441" s="1257"/>
      <c r="C441" s="1270" t="s">
        <v>384</v>
      </c>
      <c r="D441" s="1264"/>
      <c r="E441" s="1267"/>
      <c r="F441" s="1266"/>
      <c r="G441" s="1267"/>
      <c r="H441" s="1268"/>
      <c r="I441" s="1269"/>
      <c r="J441" s="1205" t="s">
        <v>2308</v>
      </c>
    </row>
    <row r="442" spans="1:10" hidden="1">
      <c r="A442" s="1263"/>
      <c r="B442" s="1257"/>
      <c r="C442" s="1281" t="s">
        <v>1661</v>
      </c>
      <c r="D442" s="1264">
        <v>0.67</v>
      </c>
      <c r="E442" s="1282" t="s">
        <v>27</v>
      </c>
      <c r="F442" s="1266">
        <v>1</v>
      </c>
      <c r="G442" s="1282" t="s">
        <v>27</v>
      </c>
      <c r="H442" s="1268">
        <f>'MINI SSR 2020-21'!$H$16</f>
        <v>610</v>
      </c>
      <c r="I442" s="1269">
        <f>SUM(D442*H442/F442)</f>
        <v>408.70000000000005</v>
      </c>
      <c r="J442" s="1205" t="s">
        <v>2308</v>
      </c>
    </row>
    <row r="443" spans="1:10" hidden="1">
      <c r="A443" s="1263"/>
      <c r="B443" s="1257"/>
      <c r="C443" s="1281" t="s">
        <v>1662</v>
      </c>
      <c r="D443" s="1264">
        <v>2</v>
      </c>
      <c r="E443" s="1282" t="s">
        <v>27</v>
      </c>
      <c r="F443" s="1266">
        <v>1</v>
      </c>
      <c r="G443" s="1282" t="s">
        <v>27</v>
      </c>
      <c r="H443" s="1268">
        <f>'MINI SSR 2020-21'!$H$17</f>
        <v>500</v>
      </c>
      <c r="I443" s="1269">
        <f>SUM(D443*H443/F443)</f>
        <v>1000</v>
      </c>
      <c r="J443" s="1205" t="s">
        <v>2308</v>
      </c>
    </row>
    <row r="444" spans="1:10" hidden="1">
      <c r="A444" s="1263"/>
      <c r="B444" s="1257"/>
      <c r="C444" s="1281" t="s">
        <v>700</v>
      </c>
      <c r="D444" s="1264">
        <v>0.67</v>
      </c>
      <c r="E444" s="1282" t="s">
        <v>27</v>
      </c>
      <c r="F444" s="1266">
        <v>1</v>
      </c>
      <c r="G444" s="1282" t="s">
        <v>27</v>
      </c>
      <c r="H444" s="1268">
        <f>'MINI SSR 2020-21'!$H$18</f>
        <v>445</v>
      </c>
      <c r="I444" s="1269">
        <f>SUM(D444*H444/F444)</f>
        <v>298.15000000000003</v>
      </c>
      <c r="J444" s="1205" t="s">
        <v>2308</v>
      </c>
    </row>
    <row r="445" spans="1:10" hidden="1">
      <c r="A445" s="1263"/>
      <c r="B445" s="1257"/>
      <c r="C445" s="1270" t="s">
        <v>327</v>
      </c>
      <c r="D445" s="1264"/>
      <c r="E445" s="1282"/>
      <c r="F445" s="1266"/>
      <c r="G445" s="1282"/>
      <c r="H445" s="1268"/>
      <c r="I445" s="1269"/>
      <c r="J445" s="1205" t="s">
        <v>2308</v>
      </c>
    </row>
    <row r="446" spans="1:10" ht="33.75" hidden="1">
      <c r="A446" s="1263"/>
      <c r="B446" s="1257"/>
      <c r="C446" s="1296" t="s">
        <v>1666</v>
      </c>
      <c r="D446" s="1264">
        <v>200</v>
      </c>
      <c r="E446" s="1267" t="s">
        <v>395</v>
      </c>
      <c r="F446" s="1266">
        <v>100</v>
      </c>
      <c r="G446" s="1267" t="s">
        <v>395</v>
      </c>
      <c r="H446" s="1268">
        <f>'MINI SSR 2020-21'!C129</f>
        <v>2440</v>
      </c>
      <c r="I446" s="1269">
        <f>SUM(D446*H446/F446)</f>
        <v>4880</v>
      </c>
      <c r="J446" s="1205" t="s">
        <v>2308</v>
      </c>
    </row>
    <row r="447" spans="1:10" hidden="1">
      <c r="A447" s="1263"/>
      <c r="B447" s="1257"/>
      <c r="C447" s="1270" t="s">
        <v>399</v>
      </c>
      <c r="D447" s="1264"/>
      <c r="E447" s="1267"/>
      <c r="F447" s="1266"/>
      <c r="G447" s="1267"/>
      <c r="H447" s="1268"/>
      <c r="I447" s="1269">
        <f>SUM(I442:I446)</f>
        <v>6586.85</v>
      </c>
      <c r="J447" s="1205" t="s">
        <v>2308</v>
      </c>
    </row>
    <row r="448" spans="1:10" hidden="1">
      <c r="A448" s="1263"/>
      <c r="B448" s="1257"/>
      <c r="C448" s="1270" t="s">
        <v>400</v>
      </c>
      <c r="D448" s="1264"/>
      <c r="E448" s="1267"/>
      <c r="F448" s="1266"/>
      <c r="G448" s="1267"/>
      <c r="H448" s="1268"/>
      <c r="I448" s="1269">
        <f>SUM(I447/100)</f>
        <v>65.868499999999997</v>
      </c>
      <c r="J448" s="1205" t="s">
        <v>2308</v>
      </c>
    </row>
    <row r="449" spans="1:10" ht="45" hidden="1">
      <c r="A449" s="1295" t="s">
        <v>724</v>
      </c>
      <c r="B449" s="1263">
        <v>17</v>
      </c>
      <c r="C449" s="1270" t="s">
        <v>402</v>
      </c>
      <c r="D449" s="1271"/>
      <c r="E449" s="1272"/>
      <c r="F449" s="1271"/>
      <c r="G449" s="1272"/>
      <c r="H449" s="1257"/>
      <c r="I449" s="1269"/>
      <c r="J449" s="1205" t="s">
        <v>2308</v>
      </c>
    </row>
    <row r="450" spans="1:10" ht="22.5" hidden="1">
      <c r="A450" s="1268"/>
      <c r="B450" s="1257"/>
      <c r="C450" s="1270" t="s">
        <v>403</v>
      </c>
      <c r="D450" s="1264"/>
      <c r="E450" s="1267"/>
      <c r="F450" s="1266"/>
      <c r="G450" s="1267"/>
      <c r="H450" s="1268"/>
      <c r="I450" s="1269"/>
      <c r="J450" s="1205" t="s">
        <v>2308</v>
      </c>
    </row>
    <row r="451" spans="1:10" hidden="1">
      <c r="A451" s="1268"/>
      <c r="B451" s="1257"/>
      <c r="C451" s="1270" t="s">
        <v>384</v>
      </c>
      <c r="D451" s="1264"/>
      <c r="E451" s="1267"/>
      <c r="F451" s="1266"/>
      <c r="G451" s="1267"/>
      <c r="H451" s="1268"/>
      <c r="I451" s="1269"/>
      <c r="J451" s="1205" t="s">
        <v>2308</v>
      </c>
    </row>
    <row r="452" spans="1:10" hidden="1">
      <c r="A452" s="1268"/>
      <c r="B452" s="1257"/>
      <c r="C452" s="1281" t="s">
        <v>1661</v>
      </c>
      <c r="D452" s="1264">
        <v>1</v>
      </c>
      <c r="E452" s="1282" t="s">
        <v>27</v>
      </c>
      <c r="F452" s="1266">
        <v>1</v>
      </c>
      <c r="G452" s="1282" t="s">
        <v>27</v>
      </c>
      <c r="H452" s="1268">
        <f>'MINI SSR 2020-21'!$H$16</f>
        <v>610</v>
      </c>
      <c r="I452" s="1269">
        <f>SUM(D452*H452/F452)</f>
        <v>610</v>
      </c>
      <c r="J452" s="1205" t="s">
        <v>2308</v>
      </c>
    </row>
    <row r="453" spans="1:10" hidden="1">
      <c r="A453" s="1268"/>
      <c r="B453" s="1257"/>
      <c r="C453" s="1281" t="s">
        <v>1662</v>
      </c>
      <c r="D453" s="1264">
        <v>3</v>
      </c>
      <c r="E453" s="1282" t="s">
        <v>27</v>
      </c>
      <c r="F453" s="1266">
        <v>1</v>
      </c>
      <c r="G453" s="1282" t="s">
        <v>27</v>
      </c>
      <c r="H453" s="1268">
        <f>'MINI SSR 2020-21'!$H$17</f>
        <v>500</v>
      </c>
      <c r="I453" s="1269">
        <f>SUM(D453*H453/F453)</f>
        <v>1500</v>
      </c>
      <c r="J453" s="1205" t="s">
        <v>2308</v>
      </c>
    </row>
    <row r="454" spans="1:10" hidden="1">
      <c r="A454" s="1268"/>
      <c r="B454" s="1257"/>
      <c r="C454" s="1281" t="s">
        <v>700</v>
      </c>
      <c r="D454" s="1264">
        <v>1</v>
      </c>
      <c r="E454" s="1282" t="s">
        <v>27</v>
      </c>
      <c r="F454" s="1266">
        <v>1</v>
      </c>
      <c r="G454" s="1282" t="s">
        <v>27</v>
      </c>
      <c r="H454" s="1268">
        <f>'MINI SSR 2020-21'!$H$18</f>
        <v>445</v>
      </c>
      <c r="I454" s="1269">
        <f>SUM(D454*H454/F454)</f>
        <v>445</v>
      </c>
      <c r="J454" s="1205" t="s">
        <v>2308</v>
      </c>
    </row>
    <row r="455" spans="1:10" hidden="1">
      <c r="A455" s="1268"/>
      <c r="B455" s="1257"/>
      <c r="C455" s="1270" t="s">
        <v>327</v>
      </c>
      <c r="D455" s="1264"/>
      <c r="E455" s="1282"/>
      <c r="F455" s="1266"/>
      <c r="G455" s="1282"/>
      <c r="H455" s="1268"/>
      <c r="I455" s="1269"/>
      <c r="J455" s="1205" t="s">
        <v>2308</v>
      </c>
    </row>
    <row r="456" spans="1:10" ht="33.75" hidden="1">
      <c r="A456" s="1268"/>
      <c r="B456" s="1257"/>
      <c r="C456" s="1296" t="s">
        <v>1667</v>
      </c>
      <c r="D456" s="1264">
        <v>200</v>
      </c>
      <c r="E456" s="1267" t="s">
        <v>395</v>
      </c>
      <c r="F456" s="1266">
        <v>100</v>
      </c>
      <c r="G456" s="1267" t="s">
        <v>395</v>
      </c>
      <c r="H456" s="1268">
        <f>'MINI SSR 2020-21'!C130</f>
        <v>3725</v>
      </c>
      <c r="I456" s="1269">
        <f>SUM(D456*H456/F456)</f>
        <v>7450</v>
      </c>
      <c r="J456" s="1205" t="s">
        <v>2308</v>
      </c>
    </row>
    <row r="457" spans="1:10" hidden="1">
      <c r="A457" s="1268"/>
      <c r="B457" s="1257"/>
      <c r="C457" s="1270" t="s">
        <v>399</v>
      </c>
      <c r="D457" s="1264"/>
      <c r="E457" s="1267"/>
      <c r="F457" s="1266"/>
      <c r="G457" s="1267"/>
      <c r="H457" s="1268"/>
      <c r="I457" s="1269">
        <f>SUM(I452:I456)</f>
        <v>10005</v>
      </c>
      <c r="J457" s="1205" t="s">
        <v>2308</v>
      </c>
    </row>
    <row r="458" spans="1:10" hidden="1">
      <c r="A458" s="1268"/>
      <c r="B458" s="1257"/>
      <c r="C458" s="1270" t="s">
        <v>400</v>
      </c>
      <c r="D458" s="1264"/>
      <c r="E458" s="1267"/>
      <c r="F458" s="1266"/>
      <c r="G458" s="1267"/>
      <c r="H458" s="1268"/>
      <c r="I458" s="1269">
        <f>SUM(I457/100)</f>
        <v>100.05</v>
      </c>
      <c r="J458" s="1205" t="s">
        <v>2308</v>
      </c>
    </row>
    <row r="459" spans="1:10" ht="45" hidden="1">
      <c r="A459" s="1295" t="s">
        <v>881</v>
      </c>
      <c r="B459" s="1263">
        <v>18</v>
      </c>
      <c r="C459" s="1270" t="s">
        <v>882</v>
      </c>
      <c r="D459" s="1271"/>
      <c r="E459" s="1272"/>
      <c r="F459" s="1271"/>
      <c r="G459" s="1272"/>
      <c r="H459" s="1257"/>
      <c r="I459" s="1269"/>
      <c r="J459" s="1205" t="s">
        <v>2308</v>
      </c>
    </row>
    <row r="460" spans="1:10" hidden="1">
      <c r="A460" s="1268"/>
      <c r="B460" s="1257"/>
      <c r="C460" s="1270" t="s">
        <v>384</v>
      </c>
      <c r="D460" s="1264"/>
      <c r="E460" s="1267"/>
      <c r="F460" s="1266"/>
      <c r="G460" s="1267"/>
      <c r="H460" s="1268"/>
      <c r="I460" s="1269"/>
      <c r="J460" s="1205" t="s">
        <v>2308</v>
      </c>
    </row>
    <row r="461" spans="1:10" hidden="1">
      <c r="A461" s="1268"/>
      <c r="B461" s="1257"/>
      <c r="C461" s="1281" t="s">
        <v>156</v>
      </c>
      <c r="D461" s="1264">
        <v>1</v>
      </c>
      <c r="E461" s="1282" t="s">
        <v>27</v>
      </c>
      <c r="F461" s="1266">
        <v>1</v>
      </c>
      <c r="G461" s="1282" t="s">
        <v>27</v>
      </c>
      <c r="H461" s="1268">
        <f>'MINI SSR 2020-21'!$H$16</f>
        <v>610</v>
      </c>
      <c r="I461" s="1269">
        <f>SUM(D461*H461/F461)</f>
        <v>610</v>
      </c>
      <c r="J461" s="1205" t="s">
        <v>2308</v>
      </c>
    </row>
    <row r="462" spans="1:10" hidden="1">
      <c r="A462" s="1268"/>
      <c r="B462" s="1257"/>
      <c r="C462" s="1281" t="s">
        <v>886</v>
      </c>
      <c r="D462" s="1264">
        <v>1</v>
      </c>
      <c r="E462" s="1282" t="s">
        <v>27</v>
      </c>
      <c r="F462" s="1266">
        <v>1</v>
      </c>
      <c r="G462" s="1282" t="s">
        <v>27</v>
      </c>
      <c r="H462" s="1268">
        <f>'MINI SSR 2020-21'!$H$17</f>
        <v>500</v>
      </c>
      <c r="I462" s="1269">
        <f>SUM(D462*H462/F462)</f>
        <v>500</v>
      </c>
      <c r="J462" s="1205" t="s">
        <v>2308</v>
      </c>
    </row>
    <row r="463" spans="1:10" hidden="1">
      <c r="A463" s="1268"/>
      <c r="B463" s="1257"/>
      <c r="C463" s="1281" t="s">
        <v>700</v>
      </c>
      <c r="D463" s="1264">
        <v>1</v>
      </c>
      <c r="E463" s="1282" t="s">
        <v>27</v>
      </c>
      <c r="F463" s="1266">
        <v>1</v>
      </c>
      <c r="G463" s="1282" t="s">
        <v>27</v>
      </c>
      <c r="H463" s="1268">
        <f>'MINI SSR 2020-21'!$H$18</f>
        <v>445</v>
      </c>
      <c r="I463" s="1269">
        <f>SUM(D463*H463/F463)</f>
        <v>445</v>
      </c>
      <c r="J463" s="1205" t="s">
        <v>2308</v>
      </c>
    </row>
    <row r="464" spans="1:10" hidden="1">
      <c r="A464" s="1268"/>
      <c r="B464" s="1257"/>
      <c r="C464" s="1270" t="s">
        <v>327</v>
      </c>
      <c r="D464" s="1264"/>
      <c r="E464" s="1282"/>
      <c r="F464" s="1266"/>
      <c r="G464" s="1282"/>
      <c r="H464" s="1268"/>
      <c r="I464" s="1269"/>
      <c r="J464" s="1205" t="s">
        <v>2308</v>
      </c>
    </row>
    <row r="465" spans="1:10" hidden="1">
      <c r="A465" s="1268"/>
      <c r="B465" s="1257"/>
      <c r="C465" s="1296" t="s">
        <v>883</v>
      </c>
      <c r="D465" s="1264">
        <v>200</v>
      </c>
      <c r="E465" s="1267" t="s">
        <v>395</v>
      </c>
      <c r="F465" s="1266">
        <v>100</v>
      </c>
      <c r="G465" s="1267" t="s">
        <v>395</v>
      </c>
      <c r="H465" s="1268">
        <f>'MINI SSR 2020-21'!C131</f>
        <v>1513</v>
      </c>
      <c r="I465" s="1269">
        <f>SUM(D465*H465/F465)</f>
        <v>3026</v>
      </c>
      <c r="J465" s="1205" t="s">
        <v>2308</v>
      </c>
    </row>
    <row r="466" spans="1:10" hidden="1">
      <c r="A466" s="1268"/>
      <c r="B466" s="1257"/>
      <c r="C466" s="1296" t="s">
        <v>884</v>
      </c>
      <c r="D466" s="1264">
        <v>6.7</v>
      </c>
      <c r="E466" s="1267" t="s">
        <v>4</v>
      </c>
      <c r="F466" s="1266">
        <v>1</v>
      </c>
      <c r="G466" s="1267" t="s">
        <v>4</v>
      </c>
      <c r="H466" s="1268">
        <f>'MINI SSR 2020-21'!C132</f>
        <v>65</v>
      </c>
      <c r="I466" s="1269">
        <f>SUM(D466*H466/F466)</f>
        <v>435.5</v>
      </c>
      <c r="J466" s="1205" t="s">
        <v>2308</v>
      </c>
    </row>
    <row r="467" spans="1:10" hidden="1">
      <c r="A467" s="1268"/>
      <c r="B467" s="1257"/>
      <c r="C467" s="1296" t="s">
        <v>885</v>
      </c>
      <c r="D467" s="1264">
        <v>100</v>
      </c>
      <c r="E467" s="1267" t="s">
        <v>325</v>
      </c>
      <c r="F467" s="1266">
        <v>100</v>
      </c>
      <c r="G467" s="1267" t="s">
        <v>115</v>
      </c>
      <c r="H467" s="1268">
        <f>'MINI SSR 2020-21'!C133</f>
        <v>430</v>
      </c>
      <c r="I467" s="1269">
        <f>SUM(D467*H467/F467)</f>
        <v>430</v>
      </c>
      <c r="J467" s="1205" t="s">
        <v>2308</v>
      </c>
    </row>
    <row r="468" spans="1:10" hidden="1">
      <c r="A468" s="1268"/>
      <c r="B468" s="1257"/>
      <c r="C468" s="1270" t="s">
        <v>399</v>
      </c>
      <c r="D468" s="1264"/>
      <c r="E468" s="1267"/>
      <c r="F468" s="1266"/>
      <c r="G468" s="1267"/>
      <c r="H468" s="1268"/>
      <c r="I468" s="1269">
        <f>SUM(I461:I467)</f>
        <v>5446.5</v>
      </c>
      <c r="J468" s="1205" t="s">
        <v>2308</v>
      </c>
    </row>
    <row r="469" spans="1:10" hidden="1">
      <c r="A469" s="1268"/>
      <c r="B469" s="1257"/>
      <c r="C469" s="1270" t="s">
        <v>400</v>
      </c>
      <c r="D469" s="1264"/>
      <c r="E469" s="1267"/>
      <c r="F469" s="1266"/>
      <c r="G469" s="1267"/>
      <c r="H469" s="1268"/>
      <c r="I469" s="1269">
        <f>SUM(I468/100)</f>
        <v>54.465000000000003</v>
      </c>
      <c r="J469" s="1205" t="s">
        <v>2308</v>
      </c>
    </row>
    <row r="470" spans="1:10" ht="33.75" hidden="1">
      <c r="A470" s="1295" t="s">
        <v>725</v>
      </c>
      <c r="B470" s="1263">
        <v>19</v>
      </c>
      <c r="C470" s="1270" t="s">
        <v>1268</v>
      </c>
      <c r="D470" s="1274"/>
      <c r="E470" s="1265"/>
      <c r="F470" s="1274"/>
      <c r="G470" s="1265"/>
      <c r="H470" s="1270"/>
      <c r="I470" s="1270"/>
      <c r="J470" s="1205" t="s">
        <v>2308</v>
      </c>
    </row>
    <row r="471" spans="1:10" ht="22.5" hidden="1">
      <c r="A471" s="1263"/>
      <c r="B471" s="1257"/>
      <c r="C471" s="1270" t="s">
        <v>404</v>
      </c>
      <c r="D471" s="1274"/>
      <c r="E471" s="1265"/>
      <c r="F471" s="1274"/>
      <c r="G471" s="1265"/>
      <c r="H471" s="1270"/>
      <c r="I471" s="1270"/>
      <c r="J471" s="1205" t="s">
        <v>2308</v>
      </c>
    </row>
    <row r="472" spans="1:10" hidden="1">
      <c r="A472" s="1263"/>
      <c r="B472" s="1257"/>
      <c r="C472" s="1270" t="s">
        <v>384</v>
      </c>
      <c r="D472" s="1264"/>
      <c r="E472" s="1267"/>
      <c r="F472" s="1266"/>
      <c r="G472" s="1267"/>
      <c r="H472" s="1268"/>
      <c r="I472" s="1269"/>
      <c r="J472" s="1205" t="s">
        <v>2308</v>
      </c>
    </row>
    <row r="473" spans="1:10" hidden="1">
      <c r="A473" s="1263"/>
      <c r="B473" s="1257"/>
      <c r="C473" s="1281" t="s">
        <v>1661</v>
      </c>
      <c r="D473" s="1264">
        <v>0.05</v>
      </c>
      <c r="E473" s="1282" t="s">
        <v>27</v>
      </c>
      <c r="F473" s="1266">
        <v>1</v>
      </c>
      <c r="G473" s="1282" t="s">
        <v>27</v>
      </c>
      <c r="H473" s="1268">
        <f>'MINI SSR 2020-21'!$H$16</f>
        <v>610</v>
      </c>
      <c r="I473" s="1269">
        <f>SUM(D473*H473/F473)</f>
        <v>30.5</v>
      </c>
      <c r="J473" s="1205" t="s">
        <v>2308</v>
      </c>
    </row>
    <row r="474" spans="1:10" hidden="1">
      <c r="A474" s="1263"/>
      <c r="B474" s="1257"/>
      <c r="C474" s="1281" t="s">
        <v>700</v>
      </c>
      <c r="D474" s="1264">
        <v>0.05</v>
      </c>
      <c r="E474" s="1282" t="s">
        <v>27</v>
      </c>
      <c r="F474" s="1266">
        <v>1</v>
      </c>
      <c r="G474" s="1282" t="s">
        <v>27</v>
      </c>
      <c r="H474" s="1268">
        <f>'MINI SSR 2020-21'!$H$18</f>
        <v>445</v>
      </c>
      <c r="I474" s="1280">
        <f>SUM(D474*H474/F474)</f>
        <v>22.25</v>
      </c>
      <c r="J474" s="1205" t="s">
        <v>2308</v>
      </c>
    </row>
    <row r="475" spans="1:10" hidden="1">
      <c r="A475" s="1263"/>
      <c r="B475" s="1257"/>
      <c r="C475" s="1270" t="s">
        <v>327</v>
      </c>
      <c r="D475" s="1264"/>
      <c r="E475" s="1282"/>
      <c r="F475" s="1266"/>
      <c r="G475" s="1282"/>
      <c r="H475" s="1268"/>
      <c r="I475" s="1269"/>
      <c r="J475" s="1205" t="s">
        <v>2308</v>
      </c>
    </row>
    <row r="476" spans="1:10" ht="33.75" hidden="1">
      <c r="A476" s="1263"/>
      <c r="B476" s="1257"/>
      <c r="C476" s="1270" t="s">
        <v>1668</v>
      </c>
      <c r="D476" s="1297">
        <v>1</v>
      </c>
      <c r="E476" s="1267" t="s">
        <v>325</v>
      </c>
      <c r="F476" s="1266">
        <v>1</v>
      </c>
      <c r="G476" s="1267" t="s">
        <v>115</v>
      </c>
      <c r="H476" s="1268">
        <f>'MINI SSR 2020-21'!G114</f>
        <v>18</v>
      </c>
      <c r="I476" s="1269">
        <f>SUM(D476*H476/F476)</f>
        <v>18</v>
      </c>
      <c r="J476" s="1205" t="s">
        <v>2308</v>
      </c>
    </row>
    <row r="477" spans="1:10" hidden="1">
      <c r="A477" s="1263"/>
      <c r="B477" s="1257"/>
      <c r="C477" s="1270" t="s">
        <v>1267</v>
      </c>
      <c r="D477" s="1297">
        <v>1</v>
      </c>
      <c r="E477" s="1267" t="s">
        <v>325</v>
      </c>
      <c r="F477" s="1266">
        <v>1</v>
      </c>
      <c r="G477" s="1267" t="s">
        <v>115</v>
      </c>
      <c r="H477" s="1268">
        <f>'MINI SSR 2020-21'!G115</f>
        <v>50</v>
      </c>
      <c r="I477" s="1269">
        <f>SUM(D477*H477/F477)</f>
        <v>50</v>
      </c>
      <c r="J477" s="1205" t="s">
        <v>2308</v>
      </c>
    </row>
    <row r="478" spans="1:10" hidden="1">
      <c r="A478" s="1263"/>
      <c r="B478" s="1257"/>
      <c r="C478" s="1270" t="s">
        <v>405</v>
      </c>
      <c r="D478" s="1264"/>
      <c r="E478" s="1282"/>
      <c r="F478" s="1266"/>
      <c r="G478" s="1282"/>
      <c r="H478" s="1268"/>
      <c r="I478" s="1269">
        <f>SUM(I473:I477)</f>
        <v>120.75</v>
      </c>
      <c r="J478" s="1205" t="s">
        <v>2308</v>
      </c>
    </row>
    <row r="479" spans="1:10" ht="45" hidden="1">
      <c r="A479" s="1268" t="s">
        <v>1669</v>
      </c>
      <c r="B479" s="1263">
        <v>8</v>
      </c>
      <c r="C479" s="1270" t="s">
        <v>406</v>
      </c>
      <c r="D479" s="1274"/>
      <c r="E479" s="1265"/>
      <c r="F479" s="1274"/>
      <c r="G479" s="1265"/>
      <c r="H479" s="1270"/>
      <c r="I479" s="1270"/>
      <c r="J479" s="1205" t="s">
        <v>2308</v>
      </c>
    </row>
    <row r="480" spans="1:10" ht="33.75" hidden="1">
      <c r="A480" s="1263"/>
      <c r="B480" s="1263"/>
      <c r="C480" s="1270" t="s">
        <v>407</v>
      </c>
      <c r="D480" s="1780"/>
      <c r="E480" s="1265"/>
      <c r="F480" s="1274"/>
      <c r="G480" s="1265"/>
      <c r="H480" s="1270"/>
      <c r="I480" s="1270"/>
      <c r="J480" s="1205" t="s">
        <v>2308</v>
      </c>
    </row>
    <row r="481" spans="1:10" ht="33.75" hidden="1">
      <c r="A481" s="1263"/>
      <c r="B481" s="1263"/>
      <c r="C481" s="1270" t="s">
        <v>408</v>
      </c>
      <c r="D481" s="1780"/>
      <c r="E481" s="1265"/>
      <c r="F481" s="1274"/>
      <c r="G481" s="1265"/>
      <c r="H481" s="1270"/>
      <c r="I481" s="1270"/>
      <c r="J481" s="1205" t="s">
        <v>2308</v>
      </c>
    </row>
    <row r="482" spans="1:10" hidden="1">
      <c r="A482" s="1263"/>
      <c r="B482" s="1257"/>
      <c r="C482" s="1309" t="s">
        <v>409</v>
      </c>
      <c r="D482" s="1264"/>
      <c r="E482" s="1267"/>
      <c r="F482" s="1266"/>
      <c r="G482" s="1267"/>
      <c r="H482" s="1268"/>
      <c r="I482" s="1269"/>
      <c r="J482" s="1205" t="s">
        <v>2308</v>
      </c>
    </row>
    <row r="483" spans="1:10" hidden="1">
      <c r="A483" s="1263"/>
      <c r="B483" s="1257"/>
      <c r="C483" s="1281" t="s">
        <v>1661</v>
      </c>
      <c r="D483" s="1299">
        <v>0.125</v>
      </c>
      <c r="E483" s="1282" t="s">
        <v>27</v>
      </c>
      <c r="F483" s="1266">
        <v>1</v>
      </c>
      <c r="G483" s="1282" t="s">
        <v>27</v>
      </c>
      <c r="H483" s="1268">
        <f>'MINI SSR 2020-21'!$H$16</f>
        <v>610</v>
      </c>
      <c r="I483" s="1269">
        <f>SUM(D483*H483/F483)</f>
        <v>76.25</v>
      </c>
      <c r="J483" s="1205" t="s">
        <v>2308</v>
      </c>
    </row>
    <row r="484" spans="1:10" hidden="1">
      <c r="A484" s="1263"/>
      <c r="B484" s="1257"/>
      <c r="C484" s="1281" t="s">
        <v>700</v>
      </c>
      <c r="D484" s="1299">
        <v>0.125</v>
      </c>
      <c r="E484" s="1282" t="s">
        <v>27</v>
      </c>
      <c r="F484" s="1266">
        <v>1</v>
      </c>
      <c r="G484" s="1282" t="s">
        <v>27</v>
      </c>
      <c r="H484" s="1268">
        <f>'MINI SSR 2020-21'!$H$18</f>
        <v>445</v>
      </c>
      <c r="I484" s="1280">
        <f>SUM(D484*H484/F484)</f>
        <v>55.625</v>
      </c>
      <c r="J484" s="1205" t="s">
        <v>2308</v>
      </c>
    </row>
    <row r="485" spans="1:10" hidden="1">
      <c r="A485" s="1263"/>
      <c r="B485" s="1257"/>
      <c r="C485" s="1270" t="s">
        <v>410</v>
      </c>
      <c r="D485" s="1264"/>
      <c r="E485" s="1282"/>
      <c r="F485" s="1266"/>
      <c r="G485" s="1282"/>
      <c r="H485" s="1268"/>
      <c r="I485" s="1269"/>
      <c r="J485" s="1205" t="s">
        <v>2308</v>
      </c>
    </row>
    <row r="486" spans="1:10" hidden="1">
      <c r="A486" s="1263"/>
      <c r="B486" s="1257"/>
      <c r="C486" s="1296" t="s">
        <v>1670</v>
      </c>
      <c r="D486" s="1264">
        <v>1</v>
      </c>
      <c r="E486" s="1267" t="s">
        <v>385</v>
      </c>
      <c r="F486" s="1266">
        <v>100</v>
      </c>
      <c r="G486" s="1267" t="s">
        <v>395</v>
      </c>
      <c r="H486" s="1268">
        <f>'MINI SSR 2020-21'!G116</f>
        <v>950</v>
      </c>
      <c r="I486" s="1269">
        <f>SUM(D486*H486/F486)</f>
        <v>9.5</v>
      </c>
      <c r="J486" s="1205" t="s">
        <v>2308</v>
      </c>
    </row>
    <row r="487" spans="1:10" hidden="1">
      <c r="A487" s="1263"/>
      <c r="B487" s="1257"/>
      <c r="C487" s="1296" t="s">
        <v>1671</v>
      </c>
      <c r="D487" s="1264">
        <v>1</v>
      </c>
      <c r="E487" s="1267" t="s">
        <v>115</v>
      </c>
      <c r="F487" s="1266">
        <v>1</v>
      </c>
      <c r="G487" s="1267" t="s">
        <v>115</v>
      </c>
      <c r="H487" s="1268">
        <f>'MINI SSR 2020-21'!G117</f>
        <v>180</v>
      </c>
      <c r="I487" s="1269">
        <f>SUM(D487*H487/F487)</f>
        <v>180</v>
      </c>
      <c r="J487" s="1205" t="s">
        <v>2308</v>
      </c>
    </row>
    <row r="488" spans="1:10" hidden="1">
      <c r="A488" s="1263"/>
      <c r="B488" s="1257"/>
      <c r="C488" s="1296" t="s">
        <v>1672</v>
      </c>
      <c r="D488" s="1264">
        <v>1</v>
      </c>
      <c r="E488" s="1267" t="s">
        <v>325</v>
      </c>
      <c r="F488" s="1266">
        <v>1</v>
      </c>
      <c r="G488" s="1267" t="s">
        <v>325</v>
      </c>
      <c r="H488" s="1268">
        <f>'MINI SSR 2020-21'!G118</f>
        <v>2300</v>
      </c>
      <c r="I488" s="1269">
        <f>SUM(D488*H488/F488)</f>
        <v>2300</v>
      </c>
      <c r="J488" s="1205" t="s">
        <v>2308</v>
      </c>
    </row>
    <row r="489" spans="1:10" hidden="1">
      <c r="A489" s="1263"/>
      <c r="B489" s="1257"/>
      <c r="C489" s="1270" t="s">
        <v>411</v>
      </c>
      <c r="D489" s="1264"/>
      <c r="E489" s="1267"/>
      <c r="F489" s="1266"/>
      <c r="G489" s="1267"/>
      <c r="H489" s="1648">
        <v>0.01</v>
      </c>
      <c r="I489" s="1269">
        <f>SUM(I488*H489)</f>
        <v>23</v>
      </c>
      <c r="J489" s="1205" t="s">
        <v>2308</v>
      </c>
    </row>
    <row r="490" spans="1:10" hidden="1">
      <c r="A490" s="1263"/>
      <c r="B490" s="1257"/>
      <c r="C490" s="1275" t="s">
        <v>388</v>
      </c>
      <c r="D490" s="1271"/>
      <c r="E490" s="1272"/>
      <c r="F490" s="1271"/>
      <c r="G490" s="1649"/>
      <c r="H490" s="1302"/>
      <c r="I490" s="1269">
        <f>SUM(I483:I489)</f>
        <v>2644.375</v>
      </c>
      <c r="J490" s="1205" t="s">
        <v>2308</v>
      </c>
    </row>
    <row r="491" spans="1:10" ht="33.75" hidden="1">
      <c r="A491" s="1268" t="s">
        <v>1673</v>
      </c>
      <c r="B491" s="1263">
        <v>20</v>
      </c>
      <c r="C491" s="1270" t="s">
        <v>946</v>
      </c>
      <c r="D491" s="1274"/>
      <c r="E491" s="1265"/>
      <c r="F491" s="1274"/>
      <c r="G491" s="1265"/>
      <c r="H491" s="1270"/>
      <c r="I491" s="1270"/>
      <c r="J491" s="1205" t="s">
        <v>2308</v>
      </c>
    </row>
    <row r="492" spans="1:10" hidden="1">
      <c r="A492" s="1263"/>
      <c r="B492" s="1257"/>
      <c r="C492" s="1296" t="s">
        <v>970</v>
      </c>
      <c r="D492" s="1264">
        <v>1</v>
      </c>
      <c r="E492" s="1267" t="s">
        <v>325</v>
      </c>
      <c r="F492" s="1266">
        <v>1</v>
      </c>
      <c r="G492" s="1267" t="s">
        <v>325</v>
      </c>
      <c r="H492" s="1268">
        <f>'MINI SSR 2020-21'!G118</f>
        <v>2300</v>
      </c>
      <c r="I492" s="1269">
        <f>SUM(D492*H492/F492)</f>
        <v>2300</v>
      </c>
      <c r="J492" s="1205" t="s">
        <v>2308</v>
      </c>
    </row>
    <row r="493" spans="1:10" hidden="1">
      <c r="A493" s="1263"/>
      <c r="B493" s="1257"/>
      <c r="C493" s="1270" t="s">
        <v>411</v>
      </c>
      <c r="D493" s="1264"/>
      <c r="E493" s="1267"/>
      <c r="F493" s="1266"/>
      <c r="G493" s="1267"/>
      <c r="H493" s="1648">
        <v>0.01</v>
      </c>
      <c r="I493" s="1269">
        <f>SUM(I492*H493)</f>
        <v>23</v>
      </c>
      <c r="J493" s="1205" t="s">
        <v>2308</v>
      </c>
    </row>
    <row r="494" spans="1:10" hidden="1">
      <c r="A494" s="1263"/>
      <c r="B494" s="1257"/>
      <c r="C494" s="1275" t="s">
        <v>388</v>
      </c>
      <c r="D494" s="1271"/>
      <c r="E494" s="1272"/>
      <c r="F494" s="1271"/>
      <c r="G494" s="1649"/>
      <c r="H494" s="1302"/>
      <c r="I494" s="1269">
        <f>SUM(I492:I493)</f>
        <v>2323</v>
      </c>
      <c r="J494" s="1205" t="s">
        <v>2308</v>
      </c>
    </row>
    <row r="495" spans="1:10" ht="22.5" hidden="1">
      <c r="A495" s="1268" t="s">
        <v>1674</v>
      </c>
      <c r="B495" s="1263">
        <v>21</v>
      </c>
      <c r="C495" s="1270" t="s">
        <v>1675</v>
      </c>
      <c r="D495" s="1274"/>
      <c r="E495" s="1265"/>
      <c r="F495" s="1274"/>
      <c r="G495" s="1265"/>
      <c r="H495" s="1270"/>
      <c r="I495" s="1270"/>
      <c r="J495" s="1205" t="s">
        <v>2308</v>
      </c>
    </row>
    <row r="496" spans="1:10" hidden="1">
      <c r="A496" s="1263"/>
      <c r="B496" s="1257"/>
      <c r="C496" s="1296" t="s">
        <v>1671</v>
      </c>
      <c r="D496" s="1264">
        <v>1</v>
      </c>
      <c r="E496" s="1267" t="s">
        <v>325</v>
      </c>
      <c r="F496" s="1266">
        <v>1</v>
      </c>
      <c r="G496" s="1267" t="s">
        <v>325</v>
      </c>
      <c r="H496" s="1268">
        <f>'MINI SSR 2020-21'!G117</f>
        <v>180</v>
      </c>
      <c r="I496" s="1269">
        <f>SUM(D496*H496/F496)</f>
        <v>180</v>
      </c>
      <c r="J496" s="1205" t="s">
        <v>2308</v>
      </c>
    </row>
    <row r="497" spans="1:10" hidden="1">
      <c r="A497" s="1263"/>
      <c r="B497" s="1257"/>
      <c r="C497" s="1281" t="s">
        <v>1661</v>
      </c>
      <c r="D497" s="1299">
        <v>0.1</v>
      </c>
      <c r="E497" s="1282" t="s">
        <v>27</v>
      </c>
      <c r="F497" s="1266">
        <v>1</v>
      </c>
      <c r="G497" s="1282" t="s">
        <v>27</v>
      </c>
      <c r="H497" s="1268">
        <f>'MINI SSR 2020-21'!$H$16</f>
        <v>610</v>
      </c>
      <c r="I497" s="1269">
        <f>SUM(D497*H497/F497)</f>
        <v>61</v>
      </c>
      <c r="J497" s="1205" t="s">
        <v>2308</v>
      </c>
    </row>
    <row r="498" spans="1:10" hidden="1">
      <c r="A498" s="1263"/>
      <c r="B498" s="1257"/>
      <c r="C498" s="1270"/>
      <c r="D498" s="1264"/>
      <c r="E498" s="1267"/>
      <c r="F498" s="1266"/>
      <c r="G498" s="1267"/>
      <c r="H498" s="1648"/>
      <c r="I498" s="1269"/>
      <c r="J498" s="1205" t="s">
        <v>2308</v>
      </c>
    </row>
    <row r="499" spans="1:10" hidden="1">
      <c r="A499" s="1263"/>
      <c r="B499" s="1257"/>
      <c r="C499" s="1275" t="s">
        <v>388</v>
      </c>
      <c r="D499" s="1271"/>
      <c r="E499" s="1272"/>
      <c r="F499" s="1271"/>
      <c r="G499" s="1649"/>
      <c r="H499" s="1302"/>
      <c r="I499" s="1269">
        <f>SUM(I496:I498)</f>
        <v>241</v>
      </c>
      <c r="J499" s="1205" t="s">
        <v>2308</v>
      </c>
    </row>
    <row r="500" spans="1:10" ht="22.5" hidden="1">
      <c r="A500" s="1268" t="s">
        <v>1669</v>
      </c>
      <c r="B500" s="1263">
        <v>22</v>
      </c>
      <c r="C500" s="1270" t="s">
        <v>948</v>
      </c>
      <c r="D500" s="1274"/>
      <c r="E500" s="1265"/>
      <c r="F500" s="1274"/>
      <c r="G500" s="1265"/>
      <c r="H500" s="1270"/>
      <c r="I500" s="1270"/>
      <c r="J500" s="1205" t="s">
        <v>2308</v>
      </c>
    </row>
    <row r="501" spans="1:10" hidden="1">
      <c r="A501" s="1263"/>
      <c r="B501" s="1257"/>
      <c r="C501" s="1309" t="s">
        <v>409</v>
      </c>
      <c r="D501" s="1264"/>
      <c r="E501" s="1267"/>
      <c r="F501" s="1266"/>
      <c r="G501" s="1267"/>
      <c r="H501" s="1268"/>
      <c r="I501" s="1269"/>
      <c r="J501" s="1205" t="s">
        <v>2308</v>
      </c>
    </row>
    <row r="502" spans="1:10" hidden="1">
      <c r="A502" s="1263"/>
      <c r="B502" s="1257"/>
      <c r="C502" s="1281" t="s">
        <v>1661</v>
      </c>
      <c r="D502" s="1299">
        <v>0.125</v>
      </c>
      <c r="E502" s="1282" t="s">
        <v>27</v>
      </c>
      <c r="F502" s="1266">
        <v>1</v>
      </c>
      <c r="G502" s="1282" t="s">
        <v>27</v>
      </c>
      <c r="H502" s="1268">
        <f>'MINI SSR 2020-21'!$H$16</f>
        <v>610</v>
      </c>
      <c r="I502" s="1269">
        <f>SUM(D502*H502/F502)</f>
        <v>76.25</v>
      </c>
      <c r="J502" s="1205" t="s">
        <v>2308</v>
      </c>
    </row>
    <row r="503" spans="1:10" hidden="1">
      <c r="A503" s="1263"/>
      <c r="B503" s="1257"/>
      <c r="C503" s="1281" t="s">
        <v>700</v>
      </c>
      <c r="D503" s="1299">
        <v>0.125</v>
      </c>
      <c r="E503" s="1282" t="s">
        <v>27</v>
      </c>
      <c r="F503" s="1266">
        <v>1</v>
      </c>
      <c r="G503" s="1282" t="s">
        <v>27</v>
      </c>
      <c r="H503" s="1268">
        <f>'MINI SSR 2020-21'!$H$18</f>
        <v>445</v>
      </c>
      <c r="I503" s="1280">
        <f>SUM(D503*H503/F503)</f>
        <v>55.625</v>
      </c>
      <c r="J503" s="1205" t="s">
        <v>2308</v>
      </c>
    </row>
    <row r="504" spans="1:10" hidden="1">
      <c r="A504" s="1263"/>
      <c r="B504" s="1257"/>
      <c r="C504" s="1270" t="s">
        <v>410</v>
      </c>
      <c r="D504" s="1264"/>
      <c r="E504" s="1282"/>
      <c r="F504" s="1266"/>
      <c r="G504" s="1282"/>
      <c r="H504" s="1268"/>
      <c r="I504" s="1269"/>
      <c r="J504" s="1205" t="s">
        <v>2308</v>
      </c>
    </row>
    <row r="505" spans="1:10" hidden="1">
      <c r="A505" s="1263"/>
      <c r="B505" s="1257"/>
      <c r="C505" s="1296" t="s">
        <v>949</v>
      </c>
      <c r="D505" s="1264">
        <v>1</v>
      </c>
      <c r="E505" s="1267" t="s">
        <v>385</v>
      </c>
      <c r="F505" s="1266">
        <v>100</v>
      </c>
      <c r="G505" s="1267" t="s">
        <v>395</v>
      </c>
      <c r="H505" s="1268">
        <f>'MINI SSR 2020-21'!G116</f>
        <v>950</v>
      </c>
      <c r="I505" s="1269">
        <f>SUM(D505*H505/F505)</f>
        <v>9.5</v>
      </c>
      <c r="J505" s="1205" t="s">
        <v>2308</v>
      </c>
    </row>
    <row r="506" spans="1:10" hidden="1">
      <c r="A506" s="1263"/>
      <c r="B506" s="1257"/>
      <c r="C506" s="1275" t="s">
        <v>388</v>
      </c>
      <c r="D506" s="1271"/>
      <c r="E506" s="1272"/>
      <c r="F506" s="1271"/>
      <c r="G506" s="1649"/>
      <c r="H506" s="1302"/>
      <c r="I506" s="1269">
        <f>SUM(I502:I505)</f>
        <v>141.375</v>
      </c>
      <c r="J506" s="1205" t="s">
        <v>2308</v>
      </c>
    </row>
    <row r="507" spans="1:10" ht="33.75" hidden="1">
      <c r="A507" s="1268" t="s">
        <v>1676</v>
      </c>
      <c r="B507" s="1263">
        <v>39</v>
      </c>
      <c r="C507" s="1270" t="s">
        <v>950</v>
      </c>
      <c r="D507" s="1274"/>
      <c r="E507" s="1265"/>
      <c r="F507" s="1274"/>
      <c r="G507" s="1265"/>
      <c r="H507" s="1270"/>
      <c r="I507" s="1270"/>
      <c r="J507" s="1205" t="s">
        <v>2308</v>
      </c>
    </row>
    <row r="508" spans="1:10" hidden="1">
      <c r="A508" s="1263"/>
      <c r="B508" s="1257"/>
      <c r="C508" s="1309" t="s">
        <v>409</v>
      </c>
      <c r="D508" s="1264"/>
      <c r="E508" s="1267"/>
      <c r="F508" s="1266"/>
      <c r="G508" s="1267"/>
      <c r="H508" s="1268"/>
      <c r="I508" s="1269"/>
      <c r="J508" s="1205" t="s">
        <v>2308</v>
      </c>
    </row>
    <row r="509" spans="1:10" hidden="1">
      <c r="A509" s="1263"/>
      <c r="B509" s="1257"/>
      <c r="C509" s="1281" t="s">
        <v>700</v>
      </c>
      <c r="D509" s="1299">
        <v>0.1</v>
      </c>
      <c r="E509" s="1282" t="s">
        <v>27</v>
      </c>
      <c r="F509" s="1266">
        <v>1</v>
      </c>
      <c r="G509" s="1282" t="s">
        <v>27</v>
      </c>
      <c r="H509" s="1268">
        <f>'MINI SSR 2020-21'!$H$18</f>
        <v>445</v>
      </c>
      <c r="I509" s="1280">
        <f>SUM(D509*H509/F509)</f>
        <v>44.5</v>
      </c>
      <c r="J509" s="1205" t="s">
        <v>2308</v>
      </c>
    </row>
    <row r="510" spans="1:10" hidden="1">
      <c r="A510" s="1263"/>
      <c r="B510" s="1257"/>
      <c r="C510" s="1270" t="s">
        <v>410</v>
      </c>
      <c r="D510" s="1264"/>
      <c r="E510" s="1282"/>
      <c r="F510" s="1266"/>
      <c r="G510" s="1282"/>
      <c r="H510" s="1268"/>
      <c r="I510" s="1269"/>
      <c r="J510" s="1205" t="s">
        <v>2308</v>
      </c>
    </row>
    <row r="511" spans="1:10" ht="22.5" hidden="1">
      <c r="A511" s="1263"/>
      <c r="B511" s="1257"/>
      <c r="C511" s="1296" t="s">
        <v>1677</v>
      </c>
      <c r="D511" s="1264">
        <v>1</v>
      </c>
      <c r="E511" s="1267" t="s">
        <v>115</v>
      </c>
      <c r="F511" s="1266">
        <v>1</v>
      </c>
      <c r="G511" s="1267" t="s">
        <v>115</v>
      </c>
      <c r="H511" s="1268">
        <f>'MINI SSR 2020-21'!G119</f>
        <v>85</v>
      </c>
      <c r="I511" s="1269">
        <f>SUM(D511*H511/F511)</f>
        <v>85</v>
      </c>
      <c r="J511" s="1205" t="s">
        <v>2308</v>
      </c>
    </row>
    <row r="512" spans="1:10" hidden="1">
      <c r="A512" s="1263"/>
      <c r="B512" s="1257"/>
      <c r="C512" s="1275" t="s">
        <v>388</v>
      </c>
      <c r="D512" s="1271"/>
      <c r="E512" s="1272"/>
      <c r="F512" s="1271"/>
      <c r="G512" s="1649"/>
      <c r="H512" s="1302"/>
      <c r="I512" s="1269">
        <f>SUM(I509:I511)</f>
        <v>129.5</v>
      </c>
      <c r="J512" s="1205" t="s">
        <v>2308</v>
      </c>
    </row>
    <row r="513" spans="1:10" ht="22.5" hidden="1">
      <c r="A513" s="1268" t="s">
        <v>1678</v>
      </c>
      <c r="B513" s="1287">
        <v>23</v>
      </c>
      <c r="C513" s="1270" t="s">
        <v>1679</v>
      </c>
      <c r="D513" s="1271"/>
      <c r="E513" s="1272"/>
      <c r="F513" s="1271"/>
      <c r="G513" s="1272"/>
      <c r="H513" s="1273"/>
      <c r="I513" s="1273"/>
      <c r="J513" s="1205" t="s">
        <v>2308</v>
      </c>
    </row>
    <row r="514" spans="1:10" hidden="1">
      <c r="A514" s="1286"/>
      <c r="B514" s="1287"/>
      <c r="C514" s="1281" t="s">
        <v>1575</v>
      </c>
      <c r="D514" s="1264">
        <v>1</v>
      </c>
      <c r="E514" s="1282" t="s">
        <v>325</v>
      </c>
      <c r="F514" s="1266">
        <v>1</v>
      </c>
      <c r="G514" s="1282" t="s">
        <v>325</v>
      </c>
      <c r="H514" s="1268">
        <f>'MINI SSR 2020-21'!G120</f>
        <v>30</v>
      </c>
      <c r="I514" s="1280">
        <f>SUM(D514*H514/F514)</f>
        <v>30</v>
      </c>
      <c r="J514" s="1205" t="s">
        <v>2308</v>
      </c>
    </row>
    <row r="515" spans="1:10" hidden="1">
      <c r="A515" s="1263"/>
      <c r="B515" s="1257"/>
      <c r="C515" s="1281" t="s">
        <v>1680</v>
      </c>
      <c r="D515" s="1299">
        <v>0.16600000000000001</v>
      </c>
      <c r="E515" s="1282" t="s">
        <v>27</v>
      </c>
      <c r="F515" s="1266">
        <v>1</v>
      </c>
      <c r="G515" s="1282" t="s">
        <v>27</v>
      </c>
      <c r="H515" s="1268">
        <f>'MINI SSR 2020-21'!H3</f>
        <v>550</v>
      </c>
      <c r="I515" s="1280">
        <f>SUM(D515*H515/F515)</f>
        <v>91.300000000000011</v>
      </c>
      <c r="J515" s="1205" t="s">
        <v>2308</v>
      </c>
    </row>
    <row r="516" spans="1:10" hidden="1">
      <c r="A516" s="1263"/>
      <c r="B516" s="1257"/>
      <c r="C516" s="1281" t="s">
        <v>1681</v>
      </c>
      <c r="D516" s="1299">
        <v>0.16600000000000001</v>
      </c>
      <c r="E516" s="1282" t="s">
        <v>27</v>
      </c>
      <c r="F516" s="1266">
        <v>1</v>
      </c>
      <c r="G516" s="1282" t="s">
        <v>27</v>
      </c>
      <c r="H516" s="1268">
        <f>'MINI SSR 2020-21'!$H$18</f>
        <v>445</v>
      </c>
      <c r="I516" s="1280">
        <f>SUM(D516*H516/F516)</f>
        <v>73.87</v>
      </c>
      <c r="J516" s="1205" t="s">
        <v>2308</v>
      </c>
    </row>
    <row r="517" spans="1:10" hidden="1">
      <c r="A517" s="1286"/>
      <c r="B517" s="1287"/>
      <c r="C517" s="1283"/>
      <c r="D517" s="1264"/>
      <c r="E517" s="1282"/>
      <c r="F517" s="1266"/>
      <c r="G517" s="1282"/>
      <c r="H517" s="1268"/>
      <c r="I517" s="1280">
        <f>SUM(I514:I516)</f>
        <v>195.17000000000002</v>
      </c>
      <c r="J517" s="1205" t="s">
        <v>2308</v>
      </c>
    </row>
    <row r="518" spans="1:10" ht="56.25" hidden="1">
      <c r="A518" s="1295" t="s">
        <v>726</v>
      </c>
      <c r="B518" s="1263">
        <v>24</v>
      </c>
      <c r="C518" s="1270" t="s">
        <v>412</v>
      </c>
      <c r="D518" s="1274"/>
      <c r="E518" s="1265"/>
      <c r="F518" s="1274"/>
      <c r="G518" s="1265"/>
      <c r="H518" s="1270"/>
      <c r="I518" s="1270"/>
      <c r="J518" s="1205" t="s">
        <v>2308</v>
      </c>
    </row>
    <row r="519" spans="1:10" hidden="1">
      <c r="A519" s="1263"/>
      <c r="B519" s="1257"/>
      <c r="C519" s="1270" t="s">
        <v>409</v>
      </c>
      <c r="D519" s="1264"/>
      <c r="E519" s="1267"/>
      <c r="F519" s="1266"/>
      <c r="G519" s="1267"/>
      <c r="H519" s="1268"/>
      <c r="I519" s="1269"/>
      <c r="J519" s="1205" t="s">
        <v>2308</v>
      </c>
    </row>
    <row r="520" spans="1:10" hidden="1">
      <c r="A520" s="1263"/>
      <c r="B520" s="1257"/>
      <c r="C520" s="1281" t="s">
        <v>1661</v>
      </c>
      <c r="D520" s="1264">
        <v>0.1</v>
      </c>
      <c r="E520" s="1282" t="s">
        <v>27</v>
      </c>
      <c r="F520" s="1266">
        <v>1</v>
      </c>
      <c r="G520" s="1282" t="s">
        <v>27</v>
      </c>
      <c r="H520" s="1268">
        <f>'MINI SSR 2020-21'!$H$16</f>
        <v>610</v>
      </c>
      <c r="I520" s="1269">
        <f>SUM(D520*H520/F520)</f>
        <v>61</v>
      </c>
      <c r="J520" s="1205" t="s">
        <v>2308</v>
      </c>
    </row>
    <row r="521" spans="1:10" hidden="1">
      <c r="A521" s="1263"/>
      <c r="B521" s="1257"/>
      <c r="C521" s="1281" t="s">
        <v>1662</v>
      </c>
      <c r="D521" s="1264">
        <v>0.1</v>
      </c>
      <c r="E521" s="1282" t="s">
        <v>27</v>
      </c>
      <c r="F521" s="1266">
        <v>1</v>
      </c>
      <c r="G521" s="1282" t="s">
        <v>27</v>
      </c>
      <c r="H521" s="1268">
        <f>'MINI SSR 2020-21'!$H$17</f>
        <v>500</v>
      </c>
      <c r="I521" s="1269">
        <f>SUM(D521*H521/F521)</f>
        <v>50</v>
      </c>
      <c r="J521" s="1205" t="s">
        <v>2308</v>
      </c>
    </row>
    <row r="522" spans="1:10" hidden="1">
      <c r="A522" s="1263"/>
      <c r="B522" s="1257"/>
      <c r="C522" s="1270" t="s">
        <v>327</v>
      </c>
      <c r="D522" s="1264"/>
      <c r="E522" s="1282"/>
      <c r="F522" s="1266"/>
      <c r="G522" s="1282"/>
      <c r="H522" s="1268"/>
      <c r="I522" s="1269"/>
      <c r="J522" s="1205" t="s">
        <v>2308</v>
      </c>
    </row>
    <row r="523" spans="1:10" hidden="1">
      <c r="A523" s="1263"/>
      <c r="B523" s="1257"/>
      <c r="C523" s="1296" t="s">
        <v>1682</v>
      </c>
      <c r="D523" s="1264">
        <v>1</v>
      </c>
      <c r="E523" s="1267" t="s">
        <v>385</v>
      </c>
      <c r="F523" s="1266">
        <v>100</v>
      </c>
      <c r="G523" s="1267" t="s">
        <v>395</v>
      </c>
      <c r="H523" s="1268">
        <f>'MINI SSR 2020-21'!G116</f>
        <v>950</v>
      </c>
      <c r="I523" s="1269">
        <f>SUM(D523*H523/F523)</f>
        <v>9.5</v>
      </c>
      <c r="J523" s="1205" t="s">
        <v>2308</v>
      </c>
    </row>
    <row r="524" spans="1:10" hidden="1">
      <c r="A524" s="1263"/>
      <c r="B524" s="1257"/>
      <c r="C524" s="1296" t="s">
        <v>2106</v>
      </c>
      <c r="D524" s="1297">
        <v>1</v>
      </c>
      <c r="E524" s="1267" t="s">
        <v>115</v>
      </c>
      <c r="F524" s="1266">
        <v>1</v>
      </c>
      <c r="G524" s="1267" t="s">
        <v>115</v>
      </c>
      <c r="H524" s="1268">
        <f>'MINI SSR 2020-21'!G121</f>
        <v>290</v>
      </c>
      <c r="I524" s="1269">
        <f>SUM(D524*H524/F524)</f>
        <v>290</v>
      </c>
      <c r="J524" s="1205" t="s">
        <v>2308</v>
      </c>
    </row>
    <row r="525" spans="1:10" hidden="1">
      <c r="A525" s="1263"/>
      <c r="B525" s="1257"/>
      <c r="C525" s="1270" t="s">
        <v>405</v>
      </c>
      <c r="D525" s="1264"/>
      <c r="E525" s="1265"/>
      <c r="F525" s="1266"/>
      <c r="G525" s="1267"/>
      <c r="H525" s="1268"/>
      <c r="I525" s="1269">
        <f>SUM(I520:I524)</f>
        <v>410.5</v>
      </c>
      <c r="J525" s="1205" t="s">
        <v>2308</v>
      </c>
    </row>
    <row r="526" spans="1:10" hidden="1">
      <c r="A526" s="1286"/>
      <c r="B526" s="1287"/>
      <c r="C526" s="1286"/>
      <c r="D526" s="1292"/>
      <c r="E526" s="1293"/>
      <c r="F526" s="1292"/>
      <c r="G526" s="1293"/>
      <c r="H526" s="1286"/>
      <c r="I526" s="1286"/>
      <c r="J526" s="1205" t="s">
        <v>2308</v>
      </c>
    </row>
    <row r="527" spans="1:10" ht="67.5" hidden="1">
      <c r="A527" s="1295" t="s">
        <v>727</v>
      </c>
      <c r="B527" s="1263">
        <v>25</v>
      </c>
      <c r="C527" s="1270" t="s">
        <v>698</v>
      </c>
      <c r="D527" s="1274"/>
      <c r="E527" s="1265"/>
      <c r="F527" s="1274"/>
      <c r="G527" s="1265"/>
      <c r="H527" s="1270"/>
      <c r="I527" s="1270"/>
      <c r="J527" s="1205" t="s">
        <v>2308</v>
      </c>
    </row>
    <row r="528" spans="1:10" hidden="1">
      <c r="A528" s="1263"/>
      <c r="B528" s="1257"/>
      <c r="C528" s="1270" t="s">
        <v>409</v>
      </c>
      <c r="D528" s="1264"/>
      <c r="E528" s="1267"/>
      <c r="F528" s="1266"/>
      <c r="G528" s="1267"/>
      <c r="H528" s="1268"/>
      <c r="I528" s="1269"/>
      <c r="J528" s="1205" t="s">
        <v>2308</v>
      </c>
    </row>
    <row r="529" spans="1:10" hidden="1">
      <c r="A529" s="1263"/>
      <c r="B529" s="1257"/>
      <c r="C529" s="1281" t="s">
        <v>699</v>
      </c>
      <c r="D529" s="1264">
        <v>0.5</v>
      </c>
      <c r="E529" s="1282" t="s">
        <v>27</v>
      </c>
      <c r="F529" s="1266">
        <v>1</v>
      </c>
      <c r="G529" s="1282" t="s">
        <v>27</v>
      </c>
      <c r="H529" s="1268">
        <f>'MINI SSR 2020-21'!$H$16</f>
        <v>610</v>
      </c>
      <c r="I529" s="1269">
        <f>SUM(D529*H529/F529)</f>
        <v>305</v>
      </c>
      <c r="J529" s="1205" t="s">
        <v>2308</v>
      </c>
    </row>
    <row r="530" spans="1:10" hidden="1">
      <c r="A530" s="1263"/>
      <c r="B530" s="1257"/>
      <c r="C530" s="1281" t="s">
        <v>219</v>
      </c>
      <c r="D530" s="1264">
        <v>0.5</v>
      </c>
      <c r="E530" s="1282" t="s">
        <v>27</v>
      </c>
      <c r="F530" s="1266">
        <v>1</v>
      </c>
      <c r="G530" s="1282" t="s">
        <v>27</v>
      </c>
      <c r="H530" s="1268">
        <f>'MINI SSR 2020-21'!$H$17</f>
        <v>500</v>
      </c>
      <c r="I530" s="1269">
        <f>SUM(D530*H530/F530)</f>
        <v>250</v>
      </c>
      <c r="J530" s="1205" t="s">
        <v>2308</v>
      </c>
    </row>
    <row r="531" spans="1:10" hidden="1">
      <c r="A531" s="1263"/>
      <c r="B531" s="1257"/>
      <c r="C531" s="1281" t="s">
        <v>700</v>
      </c>
      <c r="D531" s="1264">
        <v>1</v>
      </c>
      <c r="E531" s="1282" t="s">
        <v>27</v>
      </c>
      <c r="F531" s="1266">
        <v>1</v>
      </c>
      <c r="G531" s="1282" t="s">
        <v>27</v>
      </c>
      <c r="H531" s="1268">
        <f>'MINI SSR 2020-21'!$H$18</f>
        <v>445</v>
      </c>
      <c r="I531" s="1280">
        <f>SUM(D531*H531/F531)</f>
        <v>445</v>
      </c>
      <c r="J531" s="1205" t="s">
        <v>2308</v>
      </c>
    </row>
    <row r="532" spans="1:10" hidden="1">
      <c r="A532" s="1263"/>
      <c r="B532" s="1257"/>
      <c r="C532" s="1270" t="s">
        <v>327</v>
      </c>
      <c r="D532" s="1264"/>
      <c r="E532" s="1282"/>
      <c r="F532" s="1266"/>
      <c r="G532" s="1282"/>
      <c r="H532" s="1268"/>
      <c r="I532" s="1269"/>
      <c r="J532" s="1205" t="s">
        <v>2308</v>
      </c>
    </row>
    <row r="533" spans="1:10" ht="22.5" hidden="1">
      <c r="A533" s="1263"/>
      <c r="B533" s="1263"/>
      <c r="C533" s="1270" t="s">
        <v>701</v>
      </c>
      <c r="D533" s="1303">
        <v>1</v>
      </c>
      <c r="E533" s="1265" t="s">
        <v>325</v>
      </c>
      <c r="F533" s="1303">
        <v>1</v>
      </c>
      <c r="G533" s="1265" t="s">
        <v>115</v>
      </c>
      <c r="H533" s="1295">
        <f>'MINI SSR 2020-21'!G122</f>
        <v>875</v>
      </c>
      <c r="I533" s="1304">
        <f>SUM(D533*H533/F533)</f>
        <v>875</v>
      </c>
      <c r="J533" s="1205" t="s">
        <v>2308</v>
      </c>
    </row>
    <row r="534" spans="1:10" hidden="1">
      <c r="A534" s="1263"/>
      <c r="B534" s="1257"/>
      <c r="C534" s="1296" t="s">
        <v>702</v>
      </c>
      <c r="D534" s="1297">
        <v>1</v>
      </c>
      <c r="E534" s="1267" t="s">
        <v>325</v>
      </c>
      <c r="F534" s="1266">
        <v>1</v>
      </c>
      <c r="G534" s="1267" t="s">
        <v>115</v>
      </c>
      <c r="H534" s="1295">
        <f>'MINI SSR 2020-21'!G123</f>
        <v>360</v>
      </c>
      <c r="I534" s="1269">
        <f>SUM(D534*H534/F534)</f>
        <v>360</v>
      </c>
      <c r="J534" s="1205" t="s">
        <v>2308</v>
      </c>
    </row>
    <row r="535" spans="1:10" hidden="1">
      <c r="A535" s="1263"/>
      <c r="B535" s="1257"/>
      <c r="C535" s="1296" t="s">
        <v>703</v>
      </c>
      <c r="D535" s="1297">
        <v>4</v>
      </c>
      <c r="E535" s="1267" t="s">
        <v>325</v>
      </c>
      <c r="F535" s="1266">
        <v>1</v>
      </c>
      <c r="G535" s="1267" t="s">
        <v>115</v>
      </c>
      <c r="H535" s="1295">
        <f>'MINI SSR 2020-21'!G124</f>
        <v>190</v>
      </c>
      <c r="I535" s="1269">
        <f>SUM(D535*H535/F535)</f>
        <v>760</v>
      </c>
      <c r="J535" s="1205" t="s">
        <v>2308</v>
      </c>
    </row>
    <row r="536" spans="1:10" hidden="1">
      <c r="A536" s="1263"/>
      <c r="B536" s="1305"/>
      <c r="C536" s="1275" t="s">
        <v>388</v>
      </c>
      <c r="D536" s="1306"/>
      <c r="E536" s="1307"/>
      <c r="F536" s="1284"/>
      <c r="G536" s="1301"/>
      <c r="H536" s="1302"/>
      <c r="I536" s="1308">
        <f>SUM(I529:I535)</f>
        <v>2995</v>
      </c>
      <c r="J536" s="1205" t="s">
        <v>2308</v>
      </c>
    </row>
    <row r="537" spans="1:10" ht="45" hidden="1">
      <c r="A537" s="1295"/>
      <c r="B537" s="1263">
        <v>26</v>
      </c>
      <c r="C537" s="1270" t="s">
        <v>941</v>
      </c>
      <c r="D537" s="1274"/>
      <c r="E537" s="1265"/>
      <c r="F537" s="1274"/>
      <c r="G537" s="1265"/>
      <c r="H537" s="1270"/>
      <c r="I537" s="1270"/>
      <c r="J537" s="1205" t="s">
        <v>2308</v>
      </c>
    </row>
    <row r="538" spans="1:10" hidden="1">
      <c r="A538" s="1263"/>
      <c r="B538" s="1257"/>
      <c r="C538" s="1270" t="s">
        <v>327</v>
      </c>
      <c r="D538" s="1264"/>
      <c r="E538" s="1282"/>
      <c r="F538" s="1266"/>
      <c r="G538" s="1282"/>
      <c r="H538" s="1268"/>
      <c r="I538" s="1269"/>
      <c r="J538" s="1205" t="s">
        <v>2308</v>
      </c>
    </row>
    <row r="539" spans="1:10" hidden="1">
      <c r="A539" s="1263"/>
      <c r="B539" s="1263"/>
      <c r="C539" s="1270" t="s">
        <v>942</v>
      </c>
      <c r="D539" s="1303">
        <v>2</v>
      </c>
      <c r="E539" s="1265" t="s">
        <v>325</v>
      </c>
      <c r="F539" s="1303">
        <v>1</v>
      </c>
      <c r="G539" s="1265" t="s">
        <v>115</v>
      </c>
      <c r="H539" s="1295">
        <f>'MINI SSR 2020-21'!G125</f>
        <v>100</v>
      </c>
      <c r="I539" s="1304">
        <f>SUM(D539*H539/F539)</f>
        <v>200</v>
      </c>
      <c r="J539" s="1205" t="s">
        <v>2308</v>
      </c>
    </row>
    <row r="540" spans="1:10" hidden="1">
      <c r="A540" s="1263"/>
      <c r="B540" s="1257"/>
      <c r="C540" s="1296" t="s">
        <v>943</v>
      </c>
      <c r="D540" s="1297">
        <v>4</v>
      </c>
      <c r="E540" s="1267" t="s">
        <v>277</v>
      </c>
      <c r="F540" s="1266">
        <v>1</v>
      </c>
      <c r="G540" s="1267" t="s">
        <v>115</v>
      </c>
      <c r="H540" s="1268">
        <f>'MINI SSR 2020-21'!G126/100</f>
        <v>51</v>
      </c>
      <c r="I540" s="1269">
        <f>SUM(D540*H540/F540)</f>
        <v>204</v>
      </c>
      <c r="J540" s="1205" t="s">
        <v>2308</v>
      </c>
    </row>
    <row r="541" spans="1:10" hidden="1">
      <c r="A541" s="1263"/>
      <c r="B541" s="1257"/>
      <c r="C541" s="1296" t="s">
        <v>944</v>
      </c>
      <c r="D541" s="1297">
        <v>1</v>
      </c>
      <c r="E541" s="1267" t="s">
        <v>325</v>
      </c>
      <c r="F541" s="1266">
        <v>1</v>
      </c>
      <c r="G541" s="1267" t="s">
        <v>115</v>
      </c>
      <c r="H541" s="1268">
        <f>'MINI SSR 2020-21'!G127</f>
        <v>190</v>
      </c>
      <c r="I541" s="1269">
        <f>SUM(D541*H541/F541)</f>
        <v>190</v>
      </c>
      <c r="J541" s="1205" t="s">
        <v>2308</v>
      </c>
    </row>
    <row r="542" spans="1:10" hidden="1">
      <c r="A542" s="1263"/>
      <c r="B542" s="1257"/>
      <c r="C542" s="1270" t="s">
        <v>409</v>
      </c>
      <c r="D542" s="1264"/>
      <c r="E542" s="1267"/>
      <c r="F542" s="1266"/>
      <c r="G542" s="1267"/>
      <c r="H542" s="1268"/>
      <c r="I542" s="1269"/>
      <c r="J542" s="1205" t="s">
        <v>2308</v>
      </c>
    </row>
    <row r="543" spans="1:10" hidden="1">
      <c r="A543" s="1263"/>
      <c r="B543" s="1257"/>
      <c r="C543" s="1281" t="s">
        <v>699</v>
      </c>
      <c r="D543" s="1264">
        <v>0.2</v>
      </c>
      <c r="E543" s="1282" t="s">
        <v>27</v>
      </c>
      <c r="F543" s="1266">
        <v>1</v>
      </c>
      <c r="G543" s="1282" t="s">
        <v>27</v>
      </c>
      <c r="H543" s="1268">
        <f>'MINI SSR 2020-21'!$H$16</f>
        <v>610</v>
      </c>
      <c r="I543" s="1269">
        <f>SUM(D543*H543/F543)</f>
        <v>122</v>
      </c>
      <c r="J543" s="1205" t="s">
        <v>2308</v>
      </c>
    </row>
    <row r="544" spans="1:10" hidden="1">
      <c r="A544" s="1263"/>
      <c r="B544" s="1257"/>
      <c r="C544" s="1281" t="s">
        <v>219</v>
      </c>
      <c r="D544" s="1264">
        <v>0.2</v>
      </c>
      <c r="E544" s="1282" t="s">
        <v>27</v>
      </c>
      <c r="F544" s="1266">
        <v>1</v>
      </c>
      <c r="G544" s="1282" t="s">
        <v>27</v>
      </c>
      <c r="H544" s="1268">
        <f>'MINI SSR 2020-21'!$H$17</f>
        <v>500</v>
      </c>
      <c r="I544" s="1269">
        <f>SUM(D544*H544/F544)</f>
        <v>100</v>
      </c>
      <c r="J544" s="1205" t="s">
        <v>2308</v>
      </c>
    </row>
    <row r="545" spans="1:10" hidden="1">
      <c r="A545" s="1263"/>
      <c r="B545" s="1257"/>
      <c r="C545" s="1281" t="s">
        <v>700</v>
      </c>
      <c r="D545" s="1264">
        <v>0.2</v>
      </c>
      <c r="E545" s="1282" t="s">
        <v>27</v>
      </c>
      <c r="F545" s="1266">
        <v>1</v>
      </c>
      <c r="G545" s="1282" t="s">
        <v>27</v>
      </c>
      <c r="H545" s="1268">
        <f>'MINI SSR 2020-21'!$H$18</f>
        <v>445</v>
      </c>
      <c r="I545" s="1280">
        <f>SUM(D545*H545/F545)</f>
        <v>89</v>
      </c>
      <c r="J545" s="1205" t="s">
        <v>2308</v>
      </c>
    </row>
    <row r="546" spans="1:10" hidden="1">
      <c r="A546" s="1263"/>
      <c r="B546" s="1305"/>
      <c r="C546" s="1275" t="s">
        <v>388</v>
      </c>
      <c r="D546" s="1306"/>
      <c r="E546" s="1307"/>
      <c r="F546" s="1284"/>
      <c r="G546" s="1301"/>
      <c r="H546" s="1302"/>
      <c r="I546" s="1308">
        <f>SUM(I539:I545)</f>
        <v>905</v>
      </c>
      <c r="J546" s="1205" t="s">
        <v>2308</v>
      </c>
    </row>
    <row r="547" spans="1:10" ht="78.75" hidden="1">
      <c r="A547" s="1295" t="s">
        <v>728</v>
      </c>
      <c r="B547" s="1257">
        <v>27</v>
      </c>
      <c r="C547" s="1270" t="s">
        <v>413</v>
      </c>
      <c r="D547" s="1274"/>
      <c r="E547" s="1265"/>
      <c r="F547" s="1274"/>
      <c r="G547" s="1265"/>
      <c r="H547" s="1270"/>
      <c r="I547" s="1270"/>
      <c r="J547" s="1205" t="s">
        <v>2308</v>
      </c>
    </row>
    <row r="548" spans="1:10" hidden="1">
      <c r="A548" s="1257"/>
      <c r="B548" s="1257"/>
      <c r="C548" s="1309" t="s">
        <v>414</v>
      </c>
      <c r="D548" s="1310"/>
      <c r="E548" s="1311"/>
      <c r="F548" s="1266"/>
      <c r="G548" s="1311"/>
      <c r="H548" s="1268"/>
      <c r="I548" s="1269"/>
      <c r="J548" s="1205" t="s">
        <v>2308</v>
      </c>
    </row>
    <row r="549" spans="1:10" hidden="1">
      <c r="A549" s="1257"/>
      <c r="B549" s="1257"/>
      <c r="C549" s="1281" t="s">
        <v>1662</v>
      </c>
      <c r="D549" s="1264">
        <v>0.5</v>
      </c>
      <c r="E549" s="1267" t="s">
        <v>325</v>
      </c>
      <c r="F549" s="1266">
        <v>1</v>
      </c>
      <c r="G549" s="1267" t="s">
        <v>115</v>
      </c>
      <c r="H549" s="1268">
        <f>'MINI SSR 2020-21'!$H$17</f>
        <v>500</v>
      </c>
      <c r="I549" s="1269">
        <f>SUM(D549*H549/F549)</f>
        <v>250</v>
      </c>
      <c r="J549" s="1205" t="s">
        <v>2308</v>
      </c>
    </row>
    <row r="550" spans="1:10" hidden="1">
      <c r="A550" s="1257"/>
      <c r="B550" s="1257"/>
      <c r="C550" s="1281" t="s">
        <v>700</v>
      </c>
      <c r="D550" s="1264">
        <v>0.5</v>
      </c>
      <c r="E550" s="1282" t="s">
        <v>27</v>
      </c>
      <c r="F550" s="1266">
        <v>1</v>
      </c>
      <c r="G550" s="1282" t="s">
        <v>27</v>
      </c>
      <c r="H550" s="1268">
        <f>'MINI SSR 2020-21'!$H$18</f>
        <v>445</v>
      </c>
      <c r="I550" s="1280">
        <f>SUM(D550*H550/F550)</f>
        <v>222.5</v>
      </c>
      <c r="J550" s="1205" t="s">
        <v>2308</v>
      </c>
    </row>
    <row r="551" spans="1:10" hidden="1">
      <c r="A551" s="1257"/>
      <c r="B551" s="1257"/>
      <c r="C551" s="1270" t="s">
        <v>106</v>
      </c>
      <c r="D551" s="1264"/>
      <c r="E551" s="1267"/>
      <c r="F551" s="1266"/>
      <c r="G551" s="1267"/>
      <c r="H551" s="1268"/>
      <c r="I551" s="1269"/>
      <c r="J551" s="1205" t="s">
        <v>2308</v>
      </c>
    </row>
    <row r="552" spans="1:10" hidden="1">
      <c r="A552" s="1257"/>
      <c r="B552" s="1257"/>
      <c r="C552" s="1281" t="s">
        <v>729</v>
      </c>
      <c r="D552" s="1264">
        <v>2.5</v>
      </c>
      <c r="E552" s="1311" t="s">
        <v>385</v>
      </c>
      <c r="F552" s="1266">
        <v>1</v>
      </c>
      <c r="G552" s="1311" t="s">
        <v>385</v>
      </c>
      <c r="H552" s="1268">
        <f>'MINI SSR 2020-21'!G128</f>
        <v>350</v>
      </c>
      <c r="I552" s="1269">
        <f t="shared" ref="I552:I562" si="3">SUM(D552*H552/F552)</f>
        <v>875</v>
      </c>
      <c r="J552" s="1205" t="s">
        <v>2308</v>
      </c>
    </row>
    <row r="553" spans="1:10" hidden="1">
      <c r="A553" s="1257"/>
      <c r="B553" s="1257"/>
      <c r="C553" s="1270" t="s">
        <v>730</v>
      </c>
      <c r="D553" s="1264">
        <v>0.24</v>
      </c>
      <c r="E553" s="1311" t="s">
        <v>141</v>
      </c>
      <c r="F553" s="1266">
        <v>1</v>
      </c>
      <c r="G553" s="1311" t="s">
        <v>4</v>
      </c>
      <c r="H553" s="1268">
        <f>'MINI SSR 2020-21'!G129</f>
        <v>65</v>
      </c>
      <c r="I553" s="1269">
        <f t="shared" si="3"/>
        <v>15.6</v>
      </c>
      <c r="J553" s="1205" t="s">
        <v>2308</v>
      </c>
    </row>
    <row r="554" spans="1:10" hidden="1">
      <c r="A554" s="1257"/>
      <c r="B554" s="1257"/>
      <c r="C554" s="1270" t="s">
        <v>731</v>
      </c>
      <c r="D554" s="1264">
        <v>0.83</v>
      </c>
      <c r="E554" s="1311" t="s">
        <v>141</v>
      </c>
      <c r="F554" s="1266">
        <v>1</v>
      </c>
      <c r="G554" s="1311" t="s">
        <v>90</v>
      </c>
      <c r="H554" s="1268">
        <f>'MINI SSR 2020-21'!G130</f>
        <v>65</v>
      </c>
      <c r="I554" s="1269">
        <f t="shared" si="3"/>
        <v>53.949999999999996</v>
      </c>
      <c r="J554" s="1205" t="s">
        <v>2308</v>
      </c>
    </row>
    <row r="555" spans="1:10" hidden="1">
      <c r="A555" s="1257"/>
      <c r="B555" s="1257"/>
      <c r="C555" s="1281" t="s">
        <v>732</v>
      </c>
      <c r="D555" s="1264">
        <v>16</v>
      </c>
      <c r="E555" s="1311" t="s">
        <v>325</v>
      </c>
      <c r="F555" s="1266">
        <v>1</v>
      </c>
      <c r="G555" s="1267" t="s">
        <v>115</v>
      </c>
      <c r="H555" s="1268">
        <f>'MINI SSR 2020-21'!G131</f>
        <v>6</v>
      </c>
      <c r="I555" s="1269">
        <f t="shared" si="3"/>
        <v>96</v>
      </c>
      <c r="J555" s="1205" t="s">
        <v>2308</v>
      </c>
    </row>
    <row r="556" spans="1:10" hidden="1">
      <c r="A556" s="1257"/>
      <c r="B556" s="1257"/>
      <c r="C556" s="1281" t="s">
        <v>733</v>
      </c>
      <c r="D556" s="1264">
        <v>2</v>
      </c>
      <c r="E556" s="1311" t="s">
        <v>415</v>
      </c>
      <c r="F556" s="1266">
        <v>1</v>
      </c>
      <c r="G556" s="1311" t="s">
        <v>416</v>
      </c>
      <c r="H556" s="1268">
        <f>'MINI SSR 2020-21'!G132</f>
        <v>12</v>
      </c>
      <c r="I556" s="1269">
        <f t="shared" si="3"/>
        <v>24</v>
      </c>
      <c r="J556" s="1205" t="s">
        <v>2308</v>
      </c>
    </row>
    <row r="557" spans="1:10" hidden="1">
      <c r="A557" s="1257"/>
      <c r="B557" s="1257"/>
      <c r="C557" s="1281" t="s">
        <v>734</v>
      </c>
      <c r="D557" s="1264">
        <v>1</v>
      </c>
      <c r="E557" s="1267" t="s">
        <v>115</v>
      </c>
      <c r="F557" s="1266">
        <v>1</v>
      </c>
      <c r="G557" s="1267" t="s">
        <v>115</v>
      </c>
      <c r="H557" s="1268">
        <f>'MINI SSR 2020-21'!G133</f>
        <v>250</v>
      </c>
      <c r="I557" s="1269">
        <f t="shared" si="3"/>
        <v>250</v>
      </c>
      <c r="J557" s="1205" t="s">
        <v>2308</v>
      </c>
    </row>
    <row r="558" spans="1:10" hidden="1">
      <c r="A558" s="1257"/>
      <c r="B558" s="1257"/>
      <c r="C558" s="1281" t="s">
        <v>735</v>
      </c>
      <c r="D558" s="1264">
        <v>1</v>
      </c>
      <c r="E558" s="1311" t="s">
        <v>115</v>
      </c>
      <c r="F558" s="1266">
        <v>1</v>
      </c>
      <c r="G558" s="1311" t="s">
        <v>115</v>
      </c>
      <c r="H558" s="1268">
        <f>'MINI SSR 2020-21'!G134</f>
        <v>130</v>
      </c>
      <c r="I558" s="1269">
        <f t="shared" si="3"/>
        <v>130</v>
      </c>
      <c r="J558" s="1205" t="s">
        <v>2308</v>
      </c>
    </row>
    <row r="559" spans="1:10" hidden="1">
      <c r="A559" s="1257"/>
      <c r="B559" s="1257"/>
      <c r="C559" s="1281" t="s">
        <v>736</v>
      </c>
      <c r="D559" s="1264">
        <v>40</v>
      </c>
      <c r="E559" s="1311" t="s">
        <v>4</v>
      </c>
      <c r="F559" s="1266">
        <v>1</v>
      </c>
      <c r="G559" s="1311" t="s">
        <v>4</v>
      </c>
      <c r="H559" s="1268">
        <f>'MINI SSR 2020-21'!G135</f>
        <v>20</v>
      </c>
      <c r="I559" s="1269">
        <f t="shared" si="3"/>
        <v>800</v>
      </c>
      <c r="J559" s="1205" t="s">
        <v>2308</v>
      </c>
    </row>
    <row r="560" spans="1:10" hidden="1">
      <c r="A560" s="1257"/>
      <c r="B560" s="1257"/>
      <c r="C560" s="1281" t="s">
        <v>737</v>
      </c>
      <c r="D560" s="1264">
        <v>20</v>
      </c>
      <c r="E560" s="1311" t="s">
        <v>4</v>
      </c>
      <c r="F560" s="1266">
        <v>1</v>
      </c>
      <c r="G560" s="1311" t="s">
        <v>4</v>
      </c>
      <c r="H560" s="1268">
        <f>'MINI SSR 2020-21'!G136</f>
        <v>15</v>
      </c>
      <c r="I560" s="1269">
        <f t="shared" si="3"/>
        <v>300</v>
      </c>
      <c r="J560" s="1205" t="s">
        <v>2308</v>
      </c>
    </row>
    <row r="561" spans="1:10" ht="22.5" hidden="1">
      <c r="A561" s="1257"/>
      <c r="B561" s="1257"/>
      <c r="C561" s="1270" t="s">
        <v>738</v>
      </c>
      <c r="D561" s="1264">
        <v>0.65</v>
      </c>
      <c r="E561" s="1267" t="s">
        <v>35</v>
      </c>
      <c r="F561" s="1266">
        <v>1</v>
      </c>
      <c r="G561" s="1267" t="s">
        <v>35</v>
      </c>
      <c r="H561" s="1268">
        <f>'MINI SSR 2020-21'!G137</f>
        <v>250</v>
      </c>
      <c r="I561" s="1269">
        <f t="shared" si="3"/>
        <v>162.5</v>
      </c>
      <c r="J561" s="1205" t="s">
        <v>2308</v>
      </c>
    </row>
    <row r="562" spans="1:10" ht="22.5" hidden="1">
      <c r="A562" s="1257"/>
      <c r="B562" s="1257"/>
      <c r="C562" s="1270" t="s">
        <v>739</v>
      </c>
      <c r="D562" s="1264">
        <v>0.65</v>
      </c>
      <c r="E562" s="1267" t="s">
        <v>35</v>
      </c>
      <c r="F562" s="1266">
        <v>1</v>
      </c>
      <c r="G562" s="1267" t="s">
        <v>35</v>
      </c>
      <c r="H562" s="1268">
        <f>'MINI SSR 2020-21'!G138</f>
        <v>250</v>
      </c>
      <c r="I562" s="1269">
        <f t="shared" si="3"/>
        <v>162.5</v>
      </c>
      <c r="J562" s="1205" t="s">
        <v>2308</v>
      </c>
    </row>
    <row r="563" spans="1:10" ht="22.5" hidden="1">
      <c r="A563" s="1257"/>
      <c r="B563" s="1257"/>
      <c r="C563" s="1270" t="s">
        <v>417</v>
      </c>
      <c r="D563" s="1312">
        <v>0.25</v>
      </c>
      <c r="E563" s="1311"/>
      <c r="F563" s="1266"/>
      <c r="G563" s="1311"/>
      <c r="H563" s="1268">
        <f>I561+I562</f>
        <v>325</v>
      </c>
      <c r="I563" s="1269">
        <f>SUM(H563*D563)</f>
        <v>81.25</v>
      </c>
      <c r="J563" s="1205" t="s">
        <v>2308</v>
      </c>
    </row>
    <row r="564" spans="1:10" hidden="1">
      <c r="A564" s="1257"/>
      <c r="B564" s="1257"/>
      <c r="C564" s="1270" t="s">
        <v>418</v>
      </c>
      <c r="D564" s="1264"/>
      <c r="E564" s="1267"/>
      <c r="F564" s="1266"/>
      <c r="G564" s="1267"/>
      <c r="H564" s="1268"/>
      <c r="I564" s="1269">
        <v>9.52</v>
      </c>
      <c r="J564" s="1205" t="s">
        <v>2308</v>
      </c>
    </row>
    <row r="565" spans="1:10" hidden="1">
      <c r="A565" s="1257"/>
      <c r="B565" s="1257"/>
      <c r="C565" s="1270" t="s">
        <v>405</v>
      </c>
      <c r="D565" s="1264"/>
      <c r="E565" s="1267"/>
      <c r="F565" s="1266"/>
      <c r="G565" s="1267"/>
      <c r="H565" s="1268"/>
      <c r="I565" s="1269">
        <f>SUM(I549:I564)</f>
        <v>3432.82</v>
      </c>
      <c r="J565" s="1205" t="s">
        <v>2308</v>
      </c>
    </row>
    <row r="566" spans="1:10" ht="106.5" hidden="1" customHeight="1">
      <c r="A566" s="1295"/>
      <c r="B566" s="1263">
        <v>28</v>
      </c>
      <c r="C566" s="1270" t="s">
        <v>2261</v>
      </c>
      <c r="D566" s="1274"/>
      <c r="E566" s="1265"/>
      <c r="F566" s="1274"/>
      <c r="G566" s="1265"/>
      <c r="H566" s="1270"/>
      <c r="I566" s="1270"/>
      <c r="J566" s="1205" t="s">
        <v>2308</v>
      </c>
    </row>
    <row r="567" spans="1:10" hidden="1">
      <c r="A567" s="1263"/>
      <c r="B567" s="1257"/>
      <c r="C567" s="1281" t="s">
        <v>2096</v>
      </c>
      <c r="D567" s="1264">
        <v>1</v>
      </c>
      <c r="E567" s="1282" t="s">
        <v>115</v>
      </c>
      <c r="F567" s="1266">
        <v>1</v>
      </c>
      <c r="G567" s="1282" t="s">
        <v>115</v>
      </c>
      <c r="H567" s="1268">
        <f>'MINI SSR 2020-21'!G139</f>
        <v>1980</v>
      </c>
      <c r="I567" s="1269">
        <f>SUM(D567*H567/F567)</f>
        <v>1980</v>
      </c>
      <c r="J567" s="1205" t="s">
        <v>2308</v>
      </c>
    </row>
    <row r="568" spans="1:10" hidden="1">
      <c r="A568" s="1263"/>
      <c r="B568" s="1257"/>
      <c r="C568" s="1270" t="s">
        <v>405</v>
      </c>
      <c r="D568" s="1264"/>
      <c r="E568" s="1265"/>
      <c r="F568" s="1266"/>
      <c r="G568" s="1267"/>
      <c r="H568" s="1268"/>
      <c r="I568" s="1269">
        <f>SUM(I567:I567)</f>
        <v>1980</v>
      </c>
      <c r="J568" s="1205" t="s">
        <v>2308</v>
      </c>
    </row>
    <row r="569" spans="1:10" ht="106.5" hidden="1" customHeight="1">
      <c r="A569" s="1295"/>
      <c r="B569" s="1263">
        <v>28</v>
      </c>
      <c r="C569" s="1270" t="s">
        <v>2262</v>
      </c>
      <c r="D569" s="1274"/>
      <c r="E569" s="1265"/>
      <c r="F569" s="1274"/>
      <c r="G569" s="1265"/>
      <c r="H569" s="1270"/>
      <c r="I569" s="1270"/>
      <c r="J569" s="1205" t="s">
        <v>2308</v>
      </c>
    </row>
    <row r="570" spans="1:10" hidden="1">
      <c r="A570" s="1263"/>
      <c r="B570" s="1257"/>
      <c r="C570" s="1281" t="s">
        <v>2269</v>
      </c>
      <c r="D570" s="1264">
        <v>1</v>
      </c>
      <c r="E570" s="1282" t="s">
        <v>115</v>
      </c>
      <c r="F570" s="1266">
        <v>1</v>
      </c>
      <c r="G570" s="1282" t="s">
        <v>115</v>
      </c>
      <c r="H570" s="1268">
        <f>'MINI SSR 2020-21'!G140</f>
        <v>5900</v>
      </c>
      <c r="I570" s="1269">
        <f>SUM(D570*H570/F570)</f>
        <v>5900</v>
      </c>
      <c r="J570" s="1205" t="s">
        <v>2308</v>
      </c>
    </row>
    <row r="571" spans="1:10" hidden="1">
      <c r="A571" s="1263"/>
      <c r="B571" s="1257"/>
      <c r="C571" s="1270" t="s">
        <v>405</v>
      </c>
      <c r="D571" s="1264"/>
      <c r="E571" s="1265"/>
      <c r="F571" s="1266"/>
      <c r="G571" s="1267"/>
      <c r="H571" s="1268"/>
      <c r="I571" s="1269">
        <f>SUM(I570:I570)</f>
        <v>5900</v>
      </c>
      <c r="J571" s="1205" t="s">
        <v>2308</v>
      </c>
    </row>
    <row r="572" spans="1:10" hidden="1">
      <c r="A572" s="1263"/>
      <c r="B572" s="1257"/>
      <c r="C572" s="1257" t="s">
        <v>2319</v>
      </c>
      <c r="D572" s="1264"/>
      <c r="E572" s="1265"/>
      <c r="F572" s="1266"/>
      <c r="G572" s="1267"/>
      <c r="H572" s="1268"/>
      <c r="I572" s="1269"/>
      <c r="J572" s="1205" t="s">
        <v>2321</v>
      </c>
    </row>
    <row r="573" spans="1:10" ht="33.75" hidden="1">
      <c r="A573" s="1268" t="s">
        <v>1497</v>
      </c>
      <c r="B573" s="1257">
        <v>1</v>
      </c>
      <c r="C573" s="1270" t="s">
        <v>1506</v>
      </c>
      <c r="D573" s="1271"/>
      <c r="E573" s="1272"/>
      <c r="F573" s="1271"/>
      <c r="G573" s="1272"/>
      <c r="H573" s="1273"/>
      <c r="I573" s="1273"/>
      <c r="J573" s="1205" t="s">
        <v>2321</v>
      </c>
    </row>
    <row r="574" spans="1:10" hidden="1">
      <c r="A574" s="1263"/>
      <c r="B574" s="1257"/>
      <c r="C574" s="1270" t="s">
        <v>1498</v>
      </c>
      <c r="D574" s="1274"/>
      <c r="E574" s="1265"/>
      <c r="F574" s="1274"/>
      <c r="G574" s="1265"/>
      <c r="H574" s="1270"/>
      <c r="I574" s="1270"/>
      <c r="J574" s="1205" t="s">
        <v>2321</v>
      </c>
    </row>
    <row r="575" spans="1:10" hidden="1">
      <c r="A575" s="1263"/>
      <c r="B575" s="1257"/>
      <c r="C575" s="1275" t="s">
        <v>384</v>
      </c>
      <c r="D575" s="1276"/>
      <c r="E575" s="1277"/>
      <c r="F575" s="1278"/>
      <c r="G575" s="1279"/>
      <c r="H575" s="1268"/>
      <c r="I575" s="1280"/>
      <c r="J575" s="1205" t="s">
        <v>2321</v>
      </c>
    </row>
    <row r="576" spans="1:10" hidden="1">
      <c r="A576" s="1263"/>
      <c r="B576" s="1257"/>
      <c r="C576" s="1281" t="s">
        <v>156</v>
      </c>
      <c r="D576" s="1264">
        <v>2</v>
      </c>
      <c r="E576" s="1282" t="s">
        <v>27</v>
      </c>
      <c r="F576" s="1266">
        <v>1</v>
      </c>
      <c r="G576" s="1282" t="s">
        <v>27</v>
      </c>
      <c r="H576" s="1268">
        <f>'MINI SSR 21-22'!$H$16</f>
        <v>650</v>
      </c>
      <c r="I576" s="1280">
        <f>SUM(D576*H576/F576)</f>
        <v>1300</v>
      </c>
      <c r="J576" s="1205" t="s">
        <v>2321</v>
      </c>
    </row>
    <row r="577" spans="1:10" hidden="1">
      <c r="A577" s="1263"/>
      <c r="B577" s="1257"/>
      <c r="C577" s="1283" t="s">
        <v>1501</v>
      </c>
      <c r="D577" s="1264">
        <v>2</v>
      </c>
      <c r="E577" s="1282" t="s">
        <v>27</v>
      </c>
      <c r="F577" s="1266">
        <v>1</v>
      </c>
      <c r="G577" s="1282" t="s">
        <v>27</v>
      </c>
      <c r="H577" s="1268">
        <f>'MINI SSR 21-22'!$H$17</f>
        <v>530</v>
      </c>
      <c r="I577" s="1280">
        <f>SUM(D577*H577/F577)</f>
        <v>1060</v>
      </c>
      <c r="J577" s="1205" t="s">
        <v>2321</v>
      </c>
    </row>
    <row r="578" spans="1:10" hidden="1">
      <c r="A578" s="1263"/>
      <c r="B578" s="1257"/>
      <c r="C578" s="1281" t="s">
        <v>1502</v>
      </c>
      <c r="D578" s="1264">
        <v>2</v>
      </c>
      <c r="E578" s="1282" t="s">
        <v>27</v>
      </c>
      <c r="F578" s="1266">
        <v>1</v>
      </c>
      <c r="G578" s="1282" t="s">
        <v>27</v>
      </c>
      <c r="H578" s="1268">
        <f>'MINI SSR 21-22'!$H$18</f>
        <v>470</v>
      </c>
      <c r="I578" s="1280">
        <f>SUM(D578*H578/F578)</f>
        <v>940</v>
      </c>
      <c r="J578" s="1205" t="s">
        <v>2321</v>
      </c>
    </row>
    <row r="579" spans="1:10" hidden="1">
      <c r="A579" s="1263"/>
      <c r="B579" s="1257"/>
      <c r="C579" s="1275" t="s">
        <v>327</v>
      </c>
      <c r="D579" s="1264"/>
      <c r="E579" s="1267"/>
      <c r="F579" s="1284"/>
      <c r="G579" s="1267"/>
      <c r="H579" s="1268"/>
      <c r="I579" s="1285"/>
      <c r="J579" s="1205" t="s">
        <v>2321</v>
      </c>
    </row>
    <row r="580" spans="1:10" hidden="1">
      <c r="A580" s="1263" t="s">
        <v>3248</v>
      </c>
      <c r="B580" s="1257"/>
      <c r="C580" s="1270" t="s">
        <v>1499</v>
      </c>
      <c r="D580" s="1264">
        <v>12</v>
      </c>
      <c r="E580" s="1282" t="s">
        <v>325</v>
      </c>
      <c r="F580" s="1266">
        <v>1</v>
      </c>
      <c r="G580" s="1282" t="s">
        <v>115</v>
      </c>
      <c r="H580" s="1268">
        <f>'MINI SSR 21-22'!C99</f>
        <v>65</v>
      </c>
      <c r="I580" s="1280">
        <f>SUM(D580*H580/F580)</f>
        <v>780</v>
      </c>
      <c r="J580" s="1205" t="s">
        <v>2321</v>
      </c>
    </row>
    <row r="581" spans="1:10" hidden="1">
      <c r="A581" s="1263" t="s">
        <v>1504</v>
      </c>
      <c r="B581" s="1257"/>
      <c r="C581" s="1270" t="s">
        <v>1500</v>
      </c>
      <c r="D581" s="1264">
        <v>12</v>
      </c>
      <c r="E581" s="1282" t="s">
        <v>325</v>
      </c>
      <c r="F581" s="1266">
        <v>1</v>
      </c>
      <c r="G581" s="1282" t="s">
        <v>115</v>
      </c>
      <c r="H581" s="1268">
        <f>'MINI SSR 21-22'!C101</f>
        <v>9</v>
      </c>
      <c r="I581" s="1280">
        <f>SUM(D581*H581/F581)</f>
        <v>108</v>
      </c>
      <c r="J581" s="1205" t="s">
        <v>2321</v>
      </c>
    </row>
    <row r="582" spans="1:10" hidden="1">
      <c r="A582" s="1263" t="s">
        <v>1505</v>
      </c>
      <c r="B582" s="1257"/>
      <c r="C582" s="1270" t="s">
        <v>1509</v>
      </c>
      <c r="D582" s="1264">
        <v>100</v>
      </c>
      <c r="E582" s="1282" t="s">
        <v>385</v>
      </c>
      <c r="F582" s="1266">
        <v>1</v>
      </c>
      <c r="G582" s="1282" t="s">
        <v>385</v>
      </c>
      <c r="H582" s="1268">
        <f>'MINI SSR 21-22'!C102</f>
        <v>28</v>
      </c>
      <c r="I582" s="1280">
        <f>SUM(D582*H582/F582)</f>
        <v>2800</v>
      </c>
      <c r="J582" s="1205" t="s">
        <v>2321</v>
      </c>
    </row>
    <row r="583" spans="1:10" hidden="1">
      <c r="A583" s="1286"/>
      <c r="B583" s="1287"/>
      <c r="C583" s="1273" t="s">
        <v>386</v>
      </c>
      <c r="D583" s="1264"/>
      <c r="E583" s="1282"/>
      <c r="F583" s="1266"/>
      <c r="G583" s="1282"/>
      <c r="H583" s="1268"/>
      <c r="I583" s="1285">
        <f>SUM(I576:I582)</f>
        <v>6988</v>
      </c>
      <c r="J583" s="1205" t="s">
        <v>2321</v>
      </c>
    </row>
    <row r="584" spans="1:10" hidden="1">
      <c r="A584" s="1286"/>
      <c r="B584" s="1287"/>
      <c r="C584" s="1273" t="s">
        <v>387</v>
      </c>
      <c r="D584" s="1288"/>
      <c r="E584" s="1282"/>
      <c r="F584" s="1266"/>
      <c r="G584" s="1282"/>
      <c r="H584" s="1289"/>
      <c r="I584" s="1285">
        <f>ROUND(I583/100,2)</f>
        <v>69.88</v>
      </c>
      <c r="J584" s="1205" t="s">
        <v>2321</v>
      </c>
    </row>
    <row r="585" spans="1:10" ht="33.75" hidden="1">
      <c r="A585" s="1268" t="s">
        <v>1660</v>
      </c>
      <c r="B585" s="1257">
        <v>2</v>
      </c>
      <c r="C585" s="1270" t="s">
        <v>1510</v>
      </c>
      <c r="D585" s="1271"/>
      <c r="E585" s="1272"/>
      <c r="F585" s="1271"/>
      <c r="G585" s="1272"/>
      <c r="H585" s="1273"/>
      <c r="I585" s="1273"/>
      <c r="J585" s="1205" t="s">
        <v>2321</v>
      </c>
    </row>
    <row r="586" spans="1:10" hidden="1">
      <c r="A586" s="1263"/>
      <c r="B586" s="1257"/>
      <c r="C586" s="1270" t="s">
        <v>1498</v>
      </c>
      <c r="D586" s="1274"/>
      <c r="E586" s="1265"/>
      <c r="F586" s="1274"/>
      <c r="G586" s="1265"/>
      <c r="H586" s="1270"/>
      <c r="I586" s="1270"/>
      <c r="J586" s="1205" t="s">
        <v>2321</v>
      </c>
    </row>
    <row r="587" spans="1:10" hidden="1">
      <c r="A587" s="1263"/>
      <c r="B587" s="1257"/>
      <c r="C587" s="1275" t="s">
        <v>384</v>
      </c>
      <c r="D587" s="1276"/>
      <c r="E587" s="1277"/>
      <c r="F587" s="1278"/>
      <c r="G587" s="1279"/>
      <c r="H587" s="1268"/>
      <c r="I587" s="1280"/>
      <c r="J587" s="1205" t="s">
        <v>2321</v>
      </c>
    </row>
    <row r="588" spans="1:10" hidden="1">
      <c r="A588" s="1263"/>
      <c r="B588" s="1257"/>
      <c r="C588" s="1281" t="s">
        <v>156</v>
      </c>
      <c r="D588" s="1264">
        <v>2</v>
      </c>
      <c r="E588" s="1282" t="s">
        <v>27</v>
      </c>
      <c r="F588" s="1266">
        <v>1</v>
      </c>
      <c r="G588" s="1282" t="s">
        <v>27</v>
      </c>
      <c r="H588" s="1268">
        <f>'MINI SSR 21-22'!$H$16</f>
        <v>650</v>
      </c>
      <c r="I588" s="1280">
        <f>SUM(D588*H588/F588)</f>
        <v>1300</v>
      </c>
      <c r="J588" s="1205" t="s">
        <v>2321</v>
      </c>
    </row>
    <row r="589" spans="1:10" hidden="1">
      <c r="A589" s="1263"/>
      <c r="B589" s="1257"/>
      <c r="C589" s="1283" t="s">
        <v>1501</v>
      </c>
      <c r="D589" s="1264">
        <v>2</v>
      </c>
      <c r="E589" s="1282" t="s">
        <v>27</v>
      </c>
      <c r="F589" s="1266">
        <v>1</v>
      </c>
      <c r="G589" s="1282" t="s">
        <v>27</v>
      </c>
      <c r="H589" s="1268">
        <f>'MINI SSR 21-22'!$H$17</f>
        <v>530</v>
      </c>
      <c r="I589" s="1280">
        <f>SUM(D589*H589/F589)</f>
        <v>1060</v>
      </c>
      <c r="J589" s="1205" t="s">
        <v>2321</v>
      </c>
    </row>
    <row r="590" spans="1:10" hidden="1">
      <c r="A590" s="1263"/>
      <c r="B590" s="1257"/>
      <c r="C590" s="1281" t="s">
        <v>1502</v>
      </c>
      <c r="D590" s="1264">
        <v>2</v>
      </c>
      <c r="E590" s="1282" t="s">
        <v>27</v>
      </c>
      <c r="F590" s="1266">
        <v>1</v>
      </c>
      <c r="G590" s="1282" t="s">
        <v>27</v>
      </c>
      <c r="H590" s="1268">
        <f>'MINI SSR 21-22'!$H$18</f>
        <v>470</v>
      </c>
      <c r="I590" s="1280">
        <f>SUM(D590*H590/F590)</f>
        <v>940</v>
      </c>
      <c r="J590" s="1205" t="s">
        <v>2321</v>
      </c>
    </row>
    <row r="591" spans="1:10" hidden="1">
      <c r="A591" s="1263"/>
      <c r="B591" s="1257"/>
      <c r="C591" s="1281" t="s">
        <v>1508</v>
      </c>
      <c r="D591" s="1264">
        <v>2</v>
      </c>
      <c r="E591" s="1282" t="s">
        <v>27</v>
      </c>
      <c r="F591" s="1266">
        <v>1</v>
      </c>
      <c r="G591" s="1282" t="s">
        <v>27</v>
      </c>
      <c r="H591" s="1268">
        <f>'MINI SSR 21-22'!$H$3</f>
        <v>585</v>
      </c>
      <c r="I591" s="1280">
        <f>SUM(D591*H591/F591)</f>
        <v>1170</v>
      </c>
      <c r="J591" s="1205" t="s">
        <v>2321</v>
      </c>
    </row>
    <row r="592" spans="1:10" hidden="1">
      <c r="A592" s="1263"/>
      <c r="B592" s="1257"/>
      <c r="C592" s="1275" t="s">
        <v>327</v>
      </c>
      <c r="D592" s="1264"/>
      <c r="E592" s="1267"/>
      <c r="F592" s="1284"/>
      <c r="G592" s="1267"/>
      <c r="H592" s="1268"/>
      <c r="I592" s="1285"/>
      <c r="J592" s="1205" t="s">
        <v>2321</v>
      </c>
    </row>
    <row r="593" spans="1:10" hidden="1">
      <c r="A593" s="1263" t="s">
        <v>1505</v>
      </c>
      <c r="B593" s="1257"/>
      <c r="C593" s="1290" t="s">
        <v>1509</v>
      </c>
      <c r="D593" s="1264">
        <v>100</v>
      </c>
      <c r="E593" s="1282" t="s">
        <v>325</v>
      </c>
      <c r="F593" s="1266">
        <v>1</v>
      </c>
      <c r="G593" s="1282" t="s">
        <v>115</v>
      </c>
      <c r="H593" s="1268">
        <f>'MINI SSR 21-22'!C102</f>
        <v>28</v>
      </c>
      <c r="I593" s="1280">
        <f>SUM(D593*H593/F593)</f>
        <v>2800</v>
      </c>
      <c r="J593" s="1205" t="s">
        <v>2321</v>
      </c>
    </row>
    <row r="594" spans="1:10" hidden="1">
      <c r="A594" s="1263" t="s">
        <v>1511</v>
      </c>
      <c r="B594" s="1257"/>
      <c r="C594" s="1291" t="s">
        <v>1507</v>
      </c>
      <c r="D594" s="1264">
        <v>200</v>
      </c>
      <c r="E594" s="1282" t="s">
        <v>325</v>
      </c>
      <c r="F594" s="1266">
        <v>100</v>
      </c>
      <c r="G594" s="1282" t="s">
        <v>115</v>
      </c>
      <c r="H594" s="1268">
        <f>'MINI SSR 21-22'!C103</f>
        <v>33</v>
      </c>
      <c r="I594" s="1280">
        <f>SUM(D594*H594/F594)</f>
        <v>66</v>
      </c>
      <c r="J594" s="1205" t="s">
        <v>2321</v>
      </c>
    </row>
    <row r="595" spans="1:10" hidden="1">
      <c r="A595" s="1263" t="s">
        <v>1503</v>
      </c>
      <c r="B595" s="1257"/>
      <c r="C595" s="1270" t="s">
        <v>1499</v>
      </c>
      <c r="D595" s="1264">
        <v>12</v>
      </c>
      <c r="E595" s="1282" t="s">
        <v>325</v>
      </c>
      <c r="F595" s="1266">
        <v>1</v>
      </c>
      <c r="G595" s="1282" t="s">
        <v>115</v>
      </c>
      <c r="H595" s="1268">
        <f>'MINI SSR 21-22'!C100</f>
        <v>22</v>
      </c>
      <c r="I595" s="1280">
        <f>SUM(D595*H595/F595)</f>
        <v>264</v>
      </c>
      <c r="J595" s="1205" t="s">
        <v>2321</v>
      </c>
    </row>
    <row r="596" spans="1:10" hidden="1">
      <c r="A596" s="1263" t="s">
        <v>1504</v>
      </c>
      <c r="B596" s="1257"/>
      <c r="C596" s="1270" t="s">
        <v>1500</v>
      </c>
      <c r="D596" s="1264">
        <v>12</v>
      </c>
      <c r="E596" s="1282" t="s">
        <v>325</v>
      </c>
      <c r="F596" s="1266">
        <v>1</v>
      </c>
      <c r="G596" s="1282" t="s">
        <v>115</v>
      </c>
      <c r="H596" s="1268">
        <f>'MINI SSR 21-22'!C101</f>
        <v>9</v>
      </c>
      <c r="I596" s="1280">
        <f>SUM(D596*H596/F596)</f>
        <v>108</v>
      </c>
      <c r="J596" s="1205" t="s">
        <v>2321</v>
      </c>
    </row>
    <row r="597" spans="1:10" hidden="1">
      <c r="A597" s="1263"/>
      <c r="B597" s="1257"/>
      <c r="C597" s="1290" t="s">
        <v>847</v>
      </c>
      <c r="D597" s="1264">
        <v>50</v>
      </c>
      <c r="E597" s="1282" t="s">
        <v>4</v>
      </c>
      <c r="F597" s="1266">
        <v>1</v>
      </c>
      <c r="G597" s="1282" t="s">
        <v>4</v>
      </c>
      <c r="H597" s="1268">
        <f>'lead 21-22'!L8/1000</f>
        <v>4.7</v>
      </c>
      <c r="I597" s="1280">
        <f>SUM(D597*H597/F597)</f>
        <v>235</v>
      </c>
      <c r="J597" s="1205" t="s">
        <v>2321</v>
      </c>
    </row>
    <row r="598" spans="1:10" hidden="1">
      <c r="A598" s="1286"/>
      <c r="B598" s="1287"/>
      <c r="C598" s="1273" t="s">
        <v>386</v>
      </c>
      <c r="D598" s="1264"/>
      <c r="E598" s="1282"/>
      <c r="F598" s="1266"/>
      <c r="G598" s="1282"/>
      <c r="H598" s="1268"/>
      <c r="I598" s="1285">
        <f>SUM(I588:I597)</f>
        <v>7943</v>
      </c>
      <c r="J598" s="1205" t="s">
        <v>2321</v>
      </c>
    </row>
    <row r="599" spans="1:10" hidden="1">
      <c r="A599" s="1286"/>
      <c r="B599" s="1287"/>
      <c r="C599" s="1273" t="s">
        <v>387</v>
      </c>
      <c r="D599" s="1288"/>
      <c r="E599" s="1282"/>
      <c r="F599" s="1266"/>
      <c r="G599" s="1282"/>
      <c r="H599" s="1289"/>
      <c r="I599" s="1285">
        <f>ROUND(I598/100,2)</f>
        <v>79.430000000000007</v>
      </c>
      <c r="J599" s="1205" t="s">
        <v>2321</v>
      </c>
    </row>
    <row r="600" spans="1:10" hidden="1">
      <c r="A600" s="1286"/>
      <c r="B600" s="1287"/>
      <c r="C600" s="1275"/>
      <c r="D600" s="1292"/>
      <c r="E600" s="1293"/>
      <c r="F600" s="1292"/>
      <c r="G600" s="1293"/>
      <c r="H600" s="1294"/>
      <c r="I600" s="1294"/>
      <c r="J600" s="1205" t="s">
        <v>2321</v>
      </c>
    </row>
    <row r="601" spans="1:10" hidden="1">
      <c r="A601" s="1286"/>
      <c r="B601" s="1287">
        <v>3</v>
      </c>
      <c r="C601" s="1270" t="s">
        <v>389</v>
      </c>
      <c r="D601" s="1271"/>
      <c r="E601" s="1272"/>
      <c r="F601" s="1271"/>
      <c r="G601" s="1272"/>
      <c r="H601" s="1273"/>
      <c r="I601" s="1273"/>
      <c r="J601" s="1205" t="s">
        <v>2321</v>
      </c>
    </row>
    <row r="602" spans="1:10" hidden="1">
      <c r="A602" s="1286"/>
      <c r="B602" s="1287"/>
      <c r="C602" s="1281" t="s">
        <v>390</v>
      </c>
      <c r="D602" s="1264">
        <v>1</v>
      </c>
      <c r="E602" s="1282" t="s">
        <v>277</v>
      </c>
      <c r="F602" s="1266">
        <v>1</v>
      </c>
      <c r="G602" s="1282" t="s">
        <v>277</v>
      </c>
      <c r="H602" s="1268">
        <f>'MINI SSR 21-22'!C104</f>
        <v>58</v>
      </c>
      <c r="I602" s="1280">
        <f>SUM(D602*H602/F602)</f>
        <v>58</v>
      </c>
      <c r="J602" s="1205" t="s">
        <v>2321</v>
      </c>
    </row>
    <row r="603" spans="1:10" hidden="1">
      <c r="A603" s="1286"/>
      <c r="B603" s="1287"/>
      <c r="C603" s="1283"/>
      <c r="D603" s="1264"/>
      <c r="E603" s="1282"/>
      <c r="F603" s="1266"/>
      <c r="G603" s="1282"/>
      <c r="H603" s="1268"/>
      <c r="I603" s="1280">
        <f>SUM(I602)</f>
        <v>58</v>
      </c>
      <c r="J603" s="1205" t="s">
        <v>2321</v>
      </c>
    </row>
    <row r="604" spans="1:10" ht="22.5" hidden="1">
      <c r="A604" s="1286"/>
      <c r="B604" s="1287">
        <v>3</v>
      </c>
      <c r="C604" s="1270" t="s">
        <v>427</v>
      </c>
      <c r="D604" s="1271"/>
      <c r="E604" s="1272"/>
      <c r="F604" s="1271"/>
      <c r="G604" s="1272"/>
      <c r="H604" s="1273"/>
      <c r="I604" s="1273"/>
      <c r="J604" s="1205" t="s">
        <v>2321</v>
      </c>
    </row>
    <row r="605" spans="1:10" hidden="1">
      <c r="A605" s="1286"/>
      <c r="B605" s="1287"/>
      <c r="C605" s="1281" t="s">
        <v>433</v>
      </c>
      <c r="D605" s="1264">
        <v>1</v>
      </c>
      <c r="E605" s="1282" t="s">
        <v>325</v>
      </c>
      <c r="F605" s="1266">
        <v>1</v>
      </c>
      <c r="G605" s="1282" t="s">
        <v>325</v>
      </c>
      <c r="H605" s="1268">
        <f>'MINI SSR 21-22'!C106</f>
        <v>226</v>
      </c>
      <c r="I605" s="1280">
        <f>SUM(D605*H605/F605)</f>
        <v>226</v>
      </c>
      <c r="J605" s="1205" t="s">
        <v>2321</v>
      </c>
    </row>
    <row r="606" spans="1:10" hidden="1">
      <c r="A606" s="1286"/>
      <c r="B606" s="1287"/>
      <c r="C606" s="1283"/>
      <c r="D606" s="1264"/>
      <c r="E606" s="1282"/>
      <c r="F606" s="1266"/>
      <c r="G606" s="1282"/>
      <c r="H606" s="1268"/>
      <c r="I606" s="1280">
        <f>SUM(I605)</f>
        <v>226</v>
      </c>
      <c r="J606" s="1205" t="s">
        <v>2321</v>
      </c>
    </row>
    <row r="607" spans="1:10" ht="22.5" hidden="1">
      <c r="A607" s="1286"/>
      <c r="B607" s="1287">
        <v>2</v>
      </c>
      <c r="C607" s="1270" t="s">
        <v>610</v>
      </c>
      <c r="D607" s="1271"/>
      <c r="E607" s="1272"/>
      <c r="F607" s="1271"/>
      <c r="G607" s="1272"/>
      <c r="H607" s="1273"/>
      <c r="I607" s="1273"/>
      <c r="J607" s="1205" t="s">
        <v>2321</v>
      </c>
    </row>
    <row r="608" spans="1:10" hidden="1">
      <c r="A608" s="1286"/>
      <c r="B608" s="1287"/>
      <c r="C608" s="1281" t="s">
        <v>611</v>
      </c>
      <c r="D608" s="1264">
        <v>1</v>
      </c>
      <c r="E608" s="1282" t="s">
        <v>325</v>
      </c>
      <c r="F608" s="1266">
        <v>1</v>
      </c>
      <c r="G608" s="1282" t="s">
        <v>325</v>
      </c>
      <c r="H608" s="1268">
        <f>'MINI SSR 21-22'!C107</f>
        <v>187</v>
      </c>
      <c r="I608" s="1280">
        <f>SUM(D608*H608/F608)</f>
        <v>187</v>
      </c>
      <c r="J608" s="1205" t="s">
        <v>2321</v>
      </c>
    </row>
    <row r="609" spans="1:10" hidden="1">
      <c r="A609" s="1286"/>
      <c r="B609" s="1287"/>
      <c r="C609" s="1283"/>
      <c r="D609" s="1264"/>
      <c r="E609" s="1282"/>
      <c r="F609" s="1266"/>
      <c r="G609" s="1282"/>
      <c r="H609" s="1268"/>
      <c r="I609" s="1280">
        <f>SUM(I608)</f>
        <v>187</v>
      </c>
      <c r="J609" s="1205" t="s">
        <v>2321</v>
      </c>
    </row>
    <row r="610" spans="1:10" ht="22.5" hidden="1">
      <c r="A610" s="1286"/>
      <c r="B610" s="1287">
        <v>3</v>
      </c>
      <c r="C610" s="1270" t="s">
        <v>690</v>
      </c>
      <c r="D610" s="1271"/>
      <c r="E610" s="1272"/>
      <c r="F610" s="1271"/>
      <c r="G610" s="1272"/>
      <c r="H610" s="1273"/>
      <c r="I610" s="1273"/>
      <c r="J610" s="1205" t="s">
        <v>2321</v>
      </c>
    </row>
    <row r="611" spans="1:10" hidden="1">
      <c r="A611" s="1286"/>
      <c r="B611" s="1287"/>
      <c r="C611" s="1281" t="s">
        <v>691</v>
      </c>
      <c r="D611" s="1264">
        <v>1</v>
      </c>
      <c r="E611" s="1282" t="s">
        <v>325</v>
      </c>
      <c r="F611" s="1266">
        <v>1</v>
      </c>
      <c r="G611" s="1282" t="s">
        <v>325</v>
      </c>
      <c r="H611" s="1268">
        <f>'MINI SSR 21-22'!C108</f>
        <v>143</v>
      </c>
      <c r="I611" s="1280">
        <f>SUM(D611*H611/F611)</f>
        <v>143</v>
      </c>
      <c r="J611" s="1205" t="s">
        <v>2321</v>
      </c>
    </row>
    <row r="612" spans="1:10" hidden="1">
      <c r="A612" s="1286"/>
      <c r="B612" s="1287"/>
      <c r="C612" s="1283"/>
      <c r="D612" s="1264"/>
      <c r="E612" s="1282"/>
      <c r="F612" s="1266"/>
      <c r="G612" s="1282"/>
      <c r="H612" s="1268"/>
      <c r="I612" s="1280">
        <f>SUM(I611)</f>
        <v>143</v>
      </c>
      <c r="J612" s="1205" t="s">
        <v>2321</v>
      </c>
    </row>
    <row r="613" spans="1:10" ht="22.5" hidden="1">
      <c r="A613" s="1286"/>
      <c r="B613" s="1287">
        <v>4</v>
      </c>
      <c r="C613" s="1270" t="s">
        <v>790</v>
      </c>
      <c r="D613" s="1271"/>
      <c r="E613" s="1272"/>
      <c r="F613" s="1271"/>
      <c r="G613" s="1272"/>
      <c r="H613" s="1273"/>
      <c r="I613" s="1273"/>
      <c r="J613" s="1205" t="s">
        <v>2321</v>
      </c>
    </row>
    <row r="614" spans="1:10" hidden="1">
      <c r="A614" s="1286"/>
      <c r="B614" s="1287"/>
      <c r="C614" s="1281" t="s">
        <v>791</v>
      </c>
      <c r="D614" s="1264">
        <v>1</v>
      </c>
      <c r="E614" s="1282" t="s">
        <v>325</v>
      </c>
      <c r="F614" s="1266">
        <v>1</v>
      </c>
      <c r="G614" s="1282" t="s">
        <v>325</v>
      </c>
      <c r="H614" s="1268">
        <f>'MINI SSR 21-22'!C109</f>
        <v>105</v>
      </c>
      <c r="I614" s="1280">
        <f>SUM(D614*H614/F614)</f>
        <v>105</v>
      </c>
      <c r="J614" s="1205" t="s">
        <v>2321</v>
      </c>
    </row>
    <row r="615" spans="1:10" hidden="1">
      <c r="A615" s="1286"/>
      <c r="B615" s="1287"/>
      <c r="C615" s="1283"/>
      <c r="D615" s="1264"/>
      <c r="E615" s="1282"/>
      <c r="F615" s="1266"/>
      <c r="G615" s="1282"/>
      <c r="H615" s="1268"/>
      <c r="I615" s="1280">
        <f>SUM(I614)</f>
        <v>105</v>
      </c>
      <c r="J615" s="1205" t="s">
        <v>2321</v>
      </c>
    </row>
    <row r="616" spans="1:10" ht="22.5" hidden="1">
      <c r="A616" s="1286"/>
      <c r="B616" s="1287">
        <v>8</v>
      </c>
      <c r="C616" s="1270" t="s">
        <v>612</v>
      </c>
      <c r="D616" s="1271"/>
      <c r="E616" s="1272"/>
      <c r="F616" s="1271"/>
      <c r="G616" s="1272"/>
      <c r="H616" s="1273"/>
      <c r="I616" s="1273"/>
      <c r="J616" s="1205" t="s">
        <v>2321</v>
      </c>
    </row>
    <row r="617" spans="1:10" hidden="1">
      <c r="A617" s="1286"/>
      <c r="B617" s="1287"/>
      <c r="C617" s="1281" t="s">
        <v>614</v>
      </c>
      <c r="D617" s="1264">
        <v>1</v>
      </c>
      <c r="E617" s="1282" t="s">
        <v>325</v>
      </c>
      <c r="F617" s="1266">
        <v>1</v>
      </c>
      <c r="G617" s="1282" t="s">
        <v>325</v>
      </c>
      <c r="H617" s="1268">
        <f>H605</f>
        <v>226</v>
      </c>
      <c r="I617" s="1280">
        <f>SUM(D617*H617/F617)</f>
        <v>226</v>
      </c>
      <c r="J617" s="1205" t="s">
        <v>2321</v>
      </c>
    </row>
    <row r="618" spans="1:10" hidden="1">
      <c r="A618" s="1286"/>
      <c r="B618" s="1287"/>
      <c r="C618" s="1281" t="s">
        <v>613</v>
      </c>
      <c r="D618" s="1264">
        <v>1</v>
      </c>
      <c r="E618" s="1282" t="s">
        <v>325</v>
      </c>
      <c r="F618" s="1266">
        <v>1</v>
      </c>
      <c r="G618" s="1282" t="s">
        <v>325</v>
      </c>
      <c r="H618" s="1268">
        <f>H611</f>
        <v>143</v>
      </c>
      <c r="I618" s="1280">
        <f>SUM(D618*H618/F618)</f>
        <v>143</v>
      </c>
      <c r="J618" s="1205" t="s">
        <v>2321</v>
      </c>
    </row>
    <row r="619" spans="1:10" hidden="1">
      <c r="A619" s="1286"/>
      <c r="B619" s="1287"/>
      <c r="C619" s="1283"/>
      <c r="D619" s="1264"/>
      <c r="E619" s="1282"/>
      <c r="F619" s="1266"/>
      <c r="G619" s="1282"/>
      <c r="H619" s="1268"/>
      <c r="I619" s="1280">
        <f>SUM(I617:I618)</f>
        <v>369</v>
      </c>
      <c r="J619" s="1205" t="s">
        <v>2321</v>
      </c>
    </row>
    <row r="620" spans="1:10" ht="22.5" hidden="1">
      <c r="A620" s="1286"/>
      <c r="B620" s="1287">
        <v>9</v>
      </c>
      <c r="C620" s="1270" t="s">
        <v>1512</v>
      </c>
      <c r="D620" s="1271"/>
      <c r="E620" s="1272"/>
      <c r="F620" s="1271"/>
      <c r="G620" s="1272"/>
      <c r="H620" s="1273"/>
      <c r="I620" s="1273"/>
      <c r="J620" s="1205" t="s">
        <v>2321</v>
      </c>
    </row>
    <row r="621" spans="1:10" hidden="1">
      <c r="A621" s="1286"/>
      <c r="B621" s="1287"/>
      <c r="C621" s="1281" t="s">
        <v>614</v>
      </c>
      <c r="D621" s="1264">
        <v>1</v>
      </c>
      <c r="E621" s="1282" t="s">
        <v>325</v>
      </c>
      <c r="F621" s="1266">
        <v>1</v>
      </c>
      <c r="G621" s="1282" t="s">
        <v>325</v>
      </c>
      <c r="H621" s="1268">
        <f>H605</f>
        <v>226</v>
      </c>
      <c r="I621" s="1280">
        <f>SUM(D621*H621/F621)</f>
        <v>226</v>
      </c>
      <c r="J621" s="1205" t="s">
        <v>2321</v>
      </c>
    </row>
    <row r="622" spans="1:10" hidden="1">
      <c r="A622" s="1286"/>
      <c r="B622" s="1287"/>
      <c r="C622" s="1281" t="s">
        <v>1513</v>
      </c>
      <c r="D622" s="1264">
        <v>1</v>
      </c>
      <c r="E622" s="1282" t="s">
        <v>325</v>
      </c>
      <c r="F622" s="1266">
        <v>1</v>
      </c>
      <c r="G622" s="1282" t="s">
        <v>325</v>
      </c>
      <c r="H622" s="1268">
        <f>'MINI SSR 21-22'!C109</f>
        <v>105</v>
      </c>
      <c r="I622" s="1280">
        <f>SUM(D622*H622/F622)</f>
        <v>105</v>
      </c>
      <c r="J622" s="1205" t="s">
        <v>2321</v>
      </c>
    </row>
    <row r="623" spans="1:10" hidden="1">
      <c r="A623" s="1286"/>
      <c r="B623" s="1287"/>
      <c r="C623" s="1283"/>
      <c r="D623" s="1264"/>
      <c r="E623" s="1282"/>
      <c r="F623" s="1266"/>
      <c r="G623" s="1282"/>
      <c r="H623" s="1268"/>
      <c r="I623" s="1280">
        <f>SUM(I621:I622)</f>
        <v>331</v>
      </c>
      <c r="J623" s="1205" t="s">
        <v>2321</v>
      </c>
    </row>
    <row r="624" spans="1:10" ht="22.5" hidden="1">
      <c r="A624" s="1286"/>
      <c r="B624" s="1287">
        <v>5</v>
      </c>
      <c r="C624" s="1270" t="s">
        <v>428</v>
      </c>
      <c r="D624" s="1271"/>
      <c r="E624" s="1272"/>
      <c r="F624" s="1271"/>
      <c r="G624" s="1272"/>
      <c r="H624" s="1273"/>
      <c r="I624" s="1273"/>
      <c r="J624" s="1205" t="s">
        <v>2321</v>
      </c>
    </row>
    <row r="625" spans="1:10" hidden="1">
      <c r="A625" s="1286"/>
      <c r="B625" s="1287"/>
      <c r="C625" s="1281" t="s">
        <v>434</v>
      </c>
      <c r="D625" s="1264">
        <v>1</v>
      </c>
      <c r="E625" s="1282" t="s">
        <v>325</v>
      </c>
      <c r="F625" s="1266">
        <v>1</v>
      </c>
      <c r="G625" s="1282" t="s">
        <v>325</v>
      </c>
      <c r="H625" s="1268">
        <f>'MINI SSR 21-22'!C112</f>
        <v>63</v>
      </c>
      <c r="I625" s="1280">
        <f>SUM(D625*H625/F625)</f>
        <v>63</v>
      </c>
      <c r="J625" s="1205" t="s">
        <v>2321</v>
      </c>
    </row>
    <row r="626" spans="1:10" hidden="1">
      <c r="A626" s="1286"/>
      <c r="B626" s="1287"/>
      <c r="C626" s="1283"/>
      <c r="D626" s="1264"/>
      <c r="E626" s="1282"/>
      <c r="F626" s="1266"/>
      <c r="G626" s="1282"/>
      <c r="H626" s="1268"/>
      <c r="I626" s="1280">
        <f>SUM(I625)</f>
        <v>63</v>
      </c>
      <c r="J626" s="1205" t="s">
        <v>2321</v>
      </c>
    </row>
    <row r="627" spans="1:10" hidden="1">
      <c r="A627" s="1286"/>
      <c r="B627" s="1287">
        <v>4</v>
      </c>
      <c r="C627" s="1270" t="s">
        <v>437</v>
      </c>
      <c r="D627" s="1271"/>
      <c r="E627" s="1272"/>
      <c r="F627" s="1271"/>
      <c r="G627" s="1272"/>
      <c r="H627" s="1273"/>
      <c r="I627" s="1273"/>
      <c r="J627" s="1205" t="s">
        <v>2321</v>
      </c>
    </row>
    <row r="628" spans="1:10" hidden="1">
      <c r="A628" s="1286"/>
      <c r="B628" s="1287"/>
      <c r="C628" s="1281" t="s">
        <v>438</v>
      </c>
      <c r="D628" s="1264">
        <v>1</v>
      </c>
      <c r="E628" s="1282" t="s">
        <v>325</v>
      </c>
      <c r="F628" s="1266">
        <v>1</v>
      </c>
      <c r="G628" s="1282" t="s">
        <v>325</v>
      </c>
      <c r="H628" s="1268">
        <f>'MINI SSR 21-22'!E106</f>
        <v>209</v>
      </c>
      <c r="I628" s="1280">
        <f>SUM(D628*H628/F628)</f>
        <v>209</v>
      </c>
      <c r="J628" s="1205" t="s">
        <v>2321</v>
      </c>
    </row>
    <row r="629" spans="1:10" hidden="1">
      <c r="A629" s="1286"/>
      <c r="B629" s="1287"/>
      <c r="C629" s="1283"/>
      <c r="D629" s="1264"/>
      <c r="E629" s="1282"/>
      <c r="F629" s="1266"/>
      <c r="G629" s="1282"/>
      <c r="H629" s="1268"/>
      <c r="I629" s="1280">
        <f>SUM(I628)</f>
        <v>209</v>
      </c>
      <c r="J629" s="1205" t="s">
        <v>2321</v>
      </c>
    </row>
    <row r="630" spans="1:10" hidden="1">
      <c r="A630" s="1286"/>
      <c r="B630" s="1287">
        <v>9</v>
      </c>
      <c r="C630" s="1270" t="s">
        <v>615</v>
      </c>
      <c r="D630" s="1271"/>
      <c r="E630" s="1272"/>
      <c r="F630" s="1271"/>
      <c r="G630" s="1272"/>
      <c r="H630" s="1273"/>
      <c r="I630" s="1273"/>
      <c r="J630" s="1205" t="s">
        <v>2321</v>
      </c>
    </row>
    <row r="631" spans="1:10" hidden="1">
      <c r="A631" s="1286"/>
      <c r="B631" s="1287"/>
      <c r="C631" s="1281" t="s">
        <v>616</v>
      </c>
      <c r="D631" s="1264">
        <v>1</v>
      </c>
      <c r="E631" s="1282" t="s">
        <v>325</v>
      </c>
      <c r="F631" s="1266">
        <v>1</v>
      </c>
      <c r="G631" s="1282" t="s">
        <v>325</v>
      </c>
      <c r="H631" s="1268">
        <f>'MINI SSR 21-22'!E107</f>
        <v>171</v>
      </c>
      <c r="I631" s="1280">
        <f>SUM(D631*H631/F631)</f>
        <v>171</v>
      </c>
      <c r="J631" s="1205" t="s">
        <v>2321</v>
      </c>
    </row>
    <row r="632" spans="1:10" hidden="1">
      <c r="A632" s="1286"/>
      <c r="B632" s="1287"/>
      <c r="C632" s="1283"/>
      <c r="D632" s="1264"/>
      <c r="E632" s="1282"/>
      <c r="F632" s="1266"/>
      <c r="G632" s="1282"/>
      <c r="H632" s="1268"/>
      <c r="I632" s="1280">
        <f>SUM(I631)</f>
        <v>171</v>
      </c>
      <c r="J632" s="1205" t="s">
        <v>2321</v>
      </c>
    </row>
    <row r="633" spans="1:10" hidden="1">
      <c r="A633" s="1286"/>
      <c r="B633" s="1287">
        <v>10</v>
      </c>
      <c r="C633" s="1270" t="s">
        <v>694</v>
      </c>
      <c r="D633" s="1271"/>
      <c r="E633" s="1272"/>
      <c r="F633" s="1271"/>
      <c r="G633" s="1272"/>
      <c r="H633" s="1273"/>
      <c r="I633" s="1273"/>
      <c r="J633" s="1205" t="s">
        <v>2321</v>
      </c>
    </row>
    <row r="634" spans="1:10" hidden="1">
      <c r="A634" s="1286"/>
      <c r="B634" s="1287"/>
      <c r="C634" s="1281" t="s">
        <v>619</v>
      </c>
      <c r="D634" s="1264">
        <v>1</v>
      </c>
      <c r="E634" s="1282" t="s">
        <v>325</v>
      </c>
      <c r="F634" s="1266">
        <v>1</v>
      </c>
      <c r="G634" s="1282" t="s">
        <v>325</v>
      </c>
      <c r="H634" s="1268">
        <f>'MINI SSR 21-22'!E108</f>
        <v>132</v>
      </c>
      <c r="I634" s="1280">
        <f>SUM(D634*H634/F634)</f>
        <v>132</v>
      </c>
      <c r="J634" s="1205" t="s">
        <v>2321</v>
      </c>
    </row>
    <row r="635" spans="1:10" hidden="1">
      <c r="A635" s="1286"/>
      <c r="B635" s="1287"/>
      <c r="C635" s="1283"/>
      <c r="D635" s="1264"/>
      <c r="E635" s="1282"/>
      <c r="F635" s="1266"/>
      <c r="G635" s="1282"/>
      <c r="H635" s="1268"/>
      <c r="I635" s="1280">
        <f>SUM(I634)</f>
        <v>132</v>
      </c>
      <c r="J635" s="1205" t="s">
        <v>2321</v>
      </c>
    </row>
    <row r="636" spans="1:10" hidden="1">
      <c r="A636" s="1286"/>
      <c r="B636" s="1287">
        <v>11</v>
      </c>
      <c r="C636" s="1270" t="s">
        <v>792</v>
      </c>
      <c r="D636" s="1271"/>
      <c r="E636" s="1272"/>
      <c r="F636" s="1271"/>
      <c r="G636" s="1272"/>
      <c r="H636" s="1273"/>
      <c r="I636" s="1273"/>
      <c r="J636" s="1205" t="s">
        <v>2321</v>
      </c>
    </row>
    <row r="637" spans="1:10" hidden="1">
      <c r="A637" s="1286"/>
      <c r="B637" s="1287"/>
      <c r="C637" s="1281" t="s">
        <v>793</v>
      </c>
      <c r="D637" s="1264">
        <v>1</v>
      </c>
      <c r="E637" s="1282" t="s">
        <v>325</v>
      </c>
      <c r="F637" s="1266">
        <v>1</v>
      </c>
      <c r="G637" s="1282" t="s">
        <v>325</v>
      </c>
      <c r="H637" s="1268">
        <f>'MINI SSR 21-22'!E109</f>
        <v>88</v>
      </c>
      <c r="I637" s="1280">
        <f>SUM(D637*H637/F637)</f>
        <v>88</v>
      </c>
      <c r="J637" s="1205" t="s">
        <v>2321</v>
      </c>
    </row>
    <row r="638" spans="1:10" hidden="1">
      <c r="A638" s="1286"/>
      <c r="B638" s="1287"/>
      <c r="C638" s="1283"/>
      <c r="D638" s="1264"/>
      <c r="E638" s="1282"/>
      <c r="F638" s="1266"/>
      <c r="G638" s="1282"/>
      <c r="H638" s="1268"/>
      <c r="I638" s="1280">
        <f>SUM(I637)</f>
        <v>88</v>
      </c>
      <c r="J638" s="1205" t="s">
        <v>2321</v>
      </c>
    </row>
    <row r="639" spans="1:10" hidden="1">
      <c r="A639" s="1286"/>
      <c r="B639" s="1287">
        <v>15</v>
      </c>
      <c r="C639" s="1270" t="s">
        <v>617</v>
      </c>
      <c r="D639" s="1271"/>
      <c r="E639" s="1272"/>
      <c r="F639" s="1271"/>
      <c r="G639" s="1272"/>
      <c r="H639" s="1273"/>
      <c r="I639" s="1273"/>
      <c r="J639" s="1205" t="s">
        <v>2321</v>
      </c>
    </row>
    <row r="640" spans="1:10" hidden="1">
      <c r="A640" s="1286"/>
      <c r="B640" s="1287"/>
      <c r="C640" s="1281" t="s">
        <v>618</v>
      </c>
      <c r="D640" s="1264">
        <v>1</v>
      </c>
      <c r="E640" s="1282" t="s">
        <v>325</v>
      </c>
      <c r="F640" s="1266">
        <v>1</v>
      </c>
      <c r="G640" s="1282" t="s">
        <v>325</v>
      </c>
      <c r="H640" s="1268">
        <f>'MINI SSR 21-22'!E106</f>
        <v>209</v>
      </c>
      <c r="I640" s="1280">
        <f>SUM(D640*H640/F640)</f>
        <v>209</v>
      </c>
      <c r="J640" s="1205" t="s">
        <v>2321</v>
      </c>
    </row>
    <row r="641" spans="1:10" hidden="1">
      <c r="A641" s="1286"/>
      <c r="B641" s="1287"/>
      <c r="C641" s="1281" t="s">
        <v>619</v>
      </c>
      <c r="D641" s="1264">
        <v>1</v>
      </c>
      <c r="E641" s="1282" t="s">
        <v>325</v>
      </c>
      <c r="F641" s="1266">
        <v>1</v>
      </c>
      <c r="G641" s="1282" t="s">
        <v>325</v>
      </c>
      <c r="H641" s="1268">
        <f>'MINI SSR 21-22'!E108</f>
        <v>132</v>
      </c>
      <c r="I641" s="1280">
        <f>SUM(D641*H641/F641)</f>
        <v>132</v>
      </c>
      <c r="J641" s="1205" t="s">
        <v>2321</v>
      </c>
    </row>
    <row r="642" spans="1:10" hidden="1">
      <c r="A642" s="1286"/>
      <c r="B642" s="1287"/>
      <c r="C642" s="1283"/>
      <c r="D642" s="1264"/>
      <c r="E642" s="1282"/>
      <c r="F642" s="1266"/>
      <c r="G642" s="1282"/>
      <c r="H642" s="1268"/>
      <c r="I642" s="1280">
        <f>SUM(I640:I641)</f>
        <v>341</v>
      </c>
      <c r="J642" s="1205" t="s">
        <v>2321</v>
      </c>
    </row>
    <row r="643" spans="1:10" hidden="1">
      <c r="A643" s="1286"/>
      <c r="B643" s="1287">
        <v>12</v>
      </c>
      <c r="C643" s="1270" t="s">
        <v>439</v>
      </c>
      <c r="D643" s="1271"/>
      <c r="E643" s="1272"/>
      <c r="F643" s="1271"/>
      <c r="G643" s="1272"/>
      <c r="H643" s="1273"/>
      <c r="I643" s="1273"/>
      <c r="J643" s="1205" t="s">
        <v>2321</v>
      </c>
    </row>
    <row r="644" spans="1:10" hidden="1">
      <c r="A644" s="1286"/>
      <c r="B644" s="1287"/>
      <c r="C644" s="1281" t="s">
        <v>440</v>
      </c>
      <c r="D644" s="1264">
        <v>1</v>
      </c>
      <c r="E644" s="1282" t="s">
        <v>325</v>
      </c>
      <c r="F644" s="1266">
        <v>1</v>
      </c>
      <c r="G644" s="1282" t="s">
        <v>325</v>
      </c>
      <c r="H644" s="1268">
        <f>'MINI SSR 21-22'!E112</f>
        <v>66</v>
      </c>
      <c r="I644" s="1280">
        <f>SUM(D644*H644/F644)</f>
        <v>66</v>
      </c>
      <c r="J644" s="1205" t="s">
        <v>2321</v>
      </c>
    </row>
    <row r="645" spans="1:10" hidden="1">
      <c r="A645" s="1286"/>
      <c r="B645" s="1287"/>
      <c r="C645" s="1283"/>
      <c r="D645" s="1264"/>
      <c r="E645" s="1282"/>
      <c r="F645" s="1266"/>
      <c r="G645" s="1282"/>
      <c r="H645" s="1268"/>
      <c r="I645" s="1280">
        <f>SUM(I644)</f>
        <v>66</v>
      </c>
      <c r="J645" s="1205" t="s">
        <v>2321</v>
      </c>
    </row>
    <row r="646" spans="1:10" hidden="1">
      <c r="A646" s="1286"/>
      <c r="B646" s="1287"/>
      <c r="C646" s="1286"/>
      <c r="D646" s="1292"/>
      <c r="E646" s="1293"/>
      <c r="F646" s="1292"/>
      <c r="G646" s="1293"/>
      <c r="H646" s="1286"/>
      <c r="I646" s="1286"/>
      <c r="J646" s="1205" t="s">
        <v>2321</v>
      </c>
    </row>
    <row r="647" spans="1:10" hidden="1">
      <c r="A647" s="1286"/>
      <c r="B647" s="1287">
        <v>5</v>
      </c>
      <c r="C647" s="1270" t="s">
        <v>624</v>
      </c>
      <c r="D647" s="1271"/>
      <c r="E647" s="1272"/>
      <c r="F647" s="1271"/>
      <c r="G647" s="1272"/>
      <c r="H647" s="1273"/>
      <c r="I647" s="1273"/>
      <c r="J647" s="1205" t="s">
        <v>2321</v>
      </c>
    </row>
    <row r="648" spans="1:10" hidden="1">
      <c r="A648" s="1286"/>
      <c r="B648" s="1287"/>
      <c r="C648" s="1281" t="s">
        <v>625</v>
      </c>
      <c r="D648" s="1264">
        <v>1</v>
      </c>
      <c r="E648" s="1282" t="s">
        <v>325</v>
      </c>
      <c r="F648" s="1266">
        <v>1</v>
      </c>
      <c r="G648" s="1282" t="s">
        <v>325</v>
      </c>
      <c r="H648" s="1268">
        <f>'MINI SSR 21-22'!C114</f>
        <v>20</v>
      </c>
      <c r="I648" s="1280">
        <f>SUM(D648*H648/F648)</f>
        <v>20</v>
      </c>
      <c r="J648" s="1205" t="s">
        <v>2321</v>
      </c>
    </row>
    <row r="649" spans="1:10" hidden="1">
      <c r="A649" s="1286"/>
      <c r="B649" s="1287"/>
      <c r="C649" s="1283"/>
      <c r="D649" s="1264"/>
      <c r="E649" s="1282"/>
      <c r="F649" s="1266"/>
      <c r="G649" s="1282"/>
      <c r="H649" s="1268"/>
      <c r="I649" s="1280">
        <f>SUM(I648)</f>
        <v>20</v>
      </c>
      <c r="J649" s="1205" t="s">
        <v>2321</v>
      </c>
    </row>
    <row r="650" spans="1:10" ht="22.5" hidden="1">
      <c r="A650" s="1286"/>
      <c r="B650" s="1287">
        <v>18</v>
      </c>
      <c r="C650" s="1270" t="s">
        <v>794</v>
      </c>
      <c r="D650" s="1271"/>
      <c r="E650" s="1272"/>
      <c r="F650" s="1271"/>
      <c r="G650" s="1272"/>
      <c r="H650" s="1273"/>
      <c r="I650" s="1273"/>
      <c r="J650" s="1205" t="s">
        <v>2321</v>
      </c>
    </row>
    <row r="651" spans="1:10" hidden="1">
      <c r="A651" s="1286"/>
      <c r="B651" s="1287"/>
      <c r="C651" s="1281" t="s">
        <v>795</v>
      </c>
      <c r="D651" s="1264">
        <v>1</v>
      </c>
      <c r="E651" s="1282" t="s">
        <v>325</v>
      </c>
      <c r="F651" s="1266">
        <v>1</v>
      </c>
      <c r="G651" s="1282" t="s">
        <v>325</v>
      </c>
      <c r="H651" s="1268">
        <f>'MINI SSR 21-22'!C115</f>
        <v>1484</v>
      </c>
      <c r="I651" s="1280">
        <f>SUM(D651*H651/F651)</f>
        <v>1484</v>
      </c>
      <c r="J651" s="1205" t="s">
        <v>2321</v>
      </c>
    </row>
    <row r="652" spans="1:10" hidden="1">
      <c r="A652" s="1286"/>
      <c r="B652" s="1287"/>
      <c r="C652" s="1283"/>
      <c r="D652" s="1264"/>
      <c r="E652" s="1282"/>
      <c r="F652" s="1266"/>
      <c r="G652" s="1282"/>
      <c r="H652" s="1268"/>
      <c r="I652" s="1280">
        <f>SUM(I651)</f>
        <v>1484</v>
      </c>
      <c r="J652" s="1205" t="s">
        <v>2321</v>
      </c>
    </row>
    <row r="653" spans="1:10" ht="67.5" hidden="1">
      <c r="A653" s="1295" t="s">
        <v>721</v>
      </c>
      <c r="B653" s="1263">
        <v>5</v>
      </c>
      <c r="C653" s="1270" t="s">
        <v>436</v>
      </c>
      <c r="D653" s="1274"/>
      <c r="E653" s="1265"/>
      <c r="F653" s="1274"/>
      <c r="G653" s="1265"/>
      <c r="H653" s="1270"/>
      <c r="I653" s="1270"/>
      <c r="J653" s="1205" t="s">
        <v>2321</v>
      </c>
    </row>
    <row r="654" spans="1:10" hidden="1">
      <c r="A654" s="1268"/>
      <c r="B654" s="1257"/>
      <c r="C654" s="1270" t="s">
        <v>384</v>
      </c>
      <c r="D654" s="1264"/>
      <c r="E654" s="1267"/>
      <c r="F654" s="1266"/>
      <c r="G654" s="1267"/>
      <c r="H654" s="1268"/>
      <c r="I654" s="1269"/>
      <c r="J654" s="1205" t="s">
        <v>2321</v>
      </c>
    </row>
    <row r="655" spans="1:10" hidden="1">
      <c r="A655" s="1268"/>
      <c r="B655" s="1257"/>
      <c r="C655" s="1270" t="s">
        <v>1661</v>
      </c>
      <c r="D655" s="1264">
        <v>0.6</v>
      </c>
      <c r="E655" s="1282" t="s">
        <v>27</v>
      </c>
      <c r="F655" s="1266">
        <v>1</v>
      </c>
      <c r="G655" s="1282" t="s">
        <v>27</v>
      </c>
      <c r="H655" s="1268">
        <f>'MINI SSR 21-22'!$H$16</f>
        <v>650</v>
      </c>
      <c r="I655" s="1269">
        <f>SUM(D655*H655/F655)</f>
        <v>390</v>
      </c>
      <c r="J655" s="1205" t="s">
        <v>2321</v>
      </c>
    </row>
    <row r="656" spans="1:10" hidden="1">
      <c r="A656" s="1268"/>
      <c r="B656" s="1257"/>
      <c r="C656" s="1270" t="s">
        <v>1662</v>
      </c>
      <c r="D656" s="1264">
        <v>1.2</v>
      </c>
      <c r="E656" s="1282" t="s">
        <v>27</v>
      </c>
      <c r="F656" s="1266">
        <v>1</v>
      </c>
      <c r="G656" s="1282" t="s">
        <v>27</v>
      </c>
      <c r="H656" s="1268">
        <f>'MINI SSR 21-22'!$H$17</f>
        <v>530</v>
      </c>
      <c r="I656" s="1280">
        <f>SUM(D656*H656/F656)</f>
        <v>636</v>
      </c>
      <c r="J656" s="1205" t="s">
        <v>2321</v>
      </c>
    </row>
    <row r="657" spans="1:10" hidden="1">
      <c r="A657" s="1268"/>
      <c r="B657" s="1257"/>
      <c r="C657" s="1270" t="s">
        <v>700</v>
      </c>
      <c r="D657" s="1264">
        <v>0.6</v>
      </c>
      <c r="E657" s="1282" t="s">
        <v>27</v>
      </c>
      <c r="F657" s="1266">
        <v>1</v>
      </c>
      <c r="G657" s="1282" t="s">
        <v>27</v>
      </c>
      <c r="H657" s="1268">
        <f>'MINI SSR 21-22'!$H$18</f>
        <v>470</v>
      </c>
      <c r="I657" s="1280">
        <f>SUM(D657*H657/F657)</f>
        <v>282</v>
      </c>
      <c r="J657" s="1205" t="s">
        <v>2321</v>
      </c>
    </row>
    <row r="658" spans="1:10" hidden="1">
      <c r="A658" s="1268"/>
      <c r="B658" s="1257"/>
      <c r="C658" s="1270" t="s">
        <v>327</v>
      </c>
      <c r="D658" s="1264"/>
      <c r="E658" s="1282"/>
      <c r="F658" s="1266"/>
      <c r="G658" s="1282"/>
      <c r="H658" s="1268"/>
      <c r="I658" s="1269"/>
      <c r="J658" s="1205" t="s">
        <v>2321</v>
      </c>
    </row>
    <row r="659" spans="1:10" hidden="1">
      <c r="A659" s="1268"/>
      <c r="B659" s="1257"/>
      <c r="C659" s="1296" t="s">
        <v>621</v>
      </c>
      <c r="D659" s="1297">
        <v>6</v>
      </c>
      <c r="E659" s="1267" t="s">
        <v>325</v>
      </c>
      <c r="F659" s="1266">
        <v>1</v>
      </c>
      <c r="G659" s="1267" t="s">
        <v>115</v>
      </c>
      <c r="H659" s="1268">
        <f>'MINI SSR 21-22'!C116</f>
        <v>17</v>
      </c>
      <c r="I659" s="1269">
        <f>SUM(D659*H659/F659)</f>
        <v>102</v>
      </c>
      <c r="J659" s="1205" t="s">
        <v>2321</v>
      </c>
    </row>
    <row r="660" spans="1:10" ht="45" hidden="1">
      <c r="A660" s="1268"/>
      <c r="B660" s="1257"/>
      <c r="C660" s="1296" t="s">
        <v>394</v>
      </c>
      <c r="D660" s="1264">
        <v>100</v>
      </c>
      <c r="E660" s="1282" t="s">
        <v>395</v>
      </c>
      <c r="F660" s="1266">
        <v>100</v>
      </c>
      <c r="G660" s="1282" t="s">
        <v>395</v>
      </c>
      <c r="H660" s="1268">
        <f>'MINI SSR 21-22'!C119</f>
        <v>1208</v>
      </c>
      <c r="I660" s="1269">
        <f>SUM(D660*H660/F660)</f>
        <v>1208</v>
      </c>
      <c r="J660" s="1205" t="s">
        <v>2321</v>
      </c>
    </row>
    <row r="661" spans="1:10" hidden="1">
      <c r="A661" s="1268"/>
      <c r="B661" s="1257"/>
      <c r="C661" s="1270" t="s">
        <v>396</v>
      </c>
      <c r="D661" s="1264"/>
      <c r="E661" s="1267"/>
      <c r="F661" s="1266"/>
      <c r="G661" s="1267"/>
      <c r="H661" s="1268"/>
      <c r="I661" s="1269">
        <f>SUM(I655:I660)</f>
        <v>2618</v>
      </c>
      <c r="J661" s="1205" t="s">
        <v>2321</v>
      </c>
    </row>
    <row r="662" spans="1:10" hidden="1">
      <c r="A662" s="1268"/>
      <c r="B662" s="1257"/>
      <c r="C662" s="1270" t="s">
        <v>397</v>
      </c>
      <c r="D662" s="1264"/>
      <c r="E662" s="1267"/>
      <c r="F662" s="1266"/>
      <c r="G662" s="1267"/>
      <c r="H662" s="1268"/>
      <c r="I662" s="1269">
        <f>ROUND(I661/6,2)</f>
        <v>436.33</v>
      </c>
      <c r="J662" s="1205" t="s">
        <v>2321</v>
      </c>
    </row>
    <row r="663" spans="1:10" ht="67.5" hidden="1">
      <c r="A663" s="1295" t="s">
        <v>721</v>
      </c>
      <c r="B663" s="1263">
        <v>6</v>
      </c>
      <c r="C663" s="1270" t="s">
        <v>435</v>
      </c>
      <c r="D663" s="1274"/>
      <c r="E663" s="1265"/>
      <c r="F663" s="1274"/>
      <c r="G663" s="1265"/>
      <c r="H663" s="1270"/>
      <c r="I663" s="1270"/>
      <c r="J663" s="1205" t="s">
        <v>2321</v>
      </c>
    </row>
    <row r="664" spans="1:10" hidden="1">
      <c r="A664" s="1268"/>
      <c r="B664" s="1257"/>
      <c r="C664" s="1270" t="s">
        <v>384</v>
      </c>
      <c r="D664" s="1264"/>
      <c r="E664" s="1267"/>
      <c r="F664" s="1266"/>
      <c r="G664" s="1267"/>
      <c r="H664" s="1268"/>
      <c r="I664" s="1269"/>
      <c r="J664" s="1205" t="s">
        <v>2321</v>
      </c>
    </row>
    <row r="665" spans="1:10" hidden="1">
      <c r="A665" s="1268"/>
      <c r="B665" s="1257"/>
      <c r="C665" s="1270" t="s">
        <v>1661</v>
      </c>
      <c r="D665" s="1264">
        <v>0.6</v>
      </c>
      <c r="E665" s="1282" t="s">
        <v>27</v>
      </c>
      <c r="F665" s="1266">
        <v>1</v>
      </c>
      <c r="G665" s="1282" t="s">
        <v>27</v>
      </c>
      <c r="H665" s="1268">
        <f>'MINI SSR 21-22'!$H$16</f>
        <v>650</v>
      </c>
      <c r="I665" s="1269">
        <f>SUM(D665*H665/F665)</f>
        <v>390</v>
      </c>
      <c r="J665" s="1205" t="s">
        <v>2321</v>
      </c>
    </row>
    <row r="666" spans="1:10" hidden="1">
      <c r="A666" s="1268"/>
      <c r="B666" s="1257"/>
      <c r="C666" s="1270" t="s">
        <v>1662</v>
      </c>
      <c r="D666" s="1264">
        <v>1.2</v>
      </c>
      <c r="E666" s="1282" t="s">
        <v>27</v>
      </c>
      <c r="F666" s="1266">
        <v>1</v>
      </c>
      <c r="G666" s="1282" t="s">
        <v>27</v>
      </c>
      <c r="H666" s="1268">
        <f>'MINI SSR 21-22'!$H$17</f>
        <v>530</v>
      </c>
      <c r="I666" s="1280">
        <f>SUM(D666*H666/F666)</f>
        <v>636</v>
      </c>
      <c r="J666" s="1205" t="s">
        <v>2321</v>
      </c>
    </row>
    <row r="667" spans="1:10" hidden="1">
      <c r="A667" s="1268"/>
      <c r="B667" s="1257"/>
      <c r="C667" s="1270" t="s">
        <v>700</v>
      </c>
      <c r="D667" s="1264">
        <v>0.6</v>
      </c>
      <c r="E667" s="1282" t="s">
        <v>27</v>
      </c>
      <c r="F667" s="1266">
        <v>1</v>
      </c>
      <c r="G667" s="1282" t="s">
        <v>27</v>
      </c>
      <c r="H667" s="1268">
        <f>'MINI SSR 21-22'!$H$18</f>
        <v>470</v>
      </c>
      <c r="I667" s="1280">
        <f>SUM(D667*H667/F667)</f>
        <v>282</v>
      </c>
      <c r="J667" s="1205" t="s">
        <v>2321</v>
      </c>
    </row>
    <row r="668" spans="1:10" hidden="1">
      <c r="A668" s="1268"/>
      <c r="B668" s="1257"/>
      <c r="C668" s="1270" t="s">
        <v>327</v>
      </c>
      <c r="D668" s="1264"/>
      <c r="E668" s="1282"/>
      <c r="F668" s="1266"/>
      <c r="G668" s="1282"/>
      <c r="H668" s="1268"/>
      <c r="I668" s="1269"/>
      <c r="J668" s="1205" t="s">
        <v>2321</v>
      </c>
    </row>
    <row r="669" spans="1:10" hidden="1">
      <c r="A669" s="1268"/>
      <c r="B669" s="1257"/>
      <c r="C669" s="1296" t="s">
        <v>621</v>
      </c>
      <c r="D669" s="1297">
        <v>6</v>
      </c>
      <c r="E669" s="1267" t="s">
        <v>325</v>
      </c>
      <c r="F669" s="1266">
        <v>1</v>
      </c>
      <c r="G669" s="1267" t="s">
        <v>115</v>
      </c>
      <c r="H669" s="1268">
        <f>'MINI SSR 21-22'!C116</f>
        <v>17</v>
      </c>
      <c r="I669" s="1269">
        <f>SUM(D669*H669/F669)</f>
        <v>102</v>
      </c>
      <c r="J669" s="1205" t="s">
        <v>2321</v>
      </c>
    </row>
    <row r="670" spans="1:10" ht="22.5" hidden="1">
      <c r="A670" s="1268"/>
      <c r="B670" s="1257"/>
      <c r="C670" s="1298" t="s">
        <v>393</v>
      </c>
      <c r="D670" s="1297">
        <v>6</v>
      </c>
      <c r="E670" s="1267" t="s">
        <v>325</v>
      </c>
      <c r="F670" s="1266">
        <v>1</v>
      </c>
      <c r="G670" s="1267" t="s">
        <v>115</v>
      </c>
      <c r="H670" s="1268">
        <f>'MINI SSR 21-22'!C120</f>
        <v>21</v>
      </c>
      <c r="I670" s="1269">
        <f>SUM(D670*H670/F670)</f>
        <v>126</v>
      </c>
      <c r="J670" s="1205" t="s">
        <v>2321</v>
      </c>
    </row>
    <row r="671" spans="1:10" ht="45" hidden="1">
      <c r="A671" s="1268"/>
      <c r="B671" s="1257"/>
      <c r="C671" s="1296" t="s">
        <v>394</v>
      </c>
      <c r="D671" s="1264">
        <v>100</v>
      </c>
      <c r="E671" s="1282" t="s">
        <v>395</v>
      </c>
      <c r="F671" s="1266">
        <v>100</v>
      </c>
      <c r="G671" s="1282" t="s">
        <v>395</v>
      </c>
      <c r="H671" s="1268">
        <f>'MINI SSR 21-22'!C119</f>
        <v>1208</v>
      </c>
      <c r="I671" s="1269">
        <f>SUM(D671*H671/F671)</f>
        <v>1208</v>
      </c>
      <c r="J671" s="1205" t="s">
        <v>2321</v>
      </c>
    </row>
    <row r="672" spans="1:10" hidden="1">
      <c r="A672" s="1268"/>
      <c r="B672" s="1257"/>
      <c r="C672" s="1270" t="s">
        <v>396</v>
      </c>
      <c r="D672" s="1264"/>
      <c r="E672" s="1267"/>
      <c r="F672" s="1266"/>
      <c r="G672" s="1267"/>
      <c r="H672" s="1268"/>
      <c r="I672" s="1269">
        <f>SUM(I665:I671)</f>
        <v>2744</v>
      </c>
      <c r="J672" s="1205" t="s">
        <v>2321</v>
      </c>
    </row>
    <row r="673" spans="1:10" hidden="1">
      <c r="A673" s="1268"/>
      <c r="B673" s="1257"/>
      <c r="C673" s="1270" t="s">
        <v>397</v>
      </c>
      <c r="D673" s="1264"/>
      <c r="E673" s="1267"/>
      <c r="F673" s="1266"/>
      <c r="G673" s="1267"/>
      <c r="H673" s="1268"/>
      <c r="I673" s="1269">
        <f>ROUND(I672/6,2)</f>
        <v>457.33</v>
      </c>
      <c r="J673" s="1205" t="s">
        <v>2321</v>
      </c>
    </row>
    <row r="674" spans="1:10" ht="45" hidden="1">
      <c r="A674" s="1295" t="s">
        <v>722</v>
      </c>
      <c r="B674" s="1263">
        <v>7</v>
      </c>
      <c r="C674" s="1270" t="s">
        <v>432</v>
      </c>
      <c r="D674" s="1274"/>
      <c r="E674" s="1265"/>
      <c r="F674" s="1274"/>
      <c r="G674" s="1265"/>
      <c r="H674" s="1270"/>
      <c r="I674" s="1270"/>
      <c r="J674" s="1205" t="s">
        <v>2321</v>
      </c>
    </row>
    <row r="675" spans="1:10" hidden="1">
      <c r="A675" s="1268"/>
      <c r="B675" s="1257"/>
      <c r="C675" s="1270" t="s">
        <v>384</v>
      </c>
      <c r="D675" s="1264"/>
      <c r="E675" s="1267"/>
      <c r="F675" s="1266"/>
      <c r="G675" s="1267"/>
      <c r="H675" s="1268"/>
      <c r="I675" s="1269"/>
      <c r="J675" s="1205" t="s">
        <v>2321</v>
      </c>
    </row>
    <row r="676" spans="1:10" hidden="1">
      <c r="A676" s="1268"/>
      <c r="B676" s="1257"/>
      <c r="C676" s="1270" t="s">
        <v>1661</v>
      </c>
      <c r="D676" s="1299">
        <v>6.7000000000000004E-2</v>
      </c>
      <c r="E676" s="1282" t="s">
        <v>27</v>
      </c>
      <c r="F676" s="1266">
        <v>1</v>
      </c>
      <c r="G676" s="1282" t="s">
        <v>27</v>
      </c>
      <c r="H676" s="1268">
        <f>'MINI SSR 21-22'!$H$16</f>
        <v>650</v>
      </c>
      <c r="I676" s="1269">
        <f>SUM(D676*H676/F676)</f>
        <v>43.550000000000004</v>
      </c>
      <c r="J676" s="1205" t="s">
        <v>2321</v>
      </c>
    </row>
    <row r="677" spans="1:10" hidden="1">
      <c r="A677" s="1268"/>
      <c r="B677" s="1257"/>
      <c r="C677" s="1270" t="s">
        <v>700</v>
      </c>
      <c r="D677" s="1299">
        <v>6.7000000000000004E-2</v>
      </c>
      <c r="E677" s="1282" t="s">
        <v>27</v>
      </c>
      <c r="F677" s="1266">
        <v>1</v>
      </c>
      <c r="G677" s="1282" t="s">
        <v>27</v>
      </c>
      <c r="H677" s="1268">
        <f>'MINI SSR 21-22'!$H$18</f>
        <v>470</v>
      </c>
      <c r="I677" s="1280">
        <f>SUM(D677*H677/F677)</f>
        <v>31.490000000000002</v>
      </c>
      <c r="J677" s="1205" t="s">
        <v>2321</v>
      </c>
    </row>
    <row r="678" spans="1:10" hidden="1">
      <c r="A678" s="1268"/>
      <c r="B678" s="1257"/>
      <c r="C678" s="1270" t="s">
        <v>327</v>
      </c>
      <c r="D678" s="1264"/>
      <c r="E678" s="1282"/>
      <c r="F678" s="1266"/>
      <c r="G678" s="1282"/>
      <c r="H678" s="1268"/>
      <c r="I678" s="1269"/>
      <c r="J678" s="1205" t="s">
        <v>2321</v>
      </c>
    </row>
    <row r="679" spans="1:10" hidden="1">
      <c r="A679" s="1268"/>
      <c r="B679" s="1257"/>
      <c r="C679" s="1296" t="s">
        <v>621</v>
      </c>
      <c r="D679" s="1297">
        <v>1</v>
      </c>
      <c r="E679" s="1267" t="s">
        <v>325</v>
      </c>
      <c r="F679" s="1266">
        <v>1</v>
      </c>
      <c r="G679" s="1267" t="s">
        <v>115</v>
      </c>
      <c r="H679" s="1268">
        <f>'MINI SSR 21-22'!C116</f>
        <v>17</v>
      </c>
      <c r="I679" s="1269">
        <f>SUM(D679*H679/F679)</f>
        <v>17</v>
      </c>
      <c r="J679" s="1205" t="s">
        <v>2321</v>
      </c>
    </row>
    <row r="680" spans="1:10" hidden="1">
      <c r="A680" s="1268"/>
      <c r="B680" s="1257"/>
      <c r="C680" s="1296" t="s">
        <v>622</v>
      </c>
      <c r="D680" s="1297">
        <v>1</v>
      </c>
      <c r="E680" s="1267" t="s">
        <v>115</v>
      </c>
      <c r="F680" s="1266">
        <v>1</v>
      </c>
      <c r="G680" s="1267" t="s">
        <v>115</v>
      </c>
      <c r="H680" s="1268">
        <f>'MINI SSR 21-22'!C118</f>
        <v>26</v>
      </c>
      <c r="I680" s="1269">
        <f>SUM(D680*H680/F680)</f>
        <v>26</v>
      </c>
      <c r="J680" s="1205" t="s">
        <v>2321</v>
      </c>
    </row>
    <row r="681" spans="1:10" hidden="1">
      <c r="A681" s="1268"/>
      <c r="B681" s="1257"/>
      <c r="C681" s="1275" t="s">
        <v>388</v>
      </c>
      <c r="D681" s="1288"/>
      <c r="E681" s="1267"/>
      <c r="F681" s="1300"/>
      <c r="G681" s="1301"/>
      <c r="H681" s="1302"/>
      <c r="I681" s="1269">
        <f>SUM(I676:I680)</f>
        <v>118.04</v>
      </c>
      <c r="J681" s="1205" t="s">
        <v>2321</v>
      </c>
    </row>
    <row r="682" spans="1:10" ht="45" hidden="1">
      <c r="A682" s="1295" t="s">
        <v>1263</v>
      </c>
      <c r="B682" s="1263">
        <v>9</v>
      </c>
      <c r="C682" s="1270" t="s">
        <v>1238</v>
      </c>
      <c r="D682" s="1274"/>
      <c r="E682" s="1265"/>
      <c r="F682" s="1274"/>
      <c r="G682" s="1265"/>
      <c r="H682" s="1270"/>
      <c r="I682" s="1270"/>
      <c r="J682" s="1205" t="s">
        <v>2321</v>
      </c>
    </row>
    <row r="683" spans="1:10" hidden="1">
      <c r="A683" s="1268"/>
      <c r="B683" s="1257"/>
      <c r="C683" s="1270" t="s">
        <v>384</v>
      </c>
      <c r="D683" s="1264"/>
      <c r="E683" s="1267"/>
      <c r="F683" s="1266"/>
      <c r="G683" s="1267"/>
      <c r="H683" s="1268"/>
      <c r="I683" s="1269"/>
      <c r="J683" s="1205" t="s">
        <v>2321</v>
      </c>
    </row>
    <row r="684" spans="1:10" hidden="1">
      <c r="A684" s="1268"/>
      <c r="B684" s="1257"/>
      <c r="C684" s="1270" t="s">
        <v>1661</v>
      </c>
      <c r="D684" s="1299">
        <v>0.1</v>
      </c>
      <c r="E684" s="1282" t="s">
        <v>27</v>
      </c>
      <c r="F684" s="1266">
        <v>1</v>
      </c>
      <c r="G684" s="1282" t="s">
        <v>27</v>
      </c>
      <c r="H684" s="1268">
        <f>'MINI SSR 21-22'!$H$16</f>
        <v>650</v>
      </c>
      <c r="I684" s="1269">
        <f>SUM(D684*H684/F684)</f>
        <v>65</v>
      </c>
      <c r="J684" s="1205" t="s">
        <v>2321</v>
      </c>
    </row>
    <row r="685" spans="1:10" hidden="1">
      <c r="A685" s="1268"/>
      <c r="B685" s="1257"/>
      <c r="C685" s="1270" t="s">
        <v>700</v>
      </c>
      <c r="D685" s="1299">
        <v>0.1</v>
      </c>
      <c r="E685" s="1282" t="s">
        <v>27</v>
      </c>
      <c r="F685" s="1266">
        <v>1</v>
      </c>
      <c r="G685" s="1282" t="s">
        <v>27</v>
      </c>
      <c r="H685" s="1268">
        <f>'MINI SSR 21-22'!$H$18</f>
        <v>470</v>
      </c>
      <c r="I685" s="1280">
        <f>SUM(D685*H685/F685)</f>
        <v>47</v>
      </c>
      <c r="J685" s="1205" t="s">
        <v>2321</v>
      </c>
    </row>
    <row r="686" spans="1:10" hidden="1">
      <c r="A686" s="1268"/>
      <c r="B686" s="1257"/>
      <c r="C686" s="1270" t="s">
        <v>327</v>
      </c>
      <c r="D686" s="1264"/>
      <c r="E686" s="1282"/>
      <c r="F686" s="1266"/>
      <c r="G686" s="1282"/>
      <c r="H686" s="1268"/>
      <c r="I686" s="1269"/>
      <c r="J686" s="1205" t="s">
        <v>2321</v>
      </c>
    </row>
    <row r="687" spans="1:10" hidden="1">
      <c r="A687" s="1268"/>
      <c r="B687" s="1257"/>
      <c r="C687" s="1296" t="s">
        <v>1264</v>
      </c>
      <c r="D687" s="1297">
        <v>1</v>
      </c>
      <c r="E687" s="1267" t="s">
        <v>325</v>
      </c>
      <c r="F687" s="1266">
        <v>1</v>
      </c>
      <c r="G687" s="1267" t="s">
        <v>115</v>
      </c>
      <c r="H687" s="1268">
        <f>'MINI SSR 21-22'!C121</f>
        <v>44</v>
      </c>
      <c r="I687" s="1269">
        <f>SUM(D687*H687/F687)</f>
        <v>44</v>
      </c>
      <c r="J687" s="1205" t="s">
        <v>2321</v>
      </c>
    </row>
    <row r="688" spans="1:10" hidden="1">
      <c r="A688" s="1268"/>
      <c r="B688" s="1257"/>
      <c r="C688" s="1296" t="s">
        <v>1266</v>
      </c>
      <c r="D688" s="1297">
        <v>1</v>
      </c>
      <c r="E688" s="1267" t="s">
        <v>115</v>
      </c>
      <c r="F688" s="1266">
        <v>1</v>
      </c>
      <c r="G688" s="1267" t="s">
        <v>115</v>
      </c>
      <c r="H688" s="1268">
        <f>'MINI SSR 21-22'!C122</f>
        <v>127</v>
      </c>
      <c r="I688" s="1269">
        <f>SUM(D688*H688/F688)</f>
        <v>127</v>
      </c>
      <c r="J688" s="1205" t="s">
        <v>2321</v>
      </c>
    </row>
    <row r="689" spans="1:10" ht="22.5" hidden="1">
      <c r="A689" s="1268"/>
      <c r="B689" s="1257"/>
      <c r="C689" s="1296" t="s">
        <v>1265</v>
      </c>
      <c r="D689" s="1297">
        <v>1</v>
      </c>
      <c r="E689" s="1267" t="s">
        <v>115</v>
      </c>
      <c r="F689" s="1266">
        <v>1</v>
      </c>
      <c r="G689" s="1267" t="s">
        <v>115</v>
      </c>
      <c r="H689" s="1268">
        <f>'MINI SSR 21-22'!C123</f>
        <v>127</v>
      </c>
      <c r="I689" s="1269">
        <f>SUM(D689*H689/F689)</f>
        <v>127</v>
      </c>
      <c r="J689" s="1205" t="s">
        <v>2321</v>
      </c>
    </row>
    <row r="690" spans="1:10" hidden="1">
      <c r="A690" s="1268"/>
      <c r="B690" s="1257"/>
      <c r="C690" s="1275" t="s">
        <v>388</v>
      </c>
      <c r="D690" s="1288"/>
      <c r="E690" s="1267"/>
      <c r="F690" s="1300"/>
      <c r="G690" s="1301"/>
      <c r="H690" s="1302"/>
      <c r="I690" s="1269">
        <f>SUM(I684:I689)</f>
        <v>410</v>
      </c>
      <c r="J690" s="1205" t="s">
        <v>2321</v>
      </c>
    </row>
    <row r="691" spans="1:10" ht="45" hidden="1">
      <c r="A691" s="1268" t="s">
        <v>441</v>
      </c>
      <c r="B691" s="1263">
        <v>27</v>
      </c>
      <c r="C691" s="1270" t="s">
        <v>620</v>
      </c>
      <c r="D691" s="1274"/>
      <c r="E691" s="1265"/>
      <c r="F691" s="1274"/>
      <c r="G691" s="1265"/>
      <c r="H691" s="1270"/>
      <c r="I691" s="1270"/>
      <c r="J691" s="1205" t="s">
        <v>2321</v>
      </c>
    </row>
    <row r="692" spans="1:10" hidden="1">
      <c r="A692" s="1268"/>
      <c r="B692" s="1257"/>
      <c r="C692" s="1270" t="s">
        <v>384</v>
      </c>
      <c r="D692" s="1264"/>
      <c r="E692" s="1267"/>
      <c r="F692" s="1266"/>
      <c r="G692" s="1267"/>
      <c r="H692" s="1268"/>
      <c r="I692" s="1269"/>
      <c r="J692" s="1205" t="s">
        <v>2321</v>
      </c>
    </row>
    <row r="693" spans="1:10" hidden="1">
      <c r="A693" s="1268"/>
      <c r="B693" s="1257"/>
      <c r="C693" s="1270" t="s">
        <v>1661</v>
      </c>
      <c r="D693" s="1299">
        <v>6.7000000000000004E-2</v>
      </c>
      <c r="E693" s="1282" t="s">
        <v>27</v>
      </c>
      <c r="F693" s="1266">
        <v>1</v>
      </c>
      <c r="G693" s="1282" t="s">
        <v>27</v>
      </c>
      <c r="H693" s="1268">
        <f>'MINI SSR 21-22'!$H$16</f>
        <v>650</v>
      </c>
      <c r="I693" s="1269">
        <f>SUM(D693*H693/F693)</f>
        <v>43.550000000000004</v>
      </c>
      <c r="J693" s="1205" t="s">
        <v>2321</v>
      </c>
    </row>
    <row r="694" spans="1:10" hidden="1">
      <c r="A694" s="1268"/>
      <c r="B694" s="1257"/>
      <c r="C694" s="1270" t="s">
        <v>700</v>
      </c>
      <c r="D694" s="1299">
        <v>6.7000000000000004E-2</v>
      </c>
      <c r="E694" s="1282" t="s">
        <v>27</v>
      </c>
      <c r="F694" s="1266">
        <v>1</v>
      </c>
      <c r="G694" s="1282" t="s">
        <v>27</v>
      </c>
      <c r="H694" s="1268">
        <f>'MINI SSR 21-22'!$H$18</f>
        <v>470</v>
      </c>
      <c r="I694" s="1280">
        <f>SUM(D694*H694/F694)</f>
        <v>31.490000000000002</v>
      </c>
      <c r="J694" s="1205" t="s">
        <v>2321</v>
      </c>
    </row>
    <row r="695" spans="1:10" hidden="1">
      <c r="A695" s="1268"/>
      <c r="B695" s="1257"/>
      <c r="C695" s="1270" t="s">
        <v>327</v>
      </c>
      <c r="D695" s="1264"/>
      <c r="E695" s="1282"/>
      <c r="F695" s="1266"/>
      <c r="G695" s="1282"/>
      <c r="H695" s="1268"/>
      <c r="I695" s="1269"/>
      <c r="J695" s="1205" t="s">
        <v>2321</v>
      </c>
    </row>
    <row r="696" spans="1:10" hidden="1">
      <c r="A696" s="1268"/>
      <c r="B696" s="1257"/>
      <c r="C696" s="1296" t="s">
        <v>621</v>
      </c>
      <c r="D696" s="1297">
        <v>1</v>
      </c>
      <c r="E696" s="1267" t="s">
        <v>325</v>
      </c>
      <c r="F696" s="1266">
        <v>1</v>
      </c>
      <c r="G696" s="1267" t="s">
        <v>115</v>
      </c>
      <c r="H696" s="1268">
        <f>'MINI SSR 21-22'!C116</f>
        <v>17</v>
      </c>
      <c r="I696" s="1269">
        <f>SUM(D696*H696/F696)</f>
        <v>17</v>
      </c>
      <c r="J696" s="1205" t="s">
        <v>2321</v>
      </c>
    </row>
    <row r="697" spans="1:10" hidden="1">
      <c r="A697" s="1268"/>
      <c r="B697" s="1257"/>
      <c r="C697" s="1296" t="s">
        <v>623</v>
      </c>
      <c r="D697" s="1297">
        <v>1</v>
      </c>
      <c r="E697" s="1267" t="s">
        <v>115</v>
      </c>
      <c r="F697" s="1266">
        <v>1</v>
      </c>
      <c r="G697" s="1267" t="s">
        <v>115</v>
      </c>
      <c r="H697" s="1268">
        <f>'MINI SSR 21-22'!C117</f>
        <v>20</v>
      </c>
      <c r="I697" s="1269">
        <f>SUM(D697*H697/F697)</f>
        <v>20</v>
      </c>
      <c r="J697" s="1205" t="s">
        <v>2321</v>
      </c>
    </row>
    <row r="698" spans="1:10" hidden="1">
      <c r="A698" s="1268"/>
      <c r="B698" s="1257"/>
      <c r="C698" s="1270" t="s">
        <v>945</v>
      </c>
      <c r="D698" s="1288"/>
      <c r="E698" s="1267"/>
      <c r="F698" s="1300"/>
      <c r="G698" s="1301"/>
      <c r="H698" s="1302"/>
      <c r="I698" s="1269">
        <f>SUM(I693:I697)</f>
        <v>112.04</v>
      </c>
      <c r="J698" s="1205" t="s">
        <v>2321</v>
      </c>
    </row>
    <row r="699" spans="1:10" ht="33.75" hidden="1">
      <c r="A699" s="1268" t="s">
        <v>1664</v>
      </c>
      <c r="B699" s="1263">
        <v>29</v>
      </c>
      <c r="C699" s="1270" t="s">
        <v>1665</v>
      </c>
      <c r="D699" s="1271"/>
      <c r="E699" s="1272"/>
      <c r="F699" s="1271"/>
      <c r="G699" s="1272"/>
      <c r="H699" s="1257"/>
      <c r="I699" s="1273"/>
      <c r="J699" s="1205" t="s">
        <v>2321</v>
      </c>
    </row>
    <row r="700" spans="1:10" ht="22.5" hidden="1">
      <c r="A700" s="1263"/>
      <c r="B700" s="1257"/>
      <c r="C700" s="1270" t="s">
        <v>391</v>
      </c>
      <c r="D700" s="1264"/>
      <c r="E700" s="1267"/>
      <c r="F700" s="1266"/>
      <c r="G700" s="1267"/>
      <c r="H700" s="1268"/>
      <c r="I700" s="1269"/>
      <c r="J700" s="1205" t="s">
        <v>2321</v>
      </c>
    </row>
    <row r="701" spans="1:10" hidden="1">
      <c r="A701" s="1263"/>
      <c r="B701" s="1257"/>
      <c r="C701" s="1270" t="s">
        <v>384</v>
      </c>
      <c r="D701" s="1264"/>
      <c r="E701" s="1267"/>
      <c r="F701" s="1266"/>
      <c r="G701" s="1267"/>
      <c r="H701" s="1268"/>
      <c r="I701" s="1269"/>
      <c r="J701" s="1205" t="s">
        <v>2321</v>
      </c>
    </row>
    <row r="702" spans="1:10" hidden="1">
      <c r="A702" s="1263"/>
      <c r="B702" s="1257"/>
      <c r="C702" s="1281" t="s">
        <v>1661</v>
      </c>
      <c r="D702" s="1264">
        <v>0.67</v>
      </c>
      <c r="E702" s="1282" t="s">
        <v>27</v>
      </c>
      <c r="F702" s="1266">
        <v>1</v>
      </c>
      <c r="G702" s="1282" t="s">
        <v>27</v>
      </c>
      <c r="H702" s="1268">
        <f>'MINI SSR 21-22'!$H$16</f>
        <v>650</v>
      </c>
      <c r="I702" s="1269">
        <f>SUM(D702*H702/F702)</f>
        <v>435.5</v>
      </c>
      <c r="J702" s="1205" t="s">
        <v>2321</v>
      </c>
    </row>
    <row r="703" spans="1:10" hidden="1">
      <c r="A703" s="1263"/>
      <c r="B703" s="1257"/>
      <c r="C703" s="1281" t="s">
        <v>1662</v>
      </c>
      <c r="D703" s="1264">
        <v>2</v>
      </c>
      <c r="E703" s="1282" t="s">
        <v>27</v>
      </c>
      <c r="F703" s="1266">
        <v>1</v>
      </c>
      <c r="G703" s="1282" t="s">
        <v>27</v>
      </c>
      <c r="H703" s="1268">
        <f>'MINI SSR 21-22'!$H$17</f>
        <v>530</v>
      </c>
      <c r="I703" s="1269">
        <f>SUM(D703*H703/F703)</f>
        <v>1060</v>
      </c>
      <c r="J703" s="1205" t="s">
        <v>2321</v>
      </c>
    </row>
    <row r="704" spans="1:10" hidden="1">
      <c r="A704" s="1263"/>
      <c r="B704" s="1257"/>
      <c r="C704" s="1281" t="s">
        <v>700</v>
      </c>
      <c r="D704" s="1264">
        <v>0.67</v>
      </c>
      <c r="E704" s="1282" t="s">
        <v>27</v>
      </c>
      <c r="F704" s="1266">
        <v>1</v>
      </c>
      <c r="G704" s="1282" t="s">
        <v>27</v>
      </c>
      <c r="H704" s="1268">
        <f>'MINI SSR 21-22'!$H$18</f>
        <v>470</v>
      </c>
      <c r="I704" s="1269">
        <f>SUM(D704*H704/F704)</f>
        <v>314.90000000000003</v>
      </c>
      <c r="J704" s="1205" t="s">
        <v>2321</v>
      </c>
    </row>
    <row r="705" spans="1:10" hidden="1">
      <c r="A705" s="1263"/>
      <c r="B705" s="1257"/>
      <c r="C705" s="1270" t="s">
        <v>327</v>
      </c>
      <c r="D705" s="1264"/>
      <c r="E705" s="1282"/>
      <c r="F705" s="1266"/>
      <c r="G705" s="1282"/>
      <c r="H705" s="1268"/>
      <c r="I705" s="1269"/>
      <c r="J705" s="1205" t="s">
        <v>2321</v>
      </c>
    </row>
    <row r="706" spans="1:10" ht="33.75" hidden="1">
      <c r="A706" s="1263"/>
      <c r="B706" s="1257">
        <v>30</v>
      </c>
      <c r="C706" s="1296" t="s">
        <v>398</v>
      </c>
      <c r="D706" s="1264">
        <v>200</v>
      </c>
      <c r="E706" s="1267" t="s">
        <v>395</v>
      </c>
      <c r="F706" s="1266">
        <v>100</v>
      </c>
      <c r="G706" s="1267" t="s">
        <v>395</v>
      </c>
      <c r="H706" s="1268">
        <f>'MINI SSR 21-22'!C128</f>
        <v>1737</v>
      </c>
      <c r="I706" s="1269">
        <f>SUM(D706*H706/F706)</f>
        <v>3474</v>
      </c>
      <c r="J706" s="1205" t="s">
        <v>2321</v>
      </c>
    </row>
    <row r="707" spans="1:10" hidden="1">
      <c r="A707" s="1263"/>
      <c r="B707" s="1257"/>
      <c r="C707" s="1270" t="s">
        <v>399</v>
      </c>
      <c r="D707" s="1264"/>
      <c r="E707" s="1267"/>
      <c r="F707" s="1266"/>
      <c r="G707" s="1267"/>
      <c r="H707" s="1268"/>
      <c r="I707" s="1269">
        <f>SUM(I706:I706)</f>
        <v>3474</v>
      </c>
      <c r="J707" s="1205" t="s">
        <v>2321</v>
      </c>
    </row>
    <row r="708" spans="1:10" hidden="1">
      <c r="A708" s="1263"/>
      <c r="B708" s="1257"/>
      <c r="C708" s="1270" t="s">
        <v>400</v>
      </c>
      <c r="D708" s="1264"/>
      <c r="E708" s="1267"/>
      <c r="F708" s="1266"/>
      <c r="G708" s="1267"/>
      <c r="H708" s="1268"/>
      <c r="I708" s="1269">
        <f>SUM(I707/100)</f>
        <v>34.74</v>
      </c>
      <c r="J708" s="1205" t="s">
        <v>2321</v>
      </c>
    </row>
    <row r="709" spans="1:10" hidden="1">
      <c r="A709" s="1263"/>
      <c r="B709" s="1257"/>
      <c r="C709" s="1270" t="s">
        <v>399</v>
      </c>
      <c r="D709" s="1264"/>
      <c r="E709" s="1267"/>
      <c r="F709" s="1266"/>
      <c r="G709" s="1267"/>
      <c r="H709" s="1302"/>
      <c r="I709" s="1269">
        <f>SUM(I706:I708)</f>
        <v>6982.74</v>
      </c>
      <c r="J709" s="1205" t="s">
        <v>2321</v>
      </c>
    </row>
    <row r="710" spans="1:10" hidden="1">
      <c r="A710" s="1263"/>
      <c r="B710" s="1257"/>
      <c r="C710" s="1270" t="s">
        <v>400</v>
      </c>
      <c r="D710" s="1264"/>
      <c r="E710" s="1267"/>
      <c r="F710" s="1266"/>
      <c r="G710" s="1267"/>
      <c r="H710" s="1302"/>
      <c r="I710" s="1269">
        <f>ROUND(I709/100,2)</f>
        <v>69.83</v>
      </c>
      <c r="J710" s="1205" t="s">
        <v>2321</v>
      </c>
    </row>
    <row r="711" spans="1:10" ht="33.75" hidden="1">
      <c r="A711" s="1268" t="s">
        <v>2088</v>
      </c>
      <c r="B711" s="1263">
        <v>8</v>
      </c>
      <c r="C711" s="1270" t="s">
        <v>2093</v>
      </c>
      <c r="D711" s="1271"/>
      <c r="E711" s="1272"/>
      <c r="F711" s="1271"/>
      <c r="G711" s="1272"/>
      <c r="H711" s="1257"/>
      <c r="I711" s="1273"/>
      <c r="J711" s="1205" t="s">
        <v>2321</v>
      </c>
    </row>
    <row r="712" spans="1:10" hidden="1">
      <c r="A712" s="1263"/>
      <c r="B712" s="1257"/>
      <c r="C712" s="1270" t="s">
        <v>384</v>
      </c>
      <c r="D712" s="1264"/>
      <c r="E712" s="1267"/>
      <c r="F712" s="1266"/>
      <c r="G712" s="1267"/>
      <c r="H712" s="1268"/>
      <c r="I712" s="1269"/>
      <c r="J712" s="1205" t="s">
        <v>2321</v>
      </c>
    </row>
    <row r="713" spans="1:10" hidden="1">
      <c r="A713" s="1263"/>
      <c r="B713" s="1257"/>
      <c r="C713" s="1281" t="s">
        <v>1661</v>
      </c>
      <c r="D713" s="1264">
        <v>0.34</v>
      </c>
      <c r="E713" s="1282" t="s">
        <v>27</v>
      </c>
      <c r="F713" s="1266">
        <v>1</v>
      </c>
      <c r="G713" s="1282" t="s">
        <v>27</v>
      </c>
      <c r="H713" s="1268">
        <f>'MINI SSR 21-22'!$H$16</f>
        <v>650</v>
      </c>
      <c r="I713" s="1269">
        <f>SUM(D713*H713/F713)</f>
        <v>221.00000000000003</v>
      </c>
      <c r="J713" s="1205" t="s">
        <v>2321</v>
      </c>
    </row>
    <row r="714" spans="1:10" hidden="1">
      <c r="A714" s="1263"/>
      <c r="B714" s="1257"/>
      <c r="C714" s="1281" t="s">
        <v>1662</v>
      </c>
      <c r="D714" s="1264">
        <v>1</v>
      </c>
      <c r="E714" s="1282" t="s">
        <v>27</v>
      </c>
      <c r="F714" s="1266">
        <v>1</v>
      </c>
      <c r="G714" s="1282" t="s">
        <v>27</v>
      </c>
      <c r="H714" s="1268">
        <f>'MINI SSR 21-22'!$H$17</f>
        <v>530</v>
      </c>
      <c r="I714" s="1269">
        <f>SUM(D714*H714/F714)</f>
        <v>530</v>
      </c>
      <c r="J714" s="1205" t="s">
        <v>2321</v>
      </c>
    </row>
    <row r="715" spans="1:10" hidden="1">
      <c r="A715" s="1263"/>
      <c r="B715" s="1257"/>
      <c r="C715" s="1281" t="s">
        <v>700</v>
      </c>
      <c r="D715" s="1264">
        <v>0.34</v>
      </c>
      <c r="E715" s="1282" t="s">
        <v>27</v>
      </c>
      <c r="F715" s="1266">
        <v>1</v>
      </c>
      <c r="G715" s="1282" t="s">
        <v>27</v>
      </c>
      <c r="H715" s="1268">
        <f>'MINI SSR 21-22'!$H$18</f>
        <v>470</v>
      </c>
      <c r="I715" s="1269">
        <f>SUM(D715*H715/F715)</f>
        <v>159.80000000000001</v>
      </c>
      <c r="J715" s="1205" t="s">
        <v>2321</v>
      </c>
    </row>
    <row r="716" spans="1:10" hidden="1">
      <c r="A716" s="1263"/>
      <c r="B716" s="1257"/>
      <c r="C716" s="1296" t="s">
        <v>2089</v>
      </c>
      <c r="D716" s="1264">
        <v>100</v>
      </c>
      <c r="E716" s="1267" t="s">
        <v>395</v>
      </c>
      <c r="F716" s="1266">
        <v>100</v>
      </c>
      <c r="G716" s="1267" t="s">
        <v>395</v>
      </c>
      <c r="H716" s="1268">
        <f>'MINI SSR 21-22'!C134</f>
        <v>1208</v>
      </c>
      <c r="I716" s="1269">
        <f>SUM(D716*H716/F716)</f>
        <v>1208</v>
      </c>
      <c r="J716" s="1205" t="s">
        <v>2321</v>
      </c>
    </row>
    <row r="717" spans="1:10" hidden="1">
      <c r="A717" s="1263"/>
      <c r="B717" s="1257"/>
      <c r="C717" s="1270" t="s">
        <v>399</v>
      </c>
      <c r="D717" s="1264"/>
      <c r="E717" s="1267"/>
      <c r="F717" s="1266"/>
      <c r="G717" s="1267"/>
      <c r="H717" s="1268"/>
      <c r="I717" s="1269">
        <f>SUM(I713:I716)</f>
        <v>2118.8000000000002</v>
      </c>
      <c r="J717" s="1205" t="s">
        <v>2321</v>
      </c>
    </row>
    <row r="718" spans="1:10" hidden="1">
      <c r="A718" s="1263"/>
      <c r="B718" s="1257"/>
      <c r="C718" s="1270" t="s">
        <v>400</v>
      </c>
      <c r="D718" s="1264"/>
      <c r="E718" s="1267"/>
      <c r="F718" s="1266"/>
      <c r="G718" s="1267"/>
      <c r="H718" s="1268"/>
      <c r="I718" s="1269">
        <f>ROUND(I717/100,2)</f>
        <v>21.19</v>
      </c>
      <c r="J718" s="1205" t="s">
        <v>2321</v>
      </c>
    </row>
    <row r="719" spans="1:10" ht="46.5" hidden="1" customHeight="1">
      <c r="A719" s="1295" t="s">
        <v>723</v>
      </c>
      <c r="B719" s="1263">
        <v>8</v>
      </c>
      <c r="C719" s="1270" t="s">
        <v>3632</v>
      </c>
      <c r="D719" s="1271"/>
      <c r="E719" s="1272"/>
      <c r="F719" s="1271"/>
      <c r="G719" s="1272"/>
      <c r="H719" s="1257"/>
      <c r="I719" s="1269"/>
      <c r="J719" s="1205" t="s">
        <v>2321</v>
      </c>
    </row>
    <row r="720" spans="1:10" hidden="1">
      <c r="A720" s="1263"/>
      <c r="B720" s="1257"/>
      <c r="C720" s="1270" t="s">
        <v>384</v>
      </c>
      <c r="D720" s="1264"/>
      <c r="E720" s="1267"/>
      <c r="F720" s="1266"/>
      <c r="G720" s="1267"/>
      <c r="H720" s="1268"/>
      <c r="I720" s="1269"/>
      <c r="J720" s="1205" t="s">
        <v>2321</v>
      </c>
    </row>
    <row r="721" spans="1:10" hidden="1">
      <c r="A721" s="1263"/>
      <c r="B721" s="1257"/>
      <c r="C721" s="1281" t="s">
        <v>1661</v>
      </c>
      <c r="D721" s="1264">
        <v>0.67</v>
      </c>
      <c r="E721" s="1282" t="s">
        <v>27</v>
      </c>
      <c r="F721" s="1266">
        <v>1</v>
      </c>
      <c r="G721" s="1282" t="s">
        <v>27</v>
      </c>
      <c r="H721" s="1268">
        <f>'MINI SSR 21-22'!$H$16</f>
        <v>650</v>
      </c>
      <c r="I721" s="1269">
        <f>SUM(D721*H721/F721)</f>
        <v>435.5</v>
      </c>
      <c r="J721" s="1205" t="s">
        <v>2321</v>
      </c>
    </row>
    <row r="722" spans="1:10" hidden="1">
      <c r="A722" s="1263"/>
      <c r="B722" s="1257"/>
      <c r="C722" s="1281" t="s">
        <v>1662</v>
      </c>
      <c r="D722" s="1264">
        <v>2</v>
      </c>
      <c r="E722" s="1282" t="s">
        <v>27</v>
      </c>
      <c r="F722" s="1266">
        <v>1</v>
      </c>
      <c r="G722" s="1282" t="s">
        <v>27</v>
      </c>
      <c r="H722" s="1268">
        <f>'MINI SSR 21-22'!$H$17</f>
        <v>530</v>
      </c>
      <c r="I722" s="1269">
        <f>SUM(D722*H722/F722)</f>
        <v>1060</v>
      </c>
      <c r="J722" s="1205" t="s">
        <v>2321</v>
      </c>
    </row>
    <row r="723" spans="1:10" hidden="1">
      <c r="A723" s="1263"/>
      <c r="B723" s="1257"/>
      <c r="C723" s="1281" t="s">
        <v>700</v>
      </c>
      <c r="D723" s="1264">
        <v>0.67</v>
      </c>
      <c r="E723" s="1282" t="s">
        <v>27</v>
      </c>
      <c r="F723" s="1266">
        <v>1</v>
      </c>
      <c r="G723" s="1282" t="s">
        <v>27</v>
      </c>
      <c r="H723" s="1268">
        <f>'MINI SSR 21-22'!$H$18</f>
        <v>470</v>
      </c>
      <c r="I723" s="1269">
        <f>SUM(D723*H723/F723)</f>
        <v>314.90000000000003</v>
      </c>
      <c r="J723" s="1205" t="s">
        <v>2321</v>
      </c>
    </row>
    <row r="724" spans="1:10" hidden="1">
      <c r="A724" s="1263"/>
      <c r="B724" s="1257"/>
      <c r="C724" s="1270" t="s">
        <v>327</v>
      </c>
      <c r="D724" s="1264"/>
      <c r="E724" s="1282"/>
      <c r="F724" s="1266"/>
      <c r="G724" s="1282"/>
      <c r="H724" s="1268"/>
      <c r="I724" s="1269"/>
      <c r="J724" s="1205" t="s">
        <v>2321</v>
      </c>
    </row>
    <row r="725" spans="1:10" ht="33.75" hidden="1">
      <c r="A725" s="1263"/>
      <c r="B725" s="1257"/>
      <c r="C725" s="1296" t="s">
        <v>1666</v>
      </c>
      <c r="D725" s="1264">
        <v>200</v>
      </c>
      <c r="E725" s="1267" t="s">
        <v>395</v>
      </c>
      <c r="F725" s="1266">
        <v>100</v>
      </c>
      <c r="G725" s="1267" t="s">
        <v>395</v>
      </c>
      <c r="H725" s="1268">
        <f>'MINI SSR 21-22'!C129</f>
        <v>2806</v>
      </c>
      <c r="I725" s="1269">
        <f>SUM(D725*H725/F725)</f>
        <v>5612</v>
      </c>
      <c r="J725" s="1205" t="s">
        <v>2321</v>
      </c>
    </row>
    <row r="726" spans="1:10" hidden="1">
      <c r="A726" s="1263"/>
      <c r="B726" s="1257"/>
      <c r="C726" s="1270" t="s">
        <v>399</v>
      </c>
      <c r="D726" s="1264"/>
      <c r="E726" s="1267"/>
      <c r="F726" s="1266"/>
      <c r="G726" s="1267"/>
      <c r="H726" s="1268"/>
      <c r="I726" s="1269">
        <f>SUM(I721:I725)</f>
        <v>7422.4</v>
      </c>
      <c r="J726" s="1205" t="s">
        <v>2321</v>
      </c>
    </row>
    <row r="727" spans="1:10" hidden="1">
      <c r="A727" s="1263"/>
      <c r="B727" s="1257"/>
      <c r="C727" s="1270" t="s">
        <v>400</v>
      </c>
      <c r="D727" s="1264"/>
      <c r="E727" s="1267"/>
      <c r="F727" s="1266"/>
      <c r="G727" s="1267"/>
      <c r="H727" s="1268"/>
      <c r="I727" s="1269">
        <f>SUM(I726/100)</f>
        <v>74.22399999999999</v>
      </c>
      <c r="J727" s="1205" t="s">
        <v>2321</v>
      </c>
    </row>
    <row r="728" spans="1:10" ht="45" hidden="1">
      <c r="A728" s="1295" t="s">
        <v>724</v>
      </c>
      <c r="B728" s="1263">
        <v>11</v>
      </c>
      <c r="C728" s="1270" t="s">
        <v>402</v>
      </c>
      <c r="D728" s="1271"/>
      <c r="E728" s="1272"/>
      <c r="F728" s="1271"/>
      <c r="G728" s="1272"/>
      <c r="H728" s="1257"/>
      <c r="I728" s="1269"/>
      <c r="J728" s="1205" t="s">
        <v>2321</v>
      </c>
    </row>
    <row r="729" spans="1:10" ht="22.5" hidden="1">
      <c r="A729" s="1268"/>
      <c r="B729" s="1257"/>
      <c r="C729" s="1270" t="s">
        <v>403</v>
      </c>
      <c r="D729" s="1264"/>
      <c r="E729" s="1267"/>
      <c r="F729" s="1266"/>
      <c r="G729" s="1267"/>
      <c r="H729" s="1268"/>
      <c r="I729" s="1269"/>
      <c r="J729" s="1205" t="s">
        <v>2321</v>
      </c>
    </row>
    <row r="730" spans="1:10" hidden="1">
      <c r="A730" s="1268"/>
      <c r="B730" s="1257"/>
      <c r="C730" s="1270" t="s">
        <v>384</v>
      </c>
      <c r="D730" s="1264"/>
      <c r="E730" s="1267"/>
      <c r="F730" s="1266"/>
      <c r="G730" s="1267"/>
      <c r="H730" s="1268"/>
      <c r="I730" s="1269"/>
      <c r="J730" s="1205" t="s">
        <v>2321</v>
      </c>
    </row>
    <row r="731" spans="1:10" hidden="1">
      <c r="A731" s="1268"/>
      <c r="B731" s="1257"/>
      <c r="C731" s="1281" t="s">
        <v>1661</v>
      </c>
      <c r="D731" s="1264">
        <v>1</v>
      </c>
      <c r="E731" s="1282" t="s">
        <v>27</v>
      </c>
      <c r="F731" s="1266">
        <v>1</v>
      </c>
      <c r="G731" s="1282" t="s">
        <v>27</v>
      </c>
      <c r="H731" s="1268">
        <f>'MINI SSR 21-22'!$H$16</f>
        <v>650</v>
      </c>
      <c r="I731" s="1269">
        <f>SUM(D731*H731/F731)</f>
        <v>650</v>
      </c>
      <c r="J731" s="1205" t="s">
        <v>2321</v>
      </c>
    </row>
    <row r="732" spans="1:10" hidden="1">
      <c r="A732" s="1268"/>
      <c r="B732" s="1257"/>
      <c r="C732" s="1281" t="s">
        <v>1662</v>
      </c>
      <c r="D732" s="1264">
        <v>3</v>
      </c>
      <c r="E732" s="1282" t="s">
        <v>27</v>
      </c>
      <c r="F732" s="1266">
        <v>1</v>
      </c>
      <c r="G732" s="1282" t="s">
        <v>27</v>
      </c>
      <c r="H732" s="1268">
        <f>'MINI SSR 21-22'!$H$17</f>
        <v>530</v>
      </c>
      <c r="I732" s="1269">
        <f>SUM(D732*H732/F732)</f>
        <v>1590</v>
      </c>
      <c r="J732" s="1205" t="s">
        <v>2321</v>
      </c>
    </row>
    <row r="733" spans="1:10" hidden="1">
      <c r="A733" s="1268"/>
      <c r="B733" s="1257"/>
      <c r="C733" s="1281" t="s">
        <v>700</v>
      </c>
      <c r="D733" s="1264">
        <v>1</v>
      </c>
      <c r="E733" s="1282" t="s">
        <v>27</v>
      </c>
      <c r="F733" s="1266">
        <v>1</v>
      </c>
      <c r="G733" s="1282" t="s">
        <v>27</v>
      </c>
      <c r="H733" s="1268">
        <f>'MINI SSR 21-22'!$H$18</f>
        <v>470</v>
      </c>
      <c r="I733" s="1269">
        <f>SUM(D733*H733/F733)</f>
        <v>470</v>
      </c>
      <c r="J733" s="1205" t="s">
        <v>2321</v>
      </c>
    </row>
    <row r="734" spans="1:10" hidden="1">
      <c r="A734" s="1268"/>
      <c r="B734" s="1257"/>
      <c r="C734" s="1270" t="s">
        <v>327</v>
      </c>
      <c r="D734" s="1264"/>
      <c r="E734" s="1282"/>
      <c r="F734" s="1266"/>
      <c r="G734" s="1282"/>
      <c r="H734" s="1268"/>
      <c r="I734" s="1269"/>
      <c r="J734" s="1205" t="s">
        <v>2321</v>
      </c>
    </row>
    <row r="735" spans="1:10" ht="33.75" hidden="1">
      <c r="A735" s="1268"/>
      <c r="B735" s="1257"/>
      <c r="C735" s="1296" t="s">
        <v>1667</v>
      </c>
      <c r="D735" s="1264">
        <v>200</v>
      </c>
      <c r="E735" s="1267" t="s">
        <v>395</v>
      </c>
      <c r="F735" s="1266">
        <v>100</v>
      </c>
      <c r="G735" s="1267" t="s">
        <v>395</v>
      </c>
      <c r="H735" s="1268">
        <f>'MINI SSR 21-22'!C130</f>
        <v>4284</v>
      </c>
      <c r="I735" s="1269">
        <f>SUM(D735*H735/F735)</f>
        <v>8568</v>
      </c>
      <c r="J735" s="1205" t="s">
        <v>2321</v>
      </c>
    </row>
    <row r="736" spans="1:10" hidden="1">
      <c r="A736" s="1268"/>
      <c r="B736" s="1257"/>
      <c r="C736" s="1270" t="s">
        <v>399</v>
      </c>
      <c r="D736" s="1264"/>
      <c r="E736" s="1267"/>
      <c r="F736" s="1266"/>
      <c r="G736" s="1267"/>
      <c r="H736" s="1268"/>
      <c r="I736" s="1269">
        <f>SUM(I731:I735)</f>
        <v>11278</v>
      </c>
      <c r="J736" s="1205" t="s">
        <v>2321</v>
      </c>
    </row>
    <row r="737" spans="1:10" hidden="1">
      <c r="A737" s="1268"/>
      <c r="B737" s="1257"/>
      <c r="C737" s="1270" t="s">
        <v>400</v>
      </c>
      <c r="D737" s="1264"/>
      <c r="E737" s="1267"/>
      <c r="F737" s="1266"/>
      <c r="G737" s="1267"/>
      <c r="H737" s="1268"/>
      <c r="I737" s="1269">
        <f>SUM(I736/100)</f>
        <v>112.78</v>
      </c>
      <c r="J737" s="1205" t="s">
        <v>2321</v>
      </c>
    </row>
    <row r="738" spans="1:10" ht="45" hidden="1">
      <c r="A738" s="1295" t="s">
        <v>881</v>
      </c>
      <c r="B738" s="1263">
        <v>9</v>
      </c>
      <c r="C738" s="1270" t="s">
        <v>882</v>
      </c>
      <c r="D738" s="1271"/>
      <c r="E738" s="1272"/>
      <c r="F738" s="1271"/>
      <c r="G738" s="1272"/>
      <c r="H738" s="1257"/>
      <c r="I738" s="1269"/>
      <c r="J738" s="1205" t="s">
        <v>2321</v>
      </c>
    </row>
    <row r="739" spans="1:10" hidden="1">
      <c r="A739" s="1268"/>
      <c r="B739" s="1257"/>
      <c r="C739" s="1270" t="s">
        <v>384</v>
      </c>
      <c r="D739" s="1264"/>
      <c r="E739" s="1267"/>
      <c r="F739" s="1266"/>
      <c r="G739" s="1267"/>
      <c r="H739" s="1268"/>
      <c r="I739" s="1269"/>
      <c r="J739" s="1205" t="s">
        <v>2321</v>
      </c>
    </row>
    <row r="740" spans="1:10" hidden="1">
      <c r="A740" s="1268"/>
      <c r="B740" s="1257"/>
      <c r="C740" s="1281" t="s">
        <v>156</v>
      </c>
      <c r="D740" s="1264">
        <v>1</v>
      </c>
      <c r="E740" s="1282" t="s">
        <v>27</v>
      </c>
      <c r="F740" s="1266">
        <v>1</v>
      </c>
      <c r="G740" s="1282" t="s">
        <v>27</v>
      </c>
      <c r="H740" s="1268">
        <f>'MINI SSR 21-22'!$H$16</f>
        <v>650</v>
      </c>
      <c r="I740" s="1269">
        <f>SUM(D740*H740/F740)</f>
        <v>650</v>
      </c>
      <c r="J740" s="1205" t="s">
        <v>2321</v>
      </c>
    </row>
    <row r="741" spans="1:10" hidden="1">
      <c r="A741" s="1268"/>
      <c r="B741" s="1257"/>
      <c r="C741" s="1281" t="s">
        <v>886</v>
      </c>
      <c r="D741" s="1264">
        <v>1</v>
      </c>
      <c r="E741" s="1282" t="s">
        <v>27</v>
      </c>
      <c r="F741" s="1266">
        <v>1</v>
      </c>
      <c r="G741" s="1282" t="s">
        <v>27</v>
      </c>
      <c r="H741" s="1268">
        <f>'MINI SSR 21-22'!$H$17</f>
        <v>530</v>
      </c>
      <c r="I741" s="1269">
        <f>SUM(D741*H741/F741)</f>
        <v>530</v>
      </c>
      <c r="J741" s="1205" t="s">
        <v>2321</v>
      </c>
    </row>
    <row r="742" spans="1:10" hidden="1">
      <c r="A742" s="1268"/>
      <c r="B742" s="1257"/>
      <c r="C742" s="1281" t="s">
        <v>700</v>
      </c>
      <c r="D742" s="1264">
        <v>1</v>
      </c>
      <c r="E742" s="1282" t="s">
        <v>27</v>
      </c>
      <c r="F742" s="1266">
        <v>1</v>
      </c>
      <c r="G742" s="1282" t="s">
        <v>27</v>
      </c>
      <c r="H742" s="1268">
        <f>'MINI SSR 21-22'!$H$18</f>
        <v>470</v>
      </c>
      <c r="I742" s="1269">
        <f>SUM(D742*H742/F742)</f>
        <v>470</v>
      </c>
      <c r="J742" s="1205" t="s">
        <v>2321</v>
      </c>
    </row>
    <row r="743" spans="1:10" hidden="1">
      <c r="A743" s="1268"/>
      <c r="B743" s="1257"/>
      <c r="C743" s="1270" t="s">
        <v>327</v>
      </c>
      <c r="D743" s="1264"/>
      <c r="E743" s="1282"/>
      <c r="F743" s="1266"/>
      <c r="G743" s="1282"/>
      <c r="H743" s="1268"/>
      <c r="I743" s="1269"/>
      <c r="J743" s="1205" t="s">
        <v>2321</v>
      </c>
    </row>
    <row r="744" spans="1:10" hidden="1">
      <c r="A744" s="1268"/>
      <c r="B744" s="1257"/>
      <c r="C744" s="1296" t="s">
        <v>883</v>
      </c>
      <c r="D744" s="1264">
        <v>200</v>
      </c>
      <c r="E744" s="1267" t="s">
        <v>395</v>
      </c>
      <c r="F744" s="1266">
        <v>100</v>
      </c>
      <c r="G744" s="1267" t="s">
        <v>395</v>
      </c>
      <c r="H744" s="1268">
        <f>'MINI SSR 21-22'!C131</f>
        <v>1513</v>
      </c>
      <c r="I744" s="1269">
        <f>SUM(D744*H744/F744)</f>
        <v>3026</v>
      </c>
      <c r="J744" s="1205" t="s">
        <v>2321</v>
      </c>
    </row>
    <row r="745" spans="1:10" hidden="1">
      <c r="A745" s="1268"/>
      <c r="B745" s="1257"/>
      <c r="C745" s="1296" t="s">
        <v>884</v>
      </c>
      <c r="D745" s="1264">
        <v>6.7</v>
      </c>
      <c r="E745" s="1267" t="s">
        <v>4</v>
      </c>
      <c r="F745" s="1266">
        <v>1</v>
      </c>
      <c r="G745" s="1267" t="s">
        <v>4</v>
      </c>
      <c r="H745" s="1268">
        <f>'MINI SSR 21-22'!C132</f>
        <v>72</v>
      </c>
      <c r="I745" s="1269">
        <f>SUM(D745*H745/F745)</f>
        <v>482.40000000000003</v>
      </c>
      <c r="J745" s="1205" t="s">
        <v>2321</v>
      </c>
    </row>
    <row r="746" spans="1:10" hidden="1">
      <c r="A746" s="1268"/>
      <c r="B746" s="1257"/>
      <c r="C746" s="1296" t="s">
        <v>885</v>
      </c>
      <c r="D746" s="1264">
        <v>100</v>
      </c>
      <c r="E746" s="1267" t="s">
        <v>325</v>
      </c>
      <c r="F746" s="1266">
        <v>100</v>
      </c>
      <c r="G746" s="1267" t="s">
        <v>115</v>
      </c>
      <c r="H746" s="1268">
        <f>'MINI SSR 21-22'!C133</f>
        <v>473</v>
      </c>
      <c r="I746" s="1269">
        <f>SUM(D746*H746/F746)</f>
        <v>473</v>
      </c>
      <c r="J746" s="1205" t="s">
        <v>2321</v>
      </c>
    </row>
    <row r="747" spans="1:10" hidden="1">
      <c r="A747" s="1268"/>
      <c r="B747" s="1257"/>
      <c r="C747" s="1270" t="s">
        <v>399</v>
      </c>
      <c r="D747" s="1264"/>
      <c r="E747" s="1267"/>
      <c r="F747" s="1266"/>
      <c r="G747" s="1267"/>
      <c r="H747" s="1268"/>
      <c r="I747" s="1269">
        <f>SUM(I740:I746)</f>
        <v>5631.4</v>
      </c>
      <c r="J747" s="1205" t="s">
        <v>2321</v>
      </c>
    </row>
    <row r="748" spans="1:10" hidden="1">
      <c r="A748" s="1268"/>
      <c r="B748" s="1257"/>
      <c r="C748" s="1270" t="s">
        <v>400</v>
      </c>
      <c r="D748" s="1264"/>
      <c r="E748" s="1267"/>
      <c r="F748" s="1266"/>
      <c r="G748" s="1267"/>
      <c r="H748" s="1268"/>
      <c r="I748" s="1269">
        <f>SUM(I747/100)</f>
        <v>56.313999999999993</v>
      </c>
      <c r="J748" s="1205" t="s">
        <v>2321</v>
      </c>
    </row>
    <row r="749" spans="1:10" ht="33.75" hidden="1">
      <c r="A749" s="1295" t="s">
        <v>725</v>
      </c>
      <c r="B749" s="1263">
        <v>10</v>
      </c>
      <c r="C749" s="1270" t="s">
        <v>1268</v>
      </c>
      <c r="D749" s="1274"/>
      <c r="E749" s="1265"/>
      <c r="F749" s="1274"/>
      <c r="G749" s="1265"/>
      <c r="H749" s="1270"/>
      <c r="I749" s="1270"/>
      <c r="J749" s="1205" t="s">
        <v>2321</v>
      </c>
    </row>
    <row r="750" spans="1:10" hidden="1">
      <c r="A750" s="1263"/>
      <c r="B750" s="1257"/>
      <c r="C750" s="1270" t="s">
        <v>384</v>
      </c>
      <c r="D750" s="1264"/>
      <c r="E750" s="1267"/>
      <c r="F750" s="1266"/>
      <c r="G750" s="1267"/>
      <c r="H750" s="1268"/>
      <c r="I750" s="1269"/>
      <c r="J750" s="1205" t="s">
        <v>2321</v>
      </c>
    </row>
    <row r="751" spans="1:10" hidden="1">
      <c r="A751" s="1263"/>
      <c r="B751" s="1257"/>
      <c r="C751" s="1281" t="s">
        <v>1661</v>
      </c>
      <c r="D751" s="1264">
        <v>0.05</v>
      </c>
      <c r="E751" s="1282" t="s">
        <v>27</v>
      </c>
      <c r="F751" s="1266">
        <v>1</v>
      </c>
      <c r="G751" s="1282" t="s">
        <v>27</v>
      </c>
      <c r="H751" s="1268">
        <f>'MINI SSR 21-22'!$H$16</f>
        <v>650</v>
      </c>
      <c r="I751" s="1269">
        <f>SUM(D751*H751/F751)</f>
        <v>32.5</v>
      </c>
      <c r="J751" s="1205" t="s">
        <v>2321</v>
      </c>
    </row>
    <row r="752" spans="1:10" hidden="1">
      <c r="A752" s="1263"/>
      <c r="B752" s="1257"/>
      <c r="C752" s="1281" t="s">
        <v>700</v>
      </c>
      <c r="D752" s="1264">
        <v>0.05</v>
      </c>
      <c r="E752" s="1282" t="s">
        <v>27</v>
      </c>
      <c r="F752" s="1266">
        <v>1</v>
      </c>
      <c r="G752" s="1282" t="s">
        <v>27</v>
      </c>
      <c r="H752" s="1268">
        <f>'MINI SSR 21-22'!$H$18</f>
        <v>470</v>
      </c>
      <c r="I752" s="1280">
        <f>SUM(D752*H752/F752)</f>
        <v>23.5</v>
      </c>
      <c r="J752" s="1205" t="s">
        <v>2321</v>
      </c>
    </row>
    <row r="753" spans="1:10" hidden="1">
      <c r="A753" s="1263"/>
      <c r="B753" s="1257"/>
      <c r="C753" s="1270" t="s">
        <v>327</v>
      </c>
      <c r="D753" s="1264"/>
      <c r="E753" s="1282"/>
      <c r="F753" s="1266"/>
      <c r="G753" s="1282"/>
      <c r="H753" s="1268"/>
      <c r="I753" s="1269"/>
      <c r="J753" s="1205" t="s">
        <v>2321</v>
      </c>
    </row>
    <row r="754" spans="1:10" ht="33.75" hidden="1">
      <c r="A754" s="1263"/>
      <c r="B754" s="1257"/>
      <c r="C754" s="1270" t="s">
        <v>1668</v>
      </c>
      <c r="D754" s="1297">
        <v>1</v>
      </c>
      <c r="E754" s="1267" t="s">
        <v>325</v>
      </c>
      <c r="F754" s="1266">
        <v>1</v>
      </c>
      <c r="G754" s="1267" t="s">
        <v>115</v>
      </c>
      <c r="H754" s="1268">
        <f>'MINI SSR 21-22'!G114</f>
        <v>20</v>
      </c>
      <c r="I754" s="1269">
        <f>SUM(D754*H754/F754)</f>
        <v>20</v>
      </c>
      <c r="J754" s="1205" t="s">
        <v>2321</v>
      </c>
    </row>
    <row r="755" spans="1:10" hidden="1">
      <c r="A755" s="1263"/>
      <c r="B755" s="1257"/>
      <c r="C755" s="1270" t="s">
        <v>1267</v>
      </c>
      <c r="D755" s="1297">
        <v>1</v>
      </c>
      <c r="E755" s="1267" t="s">
        <v>325</v>
      </c>
      <c r="F755" s="1266">
        <v>1</v>
      </c>
      <c r="G755" s="1267" t="s">
        <v>115</v>
      </c>
      <c r="H755" s="1268">
        <f>'MINI SSR 21-22'!G115</f>
        <v>46</v>
      </c>
      <c r="I755" s="1269">
        <f>SUM(D755*H755/F755)</f>
        <v>46</v>
      </c>
      <c r="J755" s="1205" t="s">
        <v>2321</v>
      </c>
    </row>
    <row r="756" spans="1:10" hidden="1">
      <c r="A756" s="1263"/>
      <c r="B756" s="1257"/>
      <c r="C756" s="1270" t="s">
        <v>405</v>
      </c>
      <c r="D756" s="1264"/>
      <c r="E756" s="1282"/>
      <c r="F756" s="1266"/>
      <c r="G756" s="1282"/>
      <c r="H756" s="1268"/>
      <c r="I756" s="1269">
        <f>SUM(I751:I755)</f>
        <v>122</v>
      </c>
      <c r="J756" s="1205" t="s">
        <v>2321</v>
      </c>
    </row>
    <row r="757" spans="1:10" ht="45" hidden="1">
      <c r="A757" s="1268" t="s">
        <v>1669</v>
      </c>
      <c r="B757" s="1263">
        <v>11</v>
      </c>
      <c r="C757" s="1270" t="s">
        <v>406</v>
      </c>
      <c r="D757" s="1274"/>
      <c r="E757" s="1265"/>
      <c r="F757" s="1274"/>
      <c r="G757" s="1265"/>
      <c r="H757" s="1270"/>
      <c r="I757" s="1270"/>
      <c r="J757" s="1205" t="s">
        <v>2321</v>
      </c>
    </row>
    <row r="758" spans="1:10" hidden="1">
      <c r="A758" s="1263"/>
      <c r="B758" s="1257"/>
      <c r="C758" s="1309" t="s">
        <v>409</v>
      </c>
      <c r="D758" s="1264"/>
      <c r="E758" s="1267"/>
      <c r="F758" s="1266"/>
      <c r="G758" s="1267"/>
      <c r="H758" s="1268"/>
      <c r="I758" s="1269"/>
      <c r="J758" s="1205" t="s">
        <v>2321</v>
      </c>
    </row>
    <row r="759" spans="1:10" hidden="1">
      <c r="A759" s="1263"/>
      <c r="B759" s="1257"/>
      <c r="C759" s="1281" t="s">
        <v>1661</v>
      </c>
      <c r="D759" s="1299">
        <v>0.125</v>
      </c>
      <c r="E759" s="1282" t="s">
        <v>27</v>
      </c>
      <c r="F759" s="1266">
        <v>1</v>
      </c>
      <c r="G759" s="1282" t="s">
        <v>27</v>
      </c>
      <c r="H759" s="1268">
        <f>'MINI SSR 21-22'!$H$16</f>
        <v>650</v>
      </c>
      <c r="I759" s="1269">
        <f>SUM(D759*H759/F759)</f>
        <v>81.25</v>
      </c>
      <c r="J759" s="1205" t="s">
        <v>2321</v>
      </c>
    </row>
    <row r="760" spans="1:10" hidden="1">
      <c r="A760" s="1263"/>
      <c r="B760" s="1257"/>
      <c r="C760" s="1281" t="s">
        <v>700</v>
      </c>
      <c r="D760" s="1299">
        <v>0.125</v>
      </c>
      <c r="E760" s="1282" t="s">
        <v>27</v>
      </c>
      <c r="F760" s="1266">
        <v>1</v>
      </c>
      <c r="G760" s="1282" t="s">
        <v>27</v>
      </c>
      <c r="H760" s="1268">
        <f>'MINI SSR 21-22'!$H$18</f>
        <v>470</v>
      </c>
      <c r="I760" s="1280">
        <f>SUM(D760*H760/F760)</f>
        <v>58.75</v>
      </c>
      <c r="J760" s="1205" t="s">
        <v>2321</v>
      </c>
    </row>
    <row r="761" spans="1:10" hidden="1">
      <c r="A761" s="1263"/>
      <c r="B761" s="1257"/>
      <c r="C761" s="1270" t="s">
        <v>410</v>
      </c>
      <c r="D761" s="1264"/>
      <c r="E761" s="1282"/>
      <c r="F761" s="1266"/>
      <c r="G761" s="1282"/>
      <c r="H761" s="1268"/>
      <c r="I761" s="1269"/>
      <c r="J761" s="1205" t="s">
        <v>2321</v>
      </c>
    </row>
    <row r="762" spans="1:10" hidden="1">
      <c r="A762" s="1263"/>
      <c r="B762" s="1257"/>
      <c r="C762" s="1296" t="s">
        <v>1670</v>
      </c>
      <c r="D762" s="1264">
        <v>1</v>
      </c>
      <c r="E762" s="1267" t="s">
        <v>385</v>
      </c>
      <c r="F762" s="1266">
        <v>100</v>
      </c>
      <c r="G762" s="1267" t="s">
        <v>395</v>
      </c>
      <c r="H762" s="1268">
        <f>'MINI SSR 21-22'!G116</f>
        <v>1093</v>
      </c>
      <c r="I762" s="1269">
        <f>SUM(D762*H762/F762)</f>
        <v>10.93</v>
      </c>
      <c r="J762" s="1205" t="s">
        <v>2321</v>
      </c>
    </row>
    <row r="763" spans="1:10" hidden="1">
      <c r="A763" s="1263"/>
      <c r="B763" s="1257"/>
      <c r="C763" s="1296" t="s">
        <v>1671</v>
      </c>
      <c r="D763" s="1264">
        <v>1</v>
      </c>
      <c r="E763" s="1267" t="s">
        <v>115</v>
      </c>
      <c r="F763" s="1266">
        <v>1</v>
      </c>
      <c r="G763" s="1267" t="s">
        <v>115</v>
      </c>
      <c r="H763" s="1268">
        <f>'MINI SSR 21-22'!G117</f>
        <v>198</v>
      </c>
      <c r="I763" s="1269">
        <f>SUM(D763*H763/F763)</f>
        <v>198</v>
      </c>
      <c r="J763" s="1205" t="s">
        <v>2321</v>
      </c>
    </row>
    <row r="764" spans="1:10" hidden="1">
      <c r="A764" s="1263"/>
      <c r="B764" s="1257"/>
      <c r="C764" s="1296" t="s">
        <v>1672</v>
      </c>
      <c r="D764" s="1264">
        <v>1</v>
      </c>
      <c r="E764" s="1267" t="s">
        <v>325</v>
      </c>
      <c r="F764" s="1266">
        <v>1</v>
      </c>
      <c r="G764" s="1267" t="s">
        <v>325</v>
      </c>
      <c r="H764" s="1268">
        <f>'MINI SSR 21-22'!G118</f>
        <v>2645</v>
      </c>
      <c r="I764" s="1269">
        <f>SUM(D764*H764/F764)</f>
        <v>2645</v>
      </c>
      <c r="J764" s="1205" t="s">
        <v>2321</v>
      </c>
    </row>
    <row r="765" spans="1:10" hidden="1">
      <c r="A765" s="1263"/>
      <c r="B765" s="1257"/>
      <c r="C765" s="1270" t="s">
        <v>411</v>
      </c>
      <c r="D765" s="1264"/>
      <c r="E765" s="1267"/>
      <c r="F765" s="1266"/>
      <c r="G765" s="1267"/>
      <c r="H765" s="1648">
        <v>0.01</v>
      </c>
      <c r="I765" s="1269">
        <f>SUM(I764*H765)</f>
        <v>26.45</v>
      </c>
      <c r="J765" s="1205" t="s">
        <v>2321</v>
      </c>
    </row>
    <row r="766" spans="1:10" hidden="1">
      <c r="A766" s="1263"/>
      <c r="B766" s="1257"/>
      <c r="C766" s="1275" t="s">
        <v>388</v>
      </c>
      <c r="D766" s="1271"/>
      <c r="E766" s="1272"/>
      <c r="F766" s="1271"/>
      <c r="G766" s="1649"/>
      <c r="H766" s="1302"/>
      <c r="I766" s="1269">
        <f>SUM(I759:I765)</f>
        <v>3020.3799999999997</v>
      </c>
      <c r="J766" s="1205" t="s">
        <v>2321</v>
      </c>
    </row>
    <row r="767" spans="1:10" ht="33.75" hidden="1">
      <c r="A767" s="1268" t="s">
        <v>1673</v>
      </c>
      <c r="B767" s="1263">
        <v>12</v>
      </c>
      <c r="C767" s="1270" t="s">
        <v>946</v>
      </c>
      <c r="D767" s="1274"/>
      <c r="E767" s="1265"/>
      <c r="F767" s="1274"/>
      <c r="G767" s="1265"/>
      <c r="H767" s="1270"/>
      <c r="I767" s="1270"/>
      <c r="J767" s="1205" t="s">
        <v>2321</v>
      </c>
    </row>
    <row r="768" spans="1:10" hidden="1">
      <c r="A768" s="1263"/>
      <c r="B768" s="1257"/>
      <c r="C768" s="1296" t="s">
        <v>970</v>
      </c>
      <c r="D768" s="1264">
        <v>1</v>
      </c>
      <c r="E768" s="1267" t="s">
        <v>325</v>
      </c>
      <c r="F768" s="1266">
        <v>1</v>
      </c>
      <c r="G768" s="1267" t="s">
        <v>325</v>
      </c>
      <c r="H768" s="1268">
        <f>'MINI SSR 21-22'!G118</f>
        <v>2645</v>
      </c>
      <c r="I768" s="1269">
        <f>SUM(D768*H768/F768)</f>
        <v>2645</v>
      </c>
      <c r="J768" s="1205" t="s">
        <v>2321</v>
      </c>
    </row>
    <row r="769" spans="1:10" hidden="1">
      <c r="A769" s="1263"/>
      <c r="B769" s="1257"/>
      <c r="C769" s="1270" t="s">
        <v>411</v>
      </c>
      <c r="D769" s="1264"/>
      <c r="E769" s="1267"/>
      <c r="F769" s="1266"/>
      <c r="G769" s="1267"/>
      <c r="H769" s="1648">
        <v>0.01</v>
      </c>
      <c r="I769" s="1269">
        <f>SUM(I768*H769)</f>
        <v>26.45</v>
      </c>
      <c r="J769" s="1205" t="s">
        <v>2321</v>
      </c>
    </row>
    <row r="770" spans="1:10" hidden="1">
      <c r="A770" s="1263"/>
      <c r="B770" s="1257"/>
      <c r="C770" s="1275" t="s">
        <v>388</v>
      </c>
      <c r="D770" s="1271"/>
      <c r="E770" s="1272"/>
      <c r="F770" s="1271"/>
      <c r="G770" s="1649"/>
      <c r="H770" s="1302"/>
      <c r="I770" s="1269">
        <f>SUM(I768:I769)</f>
        <v>2671.45</v>
      </c>
      <c r="J770" s="1205" t="s">
        <v>2321</v>
      </c>
    </row>
    <row r="771" spans="1:10" ht="22.5" hidden="1">
      <c r="A771" s="1268" t="s">
        <v>1674</v>
      </c>
      <c r="B771" s="1263">
        <v>13</v>
      </c>
      <c r="C771" s="1270" t="s">
        <v>1675</v>
      </c>
      <c r="D771" s="1274"/>
      <c r="E771" s="1265"/>
      <c r="F771" s="1274"/>
      <c r="G771" s="1265"/>
      <c r="H771" s="1270"/>
      <c r="I771" s="1270"/>
      <c r="J771" s="1205" t="s">
        <v>2321</v>
      </c>
    </row>
    <row r="772" spans="1:10" hidden="1">
      <c r="A772" s="1263"/>
      <c r="B772" s="1257"/>
      <c r="C772" s="1296" t="s">
        <v>1671</v>
      </c>
      <c r="D772" s="1264">
        <v>1</v>
      </c>
      <c r="E772" s="1267" t="s">
        <v>325</v>
      </c>
      <c r="F772" s="1266">
        <v>1</v>
      </c>
      <c r="G772" s="1267" t="s">
        <v>325</v>
      </c>
      <c r="H772" s="1268">
        <f>'MINI SSR 21-22'!G117</f>
        <v>198</v>
      </c>
      <c r="I772" s="1269">
        <f>SUM(D772*H772/F772)</f>
        <v>198</v>
      </c>
      <c r="J772" s="1205" t="s">
        <v>2321</v>
      </c>
    </row>
    <row r="773" spans="1:10" hidden="1">
      <c r="A773" s="1263"/>
      <c r="B773" s="1257"/>
      <c r="C773" s="1281" t="s">
        <v>1661</v>
      </c>
      <c r="D773" s="1299">
        <v>0.1</v>
      </c>
      <c r="E773" s="1282" t="s">
        <v>27</v>
      </c>
      <c r="F773" s="1266">
        <v>1</v>
      </c>
      <c r="G773" s="1282" t="s">
        <v>27</v>
      </c>
      <c r="H773" s="1268">
        <f>'MINI SSR 21-22'!$H$16</f>
        <v>650</v>
      </c>
      <c r="I773" s="1269">
        <f>SUM(D773*H773/F773)</f>
        <v>65</v>
      </c>
      <c r="J773" s="1205" t="s">
        <v>2321</v>
      </c>
    </row>
    <row r="774" spans="1:10" hidden="1">
      <c r="A774" s="1263"/>
      <c r="B774" s="1257"/>
      <c r="C774" s="1270"/>
      <c r="D774" s="1264"/>
      <c r="E774" s="1267"/>
      <c r="F774" s="1266"/>
      <c r="G774" s="1267"/>
      <c r="H774" s="1648"/>
      <c r="I774" s="1269"/>
      <c r="J774" s="1205" t="s">
        <v>2321</v>
      </c>
    </row>
    <row r="775" spans="1:10" hidden="1">
      <c r="A775" s="1263"/>
      <c r="B775" s="1257"/>
      <c r="C775" s="1275" t="s">
        <v>388</v>
      </c>
      <c r="D775" s="1271"/>
      <c r="E775" s="1272"/>
      <c r="F775" s="1271"/>
      <c r="G775" s="1649"/>
      <c r="H775" s="1302"/>
      <c r="I775" s="1269">
        <f>SUM(I772:I774)</f>
        <v>263</v>
      </c>
      <c r="J775" s="1205" t="s">
        <v>2321</v>
      </c>
    </row>
    <row r="776" spans="1:10" ht="22.5" hidden="1">
      <c r="A776" s="1268" t="s">
        <v>1669</v>
      </c>
      <c r="B776" s="1263">
        <v>14</v>
      </c>
      <c r="C776" s="1270" t="s">
        <v>948</v>
      </c>
      <c r="D776" s="1274"/>
      <c r="E776" s="1265"/>
      <c r="F776" s="1274"/>
      <c r="G776" s="1265"/>
      <c r="H776" s="1270"/>
      <c r="I776" s="1270"/>
      <c r="J776" s="1205" t="s">
        <v>2321</v>
      </c>
    </row>
    <row r="777" spans="1:10" hidden="1">
      <c r="A777" s="1263"/>
      <c r="B777" s="1257"/>
      <c r="C777" s="1309" t="s">
        <v>409</v>
      </c>
      <c r="D777" s="1264"/>
      <c r="E777" s="1267"/>
      <c r="F777" s="1266"/>
      <c r="G777" s="1267"/>
      <c r="H777" s="1268"/>
      <c r="I777" s="1269"/>
      <c r="J777" s="1205" t="s">
        <v>2321</v>
      </c>
    </row>
    <row r="778" spans="1:10" hidden="1">
      <c r="A778" s="1263"/>
      <c r="B778" s="1257"/>
      <c r="C778" s="1281" t="s">
        <v>1661</v>
      </c>
      <c r="D778" s="1299">
        <v>0.125</v>
      </c>
      <c r="E778" s="1282" t="s">
        <v>27</v>
      </c>
      <c r="F778" s="1266">
        <v>1</v>
      </c>
      <c r="G778" s="1282" t="s">
        <v>27</v>
      </c>
      <c r="H778" s="1268">
        <f>'MINI SSR 21-22'!$H$16</f>
        <v>650</v>
      </c>
      <c r="I778" s="1269">
        <f>SUM(D778*H778/F778)</f>
        <v>81.25</v>
      </c>
      <c r="J778" s="1205" t="s">
        <v>2321</v>
      </c>
    </row>
    <row r="779" spans="1:10" hidden="1">
      <c r="A779" s="1263"/>
      <c r="B779" s="1257"/>
      <c r="C779" s="1281" t="s">
        <v>700</v>
      </c>
      <c r="D779" s="1299">
        <v>0.125</v>
      </c>
      <c r="E779" s="1282" t="s">
        <v>27</v>
      </c>
      <c r="F779" s="1266">
        <v>1</v>
      </c>
      <c r="G779" s="1282" t="s">
        <v>27</v>
      </c>
      <c r="H779" s="1268">
        <f>'MINI SSR 21-22'!$H$17</f>
        <v>530</v>
      </c>
      <c r="I779" s="1280">
        <f>SUM(D779*H779/F779)</f>
        <v>66.25</v>
      </c>
      <c r="J779" s="1205" t="s">
        <v>2321</v>
      </c>
    </row>
    <row r="780" spans="1:10" hidden="1">
      <c r="A780" s="1263"/>
      <c r="B780" s="1257"/>
      <c r="C780" s="1270" t="s">
        <v>410</v>
      </c>
      <c r="D780" s="1264"/>
      <c r="E780" s="1282"/>
      <c r="F780" s="1266"/>
      <c r="G780" s="1282"/>
      <c r="H780" s="1268"/>
      <c r="I780" s="1269"/>
      <c r="J780" s="1205" t="s">
        <v>2321</v>
      </c>
    </row>
    <row r="781" spans="1:10" hidden="1">
      <c r="A781" s="1263"/>
      <c r="B781" s="1257"/>
      <c r="C781" s="1296" t="s">
        <v>949</v>
      </c>
      <c r="D781" s="1264">
        <v>1</v>
      </c>
      <c r="E781" s="1267" t="s">
        <v>385</v>
      </c>
      <c r="F781" s="1266">
        <v>100</v>
      </c>
      <c r="G781" s="1267" t="s">
        <v>395</v>
      </c>
      <c r="H781" s="1268">
        <f>'MINI SSR 21-22'!G116</f>
        <v>1093</v>
      </c>
      <c r="I781" s="1269">
        <f>SUM(D781*H781/F781)</f>
        <v>10.93</v>
      </c>
      <c r="J781" s="1205" t="s">
        <v>2321</v>
      </c>
    </row>
    <row r="782" spans="1:10" hidden="1">
      <c r="A782" s="1263"/>
      <c r="B782" s="1257"/>
      <c r="C782" s="1275" t="s">
        <v>388</v>
      </c>
      <c r="D782" s="1271"/>
      <c r="E782" s="1272"/>
      <c r="F782" s="1271"/>
      <c r="G782" s="1649"/>
      <c r="H782" s="1302"/>
      <c r="I782" s="1269">
        <f>SUM(I778:I781)</f>
        <v>158.43</v>
      </c>
      <c r="J782" s="1205" t="s">
        <v>2321</v>
      </c>
    </row>
    <row r="783" spans="1:10" ht="33.75" hidden="1">
      <c r="A783" s="1268" t="s">
        <v>1676</v>
      </c>
      <c r="B783" s="1263">
        <v>39</v>
      </c>
      <c r="C783" s="1270" t="s">
        <v>950</v>
      </c>
      <c r="D783" s="1274"/>
      <c r="E783" s="1265"/>
      <c r="F783" s="1274"/>
      <c r="G783" s="1265"/>
      <c r="H783" s="1270"/>
      <c r="I783" s="1270"/>
      <c r="J783" s="1205" t="s">
        <v>2321</v>
      </c>
    </row>
    <row r="784" spans="1:10" hidden="1">
      <c r="A784" s="1263"/>
      <c r="B784" s="1257"/>
      <c r="C784" s="1309" t="s">
        <v>409</v>
      </c>
      <c r="D784" s="1264"/>
      <c r="E784" s="1267"/>
      <c r="F784" s="1266"/>
      <c r="G784" s="1267"/>
      <c r="H784" s="1268"/>
      <c r="I784" s="1269"/>
      <c r="J784" s="1205" t="s">
        <v>2321</v>
      </c>
    </row>
    <row r="785" spans="1:10" hidden="1">
      <c r="A785" s="1263"/>
      <c r="B785" s="1257"/>
      <c r="C785" s="1281" t="s">
        <v>700</v>
      </c>
      <c r="D785" s="1299">
        <v>0.1</v>
      </c>
      <c r="E785" s="1282" t="s">
        <v>27</v>
      </c>
      <c r="F785" s="1266">
        <v>1</v>
      </c>
      <c r="G785" s="1282" t="s">
        <v>27</v>
      </c>
      <c r="H785" s="1268">
        <f>'MINI SSR 21-22'!$H$17</f>
        <v>530</v>
      </c>
      <c r="I785" s="1280">
        <f>SUM(D785*H785/F785)</f>
        <v>53</v>
      </c>
      <c r="J785" s="1205" t="s">
        <v>2321</v>
      </c>
    </row>
    <row r="786" spans="1:10" hidden="1">
      <c r="A786" s="1263"/>
      <c r="B786" s="1257"/>
      <c r="C786" s="1270" t="s">
        <v>410</v>
      </c>
      <c r="D786" s="1264"/>
      <c r="E786" s="1282"/>
      <c r="F786" s="1266"/>
      <c r="G786" s="1282"/>
      <c r="H786" s="1268"/>
      <c r="I786" s="1269"/>
      <c r="J786" s="1205" t="s">
        <v>2321</v>
      </c>
    </row>
    <row r="787" spans="1:10" ht="22.5" hidden="1">
      <c r="A787" s="1263"/>
      <c r="B787" s="1257"/>
      <c r="C787" s="1296" t="s">
        <v>1677</v>
      </c>
      <c r="D787" s="1264">
        <v>1</v>
      </c>
      <c r="E787" s="1267" t="s">
        <v>115</v>
      </c>
      <c r="F787" s="1266">
        <v>1</v>
      </c>
      <c r="G787" s="1267" t="s">
        <v>115</v>
      </c>
      <c r="H787" s="1268">
        <f>'MINI SSR 21-22'!G119</f>
        <v>94</v>
      </c>
      <c r="I787" s="1269">
        <f>SUM(D787*H787/F787)</f>
        <v>94</v>
      </c>
      <c r="J787" s="1205" t="s">
        <v>2321</v>
      </c>
    </row>
    <row r="788" spans="1:10" hidden="1">
      <c r="A788" s="1263"/>
      <c r="B788" s="1257"/>
      <c r="C788" s="1275" t="s">
        <v>388</v>
      </c>
      <c r="D788" s="1271"/>
      <c r="E788" s="1272"/>
      <c r="F788" s="1271"/>
      <c r="G788" s="1649"/>
      <c r="H788" s="1302"/>
      <c r="I788" s="1269">
        <f>SUM(I785:I787)</f>
        <v>147</v>
      </c>
      <c r="J788" s="1205" t="s">
        <v>2321</v>
      </c>
    </row>
    <row r="789" spans="1:10" ht="22.5" hidden="1">
      <c r="A789" s="1268" t="s">
        <v>1678</v>
      </c>
      <c r="B789" s="1287">
        <v>15</v>
      </c>
      <c r="C789" s="1270" t="s">
        <v>1679</v>
      </c>
      <c r="D789" s="1271"/>
      <c r="E789" s="1272"/>
      <c r="F789" s="1271"/>
      <c r="G789" s="1272"/>
      <c r="H789" s="1273"/>
      <c r="I789" s="1273"/>
      <c r="J789" s="1205" t="s">
        <v>2321</v>
      </c>
    </row>
    <row r="790" spans="1:10" hidden="1">
      <c r="A790" s="1286"/>
      <c r="B790" s="1287"/>
      <c r="C790" s="1281" t="s">
        <v>1575</v>
      </c>
      <c r="D790" s="1264">
        <v>1</v>
      </c>
      <c r="E790" s="1282" t="s">
        <v>325</v>
      </c>
      <c r="F790" s="1266">
        <v>1</v>
      </c>
      <c r="G790" s="1282" t="s">
        <v>325</v>
      </c>
      <c r="H790" s="1268">
        <f>'MINI SSR 21-22'!G120</f>
        <v>33</v>
      </c>
      <c r="I790" s="1280">
        <f>SUM(D790*H790/F790)</f>
        <v>33</v>
      </c>
      <c r="J790" s="1205" t="s">
        <v>2321</v>
      </c>
    </row>
    <row r="791" spans="1:10" hidden="1">
      <c r="A791" s="1263"/>
      <c r="B791" s="1257"/>
      <c r="C791" s="1281" t="s">
        <v>1680</v>
      </c>
      <c r="D791" s="1299">
        <v>0.16600000000000001</v>
      </c>
      <c r="E791" s="1282" t="s">
        <v>27</v>
      </c>
      <c r="F791" s="1266">
        <v>1</v>
      </c>
      <c r="G791" s="1282" t="s">
        <v>27</v>
      </c>
      <c r="H791" s="1268">
        <f>'MINI SSR 21-22'!H3</f>
        <v>585</v>
      </c>
      <c r="I791" s="1280">
        <f>SUM(D791*H791/F791)</f>
        <v>97.11</v>
      </c>
      <c r="J791" s="1205" t="s">
        <v>2321</v>
      </c>
    </row>
    <row r="792" spans="1:10" hidden="1">
      <c r="A792" s="1263"/>
      <c r="B792" s="1257"/>
      <c r="C792" s="1281" t="s">
        <v>1681</v>
      </c>
      <c r="D792" s="1299">
        <v>0.16600000000000001</v>
      </c>
      <c r="E792" s="1282" t="s">
        <v>27</v>
      </c>
      <c r="F792" s="1266">
        <v>1</v>
      </c>
      <c r="G792" s="1282" t="s">
        <v>27</v>
      </c>
      <c r="H792" s="1268">
        <f>'MINI SSR 21-22'!$H$18</f>
        <v>470</v>
      </c>
      <c r="I792" s="1280">
        <f>SUM(D792*H792/F792)</f>
        <v>78.02000000000001</v>
      </c>
      <c r="J792" s="1205" t="s">
        <v>2321</v>
      </c>
    </row>
    <row r="793" spans="1:10" hidden="1">
      <c r="A793" s="1286"/>
      <c r="B793" s="1287"/>
      <c r="C793" s="1283"/>
      <c r="D793" s="1264"/>
      <c r="E793" s="1282"/>
      <c r="F793" s="1266"/>
      <c r="G793" s="1282"/>
      <c r="H793" s="1268"/>
      <c r="I793" s="1280">
        <f>SUM(I790:I792)</f>
        <v>208.13000000000002</v>
      </c>
      <c r="J793" s="1205" t="s">
        <v>2321</v>
      </c>
    </row>
    <row r="794" spans="1:10" ht="56.25" hidden="1">
      <c r="A794" s="1295" t="s">
        <v>726</v>
      </c>
      <c r="B794" s="1263">
        <v>12</v>
      </c>
      <c r="C794" s="1270" t="s">
        <v>412</v>
      </c>
      <c r="D794" s="1274"/>
      <c r="E794" s="1265"/>
      <c r="F794" s="1274"/>
      <c r="G794" s="1265"/>
      <c r="H794" s="1270"/>
      <c r="I794" s="1270"/>
      <c r="J794" s="1205" t="s">
        <v>2321</v>
      </c>
    </row>
    <row r="795" spans="1:10" hidden="1">
      <c r="A795" s="1263"/>
      <c r="B795" s="1257"/>
      <c r="C795" s="1270" t="s">
        <v>409</v>
      </c>
      <c r="D795" s="1264"/>
      <c r="E795" s="1267"/>
      <c r="F795" s="1266"/>
      <c r="G795" s="1267"/>
      <c r="H795" s="1268"/>
      <c r="I795" s="1269"/>
      <c r="J795" s="1205" t="s">
        <v>2321</v>
      </c>
    </row>
    <row r="796" spans="1:10" hidden="1">
      <c r="A796" s="1263"/>
      <c r="B796" s="1257"/>
      <c r="C796" s="1281" t="s">
        <v>1661</v>
      </c>
      <c r="D796" s="1264">
        <v>0.1</v>
      </c>
      <c r="E796" s="1282" t="s">
        <v>27</v>
      </c>
      <c r="F796" s="1266">
        <v>1</v>
      </c>
      <c r="G796" s="1282" t="s">
        <v>27</v>
      </c>
      <c r="H796" s="1268">
        <f>'MINI SSR 21-22'!$H$16</f>
        <v>650</v>
      </c>
      <c r="I796" s="1269">
        <f>SUM(D796*H796/F796)</f>
        <v>65</v>
      </c>
      <c r="J796" s="1205" t="s">
        <v>2321</v>
      </c>
    </row>
    <row r="797" spans="1:10" hidden="1">
      <c r="A797" s="1263"/>
      <c r="B797" s="1257"/>
      <c r="C797" s="1281" t="s">
        <v>1662</v>
      </c>
      <c r="D797" s="1264">
        <v>0.1</v>
      </c>
      <c r="E797" s="1282" t="s">
        <v>27</v>
      </c>
      <c r="F797" s="1266">
        <v>1</v>
      </c>
      <c r="G797" s="1282" t="s">
        <v>27</v>
      </c>
      <c r="H797" s="1268">
        <f>'MINI SSR 21-22'!$H$17</f>
        <v>530</v>
      </c>
      <c r="I797" s="1269">
        <f>SUM(D797*H797/F797)</f>
        <v>53</v>
      </c>
      <c r="J797" s="1205" t="s">
        <v>2321</v>
      </c>
    </row>
    <row r="798" spans="1:10" hidden="1">
      <c r="A798" s="1263"/>
      <c r="B798" s="1257"/>
      <c r="C798" s="1270" t="s">
        <v>327</v>
      </c>
      <c r="D798" s="1264"/>
      <c r="E798" s="1282"/>
      <c r="F798" s="1266"/>
      <c r="G798" s="1282"/>
      <c r="H798" s="1268"/>
      <c r="I798" s="1269"/>
      <c r="J798" s="1205" t="s">
        <v>2321</v>
      </c>
    </row>
    <row r="799" spans="1:10" hidden="1">
      <c r="A799" s="1263"/>
      <c r="B799" s="1257"/>
      <c r="C799" s="1296" t="s">
        <v>1682</v>
      </c>
      <c r="D799" s="1264">
        <v>1</v>
      </c>
      <c r="E799" s="1267" t="s">
        <v>385</v>
      </c>
      <c r="F799" s="1266">
        <v>100</v>
      </c>
      <c r="G799" s="1267" t="s">
        <v>395</v>
      </c>
      <c r="H799" s="1268">
        <f>'MINI SSR 21-22'!G116</f>
        <v>1093</v>
      </c>
      <c r="I799" s="1269">
        <f>SUM(D799*H799/F799)</f>
        <v>10.93</v>
      </c>
      <c r="J799" s="1205" t="s">
        <v>2321</v>
      </c>
    </row>
    <row r="800" spans="1:10" hidden="1">
      <c r="A800" s="1263"/>
      <c r="B800" s="1257"/>
      <c r="C800" s="1296" t="s">
        <v>2106</v>
      </c>
      <c r="D800" s="1297">
        <v>1</v>
      </c>
      <c r="E800" s="1267" t="s">
        <v>115</v>
      </c>
      <c r="F800" s="1266">
        <v>1</v>
      </c>
      <c r="G800" s="1267" t="s">
        <v>115</v>
      </c>
      <c r="H800" s="1268">
        <f>'MINI SSR 21-22'!G121</f>
        <v>267</v>
      </c>
      <c r="I800" s="1269">
        <f>SUM(D800*H800/F800)</f>
        <v>267</v>
      </c>
      <c r="J800" s="1205" t="s">
        <v>2321</v>
      </c>
    </row>
    <row r="801" spans="1:10" hidden="1">
      <c r="A801" s="1263"/>
      <c r="B801" s="1257"/>
      <c r="C801" s="1270" t="s">
        <v>405</v>
      </c>
      <c r="D801" s="1264"/>
      <c r="E801" s="1265"/>
      <c r="F801" s="1266"/>
      <c r="G801" s="1267"/>
      <c r="H801" s="1268"/>
      <c r="I801" s="1269">
        <f>SUM(I796:I800)</f>
        <v>395.93</v>
      </c>
      <c r="J801" s="1205" t="s">
        <v>2321</v>
      </c>
    </row>
    <row r="802" spans="1:10" hidden="1">
      <c r="A802" s="1286"/>
      <c r="B802" s="1287"/>
      <c r="C802" s="1286"/>
      <c r="D802" s="1292"/>
      <c r="E802" s="1293"/>
      <c r="F802" s="1292"/>
      <c r="G802" s="1293"/>
      <c r="H802" s="1286"/>
      <c r="I802" s="1286"/>
      <c r="J802" s="1205" t="s">
        <v>2321</v>
      </c>
    </row>
    <row r="803" spans="1:10" ht="67.5" hidden="1">
      <c r="A803" s="1295" t="s">
        <v>727</v>
      </c>
      <c r="B803" s="1263">
        <v>13</v>
      </c>
      <c r="C803" s="1270" t="s">
        <v>698</v>
      </c>
      <c r="D803" s="1274"/>
      <c r="E803" s="1265"/>
      <c r="F803" s="1274"/>
      <c r="G803" s="1265"/>
      <c r="H803" s="1270"/>
      <c r="I803" s="1270"/>
      <c r="J803" s="1205" t="s">
        <v>2321</v>
      </c>
    </row>
    <row r="804" spans="1:10" hidden="1">
      <c r="A804" s="1263"/>
      <c r="B804" s="1257"/>
      <c r="C804" s="1270" t="s">
        <v>409</v>
      </c>
      <c r="D804" s="1264"/>
      <c r="E804" s="1267"/>
      <c r="F804" s="1266"/>
      <c r="G804" s="1267"/>
      <c r="H804" s="1268"/>
      <c r="I804" s="1269"/>
      <c r="J804" s="1205" t="s">
        <v>2321</v>
      </c>
    </row>
    <row r="805" spans="1:10" hidden="1">
      <c r="A805" s="1263"/>
      <c r="B805" s="1257"/>
      <c r="C805" s="1281" t="s">
        <v>699</v>
      </c>
      <c r="D805" s="1264">
        <v>0.5</v>
      </c>
      <c r="E805" s="1282" t="s">
        <v>27</v>
      </c>
      <c r="F805" s="1266">
        <v>1</v>
      </c>
      <c r="G805" s="1282" t="s">
        <v>27</v>
      </c>
      <c r="H805" s="1268">
        <f>'MINI SSR 21-22'!$H$16</f>
        <v>650</v>
      </c>
      <c r="I805" s="1269">
        <f>SUM(D805*H805/F805)</f>
        <v>325</v>
      </c>
      <c r="J805" s="1205" t="s">
        <v>2321</v>
      </c>
    </row>
    <row r="806" spans="1:10" hidden="1">
      <c r="A806" s="1263"/>
      <c r="B806" s="1257"/>
      <c r="C806" s="1281" t="s">
        <v>219</v>
      </c>
      <c r="D806" s="1264">
        <v>0.5</v>
      </c>
      <c r="E806" s="1282" t="s">
        <v>27</v>
      </c>
      <c r="F806" s="1266">
        <v>1</v>
      </c>
      <c r="G806" s="1282" t="s">
        <v>27</v>
      </c>
      <c r="H806" s="1268">
        <f>'MINI SSR 21-22'!$H$17</f>
        <v>530</v>
      </c>
      <c r="I806" s="1269">
        <f>SUM(D806*H806/F806)</f>
        <v>265</v>
      </c>
      <c r="J806" s="1205" t="s">
        <v>2321</v>
      </c>
    </row>
    <row r="807" spans="1:10" hidden="1">
      <c r="A807" s="1263"/>
      <c r="B807" s="1257"/>
      <c r="C807" s="1281" t="s">
        <v>700</v>
      </c>
      <c r="D807" s="1264">
        <v>1</v>
      </c>
      <c r="E807" s="1282" t="s">
        <v>27</v>
      </c>
      <c r="F807" s="1266">
        <v>1</v>
      </c>
      <c r="G807" s="1282" t="s">
        <v>27</v>
      </c>
      <c r="H807" s="1268">
        <f>'MINI SSR 21-22'!$H$18</f>
        <v>470</v>
      </c>
      <c r="I807" s="1280">
        <f>SUM(D807*H807/F807)</f>
        <v>470</v>
      </c>
      <c r="J807" s="1205" t="s">
        <v>2321</v>
      </c>
    </row>
    <row r="808" spans="1:10" hidden="1">
      <c r="A808" s="1263"/>
      <c r="B808" s="1257"/>
      <c r="C808" s="1270" t="s">
        <v>327</v>
      </c>
      <c r="D808" s="1264"/>
      <c r="E808" s="1282"/>
      <c r="F808" s="1266"/>
      <c r="G808" s="1282"/>
      <c r="H808" s="1268"/>
      <c r="I808" s="1269"/>
      <c r="J808" s="1205" t="s">
        <v>2321</v>
      </c>
    </row>
    <row r="809" spans="1:10" ht="22.5" hidden="1">
      <c r="A809" s="1263"/>
      <c r="B809" s="1263"/>
      <c r="C809" s="1270" t="s">
        <v>701</v>
      </c>
      <c r="D809" s="1303">
        <v>1</v>
      </c>
      <c r="E809" s="1265" t="s">
        <v>325</v>
      </c>
      <c r="F809" s="1303">
        <v>1</v>
      </c>
      <c r="G809" s="1265" t="s">
        <v>115</v>
      </c>
      <c r="H809" s="1295">
        <f>'MINI SSR 21-22'!G122</f>
        <v>963</v>
      </c>
      <c r="I809" s="1304">
        <f>SUM(D809*H809/F809)</f>
        <v>963</v>
      </c>
      <c r="J809" s="1205" t="s">
        <v>2321</v>
      </c>
    </row>
    <row r="810" spans="1:10" hidden="1">
      <c r="A810" s="1263"/>
      <c r="B810" s="1257"/>
      <c r="C810" s="1296" t="s">
        <v>702</v>
      </c>
      <c r="D810" s="1297">
        <v>1</v>
      </c>
      <c r="E810" s="1267" t="s">
        <v>325</v>
      </c>
      <c r="F810" s="1266">
        <v>1</v>
      </c>
      <c r="G810" s="1267" t="s">
        <v>115</v>
      </c>
      <c r="H810" s="1295">
        <f>'MINI SSR 21-22'!G123</f>
        <v>396</v>
      </c>
      <c r="I810" s="1269">
        <f>SUM(D810*H810/F810)</f>
        <v>396</v>
      </c>
      <c r="J810" s="1205" t="s">
        <v>2321</v>
      </c>
    </row>
    <row r="811" spans="1:10" hidden="1">
      <c r="A811" s="1263"/>
      <c r="B811" s="1257"/>
      <c r="C811" s="1296" t="s">
        <v>703</v>
      </c>
      <c r="D811" s="1297">
        <v>4</v>
      </c>
      <c r="E811" s="1267" t="s">
        <v>325</v>
      </c>
      <c r="F811" s="1266">
        <v>1</v>
      </c>
      <c r="G811" s="1267" t="s">
        <v>115</v>
      </c>
      <c r="H811" s="1295">
        <f>'MINI SSR 21-22'!G124</f>
        <v>209</v>
      </c>
      <c r="I811" s="1269">
        <f>SUM(D811*H811/F811)</f>
        <v>836</v>
      </c>
      <c r="J811" s="1205" t="s">
        <v>2321</v>
      </c>
    </row>
    <row r="812" spans="1:10" hidden="1">
      <c r="A812" s="1263"/>
      <c r="B812" s="1305"/>
      <c r="C812" s="1275" t="s">
        <v>388</v>
      </c>
      <c r="D812" s="1306"/>
      <c r="E812" s="1307"/>
      <c r="F812" s="1284"/>
      <c r="G812" s="1301"/>
      <c r="H812" s="1302"/>
      <c r="I812" s="1308">
        <f>SUM(I805:I811)</f>
        <v>3255</v>
      </c>
      <c r="J812" s="1205" t="s">
        <v>2321</v>
      </c>
    </row>
    <row r="813" spans="1:10" ht="45" hidden="1">
      <c r="A813" s="1295"/>
      <c r="B813" s="1263">
        <v>14</v>
      </c>
      <c r="C813" s="1270" t="s">
        <v>941</v>
      </c>
      <c r="D813" s="1274"/>
      <c r="E813" s="1265"/>
      <c r="F813" s="1274"/>
      <c r="G813" s="1265"/>
      <c r="H813" s="1270"/>
      <c r="I813" s="1270"/>
      <c r="J813" s="1205" t="s">
        <v>2321</v>
      </c>
    </row>
    <row r="814" spans="1:10" hidden="1">
      <c r="A814" s="1263"/>
      <c r="B814" s="1257"/>
      <c r="C814" s="1270" t="s">
        <v>327</v>
      </c>
      <c r="D814" s="1264"/>
      <c r="E814" s="1282"/>
      <c r="F814" s="1266"/>
      <c r="G814" s="1282"/>
      <c r="H814" s="1268"/>
      <c r="I814" s="1269"/>
      <c r="J814" s="1205" t="s">
        <v>2321</v>
      </c>
    </row>
    <row r="815" spans="1:10" hidden="1">
      <c r="A815" s="1263"/>
      <c r="B815" s="1263"/>
      <c r="C815" s="1270" t="s">
        <v>942</v>
      </c>
      <c r="D815" s="1303">
        <v>2</v>
      </c>
      <c r="E815" s="1265" t="s">
        <v>325</v>
      </c>
      <c r="F815" s="1303">
        <v>1</v>
      </c>
      <c r="G815" s="1265" t="s">
        <v>115</v>
      </c>
      <c r="H815" s="1295">
        <f>'MINI SSR 21-22'!G125</f>
        <v>110</v>
      </c>
      <c r="I815" s="1304">
        <f>SUM(D815*H815/F815)</f>
        <v>220</v>
      </c>
      <c r="J815" s="1205" t="s">
        <v>2321</v>
      </c>
    </row>
    <row r="816" spans="1:10" hidden="1">
      <c r="A816" s="1263"/>
      <c r="B816" s="1257"/>
      <c r="C816" s="1296" t="s">
        <v>943</v>
      </c>
      <c r="D816" s="1297">
        <v>4</v>
      </c>
      <c r="E816" s="1267" t="s">
        <v>277</v>
      </c>
      <c r="F816" s="1266">
        <v>1</v>
      </c>
      <c r="G816" s="1267" t="s">
        <v>115</v>
      </c>
      <c r="H816" s="1268">
        <f>'MINI SSR 21-22'!G126/100</f>
        <v>58.65</v>
      </c>
      <c r="I816" s="1269">
        <f>SUM(D816*H816/F816)</f>
        <v>234.6</v>
      </c>
      <c r="J816" s="1205" t="s">
        <v>2321</v>
      </c>
    </row>
    <row r="817" spans="1:10" hidden="1">
      <c r="A817" s="1263"/>
      <c r="B817" s="1257"/>
      <c r="C817" s="1296" t="s">
        <v>944</v>
      </c>
      <c r="D817" s="1297">
        <v>1</v>
      </c>
      <c r="E817" s="1267" t="s">
        <v>325</v>
      </c>
      <c r="F817" s="1266">
        <v>1</v>
      </c>
      <c r="G817" s="1267" t="s">
        <v>115</v>
      </c>
      <c r="H817" s="1268">
        <f>'MINI SSR 21-22'!G127</f>
        <v>209</v>
      </c>
      <c r="I817" s="1269">
        <f>SUM(D817*H817/F817)</f>
        <v>209</v>
      </c>
      <c r="J817" s="1205" t="s">
        <v>2321</v>
      </c>
    </row>
    <row r="818" spans="1:10" hidden="1">
      <c r="A818" s="1263"/>
      <c r="B818" s="1257"/>
      <c r="C818" s="1270" t="s">
        <v>409</v>
      </c>
      <c r="D818" s="1264"/>
      <c r="E818" s="1267"/>
      <c r="F818" s="1266"/>
      <c r="G818" s="1267"/>
      <c r="H818" s="1268"/>
      <c r="I818" s="1269"/>
      <c r="J818" s="1205" t="s">
        <v>2321</v>
      </c>
    </row>
    <row r="819" spans="1:10" hidden="1">
      <c r="A819" s="1263"/>
      <c r="B819" s="1257"/>
      <c r="C819" s="1281" t="s">
        <v>699</v>
      </c>
      <c r="D819" s="1264">
        <v>0.2</v>
      </c>
      <c r="E819" s="1282" t="s">
        <v>27</v>
      </c>
      <c r="F819" s="1266">
        <v>1</v>
      </c>
      <c r="G819" s="1282" t="s">
        <v>27</v>
      </c>
      <c r="H819" s="1268">
        <f>'MINI SSR 21-22'!$H$16</f>
        <v>650</v>
      </c>
      <c r="I819" s="1269">
        <f>SUM(D819*H819/F819)</f>
        <v>130</v>
      </c>
      <c r="J819" s="1205" t="s">
        <v>2321</v>
      </c>
    </row>
    <row r="820" spans="1:10" hidden="1">
      <c r="A820" s="1263"/>
      <c r="B820" s="1257"/>
      <c r="C820" s="1281" t="s">
        <v>219</v>
      </c>
      <c r="D820" s="1264">
        <v>0.2</v>
      </c>
      <c r="E820" s="1282" t="s">
        <v>27</v>
      </c>
      <c r="F820" s="1266">
        <v>1</v>
      </c>
      <c r="G820" s="1282" t="s">
        <v>27</v>
      </c>
      <c r="H820" s="1268">
        <f>'MINI SSR 21-22'!$H$17</f>
        <v>530</v>
      </c>
      <c r="I820" s="1269">
        <f>SUM(D820*H820/F820)</f>
        <v>106</v>
      </c>
      <c r="J820" s="1205" t="s">
        <v>2321</v>
      </c>
    </row>
    <row r="821" spans="1:10" hidden="1">
      <c r="A821" s="1263"/>
      <c r="B821" s="1257"/>
      <c r="C821" s="1281" t="s">
        <v>700</v>
      </c>
      <c r="D821" s="1264">
        <v>0.2</v>
      </c>
      <c r="E821" s="1282" t="s">
        <v>27</v>
      </c>
      <c r="F821" s="1266">
        <v>1</v>
      </c>
      <c r="G821" s="1282" t="s">
        <v>27</v>
      </c>
      <c r="H821" s="1268">
        <f>'MINI SSR 21-22'!$H$17</f>
        <v>530</v>
      </c>
      <c r="I821" s="1280">
        <f>SUM(D821*H821/F821)</f>
        <v>106</v>
      </c>
      <c r="J821" s="1205" t="s">
        <v>2321</v>
      </c>
    </row>
    <row r="822" spans="1:10" hidden="1">
      <c r="A822" s="1263"/>
      <c r="B822" s="1305"/>
      <c r="C822" s="1275" t="s">
        <v>388</v>
      </c>
      <c r="D822" s="1306"/>
      <c r="E822" s="1307"/>
      <c r="F822" s="1284"/>
      <c r="G822" s="1301"/>
      <c r="H822" s="1302"/>
      <c r="I822" s="1308">
        <f>SUM(I815:I821)</f>
        <v>1005.6</v>
      </c>
      <c r="J822" s="1205" t="s">
        <v>2321</v>
      </c>
    </row>
    <row r="823" spans="1:10" ht="78.75" hidden="1">
      <c r="A823" s="1295" t="s">
        <v>728</v>
      </c>
      <c r="B823" s="1257">
        <v>15</v>
      </c>
      <c r="C823" s="1270" t="s">
        <v>413</v>
      </c>
      <c r="D823" s="1274"/>
      <c r="E823" s="1265"/>
      <c r="F823" s="1274"/>
      <c r="G823" s="1265"/>
      <c r="H823" s="1270"/>
      <c r="I823" s="1270"/>
      <c r="J823" s="1205" t="s">
        <v>2321</v>
      </c>
    </row>
    <row r="824" spans="1:10" hidden="1">
      <c r="A824" s="1257"/>
      <c r="B824" s="1257"/>
      <c r="C824" s="1309" t="s">
        <v>414</v>
      </c>
      <c r="D824" s="1310"/>
      <c r="E824" s="1311"/>
      <c r="F824" s="1266"/>
      <c r="G824" s="1311"/>
      <c r="H824" s="1268"/>
      <c r="I824" s="1269"/>
      <c r="J824" s="1205" t="s">
        <v>2321</v>
      </c>
    </row>
    <row r="825" spans="1:10" hidden="1">
      <c r="A825" s="1257"/>
      <c r="B825" s="1257"/>
      <c r="C825" s="1281" t="s">
        <v>1662</v>
      </c>
      <c r="D825" s="1264">
        <v>0.5</v>
      </c>
      <c r="E825" s="1267" t="s">
        <v>325</v>
      </c>
      <c r="F825" s="1266">
        <v>1</v>
      </c>
      <c r="G825" s="1267" t="s">
        <v>115</v>
      </c>
      <c r="H825" s="1268">
        <f>'MINI SSR 21-22'!$H$17</f>
        <v>530</v>
      </c>
      <c r="I825" s="1269">
        <f>SUM(D825*H825/F825)</f>
        <v>265</v>
      </c>
      <c r="J825" s="1205" t="s">
        <v>2321</v>
      </c>
    </row>
    <row r="826" spans="1:10" hidden="1">
      <c r="A826" s="1257"/>
      <c r="B826" s="1257"/>
      <c r="C826" s="1281" t="s">
        <v>700</v>
      </c>
      <c r="D826" s="1264">
        <v>0.5</v>
      </c>
      <c r="E826" s="1282" t="s">
        <v>27</v>
      </c>
      <c r="F826" s="1266">
        <v>1</v>
      </c>
      <c r="G826" s="1282" t="s">
        <v>27</v>
      </c>
      <c r="H826" s="1268">
        <f>'MINI SSR 21-22'!$H$18</f>
        <v>470</v>
      </c>
      <c r="I826" s="1280">
        <f>SUM(D826*H826/F826)</f>
        <v>235</v>
      </c>
      <c r="J826" s="1205" t="s">
        <v>2321</v>
      </c>
    </row>
    <row r="827" spans="1:10" hidden="1">
      <c r="A827" s="1257"/>
      <c r="B827" s="1257"/>
      <c r="C827" s="1270" t="s">
        <v>106</v>
      </c>
      <c r="D827" s="1264"/>
      <c r="E827" s="1267"/>
      <c r="F827" s="1266"/>
      <c r="G827" s="1267"/>
      <c r="H827" s="1268"/>
      <c r="I827" s="1269"/>
      <c r="J827" s="1205" t="s">
        <v>2321</v>
      </c>
    </row>
    <row r="828" spans="1:10" hidden="1">
      <c r="A828" s="1257"/>
      <c r="B828" s="1257"/>
      <c r="C828" s="1281" t="s">
        <v>729</v>
      </c>
      <c r="D828" s="1264">
        <v>2.5</v>
      </c>
      <c r="E828" s="1311" t="s">
        <v>385</v>
      </c>
      <c r="F828" s="1266">
        <v>1</v>
      </c>
      <c r="G828" s="1311" t="s">
        <v>385</v>
      </c>
      <c r="H828" s="1268">
        <f>'MINI SSR 21-22'!G128</f>
        <v>385</v>
      </c>
      <c r="I828" s="1269">
        <f t="shared" ref="I828:I838" si="4">SUM(D828*H828/F828)</f>
        <v>962.5</v>
      </c>
      <c r="J828" s="1205" t="s">
        <v>2321</v>
      </c>
    </row>
    <row r="829" spans="1:10" hidden="1">
      <c r="A829" s="1257"/>
      <c r="B829" s="1257"/>
      <c r="C829" s="1270" t="s">
        <v>730</v>
      </c>
      <c r="D829" s="1264">
        <v>0.24</v>
      </c>
      <c r="E829" s="1311" t="s">
        <v>141</v>
      </c>
      <c r="F829" s="1266">
        <v>1</v>
      </c>
      <c r="G829" s="1311" t="s">
        <v>4</v>
      </c>
      <c r="H829" s="1268">
        <f>'MINI SSR 21-22'!G129</f>
        <v>72</v>
      </c>
      <c r="I829" s="1269">
        <f t="shared" si="4"/>
        <v>17.28</v>
      </c>
      <c r="J829" s="1205" t="s">
        <v>2321</v>
      </c>
    </row>
    <row r="830" spans="1:10" hidden="1">
      <c r="A830" s="1257"/>
      <c r="B830" s="1257"/>
      <c r="C830" s="1270" t="s">
        <v>731</v>
      </c>
      <c r="D830" s="1264">
        <v>0.83</v>
      </c>
      <c r="E830" s="1311" t="s">
        <v>141</v>
      </c>
      <c r="F830" s="1266">
        <v>1</v>
      </c>
      <c r="G830" s="1311" t="s">
        <v>90</v>
      </c>
      <c r="H830" s="1268">
        <f>'MINI SSR 21-22'!G130</f>
        <v>72</v>
      </c>
      <c r="I830" s="1269">
        <f t="shared" si="4"/>
        <v>59.76</v>
      </c>
      <c r="J830" s="1205" t="s">
        <v>2321</v>
      </c>
    </row>
    <row r="831" spans="1:10" hidden="1">
      <c r="A831" s="1257"/>
      <c r="B831" s="1257"/>
      <c r="C831" s="1281" t="s">
        <v>732</v>
      </c>
      <c r="D831" s="1264">
        <v>16</v>
      </c>
      <c r="E831" s="1311" t="s">
        <v>325</v>
      </c>
      <c r="F831" s="1266">
        <v>1</v>
      </c>
      <c r="G831" s="1267" t="s">
        <v>115</v>
      </c>
      <c r="H831" s="1268">
        <f>'MINI SSR 21-22'!G131</f>
        <v>7</v>
      </c>
      <c r="I831" s="1269">
        <f t="shared" si="4"/>
        <v>112</v>
      </c>
      <c r="J831" s="1205" t="s">
        <v>2321</v>
      </c>
    </row>
    <row r="832" spans="1:10" hidden="1">
      <c r="A832" s="1257"/>
      <c r="B832" s="1257"/>
      <c r="C832" s="1281" t="s">
        <v>733</v>
      </c>
      <c r="D832" s="1264">
        <v>2</v>
      </c>
      <c r="E832" s="1311" t="s">
        <v>415</v>
      </c>
      <c r="F832" s="1266">
        <v>1</v>
      </c>
      <c r="G832" s="1311" t="s">
        <v>416</v>
      </c>
      <c r="H832" s="1268">
        <f>'MINI SSR 21-22'!G132</f>
        <v>13</v>
      </c>
      <c r="I832" s="1269">
        <f t="shared" si="4"/>
        <v>26</v>
      </c>
      <c r="J832" s="1205" t="s">
        <v>2321</v>
      </c>
    </row>
    <row r="833" spans="1:10" hidden="1">
      <c r="A833" s="1257"/>
      <c r="B833" s="1257"/>
      <c r="C833" s="1281" t="s">
        <v>734</v>
      </c>
      <c r="D833" s="1264">
        <v>1</v>
      </c>
      <c r="E833" s="1267" t="s">
        <v>115</v>
      </c>
      <c r="F833" s="1266">
        <v>1</v>
      </c>
      <c r="G833" s="1267" t="s">
        <v>115</v>
      </c>
      <c r="H833" s="1268">
        <f>'MINI SSR 21-22'!G133</f>
        <v>275</v>
      </c>
      <c r="I833" s="1269">
        <f t="shared" si="4"/>
        <v>275</v>
      </c>
      <c r="J833" s="1205" t="s">
        <v>2321</v>
      </c>
    </row>
    <row r="834" spans="1:10" hidden="1">
      <c r="A834" s="1257"/>
      <c r="B834" s="1257"/>
      <c r="C834" s="1281" t="s">
        <v>735</v>
      </c>
      <c r="D834" s="1264">
        <v>1</v>
      </c>
      <c r="E834" s="1311" t="s">
        <v>115</v>
      </c>
      <c r="F834" s="1266">
        <v>1</v>
      </c>
      <c r="G834" s="1311" t="s">
        <v>115</v>
      </c>
      <c r="H834" s="1268">
        <f>'MINI SSR 21-22'!G134</f>
        <v>143</v>
      </c>
      <c r="I834" s="1269">
        <f t="shared" si="4"/>
        <v>143</v>
      </c>
      <c r="J834" s="1205" t="s">
        <v>2321</v>
      </c>
    </row>
    <row r="835" spans="1:10" hidden="1">
      <c r="A835" s="1257"/>
      <c r="B835" s="1257"/>
      <c r="C835" s="1281" t="s">
        <v>736</v>
      </c>
      <c r="D835" s="1264">
        <v>40</v>
      </c>
      <c r="E835" s="1311" t="s">
        <v>4</v>
      </c>
      <c r="F835" s="1266">
        <v>1</v>
      </c>
      <c r="G835" s="1311" t="s">
        <v>4</v>
      </c>
      <c r="H835" s="1268">
        <f>'MINI SSR 21-22'!G135</f>
        <v>22</v>
      </c>
      <c r="I835" s="1269">
        <f t="shared" si="4"/>
        <v>880</v>
      </c>
      <c r="J835" s="1205" t="s">
        <v>2321</v>
      </c>
    </row>
    <row r="836" spans="1:10" hidden="1">
      <c r="A836" s="1257"/>
      <c r="B836" s="1257"/>
      <c r="C836" s="1281" t="s">
        <v>737</v>
      </c>
      <c r="D836" s="1264">
        <v>20</v>
      </c>
      <c r="E836" s="1311" t="s">
        <v>4</v>
      </c>
      <c r="F836" s="1266">
        <v>1</v>
      </c>
      <c r="G836" s="1311" t="s">
        <v>4</v>
      </c>
      <c r="H836" s="1268">
        <f>'MINI SSR 21-22'!G136</f>
        <v>17</v>
      </c>
      <c r="I836" s="1269">
        <f t="shared" si="4"/>
        <v>340</v>
      </c>
      <c r="J836" s="1205" t="s">
        <v>2321</v>
      </c>
    </row>
    <row r="837" spans="1:10" ht="22.5" hidden="1">
      <c r="A837" s="1257"/>
      <c r="B837" s="1257"/>
      <c r="C837" s="1270" t="s">
        <v>738</v>
      </c>
      <c r="D837" s="1264">
        <v>0.65</v>
      </c>
      <c r="E837" s="1267" t="s">
        <v>35</v>
      </c>
      <c r="F837" s="1266">
        <v>1</v>
      </c>
      <c r="G837" s="1267" t="s">
        <v>35</v>
      </c>
      <c r="H837" s="1268">
        <f>'MINI SSR 21-22'!G137</f>
        <v>275</v>
      </c>
      <c r="I837" s="1269">
        <f t="shared" si="4"/>
        <v>178.75</v>
      </c>
      <c r="J837" s="1205" t="s">
        <v>2321</v>
      </c>
    </row>
    <row r="838" spans="1:10" ht="22.5" hidden="1">
      <c r="A838" s="1257"/>
      <c r="B838" s="1257"/>
      <c r="C838" s="1270" t="s">
        <v>739</v>
      </c>
      <c r="D838" s="1264">
        <v>0.65</v>
      </c>
      <c r="E838" s="1267" t="s">
        <v>35</v>
      </c>
      <c r="F838" s="1266">
        <v>1</v>
      </c>
      <c r="G838" s="1267" t="s">
        <v>35</v>
      </c>
      <c r="H838" s="1268">
        <f>'MINI SSR 21-22'!G138</f>
        <v>275</v>
      </c>
      <c r="I838" s="1269">
        <f t="shared" si="4"/>
        <v>178.75</v>
      </c>
      <c r="J838" s="1205" t="s">
        <v>2321</v>
      </c>
    </row>
    <row r="839" spans="1:10" ht="22.5" hidden="1">
      <c r="A839" s="1257"/>
      <c r="B839" s="1257"/>
      <c r="C839" s="1270" t="s">
        <v>417</v>
      </c>
      <c r="D839" s="1312">
        <v>0.25</v>
      </c>
      <c r="E839" s="1311"/>
      <c r="F839" s="1266"/>
      <c r="G839" s="1311"/>
      <c r="H839" s="1268">
        <f>I837+I838</f>
        <v>357.5</v>
      </c>
      <c r="I839" s="1269">
        <f>SUM(H839*D839)</f>
        <v>89.375</v>
      </c>
      <c r="J839" s="1205" t="s">
        <v>2321</v>
      </c>
    </row>
    <row r="840" spans="1:10" hidden="1">
      <c r="A840" s="1257"/>
      <c r="B840" s="1257"/>
      <c r="C840" s="1270" t="s">
        <v>418</v>
      </c>
      <c r="D840" s="1264"/>
      <c r="E840" s="1267"/>
      <c r="F840" s="1266"/>
      <c r="G840" s="1267"/>
      <c r="H840" s="1268"/>
      <c r="I840" s="1269">
        <v>9.52</v>
      </c>
      <c r="J840" s="1205" t="s">
        <v>2321</v>
      </c>
    </row>
    <row r="841" spans="1:10" hidden="1">
      <c r="A841" s="1257"/>
      <c r="B841" s="1257"/>
      <c r="C841" s="1270" t="s">
        <v>405</v>
      </c>
      <c r="D841" s="1264"/>
      <c r="E841" s="1267"/>
      <c r="F841" s="1266"/>
      <c r="G841" s="1267"/>
      <c r="H841" s="1268"/>
      <c r="I841" s="1269">
        <f>SUM(I825:I840)</f>
        <v>3771.9349999999999</v>
      </c>
      <c r="J841" s="1205" t="s">
        <v>2321</v>
      </c>
    </row>
    <row r="842" spans="1:10" ht="106.5" hidden="1" customHeight="1">
      <c r="A842" s="1295"/>
      <c r="B842" s="1263">
        <v>28</v>
      </c>
      <c r="C842" s="1270" t="s">
        <v>2261</v>
      </c>
      <c r="D842" s="1274"/>
      <c r="E842" s="1265"/>
      <c r="F842" s="1274"/>
      <c r="G842" s="1265"/>
      <c r="H842" s="1270"/>
      <c r="I842" s="1270"/>
      <c r="J842" s="1205" t="s">
        <v>2321</v>
      </c>
    </row>
    <row r="843" spans="1:10" hidden="1">
      <c r="A843" s="1263"/>
      <c r="B843" s="1257"/>
      <c r="C843" s="1281" t="s">
        <v>2096</v>
      </c>
      <c r="D843" s="1264">
        <v>1</v>
      </c>
      <c r="E843" s="1282" t="s">
        <v>115</v>
      </c>
      <c r="F843" s="1266">
        <v>1</v>
      </c>
      <c r="G843" s="1282" t="s">
        <v>115</v>
      </c>
      <c r="H843" s="1268">
        <f>'MINI SSR 21-22'!G139</f>
        <v>1822</v>
      </c>
      <c r="I843" s="1269">
        <f>SUM(D843*H843/F843)</f>
        <v>1822</v>
      </c>
      <c r="J843" s="1205" t="s">
        <v>2321</v>
      </c>
    </row>
    <row r="844" spans="1:10" hidden="1">
      <c r="A844" s="1263"/>
      <c r="B844" s="1257"/>
      <c r="C844" s="1270" t="s">
        <v>405</v>
      </c>
      <c r="D844" s="1264"/>
      <c r="E844" s="1265"/>
      <c r="F844" s="1266"/>
      <c r="G844" s="1267"/>
      <c r="H844" s="1268"/>
      <c r="I844" s="1269">
        <f>SUM(I843:I843)</f>
        <v>1822</v>
      </c>
      <c r="J844" s="1205" t="s">
        <v>2321</v>
      </c>
    </row>
    <row r="845" spans="1:10" ht="106.5" hidden="1" customHeight="1">
      <c r="A845" s="1295"/>
      <c r="B845" s="1263">
        <v>28</v>
      </c>
      <c r="C845" s="1270" t="s">
        <v>2262</v>
      </c>
      <c r="D845" s="1274"/>
      <c r="E845" s="1265"/>
      <c r="F845" s="1274"/>
      <c r="G845" s="1265"/>
      <c r="H845" s="1270"/>
      <c r="I845" s="1270"/>
      <c r="J845" s="1205" t="s">
        <v>2321</v>
      </c>
    </row>
    <row r="846" spans="1:10" hidden="1">
      <c r="A846" s="1263"/>
      <c r="B846" s="1257"/>
      <c r="C846" s="1281" t="s">
        <v>2269</v>
      </c>
      <c r="D846" s="1264">
        <v>1</v>
      </c>
      <c r="E846" s="1282" t="s">
        <v>115</v>
      </c>
      <c r="F846" s="1266">
        <v>1</v>
      </c>
      <c r="G846" s="1282" t="s">
        <v>115</v>
      </c>
      <c r="H846" s="1268">
        <f>'MINI SSR 21-22'!G140</f>
        <v>5428</v>
      </c>
      <c r="I846" s="1269">
        <f>SUM(D846*H846/F846)</f>
        <v>5428</v>
      </c>
      <c r="J846" s="1205" t="s">
        <v>2321</v>
      </c>
    </row>
    <row r="847" spans="1:10" hidden="1">
      <c r="A847" s="1263"/>
      <c r="B847" s="1257"/>
      <c r="C847" s="1270" t="s">
        <v>405</v>
      </c>
      <c r="D847" s="1264"/>
      <c r="E847" s="1265"/>
      <c r="F847" s="1266"/>
      <c r="G847" s="1267"/>
      <c r="H847" s="1268"/>
      <c r="I847" s="1269">
        <f>SUM(I846:I846)</f>
        <v>5428</v>
      </c>
      <c r="J847" s="1205" t="s">
        <v>2321</v>
      </c>
    </row>
    <row r="848" spans="1:10" hidden="1">
      <c r="A848" s="1263"/>
      <c r="B848" s="1257"/>
      <c r="C848" s="1257" t="s">
        <v>2320</v>
      </c>
      <c r="D848" s="1264"/>
      <c r="E848" s="1265"/>
      <c r="F848" s="1266"/>
      <c r="G848" s="1267"/>
      <c r="H848" s="1268"/>
      <c r="I848" s="1269"/>
      <c r="J848" s="1205" t="s">
        <v>2322</v>
      </c>
    </row>
    <row r="849" spans="1:10" ht="33.75" hidden="1">
      <c r="A849" s="1268" t="s">
        <v>1497</v>
      </c>
      <c r="B849" s="1257">
        <v>1</v>
      </c>
      <c r="C849" s="1270" t="s">
        <v>1506</v>
      </c>
      <c r="D849" s="1271"/>
      <c r="E849" s="1272"/>
      <c r="F849" s="1271"/>
      <c r="G849" s="1272"/>
      <c r="H849" s="1273"/>
      <c r="I849" s="1273"/>
      <c r="J849" s="1205" t="s">
        <v>2322</v>
      </c>
    </row>
    <row r="850" spans="1:10" hidden="1">
      <c r="A850" s="1263"/>
      <c r="B850" s="1257"/>
      <c r="C850" s="1270" t="s">
        <v>1498</v>
      </c>
      <c r="D850" s="1274"/>
      <c r="E850" s="1265"/>
      <c r="F850" s="1274"/>
      <c r="G850" s="1265"/>
      <c r="H850" s="1270"/>
      <c r="I850" s="1270"/>
      <c r="J850" s="1205" t="s">
        <v>2322</v>
      </c>
    </row>
    <row r="851" spans="1:10" hidden="1">
      <c r="A851" s="1263"/>
      <c r="B851" s="1257"/>
      <c r="C851" s="1275" t="s">
        <v>384</v>
      </c>
      <c r="D851" s="1276"/>
      <c r="E851" s="1277"/>
      <c r="F851" s="1278"/>
      <c r="G851" s="1279"/>
      <c r="H851" s="1268"/>
      <c r="I851" s="1280"/>
      <c r="J851" s="1205" t="s">
        <v>2322</v>
      </c>
    </row>
    <row r="852" spans="1:10" hidden="1">
      <c r="A852" s="1263"/>
      <c r="B852" s="1257"/>
      <c r="C852" s="1281" t="s">
        <v>156</v>
      </c>
      <c r="D852" s="1264">
        <v>2</v>
      </c>
      <c r="E852" s="1282" t="s">
        <v>27</v>
      </c>
      <c r="F852" s="1266">
        <v>1</v>
      </c>
      <c r="G852" s="1282" t="s">
        <v>27</v>
      </c>
      <c r="H852" s="1268">
        <f>'MINI SSR 2022-23'!$H$16</f>
        <v>700</v>
      </c>
      <c r="I852" s="1280">
        <f>SUM(D852*H852/F852)</f>
        <v>1400</v>
      </c>
      <c r="J852" s="1205" t="s">
        <v>2322</v>
      </c>
    </row>
    <row r="853" spans="1:10" hidden="1">
      <c r="A853" s="1263"/>
      <c r="B853" s="1257"/>
      <c r="C853" s="1283" t="s">
        <v>1501</v>
      </c>
      <c r="D853" s="1264">
        <v>2</v>
      </c>
      <c r="E853" s="1282" t="s">
        <v>27</v>
      </c>
      <c r="F853" s="1266">
        <v>1</v>
      </c>
      <c r="G853" s="1282" t="s">
        <v>27</v>
      </c>
      <c r="H853" s="1268">
        <f>'MINI SSR 2022-23'!$H$17</f>
        <v>570</v>
      </c>
      <c r="I853" s="1280">
        <f>SUM(D853*H853/F853)</f>
        <v>1140</v>
      </c>
      <c r="J853" s="1205" t="s">
        <v>2322</v>
      </c>
    </row>
    <row r="854" spans="1:10" hidden="1">
      <c r="A854" s="1263"/>
      <c r="B854" s="1257"/>
      <c r="C854" s="1281" t="s">
        <v>1502</v>
      </c>
      <c r="D854" s="1264">
        <v>2</v>
      </c>
      <c r="E854" s="1282" t="s">
        <v>27</v>
      </c>
      <c r="F854" s="1266">
        <v>1</v>
      </c>
      <c r="G854" s="1282" t="s">
        <v>27</v>
      </c>
      <c r="H854" s="1268">
        <f>'MINI SSR 2022-23'!$H$18</f>
        <v>505</v>
      </c>
      <c r="I854" s="1280">
        <f>SUM(D854*H854/F854)</f>
        <v>1010</v>
      </c>
      <c r="J854" s="1205" t="s">
        <v>2322</v>
      </c>
    </row>
    <row r="855" spans="1:10" hidden="1">
      <c r="A855" s="1263"/>
      <c r="B855" s="1257"/>
      <c r="C855" s="1275" t="s">
        <v>327</v>
      </c>
      <c r="D855" s="1264"/>
      <c r="E855" s="1267"/>
      <c r="F855" s="1284"/>
      <c r="G855" s="1267"/>
      <c r="H855" s="1268"/>
      <c r="I855" s="1285"/>
      <c r="J855" s="1205" t="s">
        <v>2322</v>
      </c>
    </row>
    <row r="856" spans="1:10" hidden="1">
      <c r="A856" s="1263" t="s">
        <v>3248</v>
      </c>
      <c r="B856" s="1257"/>
      <c r="C856" s="1270" t="s">
        <v>1499</v>
      </c>
      <c r="D856" s="1264">
        <v>12</v>
      </c>
      <c r="E856" s="1282" t="s">
        <v>325</v>
      </c>
      <c r="F856" s="1266">
        <v>1</v>
      </c>
      <c r="G856" s="1282" t="s">
        <v>115</v>
      </c>
      <c r="H856" s="1268">
        <f>'MINI SSR 2022-23'!C99</f>
        <v>78</v>
      </c>
      <c r="I856" s="1280">
        <f>SUM(D856*H856/F856)</f>
        <v>936</v>
      </c>
      <c r="J856" s="1205" t="s">
        <v>2322</v>
      </c>
    </row>
    <row r="857" spans="1:10" hidden="1">
      <c r="A857" s="1263" t="s">
        <v>1504</v>
      </c>
      <c r="B857" s="1257"/>
      <c r="C857" s="1270" t="s">
        <v>1500</v>
      </c>
      <c r="D857" s="1264">
        <v>12</v>
      </c>
      <c r="E857" s="1282" t="s">
        <v>325</v>
      </c>
      <c r="F857" s="1266">
        <v>1</v>
      </c>
      <c r="G857" s="1282" t="s">
        <v>115</v>
      </c>
      <c r="H857" s="1268">
        <f>'MINI SSR 2022-23'!C101</f>
        <v>11</v>
      </c>
      <c r="I857" s="1280">
        <f>SUM(D857*H857/F857)</f>
        <v>132</v>
      </c>
      <c r="J857" s="1205" t="s">
        <v>2322</v>
      </c>
    </row>
    <row r="858" spans="1:10" hidden="1">
      <c r="A858" s="1263" t="s">
        <v>1505</v>
      </c>
      <c r="B858" s="1257"/>
      <c r="C858" s="1270" t="s">
        <v>1509</v>
      </c>
      <c r="D858" s="1264">
        <v>100</v>
      </c>
      <c r="E858" s="1282" t="s">
        <v>385</v>
      </c>
      <c r="F858" s="1266">
        <v>1</v>
      </c>
      <c r="G858" s="1282" t="s">
        <v>385</v>
      </c>
      <c r="H858" s="1268">
        <f>'MINI SSR 2022-23'!C102</f>
        <v>34</v>
      </c>
      <c r="I858" s="1280">
        <f>SUM(D858*H858/F858)</f>
        <v>3400</v>
      </c>
      <c r="J858" s="1205" t="s">
        <v>2322</v>
      </c>
    </row>
    <row r="859" spans="1:10" hidden="1">
      <c r="A859" s="1286"/>
      <c r="B859" s="1287"/>
      <c r="C859" s="1273" t="s">
        <v>386</v>
      </c>
      <c r="D859" s="1264"/>
      <c r="E859" s="1282"/>
      <c r="F859" s="1266"/>
      <c r="G859" s="1282"/>
      <c r="H859" s="1268"/>
      <c r="I859" s="1285">
        <f>SUM(I852:I858)</f>
        <v>8018</v>
      </c>
      <c r="J859" s="1205" t="s">
        <v>2322</v>
      </c>
    </row>
    <row r="860" spans="1:10" hidden="1">
      <c r="A860" s="1286"/>
      <c r="B860" s="1287"/>
      <c r="C860" s="1273" t="s">
        <v>387</v>
      </c>
      <c r="D860" s="1288"/>
      <c r="E860" s="1282"/>
      <c r="F860" s="1266"/>
      <c r="G860" s="1282"/>
      <c r="H860" s="1289"/>
      <c r="I860" s="1285">
        <f>ROUND(I859/100,2)</f>
        <v>80.180000000000007</v>
      </c>
      <c r="J860" s="1205" t="s">
        <v>2322</v>
      </c>
    </row>
    <row r="861" spans="1:10" ht="33.75" hidden="1">
      <c r="A861" s="1268" t="s">
        <v>1660</v>
      </c>
      <c r="B861" s="1257">
        <v>2</v>
      </c>
      <c r="C861" s="1270" t="s">
        <v>1510</v>
      </c>
      <c r="D861" s="1271"/>
      <c r="E861" s="1272"/>
      <c r="F861" s="1271"/>
      <c r="G861" s="1272"/>
      <c r="H861" s="1273"/>
      <c r="I861" s="1273"/>
      <c r="J861" s="1205" t="s">
        <v>2322</v>
      </c>
    </row>
    <row r="862" spans="1:10" hidden="1">
      <c r="A862" s="1263"/>
      <c r="B862" s="1257"/>
      <c r="C862" s="1270" t="s">
        <v>1498</v>
      </c>
      <c r="D862" s="1274"/>
      <c r="E862" s="1265"/>
      <c r="F862" s="1274"/>
      <c r="G862" s="1265"/>
      <c r="H862" s="1270"/>
      <c r="I862" s="1270"/>
      <c r="J862" s="1205" t="s">
        <v>2322</v>
      </c>
    </row>
    <row r="863" spans="1:10" hidden="1">
      <c r="A863" s="1263"/>
      <c r="B863" s="1257"/>
      <c r="C863" s="1275" t="s">
        <v>384</v>
      </c>
      <c r="D863" s="1276"/>
      <c r="E863" s="1277"/>
      <c r="F863" s="1278"/>
      <c r="G863" s="1279"/>
      <c r="H863" s="1268"/>
      <c r="I863" s="1280"/>
      <c r="J863" s="1205" t="s">
        <v>2322</v>
      </c>
    </row>
    <row r="864" spans="1:10" hidden="1">
      <c r="A864" s="1263"/>
      <c r="B864" s="1257"/>
      <c r="C864" s="1281" t="s">
        <v>156</v>
      </c>
      <c r="D864" s="1264">
        <v>2</v>
      </c>
      <c r="E864" s="1282" t="s">
        <v>27</v>
      </c>
      <c r="F864" s="1266">
        <v>1</v>
      </c>
      <c r="G864" s="1282" t="s">
        <v>27</v>
      </c>
      <c r="H864" s="1268">
        <f>'MINI SSR 2022-23'!$H$16</f>
        <v>700</v>
      </c>
      <c r="I864" s="1280">
        <f>SUM(D864*H864/F864)</f>
        <v>1400</v>
      </c>
      <c r="J864" s="1205" t="s">
        <v>2322</v>
      </c>
    </row>
    <row r="865" spans="1:10" hidden="1">
      <c r="A865" s="1263"/>
      <c r="B865" s="1257"/>
      <c r="C865" s="1283" t="s">
        <v>1501</v>
      </c>
      <c r="D865" s="1264">
        <v>2</v>
      </c>
      <c r="E865" s="1282" t="s">
        <v>27</v>
      </c>
      <c r="F865" s="1266">
        <v>1</v>
      </c>
      <c r="G865" s="1282" t="s">
        <v>27</v>
      </c>
      <c r="H865" s="1268">
        <f>'MINI SSR 2022-23'!$H$17</f>
        <v>570</v>
      </c>
      <c r="I865" s="1280">
        <f>SUM(D865*H865/F865)</f>
        <v>1140</v>
      </c>
      <c r="J865" s="1205" t="s">
        <v>2322</v>
      </c>
    </row>
    <row r="866" spans="1:10" hidden="1">
      <c r="A866" s="1263"/>
      <c r="B866" s="1257"/>
      <c r="C866" s="1281" t="s">
        <v>1502</v>
      </c>
      <c r="D866" s="1264">
        <v>2</v>
      </c>
      <c r="E866" s="1282" t="s">
        <v>27</v>
      </c>
      <c r="F866" s="1266">
        <v>1</v>
      </c>
      <c r="G866" s="1282" t="s">
        <v>27</v>
      </c>
      <c r="H866" s="1268">
        <f>'MINI SSR 2022-23'!$H$18</f>
        <v>505</v>
      </c>
      <c r="I866" s="1280">
        <f>SUM(D866*H866/F866)</f>
        <v>1010</v>
      </c>
      <c r="J866" s="1205" t="s">
        <v>2322</v>
      </c>
    </row>
    <row r="867" spans="1:10" hidden="1">
      <c r="A867" s="1263"/>
      <c r="B867" s="1257"/>
      <c r="C867" s="1281" t="s">
        <v>1508</v>
      </c>
      <c r="D867" s="1264">
        <v>2</v>
      </c>
      <c r="E867" s="1282" t="s">
        <v>27</v>
      </c>
      <c r="F867" s="1266">
        <v>1</v>
      </c>
      <c r="G867" s="1282" t="s">
        <v>27</v>
      </c>
      <c r="H867" s="1268">
        <f>'MINI SSR 2022-23'!$H$3</f>
        <v>630</v>
      </c>
      <c r="I867" s="1280">
        <f>SUM(D867*H867/F867)</f>
        <v>1260</v>
      </c>
      <c r="J867" s="1205" t="s">
        <v>2322</v>
      </c>
    </row>
    <row r="868" spans="1:10" hidden="1">
      <c r="A868" s="1263"/>
      <c r="B868" s="1257"/>
      <c r="C868" s="1275" t="s">
        <v>327</v>
      </c>
      <c r="D868" s="1264"/>
      <c r="E868" s="1267"/>
      <c r="F868" s="1284"/>
      <c r="G868" s="1267"/>
      <c r="H868" s="1268"/>
      <c r="I868" s="1285"/>
      <c r="J868" s="1205" t="s">
        <v>2322</v>
      </c>
    </row>
    <row r="869" spans="1:10" hidden="1">
      <c r="A869" s="1263" t="s">
        <v>1505</v>
      </c>
      <c r="B869" s="1257"/>
      <c r="C869" s="1290" t="s">
        <v>1509</v>
      </c>
      <c r="D869" s="1264">
        <v>100</v>
      </c>
      <c r="E869" s="1282" t="s">
        <v>325</v>
      </c>
      <c r="F869" s="1266">
        <v>1</v>
      </c>
      <c r="G869" s="1282" t="s">
        <v>115</v>
      </c>
      <c r="H869" s="1268">
        <f>'MINI SSR 2022-23'!C102</f>
        <v>34</v>
      </c>
      <c r="I869" s="1280">
        <f>SUM(D869*H869/F869)</f>
        <v>3400</v>
      </c>
      <c r="J869" s="1205" t="s">
        <v>2322</v>
      </c>
    </row>
    <row r="870" spans="1:10" hidden="1">
      <c r="A870" s="1263" t="s">
        <v>1511</v>
      </c>
      <c r="B870" s="1257"/>
      <c r="C870" s="1291" t="s">
        <v>1507</v>
      </c>
      <c r="D870" s="1264">
        <v>200</v>
      </c>
      <c r="E870" s="1282" t="s">
        <v>325</v>
      </c>
      <c r="F870" s="1266">
        <v>100</v>
      </c>
      <c r="G870" s="1282" t="s">
        <v>115</v>
      </c>
      <c r="H870" s="1268">
        <f>'MINI SSR 2022-23'!C103</f>
        <v>36</v>
      </c>
      <c r="I870" s="1280">
        <f>SUM(D870*H870/F870)</f>
        <v>72</v>
      </c>
      <c r="J870" s="1205" t="s">
        <v>2322</v>
      </c>
    </row>
    <row r="871" spans="1:10" hidden="1">
      <c r="A871" s="1263" t="s">
        <v>1503</v>
      </c>
      <c r="B871" s="1257"/>
      <c r="C871" s="1270" t="s">
        <v>1499</v>
      </c>
      <c r="D871" s="1264">
        <v>12</v>
      </c>
      <c r="E871" s="1282" t="s">
        <v>325</v>
      </c>
      <c r="F871" s="1266">
        <v>1</v>
      </c>
      <c r="G871" s="1282" t="s">
        <v>115</v>
      </c>
      <c r="H871" s="1268">
        <f>'MINI SSR 2022-23'!C100</f>
        <v>26</v>
      </c>
      <c r="I871" s="1280">
        <f>SUM(D871*H871/F871)</f>
        <v>312</v>
      </c>
      <c r="J871" s="1205" t="s">
        <v>2322</v>
      </c>
    </row>
    <row r="872" spans="1:10" hidden="1">
      <c r="A872" s="1263" t="s">
        <v>1504</v>
      </c>
      <c r="B872" s="1257"/>
      <c r="C872" s="1270" t="s">
        <v>1500</v>
      </c>
      <c r="D872" s="1264">
        <v>12</v>
      </c>
      <c r="E872" s="1282" t="s">
        <v>325</v>
      </c>
      <c r="F872" s="1266">
        <v>1</v>
      </c>
      <c r="G872" s="1282" t="s">
        <v>115</v>
      </c>
      <c r="H872" s="1268">
        <f>'MINI SSR 2022-23'!C101</f>
        <v>11</v>
      </c>
      <c r="I872" s="1280">
        <f>SUM(D872*H872/F872)</f>
        <v>132</v>
      </c>
      <c r="J872" s="1205" t="s">
        <v>2322</v>
      </c>
    </row>
    <row r="873" spans="1:10" hidden="1">
      <c r="A873" s="1263"/>
      <c r="B873" s="1257"/>
      <c r="C873" s="1290" t="s">
        <v>847</v>
      </c>
      <c r="D873" s="1264">
        <v>50</v>
      </c>
      <c r="E873" s="1282" t="s">
        <v>4</v>
      </c>
      <c r="F873" s="1266">
        <v>1</v>
      </c>
      <c r="G873" s="1282" t="s">
        <v>4</v>
      </c>
      <c r="H873" s="1268">
        <f>'lead 22-23'!L8/1000</f>
        <v>4.7</v>
      </c>
      <c r="I873" s="1280">
        <f>SUM(D873*H873/F873)</f>
        <v>235</v>
      </c>
      <c r="J873" s="1205" t="s">
        <v>2322</v>
      </c>
    </row>
    <row r="874" spans="1:10" hidden="1">
      <c r="A874" s="1286"/>
      <c r="B874" s="1287"/>
      <c r="C874" s="1273" t="s">
        <v>386</v>
      </c>
      <c r="D874" s="1264"/>
      <c r="E874" s="1282"/>
      <c r="F874" s="1266"/>
      <c r="G874" s="1282"/>
      <c r="H874" s="1268"/>
      <c r="I874" s="1285">
        <f>SUM(I864:I873)</f>
        <v>8961</v>
      </c>
      <c r="J874" s="1205" t="s">
        <v>2322</v>
      </c>
    </row>
    <row r="875" spans="1:10" hidden="1">
      <c r="A875" s="1286"/>
      <c r="B875" s="1287"/>
      <c r="C875" s="1273" t="s">
        <v>387</v>
      </c>
      <c r="D875" s="1288"/>
      <c r="E875" s="1282"/>
      <c r="F875" s="1266"/>
      <c r="G875" s="1282"/>
      <c r="H875" s="1289"/>
      <c r="I875" s="1285">
        <f>ROUND(I874/100,2)</f>
        <v>89.61</v>
      </c>
      <c r="J875" s="1205" t="s">
        <v>2322</v>
      </c>
    </row>
    <row r="876" spans="1:10" hidden="1">
      <c r="A876" s="1286"/>
      <c r="B876" s="1287"/>
      <c r="C876" s="1275"/>
      <c r="D876" s="1292"/>
      <c r="E876" s="1293"/>
      <c r="F876" s="1292"/>
      <c r="G876" s="1293"/>
      <c r="H876" s="1294"/>
      <c r="I876" s="1294"/>
      <c r="J876" s="1205" t="s">
        <v>2322</v>
      </c>
    </row>
    <row r="877" spans="1:10" hidden="1">
      <c r="A877" s="1286"/>
      <c r="B877" s="1287">
        <v>3</v>
      </c>
      <c r="C877" s="1270" t="s">
        <v>389</v>
      </c>
      <c r="D877" s="1271"/>
      <c r="E877" s="1272"/>
      <c r="F877" s="1271"/>
      <c r="G877" s="1272"/>
      <c r="H877" s="1273"/>
      <c r="I877" s="1273"/>
      <c r="J877" s="1205" t="s">
        <v>2322</v>
      </c>
    </row>
    <row r="878" spans="1:10" hidden="1">
      <c r="A878" s="1286"/>
      <c r="B878" s="1287"/>
      <c r="C878" s="1281" t="s">
        <v>390</v>
      </c>
      <c r="D878" s="1264">
        <v>1</v>
      </c>
      <c r="E878" s="1282" t="s">
        <v>277</v>
      </c>
      <c r="F878" s="1266">
        <v>1</v>
      </c>
      <c r="G878" s="1282" t="s">
        <v>277</v>
      </c>
      <c r="H878" s="1268">
        <f>'MINI SSR 2022-23'!C104</f>
        <v>64</v>
      </c>
      <c r="I878" s="1280">
        <f>SUM(D878*H878/F878)</f>
        <v>64</v>
      </c>
      <c r="J878" s="1205" t="s">
        <v>2322</v>
      </c>
    </row>
    <row r="879" spans="1:10" hidden="1">
      <c r="A879" s="1286"/>
      <c r="B879" s="1287"/>
      <c r="C879" s="1283"/>
      <c r="D879" s="1264"/>
      <c r="E879" s="1282"/>
      <c r="F879" s="1266"/>
      <c r="G879" s="1282"/>
      <c r="H879" s="1268"/>
      <c r="I879" s="1280">
        <f>SUM(I878)</f>
        <v>64</v>
      </c>
      <c r="J879" s="1205" t="s">
        <v>2322</v>
      </c>
    </row>
    <row r="880" spans="1:10" ht="22.5" hidden="1">
      <c r="A880" s="1286"/>
      <c r="B880" s="1287">
        <v>3</v>
      </c>
      <c r="C880" s="1270" t="s">
        <v>427</v>
      </c>
      <c r="D880" s="1271"/>
      <c r="E880" s="1272"/>
      <c r="F880" s="1271"/>
      <c r="G880" s="1272"/>
      <c r="H880" s="1273"/>
      <c r="I880" s="1273"/>
      <c r="J880" s="1205" t="s">
        <v>2322</v>
      </c>
    </row>
    <row r="881" spans="1:10" hidden="1">
      <c r="A881" s="1286"/>
      <c r="B881" s="1287"/>
      <c r="C881" s="1281" t="s">
        <v>433</v>
      </c>
      <c r="D881" s="1264">
        <v>1</v>
      </c>
      <c r="E881" s="1282" t="s">
        <v>325</v>
      </c>
      <c r="F881" s="1266">
        <v>1</v>
      </c>
      <c r="G881" s="1282" t="s">
        <v>325</v>
      </c>
      <c r="H881" s="1268">
        <f>'MINI SSR 2022-23'!C106</f>
        <v>245</v>
      </c>
      <c r="I881" s="1280">
        <f>SUM(D881*H881/F881)</f>
        <v>245</v>
      </c>
      <c r="J881" s="1205" t="s">
        <v>2322</v>
      </c>
    </row>
    <row r="882" spans="1:10" hidden="1">
      <c r="A882" s="1286"/>
      <c r="B882" s="1287"/>
      <c r="C882" s="1283"/>
      <c r="D882" s="1264"/>
      <c r="E882" s="1282"/>
      <c r="F882" s="1266"/>
      <c r="G882" s="1282"/>
      <c r="H882" s="1268"/>
      <c r="I882" s="1280">
        <f>SUM(I881)</f>
        <v>245</v>
      </c>
      <c r="J882" s="1205" t="s">
        <v>2322</v>
      </c>
    </row>
    <row r="883" spans="1:10" ht="22.5" hidden="1">
      <c r="A883" s="1286"/>
      <c r="B883" s="1287">
        <v>4</v>
      </c>
      <c r="C883" s="1270" t="s">
        <v>610</v>
      </c>
      <c r="D883" s="1271"/>
      <c r="E883" s="1272"/>
      <c r="F883" s="1271"/>
      <c r="G883" s="1272"/>
      <c r="H883" s="1273"/>
      <c r="I883" s="1273"/>
      <c r="J883" s="1205" t="s">
        <v>2322</v>
      </c>
    </row>
    <row r="884" spans="1:10" hidden="1">
      <c r="A884" s="1286"/>
      <c r="B884" s="1287"/>
      <c r="C884" s="1281" t="s">
        <v>611</v>
      </c>
      <c r="D884" s="1264">
        <v>1</v>
      </c>
      <c r="E884" s="1282" t="s">
        <v>325</v>
      </c>
      <c r="F884" s="1266">
        <v>1</v>
      </c>
      <c r="G884" s="1282" t="s">
        <v>325</v>
      </c>
      <c r="H884" s="1268">
        <f>'MINI SSR 2022-23'!C107</f>
        <v>203</v>
      </c>
      <c r="I884" s="1280">
        <f>SUM(D884*H884/F884)</f>
        <v>203</v>
      </c>
      <c r="J884" s="1205" t="s">
        <v>2322</v>
      </c>
    </row>
    <row r="885" spans="1:10" hidden="1">
      <c r="A885" s="1286"/>
      <c r="B885" s="1287"/>
      <c r="C885" s="1283"/>
      <c r="D885" s="1264"/>
      <c r="E885" s="1282"/>
      <c r="F885" s="1266"/>
      <c r="G885" s="1282"/>
      <c r="H885" s="1268"/>
      <c r="I885" s="1280">
        <f>SUM(I884)</f>
        <v>203</v>
      </c>
      <c r="J885" s="1205" t="s">
        <v>2322</v>
      </c>
    </row>
    <row r="886" spans="1:10" ht="22.5" hidden="1">
      <c r="A886" s="1286"/>
      <c r="B886" s="1287">
        <v>5</v>
      </c>
      <c r="C886" s="1270" t="s">
        <v>690</v>
      </c>
      <c r="D886" s="1271"/>
      <c r="E886" s="1272"/>
      <c r="F886" s="1271"/>
      <c r="G886" s="1272"/>
      <c r="H886" s="1273"/>
      <c r="I886" s="1273"/>
      <c r="J886" s="1205" t="s">
        <v>2322</v>
      </c>
    </row>
    <row r="887" spans="1:10" hidden="1">
      <c r="A887" s="1286"/>
      <c r="B887" s="1287"/>
      <c r="C887" s="1281" t="s">
        <v>691</v>
      </c>
      <c r="D887" s="1264">
        <v>1</v>
      </c>
      <c r="E887" s="1282" t="s">
        <v>325</v>
      </c>
      <c r="F887" s="1266">
        <v>1</v>
      </c>
      <c r="G887" s="1282" t="s">
        <v>325</v>
      </c>
      <c r="H887" s="1268">
        <f>'MINI SSR 2022-23'!C108</f>
        <v>155</v>
      </c>
      <c r="I887" s="1280">
        <f>SUM(D887*H887/F887)</f>
        <v>155</v>
      </c>
      <c r="J887" s="1205" t="s">
        <v>2322</v>
      </c>
    </row>
    <row r="888" spans="1:10" hidden="1">
      <c r="A888" s="1286"/>
      <c r="B888" s="1287"/>
      <c r="C888" s="1283"/>
      <c r="D888" s="1264"/>
      <c r="E888" s="1282"/>
      <c r="F888" s="1266"/>
      <c r="G888" s="1282"/>
      <c r="H888" s="1268"/>
      <c r="I888" s="1280">
        <f>SUM(I887)</f>
        <v>155</v>
      </c>
      <c r="J888" s="1205" t="s">
        <v>2322</v>
      </c>
    </row>
    <row r="889" spans="1:10" ht="22.5" hidden="1">
      <c r="A889" s="1286"/>
      <c r="B889" s="1287">
        <v>4</v>
      </c>
      <c r="C889" s="1270" t="s">
        <v>790</v>
      </c>
      <c r="D889" s="1271"/>
      <c r="E889" s="1272"/>
      <c r="F889" s="1271"/>
      <c r="G889" s="1272"/>
      <c r="H889" s="1273"/>
      <c r="I889" s="1273"/>
      <c r="J889" s="1205" t="s">
        <v>2322</v>
      </c>
    </row>
    <row r="890" spans="1:10" hidden="1">
      <c r="A890" s="1286"/>
      <c r="B890" s="1287"/>
      <c r="C890" s="1281" t="s">
        <v>791</v>
      </c>
      <c r="D890" s="1264">
        <v>1</v>
      </c>
      <c r="E890" s="1282" t="s">
        <v>325</v>
      </c>
      <c r="F890" s="1266">
        <v>1</v>
      </c>
      <c r="G890" s="1282" t="s">
        <v>325</v>
      </c>
      <c r="H890" s="1268">
        <f>'MINI SSR 2022-23'!C109</f>
        <v>114</v>
      </c>
      <c r="I890" s="1280">
        <f>SUM(D890*H890/F890)</f>
        <v>114</v>
      </c>
      <c r="J890" s="1205" t="s">
        <v>2322</v>
      </c>
    </row>
    <row r="891" spans="1:10" hidden="1">
      <c r="A891" s="1286"/>
      <c r="B891" s="1287"/>
      <c r="C891" s="1283"/>
      <c r="D891" s="1264"/>
      <c r="E891" s="1282"/>
      <c r="F891" s="1266"/>
      <c r="G891" s="1282"/>
      <c r="H891" s="1268"/>
      <c r="I891" s="1280">
        <f>SUM(I890)</f>
        <v>114</v>
      </c>
      <c r="J891" s="1205" t="s">
        <v>2322</v>
      </c>
    </row>
    <row r="892" spans="1:10" ht="22.5" hidden="1">
      <c r="A892" s="1286"/>
      <c r="B892" s="1287">
        <v>8</v>
      </c>
      <c r="C892" s="1270" t="s">
        <v>612</v>
      </c>
      <c r="D892" s="1271"/>
      <c r="E892" s="1272"/>
      <c r="F892" s="1271"/>
      <c r="G892" s="1272"/>
      <c r="H892" s="1273"/>
      <c r="I892" s="1273"/>
      <c r="J892" s="1205" t="s">
        <v>2322</v>
      </c>
    </row>
    <row r="893" spans="1:10" hidden="1">
      <c r="A893" s="1286"/>
      <c r="B893" s="1287"/>
      <c r="C893" s="1281" t="s">
        <v>614</v>
      </c>
      <c r="D893" s="1264">
        <v>1</v>
      </c>
      <c r="E893" s="1282" t="s">
        <v>325</v>
      </c>
      <c r="F893" s="1266">
        <v>1</v>
      </c>
      <c r="G893" s="1282" t="s">
        <v>325</v>
      </c>
      <c r="H893" s="1268">
        <f>H881</f>
        <v>245</v>
      </c>
      <c r="I893" s="1280">
        <f>SUM(D893*H893/F893)</f>
        <v>245</v>
      </c>
      <c r="J893" s="1205" t="s">
        <v>2322</v>
      </c>
    </row>
    <row r="894" spans="1:10" hidden="1">
      <c r="A894" s="1286"/>
      <c r="B894" s="1287"/>
      <c r="C894" s="1281" t="s">
        <v>613</v>
      </c>
      <c r="D894" s="1264">
        <v>1</v>
      </c>
      <c r="E894" s="1282" t="s">
        <v>325</v>
      </c>
      <c r="F894" s="1266">
        <v>1</v>
      </c>
      <c r="G894" s="1282" t="s">
        <v>325</v>
      </c>
      <c r="H894" s="1268">
        <f>H887</f>
        <v>155</v>
      </c>
      <c r="I894" s="1280">
        <f>SUM(D894*H894/F894)</f>
        <v>155</v>
      </c>
      <c r="J894" s="1205" t="s">
        <v>2322</v>
      </c>
    </row>
    <row r="895" spans="1:10" hidden="1">
      <c r="A895" s="1286"/>
      <c r="B895" s="1287"/>
      <c r="C895" s="1283"/>
      <c r="D895" s="1264"/>
      <c r="E895" s="1282"/>
      <c r="F895" s="1266"/>
      <c r="G895" s="1282"/>
      <c r="H895" s="1268"/>
      <c r="I895" s="1280">
        <f>SUM(I893:I894)</f>
        <v>400</v>
      </c>
      <c r="J895" s="1205" t="s">
        <v>2322</v>
      </c>
    </row>
    <row r="896" spans="1:10" ht="22.5" hidden="1">
      <c r="A896" s="1286"/>
      <c r="B896" s="1287">
        <v>9</v>
      </c>
      <c r="C896" s="1270" t="s">
        <v>1512</v>
      </c>
      <c r="D896" s="1271"/>
      <c r="E896" s="1272"/>
      <c r="F896" s="1271"/>
      <c r="G896" s="1272"/>
      <c r="H896" s="1273"/>
      <c r="I896" s="1273"/>
      <c r="J896" s="1205" t="s">
        <v>2322</v>
      </c>
    </row>
    <row r="897" spans="1:10" hidden="1">
      <c r="A897" s="1286"/>
      <c r="B897" s="1287"/>
      <c r="C897" s="1281" t="s">
        <v>614</v>
      </c>
      <c r="D897" s="1264">
        <v>1</v>
      </c>
      <c r="E897" s="1282" t="s">
        <v>325</v>
      </c>
      <c r="F897" s="1266">
        <v>1</v>
      </c>
      <c r="G897" s="1282" t="s">
        <v>325</v>
      </c>
      <c r="H897" s="1268">
        <f>H881</f>
        <v>245</v>
      </c>
      <c r="I897" s="1280">
        <f>SUM(D897*H897/F897)</f>
        <v>245</v>
      </c>
      <c r="J897" s="1205" t="s">
        <v>2322</v>
      </c>
    </row>
    <row r="898" spans="1:10" hidden="1">
      <c r="A898" s="1286"/>
      <c r="B898" s="1287"/>
      <c r="C898" s="1281" t="s">
        <v>1513</v>
      </c>
      <c r="D898" s="1264">
        <v>1</v>
      </c>
      <c r="E898" s="1282" t="s">
        <v>325</v>
      </c>
      <c r="F898" s="1266">
        <v>1</v>
      </c>
      <c r="G898" s="1282" t="s">
        <v>325</v>
      </c>
      <c r="H898" s="1268">
        <f>'MINI SSR 2022-23'!C109</f>
        <v>114</v>
      </c>
      <c r="I898" s="1280">
        <f>SUM(D898*H898/F898)</f>
        <v>114</v>
      </c>
      <c r="J898" s="1205" t="s">
        <v>2322</v>
      </c>
    </row>
    <row r="899" spans="1:10" hidden="1">
      <c r="A899" s="1286"/>
      <c r="B899" s="1287"/>
      <c r="C899" s="1283"/>
      <c r="D899" s="1264"/>
      <c r="E899" s="1282"/>
      <c r="F899" s="1266"/>
      <c r="G899" s="1282"/>
      <c r="H899" s="1268"/>
      <c r="I899" s="1280">
        <f>SUM(I897:I898)</f>
        <v>359</v>
      </c>
      <c r="J899" s="1205" t="s">
        <v>2322</v>
      </c>
    </row>
    <row r="900" spans="1:10" ht="22.5" hidden="1">
      <c r="A900" s="1286"/>
      <c r="B900" s="1287">
        <v>5</v>
      </c>
      <c r="C900" s="1270" t="s">
        <v>428</v>
      </c>
      <c r="D900" s="1271"/>
      <c r="E900" s="1272"/>
      <c r="F900" s="1271"/>
      <c r="G900" s="1272"/>
      <c r="H900" s="1273"/>
      <c r="I900" s="1273"/>
      <c r="J900" s="1205" t="s">
        <v>2322</v>
      </c>
    </row>
    <row r="901" spans="1:10" hidden="1">
      <c r="A901" s="1286"/>
      <c r="B901" s="1287"/>
      <c r="C901" s="1281" t="s">
        <v>434</v>
      </c>
      <c r="D901" s="1264">
        <v>1</v>
      </c>
      <c r="E901" s="1282" t="s">
        <v>325</v>
      </c>
      <c r="F901" s="1266">
        <v>1</v>
      </c>
      <c r="G901" s="1282" t="s">
        <v>325</v>
      </c>
      <c r="H901" s="1268">
        <f>'MINI SSR 2022-23'!C112</f>
        <v>68</v>
      </c>
      <c r="I901" s="1280">
        <f>SUM(D901*H901/F901)</f>
        <v>68</v>
      </c>
      <c r="J901" s="1205" t="s">
        <v>2322</v>
      </c>
    </row>
    <row r="902" spans="1:10" hidden="1">
      <c r="A902" s="1286"/>
      <c r="B902" s="1287"/>
      <c r="C902" s="1283"/>
      <c r="D902" s="1264"/>
      <c r="E902" s="1282"/>
      <c r="F902" s="1266"/>
      <c r="G902" s="1282"/>
      <c r="H902" s="1268"/>
      <c r="I902" s="1280">
        <f>SUM(I901)</f>
        <v>68</v>
      </c>
      <c r="J902" s="1205" t="s">
        <v>2322</v>
      </c>
    </row>
    <row r="903" spans="1:10" hidden="1">
      <c r="A903" s="1286"/>
      <c r="B903" s="1287">
        <v>5</v>
      </c>
      <c r="C903" s="1270" t="s">
        <v>437</v>
      </c>
      <c r="D903" s="1271"/>
      <c r="E903" s="1272"/>
      <c r="F903" s="1271"/>
      <c r="G903" s="1272"/>
      <c r="H903" s="1273"/>
      <c r="I903" s="1273"/>
      <c r="J903" s="1205" t="s">
        <v>2322</v>
      </c>
    </row>
    <row r="904" spans="1:10" hidden="1">
      <c r="A904" s="1286"/>
      <c r="B904" s="1287"/>
      <c r="C904" s="1281" t="s">
        <v>438</v>
      </c>
      <c r="D904" s="1264">
        <v>1</v>
      </c>
      <c r="E904" s="1282" t="s">
        <v>325</v>
      </c>
      <c r="F904" s="1266">
        <v>1</v>
      </c>
      <c r="G904" s="1282" t="s">
        <v>325</v>
      </c>
      <c r="H904" s="1268">
        <f>'MINI SSR 2022-23'!E106</f>
        <v>209</v>
      </c>
      <c r="I904" s="1280">
        <f>SUM(D904*H904/F904)</f>
        <v>209</v>
      </c>
      <c r="J904" s="1205" t="s">
        <v>2322</v>
      </c>
    </row>
    <row r="905" spans="1:10" hidden="1">
      <c r="A905" s="1286"/>
      <c r="B905" s="1287"/>
      <c r="C905" s="1283"/>
      <c r="D905" s="1264"/>
      <c r="E905" s="1282"/>
      <c r="F905" s="1266"/>
      <c r="G905" s="1282"/>
      <c r="H905" s="1268"/>
      <c r="I905" s="1280">
        <f>SUM(I904)</f>
        <v>209</v>
      </c>
      <c r="J905" s="1205" t="s">
        <v>2322</v>
      </c>
    </row>
    <row r="906" spans="1:10" hidden="1">
      <c r="A906" s="1286"/>
      <c r="B906" s="1287">
        <v>6</v>
      </c>
      <c r="C906" s="1270" t="s">
        <v>615</v>
      </c>
      <c r="D906" s="1271"/>
      <c r="E906" s="1272"/>
      <c r="F906" s="1271"/>
      <c r="G906" s="1272"/>
      <c r="H906" s="1273"/>
      <c r="I906" s="1273"/>
      <c r="J906" s="1205" t="s">
        <v>2322</v>
      </c>
    </row>
    <row r="907" spans="1:10" hidden="1">
      <c r="A907" s="1286"/>
      <c r="B907" s="1287"/>
      <c r="C907" s="1281" t="s">
        <v>616</v>
      </c>
      <c r="D907" s="1264">
        <v>1</v>
      </c>
      <c r="E907" s="1282" t="s">
        <v>325</v>
      </c>
      <c r="F907" s="1266">
        <v>1</v>
      </c>
      <c r="G907" s="1282" t="s">
        <v>325</v>
      </c>
      <c r="H907" s="1268">
        <f>'MINI SSR 2022-23'!E107</f>
        <v>171</v>
      </c>
      <c r="I907" s="1280">
        <f>SUM(D907*H907/F907)</f>
        <v>171</v>
      </c>
      <c r="J907" s="1205" t="s">
        <v>2322</v>
      </c>
    </row>
    <row r="908" spans="1:10" hidden="1">
      <c r="A908" s="1286"/>
      <c r="B908" s="1287"/>
      <c r="C908" s="1283"/>
      <c r="D908" s="1264"/>
      <c r="E908" s="1282"/>
      <c r="F908" s="1266"/>
      <c r="G908" s="1282"/>
      <c r="H908" s="1268"/>
      <c r="I908" s="1280">
        <f>SUM(I907)</f>
        <v>171</v>
      </c>
      <c r="J908" s="1205" t="s">
        <v>2322</v>
      </c>
    </row>
    <row r="909" spans="1:10" hidden="1">
      <c r="A909" s="1286"/>
      <c r="B909" s="1287">
        <v>10</v>
      </c>
      <c r="C909" s="1270" t="s">
        <v>694</v>
      </c>
      <c r="D909" s="1271"/>
      <c r="E909" s="1272"/>
      <c r="F909" s="1271"/>
      <c r="G909" s="1272"/>
      <c r="H909" s="1273"/>
      <c r="I909" s="1273"/>
      <c r="J909" s="1205" t="s">
        <v>2322</v>
      </c>
    </row>
    <row r="910" spans="1:10" hidden="1">
      <c r="A910" s="1286"/>
      <c r="B910" s="1287"/>
      <c r="C910" s="1281" t="s">
        <v>619</v>
      </c>
      <c r="D910" s="1264">
        <v>1</v>
      </c>
      <c r="E910" s="1282" t="s">
        <v>325</v>
      </c>
      <c r="F910" s="1266">
        <v>1</v>
      </c>
      <c r="G910" s="1282" t="s">
        <v>325</v>
      </c>
      <c r="H910" s="1268">
        <f>'MINI SSR 2022-23'!E108</f>
        <v>132</v>
      </c>
      <c r="I910" s="1280">
        <f>SUM(D910*H910/F910)</f>
        <v>132</v>
      </c>
      <c r="J910" s="1205" t="s">
        <v>2322</v>
      </c>
    </row>
    <row r="911" spans="1:10" hidden="1">
      <c r="A911" s="1286"/>
      <c r="B911" s="1287"/>
      <c r="C911" s="1283"/>
      <c r="D911" s="1264"/>
      <c r="E911" s="1282"/>
      <c r="F911" s="1266"/>
      <c r="G911" s="1282"/>
      <c r="H911" s="1268"/>
      <c r="I911" s="1280">
        <f>SUM(I910)</f>
        <v>132</v>
      </c>
      <c r="J911" s="1205" t="s">
        <v>2322</v>
      </c>
    </row>
    <row r="912" spans="1:10" hidden="1">
      <c r="A912" s="1286"/>
      <c r="B912" s="1287">
        <v>11</v>
      </c>
      <c r="C912" s="1270" t="s">
        <v>792</v>
      </c>
      <c r="D912" s="1271"/>
      <c r="E912" s="1272"/>
      <c r="F912" s="1271"/>
      <c r="G912" s="1272"/>
      <c r="H912" s="1273"/>
      <c r="I912" s="1273"/>
      <c r="J912" s="1205" t="s">
        <v>2322</v>
      </c>
    </row>
    <row r="913" spans="1:10" hidden="1">
      <c r="A913" s="1286"/>
      <c r="B913" s="1287"/>
      <c r="C913" s="1281" t="s">
        <v>793</v>
      </c>
      <c r="D913" s="1264">
        <v>1</v>
      </c>
      <c r="E913" s="1282" t="s">
        <v>325</v>
      </c>
      <c r="F913" s="1266">
        <v>1</v>
      </c>
      <c r="G913" s="1282" t="s">
        <v>325</v>
      </c>
      <c r="H913" s="1268">
        <f>'MINI SSR 2022-23'!E109</f>
        <v>88</v>
      </c>
      <c r="I913" s="1280">
        <f>SUM(D913*H913/F913)</f>
        <v>88</v>
      </c>
      <c r="J913" s="1205" t="s">
        <v>2322</v>
      </c>
    </row>
    <row r="914" spans="1:10" hidden="1">
      <c r="A914" s="1286"/>
      <c r="B914" s="1287"/>
      <c r="C914" s="1283"/>
      <c r="D914" s="1264"/>
      <c r="E914" s="1282"/>
      <c r="F914" s="1266"/>
      <c r="G914" s="1282"/>
      <c r="H914" s="1268"/>
      <c r="I914" s="1280">
        <f>SUM(I913)</f>
        <v>88</v>
      </c>
      <c r="J914" s="1205" t="s">
        <v>2322</v>
      </c>
    </row>
    <row r="915" spans="1:10" hidden="1">
      <c r="A915" s="1286"/>
      <c r="B915" s="1287">
        <v>15</v>
      </c>
      <c r="C915" s="1270" t="s">
        <v>617</v>
      </c>
      <c r="D915" s="1271"/>
      <c r="E915" s="1272"/>
      <c r="F915" s="1271"/>
      <c r="G915" s="1272"/>
      <c r="H915" s="1273"/>
      <c r="I915" s="1273"/>
      <c r="J915" s="1205" t="s">
        <v>2322</v>
      </c>
    </row>
    <row r="916" spans="1:10" hidden="1">
      <c r="A916" s="1286"/>
      <c r="B916" s="1287"/>
      <c r="C916" s="1281" t="s">
        <v>618</v>
      </c>
      <c r="D916" s="1264">
        <v>1</v>
      </c>
      <c r="E916" s="1282" t="s">
        <v>325</v>
      </c>
      <c r="F916" s="1266">
        <v>1</v>
      </c>
      <c r="G916" s="1282" t="s">
        <v>325</v>
      </c>
      <c r="H916" s="1268">
        <f>'MINI SSR 2022-23'!E106</f>
        <v>209</v>
      </c>
      <c r="I916" s="1280">
        <f>SUM(D916*H916/F916)</f>
        <v>209</v>
      </c>
      <c r="J916" s="1205" t="s">
        <v>2322</v>
      </c>
    </row>
    <row r="917" spans="1:10" hidden="1">
      <c r="A917" s="1286"/>
      <c r="B917" s="1287"/>
      <c r="C917" s="1281" t="s">
        <v>619</v>
      </c>
      <c r="D917" s="1264">
        <v>1</v>
      </c>
      <c r="E917" s="1282" t="s">
        <v>325</v>
      </c>
      <c r="F917" s="1266">
        <v>1</v>
      </c>
      <c r="G917" s="1282" t="s">
        <v>325</v>
      </c>
      <c r="H917" s="1268">
        <f>'MINI SSR 2022-23'!E108</f>
        <v>132</v>
      </c>
      <c r="I917" s="1280">
        <f>SUM(D917*H917/F917)</f>
        <v>132</v>
      </c>
      <c r="J917" s="1205" t="s">
        <v>2322</v>
      </c>
    </row>
    <row r="918" spans="1:10" hidden="1">
      <c r="A918" s="1286"/>
      <c r="B918" s="1287"/>
      <c r="C918" s="1283"/>
      <c r="D918" s="1264"/>
      <c r="E918" s="1282"/>
      <c r="F918" s="1266"/>
      <c r="G918" s="1282"/>
      <c r="H918" s="1268"/>
      <c r="I918" s="1280">
        <f>SUM(I916:I917)</f>
        <v>341</v>
      </c>
      <c r="J918" s="1205" t="s">
        <v>2322</v>
      </c>
    </row>
    <row r="919" spans="1:10" hidden="1">
      <c r="A919" s="1286"/>
      <c r="B919" s="1287">
        <v>12</v>
      </c>
      <c r="C919" s="1270" t="s">
        <v>439</v>
      </c>
      <c r="D919" s="1271"/>
      <c r="E919" s="1272"/>
      <c r="F919" s="1271"/>
      <c r="G919" s="1272"/>
      <c r="H919" s="1273"/>
      <c r="I919" s="1273"/>
      <c r="J919" s="1205" t="s">
        <v>2322</v>
      </c>
    </row>
    <row r="920" spans="1:10" hidden="1">
      <c r="A920" s="1286"/>
      <c r="B920" s="1287"/>
      <c r="C920" s="1281" t="s">
        <v>440</v>
      </c>
      <c r="D920" s="1264">
        <v>1</v>
      </c>
      <c r="E920" s="1282" t="s">
        <v>325</v>
      </c>
      <c r="F920" s="1266">
        <v>1</v>
      </c>
      <c r="G920" s="1282" t="s">
        <v>325</v>
      </c>
      <c r="H920" s="1268">
        <f>'MINI SSR 2022-23'!E112</f>
        <v>66</v>
      </c>
      <c r="I920" s="1280">
        <f>SUM(D920*H920/F920)</f>
        <v>66</v>
      </c>
      <c r="J920" s="1205" t="s">
        <v>2322</v>
      </c>
    </row>
    <row r="921" spans="1:10" hidden="1">
      <c r="A921" s="1286"/>
      <c r="B921" s="1287"/>
      <c r="C921" s="1283"/>
      <c r="D921" s="1264"/>
      <c r="E921" s="1282"/>
      <c r="F921" s="1266"/>
      <c r="G921" s="1282"/>
      <c r="H921" s="1268"/>
      <c r="I921" s="1280">
        <f>SUM(I920)</f>
        <v>66</v>
      </c>
      <c r="J921" s="1205" t="s">
        <v>2322</v>
      </c>
    </row>
    <row r="922" spans="1:10" hidden="1">
      <c r="A922" s="1286"/>
      <c r="B922" s="1287"/>
      <c r="C922" s="1286"/>
      <c r="D922" s="1292"/>
      <c r="E922" s="1293"/>
      <c r="F922" s="1292"/>
      <c r="G922" s="1293"/>
      <c r="H922" s="1286"/>
      <c r="I922" s="1286"/>
      <c r="J922" s="1205" t="s">
        <v>2322</v>
      </c>
    </row>
    <row r="923" spans="1:10" hidden="1">
      <c r="A923" s="1286"/>
      <c r="B923" s="1287">
        <v>7</v>
      </c>
      <c r="C923" s="1270" t="s">
        <v>624</v>
      </c>
      <c r="D923" s="1271"/>
      <c r="E923" s="1272"/>
      <c r="F923" s="1271"/>
      <c r="G923" s="1272"/>
      <c r="H923" s="1273"/>
      <c r="I923" s="1273"/>
      <c r="J923" s="1205" t="s">
        <v>2322</v>
      </c>
    </row>
    <row r="924" spans="1:10" hidden="1">
      <c r="A924" s="1286"/>
      <c r="B924" s="1287"/>
      <c r="C924" s="1281" t="s">
        <v>625</v>
      </c>
      <c r="D924" s="1264">
        <v>1</v>
      </c>
      <c r="E924" s="1282" t="s">
        <v>325</v>
      </c>
      <c r="F924" s="1266">
        <v>1</v>
      </c>
      <c r="G924" s="1282" t="s">
        <v>325</v>
      </c>
      <c r="H924" s="1268">
        <f>'MINI SSR 2022-23'!C114</f>
        <v>21</v>
      </c>
      <c r="I924" s="1280">
        <f>SUM(D924*H924/F924)</f>
        <v>21</v>
      </c>
      <c r="J924" s="1205" t="s">
        <v>2322</v>
      </c>
    </row>
    <row r="925" spans="1:10" hidden="1">
      <c r="A925" s="1286"/>
      <c r="B925" s="1287"/>
      <c r="C925" s="1283"/>
      <c r="D925" s="1264"/>
      <c r="E925" s="1282"/>
      <c r="F925" s="1266"/>
      <c r="G925" s="1282"/>
      <c r="H925" s="1268"/>
      <c r="I925" s="1280">
        <f>SUM(I924)</f>
        <v>21</v>
      </c>
      <c r="J925" s="1205" t="s">
        <v>2322</v>
      </c>
    </row>
    <row r="926" spans="1:10" ht="22.5" hidden="1">
      <c r="A926" s="1286"/>
      <c r="B926" s="1287">
        <v>18</v>
      </c>
      <c r="C926" s="1270" t="s">
        <v>794</v>
      </c>
      <c r="D926" s="1271"/>
      <c r="E926" s="1272"/>
      <c r="F926" s="1271"/>
      <c r="G926" s="1272"/>
      <c r="H926" s="1273"/>
      <c r="I926" s="1273"/>
      <c r="J926" s="1205" t="s">
        <v>2322</v>
      </c>
    </row>
    <row r="927" spans="1:10" hidden="1">
      <c r="A927" s="1286"/>
      <c r="B927" s="1287"/>
      <c r="C927" s="1281" t="s">
        <v>795</v>
      </c>
      <c r="D927" s="1264">
        <v>1</v>
      </c>
      <c r="E927" s="1282" t="s">
        <v>325</v>
      </c>
      <c r="F927" s="1266">
        <v>1</v>
      </c>
      <c r="G927" s="1282" t="s">
        <v>325</v>
      </c>
      <c r="H927" s="1268">
        <f>'MINI SSR 2022-23'!C115</f>
        <v>1634</v>
      </c>
      <c r="I927" s="1280">
        <f>SUM(D927*H927/F927)</f>
        <v>1634</v>
      </c>
      <c r="J927" s="1205" t="s">
        <v>2322</v>
      </c>
    </row>
    <row r="928" spans="1:10" hidden="1">
      <c r="A928" s="1286"/>
      <c r="B928" s="1287"/>
      <c r="C928" s="1283"/>
      <c r="D928" s="1264"/>
      <c r="E928" s="1282"/>
      <c r="F928" s="1266"/>
      <c r="G928" s="1282"/>
      <c r="H928" s="1268"/>
      <c r="I928" s="1280">
        <f>SUM(I927)</f>
        <v>1634</v>
      </c>
      <c r="J928" s="1205" t="s">
        <v>2322</v>
      </c>
    </row>
    <row r="929" spans="1:10" ht="67.5" hidden="1">
      <c r="A929" s="1295" t="s">
        <v>721</v>
      </c>
      <c r="B929" s="1263">
        <v>7</v>
      </c>
      <c r="C929" s="1270" t="s">
        <v>436</v>
      </c>
      <c r="D929" s="1274"/>
      <c r="E929" s="1265"/>
      <c r="F929" s="1274"/>
      <c r="G929" s="1265"/>
      <c r="H929" s="1270"/>
      <c r="I929" s="1270"/>
      <c r="J929" s="1205" t="s">
        <v>2322</v>
      </c>
    </row>
    <row r="930" spans="1:10" ht="22.5" hidden="1">
      <c r="A930" s="1268"/>
      <c r="B930" s="1257"/>
      <c r="C930" s="1270" t="s">
        <v>391</v>
      </c>
      <c r="D930" s="1264"/>
      <c r="E930" s="1267"/>
      <c r="F930" s="1266"/>
      <c r="G930" s="1267"/>
      <c r="H930" s="1268"/>
      <c r="I930" s="1269"/>
      <c r="J930" s="1205" t="s">
        <v>2322</v>
      </c>
    </row>
    <row r="931" spans="1:10" ht="33.75" hidden="1">
      <c r="A931" s="1268"/>
      <c r="B931" s="1257"/>
      <c r="C931" s="1270" t="s">
        <v>392</v>
      </c>
      <c r="D931" s="1274"/>
      <c r="E931" s="1265"/>
      <c r="F931" s="1274"/>
      <c r="G931" s="1265"/>
      <c r="H931" s="1270"/>
      <c r="I931" s="1270"/>
      <c r="J931" s="1205" t="s">
        <v>2322</v>
      </c>
    </row>
    <row r="932" spans="1:10" hidden="1">
      <c r="A932" s="1268"/>
      <c r="B932" s="1257"/>
      <c r="C932" s="1270" t="s">
        <v>384</v>
      </c>
      <c r="D932" s="1264"/>
      <c r="E932" s="1267"/>
      <c r="F932" s="1266"/>
      <c r="G932" s="1267"/>
      <c r="H932" s="1268"/>
      <c r="I932" s="1269"/>
      <c r="J932" s="1205" t="s">
        <v>2322</v>
      </c>
    </row>
    <row r="933" spans="1:10" hidden="1">
      <c r="A933" s="1268"/>
      <c r="B933" s="1257"/>
      <c r="C933" s="1270" t="s">
        <v>1661</v>
      </c>
      <c r="D933" s="1264">
        <v>0.6</v>
      </c>
      <c r="E933" s="1282" t="s">
        <v>27</v>
      </c>
      <c r="F933" s="1266">
        <v>1</v>
      </c>
      <c r="G933" s="1282" t="s">
        <v>27</v>
      </c>
      <c r="H933" s="1268">
        <f>'MINI SSR 2022-23'!$H$16</f>
        <v>700</v>
      </c>
      <c r="I933" s="1269">
        <f>SUM(D933*H933/F933)</f>
        <v>420</v>
      </c>
      <c r="J933" s="1205" t="s">
        <v>2322</v>
      </c>
    </row>
    <row r="934" spans="1:10" hidden="1">
      <c r="A934" s="1268"/>
      <c r="B934" s="1257"/>
      <c r="C934" s="1270" t="s">
        <v>1662</v>
      </c>
      <c r="D934" s="1264">
        <v>1.2</v>
      </c>
      <c r="E934" s="1282" t="s">
        <v>27</v>
      </c>
      <c r="F934" s="1266">
        <v>1</v>
      </c>
      <c r="G934" s="1282" t="s">
        <v>27</v>
      </c>
      <c r="H934" s="1268">
        <f>'MINI SSR 2022-23'!$H$17</f>
        <v>570</v>
      </c>
      <c r="I934" s="1280">
        <f>SUM(D934*H934/F934)</f>
        <v>684</v>
      </c>
      <c r="J934" s="1205" t="s">
        <v>2322</v>
      </c>
    </row>
    <row r="935" spans="1:10" hidden="1">
      <c r="A935" s="1268"/>
      <c r="B935" s="1257"/>
      <c r="C935" s="1270" t="s">
        <v>700</v>
      </c>
      <c r="D935" s="1264">
        <v>0.6</v>
      </c>
      <c r="E935" s="1282" t="s">
        <v>27</v>
      </c>
      <c r="F935" s="1266">
        <v>1</v>
      </c>
      <c r="G935" s="1282" t="s">
        <v>27</v>
      </c>
      <c r="H935" s="1268">
        <f>'MINI SSR 2022-23'!$H$18</f>
        <v>505</v>
      </c>
      <c r="I935" s="1280">
        <f>SUM(D935*H935/F935)</f>
        <v>303</v>
      </c>
      <c r="J935" s="1205" t="s">
        <v>2322</v>
      </c>
    </row>
    <row r="936" spans="1:10" hidden="1">
      <c r="A936" s="1268"/>
      <c r="B936" s="1257"/>
      <c r="C936" s="1270" t="s">
        <v>327</v>
      </c>
      <c r="D936" s="1264"/>
      <c r="E936" s="1282"/>
      <c r="F936" s="1266"/>
      <c r="G936" s="1282"/>
      <c r="H936" s="1268"/>
      <c r="I936" s="1269"/>
      <c r="J936" s="1205" t="s">
        <v>2322</v>
      </c>
    </row>
    <row r="937" spans="1:10" hidden="1">
      <c r="A937" s="1268"/>
      <c r="B937" s="1257"/>
      <c r="C937" s="1296" t="s">
        <v>621</v>
      </c>
      <c r="D937" s="1297">
        <v>6</v>
      </c>
      <c r="E937" s="1267" t="s">
        <v>325</v>
      </c>
      <c r="F937" s="1266">
        <v>1</v>
      </c>
      <c r="G937" s="1267" t="s">
        <v>115</v>
      </c>
      <c r="H937" s="1268">
        <f>'MINI SSR 2022-23'!C116</f>
        <v>18</v>
      </c>
      <c r="I937" s="1269">
        <f>SUM(D937*H937/F937)</f>
        <v>108</v>
      </c>
      <c r="J937" s="1205" t="s">
        <v>2322</v>
      </c>
    </row>
    <row r="938" spans="1:10" ht="45" hidden="1">
      <c r="A938" s="1268"/>
      <c r="B938" s="1257"/>
      <c r="C938" s="1296" t="s">
        <v>3371</v>
      </c>
      <c r="D938" s="1264">
        <v>100</v>
      </c>
      <c r="E938" s="1282" t="s">
        <v>395</v>
      </c>
      <c r="F938" s="1266">
        <v>100</v>
      </c>
      <c r="G938" s="1282" t="s">
        <v>395</v>
      </c>
      <c r="H938" s="1268">
        <f>'MINI SSR 2022-23'!C119</f>
        <v>1375</v>
      </c>
      <c r="I938" s="1269">
        <f>SUM(D938*H938/F938)</f>
        <v>1375</v>
      </c>
      <c r="J938" s="1205" t="s">
        <v>2322</v>
      </c>
    </row>
    <row r="939" spans="1:10" hidden="1">
      <c r="A939" s="1268"/>
      <c r="B939" s="1257"/>
      <c r="C939" s="1270" t="s">
        <v>396</v>
      </c>
      <c r="D939" s="1264"/>
      <c r="E939" s="1267"/>
      <c r="F939" s="1266"/>
      <c r="G939" s="1267"/>
      <c r="H939" s="1268"/>
      <c r="I939" s="1269">
        <f>SUM(I933:I938)</f>
        <v>2890</v>
      </c>
      <c r="J939" s="1205" t="s">
        <v>2322</v>
      </c>
    </row>
    <row r="940" spans="1:10" hidden="1">
      <c r="A940" s="1268"/>
      <c r="B940" s="1257"/>
      <c r="C940" s="1270" t="s">
        <v>397</v>
      </c>
      <c r="D940" s="1264"/>
      <c r="E940" s="1267"/>
      <c r="F940" s="1266"/>
      <c r="G940" s="1267"/>
      <c r="H940" s="1268"/>
      <c r="I940" s="1269">
        <f>ROUND(I939/6,2)</f>
        <v>481.67</v>
      </c>
      <c r="J940" s="1205" t="s">
        <v>2322</v>
      </c>
    </row>
    <row r="941" spans="1:10" ht="67.5" hidden="1">
      <c r="A941" s="1295" t="s">
        <v>721</v>
      </c>
      <c r="B941" s="1263">
        <v>8</v>
      </c>
      <c r="C941" s="1270" t="s">
        <v>435</v>
      </c>
      <c r="D941" s="1274"/>
      <c r="E941" s="1265"/>
      <c r="F941" s="1274"/>
      <c r="G941" s="1265"/>
      <c r="H941" s="1270"/>
      <c r="I941" s="1270"/>
      <c r="J941" s="1205" t="s">
        <v>2322</v>
      </c>
    </row>
    <row r="942" spans="1:10" ht="22.5" hidden="1">
      <c r="A942" s="1268"/>
      <c r="B942" s="1257"/>
      <c r="C942" s="1270" t="s">
        <v>391</v>
      </c>
      <c r="D942" s="1264"/>
      <c r="E942" s="1267"/>
      <c r="F942" s="1266"/>
      <c r="G942" s="1267"/>
      <c r="H942" s="1268"/>
      <c r="I942" s="1269"/>
      <c r="J942" s="1205" t="s">
        <v>2322</v>
      </c>
    </row>
    <row r="943" spans="1:10" ht="33.75" hidden="1">
      <c r="A943" s="1268"/>
      <c r="B943" s="1257"/>
      <c r="C943" s="1270" t="s">
        <v>392</v>
      </c>
      <c r="D943" s="1274"/>
      <c r="E943" s="1265"/>
      <c r="F943" s="1274"/>
      <c r="G943" s="1265"/>
      <c r="H943" s="1270"/>
      <c r="I943" s="1270"/>
      <c r="J943" s="1205" t="s">
        <v>2322</v>
      </c>
    </row>
    <row r="944" spans="1:10" hidden="1">
      <c r="A944" s="1268"/>
      <c r="B944" s="1257"/>
      <c r="C944" s="1270" t="s">
        <v>384</v>
      </c>
      <c r="D944" s="1264"/>
      <c r="E944" s="1267"/>
      <c r="F944" s="1266"/>
      <c r="G944" s="1267"/>
      <c r="H944" s="1268"/>
      <c r="I944" s="1269"/>
      <c r="J944" s="1205" t="s">
        <v>2322</v>
      </c>
    </row>
    <row r="945" spans="1:10" hidden="1">
      <c r="A945" s="1268"/>
      <c r="B945" s="1257"/>
      <c r="C945" s="1270" t="s">
        <v>1661</v>
      </c>
      <c r="D945" s="1264">
        <v>0.6</v>
      </c>
      <c r="E945" s="1282" t="s">
        <v>27</v>
      </c>
      <c r="F945" s="1266">
        <v>1</v>
      </c>
      <c r="G945" s="1282" t="s">
        <v>27</v>
      </c>
      <c r="H945" s="1268">
        <f>'MINI SSR 2022-23'!$H$16</f>
        <v>700</v>
      </c>
      <c r="I945" s="1269">
        <f>SUM(D945*H945/F945)</f>
        <v>420</v>
      </c>
      <c r="J945" s="1205" t="s">
        <v>2322</v>
      </c>
    </row>
    <row r="946" spans="1:10" hidden="1">
      <c r="A946" s="1268"/>
      <c r="B946" s="1257"/>
      <c r="C946" s="1270" t="s">
        <v>1662</v>
      </c>
      <c r="D946" s="1264">
        <v>1.2</v>
      </c>
      <c r="E946" s="1282" t="s">
        <v>27</v>
      </c>
      <c r="F946" s="1266">
        <v>1</v>
      </c>
      <c r="G946" s="1282" t="s">
        <v>27</v>
      </c>
      <c r="H946" s="1268">
        <f>'MINI SSR 2022-23'!$H$17</f>
        <v>570</v>
      </c>
      <c r="I946" s="1280">
        <f>SUM(D946*H946/F946)</f>
        <v>684</v>
      </c>
      <c r="J946" s="1205" t="s">
        <v>2322</v>
      </c>
    </row>
    <row r="947" spans="1:10" hidden="1">
      <c r="A947" s="1268"/>
      <c r="B947" s="1257"/>
      <c r="C947" s="1270" t="s">
        <v>700</v>
      </c>
      <c r="D947" s="1264">
        <v>0.6</v>
      </c>
      <c r="E947" s="1282" t="s">
        <v>27</v>
      </c>
      <c r="F947" s="1266">
        <v>1</v>
      </c>
      <c r="G947" s="1282" t="s">
        <v>27</v>
      </c>
      <c r="H947" s="1268">
        <f>'MINI SSR 2022-23'!$H$18</f>
        <v>505</v>
      </c>
      <c r="I947" s="1280">
        <f>SUM(D947*H947/F947)</f>
        <v>303</v>
      </c>
      <c r="J947" s="1205" t="s">
        <v>2322</v>
      </c>
    </row>
    <row r="948" spans="1:10" hidden="1">
      <c r="A948" s="1268"/>
      <c r="B948" s="1257"/>
      <c r="C948" s="1270" t="s">
        <v>327</v>
      </c>
      <c r="D948" s="1264"/>
      <c r="E948" s="1282"/>
      <c r="F948" s="1266"/>
      <c r="G948" s="1282"/>
      <c r="H948" s="1268"/>
      <c r="I948" s="1269"/>
      <c r="J948" s="1205" t="s">
        <v>2322</v>
      </c>
    </row>
    <row r="949" spans="1:10" hidden="1">
      <c r="A949" s="1268"/>
      <c r="B949" s="1257"/>
      <c r="C949" s="1296" t="s">
        <v>621</v>
      </c>
      <c r="D949" s="1297">
        <v>6</v>
      </c>
      <c r="E949" s="1267" t="s">
        <v>325</v>
      </c>
      <c r="F949" s="1266">
        <v>1</v>
      </c>
      <c r="G949" s="1267" t="s">
        <v>115</v>
      </c>
      <c r="H949" s="1268">
        <f>'MINI SSR 2022-23'!C116</f>
        <v>18</v>
      </c>
      <c r="I949" s="1269">
        <f>SUM(D949*H949/F949)</f>
        <v>108</v>
      </c>
      <c r="J949" s="1205" t="s">
        <v>2322</v>
      </c>
    </row>
    <row r="950" spans="1:10" ht="22.5" hidden="1">
      <c r="A950" s="1268"/>
      <c r="B950" s="1257"/>
      <c r="C950" s="1298" t="s">
        <v>393</v>
      </c>
      <c r="D950" s="1297">
        <v>6</v>
      </c>
      <c r="E950" s="1267" t="s">
        <v>325</v>
      </c>
      <c r="F950" s="1266">
        <v>1</v>
      </c>
      <c r="G950" s="1267" t="s">
        <v>115</v>
      </c>
      <c r="H950" s="1268">
        <f>'MINI SSR 2022-23'!C120</f>
        <v>22</v>
      </c>
      <c r="I950" s="1269">
        <f>SUM(D950*H950/F950)</f>
        <v>132</v>
      </c>
      <c r="J950" s="1205" t="s">
        <v>2322</v>
      </c>
    </row>
    <row r="951" spans="1:10" ht="45" hidden="1">
      <c r="A951" s="1268"/>
      <c r="B951" s="1257"/>
      <c r="C951" s="1296" t="s">
        <v>3371</v>
      </c>
      <c r="D951" s="1264">
        <v>100</v>
      </c>
      <c r="E951" s="1282" t="s">
        <v>395</v>
      </c>
      <c r="F951" s="1266">
        <v>100</v>
      </c>
      <c r="G951" s="1282" t="s">
        <v>395</v>
      </c>
      <c r="H951" s="1268">
        <f>'MINI SSR 2022-23'!C119</f>
        <v>1375</v>
      </c>
      <c r="I951" s="1269">
        <f>SUM(D951*H951/F951)</f>
        <v>1375</v>
      </c>
      <c r="J951" s="1205" t="s">
        <v>2322</v>
      </c>
    </row>
    <row r="952" spans="1:10" hidden="1">
      <c r="A952" s="1268"/>
      <c r="B952" s="1257"/>
      <c r="C952" s="1270" t="s">
        <v>396</v>
      </c>
      <c r="D952" s="1264"/>
      <c r="E952" s="1267"/>
      <c r="F952" s="1266"/>
      <c r="G952" s="1267"/>
      <c r="H952" s="1268"/>
      <c r="I952" s="1269">
        <f>SUM(I945:I951)</f>
        <v>3022</v>
      </c>
      <c r="J952" s="1205" t="s">
        <v>2322</v>
      </c>
    </row>
    <row r="953" spans="1:10" hidden="1">
      <c r="A953" s="1268"/>
      <c r="B953" s="1257"/>
      <c r="C953" s="1270" t="s">
        <v>397</v>
      </c>
      <c r="D953" s="1264"/>
      <c r="E953" s="1267"/>
      <c r="F953" s="1266"/>
      <c r="G953" s="1267"/>
      <c r="H953" s="1268"/>
      <c r="I953" s="1269">
        <f>ROUND(I952/6,2)</f>
        <v>503.67</v>
      </c>
      <c r="J953" s="1205" t="s">
        <v>2322</v>
      </c>
    </row>
    <row r="954" spans="1:10" ht="45" hidden="1">
      <c r="A954" s="1295" t="s">
        <v>722</v>
      </c>
      <c r="B954" s="1263">
        <v>9</v>
      </c>
      <c r="C954" s="1270" t="s">
        <v>432</v>
      </c>
      <c r="D954" s="1274"/>
      <c r="E954" s="1265"/>
      <c r="F954" s="1274"/>
      <c r="G954" s="1265"/>
      <c r="H954" s="1270"/>
      <c r="I954" s="1270"/>
      <c r="J954" s="1205" t="s">
        <v>2322</v>
      </c>
    </row>
    <row r="955" spans="1:10" hidden="1">
      <c r="A955" s="1268"/>
      <c r="B955" s="1257"/>
      <c r="C955" s="1270" t="s">
        <v>384</v>
      </c>
      <c r="D955" s="1264"/>
      <c r="E955" s="1267"/>
      <c r="F955" s="1266"/>
      <c r="G955" s="1267"/>
      <c r="H955" s="1268"/>
      <c r="I955" s="1269"/>
      <c r="J955" s="1205" t="s">
        <v>2322</v>
      </c>
    </row>
    <row r="956" spans="1:10" hidden="1">
      <c r="A956" s="1268"/>
      <c r="B956" s="1257"/>
      <c r="C956" s="1270" t="s">
        <v>1661</v>
      </c>
      <c r="D956" s="1299">
        <v>6.7000000000000004E-2</v>
      </c>
      <c r="E956" s="1282" t="s">
        <v>27</v>
      </c>
      <c r="F956" s="1266">
        <v>1</v>
      </c>
      <c r="G956" s="1282" t="s">
        <v>27</v>
      </c>
      <c r="H956" s="1268">
        <f>'MINI SSR 2022-23'!$H$16</f>
        <v>700</v>
      </c>
      <c r="I956" s="1269">
        <f>SUM(D956*H956/F956)</f>
        <v>46.900000000000006</v>
      </c>
      <c r="J956" s="1205" t="s">
        <v>2322</v>
      </c>
    </row>
    <row r="957" spans="1:10" hidden="1">
      <c r="A957" s="1268"/>
      <c r="B957" s="1257"/>
      <c r="C957" s="1270" t="s">
        <v>700</v>
      </c>
      <c r="D957" s="1299">
        <v>6.7000000000000004E-2</v>
      </c>
      <c r="E957" s="1282" t="s">
        <v>27</v>
      </c>
      <c r="F957" s="1266">
        <v>1</v>
      </c>
      <c r="G957" s="1282" t="s">
        <v>27</v>
      </c>
      <c r="H957" s="1268">
        <f>'MINI SSR 2022-23'!$H$18</f>
        <v>505</v>
      </c>
      <c r="I957" s="1280">
        <f>SUM(D957*H957/F957)</f>
        <v>33.835000000000001</v>
      </c>
      <c r="J957" s="1205" t="s">
        <v>2322</v>
      </c>
    </row>
    <row r="958" spans="1:10" hidden="1">
      <c r="A958" s="1268"/>
      <c r="B958" s="1257"/>
      <c r="C958" s="1270" t="s">
        <v>327</v>
      </c>
      <c r="D958" s="1264"/>
      <c r="E958" s="1282"/>
      <c r="F958" s="1266"/>
      <c r="G958" s="1282"/>
      <c r="H958" s="1268"/>
      <c r="I958" s="1269"/>
      <c r="J958" s="1205" t="s">
        <v>2322</v>
      </c>
    </row>
    <row r="959" spans="1:10" hidden="1">
      <c r="A959" s="1268"/>
      <c r="B959" s="1257"/>
      <c r="C959" s="1296" t="s">
        <v>621</v>
      </c>
      <c r="D959" s="1297">
        <v>1</v>
      </c>
      <c r="E959" s="1267" t="s">
        <v>325</v>
      </c>
      <c r="F959" s="1266">
        <v>1</v>
      </c>
      <c r="G959" s="1267" t="s">
        <v>115</v>
      </c>
      <c r="H959" s="1268">
        <f>'MINI SSR 2022-23'!C116</f>
        <v>18</v>
      </c>
      <c r="I959" s="1269">
        <f>SUM(D959*H959/F959)</f>
        <v>18</v>
      </c>
      <c r="J959" s="1205" t="s">
        <v>2322</v>
      </c>
    </row>
    <row r="960" spans="1:10" hidden="1">
      <c r="A960" s="1268"/>
      <c r="B960" s="1257"/>
      <c r="C960" s="1296" t="s">
        <v>622</v>
      </c>
      <c r="D960" s="1297">
        <v>1</v>
      </c>
      <c r="E960" s="1267" t="s">
        <v>115</v>
      </c>
      <c r="F960" s="1266">
        <v>1</v>
      </c>
      <c r="G960" s="1267" t="s">
        <v>115</v>
      </c>
      <c r="H960" s="1268">
        <f>'MINI SSR 2022-23'!C118</f>
        <v>27</v>
      </c>
      <c r="I960" s="1269">
        <f>SUM(D960*H960/F960)</f>
        <v>27</v>
      </c>
      <c r="J960" s="1205" t="s">
        <v>2322</v>
      </c>
    </row>
    <row r="961" spans="1:10" hidden="1">
      <c r="A961" s="1268"/>
      <c r="B961" s="1257"/>
      <c r="C961" s="1275" t="s">
        <v>388</v>
      </c>
      <c r="D961" s="1288"/>
      <c r="E961" s="1267"/>
      <c r="F961" s="1300"/>
      <c r="G961" s="1301"/>
      <c r="H961" s="1302"/>
      <c r="I961" s="1269">
        <f>SUM(I956:I960)</f>
        <v>125.73500000000001</v>
      </c>
      <c r="J961" s="1205" t="s">
        <v>2322</v>
      </c>
    </row>
    <row r="962" spans="1:10" ht="45" hidden="1">
      <c r="A962" s="1295" t="s">
        <v>1263</v>
      </c>
      <c r="B962" s="1263">
        <v>9</v>
      </c>
      <c r="C962" s="1270" t="s">
        <v>1238</v>
      </c>
      <c r="D962" s="1274"/>
      <c r="E962" s="1265"/>
      <c r="F962" s="1274"/>
      <c r="G962" s="1265"/>
      <c r="H962" s="1270"/>
      <c r="I962" s="1270"/>
      <c r="J962" s="1205" t="s">
        <v>2322</v>
      </c>
    </row>
    <row r="963" spans="1:10" hidden="1">
      <c r="A963" s="1268"/>
      <c r="B963" s="1257"/>
      <c r="C963" s="1270" t="s">
        <v>384</v>
      </c>
      <c r="D963" s="1264"/>
      <c r="E963" s="1267"/>
      <c r="F963" s="1266"/>
      <c r="G963" s="1267"/>
      <c r="H963" s="1268"/>
      <c r="I963" s="1269"/>
      <c r="J963" s="1205" t="s">
        <v>2322</v>
      </c>
    </row>
    <row r="964" spans="1:10" hidden="1">
      <c r="A964" s="1268"/>
      <c r="B964" s="1257"/>
      <c r="C964" s="1270" t="s">
        <v>1661</v>
      </c>
      <c r="D964" s="1299">
        <v>0.1</v>
      </c>
      <c r="E964" s="1282" t="s">
        <v>27</v>
      </c>
      <c r="F964" s="1266">
        <v>1</v>
      </c>
      <c r="G964" s="1282" t="s">
        <v>27</v>
      </c>
      <c r="H964" s="1268">
        <f>'MINI SSR 2022-23'!$H$16</f>
        <v>700</v>
      </c>
      <c r="I964" s="1269">
        <f>SUM(D964*H964/F964)</f>
        <v>70</v>
      </c>
      <c r="J964" s="1205" t="s">
        <v>2322</v>
      </c>
    </row>
    <row r="965" spans="1:10" hidden="1">
      <c r="A965" s="1268"/>
      <c r="B965" s="1257"/>
      <c r="C965" s="1270" t="s">
        <v>700</v>
      </c>
      <c r="D965" s="1299">
        <v>0.1</v>
      </c>
      <c r="E965" s="1282" t="s">
        <v>27</v>
      </c>
      <c r="F965" s="1266">
        <v>1</v>
      </c>
      <c r="G965" s="1282" t="s">
        <v>27</v>
      </c>
      <c r="H965" s="1268">
        <f>'MINI SSR 2022-23'!$H$18</f>
        <v>505</v>
      </c>
      <c r="I965" s="1280">
        <f>SUM(D965*H965/F965)</f>
        <v>50.5</v>
      </c>
      <c r="J965" s="1205" t="s">
        <v>2322</v>
      </c>
    </row>
    <row r="966" spans="1:10" hidden="1">
      <c r="A966" s="1268"/>
      <c r="B966" s="1257"/>
      <c r="C966" s="1270" t="s">
        <v>327</v>
      </c>
      <c r="D966" s="1264"/>
      <c r="E966" s="1282"/>
      <c r="F966" s="1266"/>
      <c r="G966" s="1282"/>
      <c r="H966" s="1268"/>
      <c r="I966" s="1269"/>
      <c r="J966" s="1205" t="s">
        <v>2322</v>
      </c>
    </row>
    <row r="967" spans="1:10" hidden="1">
      <c r="A967" s="1268"/>
      <c r="B967" s="1257"/>
      <c r="C967" s="1296" t="s">
        <v>1264</v>
      </c>
      <c r="D967" s="1297">
        <v>1</v>
      </c>
      <c r="E967" s="1267" t="s">
        <v>325</v>
      </c>
      <c r="F967" s="1266">
        <v>1</v>
      </c>
      <c r="G967" s="1267" t="s">
        <v>115</v>
      </c>
      <c r="H967" s="1268">
        <f>'MINI SSR 2022-23'!C121</f>
        <v>48</v>
      </c>
      <c r="I967" s="1269">
        <f>SUM(D967*H967/F967)</f>
        <v>48</v>
      </c>
      <c r="J967" s="1205" t="s">
        <v>2322</v>
      </c>
    </row>
    <row r="968" spans="1:10" hidden="1">
      <c r="A968" s="1268"/>
      <c r="B968" s="1257"/>
      <c r="C968" s="1296" t="s">
        <v>1266</v>
      </c>
      <c r="D968" s="1297">
        <v>1</v>
      </c>
      <c r="E968" s="1267" t="s">
        <v>115</v>
      </c>
      <c r="F968" s="1266">
        <v>1</v>
      </c>
      <c r="G968" s="1267" t="s">
        <v>115</v>
      </c>
      <c r="H968" s="1268">
        <f>'MINI SSR 2022-23'!C122</f>
        <v>127</v>
      </c>
      <c r="I968" s="1269">
        <f>SUM(D968*H968/F968)</f>
        <v>127</v>
      </c>
      <c r="J968" s="1205" t="s">
        <v>2322</v>
      </c>
    </row>
    <row r="969" spans="1:10" ht="22.5" hidden="1">
      <c r="A969" s="1268"/>
      <c r="B969" s="1257"/>
      <c r="C969" s="1296" t="s">
        <v>1265</v>
      </c>
      <c r="D969" s="1297">
        <v>1</v>
      </c>
      <c r="E969" s="1267" t="s">
        <v>115</v>
      </c>
      <c r="F969" s="1266">
        <v>1</v>
      </c>
      <c r="G969" s="1267" t="s">
        <v>115</v>
      </c>
      <c r="H969" s="1268">
        <f>'MINI SSR 2022-23'!C123</f>
        <v>127</v>
      </c>
      <c r="I969" s="1269">
        <f>SUM(D969*H969/F969)</f>
        <v>127</v>
      </c>
      <c r="J969" s="1205" t="s">
        <v>2322</v>
      </c>
    </row>
    <row r="970" spans="1:10" hidden="1">
      <c r="A970" s="1268"/>
      <c r="B970" s="1257"/>
      <c r="C970" s="1275" t="s">
        <v>388</v>
      </c>
      <c r="D970" s="1288"/>
      <c r="E970" s="1267"/>
      <c r="F970" s="1300"/>
      <c r="G970" s="1301"/>
      <c r="H970" s="1302"/>
      <c r="I970" s="1269">
        <f>SUM(I964:I969)</f>
        <v>422.5</v>
      </c>
      <c r="J970" s="1205" t="s">
        <v>2322</v>
      </c>
    </row>
    <row r="971" spans="1:10" ht="45" hidden="1">
      <c r="A971" s="1268" t="s">
        <v>441</v>
      </c>
      <c r="B971" s="1263">
        <v>27</v>
      </c>
      <c r="C971" s="1270" t="s">
        <v>620</v>
      </c>
      <c r="D971" s="1274"/>
      <c r="E971" s="1265"/>
      <c r="F971" s="1274"/>
      <c r="G971" s="1265"/>
      <c r="H971" s="1270"/>
      <c r="I971" s="1270"/>
      <c r="J971" s="1205" t="s">
        <v>2322</v>
      </c>
    </row>
    <row r="972" spans="1:10" hidden="1">
      <c r="A972" s="1268"/>
      <c r="B972" s="1257"/>
      <c r="C972" s="1270" t="s">
        <v>384</v>
      </c>
      <c r="D972" s="1264"/>
      <c r="E972" s="1267"/>
      <c r="F972" s="1266"/>
      <c r="G972" s="1267"/>
      <c r="H972" s="1268"/>
      <c r="I972" s="1269"/>
      <c r="J972" s="1205" t="s">
        <v>2322</v>
      </c>
    </row>
    <row r="973" spans="1:10" hidden="1">
      <c r="A973" s="1268"/>
      <c r="B973" s="1257"/>
      <c r="C973" s="1270" t="s">
        <v>1661</v>
      </c>
      <c r="D973" s="1299">
        <v>6.7000000000000004E-2</v>
      </c>
      <c r="E973" s="1282" t="s">
        <v>27</v>
      </c>
      <c r="F973" s="1266">
        <v>1</v>
      </c>
      <c r="G973" s="1282" t="s">
        <v>27</v>
      </c>
      <c r="H973" s="1268">
        <f>'MINI SSR 2022-23'!$H$16</f>
        <v>700</v>
      </c>
      <c r="I973" s="1269">
        <f>SUM(D973*H973/F973)</f>
        <v>46.900000000000006</v>
      </c>
      <c r="J973" s="1205" t="s">
        <v>2322</v>
      </c>
    </row>
    <row r="974" spans="1:10" hidden="1">
      <c r="A974" s="1268"/>
      <c r="B974" s="1257"/>
      <c r="C974" s="1270" t="s">
        <v>700</v>
      </c>
      <c r="D974" s="1299">
        <v>6.7000000000000004E-2</v>
      </c>
      <c r="E974" s="1282" t="s">
        <v>27</v>
      </c>
      <c r="F974" s="1266">
        <v>1</v>
      </c>
      <c r="G974" s="1282" t="s">
        <v>27</v>
      </c>
      <c r="H974" s="1268">
        <f>'MINI SSR 2022-23'!$H$18</f>
        <v>505</v>
      </c>
      <c r="I974" s="1280">
        <f>SUM(D974*H974/F974)</f>
        <v>33.835000000000001</v>
      </c>
      <c r="J974" s="1205" t="s">
        <v>2322</v>
      </c>
    </row>
    <row r="975" spans="1:10" hidden="1">
      <c r="A975" s="1268"/>
      <c r="B975" s="1257"/>
      <c r="C975" s="1270" t="s">
        <v>327</v>
      </c>
      <c r="D975" s="1264"/>
      <c r="E975" s="1282"/>
      <c r="F975" s="1266"/>
      <c r="G975" s="1282"/>
      <c r="H975" s="1268"/>
      <c r="I975" s="1269"/>
      <c r="J975" s="1205" t="s">
        <v>2322</v>
      </c>
    </row>
    <row r="976" spans="1:10" hidden="1">
      <c r="A976" s="1268"/>
      <c r="B976" s="1257"/>
      <c r="C976" s="1296" t="s">
        <v>621</v>
      </c>
      <c r="D976" s="1297">
        <v>1</v>
      </c>
      <c r="E976" s="1267" t="s">
        <v>325</v>
      </c>
      <c r="F976" s="1266">
        <v>1</v>
      </c>
      <c r="G976" s="1267" t="s">
        <v>115</v>
      </c>
      <c r="H976" s="1268">
        <f>'MINI SSR 2022-23'!C116</f>
        <v>18</v>
      </c>
      <c r="I976" s="1269">
        <f>SUM(D976*H976/F976)</f>
        <v>18</v>
      </c>
      <c r="J976" s="1205" t="s">
        <v>2322</v>
      </c>
    </row>
    <row r="977" spans="1:10" hidden="1">
      <c r="A977" s="1268"/>
      <c r="B977" s="1257"/>
      <c r="C977" s="1296" t="s">
        <v>623</v>
      </c>
      <c r="D977" s="1297">
        <v>1</v>
      </c>
      <c r="E977" s="1267" t="s">
        <v>115</v>
      </c>
      <c r="F977" s="1266">
        <v>1</v>
      </c>
      <c r="G977" s="1267" t="s">
        <v>115</v>
      </c>
      <c r="H977" s="1268">
        <f>'MINI SSR 2022-23'!C117</f>
        <v>21</v>
      </c>
      <c r="I977" s="1269">
        <f>SUM(D977*H977/F977)</f>
        <v>21</v>
      </c>
      <c r="J977" s="1205" t="s">
        <v>2322</v>
      </c>
    </row>
    <row r="978" spans="1:10" hidden="1">
      <c r="A978" s="1268"/>
      <c r="B978" s="1257"/>
      <c r="C978" s="1270" t="s">
        <v>945</v>
      </c>
      <c r="D978" s="1288"/>
      <c r="E978" s="1267"/>
      <c r="F978" s="1300"/>
      <c r="G978" s="1301"/>
      <c r="H978" s="1302"/>
      <c r="I978" s="1269">
        <f>SUM(I973:I977)</f>
        <v>119.73500000000001</v>
      </c>
      <c r="J978" s="1205" t="s">
        <v>2322</v>
      </c>
    </row>
    <row r="979" spans="1:10" ht="33.75" hidden="1">
      <c r="A979" s="1268" t="s">
        <v>1664</v>
      </c>
      <c r="B979" s="1263">
        <v>29</v>
      </c>
      <c r="C979" s="1270" t="s">
        <v>1665</v>
      </c>
      <c r="D979" s="1271"/>
      <c r="E979" s="1272"/>
      <c r="F979" s="1271"/>
      <c r="G979" s="1272"/>
      <c r="H979" s="1257"/>
      <c r="I979" s="1273"/>
      <c r="J979" s="1205" t="s">
        <v>2322</v>
      </c>
    </row>
    <row r="980" spans="1:10" ht="22.5" hidden="1">
      <c r="A980" s="1263"/>
      <c r="B980" s="1257"/>
      <c r="C980" s="1270" t="s">
        <v>391</v>
      </c>
      <c r="D980" s="1264"/>
      <c r="E980" s="1267"/>
      <c r="F980" s="1266"/>
      <c r="G980" s="1267"/>
      <c r="H980" s="1268"/>
      <c r="I980" s="1269"/>
      <c r="J980" s="1205" t="s">
        <v>2322</v>
      </c>
    </row>
    <row r="981" spans="1:10" hidden="1">
      <c r="A981" s="1263"/>
      <c r="B981" s="1257"/>
      <c r="C981" s="1270" t="s">
        <v>384</v>
      </c>
      <c r="D981" s="1264"/>
      <c r="E981" s="1267"/>
      <c r="F981" s="1266"/>
      <c r="G981" s="1267"/>
      <c r="H981" s="1268"/>
      <c r="I981" s="1269"/>
      <c r="J981" s="1205" t="s">
        <v>2322</v>
      </c>
    </row>
    <row r="982" spans="1:10" hidden="1">
      <c r="A982" s="1263"/>
      <c r="B982" s="1257"/>
      <c r="C982" s="1281" t="s">
        <v>1661</v>
      </c>
      <c r="D982" s="1264">
        <v>0.67</v>
      </c>
      <c r="E982" s="1282" t="s">
        <v>27</v>
      </c>
      <c r="F982" s="1266">
        <v>1</v>
      </c>
      <c r="G982" s="1282" t="s">
        <v>27</v>
      </c>
      <c r="H982" s="1268">
        <f>'MINI SSR 2022-23'!$H$16</f>
        <v>700</v>
      </c>
      <c r="I982" s="1269">
        <f>SUM(D982*H982/F982)</f>
        <v>469</v>
      </c>
      <c r="J982" s="1205" t="s">
        <v>2322</v>
      </c>
    </row>
    <row r="983" spans="1:10" hidden="1">
      <c r="A983" s="1263"/>
      <c r="B983" s="1257"/>
      <c r="C983" s="1281" t="s">
        <v>1662</v>
      </c>
      <c r="D983" s="1264">
        <v>2</v>
      </c>
      <c r="E983" s="1282" t="s">
        <v>27</v>
      </c>
      <c r="F983" s="1266">
        <v>1</v>
      </c>
      <c r="G983" s="1282" t="s">
        <v>27</v>
      </c>
      <c r="H983" s="1268">
        <f>'MINI SSR 2022-23'!$H$17</f>
        <v>570</v>
      </c>
      <c r="I983" s="1269">
        <f>SUM(D983*H983/F983)</f>
        <v>1140</v>
      </c>
      <c r="J983" s="1205" t="s">
        <v>2322</v>
      </c>
    </row>
    <row r="984" spans="1:10" hidden="1">
      <c r="A984" s="1263"/>
      <c r="B984" s="1257"/>
      <c r="C984" s="1281" t="s">
        <v>700</v>
      </c>
      <c r="D984" s="1264">
        <v>0.67</v>
      </c>
      <c r="E984" s="1282" t="s">
        <v>27</v>
      </c>
      <c r="F984" s="1266">
        <v>1</v>
      </c>
      <c r="G984" s="1282" t="s">
        <v>27</v>
      </c>
      <c r="H984" s="1268">
        <f>'MINI SSR 2022-23'!$H$18</f>
        <v>505</v>
      </c>
      <c r="I984" s="1269">
        <f>SUM(D984*H984/F984)</f>
        <v>338.35</v>
      </c>
      <c r="J984" s="1205" t="s">
        <v>2322</v>
      </c>
    </row>
    <row r="985" spans="1:10" hidden="1">
      <c r="A985" s="1263"/>
      <c r="B985" s="1257"/>
      <c r="C985" s="1270" t="s">
        <v>327</v>
      </c>
      <c r="D985" s="1264"/>
      <c r="E985" s="1282"/>
      <c r="F985" s="1266"/>
      <c r="G985" s="1282"/>
      <c r="H985" s="1268"/>
      <c r="I985" s="1269"/>
      <c r="J985" s="1205" t="s">
        <v>2322</v>
      </c>
    </row>
    <row r="986" spans="1:10" ht="33.75" hidden="1">
      <c r="A986" s="1263"/>
      <c r="B986" s="1257">
        <v>30</v>
      </c>
      <c r="C986" s="1296" t="s">
        <v>398</v>
      </c>
      <c r="D986" s="1264">
        <v>200</v>
      </c>
      <c r="E986" s="1267" t="s">
        <v>395</v>
      </c>
      <c r="F986" s="1266">
        <v>100</v>
      </c>
      <c r="G986" s="1267" t="s">
        <v>395</v>
      </c>
      <c r="H986" s="1268">
        <f>'MINI SSR 2022-23'!C128</f>
        <v>1977</v>
      </c>
      <c r="I986" s="1269">
        <f>SUM(D986*H986/F986)</f>
        <v>3954</v>
      </c>
      <c r="J986" s="1205" t="s">
        <v>2322</v>
      </c>
    </row>
    <row r="987" spans="1:10" hidden="1">
      <c r="A987" s="1263"/>
      <c r="B987" s="1257"/>
      <c r="C987" s="1270" t="s">
        <v>399</v>
      </c>
      <c r="D987" s="1264"/>
      <c r="E987" s="1267"/>
      <c r="F987" s="1266"/>
      <c r="G987" s="1267"/>
      <c r="H987" s="1268"/>
      <c r="I987" s="1269">
        <f>SUM(I986:I986)</f>
        <v>3954</v>
      </c>
      <c r="J987" s="1205" t="s">
        <v>2322</v>
      </c>
    </row>
    <row r="988" spans="1:10" hidden="1">
      <c r="A988" s="1263"/>
      <c r="B988" s="1257"/>
      <c r="C988" s="1270" t="s">
        <v>400</v>
      </c>
      <c r="D988" s="1264"/>
      <c r="E988" s="1267"/>
      <c r="F988" s="1266"/>
      <c r="G988" s="1267"/>
      <c r="H988" s="1268"/>
      <c r="I988" s="1269">
        <f>SUM(I987/100)</f>
        <v>39.54</v>
      </c>
      <c r="J988" s="1205" t="s">
        <v>2322</v>
      </c>
    </row>
    <row r="989" spans="1:10" hidden="1">
      <c r="A989" s="1263"/>
      <c r="B989" s="1257"/>
      <c r="C989" s="1270" t="s">
        <v>399</v>
      </c>
      <c r="D989" s="1264"/>
      <c r="E989" s="1267"/>
      <c r="F989" s="1266"/>
      <c r="G989" s="1267"/>
      <c r="H989" s="1302"/>
      <c r="I989" s="1269">
        <f>SUM(I986:I988)</f>
        <v>7947.54</v>
      </c>
      <c r="J989" s="1205" t="s">
        <v>2322</v>
      </c>
    </row>
    <row r="990" spans="1:10" hidden="1">
      <c r="A990" s="1263"/>
      <c r="B990" s="1257"/>
      <c r="C990" s="1270" t="s">
        <v>400</v>
      </c>
      <c r="D990" s="1264"/>
      <c r="E990" s="1267"/>
      <c r="F990" s="1266"/>
      <c r="G990" s="1267"/>
      <c r="H990" s="1302"/>
      <c r="I990" s="1269">
        <f>ROUND(I989/100,2)</f>
        <v>79.48</v>
      </c>
      <c r="J990" s="1205" t="s">
        <v>2322</v>
      </c>
    </row>
    <row r="991" spans="1:10" ht="33.75" hidden="1">
      <c r="A991" s="1268" t="s">
        <v>2088</v>
      </c>
      <c r="B991" s="1263">
        <v>8</v>
      </c>
      <c r="C991" s="1270" t="s">
        <v>2093</v>
      </c>
      <c r="D991" s="1271"/>
      <c r="E991" s="1272"/>
      <c r="F991" s="1271"/>
      <c r="G991" s="1272"/>
      <c r="H991" s="1257"/>
      <c r="I991" s="1273"/>
      <c r="J991" s="1205" t="s">
        <v>2322</v>
      </c>
    </row>
    <row r="992" spans="1:10" hidden="1">
      <c r="A992" s="1263"/>
      <c r="B992" s="1257"/>
      <c r="C992" s="1270" t="s">
        <v>384</v>
      </c>
      <c r="D992" s="1264"/>
      <c r="E992" s="1267"/>
      <c r="F992" s="1266"/>
      <c r="G992" s="1267"/>
      <c r="H992" s="1268"/>
      <c r="I992" s="1269"/>
      <c r="J992" s="1205" t="s">
        <v>2322</v>
      </c>
    </row>
    <row r="993" spans="1:10" hidden="1">
      <c r="A993" s="1263"/>
      <c r="B993" s="1257"/>
      <c r="C993" s="1281" t="s">
        <v>1661</v>
      </c>
      <c r="D993" s="1264">
        <v>0.34</v>
      </c>
      <c r="E993" s="1282" t="s">
        <v>27</v>
      </c>
      <c r="F993" s="1266">
        <v>1</v>
      </c>
      <c r="G993" s="1282" t="s">
        <v>27</v>
      </c>
      <c r="H993" s="1268">
        <f>'MINI SSR 2022-23'!$H$16</f>
        <v>700</v>
      </c>
      <c r="I993" s="1269">
        <f>SUM(D993*H993/F993)</f>
        <v>238.00000000000003</v>
      </c>
      <c r="J993" s="1205" t="s">
        <v>2322</v>
      </c>
    </row>
    <row r="994" spans="1:10" hidden="1">
      <c r="A994" s="1263"/>
      <c r="B994" s="1257"/>
      <c r="C994" s="1281" t="s">
        <v>1662</v>
      </c>
      <c r="D994" s="1264">
        <v>1</v>
      </c>
      <c r="E994" s="1282" t="s">
        <v>27</v>
      </c>
      <c r="F994" s="1266">
        <v>1</v>
      </c>
      <c r="G994" s="1282" t="s">
        <v>27</v>
      </c>
      <c r="H994" s="1268">
        <f>'MINI SSR 2022-23'!$H$17</f>
        <v>570</v>
      </c>
      <c r="I994" s="1269">
        <f>SUM(D994*H994/F994)</f>
        <v>570</v>
      </c>
      <c r="J994" s="1205" t="s">
        <v>2322</v>
      </c>
    </row>
    <row r="995" spans="1:10" hidden="1">
      <c r="A995" s="1263"/>
      <c r="B995" s="1257"/>
      <c r="C995" s="1281" t="s">
        <v>700</v>
      </c>
      <c r="D995" s="1264">
        <v>0.34</v>
      </c>
      <c r="E995" s="1282" t="s">
        <v>27</v>
      </c>
      <c r="F995" s="1266">
        <v>1</v>
      </c>
      <c r="G995" s="1282" t="s">
        <v>27</v>
      </c>
      <c r="H995" s="1268">
        <f>'MINI SSR 2022-23'!$H$18</f>
        <v>505</v>
      </c>
      <c r="I995" s="1269">
        <f>SUM(D995*H995/F995)</f>
        <v>171.70000000000002</v>
      </c>
      <c r="J995" s="1205" t="s">
        <v>2322</v>
      </c>
    </row>
    <row r="996" spans="1:10" hidden="1">
      <c r="A996" s="1263"/>
      <c r="B996" s="1257"/>
      <c r="C996" s="1296" t="s">
        <v>2089</v>
      </c>
      <c r="D996" s="1264">
        <v>100</v>
      </c>
      <c r="E996" s="1267" t="s">
        <v>395</v>
      </c>
      <c r="F996" s="1266">
        <v>100</v>
      </c>
      <c r="G996" s="1267" t="s">
        <v>395</v>
      </c>
      <c r="H996" s="1268">
        <f>'MINI SSR 2022-23'!C134</f>
        <v>1375</v>
      </c>
      <c r="I996" s="1269">
        <f>SUM(D996*H996/F996)</f>
        <v>1375</v>
      </c>
      <c r="J996" s="1205" t="s">
        <v>2322</v>
      </c>
    </row>
    <row r="997" spans="1:10" hidden="1">
      <c r="A997" s="1263"/>
      <c r="B997" s="1257"/>
      <c r="C997" s="1270" t="s">
        <v>399</v>
      </c>
      <c r="D997" s="1264"/>
      <c r="E997" s="1267"/>
      <c r="F997" s="1266"/>
      <c r="G997" s="1267"/>
      <c r="H997" s="1268"/>
      <c r="I997" s="1269">
        <f>SUM(I993:I996)</f>
        <v>2354.6999999999998</v>
      </c>
      <c r="J997" s="1205" t="s">
        <v>2322</v>
      </c>
    </row>
    <row r="998" spans="1:10" hidden="1">
      <c r="A998" s="1263"/>
      <c r="B998" s="1257"/>
      <c r="C998" s="1270" t="s">
        <v>400</v>
      </c>
      <c r="D998" s="1264"/>
      <c r="E998" s="1267"/>
      <c r="F998" s="1266"/>
      <c r="G998" s="1267"/>
      <c r="H998" s="1268"/>
      <c r="I998" s="1269">
        <f>ROUND(I997/100,2)</f>
        <v>23.55</v>
      </c>
      <c r="J998" s="1205" t="s">
        <v>2322</v>
      </c>
    </row>
    <row r="999" spans="1:10" ht="46.5" hidden="1" customHeight="1">
      <c r="A999" s="1295" t="s">
        <v>723</v>
      </c>
      <c r="B999" s="1263">
        <v>10</v>
      </c>
      <c r="C999" s="1270" t="s">
        <v>401</v>
      </c>
      <c r="D999" s="1271"/>
      <c r="E999" s="1272"/>
      <c r="F999" s="1271"/>
      <c r="G999" s="1272"/>
      <c r="H999" s="1257"/>
      <c r="I999" s="1269"/>
      <c r="J999" s="1205" t="s">
        <v>2322</v>
      </c>
    </row>
    <row r="1000" spans="1:10" ht="22.5" hidden="1">
      <c r="A1000" s="1263"/>
      <c r="B1000" s="1257"/>
      <c r="C1000" s="1270" t="s">
        <v>391</v>
      </c>
      <c r="D1000" s="1264"/>
      <c r="E1000" s="1267"/>
      <c r="F1000" s="1266"/>
      <c r="G1000" s="1267"/>
      <c r="H1000" s="1268"/>
      <c r="I1000" s="1269"/>
      <c r="J1000" s="1205" t="s">
        <v>2322</v>
      </c>
    </row>
    <row r="1001" spans="1:10" hidden="1">
      <c r="A1001" s="1263"/>
      <c r="B1001" s="1257"/>
      <c r="C1001" s="1270" t="s">
        <v>384</v>
      </c>
      <c r="D1001" s="1264"/>
      <c r="E1001" s="1267"/>
      <c r="F1001" s="1266"/>
      <c r="G1001" s="1267"/>
      <c r="H1001" s="1268"/>
      <c r="I1001" s="1269"/>
      <c r="J1001" s="1205" t="s">
        <v>2322</v>
      </c>
    </row>
    <row r="1002" spans="1:10" hidden="1">
      <c r="A1002" s="1263"/>
      <c r="B1002" s="1257"/>
      <c r="C1002" s="1281" t="s">
        <v>1661</v>
      </c>
      <c r="D1002" s="1264">
        <v>0.67</v>
      </c>
      <c r="E1002" s="1282" t="s">
        <v>27</v>
      </c>
      <c r="F1002" s="1266">
        <v>1</v>
      </c>
      <c r="G1002" s="1282" t="s">
        <v>27</v>
      </c>
      <c r="H1002" s="1268">
        <f>'MINI SSR 2022-23'!$H$16</f>
        <v>700</v>
      </c>
      <c r="I1002" s="1269">
        <f>SUM(D1002*H1002/F1002)</f>
        <v>469</v>
      </c>
      <c r="J1002" s="1205" t="s">
        <v>2322</v>
      </c>
    </row>
    <row r="1003" spans="1:10" hidden="1">
      <c r="A1003" s="1263"/>
      <c r="B1003" s="1257"/>
      <c r="C1003" s="1281" t="s">
        <v>1662</v>
      </c>
      <c r="D1003" s="1264">
        <v>2</v>
      </c>
      <c r="E1003" s="1282" t="s">
        <v>27</v>
      </c>
      <c r="F1003" s="1266">
        <v>1</v>
      </c>
      <c r="G1003" s="1282" t="s">
        <v>27</v>
      </c>
      <c r="H1003" s="1268">
        <f>'MINI SSR 2022-23'!$H$17</f>
        <v>570</v>
      </c>
      <c r="I1003" s="1269">
        <f>SUM(D1003*H1003/F1003)</f>
        <v>1140</v>
      </c>
      <c r="J1003" s="1205" t="s">
        <v>2322</v>
      </c>
    </row>
    <row r="1004" spans="1:10" hidden="1">
      <c r="A1004" s="1263"/>
      <c r="B1004" s="1257"/>
      <c r="C1004" s="1281" t="s">
        <v>700</v>
      </c>
      <c r="D1004" s="1264">
        <v>0.67</v>
      </c>
      <c r="E1004" s="1282" t="s">
        <v>27</v>
      </c>
      <c r="F1004" s="1266">
        <v>1</v>
      </c>
      <c r="G1004" s="1282" t="s">
        <v>27</v>
      </c>
      <c r="H1004" s="1268">
        <f>'MINI SSR 2022-23'!$H$18</f>
        <v>505</v>
      </c>
      <c r="I1004" s="1269">
        <f>SUM(D1004*H1004/F1004)</f>
        <v>338.35</v>
      </c>
      <c r="J1004" s="1205" t="s">
        <v>2322</v>
      </c>
    </row>
    <row r="1005" spans="1:10" hidden="1">
      <c r="A1005" s="1263"/>
      <c r="B1005" s="1257"/>
      <c r="C1005" s="1270" t="s">
        <v>327</v>
      </c>
      <c r="D1005" s="1264"/>
      <c r="E1005" s="1282"/>
      <c r="F1005" s="1266"/>
      <c r="G1005" s="1282"/>
      <c r="H1005" s="1268"/>
      <c r="I1005" s="1269"/>
      <c r="J1005" s="1205" t="s">
        <v>2322</v>
      </c>
    </row>
    <row r="1006" spans="1:10" hidden="1">
      <c r="A1006" s="1263"/>
      <c r="B1006" s="1257"/>
      <c r="C1006" s="1296" t="s">
        <v>3372</v>
      </c>
      <c r="D1006" s="1264">
        <v>200</v>
      </c>
      <c r="E1006" s="1267" t="s">
        <v>395</v>
      </c>
      <c r="F1006" s="1266">
        <v>100</v>
      </c>
      <c r="G1006" s="1267" t="s">
        <v>395</v>
      </c>
      <c r="H1006" s="1268">
        <f>'MINI SSR 2022-23'!C129</f>
        <v>3193</v>
      </c>
      <c r="I1006" s="1269">
        <f>SUM(D1006*H1006/F1006)</f>
        <v>6386</v>
      </c>
      <c r="J1006" s="1205" t="s">
        <v>2322</v>
      </c>
    </row>
    <row r="1007" spans="1:10" hidden="1">
      <c r="A1007" s="1263"/>
      <c r="B1007" s="1257"/>
      <c r="C1007" s="1270" t="s">
        <v>399</v>
      </c>
      <c r="D1007" s="1264"/>
      <c r="E1007" s="1267"/>
      <c r="F1007" s="1266"/>
      <c r="G1007" s="1267"/>
      <c r="H1007" s="1268"/>
      <c r="I1007" s="1269">
        <f>SUM(I1002:I1006)</f>
        <v>8333.35</v>
      </c>
      <c r="J1007" s="1205" t="s">
        <v>2322</v>
      </c>
    </row>
    <row r="1008" spans="1:10" hidden="1">
      <c r="A1008" s="1263"/>
      <c r="B1008" s="1257"/>
      <c r="C1008" s="1270" t="s">
        <v>400</v>
      </c>
      <c r="D1008" s="1264"/>
      <c r="E1008" s="1267"/>
      <c r="F1008" s="1266"/>
      <c r="G1008" s="1267"/>
      <c r="H1008" s="1268"/>
      <c r="I1008" s="1269">
        <f>SUM(I1007/100)</f>
        <v>83.333500000000001</v>
      </c>
      <c r="J1008" s="1205" t="s">
        <v>2322</v>
      </c>
    </row>
    <row r="1009" spans="1:10" ht="45" hidden="1">
      <c r="A1009" s="1295" t="s">
        <v>724</v>
      </c>
      <c r="B1009" s="1263">
        <v>11</v>
      </c>
      <c r="C1009" s="1270" t="s">
        <v>402</v>
      </c>
      <c r="D1009" s="1271"/>
      <c r="E1009" s="1272"/>
      <c r="F1009" s="1271"/>
      <c r="G1009" s="1272"/>
      <c r="H1009" s="1257"/>
      <c r="I1009" s="1269"/>
      <c r="J1009" s="1205" t="s">
        <v>2322</v>
      </c>
    </row>
    <row r="1010" spans="1:10" ht="22.5" hidden="1">
      <c r="A1010" s="1268"/>
      <c r="B1010" s="1257"/>
      <c r="C1010" s="1270" t="s">
        <v>403</v>
      </c>
      <c r="D1010" s="1264"/>
      <c r="E1010" s="1267"/>
      <c r="F1010" s="1266"/>
      <c r="G1010" s="1267"/>
      <c r="H1010" s="1268"/>
      <c r="I1010" s="1269"/>
      <c r="J1010" s="1205" t="s">
        <v>2322</v>
      </c>
    </row>
    <row r="1011" spans="1:10" hidden="1">
      <c r="A1011" s="1268"/>
      <c r="B1011" s="1257"/>
      <c r="C1011" s="1270" t="s">
        <v>384</v>
      </c>
      <c r="D1011" s="1264"/>
      <c r="E1011" s="1267"/>
      <c r="F1011" s="1266"/>
      <c r="G1011" s="1267"/>
      <c r="H1011" s="1268"/>
      <c r="I1011" s="1269"/>
      <c r="J1011" s="1205" t="s">
        <v>2322</v>
      </c>
    </row>
    <row r="1012" spans="1:10" hidden="1">
      <c r="A1012" s="1268"/>
      <c r="B1012" s="1257"/>
      <c r="C1012" s="1281" t="s">
        <v>1661</v>
      </c>
      <c r="D1012" s="1264">
        <v>1</v>
      </c>
      <c r="E1012" s="1282" t="s">
        <v>27</v>
      </c>
      <c r="F1012" s="1266">
        <v>1</v>
      </c>
      <c r="G1012" s="1282" t="s">
        <v>27</v>
      </c>
      <c r="H1012" s="1268">
        <f>'MINI SSR 2022-23'!$H$16</f>
        <v>700</v>
      </c>
      <c r="I1012" s="1269">
        <f>SUM(D1012*H1012/F1012)</f>
        <v>700</v>
      </c>
      <c r="J1012" s="1205" t="s">
        <v>2322</v>
      </c>
    </row>
    <row r="1013" spans="1:10" hidden="1">
      <c r="A1013" s="1268"/>
      <c r="B1013" s="1257"/>
      <c r="C1013" s="1281" t="s">
        <v>1662</v>
      </c>
      <c r="D1013" s="1264">
        <v>3</v>
      </c>
      <c r="E1013" s="1282" t="s">
        <v>27</v>
      </c>
      <c r="F1013" s="1266">
        <v>1</v>
      </c>
      <c r="G1013" s="1282" t="s">
        <v>27</v>
      </c>
      <c r="H1013" s="1268">
        <f>'MINI SSR 2022-23'!$H$17</f>
        <v>570</v>
      </c>
      <c r="I1013" s="1269">
        <f>SUM(D1013*H1013/F1013)</f>
        <v>1710</v>
      </c>
      <c r="J1013" s="1205" t="s">
        <v>2322</v>
      </c>
    </row>
    <row r="1014" spans="1:10" hidden="1">
      <c r="A1014" s="1268"/>
      <c r="B1014" s="1257"/>
      <c r="C1014" s="1281" t="s">
        <v>700</v>
      </c>
      <c r="D1014" s="1264">
        <v>1</v>
      </c>
      <c r="E1014" s="1282" t="s">
        <v>27</v>
      </c>
      <c r="F1014" s="1266">
        <v>1</v>
      </c>
      <c r="G1014" s="1282" t="s">
        <v>27</v>
      </c>
      <c r="H1014" s="1268">
        <f>'MINI SSR 2022-23'!$H$18</f>
        <v>505</v>
      </c>
      <c r="I1014" s="1269">
        <f>SUM(D1014*H1014/F1014)</f>
        <v>505</v>
      </c>
      <c r="J1014" s="1205" t="s">
        <v>2322</v>
      </c>
    </row>
    <row r="1015" spans="1:10" hidden="1">
      <c r="A1015" s="1268"/>
      <c r="B1015" s="1257"/>
      <c r="C1015" s="1270" t="s">
        <v>327</v>
      </c>
      <c r="D1015" s="1264"/>
      <c r="E1015" s="1282"/>
      <c r="F1015" s="1266"/>
      <c r="G1015" s="1282"/>
      <c r="H1015" s="1268"/>
      <c r="I1015" s="1269"/>
      <c r="J1015" s="1205" t="s">
        <v>2322</v>
      </c>
    </row>
    <row r="1016" spans="1:10" ht="33.75" hidden="1">
      <c r="A1016" s="1268"/>
      <c r="B1016" s="1257"/>
      <c r="C1016" s="1296" t="s">
        <v>1667</v>
      </c>
      <c r="D1016" s="1264">
        <v>200</v>
      </c>
      <c r="E1016" s="1267" t="s">
        <v>395</v>
      </c>
      <c r="F1016" s="1266">
        <v>100</v>
      </c>
      <c r="G1016" s="1267" t="s">
        <v>395</v>
      </c>
      <c r="H1016" s="1268">
        <f>'MINI SSR 2022-23'!C130</f>
        <v>4875</v>
      </c>
      <c r="I1016" s="1269">
        <f>SUM(D1016*H1016/F1016)</f>
        <v>9750</v>
      </c>
      <c r="J1016" s="1205" t="s">
        <v>2322</v>
      </c>
    </row>
    <row r="1017" spans="1:10" hidden="1">
      <c r="A1017" s="1268"/>
      <c r="B1017" s="1257"/>
      <c r="C1017" s="1270" t="s">
        <v>399</v>
      </c>
      <c r="D1017" s="1264"/>
      <c r="E1017" s="1267"/>
      <c r="F1017" s="1266"/>
      <c r="G1017" s="1267"/>
      <c r="H1017" s="1268"/>
      <c r="I1017" s="1269">
        <f>SUM(I1012:I1016)</f>
        <v>12665</v>
      </c>
      <c r="J1017" s="1205" t="s">
        <v>2322</v>
      </c>
    </row>
    <row r="1018" spans="1:10" hidden="1">
      <c r="A1018" s="1268"/>
      <c r="B1018" s="1257"/>
      <c r="C1018" s="1270" t="s">
        <v>400</v>
      </c>
      <c r="D1018" s="1264"/>
      <c r="E1018" s="1267"/>
      <c r="F1018" s="1266"/>
      <c r="G1018" s="1267"/>
      <c r="H1018" s="1268"/>
      <c r="I1018" s="1269">
        <f>SUM(I1017/100)</f>
        <v>126.65</v>
      </c>
      <c r="J1018" s="1205" t="s">
        <v>2322</v>
      </c>
    </row>
    <row r="1019" spans="1:10" ht="45" hidden="1">
      <c r="A1019" s="1295" t="s">
        <v>881</v>
      </c>
      <c r="B1019" s="1263">
        <v>10</v>
      </c>
      <c r="C1019" s="1270" t="s">
        <v>882</v>
      </c>
      <c r="D1019" s="1271"/>
      <c r="E1019" s="1272"/>
      <c r="F1019" s="1271"/>
      <c r="G1019" s="1272"/>
      <c r="H1019" s="1257"/>
      <c r="I1019" s="1269"/>
      <c r="J1019" s="1205" t="s">
        <v>2322</v>
      </c>
    </row>
    <row r="1020" spans="1:10" hidden="1">
      <c r="A1020" s="1268"/>
      <c r="B1020" s="1257"/>
      <c r="C1020" s="1270" t="s">
        <v>384</v>
      </c>
      <c r="D1020" s="1264"/>
      <c r="E1020" s="1267"/>
      <c r="F1020" s="1266"/>
      <c r="G1020" s="1267"/>
      <c r="H1020" s="1268"/>
      <c r="I1020" s="1269"/>
      <c r="J1020" s="1205" t="s">
        <v>2322</v>
      </c>
    </row>
    <row r="1021" spans="1:10" hidden="1">
      <c r="A1021" s="1268"/>
      <c r="B1021" s="1257"/>
      <c r="C1021" s="1281" t="s">
        <v>156</v>
      </c>
      <c r="D1021" s="1264">
        <v>1</v>
      </c>
      <c r="E1021" s="1282" t="s">
        <v>27</v>
      </c>
      <c r="F1021" s="1266">
        <v>1</v>
      </c>
      <c r="G1021" s="1282" t="s">
        <v>27</v>
      </c>
      <c r="H1021" s="1268">
        <f>'MINI SSR 2022-23'!$H$16</f>
        <v>700</v>
      </c>
      <c r="I1021" s="1269">
        <f>SUM(D1021*H1021/F1021)</f>
        <v>700</v>
      </c>
      <c r="J1021" s="1205" t="s">
        <v>2322</v>
      </c>
    </row>
    <row r="1022" spans="1:10" hidden="1">
      <c r="A1022" s="1268"/>
      <c r="B1022" s="1257"/>
      <c r="C1022" s="1281" t="s">
        <v>886</v>
      </c>
      <c r="D1022" s="1264">
        <v>1</v>
      </c>
      <c r="E1022" s="1282" t="s">
        <v>27</v>
      </c>
      <c r="F1022" s="1266">
        <v>1</v>
      </c>
      <c r="G1022" s="1282" t="s">
        <v>27</v>
      </c>
      <c r="H1022" s="1268">
        <f>'MINI SSR 2022-23'!$H$17</f>
        <v>570</v>
      </c>
      <c r="I1022" s="1269">
        <f>SUM(D1022*H1022/F1022)</f>
        <v>570</v>
      </c>
      <c r="J1022" s="1205" t="s">
        <v>2322</v>
      </c>
    </row>
    <row r="1023" spans="1:10" hidden="1">
      <c r="A1023" s="1268"/>
      <c r="B1023" s="1257"/>
      <c r="C1023" s="1281" t="s">
        <v>700</v>
      </c>
      <c r="D1023" s="1264">
        <v>1</v>
      </c>
      <c r="E1023" s="1282" t="s">
        <v>27</v>
      </c>
      <c r="F1023" s="1266">
        <v>1</v>
      </c>
      <c r="G1023" s="1282" t="s">
        <v>27</v>
      </c>
      <c r="H1023" s="1268">
        <f>'MINI SSR 2022-23'!$H$18</f>
        <v>505</v>
      </c>
      <c r="I1023" s="1269">
        <f>SUM(D1023*H1023/F1023)</f>
        <v>505</v>
      </c>
      <c r="J1023" s="1205" t="s">
        <v>2322</v>
      </c>
    </row>
    <row r="1024" spans="1:10" hidden="1">
      <c r="A1024" s="1268"/>
      <c r="B1024" s="1257"/>
      <c r="C1024" s="1270" t="s">
        <v>327</v>
      </c>
      <c r="D1024" s="1264"/>
      <c r="E1024" s="1282"/>
      <c r="F1024" s="1266"/>
      <c r="G1024" s="1282"/>
      <c r="H1024" s="1268"/>
      <c r="I1024" s="1269"/>
      <c r="J1024" s="1205" t="s">
        <v>2322</v>
      </c>
    </row>
    <row r="1025" spans="1:10" hidden="1">
      <c r="A1025" s="1268"/>
      <c r="B1025" s="1257"/>
      <c r="C1025" s="1296" t="s">
        <v>883</v>
      </c>
      <c r="D1025" s="1264">
        <v>200</v>
      </c>
      <c r="E1025" s="1267" t="s">
        <v>395</v>
      </c>
      <c r="F1025" s="1266">
        <v>100</v>
      </c>
      <c r="G1025" s="1267" t="s">
        <v>395</v>
      </c>
      <c r="H1025" s="1268">
        <f>'MINI SSR 2022-23'!C131</f>
        <v>1816</v>
      </c>
      <c r="I1025" s="1269">
        <f>SUM(D1025*H1025/F1025)</f>
        <v>3632</v>
      </c>
      <c r="J1025" s="1205" t="s">
        <v>2322</v>
      </c>
    </row>
    <row r="1026" spans="1:10" hidden="1">
      <c r="A1026" s="1268"/>
      <c r="B1026" s="1257"/>
      <c r="C1026" s="1296" t="s">
        <v>884</v>
      </c>
      <c r="D1026" s="1264">
        <v>6.7</v>
      </c>
      <c r="E1026" s="1267" t="s">
        <v>4</v>
      </c>
      <c r="F1026" s="1266">
        <v>1</v>
      </c>
      <c r="G1026" s="1267" t="s">
        <v>4</v>
      </c>
      <c r="H1026" s="1268">
        <f>'MINI SSR 2022-23'!C132</f>
        <v>79</v>
      </c>
      <c r="I1026" s="1269">
        <f>SUM(D1026*H1026/F1026)</f>
        <v>529.30000000000007</v>
      </c>
      <c r="J1026" s="1205" t="s">
        <v>2322</v>
      </c>
    </row>
    <row r="1027" spans="1:10" hidden="1">
      <c r="A1027" s="1268"/>
      <c r="B1027" s="1257"/>
      <c r="C1027" s="1296" t="s">
        <v>885</v>
      </c>
      <c r="D1027" s="1264">
        <v>100</v>
      </c>
      <c r="E1027" s="1267" t="s">
        <v>325</v>
      </c>
      <c r="F1027" s="1266">
        <v>100</v>
      </c>
      <c r="G1027" s="1267" t="s">
        <v>115</v>
      </c>
      <c r="H1027" s="1268">
        <f>'MINI SSR 2022-23'!C133</f>
        <v>520</v>
      </c>
      <c r="I1027" s="1269">
        <f>SUM(D1027*H1027/F1027)</f>
        <v>520</v>
      </c>
      <c r="J1027" s="1205" t="s">
        <v>2322</v>
      </c>
    </row>
    <row r="1028" spans="1:10" hidden="1">
      <c r="A1028" s="1268"/>
      <c r="B1028" s="1257"/>
      <c r="C1028" s="1270" t="s">
        <v>399</v>
      </c>
      <c r="D1028" s="1264"/>
      <c r="E1028" s="1267"/>
      <c r="F1028" s="1266"/>
      <c r="G1028" s="1267"/>
      <c r="H1028" s="1268"/>
      <c r="I1028" s="1269">
        <f>SUM(I1021:I1027)</f>
        <v>6456.3</v>
      </c>
      <c r="J1028" s="1205" t="s">
        <v>2322</v>
      </c>
    </row>
    <row r="1029" spans="1:10" hidden="1">
      <c r="A1029" s="1268"/>
      <c r="B1029" s="1257"/>
      <c r="C1029" s="1270" t="s">
        <v>400</v>
      </c>
      <c r="D1029" s="1264"/>
      <c r="E1029" s="1267"/>
      <c r="F1029" s="1266"/>
      <c r="G1029" s="1267"/>
      <c r="H1029" s="1268"/>
      <c r="I1029" s="1269">
        <f>SUM(I1028/100)</f>
        <v>64.563000000000002</v>
      </c>
      <c r="J1029" s="1205" t="s">
        <v>2322</v>
      </c>
    </row>
    <row r="1030" spans="1:10" ht="33.75" hidden="1">
      <c r="A1030" s="1295" t="s">
        <v>725</v>
      </c>
      <c r="B1030" s="1263">
        <v>11</v>
      </c>
      <c r="C1030" s="1270" t="s">
        <v>1268</v>
      </c>
      <c r="D1030" s="1274"/>
      <c r="E1030" s="1265"/>
      <c r="F1030" s="1274"/>
      <c r="G1030" s="1265"/>
      <c r="H1030" s="1270"/>
      <c r="I1030" s="1270"/>
      <c r="J1030" s="1205" t="s">
        <v>2322</v>
      </c>
    </row>
    <row r="1031" spans="1:10" ht="22.5" hidden="1">
      <c r="A1031" s="1263"/>
      <c r="B1031" s="1257"/>
      <c r="C1031" s="1270" t="s">
        <v>404</v>
      </c>
      <c r="D1031" s="1274"/>
      <c r="E1031" s="1265"/>
      <c r="F1031" s="1274"/>
      <c r="G1031" s="1265"/>
      <c r="H1031" s="1270"/>
      <c r="I1031" s="1270"/>
      <c r="J1031" s="1205" t="s">
        <v>2322</v>
      </c>
    </row>
    <row r="1032" spans="1:10" hidden="1">
      <c r="A1032" s="1263"/>
      <c r="B1032" s="1257"/>
      <c r="C1032" s="1270" t="s">
        <v>384</v>
      </c>
      <c r="D1032" s="1264"/>
      <c r="E1032" s="1267"/>
      <c r="F1032" s="1266"/>
      <c r="G1032" s="1267"/>
      <c r="H1032" s="1268"/>
      <c r="I1032" s="1269"/>
      <c r="J1032" s="1205" t="s">
        <v>2322</v>
      </c>
    </row>
    <row r="1033" spans="1:10" hidden="1">
      <c r="A1033" s="1263"/>
      <c r="B1033" s="1257"/>
      <c r="C1033" s="1281" t="s">
        <v>1661</v>
      </c>
      <c r="D1033" s="1264">
        <v>0.05</v>
      </c>
      <c r="E1033" s="1282" t="s">
        <v>27</v>
      </c>
      <c r="F1033" s="1266">
        <v>1</v>
      </c>
      <c r="G1033" s="1282" t="s">
        <v>27</v>
      </c>
      <c r="H1033" s="1268">
        <f>'MINI SSR 2022-23'!$H$16</f>
        <v>700</v>
      </c>
      <c r="I1033" s="1269">
        <f>SUM(D1033*H1033/F1033)</f>
        <v>35</v>
      </c>
      <c r="J1033" s="1205" t="s">
        <v>2322</v>
      </c>
    </row>
    <row r="1034" spans="1:10" hidden="1">
      <c r="A1034" s="1263"/>
      <c r="B1034" s="1257"/>
      <c r="C1034" s="1281" t="s">
        <v>700</v>
      </c>
      <c r="D1034" s="1264">
        <v>0.05</v>
      </c>
      <c r="E1034" s="1282" t="s">
        <v>27</v>
      </c>
      <c r="F1034" s="1266">
        <v>1</v>
      </c>
      <c r="G1034" s="1282" t="s">
        <v>27</v>
      </c>
      <c r="H1034" s="1268">
        <f>'MINI SSR 2022-23'!$H$18</f>
        <v>505</v>
      </c>
      <c r="I1034" s="1280">
        <f>SUM(D1034*H1034/F1034)</f>
        <v>25.25</v>
      </c>
      <c r="J1034" s="1205" t="s">
        <v>2322</v>
      </c>
    </row>
    <row r="1035" spans="1:10" hidden="1">
      <c r="A1035" s="1263"/>
      <c r="B1035" s="1257"/>
      <c r="C1035" s="1270" t="s">
        <v>327</v>
      </c>
      <c r="D1035" s="1264"/>
      <c r="E1035" s="1282"/>
      <c r="F1035" s="1266"/>
      <c r="G1035" s="1282"/>
      <c r="H1035" s="1268"/>
      <c r="I1035" s="1269"/>
      <c r="J1035" s="1205" t="s">
        <v>2322</v>
      </c>
    </row>
    <row r="1036" spans="1:10" hidden="1">
      <c r="A1036" s="1263"/>
      <c r="B1036" s="1257"/>
      <c r="C1036" s="1270" t="s">
        <v>3373</v>
      </c>
      <c r="D1036" s="1297">
        <v>1</v>
      </c>
      <c r="E1036" s="1267" t="s">
        <v>325</v>
      </c>
      <c r="F1036" s="1266">
        <v>1</v>
      </c>
      <c r="G1036" s="1267" t="s">
        <v>115</v>
      </c>
      <c r="H1036" s="1268">
        <f>'MINI SSR 2022-23'!G114</f>
        <v>21</v>
      </c>
      <c r="I1036" s="1269">
        <f>SUM(D1036*H1036/F1036)</f>
        <v>21</v>
      </c>
      <c r="J1036" s="1205" t="s">
        <v>2322</v>
      </c>
    </row>
    <row r="1037" spans="1:10" hidden="1">
      <c r="A1037" s="1263"/>
      <c r="B1037" s="1257"/>
      <c r="C1037" s="1270" t="s">
        <v>1267</v>
      </c>
      <c r="D1037" s="1297">
        <v>1</v>
      </c>
      <c r="E1037" s="1267" t="s">
        <v>325</v>
      </c>
      <c r="F1037" s="1266">
        <v>1</v>
      </c>
      <c r="G1037" s="1267" t="s">
        <v>115</v>
      </c>
      <c r="H1037" s="1268">
        <f>'MINI SSR 2022-23'!G115</f>
        <v>46</v>
      </c>
      <c r="I1037" s="1269">
        <f>SUM(D1037*H1037/F1037)</f>
        <v>46</v>
      </c>
      <c r="J1037" s="1205" t="s">
        <v>2322</v>
      </c>
    </row>
    <row r="1038" spans="1:10" hidden="1">
      <c r="A1038" s="1263"/>
      <c r="B1038" s="1257"/>
      <c r="C1038" s="1270" t="s">
        <v>405</v>
      </c>
      <c r="D1038" s="1264"/>
      <c r="E1038" s="1282"/>
      <c r="F1038" s="1266"/>
      <c r="G1038" s="1282"/>
      <c r="H1038" s="1268"/>
      <c r="I1038" s="1269">
        <f>SUM(I1033:I1037)</f>
        <v>127.25</v>
      </c>
      <c r="J1038" s="1205" t="s">
        <v>2322</v>
      </c>
    </row>
    <row r="1039" spans="1:10" ht="45" hidden="1">
      <c r="A1039" s="1268" t="s">
        <v>1669</v>
      </c>
      <c r="B1039" s="1263">
        <v>12</v>
      </c>
      <c r="C1039" s="1270" t="s">
        <v>406</v>
      </c>
      <c r="D1039" s="1274"/>
      <c r="E1039" s="1265"/>
      <c r="F1039" s="1274"/>
      <c r="G1039" s="1265"/>
      <c r="H1039" s="1270"/>
      <c r="I1039" s="1270"/>
      <c r="J1039" s="1205" t="s">
        <v>2322</v>
      </c>
    </row>
    <row r="1040" spans="1:10" hidden="1">
      <c r="A1040" s="1263"/>
      <c r="B1040" s="1257"/>
      <c r="C1040" s="1309" t="s">
        <v>409</v>
      </c>
      <c r="D1040" s="1264"/>
      <c r="E1040" s="1267"/>
      <c r="F1040" s="1266"/>
      <c r="G1040" s="1267"/>
      <c r="H1040" s="1268"/>
      <c r="I1040" s="1269"/>
      <c r="J1040" s="1205" t="s">
        <v>2322</v>
      </c>
    </row>
    <row r="1041" spans="1:10" hidden="1">
      <c r="A1041" s="1263"/>
      <c r="B1041" s="1257"/>
      <c r="C1041" s="1281" t="s">
        <v>1661</v>
      </c>
      <c r="D1041" s="1299">
        <v>0.125</v>
      </c>
      <c r="E1041" s="1282" t="s">
        <v>27</v>
      </c>
      <c r="F1041" s="1266">
        <v>1</v>
      </c>
      <c r="G1041" s="1282" t="s">
        <v>27</v>
      </c>
      <c r="H1041" s="1268">
        <f>'MINI SSR 2022-23'!$H$16</f>
        <v>700</v>
      </c>
      <c r="I1041" s="1269">
        <f>SUM(D1041*H1041/F1041)</f>
        <v>87.5</v>
      </c>
      <c r="J1041" s="1205" t="s">
        <v>2322</v>
      </c>
    </row>
    <row r="1042" spans="1:10" hidden="1">
      <c r="A1042" s="1263"/>
      <c r="B1042" s="1257"/>
      <c r="C1042" s="1281" t="s">
        <v>700</v>
      </c>
      <c r="D1042" s="1299">
        <v>0.125</v>
      </c>
      <c r="E1042" s="1282" t="s">
        <v>27</v>
      </c>
      <c r="F1042" s="1266">
        <v>1</v>
      </c>
      <c r="G1042" s="1282" t="s">
        <v>27</v>
      </c>
      <c r="H1042" s="1268">
        <f>'MINI SSR 2022-23'!$H$18</f>
        <v>505</v>
      </c>
      <c r="I1042" s="1280">
        <f>SUM(D1042*H1042/F1042)</f>
        <v>63.125</v>
      </c>
      <c r="J1042" s="1205" t="s">
        <v>2322</v>
      </c>
    </row>
    <row r="1043" spans="1:10" hidden="1">
      <c r="A1043" s="1263"/>
      <c r="B1043" s="1257"/>
      <c r="C1043" s="1270" t="s">
        <v>410</v>
      </c>
      <c r="D1043" s="1264"/>
      <c r="E1043" s="1282"/>
      <c r="F1043" s="1266"/>
      <c r="G1043" s="1282"/>
      <c r="H1043" s="1268"/>
      <c r="I1043" s="1269"/>
      <c r="J1043" s="1205" t="s">
        <v>2322</v>
      </c>
    </row>
    <row r="1044" spans="1:10" hidden="1">
      <c r="A1044" s="1263"/>
      <c r="B1044" s="1257"/>
      <c r="C1044" s="1296" t="s">
        <v>1670</v>
      </c>
      <c r="D1044" s="1264">
        <v>1</v>
      </c>
      <c r="E1044" s="1267" t="s">
        <v>385</v>
      </c>
      <c r="F1044" s="1266">
        <v>100</v>
      </c>
      <c r="G1044" s="1267" t="s">
        <v>395</v>
      </c>
      <c r="H1044" s="1268">
        <f>'MINI SSR 2022-23'!G116</f>
        <v>1244</v>
      </c>
      <c r="I1044" s="1269">
        <f>SUM(D1044*H1044/F1044)</f>
        <v>12.44</v>
      </c>
      <c r="J1044" s="1205" t="s">
        <v>2322</v>
      </c>
    </row>
    <row r="1045" spans="1:10" hidden="1">
      <c r="A1045" s="1263"/>
      <c r="B1045" s="1257"/>
      <c r="C1045" s="1296" t="s">
        <v>1671</v>
      </c>
      <c r="D1045" s="1264">
        <v>1</v>
      </c>
      <c r="E1045" s="1267" t="s">
        <v>115</v>
      </c>
      <c r="F1045" s="1266">
        <v>1</v>
      </c>
      <c r="G1045" s="1267" t="s">
        <v>115</v>
      </c>
      <c r="H1045" s="1268">
        <f>'MINI SSR 2022-23'!G117</f>
        <v>208</v>
      </c>
      <c r="I1045" s="1269">
        <f>SUM(D1045*H1045/F1045)</f>
        <v>208</v>
      </c>
      <c r="J1045" s="1205" t="s">
        <v>2322</v>
      </c>
    </row>
    <row r="1046" spans="1:10" hidden="1">
      <c r="A1046" s="1263"/>
      <c r="B1046" s="1257"/>
      <c r="C1046" s="1296" t="s">
        <v>1672</v>
      </c>
      <c r="D1046" s="1264">
        <v>1</v>
      </c>
      <c r="E1046" s="1267" t="s">
        <v>325</v>
      </c>
      <c r="F1046" s="1266">
        <v>1</v>
      </c>
      <c r="G1046" s="1267" t="s">
        <v>325</v>
      </c>
      <c r="H1046" s="1268">
        <f>'MINI SSR 2022-23'!G118</f>
        <v>2912</v>
      </c>
      <c r="I1046" s="1269">
        <f>SUM(D1046*H1046/F1046)</f>
        <v>2912</v>
      </c>
      <c r="J1046" s="1205" t="s">
        <v>2322</v>
      </c>
    </row>
    <row r="1047" spans="1:10" hidden="1">
      <c r="A1047" s="1263"/>
      <c r="B1047" s="1257"/>
      <c r="C1047" s="1270" t="s">
        <v>411</v>
      </c>
      <c r="D1047" s="1264"/>
      <c r="E1047" s="1267"/>
      <c r="F1047" s="1266"/>
      <c r="G1047" s="1267"/>
      <c r="H1047" s="1648">
        <v>0.01</v>
      </c>
      <c r="I1047" s="1269">
        <f>SUM(I1046*H1047)</f>
        <v>29.12</v>
      </c>
      <c r="J1047" s="1205" t="s">
        <v>2322</v>
      </c>
    </row>
    <row r="1048" spans="1:10" hidden="1">
      <c r="A1048" s="1263"/>
      <c r="B1048" s="1257"/>
      <c r="C1048" s="1275" t="s">
        <v>388</v>
      </c>
      <c r="D1048" s="1271"/>
      <c r="E1048" s="1272"/>
      <c r="F1048" s="1271"/>
      <c r="G1048" s="1649"/>
      <c r="H1048" s="1302"/>
      <c r="I1048" s="1269">
        <f>SUM(I1041:I1047)</f>
        <v>3312.1849999999999</v>
      </c>
      <c r="J1048" s="1205" t="s">
        <v>2322</v>
      </c>
    </row>
    <row r="1049" spans="1:10" ht="33.75" hidden="1">
      <c r="A1049" s="1268" t="s">
        <v>1673</v>
      </c>
      <c r="B1049" s="1263">
        <v>12</v>
      </c>
      <c r="C1049" s="1270" t="s">
        <v>946</v>
      </c>
      <c r="D1049" s="1274"/>
      <c r="E1049" s="1265"/>
      <c r="F1049" s="1274"/>
      <c r="G1049" s="1265"/>
      <c r="H1049" s="1270"/>
      <c r="I1049" s="1270"/>
      <c r="J1049" s="1205" t="s">
        <v>2322</v>
      </c>
    </row>
    <row r="1050" spans="1:10" hidden="1">
      <c r="A1050" s="1263"/>
      <c r="B1050" s="1257"/>
      <c r="C1050" s="1296" t="s">
        <v>970</v>
      </c>
      <c r="D1050" s="1264">
        <v>1</v>
      </c>
      <c r="E1050" s="1267" t="s">
        <v>325</v>
      </c>
      <c r="F1050" s="1266">
        <v>1</v>
      </c>
      <c r="G1050" s="1267" t="s">
        <v>325</v>
      </c>
      <c r="H1050" s="1268">
        <f>'MINI SSR 2022-23'!G118</f>
        <v>2912</v>
      </c>
      <c r="I1050" s="1269">
        <f>SUM(D1050*H1050/F1050)</f>
        <v>2912</v>
      </c>
      <c r="J1050" s="1205" t="s">
        <v>2322</v>
      </c>
    </row>
    <row r="1051" spans="1:10" hidden="1">
      <c r="A1051" s="1263"/>
      <c r="B1051" s="1257"/>
      <c r="C1051" s="1270" t="s">
        <v>411</v>
      </c>
      <c r="D1051" s="1264"/>
      <c r="E1051" s="1267"/>
      <c r="F1051" s="1266"/>
      <c r="G1051" s="1267"/>
      <c r="H1051" s="1648">
        <v>0.01</v>
      </c>
      <c r="I1051" s="1269">
        <f>SUM(I1050*H1051)</f>
        <v>29.12</v>
      </c>
      <c r="J1051" s="1205" t="s">
        <v>2322</v>
      </c>
    </row>
    <row r="1052" spans="1:10" hidden="1">
      <c r="A1052" s="1263"/>
      <c r="B1052" s="1257"/>
      <c r="C1052" s="1275" t="s">
        <v>388</v>
      </c>
      <c r="D1052" s="1271"/>
      <c r="E1052" s="1272"/>
      <c r="F1052" s="1271"/>
      <c r="G1052" s="1649"/>
      <c r="H1052" s="1302"/>
      <c r="I1052" s="1269">
        <f>SUM(I1050:I1051)</f>
        <v>2941.12</v>
      </c>
      <c r="J1052" s="1205" t="s">
        <v>2322</v>
      </c>
    </row>
    <row r="1053" spans="1:10" ht="22.5" hidden="1">
      <c r="A1053" s="1268" t="s">
        <v>1674</v>
      </c>
      <c r="B1053" s="1263">
        <v>13</v>
      </c>
      <c r="C1053" s="1270" t="s">
        <v>1675</v>
      </c>
      <c r="D1053" s="1274"/>
      <c r="E1053" s="1265"/>
      <c r="F1053" s="1274"/>
      <c r="G1053" s="1265"/>
      <c r="H1053" s="1270"/>
      <c r="I1053" s="1270"/>
      <c r="J1053" s="1205" t="s">
        <v>2322</v>
      </c>
    </row>
    <row r="1054" spans="1:10" hidden="1">
      <c r="A1054" s="1263"/>
      <c r="B1054" s="1257"/>
      <c r="C1054" s="1296" t="s">
        <v>1671</v>
      </c>
      <c r="D1054" s="1264">
        <v>1</v>
      </c>
      <c r="E1054" s="1267" t="s">
        <v>325</v>
      </c>
      <c r="F1054" s="1266">
        <v>1</v>
      </c>
      <c r="G1054" s="1267" t="s">
        <v>325</v>
      </c>
      <c r="H1054" s="1268">
        <f>'MINI SSR 2022-23'!G117</f>
        <v>208</v>
      </c>
      <c r="I1054" s="1269">
        <f>SUM(D1054*H1054/F1054)</f>
        <v>208</v>
      </c>
      <c r="J1054" s="1205" t="s">
        <v>2322</v>
      </c>
    </row>
    <row r="1055" spans="1:10" hidden="1">
      <c r="A1055" s="1263"/>
      <c r="B1055" s="1257"/>
      <c r="C1055" s="1281" t="s">
        <v>1661</v>
      </c>
      <c r="D1055" s="1299">
        <v>0.1</v>
      </c>
      <c r="E1055" s="1282" t="s">
        <v>27</v>
      </c>
      <c r="F1055" s="1266">
        <v>1</v>
      </c>
      <c r="G1055" s="1282" t="s">
        <v>27</v>
      </c>
      <c r="H1055" s="1268">
        <f>'MINI SSR 2022-23'!$H$16</f>
        <v>700</v>
      </c>
      <c r="I1055" s="1269">
        <f>SUM(D1055*H1055/F1055)</f>
        <v>70</v>
      </c>
      <c r="J1055" s="1205" t="s">
        <v>2322</v>
      </c>
    </row>
    <row r="1056" spans="1:10" hidden="1">
      <c r="A1056" s="1263"/>
      <c r="B1056" s="1257"/>
      <c r="C1056" s="1270"/>
      <c r="D1056" s="1264"/>
      <c r="E1056" s="1267"/>
      <c r="F1056" s="1266"/>
      <c r="G1056" s="1267"/>
      <c r="H1056" s="1648"/>
      <c r="I1056" s="1269"/>
      <c r="J1056" s="1205" t="s">
        <v>2322</v>
      </c>
    </row>
    <row r="1057" spans="1:10" hidden="1">
      <c r="A1057" s="1263"/>
      <c r="B1057" s="1257"/>
      <c r="C1057" s="1275" t="s">
        <v>388</v>
      </c>
      <c r="D1057" s="1271"/>
      <c r="E1057" s="1272"/>
      <c r="F1057" s="1271"/>
      <c r="G1057" s="1649"/>
      <c r="H1057" s="1302"/>
      <c r="I1057" s="1269">
        <f>SUM(I1054:I1056)</f>
        <v>278</v>
      </c>
      <c r="J1057" s="1205" t="s">
        <v>2322</v>
      </c>
    </row>
    <row r="1058" spans="1:10" ht="22.5" hidden="1">
      <c r="A1058" s="1268" t="s">
        <v>1669</v>
      </c>
      <c r="B1058" s="1263">
        <v>14</v>
      </c>
      <c r="C1058" s="1270" t="s">
        <v>948</v>
      </c>
      <c r="D1058" s="1274"/>
      <c r="E1058" s="1265"/>
      <c r="F1058" s="1274"/>
      <c r="G1058" s="1265"/>
      <c r="H1058" s="1270"/>
      <c r="I1058" s="1270"/>
      <c r="J1058" s="1205" t="s">
        <v>2322</v>
      </c>
    </row>
    <row r="1059" spans="1:10" hidden="1">
      <c r="A1059" s="1263"/>
      <c r="B1059" s="1257"/>
      <c r="C1059" s="1309" t="s">
        <v>409</v>
      </c>
      <c r="D1059" s="1264"/>
      <c r="E1059" s="1267"/>
      <c r="F1059" s="1266"/>
      <c r="G1059" s="1267"/>
      <c r="H1059" s="1268"/>
      <c r="I1059" s="1269"/>
      <c r="J1059" s="1205" t="s">
        <v>2322</v>
      </c>
    </row>
    <row r="1060" spans="1:10" hidden="1">
      <c r="A1060" s="1263"/>
      <c r="B1060" s="1257"/>
      <c r="C1060" s="1281" t="s">
        <v>1661</v>
      </c>
      <c r="D1060" s="1299">
        <v>0.125</v>
      </c>
      <c r="E1060" s="1282" t="s">
        <v>27</v>
      </c>
      <c r="F1060" s="1266">
        <v>1</v>
      </c>
      <c r="G1060" s="1282" t="s">
        <v>27</v>
      </c>
      <c r="H1060" s="1268">
        <f>'MINI SSR 2022-23'!$H$16</f>
        <v>700</v>
      </c>
      <c r="I1060" s="1269">
        <f>SUM(D1060*H1060/F1060)</f>
        <v>87.5</v>
      </c>
      <c r="J1060" s="1205" t="s">
        <v>2322</v>
      </c>
    </row>
    <row r="1061" spans="1:10" hidden="1">
      <c r="A1061" s="1263"/>
      <c r="B1061" s="1257"/>
      <c r="C1061" s="1281" t="s">
        <v>700</v>
      </c>
      <c r="D1061" s="1299">
        <v>0.125</v>
      </c>
      <c r="E1061" s="1282" t="s">
        <v>27</v>
      </c>
      <c r="F1061" s="1266">
        <v>1</v>
      </c>
      <c r="G1061" s="1282" t="s">
        <v>27</v>
      </c>
      <c r="H1061" s="1268">
        <f>'MINI SSR 2022-23'!$H$18</f>
        <v>505</v>
      </c>
      <c r="I1061" s="1280">
        <f>SUM(D1061*H1061/F1061)</f>
        <v>63.125</v>
      </c>
      <c r="J1061" s="1205" t="s">
        <v>2322</v>
      </c>
    </row>
    <row r="1062" spans="1:10" hidden="1">
      <c r="A1062" s="1263"/>
      <c r="B1062" s="1257"/>
      <c r="C1062" s="1270" t="s">
        <v>410</v>
      </c>
      <c r="D1062" s="1264"/>
      <c r="E1062" s="1282"/>
      <c r="F1062" s="1266"/>
      <c r="G1062" s="1282"/>
      <c r="H1062" s="1268"/>
      <c r="I1062" s="1269"/>
      <c r="J1062" s="1205" t="s">
        <v>2322</v>
      </c>
    </row>
    <row r="1063" spans="1:10" hidden="1">
      <c r="A1063" s="1263"/>
      <c r="B1063" s="1257"/>
      <c r="C1063" s="1296" t="s">
        <v>949</v>
      </c>
      <c r="D1063" s="1264">
        <v>1</v>
      </c>
      <c r="E1063" s="1267" t="s">
        <v>385</v>
      </c>
      <c r="F1063" s="1266">
        <v>100</v>
      </c>
      <c r="G1063" s="1267" t="s">
        <v>395</v>
      </c>
      <c r="H1063" s="1268">
        <f>'MINI SSR 2022-23'!G116</f>
        <v>1244</v>
      </c>
      <c r="I1063" s="1269">
        <f>SUM(D1063*H1063/F1063)</f>
        <v>12.44</v>
      </c>
      <c r="J1063" s="1205" t="s">
        <v>2322</v>
      </c>
    </row>
    <row r="1064" spans="1:10" hidden="1">
      <c r="A1064" s="1263"/>
      <c r="B1064" s="1257"/>
      <c r="C1064" s="1275" t="s">
        <v>388</v>
      </c>
      <c r="D1064" s="1271"/>
      <c r="E1064" s="1272"/>
      <c r="F1064" s="1271"/>
      <c r="G1064" s="1649"/>
      <c r="H1064" s="1302"/>
      <c r="I1064" s="1269">
        <f>SUM(I1060:I1063)</f>
        <v>163.065</v>
      </c>
      <c r="J1064" s="1205" t="s">
        <v>2322</v>
      </c>
    </row>
    <row r="1065" spans="1:10" ht="33.75" hidden="1">
      <c r="A1065" s="1268" t="s">
        <v>1676</v>
      </c>
      <c r="B1065" s="1263">
        <v>39</v>
      </c>
      <c r="C1065" s="1270" t="s">
        <v>950</v>
      </c>
      <c r="D1065" s="1274"/>
      <c r="E1065" s="1265"/>
      <c r="F1065" s="1274"/>
      <c r="G1065" s="1265"/>
      <c r="H1065" s="1270"/>
      <c r="I1065" s="1270"/>
      <c r="J1065" s="1205" t="s">
        <v>2322</v>
      </c>
    </row>
    <row r="1066" spans="1:10" hidden="1">
      <c r="A1066" s="1263"/>
      <c r="B1066" s="1257"/>
      <c r="C1066" s="1309" t="s">
        <v>409</v>
      </c>
      <c r="D1066" s="1264"/>
      <c r="E1066" s="1267"/>
      <c r="F1066" s="1266"/>
      <c r="G1066" s="1267"/>
      <c r="H1066" s="1268"/>
      <c r="I1066" s="1269"/>
      <c r="J1066" s="1205" t="s">
        <v>2322</v>
      </c>
    </row>
    <row r="1067" spans="1:10" hidden="1">
      <c r="A1067" s="1263"/>
      <c r="B1067" s="1257"/>
      <c r="C1067" s="1281" t="s">
        <v>700</v>
      </c>
      <c r="D1067" s="1299">
        <v>0.1</v>
      </c>
      <c r="E1067" s="1282" t="s">
        <v>27</v>
      </c>
      <c r="F1067" s="1266">
        <v>1</v>
      </c>
      <c r="G1067" s="1282" t="s">
        <v>27</v>
      </c>
      <c r="H1067" s="1268">
        <f>'MINI SSR 2022-23'!$H$18</f>
        <v>505</v>
      </c>
      <c r="I1067" s="1280">
        <f>SUM(D1067*H1067/F1067)</f>
        <v>50.5</v>
      </c>
      <c r="J1067" s="1205" t="s">
        <v>2322</v>
      </c>
    </row>
    <row r="1068" spans="1:10" hidden="1">
      <c r="A1068" s="1263"/>
      <c r="B1068" s="1257"/>
      <c r="C1068" s="1270" t="s">
        <v>410</v>
      </c>
      <c r="D1068" s="1264"/>
      <c r="E1068" s="1282"/>
      <c r="F1068" s="1266"/>
      <c r="G1068" s="1282"/>
      <c r="H1068" s="1268"/>
      <c r="I1068" s="1269"/>
      <c r="J1068" s="1205" t="s">
        <v>2322</v>
      </c>
    </row>
    <row r="1069" spans="1:10" ht="22.5" hidden="1">
      <c r="A1069" s="1263"/>
      <c r="B1069" s="1257"/>
      <c r="C1069" s="1296" t="s">
        <v>1677</v>
      </c>
      <c r="D1069" s="1264">
        <v>1</v>
      </c>
      <c r="E1069" s="1267" t="s">
        <v>115</v>
      </c>
      <c r="F1069" s="1266">
        <v>1</v>
      </c>
      <c r="G1069" s="1267" t="s">
        <v>115</v>
      </c>
      <c r="H1069" s="1268">
        <f>'MINI SSR 2022-23'!G119</f>
        <v>111</v>
      </c>
      <c r="I1069" s="1269">
        <f>SUM(D1069*H1069/F1069)</f>
        <v>111</v>
      </c>
      <c r="J1069" s="1205" t="s">
        <v>2322</v>
      </c>
    </row>
    <row r="1070" spans="1:10" hidden="1">
      <c r="A1070" s="1263"/>
      <c r="B1070" s="1257"/>
      <c r="C1070" s="1275" t="s">
        <v>388</v>
      </c>
      <c r="D1070" s="1271"/>
      <c r="E1070" s="1272"/>
      <c r="F1070" s="1271"/>
      <c r="G1070" s="1649"/>
      <c r="H1070" s="1302"/>
      <c r="I1070" s="1269">
        <f>SUM(I1067:I1069)</f>
        <v>161.5</v>
      </c>
      <c r="J1070" s="1205" t="s">
        <v>2322</v>
      </c>
    </row>
    <row r="1071" spans="1:10" ht="22.5" hidden="1">
      <c r="A1071" s="1268" t="s">
        <v>1678</v>
      </c>
      <c r="B1071" s="1287">
        <v>15</v>
      </c>
      <c r="C1071" s="1270" t="s">
        <v>1679</v>
      </c>
      <c r="D1071" s="1271"/>
      <c r="E1071" s="1272"/>
      <c r="F1071" s="1271"/>
      <c r="G1071" s="1272"/>
      <c r="H1071" s="1273"/>
      <c r="I1071" s="1273"/>
      <c r="J1071" s="1205" t="s">
        <v>2322</v>
      </c>
    </row>
    <row r="1072" spans="1:10" hidden="1">
      <c r="A1072" s="1286"/>
      <c r="B1072" s="1287"/>
      <c r="C1072" s="1281" t="s">
        <v>1575</v>
      </c>
      <c r="D1072" s="1264">
        <v>1</v>
      </c>
      <c r="E1072" s="1282" t="s">
        <v>325</v>
      </c>
      <c r="F1072" s="1266">
        <v>1</v>
      </c>
      <c r="G1072" s="1282" t="s">
        <v>325</v>
      </c>
      <c r="H1072" s="1268">
        <f>'MINI SSR 2022-23'!G120</f>
        <v>39</v>
      </c>
      <c r="I1072" s="1280">
        <f>SUM(D1072*H1072/F1072)</f>
        <v>39</v>
      </c>
      <c r="J1072" s="1205" t="s">
        <v>2322</v>
      </c>
    </row>
    <row r="1073" spans="1:10" hidden="1">
      <c r="A1073" s="1263"/>
      <c r="B1073" s="1257"/>
      <c r="C1073" s="1281" t="s">
        <v>1680</v>
      </c>
      <c r="D1073" s="1299">
        <v>0.16600000000000001</v>
      </c>
      <c r="E1073" s="1282" t="s">
        <v>27</v>
      </c>
      <c r="F1073" s="1266">
        <v>1</v>
      </c>
      <c r="G1073" s="1282" t="s">
        <v>27</v>
      </c>
      <c r="H1073" s="1268">
        <f>'MINI SSR 2022-23'!H3</f>
        <v>630</v>
      </c>
      <c r="I1073" s="1280">
        <f>SUM(D1073*H1073/F1073)</f>
        <v>104.58000000000001</v>
      </c>
      <c r="J1073" s="1205" t="s">
        <v>2322</v>
      </c>
    </row>
    <row r="1074" spans="1:10" hidden="1">
      <c r="A1074" s="1263"/>
      <c r="B1074" s="1257"/>
      <c r="C1074" s="1281" t="s">
        <v>1681</v>
      </c>
      <c r="D1074" s="1299">
        <v>0.16600000000000001</v>
      </c>
      <c r="E1074" s="1282" t="s">
        <v>27</v>
      </c>
      <c r="F1074" s="1266">
        <v>1</v>
      </c>
      <c r="G1074" s="1282" t="s">
        <v>27</v>
      </c>
      <c r="H1074" s="1268">
        <f>'MINI SSR 2022-23'!H5</f>
        <v>525</v>
      </c>
      <c r="I1074" s="1280">
        <f>SUM(D1074*H1074/F1074)</f>
        <v>87.15</v>
      </c>
      <c r="J1074" s="1205" t="s">
        <v>2322</v>
      </c>
    </row>
    <row r="1075" spans="1:10" hidden="1">
      <c r="A1075" s="1286"/>
      <c r="B1075" s="1287"/>
      <c r="C1075" s="1283"/>
      <c r="D1075" s="1264"/>
      <c r="E1075" s="1282"/>
      <c r="F1075" s="1266"/>
      <c r="G1075" s="1282"/>
      <c r="H1075" s="1268"/>
      <c r="I1075" s="1280">
        <f>SUM(I1072:I1074)</f>
        <v>230.73000000000002</v>
      </c>
      <c r="J1075" s="1205" t="s">
        <v>2322</v>
      </c>
    </row>
    <row r="1076" spans="1:10" ht="56.25" hidden="1">
      <c r="A1076" s="1295" t="s">
        <v>726</v>
      </c>
      <c r="B1076" s="1263">
        <v>13</v>
      </c>
      <c r="C1076" s="1270" t="s">
        <v>412</v>
      </c>
      <c r="D1076" s="1274"/>
      <c r="E1076" s="1265"/>
      <c r="F1076" s="1274"/>
      <c r="G1076" s="1265"/>
      <c r="H1076" s="1270"/>
      <c r="I1076" s="1270"/>
      <c r="J1076" s="1205" t="s">
        <v>2322</v>
      </c>
    </row>
    <row r="1077" spans="1:10" hidden="1">
      <c r="A1077" s="1263"/>
      <c r="B1077" s="1257"/>
      <c r="C1077" s="1270" t="s">
        <v>409</v>
      </c>
      <c r="D1077" s="1264"/>
      <c r="E1077" s="1267"/>
      <c r="F1077" s="1266"/>
      <c r="G1077" s="1267"/>
      <c r="H1077" s="1268"/>
      <c r="I1077" s="1269"/>
      <c r="J1077" s="1205" t="s">
        <v>2322</v>
      </c>
    </row>
    <row r="1078" spans="1:10" hidden="1">
      <c r="A1078" s="1263"/>
      <c r="B1078" s="1257"/>
      <c r="C1078" s="1281" t="s">
        <v>1661</v>
      </c>
      <c r="D1078" s="1264">
        <v>0.1</v>
      </c>
      <c r="E1078" s="1282" t="s">
        <v>27</v>
      </c>
      <c r="F1078" s="1266">
        <v>1</v>
      </c>
      <c r="G1078" s="1282" t="s">
        <v>27</v>
      </c>
      <c r="H1078" s="1268">
        <f>'MINI SSR 2022-23'!$H$16</f>
        <v>700</v>
      </c>
      <c r="I1078" s="1269">
        <f>SUM(D1078*H1078/F1078)</f>
        <v>70</v>
      </c>
      <c r="J1078" s="1205" t="s">
        <v>2322</v>
      </c>
    </row>
    <row r="1079" spans="1:10" hidden="1">
      <c r="A1079" s="1263"/>
      <c r="B1079" s="1257"/>
      <c r="C1079" s="1281" t="s">
        <v>1662</v>
      </c>
      <c r="D1079" s="1264">
        <v>0.1</v>
      </c>
      <c r="E1079" s="1282" t="s">
        <v>27</v>
      </c>
      <c r="F1079" s="1266">
        <v>1</v>
      </c>
      <c r="G1079" s="1282" t="s">
        <v>27</v>
      </c>
      <c r="H1079" s="1268">
        <f>'MINI SSR 2022-23'!$H$17</f>
        <v>570</v>
      </c>
      <c r="I1079" s="1269">
        <f>SUM(D1079*H1079/F1079)</f>
        <v>57</v>
      </c>
      <c r="J1079" s="1205" t="s">
        <v>2322</v>
      </c>
    </row>
    <row r="1080" spans="1:10" hidden="1">
      <c r="A1080" s="1263"/>
      <c r="B1080" s="1257"/>
      <c r="C1080" s="1270" t="s">
        <v>327</v>
      </c>
      <c r="D1080" s="1264"/>
      <c r="E1080" s="1282"/>
      <c r="F1080" s="1266"/>
      <c r="G1080" s="1282"/>
      <c r="H1080" s="1268"/>
      <c r="I1080" s="1269"/>
      <c r="J1080" s="1205" t="s">
        <v>2322</v>
      </c>
    </row>
    <row r="1081" spans="1:10" hidden="1">
      <c r="A1081" s="1263"/>
      <c r="B1081" s="1257"/>
      <c r="C1081" s="1296" t="s">
        <v>1682</v>
      </c>
      <c r="D1081" s="1264">
        <v>1</v>
      </c>
      <c r="E1081" s="1267" t="s">
        <v>385</v>
      </c>
      <c r="F1081" s="1266">
        <v>100</v>
      </c>
      <c r="G1081" s="1267" t="s">
        <v>395</v>
      </c>
      <c r="H1081" s="1268">
        <f>'MINI SSR 2022-23'!G116</f>
        <v>1244</v>
      </c>
      <c r="I1081" s="1269">
        <f>SUM(D1081*H1081/F1081)</f>
        <v>12.44</v>
      </c>
      <c r="J1081" s="1205" t="s">
        <v>2322</v>
      </c>
    </row>
    <row r="1082" spans="1:10" hidden="1">
      <c r="A1082" s="1263"/>
      <c r="B1082" s="1257"/>
      <c r="C1082" s="1296" t="s">
        <v>2106</v>
      </c>
      <c r="D1082" s="1297">
        <v>1</v>
      </c>
      <c r="E1082" s="1267" t="s">
        <v>115</v>
      </c>
      <c r="F1082" s="1266">
        <v>1</v>
      </c>
      <c r="G1082" s="1267" t="s">
        <v>115</v>
      </c>
      <c r="H1082" s="1268">
        <f>'MINI SSR 2022-23'!G121</f>
        <v>267</v>
      </c>
      <c r="I1082" s="1269">
        <f>SUM(D1082*H1082/F1082)</f>
        <v>267</v>
      </c>
      <c r="J1082" s="1205" t="s">
        <v>2322</v>
      </c>
    </row>
    <row r="1083" spans="1:10" hidden="1">
      <c r="A1083" s="1263"/>
      <c r="B1083" s="1257"/>
      <c r="C1083" s="1270" t="s">
        <v>405</v>
      </c>
      <c r="D1083" s="1264"/>
      <c r="E1083" s="1265"/>
      <c r="F1083" s="1266"/>
      <c r="G1083" s="1267"/>
      <c r="H1083" s="1268"/>
      <c r="I1083" s="1269">
        <f>SUM(I1078:I1082)</f>
        <v>406.44</v>
      </c>
      <c r="J1083" s="1205" t="s">
        <v>2322</v>
      </c>
    </row>
    <row r="1084" spans="1:10" hidden="1">
      <c r="A1084" s="1286"/>
      <c r="B1084" s="1287"/>
      <c r="C1084" s="1286"/>
      <c r="D1084" s="1292"/>
      <c r="E1084" s="1293"/>
      <c r="F1084" s="1292"/>
      <c r="G1084" s="1293"/>
      <c r="H1084" s="1286"/>
      <c r="I1084" s="1286"/>
      <c r="J1084" s="1205" t="s">
        <v>2322</v>
      </c>
    </row>
    <row r="1085" spans="1:10" ht="67.5" hidden="1">
      <c r="A1085" s="1295" t="s">
        <v>727</v>
      </c>
      <c r="B1085" s="1263">
        <v>14</v>
      </c>
      <c r="C1085" s="1270" t="s">
        <v>698</v>
      </c>
      <c r="D1085" s="1274"/>
      <c r="E1085" s="1265"/>
      <c r="F1085" s="1274"/>
      <c r="G1085" s="1265"/>
      <c r="H1085" s="1270"/>
      <c r="I1085" s="1270"/>
      <c r="J1085" s="1205" t="s">
        <v>2322</v>
      </c>
    </row>
    <row r="1086" spans="1:10" hidden="1">
      <c r="A1086" s="1263"/>
      <c r="B1086" s="1257"/>
      <c r="C1086" s="1270" t="s">
        <v>409</v>
      </c>
      <c r="D1086" s="1264"/>
      <c r="E1086" s="1267"/>
      <c r="F1086" s="1266"/>
      <c r="G1086" s="1267"/>
      <c r="H1086" s="1268"/>
      <c r="I1086" s="1269"/>
      <c r="J1086" s="1205" t="s">
        <v>2322</v>
      </c>
    </row>
    <row r="1087" spans="1:10" hidden="1">
      <c r="A1087" s="1263"/>
      <c r="B1087" s="1257"/>
      <c r="C1087" s="1281" t="s">
        <v>699</v>
      </c>
      <c r="D1087" s="1264">
        <v>0.5</v>
      </c>
      <c r="E1087" s="1282" t="s">
        <v>27</v>
      </c>
      <c r="F1087" s="1266">
        <v>1</v>
      </c>
      <c r="G1087" s="1282" t="s">
        <v>27</v>
      </c>
      <c r="H1087" s="1268">
        <f>'MINI SSR 2022-23'!$H$16</f>
        <v>700</v>
      </c>
      <c r="I1087" s="1269">
        <f>SUM(D1087*H1087/F1087)</f>
        <v>350</v>
      </c>
      <c r="J1087" s="1205" t="s">
        <v>2322</v>
      </c>
    </row>
    <row r="1088" spans="1:10" hidden="1">
      <c r="A1088" s="1263"/>
      <c r="B1088" s="1257"/>
      <c r="C1088" s="1281" t="s">
        <v>219</v>
      </c>
      <c r="D1088" s="1264">
        <v>0.5</v>
      </c>
      <c r="E1088" s="1282" t="s">
        <v>27</v>
      </c>
      <c r="F1088" s="1266">
        <v>1</v>
      </c>
      <c r="G1088" s="1282" t="s">
        <v>27</v>
      </c>
      <c r="H1088" s="1268">
        <f>'MINI SSR 2022-23'!$H$17</f>
        <v>570</v>
      </c>
      <c r="I1088" s="1269">
        <f>SUM(D1088*H1088/F1088)</f>
        <v>285</v>
      </c>
      <c r="J1088" s="1205" t="s">
        <v>2322</v>
      </c>
    </row>
    <row r="1089" spans="1:10" hidden="1">
      <c r="A1089" s="1263"/>
      <c r="B1089" s="1257"/>
      <c r="C1089" s="1281" t="s">
        <v>700</v>
      </c>
      <c r="D1089" s="1264">
        <v>1</v>
      </c>
      <c r="E1089" s="1282" t="s">
        <v>27</v>
      </c>
      <c r="F1089" s="1266">
        <v>1</v>
      </c>
      <c r="G1089" s="1282" t="s">
        <v>27</v>
      </c>
      <c r="H1089" s="1268">
        <f>'MINI SSR 2022-23'!$H$18</f>
        <v>505</v>
      </c>
      <c r="I1089" s="1280">
        <f>SUM(D1089*H1089/F1089)</f>
        <v>505</v>
      </c>
      <c r="J1089" s="1205" t="s">
        <v>2322</v>
      </c>
    </row>
    <row r="1090" spans="1:10" hidden="1">
      <c r="A1090" s="1263"/>
      <c r="B1090" s="1257"/>
      <c r="C1090" s="1270" t="s">
        <v>327</v>
      </c>
      <c r="D1090" s="1264"/>
      <c r="E1090" s="1282"/>
      <c r="F1090" s="1266"/>
      <c r="G1090" s="1282"/>
      <c r="H1090" s="1268"/>
      <c r="I1090" s="1269"/>
      <c r="J1090" s="1205" t="s">
        <v>2322</v>
      </c>
    </row>
    <row r="1091" spans="1:10" ht="22.5" hidden="1">
      <c r="A1091" s="1263"/>
      <c r="B1091" s="1263"/>
      <c r="C1091" s="1270" t="s">
        <v>701</v>
      </c>
      <c r="D1091" s="1303">
        <v>1</v>
      </c>
      <c r="E1091" s="1265" t="s">
        <v>325</v>
      </c>
      <c r="F1091" s="1303">
        <v>1</v>
      </c>
      <c r="G1091" s="1265" t="s">
        <v>115</v>
      </c>
      <c r="H1091" s="1295">
        <f>'MINI SSR 2022-23'!G122</f>
        <v>1107</v>
      </c>
      <c r="I1091" s="1304">
        <f>SUM(D1091*H1091/F1091)</f>
        <v>1107</v>
      </c>
      <c r="J1091" s="1205" t="s">
        <v>2322</v>
      </c>
    </row>
    <row r="1092" spans="1:10" hidden="1">
      <c r="A1092" s="1263"/>
      <c r="B1092" s="1257"/>
      <c r="C1092" s="1296" t="s">
        <v>702</v>
      </c>
      <c r="D1092" s="1297">
        <v>1</v>
      </c>
      <c r="E1092" s="1267" t="s">
        <v>325</v>
      </c>
      <c r="F1092" s="1266">
        <v>1</v>
      </c>
      <c r="G1092" s="1267" t="s">
        <v>115</v>
      </c>
      <c r="H1092" s="1295">
        <f>'MINI SSR 2022-23'!G123</f>
        <v>455</v>
      </c>
      <c r="I1092" s="1269">
        <f>SUM(D1092*H1092/F1092)</f>
        <v>455</v>
      </c>
      <c r="J1092" s="1205" t="s">
        <v>2322</v>
      </c>
    </row>
    <row r="1093" spans="1:10" hidden="1">
      <c r="A1093" s="1263"/>
      <c r="B1093" s="1257"/>
      <c r="C1093" s="1296" t="s">
        <v>703</v>
      </c>
      <c r="D1093" s="1297">
        <v>4</v>
      </c>
      <c r="E1093" s="1267" t="s">
        <v>325</v>
      </c>
      <c r="F1093" s="1266">
        <v>1</v>
      </c>
      <c r="G1093" s="1267" t="s">
        <v>115</v>
      </c>
      <c r="H1093" s="1295">
        <f>'MINI SSR 2022-23'!G124</f>
        <v>240</v>
      </c>
      <c r="I1093" s="1269">
        <f>SUM(D1093*H1093/F1093)</f>
        <v>960</v>
      </c>
      <c r="J1093" s="1205" t="s">
        <v>2322</v>
      </c>
    </row>
    <row r="1094" spans="1:10" hidden="1">
      <c r="A1094" s="1263"/>
      <c r="B1094" s="1305"/>
      <c r="C1094" s="1275" t="s">
        <v>388</v>
      </c>
      <c r="D1094" s="1306"/>
      <c r="E1094" s="1307"/>
      <c r="F1094" s="1284"/>
      <c r="G1094" s="1301"/>
      <c r="H1094" s="1302"/>
      <c r="I1094" s="1308">
        <f>SUM(I1087:I1093)</f>
        <v>3662</v>
      </c>
      <c r="J1094" s="1205" t="s">
        <v>2322</v>
      </c>
    </row>
    <row r="1095" spans="1:10" ht="45" hidden="1">
      <c r="A1095" s="1295"/>
      <c r="B1095" s="1263">
        <v>15</v>
      </c>
      <c r="C1095" s="1270" t="s">
        <v>941</v>
      </c>
      <c r="D1095" s="1274"/>
      <c r="E1095" s="1265"/>
      <c r="F1095" s="1274"/>
      <c r="G1095" s="1265"/>
      <c r="H1095" s="1270"/>
      <c r="I1095" s="1270"/>
      <c r="J1095" s="1205" t="s">
        <v>2322</v>
      </c>
    </row>
    <row r="1096" spans="1:10" hidden="1">
      <c r="A1096" s="1263"/>
      <c r="B1096" s="1257"/>
      <c r="C1096" s="1270" t="s">
        <v>327</v>
      </c>
      <c r="D1096" s="1264"/>
      <c r="E1096" s="1282"/>
      <c r="F1096" s="1266"/>
      <c r="G1096" s="1282"/>
      <c r="H1096" s="1268"/>
      <c r="I1096" s="1269"/>
      <c r="J1096" s="1205" t="s">
        <v>2322</v>
      </c>
    </row>
    <row r="1097" spans="1:10" hidden="1">
      <c r="A1097" s="1263"/>
      <c r="B1097" s="1263"/>
      <c r="C1097" s="1270" t="s">
        <v>942</v>
      </c>
      <c r="D1097" s="1303">
        <v>2</v>
      </c>
      <c r="E1097" s="1265" t="s">
        <v>325</v>
      </c>
      <c r="F1097" s="1303">
        <v>1</v>
      </c>
      <c r="G1097" s="1265" t="s">
        <v>115</v>
      </c>
      <c r="H1097" s="1295">
        <f>'MINI SSR 2022-23'!G125</f>
        <v>119</v>
      </c>
      <c r="I1097" s="1304">
        <f>SUM(D1097*H1097/F1097)</f>
        <v>238</v>
      </c>
      <c r="J1097" s="1205" t="s">
        <v>2322</v>
      </c>
    </row>
    <row r="1098" spans="1:10" hidden="1">
      <c r="A1098" s="1263"/>
      <c r="B1098" s="1257"/>
      <c r="C1098" s="1296" t="s">
        <v>943</v>
      </c>
      <c r="D1098" s="1297">
        <v>4</v>
      </c>
      <c r="E1098" s="1267" t="s">
        <v>277</v>
      </c>
      <c r="F1098" s="1266">
        <v>1</v>
      </c>
      <c r="G1098" s="1267" t="s">
        <v>115</v>
      </c>
      <c r="H1098" s="1268">
        <f>'MINI SSR 2022-23'!G126/100</f>
        <v>66.739999999999995</v>
      </c>
      <c r="I1098" s="1269">
        <f>SUM(D1098*H1098/F1098)</f>
        <v>266.95999999999998</v>
      </c>
      <c r="J1098" s="1205" t="s">
        <v>2322</v>
      </c>
    </row>
    <row r="1099" spans="1:10" hidden="1">
      <c r="A1099" s="1263"/>
      <c r="B1099" s="1257"/>
      <c r="C1099" s="1296" t="s">
        <v>944</v>
      </c>
      <c r="D1099" s="1297">
        <v>1</v>
      </c>
      <c r="E1099" s="1267" t="s">
        <v>325</v>
      </c>
      <c r="F1099" s="1266">
        <v>1</v>
      </c>
      <c r="G1099" s="1267" t="s">
        <v>115</v>
      </c>
      <c r="H1099" s="1268">
        <f>'MINI SSR 2022-23'!G127</f>
        <v>230</v>
      </c>
      <c r="I1099" s="1269">
        <f>SUM(D1099*H1099/F1099)</f>
        <v>230</v>
      </c>
      <c r="J1099" s="1205" t="s">
        <v>2322</v>
      </c>
    </row>
    <row r="1100" spans="1:10" hidden="1">
      <c r="A1100" s="1263"/>
      <c r="B1100" s="1257"/>
      <c r="C1100" s="1270" t="s">
        <v>409</v>
      </c>
      <c r="D1100" s="1264"/>
      <c r="E1100" s="1267"/>
      <c r="F1100" s="1266"/>
      <c r="G1100" s="1267"/>
      <c r="H1100" s="1268"/>
      <c r="I1100" s="1269"/>
      <c r="J1100" s="1205" t="s">
        <v>2322</v>
      </c>
    </row>
    <row r="1101" spans="1:10" hidden="1">
      <c r="A1101" s="1263"/>
      <c r="B1101" s="1257"/>
      <c r="C1101" s="1281" t="s">
        <v>699</v>
      </c>
      <c r="D1101" s="1264">
        <v>0.2</v>
      </c>
      <c r="E1101" s="1282" t="s">
        <v>27</v>
      </c>
      <c r="F1101" s="1266">
        <v>1</v>
      </c>
      <c r="G1101" s="1282" t="s">
        <v>27</v>
      </c>
      <c r="H1101" s="1268">
        <f>'MINI SSR 2022-23'!$H$16</f>
        <v>700</v>
      </c>
      <c r="I1101" s="1269">
        <f>SUM(D1101*H1101/F1101)</f>
        <v>140</v>
      </c>
      <c r="J1101" s="1205" t="s">
        <v>2322</v>
      </c>
    </row>
    <row r="1102" spans="1:10" hidden="1">
      <c r="A1102" s="1263"/>
      <c r="B1102" s="1257"/>
      <c r="C1102" s="1281" t="s">
        <v>219</v>
      </c>
      <c r="D1102" s="1264">
        <v>0.2</v>
      </c>
      <c r="E1102" s="1282" t="s">
        <v>27</v>
      </c>
      <c r="F1102" s="1266">
        <v>1</v>
      </c>
      <c r="G1102" s="1282" t="s">
        <v>27</v>
      </c>
      <c r="H1102" s="1268">
        <f>'MINI SSR 2022-23'!$H$17</f>
        <v>570</v>
      </c>
      <c r="I1102" s="1269">
        <f>SUM(D1102*H1102/F1102)</f>
        <v>114</v>
      </c>
      <c r="J1102" s="1205" t="s">
        <v>2322</v>
      </c>
    </row>
    <row r="1103" spans="1:10" hidden="1">
      <c r="A1103" s="1263"/>
      <c r="B1103" s="1257"/>
      <c r="C1103" s="1281" t="s">
        <v>700</v>
      </c>
      <c r="D1103" s="1264">
        <v>0.2</v>
      </c>
      <c r="E1103" s="1282" t="s">
        <v>27</v>
      </c>
      <c r="F1103" s="1266">
        <v>1</v>
      </c>
      <c r="G1103" s="1282" t="s">
        <v>27</v>
      </c>
      <c r="H1103" s="1268">
        <f>'MINI SSR 2022-23'!$H$18</f>
        <v>505</v>
      </c>
      <c r="I1103" s="1280">
        <f>SUM(D1103*H1103/F1103)</f>
        <v>101</v>
      </c>
      <c r="J1103" s="1205" t="s">
        <v>2322</v>
      </c>
    </row>
    <row r="1104" spans="1:10" hidden="1">
      <c r="A1104" s="1263"/>
      <c r="B1104" s="1305"/>
      <c r="C1104" s="1275" t="s">
        <v>388</v>
      </c>
      <c r="D1104" s="1306"/>
      <c r="E1104" s="1307"/>
      <c r="F1104" s="1284"/>
      <c r="G1104" s="1301"/>
      <c r="H1104" s="1302"/>
      <c r="I1104" s="1308">
        <f>SUM(I1097:I1103)</f>
        <v>1089.96</v>
      </c>
      <c r="J1104" s="1205" t="s">
        <v>2322</v>
      </c>
    </row>
    <row r="1105" spans="1:10" ht="78.75" hidden="1">
      <c r="A1105" s="1295" t="s">
        <v>728</v>
      </c>
      <c r="B1105" s="1257">
        <v>14</v>
      </c>
      <c r="C1105" s="1270" t="s">
        <v>413</v>
      </c>
      <c r="D1105" s="1274"/>
      <c r="E1105" s="1265"/>
      <c r="F1105" s="1274"/>
      <c r="G1105" s="1265"/>
      <c r="H1105" s="1270"/>
      <c r="I1105" s="1270"/>
      <c r="J1105" s="1205" t="s">
        <v>2322</v>
      </c>
    </row>
    <row r="1106" spans="1:10" hidden="1">
      <c r="A1106" s="1257"/>
      <c r="B1106" s="1257"/>
      <c r="C1106" s="1309" t="s">
        <v>414</v>
      </c>
      <c r="D1106" s="1310"/>
      <c r="E1106" s="1311"/>
      <c r="F1106" s="1266"/>
      <c r="G1106" s="1311"/>
      <c r="H1106" s="1268"/>
      <c r="I1106" s="1269"/>
      <c r="J1106" s="1205" t="s">
        <v>2322</v>
      </c>
    </row>
    <row r="1107" spans="1:10" hidden="1">
      <c r="A1107" s="1257"/>
      <c r="B1107" s="1257"/>
      <c r="C1107" s="1281" t="s">
        <v>1662</v>
      </c>
      <c r="D1107" s="1264">
        <v>0.5</v>
      </c>
      <c r="E1107" s="1267" t="s">
        <v>325</v>
      </c>
      <c r="F1107" s="1266">
        <v>1</v>
      </c>
      <c r="G1107" s="1267" t="s">
        <v>115</v>
      </c>
      <c r="H1107" s="1268">
        <f>'MINI SSR 2022-23'!$H$17</f>
        <v>570</v>
      </c>
      <c r="I1107" s="1269">
        <f>SUM(D1107*H1107/F1107)</f>
        <v>285</v>
      </c>
      <c r="J1107" s="1205" t="s">
        <v>2322</v>
      </c>
    </row>
    <row r="1108" spans="1:10" hidden="1">
      <c r="A1108" s="1257"/>
      <c r="B1108" s="1257"/>
      <c r="C1108" s="1281" t="s">
        <v>700</v>
      </c>
      <c r="D1108" s="1264">
        <v>0.5</v>
      </c>
      <c r="E1108" s="1282" t="s">
        <v>27</v>
      </c>
      <c r="F1108" s="1266">
        <v>1</v>
      </c>
      <c r="G1108" s="1282" t="s">
        <v>27</v>
      </c>
      <c r="H1108" s="1268">
        <f>'MINI SSR 2022-23'!$H$18</f>
        <v>505</v>
      </c>
      <c r="I1108" s="1280">
        <f>SUM(D1108*H1108/F1108)</f>
        <v>252.5</v>
      </c>
      <c r="J1108" s="1205" t="s">
        <v>2322</v>
      </c>
    </row>
    <row r="1109" spans="1:10" hidden="1">
      <c r="A1109" s="1257"/>
      <c r="B1109" s="1257"/>
      <c r="C1109" s="1270" t="s">
        <v>106</v>
      </c>
      <c r="D1109" s="1264"/>
      <c r="E1109" s="1267"/>
      <c r="F1109" s="1266"/>
      <c r="G1109" s="1267"/>
      <c r="H1109" s="1268"/>
      <c r="I1109" s="1269"/>
      <c r="J1109" s="1205" t="s">
        <v>2322</v>
      </c>
    </row>
    <row r="1110" spans="1:10" hidden="1">
      <c r="A1110" s="1257"/>
      <c r="B1110" s="1257"/>
      <c r="C1110" s="1281" t="s">
        <v>729</v>
      </c>
      <c r="D1110" s="1264">
        <v>2.5</v>
      </c>
      <c r="E1110" s="1311" t="s">
        <v>385</v>
      </c>
      <c r="F1110" s="1266">
        <v>1</v>
      </c>
      <c r="G1110" s="1311" t="s">
        <v>385</v>
      </c>
      <c r="H1110" s="1268">
        <f>'MINI SSR 2022-23'!G128</f>
        <v>425</v>
      </c>
      <c r="I1110" s="1269">
        <f t="shared" ref="I1110:I1120" si="5">SUM(D1110*H1110/F1110)</f>
        <v>1062.5</v>
      </c>
      <c r="J1110" s="1205" t="s">
        <v>2322</v>
      </c>
    </row>
    <row r="1111" spans="1:10" hidden="1">
      <c r="A1111" s="1257"/>
      <c r="B1111" s="1257"/>
      <c r="C1111" s="1270" t="s">
        <v>730</v>
      </c>
      <c r="D1111" s="1264">
        <v>0.24</v>
      </c>
      <c r="E1111" s="1311" t="s">
        <v>141</v>
      </c>
      <c r="F1111" s="1266">
        <v>1</v>
      </c>
      <c r="G1111" s="1311" t="s">
        <v>4</v>
      </c>
      <c r="H1111" s="1268">
        <f>'MINI SSR 2022-23'!G129</f>
        <v>79</v>
      </c>
      <c r="I1111" s="1269">
        <f t="shared" si="5"/>
        <v>18.96</v>
      </c>
      <c r="J1111" s="1205" t="s">
        <v>2322</v>
      </c>
    </row>
    <row r="1112" spans="1:10" hidden="1">
      <c r="A1112" s="1257"/>
      <c r="B1112" s="1257"/>
      <c r="C1112" s="1270" t="s">
        <v>731</v>
      </c>
      <c r="D1112" s="1264">
        <v>0.83</v>
      </c>
      <c r="E1112" s="1311" t="s">
        <v>141</v>
      </c>
      <c r="F1112" s="1266">
        <v>1</v>
      </c>
      <c r="G1112" s="1311" t="s">
        <v>90</v>
      </c>
      <c r="H1112" s="1268">
        <f>'MINI SSR 2022-23'!G130</f>
        <v>79</v>
      </c>
      <c r="I1112" s="1269">
        <f t="shared" si="5"/>
        <v>65.569999999999993</v>
      </c>
      <c r="J1112" s="1205" t="s">
        <v>2322</v>
      </c>
    </row>
    <row r="1113" spans="1:10" hidden="1">
      <c r="A1113" s="1257"/>
      <c r="B1113" s="1257"/>
      <c r="C1113" s="1281" t="s">
        <v>732</v>
      </c>
      <c r="D1113" s="1264">
        <v>16</v>
      </c>
      <c r="E1113" s="1311" t="s">
        <v>325</v>
      </c>
      <c r="F1113" s="1266">
        <v>1</v>
      </c>
      <c r="G1113" s="1267" t="s">
        <v>115</v>
      </c>
      <c r="H1113" s="1268">
        <f>'MINI SSR 2022-23'!G131</f>
        <v>8</v>
      </c>
      <c r="I1113" s="1269">
        <f t="shared" si="5"/>
        <v>128</v>
      </c>
      <c r="J1113" s="1205" t="s">
        <v>2322</v>
      </c>
    </row>
    <row r="1114" spans="1:10" hidden="1">
      <c r="A1114" s="1257"/>
      <c r="B1114" s="1257"/>
      <c r="C1114" s="1281" t="s">
        <v>733</v>
      </c>
      <c r="D1114" s="1264">
        <v>2</v>
      </c>
      <c r="E1114" s="1311" t="s">
        <v>415</v>
      </c>
      <c r="F1114" s="1266">
        <v>1</v>
      </c>
      <c r="G1114" s="1311" t="s">
        <v>416</v>
      </c>
      <c r="H1114" s="1268">
        <f>'MINI SSR 2022-23'!G132</f>
        <v>14</v>
      </c>
      <c r="I1114" s="1269">
        <f t="shared" si="5"/>
        <v>28</v>
      </c>
      <c r="J1114" s="1205" t="s">
        <v>2322</v>
      </c>
    </row>
    <row r="1115" spans="1:10" hidden="1">
      <c r="A1115" s="1257"/>
      <c r="B1115" s="1257"/>
      <c r="C1115" s="1281" t="s">
        <v>734</v>
      </c>
      <c r="D1115" s="1264">
        <v>1</v>
      </c>
      <c r="E1115" s="1267" t="s">
        <v>115</v>
      </c>
      <c r="F1115" s="1266">
        <v>1</v>
      </c>
      <c r="G1115" s="1267" t="s">
        <v>115</v>
      </c>
      <c r="H1115" s="1268">
        <f>'MINI SSR 2022-23'!G133</f>
        <v>303</v>
      </c>
      <c r="I1115" s="1269">
        <f t="shared" si="5"/>
        <v>303</v>
      </c>
      <c r="J1115" s="1205" t="s">
        <v>2322</v>
      </c>
    </row>
    <row r="1116" spans="1:10" hidden="1">
      <c r="A1116" s="1257"/>
      <c r="B1116" s="1257"/>
      <c r="C1116" s="1281" t="s">
        <v>735</v>
      </c>
      <c r="D1116" s="1264">
        <v>1</v>
      </c>
      <c r="E1116" s="1311" t="s">
        <v>115</v>
      </c>
      <c r="F1116" s="1266">
        <v>1</v>
      </c>
      <c r="G1116" s="1311" t="s">
        <v>115</v>
      </c>
      <c r="H1116" s="1268">
        <f>'MINI SSR 2022-23'!G134</f>
        <v>157</v>
      </c>
      <c r="I1116" s="1269">
        <f t="shared" si="5"/>
        <v>157</v>
      </c>
      <c r="J1116" s="1205" t="s">
        <v>2322</v>
      </c>
    </row>
    <row r="1117" spans="1:10" hidden="1">
      <c r="A1117" s="1257"/>
      <c r="B1117" s="1257"/>
      <c r="C1117" s="1281" t="s">
        <v>736</v>
      </c>
      <c r="D1117" s="1264">
        <v>40</v>
      </c>
      <c r="E1117" s="1311" t="s">
        <v>4</v>
      </c>
      <c r="F1117" s="1266">
        <v>1</v>
      </c>
      <c r="G1117" s="1311" t="s">
        <v>4</v>
      </c>
      <c r="H1117" s="1268">
        <f>'MINI SSR 2022-23'!G135</f>
        <v>24</v>
      </c>
      <c r="I1117" s="1269">
        <f t="shared" si="5"/>
        <v>960</v>
      </c>
      <c r="J1117" s="1205" t="s">
        <v>2322</v>
      </c>
    </row>
    <row r="1118" spans="1:10" hidden="1">
      <c r="A1118" s="1257"/>
      <c r="B1118" s="1257"/>
      <c r="C1118" s="1281" t="s">
        <v>737</v>
      </c>
      <c r="D1118" s="1264">
        <v>20</v>
      </c>
      <c r="E1118" s="1311" t="s">
        <v>4</v>
      </c>
      <c r="F1118" s="1266">
        <v>1</v>
      </c>
      <c r="G1118" s="1311" t="s">
        <v>4</v>
      </c>
      <c r="H1118" s="1268">
        <f>'MINI SSR 2022-23'!G136</f>
        <v>19</v>
      </c>
      <c r="I1118" s="1269">
        <f t="shared" si="5"/>
        <v>380</v>
      </c>
      <c r="J1118" s="1205" t="s">
        <v>2322</v>
      </c>
    </row>
    <row r="1119" spans="1:10" ht="22.5" hidden="1">
      <c r="A1119" s="1257"/>
      <c r="B1119" s="1257"/>
      <c r="C1119" s="1270" t="s">
        <v>738</v>
      </c>
      <c r="D1119" s="1264">
        <v>0.65</v>
      </c>
      <c r="E1119" s="1267" t="s">
        <v>35</v>
      </c>
      <c r="F1119" s="1266">
        <v>1</v>
      </c>
      <c r="G1119" s="1267" t="s">
        <v>35</v>
      </c>
      <c r="H1119" s="1268">
        <f>'MINI SSR 2022-23'!G137</f>
        <v>303</v>
      </c>
      <c r="I1119" s="1269">
        <f t="shared" si="5"/>
        <v>196.95000000000002</v>
      </c>
      <c r="J1119" s="1205" t="s">
        <v>2322</v>
      </c>
    </row>
    <row r="1120" spans="1:10" ht="22.5" hidden="1">
      <c r="A1120" s="1257"/>
      <c r="B1120" s="1257"/>
      <c r="C1120" s="1270" t="s">
        <v>739</v>
      </c>
      <c r="D1120" s="1264">
        <v>0.65</v>
      </c>
      <c r="E1120" s="1267" t="s">
        <v>35</v>
      </c>
      <c r="F1120" s="1266">
        <v>1</v>
      </c>
      <c r="G1120" s="1267" t="s">
        <v>35</v>
      </c>
      <c r="H1120" s="1268">
        <f>'MINI SSR 2022-23'!G138</f>
        <v>303</v>
      </c>
      <c r="I1120" s="1269">
        <f t="shared" si="5"/>
        <v>196.95000000000002</v>
      </c>
      <c r="J1120" s="1205" t="s">
        <v>2322</v>
      </c>
    </row>
    <row r="1121" spans="1:10" ht="22.5" hidden="1">
      <c r="A1121" s="1257"/>
      <c r="B1121" s="1257"/>
      <c r="C1121" s="1270" t="s">
        <v>417</v>
      </c>
      <c r="D1121" s="1312">
        <v>0.25</v>
      </c>
      <c r="E1121" s="1311"/>
      <c r="F1121" s="1266"/>
      <c r="G1121" s="1311"/>
      <c r="H1121" s="1268">
        <f>I1119+I1120</f>
        <v>393.90000000000003</v>
      </c>
      <c r="I1121" s="1269">
        <f>SUM(H1121*D1121)</f>
        <v>98.475000000000009</v>
      </c>
      <c r="J1121" s="1205" t="s">
        <v>2322</v>
      </c>
    </row>
    <row r="1122" spans="1:10" hidden="1">
      <c r="A1122" s="1257"/>
      <c r="B1122" s="1257"/>
      <c r="C1122" s="1270" t="s">
        <v>418</v>
      </c>
      <c r="D1122" s="1264"/>
      <c r="E1122" s="1267"/>
      <c r="F1122" s="1266"/>
      <c r="G1122" s="1267"/>
      <c r="H1122" s="1268"/>
      <c r="I1122" s="1269">
        <v>9.52</v>
      </c>
      <c r="J1122" s="1205" t="s">
        <v>2322</v>
      </c>
    </row>
    <row r="1123" spans="1:10" hidden="1">
      <c r="A1123" s="1257"/>
      <c r="B1123" s="1257"/>
      <c r="C1123" s="1270" t="s">
        <v>405</v>
      </c>
      <c r="D1123" s="1264"/>
      <c r="E1123" s="1267"/>
      <c r="F1123" s="1266"/>
      <c r="G1123" s="1267"/>
      <c r="H1123" s="1268"/>
      <c r="I1123" s="1269">
        <f>SUM(I1107:I1122)</f>
        <v>4142.4250000000002</v>
      </c>
      <c r="J1123" s="1205" t="s">
        <v>2322</v>
      </c>
    </row>
    <row r="1124" spans="1:10" ht="106.5" hidden="1" customHeight="1">
      <c r="A1124" s="1295"/>
      <c r="B1124" s="1263">
        <v>28</v>
      </c>
      <c r="C1124" s="1270" t="s">
        <v>2261</v>
      </c>
      <c r="D1124" s="1274"/>
      <c r="E1124" s="1265"/>
      <c r="F1124" s="1274"/>
      <c r="G1124" s="1265"/>
      <c r="H1124" s="1270"/>
      <c r="I1124" s="1270"/>
      <c r="J1124" s="1205" t="s">
        <v>2322</v>
      </c>
    </row>
    <row r="1125" spans="1:10" hidden="1">
      <c r="A1125" s="1263"/>
      <c r="B1125" s="1257"/>
      <c r="C1125" s="1281" t="s">
        <v>2096</v>
      </c>
      <c r="D1125" s="1264">
        <v>1</v>
      </c>
      <c r="E1125" s="1282" t="s">
        <v>115</v>
      </c>
      <c r="F1125" s="1266">
        <v>1</v>
      </c>
      <c r="G1125" s="1282" t="s">
        <v>115</v>
      </c>
      <c r="H1125" s="1268">
        <f>'MINI SSR 2022-23'!G139</f>
        <v>1822</v>
      </c>
      <c r="I1125" s="1269">
        <f>SUM(D1125*H1125/F1125)</f>
        <v>1822</v>
      </c>
      <c r="J1125" s="1205" t="s">
        <v>2322</v>
      </c>
    </row>
    <row r="1126" spans="1:10" hidden="1">
      <c r="A1126" s="1263"/>
      <c r="B1126" s="1257"/>
      <c r="C1126" s="1270" t="s">
        <v>405</v>
      </c>
      <c r="D1126" s="1264"/>
      <c r="E1126" s="1265"/>
      <c r="F1126" s="1266"/>
      <c r="G1126" s="1267"/>
      <c r="H1126" s="1268"/>
      <c r="I1126" s="1269">
        <f>SUM(I1125:I1125)</f>
        <v>1822</v>
      </c>
      <c r="J1126" s="1205" t="s">
        <v>2322</v>
      </c>
    </row>
    <row r="1127" spans="1:10" ht="106.5" hidden="1" customHeight="1">
      <c r="A1127" s="1295"/>
      <c r="B1127" s="1263">
        <v>28</v>
      </c>
      <c r="C1127" s="1270" t="s">
        <v>2262</v>
      </c>
      <c r="D1127" s="1274"/>
      <c r="E1127" s="1265"/>
      <c r="F1127" s="1274"/>
      <c r="G1127" s="1265"/>
      <c r="H1127" s="1270"/>
      <c r="I1127" s="1270"/>
      <c r="J1127" s="1205" t="s">
        <v>2322</v>
      </c>
    </row>
    <row r="1128" spans="1:10" hidden="1">
      <c r="A1128" s="1263"/>
      <c r="B1128" s="1257"/>
      <c r="C1128" s="1281" t="s">
        <v>2269</v>
      </c>
      <c r="D1128" s="1264">
        <v>1</v>
      </c>
      <c r="E1128" s="1282" t="s">
        <v>115</v>
      </c>
      <c r="F1128" s="1266">
        <v>1</v>
      </c>
      <c r="G1128" s="1282" t="s">
        <v>115</v>
      </c>
      <c r="H1128" s="1268">
        <f>'MINI SSR 2022-23'!G140</f>
        <v>5428</v>
      </c>
      <c r="I1128" s="1269">
        <f>SUM(D1128*H1128/F1128)</f>
        <v>5428</v>
      </c>
      <c r="J1128" s="1205" t="s">
        <v>2322</v>
      </c>
    </row>
    <row r="1129" spans="1:10" hidden="1">
      <c r="A1129" s="1263"/>
      <c r="B1129" s="1257"/>
      <c r="C1129" s="1270" t="s">
        <v>405</v>
      </c>
      <c r="D1129" s="1264"/>
      <c r="E1129" s="1265"/>
      <c r="F1129" s="1266"/>
      <c r="G1129" s="1267"/>
      <c r="H1129" s="1268"/>
      <c r="I1129" s="1269">
        <f>SUM(I1128:I1128)</f>
        <v>5428</v>
      </c>
      <c r="J1129" s="1205" t="s">
        <v>2322</v>
      </c>
    </row>
    <row r="1132" spans="1:10">
      <c r="C1132" s="1261" t="str">
        <f>'lead 19-20'!H31</f>
        <v>Deputy Executive Engineer</v>
      </c>
      <c r="G1132" s="1261" t="str">
        <f>'lead 19-20'!K31</f>
        <v>Assistant  Engineer</v>
      </c>
    </row>
    <row r="1133" spans="1:10">
      <c r="C1133" s="1261" t="str">
        <f>'lead 19-20'!H32</f>
        <v>PRI Sub Division</v>
      </c>
      <c r="G1133" s="1261" t="str">
        <f>'lead 19-20'!K32</f>
        <v>Mandal Praja parishad</v>
      </c>
    </row>
    <row r="1134" spans="1:10">
      <c r="C1134" s="1261" t="str">
        <f>'lead 19-20'!H33</f>
        <v>Kanigiri</v>
      </c>
      <c r="G1134" s="1261" t="str">
        <f>'lead 19-20'!K33</f>
        <v>Kanigiri</v>
      </c>
    </row>
  </sheetData>
  <autoFilter ref="A3:I1129">
    <filterColumn colId="0">
      <colorFilter dxfId="1"/>
    </filterColumn>
    <filterColumn colId="3" showButton="0"/>
    <filterColumn colId="5" showButton="0"/>
  </autoFilter>
  <mergeCells count="5">
    <mergeCell ref="A1:I1"/>
    <mergeCell ref="D2:E2"/>
    <mergeCell ref="F2:G2"/>
    <mergeCell ref="D3:E3"/>
    <mergeCell ref="F3:G3"/>
  </mergeCells>
  <pageMargins left="0.7" right="0.4" top="0.49" bottom="0.27" header="0.3" footer="0.3"/>
  <pageSetup paperSize="9" scale="92" orientation="portrait" r:id="rId1"/>
</worksheet>
</file>

<file path=xl/worksheets/sheet25.xml><?xml version="1.0" encoding="utf-8"?>
<worksheet xmlns="http://schemas.openxmlformats.org/spreadsheetml/2006/main" xmlns:r="http://schemas.openxmlformats.org/officeDocument/2006/relationships">
  <sheetPr>
    <tabColor rgb="FF00B050"/>
  </sheetPr>
  <dimension ref="A1:F287"/>
  <sheetViews>
    <sheetView topLeftCell="A97" workbookViewId="0">
      <selection activeCell="F108" sqref="F108"/>
    </sheetView>
  </sheetViews>
  <sheetFormatPr defaultColWidth="9.140625" defaultRowHeight="15"/>
  <cols>
    <col min="1" max="1" width="9.140625" style="398"/>
    <col min="2" max="5" width="14.42578125" style="398" customWidth="1"/>
    <col min="6" max="6" width="11.7109375" style="398" customWidth="1"/>
    <col min="7" max="16384" width="9.140625" style="398"/>
  </cols>
  <sheetData>
    <row r="1" spans="1:6" ht="23.25">
      <c r="A1" s="1898" t="s">
        <v>2299</v>
      </c>
      <c r="B1" s="1898"/>
      <c r="C1" s="1898"/>
      <c r="D1" s="1898"/>
      <c r="E1" s="1898"/>
      <c r="F1" s="1898"/>
    </row>
    <row r="2" spans="1:6" ht="18">
      <c r="A2" s="399"/>
      <c r="B2" s="1899" t="s">
        <v>1642</v>
      </c>
      <c r="C2" s="1899"/>
      <c r="D2" s="1899"/>
      <c r="E2" s="399"/>
      <c r="F2" s="399"/>
    </row>
    <row r="3" spans="1:6" ht="15" customHeight="1">
      <c r="A3" s="1900" t="s">
        <v>253</v>
      </c>
      <c r="B3" s="400" t="s">
        <v>1643</v>
      </c>
      <c r="C3" s="400" t="s">
        <v>139</v>
      </c>
      <c r="D3" s="401" t="s">
        <v>1644</v>
      </c>
      <c r="E3" s="402" t="s">
        <v>1645</v>
      </c>
      <c r="F3" s="403"/>
    </row>
    <row r="4" spans="1:6" ht="42" customHeight="1">
      <c r="A4" s="1900"/>
      <c r="B4" s="404" t="s">
        <v>1646</v>
      </c>
      <c r="C4" s="404" t="s">
        <v>1646</v>
      </c>
      <c r="D4" s="404" t="s">
        <v>1646</v>
      </c>
      <c r="E4" s="405" t="s">
        <v>1647</v>
      </c>
      <c r="F4" s="406" t="s">
        <v>1648</v>
      </c>
    </row>
    <row r="5" spans="1:6">
      <c r="A5" s="407">
        <v>1</v>
      </c>
      <c r="B5" s="408">
        <v>2</v>
      </c>
      <c r="C5" s="407">
        <v>3</v>
      </c>
      <c r="D5" s="408">
        <v>4</v>
      </c>
      <c r="E5" s="407">
        <v>5</v>
      </c>
      <c r="F5" s="408">
        <v>6</v>
      </c>
    </row>
    <row r="6" spans="1:6" ht="18" customHeight="1">
      <c r="A6" s="409">
        <v>1</v>
      </c>
      <c r="B6" s="501">
        <v>28.3</v>
      </c>
      <c r="C6" s="501">
        <v>27.4</v>
      </c>
      <c r="D6" s="502">
        <v>45.7</v>
      </c>
      <c r="E6" s="410">
        <v>40.4</v>
      </c>
      <c r="F6" s="411"/>
    </row>
    <row r="7" spans="1:6" ht="18" customHeight="1">
      <c r="A7" s="409">
        <v>2</v>
      </c>
      <c r="B7" s="501">
        <v>39.5</v>
      </c>
      <c r="C7" s="501">
        <v>38.4</v>
      </c>
      <c r="D7" s="502">
        <v>64</v>
      </c>
      <c r="E7" s="410">
        <v>56.5</v>
      </c>
      <c r="F7" s="411"/>
    </row>
    <row r="8" spans="1:6" ht="18" customHeight="1">
      <c r="A8" s="409">
        <v>3</v>
      </c>
      <c r="B8" s="501">
        <v>52.7</v>
      </c>
      <c r="C8" s="501">
        <v>52.7</v>
      </c>
      <c r="D8" s="502">
        <v>85.4</v>
      </c>
      <c r="E8" s="410">
        <v>77.5</v>
      </c>
      <c r="F8" s="411"/>
    </row>
    <row r="9" spans="1:6" ht="18" customHeight="1">
      <c r="A9" s="409">
        <v>4</v>
      </c>
      <c r="B9" s="501">
        <v>64</v>
      </c>
      <c r="C9" s="501">
        <v>64</v>
      </c>
      <c r="D9" s="502">
        <v>103.6</v>
      </c>
      <c r="E9" s="410">
        <v>94.2</v>
      </c>
      <c r="F9" s="411"/>
    </row>
    <row r="10" spans="1:6" ht="18" customHeight="1">
      <c r="A10" s="412">
        <v>5</v>
      </c>
      <c r="B10" s="503">
        <v>75.3</v>
      </c>
      <c r="C10" s="503">
        <v>75.3</v>
      </c>
      <c r="D10" s="504">
        <v>121.9</v>
      </c>
      <c r="E10" s="410">
        <v>110.8</v>
      </c>
      <c r="F10" s="411"/>
    </row>
    <row r="11" spans="1:6" ht="18" customHeight="1">
      <c r="A11" s="409">
        <v>6</v>
      </c>
      <c r="B11" s="501">
        <f>B10+11.3</f>
        <v>86.6</v>
      </c>
      <c r="C11" s="501">
        <f>C10+11.3</f>
        <v>86.6</v>
      </c>
      <c r="D11" s="502">
        <f>D10+18.3</f>
        <v>140.20000000000002</v>
      </c>
      <c r="E11" s="502">
        <f>E10+16.6</f>
        <v>127.4</v>
      </c>
      <c r="F11" s="411"/>
    </row>
    <row r="12" spans="1:6" ht="18" customHeight="1">
      <c r="A12" s="409">
        <v>7</v>
      </c>
      <c r="B12" s="501">
        <f t="shared" ref="B12:C27" si="0">B11+11.3</f>
        <v>97.899999999999991</v>
      </c>
      <c r="C12" s="501">
        <f t="shared" si="0"/>
        <v>97.899999999999991</v>
      </c>
      <c r="D12" s="502">
        <f t="shared" ref="D12:D35" si="1">D11+18.3</f>
        <v>158.50000000000003</v>
      </c>
      <c r="E12" s="502">
        <f t="shared" ref="E12:E35" si="2">E11+16.6</f>
        <v>144</v>
      </c>
      <c r="F12" s="411"/>
    </row>
    <row r="13" spans="1:6" ht="18" customHeight="1">
      <c r="A13" s="409">
        <v>8</v>
      </c>
      <c r="B13" s="501">
        <f t="shared" si="0"/>
        <v>109.19999999999999</v>
      </c>
      <c r="C13" s="501">
        <f t="shared" si="0"/>
        <v>109.19999999999999</v>
      </c>
      <c r="D13" s="502">
        <f t="shared" si="1"/>
        <v>176.80000000000004</v>
      </c>
      <c r="E13" s="502">
        <f t="shared" si="2"/>
        <v>160.6</v>
      </c>
      <c r="F13" s="411"/>
    </row>
    <row r="14" spans="1:6" ht="18" customHeight="1">
      <c r="A14" s="409">
        <v>9</v>
      </c>
      <c r="B14" s="501">
        <f t="shared" si="0"/>
        <v>120.49999999999999</v>
      </c>
      <c r="C14" s="501">
        <f t="shared" si="0"/>
        <v>120.49999999999999</v>
      </c>
      <c r="D14" s="502">
        <f t="shared" si="1"/>
        <v>195.10000000000005</v>
      </c>
      <c r="E14" s="502">
        <f t="shared" si="2"/>
        <v>177.2</v>
      </c>
      <c r="F14" s="411"/>
    </row>
    <row r="15" spans="1:6" ht="18" customHeight="1">
      <c r="A15" s="409">
        <v>10</v>
      </c>
      <c r="B15" s="501">
        <f t="shared" si="0"/>
        <v>131.79999999999998</v>
      </c>
      <c r="C15" s="501">
        <f t="shared" si="0"/>
        <v>131.79999999999998</v>
      </c>
      <c r="D15" s="502">
        <f t="shared" si="1"/>
        <v>213.40000000000006</v>
      </c>
      <c r="E15" s="502">
        <f t="shared" si="2"/>
        <v>193.79999999999998</v>
      </c>
      <c r="F15" s="411"/>
    </row>
    <row r="16" spans="1:6" ht="18" customHeight="1">
      <c r="A16" s="409">
        <v>11</v>
      </c>
      <c r="B16" s="501">
        <f t="shared" si="0"/>
        <v>143.1</v>
      </c>
      <c r="C16" s="501">
        <f t="shared" si="0"/>
        <v>143.1</v>
      </c>
      <c r="D16" s="502">
        <f t="shared" si="1"/>
        <v>231.70000000000007</v>
      </c>
      <c r="E16" s="502">
        <f t="shared" si="2"/>
        <v>210.39999999999998</v>
      </c>
      <c r="F16" s="411"/>
    </row>
    <row r="17" spans="1:6" ht="18" customHeight="1">
      <c r="A17" s="409">
        <v>12</v>
      </c>
      <c r="B17" s="501">
        <f t="shared" si="0"/>
        <v>154.4</v>
      </c>
      <c r="C17" s="501">
        <f t="shared" si="0"/>
        <v>154.4</v>
      </c>
      <c r="D17" s="502">
        <f t="shared" si="1"/>
        <v>250.00000000000009</v>
      </c>
      <c r="E17" s="502">
        <f t="shared" si="2"/>
        <v>226.99999999999997</v>
      </c>
      <c r="F17" s="411"/>
    </row>
    <row r="18" spans="1:6" ht="18" customHeight="1">
      <c r="A18" s="409">
        <v>13</v>
      </c>
      <c r="B18" s="501">
        <f t="shared" si="0"/>
        <v>165.70000000000002</v>
      </c>
      <c r="C18" s="501">
        <f t="shared" si="0"/>
        <v>165.70000000000002</v>
      </c>
      <c r="D18" s="502">
        <f t="shared" si="1"/>
        <v>268.30000000000007</v>
      </c>
      <c r="E18" s="502">
        <f t="shared" si="2"/>
        <v>243.59999999999997</v>
      </c>
      <c r="F18" s="411"/>
    </row>
    <row r="19" spans="1:6" ht="18" customHeight="1">
      <c r="A19" s="409">
        <v>14</v>
      </c>
      <c r="B19" s="501">
        <f t="shared" si="0"/>
        <v>177.00000000000003</v>
      </c>
      <c r="C19" s="501">
        <f t="shared" si="0"/>
        <v>177.00000000000003</v>
      </c>
      <c r="D19" s="502">
        <f t="shared" si="1"/>
        <v>286.60000000000008</v>
      </c>
      <c r="E19" s="502">
        <f t="shared" si="2"/>
        <v>260.2</v>
      </c>
      <c r="F19" s="411"/>
    </row>
    <row r="20" spans="1:6" ht="18" customHeight="1">
      <c r="A20" s="409">
        <v>15</v>
      </c>
      <c r="B20" s="501">
        <f t="shared" si="0"/>
        <v>188.30000000000004</v>
      </c>
      <c r="C20" s="501">
        <f t="shared" si="0"/>
        <v>188.30000000000004</v>
      </c>
      <c r="D20" s="502">
        <f t="shared" si="1"/>
        <v>304.90000000000009</v>
      </c>
      <c r="E20" s="502">
        <f t="shared" si="2"/>
        <v>276.8</v>
      </c>
      <c r="F20" s="411"/>
    </row>
    <row r="21" spans="1:6" ht="18" customHeight="1">
      <c r="A21" s="409">
        <v>16</v>
      </c>
      <c r="B21" s="501">
        <f t="shared" si="0"/>
        <v>199.60000000000005</v>
      </c>
      <c r="C21" s="501">
        <f t="shared" si="0"/>
        <v>199.60000000000005</v>
      </c>
      <c r="D21" s="502">
        <f t="shared" si="1"/>
        <v>323.2000000000001</v>
      </c>
      <c r="E21" s="502">
        <f t="shared" si="2"/>
        <v>293.40000000000003</v>
      </c>
      <c r="F21" s="411"/>
    </row>
    <row r="22" spans="1:6" ht="18" customHeight="1">
      <c r="A22" s="409">
        <v>17</v>
      </c>
      <c r="B22" s="501">
        <f t="shared" si="0"/>
        <v>210.90000000000006</v>
      </c>
      <c r="C22" s="501">
        <f t="shared" si="0"/>
        <v>210.90000000000006</v>
      </c>
      <c r="D22" s="502">
        <f t="shared" si="1"/>
        <v>341.50000000000011</v>
      </c>
      <c r="E22" s="502">
        <f t="shared" si="2"/>
        <v>310.00000000000006</v>
      </c>
      <c r="F22" s="411"/>
    </row>
    <row r="23" spans="1:6" ht="18" customHeight="1">
      <c r="A23" s="409">
        <v>18</v>
      </c>
      <c r="B23" s="501">
        <f t="shared" si="0"/>
        <v>222.20000000000007</v>
      </c>
      <c r="C23" s="501">
        <f t="shared" si="0"/>
        <v>222.20000000000007</v>
      </c>
      <c r="D23" s="502">
        <f t="shared" si="1"/>
        <v>359.80000000000013</v>
      </c>
      <c r="E23" s="502">
        <f t="shared" si="2"/>
        <v>326.60000000000008</v>
      </c>
      <c r="F23" s="411"/>
    </row>
    <row r="24" spans="1:6" ht="18" customHeight="1">
      <c r="A24" s="409">
        <v>19</v>
      </c>
      <c r="B24" s="501">
        <f t="shared" si="0"/>
        <v>233.50000000000009</v>
      </c>
      <c r="C24" s="501">
        <f t="shared" si="0"/>
        <v>233.50000000000009</v>
      </c>
      <c r="D24" s="502">
        <f t="shared" si="1"/>
        <v>378.10000000000014</v>
      </c>
      <c r="E24" s="502">
        <f t="shared" si="2"/>
        <v>343.2000000000001</v>
      </c>
      <c r="F24" s="411"/>
    </row>
    <row r="25" spans="1:6" ht="18" customHeight="1">
      <c r="A25" s="409">
        <v>20</v>
      </c>
      <c r="B25" s="501">
        <f t="shared" si="0"/>
        <v>244.8000000000001</v>
      </c>
      <c r="C25" s="501">
        <f t="shared" si="0"/>
        <v>244.8000000000001</v>
      </c>
      <c r="D25" s="502">
        <f t="shared" si="1"/>
        <v>396.40000000000015</v>
      </c>
      <c r="E25" s="502">
        <f t="shared" si="2"/>
        <v>359.80000000000013</v>
      </c>
      <c r="F25" s="411"/>
    </row>
    <row r="26" spans="1:6" ht="18" customHeight="1">
      <c r="A26" s="409">
        <v>21</v>
      </c>
      <c r="B26" s="501">
        <f t="shared" si="0"/>
        <v>256.10000000000008</v>
      </c>
      <c r="C26" s="501">
        <f t="shared" si="0"/>
        <v>256.10000000000008</v>
      </c>
      <c r="D26" s="502">
        <f t="shared" si="1"/>
        <v>414.70000000000016</v>
      </c>
      <c r="E26" s="502">
        <f t="shared" si="2"/>
        <v>376.40000000000015</v>
      </c>
      <c r="F26" s="411"/>
    </row>
    <row r="27" spans="1:6" ht="18" customHeight="1">
      <c r="A27" s="409">
        <v>22</v>
      </c>
      <c r="B27" s="501">
        <f t="shared" si="0"/>
        <v>267.40000000000009</v>
      </c>
      <c r="C27" s="501">
        <f t="shared" si="0"/>
        <v>267.40000000000009</v>
      </c>
      <c r="D27" s="502">
        <f t="shared" si="1"/>
        <v>433.00000000000017</v>
      </c>
      <c r="E27" s="502">
        <f t="shared" si="2"/>
        <v>393.00000000000017</v>
      </c>
      <c r="F27" s="411"/>
    </row>
    <row r="28" spans="1:6" ht="18" customHeight="1">
      <c r="A28" s="409">
        <v>23</v>
      </c>
      <c r="B28" s="501">
        <f t="shared" ref="B28:C35" si="3">B27+11.3</f>
        <v>278.7000000000001</v>
      </c>
      <c r="C28" s="501">
        <f t="shared" si="3"/>
        <v>278.7000000000001</v>
      </c>
      <c r="D28" s="502">
        <f t="shared" si="1"/>
        <v>451.30000000000018</v>
      </c>
      <c r="E28" s="502">
        <f t="shared" si="2"/>
        <v>409.60000000000019</v>
      </c>
      <c r="F28" s="411"/>
    </row>
    <row r="29" spans="1:6" ht="18" customHeight="1">
      <c r="A29" s="409">
        <v>24</v>
      </c>
      <c r="B29" s="501">
        <f t="shared" si="3"/>
        <v>290.00000000000011</v>
      </c>
      <c r="C29" s="501">
        <f t="shared" si="3"/>
        <v>290.00000000000011</v>
      </c>
      <c r="D29" s="502">
        <f t="shared" si="1"/>
        <v>469.60000000000019</v>
      </c>
      <c r="E29" s="502">
        <f t="shared" si="2"/>
        <v>426.20000000000022</v>
      </c>
      <c r="F29" s="411"/>
    </row>
    <row r="30" spans="1:6" ht="18" customHeight="1">
      <c r="A30" s="409">
        <v>25</v>
      </c>
      <c r="B30" s="501">
        <f t="shared" si="3"/>
        <v>301.30000000000013</v>
      </c>
      <c r="C30" s="501">
        <f t="shared" si="3"/>
        <v>301.30000000000013</v>
      </c>
      <c r="D30" s="502">
        <f t="shared" si="1"/>
        <v>487.9000000000002</v>
      </c>
      <c r="E30" s="502">
        <f t="shared" si="2"/>
        <v>442.80000000000024</v>
      </c>
      <c r="F30" s="411"/>
    </row>
    <row r="31" spans="1:6" ht="18" customHeight="1">
      <c r="A31" s="409">
        <v>26</v>
      </c>
      <c r="B31" s="501">
        <f t="shared" si="3"/>
        <v>312.60000000000014</v>
      </c>
      <c r="C31" s="501">
        <f t="shared" si="3"/>
        <v>312.60000000000014</v>
      </c>
      <c r="D31" s="502">
        <f t="shared" si="1"/>
        <v>506.20000000000022</v>
      </c>
      <c r="E31" s="502">
        <f t="shared" si="2"/>
        <v>459.40000000000026</v>
      </c>
      <c r="F31" s="411"/>
    </row>
    <row r="32" spans="1:6" ht="18" customHeight="1">
      <c r="A32" s="409">
        <v>27</v>
      </c>
      <c r="B32" s="501">
        <f t="shared" si="3"/>
        <v>323.90000000000015</v>
      </c>
      <c r="C32" s="501">
        <f t="shared" si="3"/>
        <v>323.90000000000015</v>
      </c>
      <c r="D32" s="502">
        <f t="shared" si="1"/>
        <v>524.50000000000023</v>
      </c>
      <c r="E32" s="502">
        <f t="shared" si="2"/>
        <v>476.00000000000028</v>
      </c>
      <c r="F32" s="411"/>
    </row>
    <row r="33" spans="1:6" ht="18" customHeight="1">
      <c r="A33" s="409">
        <v>28</v>
      </c>
      <c r="B33" s="501">
        <f t="shared" si="3"/>
        <v>335.20000000000016</v>
      </c>
      <c r="C33" s="501">
        <f t="shared" si="3"/>
        <v>335.20000000000016</v>
      </c>
      <c r="D33" s="502">
        <f t="shared" si="1"/>
        <v>542.80000000000018</v>
      </c>
      <c r="E33" s="502">
        <f t="shared" si="2"/>
        <v>492.60000000000031</v>
      </c>
      <c r="F33" s="411"/>
    </row>
    <row r="34" spans="1:6" ht="18" customHeight="1">
      <c r="A34" s="409">
        <v>29</v>
      </c>
      <c r="B34" s="501">
        <f t="shared" si="3"/>
        <v>346.50000000000017</v>
      </c>
      <c r="C34" s="501">
        <f t="shared" si="3"/>
        <v>346.50000000000017</v>
      </c>
      <c r="D34" s="502">
        <f t="shared" si="1"/>
        <v>561.10000000000014</v>
      </c>
      <c r="E34" s="502">
        <f t="shared" si="2"/>
        <v>509.20000000000033</v>
      </c>
      <c r="F34" s="411"/>
    </row>
    <row r="35" spans="1:6" ht="18" customHeight="1">
      <c r="A35" s="409">
        <v>30</v>
      </c>
      <c r="B35" s="501">
        <f t="shared" si="3"/>
        <v>357.80000000000018</v>
      </c>
      <c r="C35" s="501">
        <f t="shared" si="3"/>
        <v>357.80000000000018</v>
      </c>
      <c r="D35" s="502">
        <f t="shared" si="1"/>
        <v>579.40000000000009</v>
      </c>
      <c r="E35" s="502">
        <f t="shared" si="2"/>
        <v>525.8000000000003</v>
      </c>
      <c r="F35" s="411"/>
    </row>
    <row r="36" spans="1:6" ht="18" customHeight="1">
      <c r="A36" s="409">
        <v>31</v>
      </c>
      <c r="B36" s="501">
        <f>B35+9.4</f>
        <v>367.20000000000016</v>
      </c>
      <c r="C36" s="501">
        <f>C35+9.4</f>
        <v>367.20000000000016</v>
      </c>
      <c r="D36" s="502">
        <f>D35+15.2</f>
        <v>594.60000000000014</v>
      </c>
      <c r="E36" s="502">
        <f>E35+13.9</f>
        <v>539.70000000000027</v>
      </c>
      <c r="F36" s="411"/>
    </row>
    <row r="37" spans="1:6" ht="18" customHeight="1">
      <c r="A37" s="409">
        <v>32</v>
      </c>
      <c r="B37" s="501">
        <f t="shared" ref="B37:C52" si="4">B36+9.4</f>
        <v>376.60000000000014</v>
      </c>
      <c r="C37" s="501">
        <f t="shared" si="4"/>
        <v>376.60000000000014</v>
      </c>
      <c r="D37" s="502">
        <f t="shared" ref="D37:D100" si="5">D36+15.2</f>
        <v>609.80000000000018</v>
      </c>
      <c r="E37" s="502">
        <f t="shared" ref="E37:E100" si="6">E36+13.9</f>
        <v>553.60000000000025</v>
      </c>
      <c r="F37" s="411"/>
    </row>
    <row r="38" spans="1:6" ht="18" customHeight="1">
      <c r="A38" s="409">
        <v>33</v>
      </c>
      <c r="B38" s="501">
        <f t="shared" si="4"/>
        <v>386.00000000000011</v>
      </c>
      <c r="C38" s="501">
        <f t="shared" si="4"/>
        <v>386.00000000000011</v>
      </c>
      <c r="D38" s="502">
        <f t="shared" si="5"/>
        <v>625.00000000000023</v>
      </c>
      <c r="E38" s="502">
        <f t="shared" si="6"/>
        <v>567.50000000000023</v>
      </c>
      <c r="F38" s="411"/>
    </row>
    <row r="39" spans="1:6" ht="18" customHeight="1">
      <c r="A39" s="409">
        <v>34</v>
      </c>
      <c r="B39" s="501">
        <f t="shared" si="4"/>
        <v>395.40000000000009</v>
      </c>
      <c r="C39" s="501">
        <f t="shared" si="4"/>
        <v>395.40000000000009</v>
      </c>
      <c r="D39" s="502">
        <f t="shared" si="5"/>
        <v>640.20000000000027</v>
      </c>
      <c r="E39" s="502">
        <f t="shared" si="6"/>
        <v>581.4000000000002</v>
      </c>
      <c r="F39" s="411"/>
    </row>
    <row r="40" spans="1:6" ht="18" customHeight="1">
      <c r="A40" s="409">
        <v>35</v>
      </c>
      <c r="B40" s="501">
        <f t="shared" si="4"/>
        <v>404.80000000000007</v>
      </c>
      <c r="C40" s="501">
        <f t="shared" si="4"/>
        <v>404.80000000000007</v>
      </c>
      <c r="D40" s="502">
        <f t="shared" si="5"/>
        <v>655.40000000000032</v>
      </c>
      <c r="E40" s="502">
        <f t="shared" si="6"/>
        <v>595.30000000000018</v>
      </c>
      <c r="F40" s="411"/>
    </row>
    <row r="41" spans="1:6" ht="18" customHeight="1">
      <c r="A41" s="409">
        <v>36</v>
      </c>
      <c r="B41" s="501">
        <f t="shared" si="4"/>
        <v>414.20000000000005</v>
      </c>
      <c r="C41" s="501">
        <f t="shared" si="4"/>
        <v>414.20000000000005</v>
      </c>
      <c r="D41" s="502">
        <f t="shared" si="5"/>
        <v>670.60000000000036</v>
      </c>
      <c r="E41" s="502">
        <f t="shared" si="6"/>
        <v>609.20000000000016</v>
      </c>
      <c r="F41" s="411"/>
    </row>
    <row r="42" spans="1:6" ht="18" customHeight="1">
      <c r="A42" s="409">
        <v>37</v>
      </c>
      <c r="B42" s="501">
        <f t="shared" si="4"/>
        <v>423.6</v>
      </c>
      <c r="C42" s="501">
        <f t="shared" si="4"/>
        <v>423.6</v>
      </c>
      <c r="D42" s="502">
        <f t="shared" si="5"/>
        <v>685.80000000000041</v>
      </c>
      <c r="E42" s="502">
        <f t="shared" si="6"/>
        <v>623.10000000000014</v>
      </c>
      <c r="F42" s="411"/>
    </row>
    <row r="43" spans="1:6" ht="18" customHeight="1">
      <c r="A43" s="409">
        <v>38</v>
      </c>
      <c r="B43" s="501">
        <f t="shared" si="4"/>
        <v>433</v>
      </c>
      <c r="C43" s="501">
        <f t="shared" si="4"/>
        <v>433</v>
      </c>
      <c r="D43" s="502">
        <f t="shared" si="5"/>
        <v>701.00000000000045</v>
      </c>
      <c r="E43" s="502">
        <f t="shared" si="6"/>
        <v>637.00000000000011</v>
      </c>
      <c r="F43" s="411"/>
    </row>
    <row r="44" spans="1:6" ht="18" customHeight="1">
      <c r="A44" s="409">
        <v>39</v>
      </c>
      <c r="B44" s="501">
        <f t="shared" si="4"/>
        <v>442.4</v>
      </c>
      <c r="C44" s="501">
        <f t="shared" si="4"/>
        <v>442.4</v>
      </c>
      <c r="D44" s="502">
        <f t="shared" si="5"/>
        <v>716.2000000000005</v>
      </c>
      <c r="E44" s="502">
        <f t="shared" si="6"/>
        <v>650.90000000000009</v>
      </c>
      <c r="F44" s="411"/>
    </row>
    <row r="45" spans="1:6" ht="18" customHeight="1">
      <c r="A45" s="409">
        <v>40</v>
      </c>
      <c r="B45" s="501">
        <f t="shared" si="4"/>
        <v>451.79999999999995</v>
      </c>
      <c r="C45" s="501">
        <f t="shared" si="4"/>
        <v>451.79999999999995</v>
      </c>
      <c r="D45" s="502">
        <f t="shared" si="5"/>
        <v>731.40000000000055</v>
      </c>
      <c r="E45" s="502">
        <f t="shared" si="6"/>
        <v>664.80000000000007</v>
      </c>
      <c r="F45" s="411"/>
    </row>
    <row r="46" spans="1:6" ht="18" customHeight="1">
      <c r="A46" s="409">
        <v>41</v>
      </c>
      <c r="B46" s="501">
        <f t="shared" si="4"/>
        <v>461.19999999999993</v>
      </c>
      <c r="C46" s="501">
        <f t="shared" si="4"/>
        <v>461.19999999999993</v>
      </c>
      <c r="D46" s="502">
        <f t="shared" si="5"/>
        <v>746.60000000000059</v>
      </c>
      <c r="E46" s="502">
        <f t="shared" si="6"/>
        <v>678.7</v>
      </c>
      <c r="F46" s="411"/>
    </row>
    <row r="47" spans="1:6" ht="18" customHeight="1">
      <c r="A47" s="409">
        <v>42</v>
      </c>
      <c r="B47" s="501">
        <f t="shared" si="4"/>
        <v>470.59999999999991</v>
      </c>
      <c r="C47" s="501">
        <f t="shared" si="4"/>
        <v>470.59999999999991</v>
      </c>
      <c r="D47" s="502">
        <f t="shared" si="5"/>
        <v>761.80000000000064</v>
      </c>
      <c r="E47" s="502">
        <f t="shared" si="6"/>
        <v>692.6</v>
      </c>
      <c r="F47" s="411"/>
    </row>
    <row r="48" spans="1:6" ht="18" customHeight="1">
      <c r="A48" s="409">
        <v>43</v>
      </c>
      <c r="B48" s="501">
        <f t="shared" si="4"/>
        <v>479.99999999999989</v>
      </c>
      <c r="C48" s="501">
        <f t="shared" si="4"/>
        <v>479.99999999999989</v>
      </c>
      <c r="D48" s="502">
        <f t="shared" si="5"/>
        <v>777.00000000000068</v>
      </c>
      <c r="E48" s="502">
        <f t="shared" si="6"/>
        <v>706.5</v>
      </c>
      <c r="F48" s="411"/>
    </row>
    <row r="49" spans="1:6" ht="18" customHeight="1">
      <c r="A49" s="409">
        <v>44</v>
      </c>
      <c r="B49" s="501">
        <f t="shared" si="4"/>
        <v>489.39999999999986</v>
      </c>
      <c r="C49" s="501">
        <f t="shared" si="4"/>
        <v>489.39999999999986</v>
      </c>
      <c r="D49" s="502">
        <f t="shared" si="5"/>
        <v>792.20000000000073</v>
      </c>
      <c r="E49" s="502">
        <f t="shared" si="6"/>
        <v>720.4</v>
      </c>
      <c r="F49" s="411"/>
    </row>
    <row r="50" spans="1:6" ht="18" customHeight="1">
      <c r="A50" s="409">
        <v>45</v>
      </c>
      <c r="B50" s="501">
        <f t="shared" si="4"/>
        <v>498.79999999999984</v>
      </c>
      <c r="C50" s="501">
        <f t="shared" si="4"/>
        <v>498.79999999999984</v>
      </c>
      <c r="D50" s="502">
        <f t="shared" si="5"/>
        <v>807.40000000000077</v>
      </c>
      <c r="E50" s="502">
        <f t="shared" si="6"/>
        <v>734.3</v>
      </c>
      <c r="F50" s="411"/>
    </row>
    <row r="51" spans="1:6" ht="18" customHeight="1">
      <c r="A51" s="409">
        <v>46</v>
      </c>
      <c r="B51" s="501">
        <f t="shared" si="4"/>
        <v>508.19999999999982</v>
      </c>
      <c r="C51" s="501">
        <f t="shared" si="4"/>
        <v>508.19999999999982</v>
      </c>
      <c r="D51" s="502">
        <f t="shared" si="5"/>
        <v>822.60000000000082</v>
      </c>
      <c r="E51" s="502">
        <f t="shared" si="6"/>
        <v>748.19999999999993</v>
      </c>
      <c r="F51" s="411"/>
    </row>
    <row r="52" spans="1:6" ht="18" customHeight="1">
      <c r="A52" s="409">
        <v>47</v>
      </c>
      <c r="B52" s="501">
        <f t="shared" si="4"/>
        <v>517.5999999999998</v>
      </c>
      <c r="C52" s="501">
        <f t="shared" si="4"/>
        <v>517.5999999999998</v>
      </c>
      <c r="D52" s="502">
        <f t="shared" si="5"/>
        <v>837.80000000000086</v>
      </c>
      <c r="E52" s="502">
        <f t="shared" si="6"/>
        <v>762.09999999999991</v>
      </c>
      <c r="F52" s="411"/>
    </row>
    <row r="53" spans="1:6" ht="18" customHeight="1">
      <c r="A53" s="409">
        <v>48</v>
      </c>
      <c r="B53" s="501">
        <f t="shared" ref="B53:C68" si="7">B52+9.4</f>
        <v>526.99999999999977</v>
      </c>
      <c r="C53" s="501">
        <f t="shared" si="7"/>
        <v>526.99999999999977</v>
      </c>
      <c r="D53" s="502">
        <f t="shared" si="5"/>
        <v>853.00000000000091</v>
      </c>
      <c r="E53" s="502">
        <f t="shared" si="6"/>
        <v>775.99999999999989</v>
      </c>
      <c r="F53" s="411"/>
    </row>
    <row r="54" spans="1:6" ht="18" customHeight="1">
      <c r="A54" s="409">
        <v>49</v>
      </c>
      <c r="B54" s="501">
        <f t="shared" si="7"/>
        <v>536.39999999999975</v>
      </c>
      <c r="C54" s="501">
        <f t="shared" si="7"/>
        <v>536.39999999999975</v>
      </c>
      <c r="D54" s="502">
        <f t="shared" si="5"/>
        <v>868.20000000000095</v>
      </c>
      <c r="E54" s="502">
        <f t="shared" si="6"/>
        <v>789.89999999999986</v>
      </c>
      <c r="F54" s="411"/>
    </row>
    <row r="55" spans="1:6" ht="18" customHeight="1">
      <c r="A55" s="413">
        <v>50</v>
      </c>
      <c r="B55" s="501">
        <f t="shared" si="7"/>
        <v>545.79999999999973</v>
      </c>
      <c r="C55" s="501">
        <f t="shared" si="7"/>
        <v>545.79999999999973</v>
      </c>
      <c r="D55" s="502">
        <f t="shared" si="5"/>
        <v>883.400000000001</v>
      </c>
      <c r="E55" s="502">
        <f t="shared" si="6"/>
        <v>803.79999999999984</v>
      </c>
      <c r="F55" s="411"/>
    </row>
    <row r="56" spans="1:6" ht="18" customHeight="1">
      <c r="A56" s="414">
        <v>51</v>
      </c>
      <c r="B56" s="501">
        <f t="shared" si="7"/>
        <v>555.1999999999997</v>
      </c>
      <c r="C56" s="501">
        <f t="shared" si="7"/>
        <v>555.1999999999997</v>
      </c>
      <c r="D56" s="502">
        <f t="shared" si="5"/>
        <v>898.60000000000105</v>
      </c>
      <c r="E56" s="502">
        <f t="shared" si="6"/>
        <v>817.69999999999982</v>
      </c>
      <c r="F56" s="411"/>
    </row>
    <row r="57" spans="1:6" ht="18" customHeight="1">
      <c r="A57" s="409">
        <v>52</v>
      </c>
      <c r="B57" s="501">
        <f t="shared" si="7"/>
        <v>564.59999999999968</v>
      </c>
      <c r="C57" s="501">
        <f t="shared" si="7"/>
        <v>564.59999999999968</v>
      </c>
      <c r="D57" s="502">
        <f t="shared" si="5"/>
        <v>913.80000000000109</v>
      </c>
      <c r="E57" s="502">
        <f t="shared" si="6"/>
        <v>831.5999999999998</v>
      </c>
      <c r="F57" s="411"/>
    </row>
    <row r="58" spans="1:6" ht="18" customHeight="1">
      <c r="A58" s="409">
        <v>53</v>
      </c>
      <c r="B58" s="501">
        <f t="shared" si="7"/>
        <v>573.99999999999966</v>
      </c>
      <c r="C58" s="501">
        <f t="shared" si="7"/>
        <v>573.99999999999966</v>
      </c>
      <c r="D58" s="502">
        <f t="shared" si="5"/>
        <v>929.00000000000114</v>
      </c>
      <c r="E58" s="502">
        <f t="shared" si="6"/>
        <v>845.49999999999977</v>
      </c>
      <c r="F58" s="411"/>
    </row>
    <row r="59" spans="1:6" ht="18" customHeight="1">
      <c r="A59" s="409">
        <v>54</v>
      </c>
      <c r="B59" s="501">
        <f t="shared" si="7"/>
        <v>583.39999999999964</v>
      </c>
      <c r="C59" s="501">
        <f t="shared" si="7"/>
        <v>583.39999999999964</v>
      </c>
      <c r="D59" s="502">
        <f t="shared" si="5"/>
        <v>944.20000000000118</v>
      </c>
      <c r="E59" s="502">
        <f t="shared" si="6"/>
        <v>859.39999999999975</v>
      </c>
      <c r="F59" s="411"/>
    </row>
    <row r="60" spans="1:6" ht="18" customHeight="1">
      <c r="A60" s="409">
        <v>55</v>
      </c>
      <c r="B60" s="501">
        <f t="shared" si="7"/>
        <v>592.79999999999961</v>
      </c>
      <c r="C60" s="501">
        <f t="shared" si="7"/>
        <v>592.79999999999961</v>
      </c>
      <c r="D60" s="502">
        <f t="shared" si="5"/>
        <v>959.40000000000123</v>
      </c>
      <c r="E60" s="502">
        <f t="shared" si="6"/>
        <v>873.29999999999973</v>
      </c>
      <c r="F60" s="411"/>
    </row>
    <row r="61" spans="1:6" ht="18" customHeight="1">
      <c r="A61" s="409">
        <v>56</v>
      </c>
      <c r="B61" s="501">
        <f t="shared" si="7"/>
        <v>602.19999999999959</v>
      </c>
      <c r="C61" s="501">
        <f t="shared" si="7"/>
        <v>602.19999999999959</v>
      </c>
      <c r="D61" s="502">
        <f t="shared" si="5"/>
        <v>974.60000000000127</v>
      </c>
      <c r="E61" s="502">
        <f t="shared" si="6"/>
        <v>887.1999999999997</v>
      </c>
      <c r="F61" s="411"/>
    </row>
    <row r="62" spans="1:6" ht="18" customHeight="1">
      <c r="A62" s="409">
        <v>57</v>
      </c>
      <c r="B62" s="501">
        <f t="shared" si="7"/>
        <v>611.59999999999957</v>
      </c>
      <c r="C62" s="501">
        <f t="shared" si="7"/>
        <v>611.59999999999957</v>
      </c>
      <c r="D62" s="502">
        <f t="shared" si="5"/>
        <v>989.80000000000132</v>
      </c>
      <c r="E62" s="502">
        <f t="shared" si="6"/>
        <v>901.09999999999968</v>
      </c>
      <c r="F62" s="411"/>
    </row>
    <row r="63" spans="1:6" ht="18" customHeight="1">
      <c r="A63" s="409">
        <v>58</v>
      </c>
      <c r="B63" s="501">
        <f t="shared" si="7"/>
        <v>620.99999999999955</v>
      </c>
      <c r="C63" s="501">
        <f t="shared" si="7"/>
        <v>620.99999999999955</v>
      </c>
      <c r="D63" s="502">
        <f t="shared" si="5"/>
        <v>1005.0000000000014</v>
      </c>
      <c r="E63" s="502">
        <f t="shared" si="6"/>
        <v>914.99999999999966</v>
      </c>
      <c r="F63" s="411"/>
    </row>
    <row r="64" spans="1:6" ht="18" customHeight="1">
      <c r="A64" s="409">
        <v>59</v>
      </c>
      <c r="B64" s="501">
        <f t="shared" si="7"/>
        <v>630.39999999999952</v>
      </c>
      <c r="C64" s="501">
        <f t="shared" si="7"/>
        <v>630.39999999999952</v>
      </c>
      <c r="D64" s="502">
        <f t="shared" si="5"/>
        <v>1020.2000000000014</v>
      </c>
      <c r="E64" s="502">
        <f t="shared" si="6"/>
        <v>928.89999999999964</v>
      </c>
      <c r="F64" s="411"/>
    </row>
    <row r="65" spans="1:6" ht="18" customHeight="1">
      <c r="A65" s="409">
        <v>60</v>
      </c>
      <c r="B65" s="501">
        <f t="shared" si="7"/>
        <v>639.7999999999995</v>
      </c>
      <c r="C65" s="501">
        <f t="shared" si="7"/>
        <v>639.7999999999995</v>
      </c>
      <c r="D65" s="502">
        <f t="shared" si="5"/>
        <v>1035.4000000000015</v>
      </c>
      <c r="E65" s="502">
        <f t="shared" si="6"/>
        <v>942.79999999999961</v>
      </c>
      <c r="F65" s="411"/>
    </row>
    <row r="66" spans="1:6" ht="18" customHeight="1">
      <c r="A66" s="409">
        <v>61</v>
      </c>
      <c r="B66" s="501">
        <f t="shared" si="7"/>
        <v>649.19999999999948</v>
      </c>
      <c r="C66" s="501">
        <f t="shared" si="7"/>
        <v>649.19999999999948</v>
      </c>
      <c r="D66" s="502">
        <f t="shared" si="5"/>
        <v>1050.6000000000015</v>
      </c>
      <c r="E66" s="502">
        <f t="shared" si="6"/>
        <v>956.69999999999959</v>
      </c>
      <c r="F66" s="411"/>
    </row>
    <row r="67" spans="1:6" ht="18" customHeight="1">
      <c r="A67" s="409">
        <v>62</v>
      </c>
      <c r="B67" s="501">
        <f t="shared" si="7"/>
        <v>658.59999999999945</v>
      </c>
      <c r="C67" s="501">
        <f t="shared" si="7"/>
        <v>658.59999999999945</v>
      </c>
      <c r="D67" s="502">
        <f t="shared" si="5"/>
        <v>1065.8000000000015</v>
      </c>
      <c r="E67" s="502">
        <f t="shared" si="6"/>
        <v>970.59999999999957</v>
      </c>
      <c r="F67" s="411"/>
    </row>
    <row r="68" spans="1:6" ht="18" customHeight="1">
      <c r="A68" s="409">
        <v>63</v>
      </c>
      <c r="B68" s="501">
        <f t="shared" si="7"/>
        <v>667.99999999999943</v>
      </c>
      <c r="C68" s="501">
        <f t="shared" si="7"/>
        <v>667.99999999999943</v>
      </c>
      <c r="D68" s="502">
        <f t="shared" si="5"/>
        <v>1081.0000000000016</v>
      </c>
      <c r="E68" s="502">
        <f t="shared" si="6"/>
        <v>984.49999999999955</v>
      </c>
      <c r="F68" s="411"/>
    </row>
    <row r="69" spans="1:6" ht="18" customHeight="1">
      <c r="A69" s="409">
        <v>64</v>
      </c>
      <c r="B69" s="501">
        <f t="shared" ref="B69:C84" si="8">B68+9.4</f>
        <v>677.39999999999941</v>
      </c>
      <c r="C69" s="501">
        <f t="shared" si="8"/>
        <v>677.39999999999941</v>
      </c>
      <c r="D69" s="502">
        <f t="shared" si="5"/>
        <v>1096.2000000000016</v>
      </c>
      <c r="E69" s="502">
        <f t="shared" si="6"/>
        <v>998.39999999999952</v>
      </c>
      <c r="F69" s="411"/>
    </row>
    <row r="70" spans="1:6" ht="18" customHeight="1">
      <c r="A70" s="409">
        <v>65</v>
      </c>
      <c r="B70" s="501">
        <f t="shared" si="8"/>
        <v>686.79999999999939</v>
      </c>
      <c r="C70" s="501">
        <f t="shared" si="8"/>
        <v>686.79999999999939</v>
      </c>
      <c r="D70" s="502">
        <f t="shared" si="5"/>
        <v>1111.4000000000017</v>
      </c>
      <c r="E70" s="502">
        <f t="shared" si="6"/>
        <v>1012.2999999999995</v>
      </c>
      <c r="F70" s="411"/>
    </row>
    <row r="71" spans="1:6" ht="18" customHeight="1">
      <c r="A71" s="409">
        <v>66</v>
      </c>
      <c r="B71" s="501">
        <f t="shared" si="8"/>
        <v>696.19999999999936</v>
      </c>
      <c r="C71" s="501">
        <f t="shared" si="8"/>
        <v>696.19999999999936</v>
      </c>
      <c r="D71" s="502">
        <f t="shared" si="5"/>
        <v>1126.6000000000017</v>
      </c>
      <c r="E71" s="502">
        <f t="shared" si="6"/>
        <v>1026.1999999999996</v>
      </c>
      <c r="F71" s="411"/>
    </row>
    <row r="72" spans="1:6" ht="18" customHeight="1">
      <c r="A72" s="409">
        <v>67</v>
      </c>
      <c r="B72" s="501">
        <f t="shared" si="8"/>
        <v>705.59999999999934</v>
      </c>
      <c r="C72" s="501">
        <f t="shared" si="8"/>
        <v>705.59999999999934</v>
      </c>
      <c r="D72" s="502">
        <f t="shared" si="5"/>
        <v>1141.8000000000018</v>
      </c>
      <c r="E72" s="502">
        <f t="shared" si="6"/>
        <v>1040.0999999999997</v>
      </c>
      <c r="F72" s="411"/>
    </row>
    <row r="73" spans="1:6" ht="18" customHeight="1">
      <c r="A73" s="409">
        <v>68</v>
      </c>
      <c r="B73" s="501">
        <f t="shared" si="8"/>
        <v>714.99999999999932</v>
      </c>
      <c r="C73" s="501">
        <f t="shared" si="8"/>
        <v>714.99999999999932</v>
      </c>
      <c r="D73" s="502">
        <f t="shared" si="5"/>
        <v>1157.0000000000018</v>
      </c>
      <c r="E73" s="502">
        <f t="shared" si="6"/>
        <v>1053.9999999999998</v>
      </c>
      <c r="F73" s="411"/>
    </row>
    <row r="74" spans="1:6" ht="18" customHeight="1">
      <c r="A74" s="409">
        <v>69</v>
      </c>
      <c r="B74" s="501">
        <f t="shared" si="8"/>
        <v>724.3999999999993</v>
      </c>
      <c r="C74" s="501">
        <f t="shared" si="8"/>
        <v>724.3999999999993</v>
      </c>
      <c r="D74" s="502">
        <f t="shared" si="5"/>
        <v>1172.2000000000019</v>
      </c>
      <c r="E74" s="502">
        <f t="shared" si="6"/>
        <v>1067.8999999999999</v>
      </c>
      <c r="F74" s="411"/>
    </row>
    <row r="75" spans="1:6" ht="18" customHeight="1">
      <c r="A75" s="409">
        <v>70</v>
      </c>
      <c r="B75" s="501">
        <f t="shared" si="8"/>
        <v>733.79999999999927</v>
      </c>
      <c r="C75" s="501">
        <f t="shared" si="8"/>
        <v>733.79999999999927</v>
      </c>
      <c r="D75" s="502">
        <f t="shared" si="5"/>
        <v>1187.4000000000019</v>
      </c>
      <c r="E75" s="502">
        <f t="shared" si="6"/>
        <v>1081.8</v>
      </c>
      <c r="F75" s="411"/>
    </row>
    <row r="76" spans="1:6" ht="18" customHeight="1">
      <c r="A76" s="409">
        <v>71</v>
      </c>
      <c r="B76" s="501">
        <f t="shared" si="8"/>
        <v>743.19999999999925</v>
      </c>
      <c r="C76" s="501">
        <f t="shared" si="8"/>
        <v>743.19999999999925</v>
      </c>
      <c r="D76" s="502">
        <f t="shared" si="5"/>
        <v>1202.600000000002</v>
      </c>
      <c r="E76" s="502">
        <f t="shared" si="6"/>
        <v>1095.7</v>
      </c>
      <c r="F76" s="411"/>
    </row>
    <row r="77" spans="1:6" ht="18" customHeight="1">
      <c r="A77" s="409">
        <v>72</v>
      </c>
      <c r="B77" s="501">
        <f t="shared" si="8"/>
        <v>752.59999999999923</v>
      </c>
      <c r="C77" s="501">
        <f t="shared" si="8"/>
        <v>752.59999999999923</v>
      </c>
      <c r="D77" s="502">
        <f t="shared" si="5"/>
        <v>1217.800000000002</v>
      </c>
      <c r="E77" s="502">
        <f t="shared" si="6"/>
        <v>1109.6000000000001</v>
      </c>
      <c r="F77" s="411"/>
    </row>
    <row r="78" spans="1:6" ht="18" customHeight="1">
      <c r="A78" s="409">
        <v>73</v>
      </c>
      <c r="B78" s="501">
        <f t="shared" si="8"/>
        <v>761.9999999999992</v>
      </c>
      <c r="C78" s="501">
        <f t="shared" si="8"/>
        <v>761.9999999999992</v>
      </c>
      <c r="D78" s="502">
        <f t="shared" si="5"/>
        <v>1233.000000000002</v>
      </c>
      <c r="E78" s="502">
        <f t="shared" si="6"/>
        <v>1123.5000000000002</v>
      </c>
      <c r="F78" s="411"/>
    </row>
    <row r="79" spans="1:6" ht="18" customHeight="1">
      <c r="A79" s="409">
        <v>74</v>
      </c>
      <c r="B79" s="501">
        <f t="shared" si="8"/>
        <v>771.39999999999918</v>
      </c>
      <c r="C79" s="501">
        <f t="shared" si="8"/>
        <v>771.39999999999918</v>
      </c>
      <c r="D79" s="502">
        <f t="shared" si="5"/>
        <v>1248.2000000000021</v>
      </c>
      <c r="E79" s="502">
        <f t="shared" si="6"/>
        <v>1137.4000000000003</v>
      </c>
      <c r="F79" s="411"/>
    </row>
    <row r="80" spans="1:6" ht="18" customHeight="1">
      <c r="A80" s="409">
        <v>75</v>
      </c>
      <c r="B80" s="501">
        <f t="shared" si="8"/>
        <v>780.79999999999916</v>
      </c>
      <c r="C80" s="501">
        <f t="shared" si="8"/>
        <v>780.79999999999916</v>
      </c>
      <c r="D80" s="502">
        <f t="shared" si="5"/>
        <v>1263.4000000000021</v>
      </c>
      <c r="E80" s="502">
        <f t="shared" si="6"/>
        <v>1151.3000000000004</v>
      </c>
      <c r="F80" s="411"/>
    </row>
    <row r="81" spans="1:6" ht="18" customHeight="1">
      <c r="A81" s="409">
        <v>76</v>
      </c>
      <c r="B81" s="501">
        <f t="shared" si="8"/>
        <v>790.19999999999914</v>
      </c>
      <c r="C81" s="501">
        <f t="shared" si="8"/>
        <v>790.19999999999914</v>
      </c>
      <c r="D81" s="502">
        <f t="shared" si="5"/>
        <v>1278.6000000000022</v>
      </c>
      <c r="E81" s="502">
        <f t="shared" si="6"/>
        <v>1165.2000000000005</v>
      </c>
      <c r="F81" s="411"/>
    </row>
    <row r="82" spans="1:6" ht="18" customHeight="1">
      <c r="A82" s="409">
        <v>77</v>
      </c>
      <c r="B82" s="501">
        <f t="shared" si="8"/>
        <v>799.59999999999911</v>
      </c>
      <c r="C82" s="501">
        <f t="shared" si="8"/>
        <v>799.59999999999911</v>
      </c>
      <c r="D82" s="502">
        <f t="shared" si="5"/>
        <v>1293.8000000000022</v>
      </c>
      <c r="E82" s="502">
        <f t="shared" si="6"/>
        <v>1179.1000000000006</v>
      </c>
      <c r="F82" s="411"/>
    </row>
    <row r="83" spans="1:6" ht="18" customHeight="1">
      <c r="A83" s="409">
        <v>78</v>
      </c>
      <c r="B83" s="501">
        <f t="shared" si="8"/>
        <v>808.99999999999909</v>
      </c>
      <c r="C83" s="501">
        <f t="shared" si="8"/>
        <v>808.99999999999909</v>
      </c>
      <c r="D83" s="502">
        <f t="shared" si="5"/>
        <v>1309.0000000000023</v>
      </c>
      <c r="E83" s="502">
        <f t="shared" si="6"/>
        <v>1193.0000000000007</v>
      </c>
      <c r="F83" s="411"/>
    </row>
    <row r="84" spans="1:6" ht="18" customHeight="1">
      <c r="A84" s="409">
        <v>79</v>
      </c>
      <c r="B84" s="501">
        <f t="shared" si="8"/>
        <v>818.39999999999907</v>
      </c>
      <c r="C84" s="501">
        <f t="shared" si="8"/>
        <v>818.39999999999907</v>
      </c>
      <c r="D84" s="502">
        <f t="shared" si="5"/>
        <v>1324.2000000000023</v>
      </c>
      <c r="E84" s="502">
        <f t="shared" si="6"/>
        <v>1206.9000000000008</v>
      </c>
      <c r="F84" s="411"/>
    </row>
    <row r="85" spans="1:6" ht="18" customHeight="1">
      <c r="A85" s="409">
        <v>80</v>
      </c>
      <c r="B85" s="501">
        <f t="shared" ref="B85:C100" si="9">B84+9.4</f>
        <v>827.79999999999905</v>
      </c>
      <c r="C85" s="501">
        <f t="shared" si="9"/>
        <v>827.79999999999905</v>
      </c>
      <c r="D85" s="502">
        <f t="shared" si="5"/>
        <v>1339.4000000000024</v>
      </c>
      <c r="E85" s="502">
        <f t="shared" si="6"/>
        <v>1220.8000000000009</v>
      </c>
      <c r="F85" s="411"/>
    </row>
    <row r="86" spans="1:6" ht="18" customHeight="1">
      <c r="A86" s="409">
        <v>81</v>
      </c>
      <c r="B86" s="501">
        <f t="shared" si="9"/>
        <v>837.19999999999902</v>
      </c>
      <c r="C86" s="501">
        <f t="shared" si="9"/>
        <v>837.19999999999902</v>
      </c>
      <c r="D86" s="502">
        <f t="shared" si="5"/>
        <v>1354.6000000000024</v>
      </c>
      <c r="E86" s="502">
        <f t="shared" si="6"/>
        <v>1234.700000000001</v>
      </c>
      <c r="F86" s="411"/>
    </row>
    <row r="87" spans="1:6" ht="18" customHeight="1">
      <c r="A87" s="409">
        <v>82</v>
      </c>
      <c r="B87" s="501">
        <f t="shared" si="9"/>
        <v>846.599999999999</v>
      </c>
      <c r="C87" s="501">
        <f t="shared" si="9"/>
        <v>846.599999999999</v>
      </c>
      <c r="D87" s="502">
        <f t="shared" si="5"/>
        <v>1369.8000000000025</v>
      </c>
      <c r="E87" s="502">
        <f t="shared" si="6"/>
        <v>1248.600000000001</v>
      </c>
      <c r="F87" s="411"/>
    </row>
    <row r="88" spans="1:6" ht="18" customHeight="1">
      <c r="A88" s="409">
        <v>83</v>
      </c>
      <c r="B88" s="501">
        <f t="shared" si="9"/>
        <v>855.99999999999898</v>
      </c>
      <c r="C88" s="501">
        <f t="shared" si="9"/>
        <v>855.99999999999898</v>
      </c>
      <c r="D88" s="502">
        <f t="shared" si="5"/>
        <v>1385.0000000000025</v>
      </c>
      <c r="E88" s="502">
        <f t="shared" si="6"/>
        <v>1262.5000000000011</v>
      </c>
      <c r="F88" s="411"/>
    </row>
    <row r="89" spans="1:6" ht="18" customHeight="1">
      <c r="A89" s="409">
        <v>84</v>
      </c>
      <c r="B89" s="501">
        <f t="shared" si="9"/>
        <v>865.39999999999895</v>
      </c>
      <c r="C89" s="501">
        <f t="shared" si="9"/>
        <v>865.39999999999895</v>
      </c>
      <c r="D89" s="502">
        <f t="shared" si="5"/>
        <v>1400.2000000000025</v>
      </c>
      <c r="E89" s="502">
        <f t="shared" si="6"/>
        <v>1276.4000000000012</v>
      </c>
      <c r="F89" s="411"/>
    </row>
    <row r="90" spans="1:6" ht="18" customHeight="1">
      <c r="A90" s="409">
        <v>85</v>
      </c>
      <c r="B90" s="501">
        <f t="shared" si="9"/>
        <v>874.79999999999893</v>
      </c>
      <c r="C90" s="501">
        <f t="shared" si="9"/>
        <v>874.79999999999893</v>
      </c>
      <c r="D90" s="502">
        <f t="shared" si="5"/>
        <v>1415.4000000000026</v>
      </c>
      <c r="E90" s="502">
        <f t="shared" si="6"/>
        <v>1290.3000000000013</v>
      </c>
      <c r="F90" s="411"/>
    </row>
    <row r="91" spans="1:6" ht="18" customHeight="1">
      <c r="A91" s="409">
        <v>86</v>
      </c>
      <c r="B91" s="501">
        <f t="shared" si="9"/>
        <v>884.19999999999891</v>
      </c>
      <c r="C91" s="501">
        <f t="shared" si="9"/>
        <v>884.19999999999891</v>
      </c>
      <c r="D91" s="502">
        <f t="shared" si="5"/>
        <v>1430.6000000000026</v>
      </c>
      <c r="E91" s="502">
        <f t="shared" si="6"/>
        <v>1304.2000000000014</v>
      </c>
      <c r="F91" s="411"/>
    </row>
    <row r="92" spans="1:6" ht="18" customHeight="1">
      <c r="A92" s="409">
        <v>87</v>
      </c>
      <c r="B92" s="501">
        <f t="shared" si="9"/>
        <v>893.59999999999889</v>
      </c>
      <c r="C92" s="501">
        <f t="shared" si="9"/>
        <v>893.59999999999889</v>
      </c>
      <c r="D92" s="502">
        <f t="shared" si="5"/>
        <v>1445.8000000000027</v>
      </c>
      <c r="E92" s="502">
        <f t="shared" si="6"/>
        <v>1318.1000000000015</v>
      </c>
      <c r="F92" s="411"/>
    </row>
    <row r="93" spans="1:6" ht="18" customHeight="1">
      <c r="A93" s="409">
        <v>88</v>
      </c>
      <c r="B93" s="501">
        <f t="shared" si="9"/>
        <v>902.99999999999886</v>
      </c>
      <c r="C93" s="501">
        <f t="shared" si="9"/>
        <v>902.99999999999886</v>
      </c>
      <c r="D93" s="502">
        <f t="shared" si="5"/>
        <v>1461.0000000000027</v>
      </c>
      <c r="E93" s="502">
        <f t="shared" si="6"/>
        <v>1332.0000000000016</v>
      </c>
      <c r="F93" s="411"/>
    </row>
    <row r="94" spans="1:6" ht="18" customHeight="1">
      <c r="A94" s="409">
        <v>89</v>
      </c>
      <c r="B94" s="501">
        <f t="shared" si="9"/>
        <v>912.39999999999884</v>
      </c>
      <c r="C94" s="501">
        <f t="shared" si="9"/>
        <v>912.39999999999884</v>
      </c>
      <c r="D94" s="502">
        <f t="shared" si="5"/>
        <v>1476.2000000000028</v>
      </c>
      <c r="E94" s="502">
        <f t="shared" si="6"/>
        <v>1345.9000000000017</v>
      </c>
      <c r="F94" s="411"/>
    </row>
    <row r="95" spans="1:6" ht="18" customHeight="1">
      <c r="A95" s="409">
        <v>90</v>
      </c>
      <c r="B95" s="501">
        <f t="shared" si="9"/>
        <v>921.79999999999882</v>
      </c>
      <c r="C95" s="501">
        <f t="shared" si="9"/>
        <v>921.79999999999882</v>
      </c>
      <c r="D95" s="502">
        <f t="shared" si="5"/>
        <v>1491.4000000000028</v>
      </c>
      <c r="E95" s="502">
        <f t="shared" si="6"/>
        <v>1359.8000000000018</v>
      </c>
      <c r="F95" s="411"/>
    </row>
    <row r="96" spans="1:6" ht="18" customHeight="1">
      <c r="A96" s="409">
        <v>91</v>
      </c>
      <c r="B96" s="501">
        <f t="shared" si="9"/>
        <v>931.19999999999879</v>
      </c>
      <c r="C96" s="501">
        <f t="shared" si="9"/>
        <v>931.19999999999879</v>
      </c>
      <c r="D96" s="502">
        <f t="shared" si="5"/>
        <v>1506.6000000000029</v>
      </c>
      <c r="E96" s="502">
        <f t="shared" si="6"/>
        <v>1373.7000000000019</v>
      </c>
      <c r="F96" s="411"/>
    </row>
    <row r="97" spans="1:6" ht="18" customHeight="1">
      <c r="A97" s="409">
        <v>92</v>
      </c>
      <c r="B97" s="501">
        <f t="shared" si="9"/>
        <v>940.59999999999877</v>
      </c>
      <c r="C97" s="501">
        <f t="shared" si="9"/>
        <v>940.59999999999877</v>
      </c>
      <c r="D97" s="502">
        <f t="shared" si="5"/>
        <v>1521.8000000000029</v>
      </c>
      <c r="E97" s="502">
        <f t="shared" si="6"/>
        <v>1387.600000000002</v>
      </c>
      <c r="F97" s="411"/>
    </row>
    <row r="98" spans="1:6" ht="18" customHeight="1">
      <c r="A98" s="409">
        <v>93</v>
      </c>
      <c r="B98" s="501">
        <f t="shared" si="9"/>
        <v>949.99999999999875</v>
      </c>
      <c r="C98" s="501">
        <f t="shared" si="9"/>
        <v>949.99999999999875</v>
      </c>
      <c r="D98" s="502">
        <f t="shared" si="5"/>
        <v>1537.000000000003</v>
      </c>
      <c r="E98" s="502">
        <f t="shared" si="6"/>
        <v>1401.500000000002</v>
      </c>
      <c r="F98" s="411"/>
    </row>
    <row r="99" spans="1:6" ht="18" customHeight="1">
      <c r="A99" s="409">
        <v>94</v>
      </c>
      <c r="B99" s="501">
        <f t="shared" si="9"/>
        <v>959.39999999999873</v>
      </c>
      <c r="C99" s="501">
        <f t="shared" si="9"/>
        <v>959.39999999999873</v>
      </c>
      <c r="D99" s="502">
        <f t="shared" si="5"/>
        <v>1552.200000000003</v>
      </c>
      <c r="E99" s="502">
        <f t="shared" si="6"/>
        <v>1415.4000000000021</v>
      </c>
      <c r="F99" s="411"/>
    </row>
    <row r="100" spans="1:6" ht="18" customHeight="1">
      <c r="A100" s="409">
        <v>95</v>
      </c>
      <c r="B100" s="501">
        <f t="shared" si="9"/>
        <v>968.7999999999987</v>
      </c>
      <c r="C100" s="501">
        <f t="shared" si="9"/>
        <v>968.7999999999987</v>
      </c>
      <c r="D100" s="502">
        <f t="shared" si="5"/>
        <v>1567.400000000003</v>
      </c>
      <c r="E100" s="502">
        <f t="shared" si="6"/>
        <v>1429.3000000000022</v>
      </c>
      <c r="F100" s="411"/>
    </row>
    <row r="101" spans="1:6" ht="18" customHeight="1">
      <c r="A101" s="409">
        <v>96</v>
      </c>
      <c r="B101" s="501">
        <f t="shared" ref="B101:C116" si="10">B100+9.4</f>
        <v>978.19999999999868</v>
      </c>
      <c r="C101" s="501">
        <f t="shared" si="10"/>
        <v>978.19999999999868</v>
      </c>
      <c r="D101" s="502">
        <f t="shared" ref="D101:D164" si="11">D100+15.2</f>
        <v>1582.6000000000031</v>
      </c>
      <c r="E101" s="502">
        <f t="shared" ref="E101:E164" si="12">E100+13.9</f>
        <v>1443.2000000000023</v>
      </c>
      <c r="F101" s="411"/>
    </row>
    <row r="102" spans="1:6" ht="18" customHeight="1">
      <c r="A102" s="409">
        <v>97</v>
      </c>
      <c r="B102" s="501">
        <f t="shared" si="10"/>
        <v>987.59999999999866</v>
      </c>
      <c r="C102" s="501">
        <f t="shared" si="10"/>
        <v>987.59999999999866</v>
      </c>
      <c r="D102" s="502">
        <f t="shared" si="11"/>
        <v>1597.8000000000031</v>
      </c>
      <c r="E102" s="502">
        <f t="shared" si="12"/>
        <v>1457.1000000000024</v>
      </c>
      <c r="F102" s="411"/>
    </row>
    <row r="103" spans="1:6" ht="18" customHeight="1">
      <c r="A103" s="409">
        <v>98</v>
      </c>
      <c r="B103" s="501">
        <f t="shared" si="10"/>
        <v>996.99999999999864</v>
      </c>
      <c r="C103" s="501">
        <f t="shared" si="10"/>
        <v>996.99999999999864</v>
      </c>
      <c r="D103" s="502">
        <f t="shared" si="11"/>
        <v>1613.0000000000032</v>
      </c>
      <c r="E103" s="502">
        <f t="shared" si="12"/>
        <v>1471.0000000000025</v>
      </c>
      <c r="F103" s="411"/>
    </row>
    <row r="104" spans="1:6" ht="18" customHeight="1">
      <c r="A104" s="409">
        <v>99</v>
      </c>
      <c r="B104" s="501">
        <f t="shared" si="10"/>
        <v>1006.3999999999986</v>
      </c>
      <c r="C104" s="501">
        <f t="shared" si="10"/>
        <v>1006.3999999999986</v>
      </c>
      <c r="D104" s="502">
        <f t="shared" si="11"/>
        <v>1628.2000000000032</v>
      </c>
      <c r="E104" s="502">
        <f t="shared" si="12"/>
        <v>1484.9000000000026</v>
      </c>
      <c r="F104" s="411"/>
    </row>
    <row r="105" spans="1:6" ht="18" customHeight="1">
      <c r="A105" s="409">
        <v>100</v>
      </c>
      <c r="B105" s="501">
        <f t="shared" si="10"/>
        <v>1015.7999999999986</v>
      </c>
      <c r="C105" s="501">
        <f t="shared" si="10"/>
        <v>1015.7999999999986</v>
      </c>
      <c r="D105" s="502">
        <f t="shared" si="11"/>
        <v>1643.4000000000033</v>
      </c>
      <c r="E105" s="502">
        <f t="shared" si="12"/>
        <v>1498.8000000000027</v>
      </c>
      <c r="F105" s="411"/>
    </row>
    <row r="106" spans="1:6" ht="18" customHeight="1">
      <c r="A106" s="409">
        <v>101</v>
      </c>
      <c r="B106" s="501">
        <f t="shared" si="10"/>
        <v>1025.1999999999987</v>
      </c>
      <c r="C106" s="501">
        <f t="shared" si="10"/>
        <v>1025.1999999999987</v>
      </c>
      <c r="D106" s="502">
        <f t="shared" si="11"/>
        <v>1658.6000000000033</v>
      </c>
      <c r="E106" s="502">
        <f t="shared" si="12"/>
        <v>1512.7000000000028</v>
      </c>
      <c r="F106" s="411"/>
    </row>
    <row r="107" spans="1:6" ht="18" customHeight="1">
      <c r="A107" s="409">
        <v>102</v>
      </c>
      <c r="B107" s="501">
        <f t="shared" si="10"/>
        <v>1034.5999999999988</v>
      </c>
      <c r="C107" s="501">
        <f t="shared" si="10"/>
        <v>1034.5999999999988</v>
      </c>
      <c r="D107" s="502">
        <f t="shared" si="11"/>
        <v>1673.8000000000034</v>
      </c>
      <c r="E107" s="502">
        <f t="shared" si="12"/>
        <v>1526.6000000000029</v>
      </c>
      <c r="F107" s="411"/>
    </row>
    <row r="108" spans="1:6" ht="18" customHeight="1">
      <c r="A108" s="409">
        <v>103</v>
      </c>
      <c r="B108" s="501">
        <f t="shared" si="10"/>
        <v>1043.9999999999989</v>
      </c>
      <c r="C108" s="501">
        <f t="shared" si="10"/>
        <v>1043.9999999999989</v>
      </c>
      <c r="D108" s="502">
        <f t="shared" si="11"/>
        <v>1689.0000000000034</v>
      </c>
      <c r="E108" s="502">
        <f t="shared" si="12"/>
        <v>1540.500000000003</v>
      </c>
      <c r="F108" s="411"/>
    </row>
    <row r="109" spans="1:6" ht="18" customHeight="1">
      <c r="A109" s="409">
        <v>104</v>
      </c>
      <c r="B109" s="501">
        <f t="shared" si="10"/>
        <v>1053.399999999999</v>
      </c>
      <c r="C109" s="501">
        <f t="shared" si="10"/>
        <v>1053.399999999999</v>
      </c>
      <c r="D109" s="502">
        <f t="shared" si="11"/>
        <v>1704.2000000000035</v>
      </c>
      <c r="E109" s="502">
        <f t="shared" si="12"/>
        <v>1554.400000000003</v>
      </c>
      <c r="F109" s="411"/>
    </row>
    <row r="110" spans="1:6" ht="18" customHeight="1">
      <c r="A110" s="409">
        <v>105</v>
      </c>
      <c r="B110" s="501">
        <f t="shared" si="10"/>
        <v>1062.799999999999</v>
      </c>
      <c r="C110" s="501">
        <f t="shared" si="10"/>
        <v>1062.799999999999</v>
      </c>
      <c r="D110" s="502">
        <f t="shared" si="11"/>
        <v>1719.4000000000035</v>
      </c>
      <c r="E110" s="502">
        <f t="shared" si="12"/>
        <v>1568.3000000000031</v>
      </c>
      <c r="F110" s="411"/>
    </row>
    <row r="111" spans="1:6" ht="18" customHeight="1">
      <c r="A111" s="409">
        <v>106</v>
      </c>
      <c r="B111" s="501">
        <f t="shared" si="10"/>
        <v>1072.1999999999991</v>
      </c>
      <c r="C111" s="501">
        <f t="shared" si="10"/>
        <v>1072.1999999999991</v>
      </c>
      <c r="D111" s="502">
        <f t="shared" si="11"/>
        <v>1734.6000000000035</v>
      </c>
      <c r="E111" s="502">
        <f t="shared" si="12"/>
        <v>1582.2000000000032</v>
      </c>
      <c r="F111" s="411"/>
    </row>
    <row r="112" spans="1:6" ht="18" customHeight="1">
      <c r="A112" s="409">
        <v>107</v>
      </c>
      <c r="B112" s="501">
        <f t="shared" si="10"/>
        <v>1081.5999999999992</v>
      </c>
      <c r="C112" s="501">
        <f t="shared" si="10"/>
        <v>1081.5999999999992</v>
      </c>
      <c r="D112" s="502">
        <f t="shared" si="11"/>
        <v>1749.8000000000036</v>
      </c>
      <c r="E112" s="502">
        <f t="shared" si="12"/>
        <v>1596.1000000000033</v>
      </c>
      <c r="F112" s="411"/>
    </row>
    <row r="113" spans="1:6" ht="18" customHeight="1">
      <c r="A113" s="409">
        <v>108</v>
      </c>
      <c r="B113" s="501">
        <f t="shared" si="10"/>
        <v>1090.9999999999993</v>
      </c>
      <c r="C113" s="501">
        <f t="shared" si="10"/>
        <v>1090.9999999999993</v>
      </c>
      <c r="D113" s="502">
        <f t="shared" si="11"/>
        <v>1765.0000000000036</v>
      </c>
      <c r="E113" s="502">
        <f t="shared" si="12"/>
        <v>1610.0000000000034</v>
      </c>
      <c r="F113" s="411"/>
    </row>
    <row r="114" spans="1:6" ht="18" customHeight="1">
      <c r="A114" s="409">
        <v>109</v>
      </c>
      <c r="B114" s="501">
        <f t="shared" si="10"/>
        <v>1100.3999999999994</v>
      </c>
      <c r="C114" s="501">
        <f t="shared" si="10"/>
        <v>1100.3999999999994</v>
      </c>
      <c r="D114" s="502">
        <f t="shared" si="11"/>
        <v>1780.2000000000037</v>
      </c>
      <c r="E114" s="502">
        <f t="shared" si="12"/>
        <v>1623.9000000000035</v>
      </c>
      <c r="F114" s="411"/>
    </row>
    <row r="115" spans="1:6" ht="18" customHeight="1">
      <c r="A115" s="409">
        <v>110</v>
      </c>
      <c r="B115" s="501">
        <f t="shared" si="10"/>
        <v>1109.7999999999995</v>
      </c>
      <c r="C115" s="501">
        <f t="shared" si="10"/>
        <v>1109.7999999999995</v>
      </c>
      <c r="D115" s="502">
        <f t="shared" si="11"/>
        <v>1795.4000000000037</v>
      </c>
      <c r="E115" s="502">
        <f t="shared" si="12"/>
        <v>1637.8000000000036</v>
      </c>
      <c r="F115" s="411"/>
    </row>
    <row r="116" spans="1:6" ht="18" customHeight="1">
      <c r="A116" s="409">
        <v>111</v>
      </c>
      <c r="B116" s="501">
        <f t="shared" si="10"/>
        <v>1119.1999999999996</v>
      </c>
      <c r="C116" s="501">
        <f t="shared" si="10"/>
        <v>1119.1999999999996</v>
      </c>
      <c r="D116" s="502">
        <f t="shared" si="11"/>
        <v>1810.6000000000038</v>
      </c>
      <c r="E116" s="502">
        <f t="shared" si="12"/>
        <v>1651.7000000000037</v>
      </c>
      <c r="F116" s="411"/>
    </row>
    <row r="117" spans="1:6" ht="18" customHeight="1">
      <c r="A117" s="409">
        <v>112</v>
      </c>
      <c r="B117" s="501">
        <f t="shared" ref="B117:C132" si="13">B116+9.4</f>
        <v>1128.5999999999997</v>
      </c>
      <c r="C117" s="501">
        <f t="shared" si="13"/>
        <v>1128.5999999999997</v>
      </c>
      <c r="D117" s="502">
        <f t="shared" si="11"/>
        <v>1825.8000000000038</v>
      </c>
      <c r="E117" s="502">
        <f t="shared" si="12"/>
        <v>1665.6000000000038</v>
      </c>
      <c r="F117" s="411"/>
    </row>
    <row r="118" spans="1:6" ht="18" customHeight="1">
      <c r="A118" s="409">
        <v>113</v>
      </c>
      <c r="B118" s="501">
        <f t="shared" si="13"/>
        <v>1137.9999999999998</v>
      </c>
      <c r="C118" s="501">
        <f t="shared" si="13"/>
        <v>1137.9999999999998</v>
      </c>
      <c r="D118" s="502">
        <f t="shared" si="11"/>
        <v>1841.0000000000039</v>
      </c>
      <c r="E118" s="502">
        <f t="shared" si="12"/>
        <v>1679.5000000000039</v>
      </c>
      <c r="F118" s="411"/>
    </row>
    <row r="119" spans="1:6" ht="18" customHeight="1">
      <c r="A119" s="409">
        <v>114</v>
      </c>
      <c r="B119" s="501">
        <f t="shared" si="13"/>
        <v>1147.3999999999999</v>
      </c>
      <c r="C119" s="501">
        <f t="shared" si="13"/>
        <v>1147.3999999999999</v>
      </c>
      <c r="D119" s="502">
        <f t="shared" si="11"/>
        <v>1856.2000000000039</v>
      </c>
      <c r="E119" s="502">
        <f t="shared" si="12"/>
        <v>1693.400000000004</v>
      </c>
      <c r="F119" s="411"/>
    </row>
    <row r="120" spans="1:6" ht="18" customHeight="1">
      <c r="A120" s="409">
        <v>115</v>
      </c>
      <c r="B120" s="501">
        <f t="shared" si="13"/>
        <v>1156.8</v>
      </c>
      <c r="C120" s="501">
        <f t="shared" si="13"/>
        <v>1156.8</v>
      </c>
      <c r="D120" s="502">
        <f t="shared" si="11"/>
        <v>1871.400000000004</v>
      </c>
      <c r="E120" s="502">
        <f t="shared" si="12"/>
        <v>1707.300000000004</v>
      </c>
      <c r="F120" s="411"/>
    </row>
    <row r="121" spans="1:6" ht="18" customHeight="1">
      <c r="A121" s="409">
        <v>116</v>
      </c>
      <c r="B121" s="501">
        <f t="shared" si="13"/>
        <v>1166.2</v>
      </c>
      <c r="C121" s="501">
        <f t="shared" si="13"/>
        <v>1166.2</v>
      </c>
      <c r="D121" s="502">
        <f t="shared" si="11"/>
        <v>1886.600000000004</v>
      </c>
      <c r="E121" s="502">
        <f t="shared" si="12"/>
        <v>1721.2000000000041</v>
      </c>
      <c r="F121" s="411"/>
    </row>
    <row r="122" spans="1:6" ht="18" customHeight="1">
      <c r="A122" s="409">
        <v>117</v>
      </c>
      <c r="B122" s="501">
        <f t="shared" si="13"/>
        <v>1175.6000000000001</v>
      </c>
      <c r="C122" s="501">
        <f t="shared" si="13"/>
        <v>1175.6000000000001</v>
      </c>
      <c r="D122" s="502">
        <f t="shared" si="11"/>
        <v>1901.800000000004</v>
      </c>
      <c r="E122" s="502">
        <f t="shared" si="12"/>
        <v>1735.1000000000042</v>
      </c>
      <c r="F122" s="411"/>
    </row>
    <row r="123" spans="1:6" ht="18" customHeight="1">
      <c r="A123" s="409">
        <v>118</v>
      </c>
      <c r="B123" s="501">
        <f t="shared" si="13"/>
        <v>1185.0000000000002</v>
      </c>
      <c r="C123" s="501">
        <f t="shared" si="13"/>
        <v>1185.0000000000002</v>
      </c>
      <c r="D123" s="502">
        <f t="shared" si="11"/>
        <v>1917.0000000000041</v>
      </c>
      <c r="E123" s="502">
        <f t="shared" si="12"/>
        <v>1749.0000000000043</v>
      </c>
      <c r="F123" s="411"/>
    </row>
    <row r="124" spans="1:6" ht="18" customHeight="1">
      <c r="A124" s="409">
        <v>119</v>
      </c>
      <c r="B124" s="501">
        <f t="shared" si="13"/>
        <v>1194.4000000000003</v>
      </c>
      <c r="C124" s="501">
        <f t="shared" si="13"/>
        <v>1194.4000000000003</v>
      </c>
      <c r="D124" s="502">
        <f t="shared" si="11"/>
        <v>1932.2000000000041</v>
      </c>
      <c r="E124" s="502">
        <f t="shared" si="12"/>
        <v>1762.9000000000044</v>
      </c>
      <c r="F124" s="411"/>
    </row>
    <row r="125" spans="1:6" ht="18" customHeight="1">
      <c r="A125" s="409">
        <v>120</v>
      </c>
      <c r="B125" s="501">
        <f t="shared" si="13"/>
        <v>1203.8000000000004</v>
      </c>
      <c r="C125" s="501">
        <f t="shared" si="13"/>
        <v>1203.8000000000004</v>
      </c>
      <c r="D125" s="502">
        <f t="shared" si="11"/>
        <v>1947.4000000000042</v>
      </c>
      <c r="E125" s="502">
        <f t="shared" si="12"/>
        <v>1776.8000000000045</v>
      </c>
      <c r="F125" s="411"/>
    </row>
    <row r="126" spans="1:6" ht="18" customHeight="1">
      <c r="A126" s="409">
        <v>121</v>
      </c>
      <c r="B126" s="501">
        <f t="shared" si="13"/>
        <v>1213.2000000000005</v>
      </c>
      <c r="C126" s="501">
        <f t="shared" si="13"/>
        <v>1213.2000000000005</v>
      </c>
      <c r="D126" s="502">
        <f t="shared" si="11"/>
        <v>1962.6000000000042</v>
      </c>
      <c r="E126" s="502">
        <f t="shared" si="12"/>
        <v>1790.7000000000046</v>
      </c>
      <c r="F126" s="411"/>
    </row>
    <row r="127" spans="1:6" ht="18" customHeight="1">
      <c r="A127" s="409">
        <v>122</v>
      </c>
      <c r="B127" s="501">
        <f t="shared" si="13"/>
        <v>1222.6000000000006</v>
      </c>
      <c r="C127" s="501">
        <f t="shared" si="13"/>
        <v>1222.6000000000006</v>
      </c>
      <c r="D127" s="502">
        <f t="shared" si="11"/>
        <v>1977.8000000000043</v>
      </c>
      <c r="E127" s="502">
        <f t="shared" si="12"/>
        <v>1804.6000000000047</v>
      </c>
      <c r="F127" s="411"/>
    </row>
    <row r="128" spans="1:6" ht="18" customHeight="1">
      <c r="A128" s="409">
        <v>123</v>
      </c>
      <c r="B128" s="501">
        <f t="shared" si="13"/>
        <v>1232.0000000000007</v>
      </c>
      <c r="C128" s="501">
        <f t="shared" si="13"/>
        <v>1232.0000000000007</v>
      </c>
      <c r="D128" s="502">
        <f t="shared" si="11"/>
        <v>1993.0000000000043</v>
      </c>
      <c r="E128" s="502">
        <f t="shared" si="12"/>
        <v>1818.5000000000048</v>
      </c>
      <c r="F128" s="411"/>
    </row>
    <row r="129" spans="1:6" ht="18" customHeight="1">
      <c r="A129" s="409">
        <v>124</v>
      </c>
      <c r="B129" s="501">
        <f t="shared" si="13"/>
        <v>1241.4000000000008</v>
      </c>
      <c r="C129" s="501">
        <f t="shared" si="13"/>
        <v>1241.4000000000008</v>
      </c>
      <c r="D129" s="502">
        <f t="shared" si="11"/>
        <v>2008.2000000000044</v>
      </c>
      <c r="E129" s="502">
        <f t="shared" si="12"/>
        <v>1832.4000000000049</v>
      </c>
      <c r="F129" s="411"/>
    </row>
    <row r="130" spans="1:6" ht="18" customHeight="1">
      <c r="A130" s="409">
        <v>125</v>
      </c>
      <c r="B130" s="501">
        <f t="shared" si="13"/>
        <v>1250.8000000000009</v>
      </c>
      <c r="C130" s="501">
        <f t="shared" si="13"/>
        <v>1250.8000000000009</v>
      </c>
      <c r="D130" s="502">
        <f t="shared" si="11"/>
        <v>2023.4000000000044</v>
      </c>
      <c r="E130" s="502">
        <f t="shared" si="12"/>
        <v>1846.300000000005</v>
      </c>
      <c r="F130" s="411"/>
    </row>
    <row r="131" spans="1:6" ht="18" customHeight="1">
      <c r="A131" s="409">
        <v>126</v>
      </c>
      <c r="B131" s="501">
        <f t="shared" si="13"/>
        <v>1260.200000000001</v>
      </c>
      <c r="C131" s="501">
        <f t="shared" si="13"/>
        <v>1260.200000000001</v>
      </c>
      <c r="D131" s="502">
        <f t="shared" si="11"/>
        <v>2038.6000000000045</v>
      </c>
      <c r="E131" s="502">
        <f t="shared" si="12"/>
        <v>1860.200000000005</v>
      </c>
      <c r="F131" s="411"/>
    </row>
    <row r="132" spans="1:6" ht="18" customHeight="1">
      <c r="A132" s="409">
        <v>127</v>
      </c>
      <c r="B132" s="501">
        <f t="shared" si="13"/>
        <v>1269.600000000001</v>
      </c>
      <c r="C132" s="501">
        <f t="shared" si="13"/>
        <v>1269.600000000001</v>
      </c>
      <c r="D132" s="502">
        <f t="shared" si="11"/>
        <v>2053.8000000000043</v>
      </c>
      <c r="E132" s="502">
        <f t="shared" si="12"/>
        <v>1874.1000000000051</v>
      </c>
      <c r="F132" s="411"/>
    </row>
    <row r="133" spans="1:6" ht="18" customHeight="1">
      <c r="A133" s="409">
        <v>128</v>
      </c>
      <c r="B133" s="501">
        <f t="shared" ref="B133:C148" si="14">B132+9.4</f>
        <v>1279.0000000000011</v>
      </c>
      <c r="C133" s="501">
        <f t="shared" si="14"/>
        <v>1279.0000000000011</v>
      </c>
      <c r="D133" s="502">
        <f t="shared" si="11"/>
        <v>2069.0000000000041</v>
      </c>
      <c r="E133" s="502">
        <f t="shared" si="12"/>
        <v>1888.0000000000052</v>
      </c>
      <c r="F133" s="411"/>
    </row>
    <row r="134" spans="1:6" ht="18" customHeight="1">
      <c r="A134" s="409">
        <v>129</v>
      </c>
      <c r="B134" s="501">
        <f t="shared" si="14"/>
        <v>1288.4000000000012</v>
      </c>
      <c r="C134" s="501">
        <f t="shared" si="14"/>
        <v>1288.4000000000012</v>
      </c>
      <c r="D134" s="502">
        <f t="shared" si="11"/>
        <v>2084.2000000000039</v>
      </c>
      <c r="E134" s="502">
        <f t="shared" si="12"/>
        <v>1901.9000000000053</v>
      </c>
      <c r="F134" s="411"/>
    </row>
    <row r="135" spans="1:6" ht="18" customHeight="1">
      <c r="A135" s="409">
        <v>130</v>
      </c>
      <c r="B135" s="501">
        <f t="shared" si="14"/>
        <v>1297.8000000000013</v>
      </c>
      <c r="C135" s="501">
        <f t="shared" si="14"/>
        <v>1297.8000000000013</v>
      </c>
      <c r="D135" s="502">
        <f t="shared" si="11"/>
        <v>2099.4000000000037</v>
      </c>
      <c r="E135" s="502">
        <f t="shared" si="12"/>
        <v>1915.8000000000054</v>
      </c>
      <c r="F135" s="411"/>
    </row>
    <row r="136" spans="1:6" ht="18" customHeight="1">
      <c r="A136" s="409">
        <v>131</v>
      </c>
      <c r="B136" s="501">
        <f t="shared" si="14"/>
        <v>1307.2000000000014</v>
      </c>
      <c r="C136" s="501">
        <f t="shared" si="14"/>
        <v>1307.2000000000014</v>
      </c>
      <c r="D136" s="502">
        <f t="shared" si="11"/>
        <v>2114.6000000000035</v>
      </c>
      <c r="E136" s="502">
        <f t="shared" si="12"/>
        <v>1929.7000000000055</v>
      </c>
      <c r="F136" s="411"/>
    </row>
    <row r="137" spans="1:6" ht="18" customHeight="1">
      <c r="A137" s="409">
        <v>132</v>
      </c>
      <c r="B137" s="501">
        <f t="shared" si="14"/>
        <v>1316.6000000000015</v>
      </c>
      <c r="C137" s="501">
        <f t="shared" si="14"/>
        <v>1316.6000000000015</v>
      </c>
      <c r="D137" s="502">
        <f t="shared" si="11"/>
        <v>2129.8000000000034</v>
      </c>
      <c r="E137" s="502">
        <f t="shared" si="12"/>
        <v>1943.6000000000056</v>
      </c>
      <c r="F137" s="411"/>
    </row>
    <row r="138" spans="1:6" ht="18" customHeight="1">
      <c r="A138" s="409">
        <v>133</v>
      </c>
      <c r="B138" s="501">
        <f t="shared" si="14"/>
        <v>1326.0000000000016</v>
      </c>
      <c r="C138" s="501">
        <f t="shared" si="14"/>
        <v>1326.0000000000016</v>
      </c>
      <c r="D138" s="502">
        <f t="shared" si="11"/>
        <v>2145.0000000000032</v>
      </c>
      <c r="E138" s="502">
        <f t="shared" si="12"/>
        <v>1957.5000000000057</v>
      </c>
      <c r="F138" s="411"/>
    </row>
    <row r="139" spans="1:6" ht="18" customHeight="1">
      <c r="A139" s="409">
        <v>134</v>
      </c>
      <c r="B139" s="501">
        <f t="shared" si="14"/>
        <v>1335.4000000000017</v>
      </c>
      <c r="C139" s="501">
        <f t="shared" si="14"/>
        <v>1335.4000000000017</v>
      </c>
      <c r="D139" s="502">
        <f t="shared" si="11"/>
        <v>2160.200000000003</v>
      </c>
      <c r="E139" s="502">
        <f t="shared" si="12"/>
        <v>1971.4000000000058</v>
      </c>
      <c r="F139" s="411"/>
    </row>
    <row r="140" spans="1:6" ht="18" customHeight="1">
      <c r="A140" s="414">
        <v>135</v>
      </c>
      <c r="B140" s="501">
        <f t="shared" si="14"/>
        <v>1344.8000000000018</v>
      </c>
      <c r="C140" s="501">
        <f t="shared" si="14"/>
        <v>1344.8000000000018</v>
      </c>
      <c r="D140" s="502">
        <f t="shared" si="11"/>
        <v>2175.4000000000028</v>
      </c>
      <c r="E140" s="502">
        <f t="shared" si="12"/>
        <v>1985.3000000000059</v>
      </c>
      <c r="F140" s="411"/>
    </row>
    <row r="141" spans="1:6" ht="18" customHeight="1">
      <c r="A141" s="409">
        <v>136</v>
      </c>
      <c r="B141" s="501">
        <f t="shared" si="14"/>
        <v>1354.2000000000019</v>
      </c>
      <c r="C141" s="501">
        <f t="shared" si="14"/>
        <v>1354.2000000000019</v>
      </c>
      <c r="D141" s="502">
        <f t="shared" si="11"/>
        <v>2190.6000000000026</v>
      </c>
      <c r="E141" s="502">
        <f t="shared" si="12"/>
        <v>1999.200000000006</v>
      </c>
      <c r="F141" s="411"/>
    </row>
    <row r="142" spans="1:6" ht="18" customHeight="1">
      <c r="A142" s="409">
        <v>137</v>
      </c>
      <c r="B142" s="501">
        <f t="shared" si="14"/>
        <v>1363.600000000002</v>
      </c>
      <c r="C142" s="501">
        <f t="shared" si="14"/>
        <v>1363.600000000002</v>
      </c>
      <c r="D142" s="502">
        <f t="shared" si="11"/>
        <v>2205.8000000000025</v>
      </c>
      <c r="E142" s="502">
        <f t="shared" si="12"/>
        <v>2013.100000000006</v>
      </c>
      <c r="F142" s="411"/>
    </row>
    <row r="143" spans="1:6" ht="18" customHeight="1">
      <c r="A143" s="409">
        <v>138</v>
      </c>
      <c r="B143" s="501">
        <f t="shared" si="14"/>
        <v>1373.000000000002</v>
      </c>
      <c r="C143" s="501">
        <f t="shared" si="14"/>
        <v>1373.000000000002</v>
      </c>
      <c r="D143" s="502">
        <f t="shared" si="11"/>
        <v>2221.0000000000023</v>
      </c>
      <c r="E143" s="502">
        <f t="shared" si="12"/>
        <v>2027.0000000000061</v>
      </c>
      <c r="F143" s="411"/>
    </row>
    <row r="144" spans="1:6" ht="18" customHeight="1">
      <c r="A144" s="409">
        <v>139</v>
      </c>
      <c r="B144" s="501">
        <f t="shared" si="14"/>
        <v>1382.4000000000021</v>
      </c>
      <c r="C144" s="501">
        <f t="shared" si="14"/>
        <v>1382.4000000000021</v>
      </c>
      <c r="D144" s="502">
        <f t="shared" si="11"/>
        <v>2236.2000000000021</v>
      </c>
      <c r="E144" s="502">
        <f t="shared" si="12"/>
        <v>2040.9000000000062</v>
      </c>
      <c r="F144" s="411"/>
    </row>
    <row r="145" spans="1:6" ht="18" customHeight="1">
      <c r="A145" s="409">
        <v>140</v>
      </c>
      <c r="B145" s="501">
        <f t="shared" si="14"/>
        <v>1391.8000000000022</v>
      </c>
      <c r="C145" s="501">
        <f t="shared" si="14"/>
        <v>1391.8000000000022</v>
      </c>
      <c r="D145" s="502">
        <f t="shared" si="11"/>
        <v>2251.4000000000019</v>
      </c>
      <c r="E145" s="502">
        <f t="shared" si="12"/>
        <v>2054.8000000000061</v>
      </c>
      <c r="F145" s="411"/>
    </row>
    <row r="146" spans="1:6" ht="18" customHeight="1">
      <c r="A146" s="409">
        <v>141</v>
      </c>
      <c r="B146" s="501">
        <f t="shared" si="14"/>
        <v>1401.2000000000023</v>
      </c>
      <c r="C146" s="501">
        <f t="shared" si="14"/>
        <v>1401.2000000000023</v>
      </c>
      <c r="D146" s="502">
        <f t="shared" si="11"/>
        <v>2266.6000000000017</v>
      </c>
      <c r="E146" s="502">
        <f t="shared" si="12"/>
        <v>2068.7000000000062</v>
      </c>
      <c r="F146" s="411"/>
    </row>
    <row r="147" spans="1:6" ht="18" customHeight="1">
      <c r="A147" s="409">
        <v>142</v>
      </c>
      <c r="B147" s="501">
        <f t="shared" si="14"/>
        <v>1410.6000000000024</v>
      </c>
      <c r="C147" s="501">
        <f t="shared" si="14"/>
        <v>1410.6000000000024</v>
      </c>
      <c r="D147" s="502">
        <f t="shared" si="11"/>
        <v>2281.8000000000015</v>
      </c>
      <c r="E147" s="502">
        <f t="shared" si="12"/>
        <v>2082.6000000000063</v>
      </c>
      <c r="F147" s="411"/>
    </row>
    <row r="148" spans="1:6" ht="18" customHeight="1">
      <c r="A148" s="409">
        <v>143</v>
      </c>
      <c r="B148" s="501">
        <f t="shared" si="14"/>
        <v>1420.0000000000025</v>
      </c>
      <c r="C148" s="501">
        <f t="shared" si="14"/>
        <v>1420.0000000000025</v>
      </c>
      <c r="D148" s="502">
        <f t="shared" si="11"/>
        <v>2297.0000000000014</v>
      </c>
      <c r="E148" s="502">
        <f t="shared" si="12"/>
        <v>2096.5000000000064</v>
      </c>
      <c r="F148" s="411"/>
    </row>
    <row r="149" spans="1:6" ht="18" customHeight="1">
      <c r="A149" s="409">
        <v>144</v>
      </c>
      <c r="B149" s="501">
        <f t="shared" ref="B149:C164" si="15">B148+9.4</f>
        <v>1429.4000000000026</v>
      </c>
      <c r="C149" s="501">
        <f t="shared" si="15"/>
        <v>1429.4000000000026</v>
      </c>
      <c r="D149" s="502">
        <f t="shared" si="11"/>
        <v>2312.2000000000012</v>
      </c>
      <c r="E149" s="502">
        <f t="shared" si="12"/>
        <v>2110.4000000000065</v>
      </c>
      <c r="F149" s="411"/>
    </row>
    <row r="150" spans="1:6" ht="18" customHeight="1">
      <c r="A150" s="409">
        <v>145</v>
      </c>
      <c r="B150" s="501">
        <f t="shared" si="15"/>
        <v>1438.8000000000027</v>
      </c>
      <c r="C150" s="501">
        <f t="shared" si="15"/>
        <v>1438.8000000000027</v>
      </c>
      <c r="D150" s="502">
        <f t="shared" si="11"/>
        <v>2327.400000000001</v>
      </c>
      <c r="E150" s="502">
        <f t="shared" si="12"/>
        <v>2124.3000000000065</v>
      </c>
      <c r="F150" s="411"/>
    </row>
    <row r="151" spans="1:6" ht="18" customHeight="1">
      <c r="A151" s="409">
        <v>146</v>
      </c>
      <c r="B151" s="501">
        <f t="shared" si="15"/>
        <v>1448.2000000000028</v>
      </c>
      <c r="C151" s="501">
        <f t="shared" si="15"/>
        <v>1448.2000000000028</v>
      </c>
      <c r="D151" s="502">
        <f t="shared" si="11"/>
        <v>2342.6000000000008</v>
      </c>
      <c r="E151" s="502">
        <f t="shared" si="12"/>
        <v>2138.2000000000066</v>
      </c>
      <c r="F151" s="411"/>
    </row>
    <row r="152" spans="1:6" ht="18" customHeight="1">
      <c r="A152" s="409">
        <v>147</v>
      </c>
      <c r="B152" s="501">
        <f t="shared" si="15"/>
        <v>1457.6000000000029</v>
      </c>
      <c r="C152" s="501">
        <f t="shared" si="15"/>
        <v>1457.6000000000029</v>
      </c>
      <c r="D152" s="502">
        <f t="shared" si="11"/>
        <v>2357.8000000000006</v>
      </c>
      <c r="E152" s="502">
        <f t="shared" si="12"/>
        <v>2152.1000000000067</v>
      </c>
      <c r="F152" s="411"/>
    </row>
    <row r="153" spans="1:6" ht="18" customHeight="1">
      <c r="A153" s="409">
        <v>148</v>
      </c>
      <c r="B153" s="501">
        <f t="shared" si="15"/>
        <v>1467.000000000003</v>
      </c>
      <c r="C153" s="501">
        <f t="shared" si="15"/>
        <v>1467.000000000003</v>
      </c>
      <c r="D153" s="502">
        <f t="shared" si="11"/>
        <v>2373.0000000000005</v>
      </c>
      <c r="E153" s="502">
        <f t="shared" si="12"/>
        <v>2166.0000000000068</v>
      </c>
      <c r="F153" s="411"/>
    </row>
    <row r="154" spans="1:6" ht="18" customHeight="1">
      <c r="A154" s="409">
        <v>149</v>
      </c>
      <c r="B154" s="501">
        <f t="shared" si="15"/>
        <v>1476.400000000003</v>
      </c>
      <c r="C154" s="501">
        <f t="shared" si="15"/>
        <v>1476.400000000003</v>
      </c>
      <c r="D154" s="502">
        <f t="shared" si="11"/>
        <v>2388.2000000000003</v>
      </c>
      <c r="E154" s="502">
        <f t="shared" si="12"/>
        <v>2179.9000000000069</v>
      </c>
      <c r="F154" s="411"/>
    </row>
    <row r="155" spans="1:6" ht="18" customHeight="1">
      <c r="A155" s="409">
        <v>150</v>
      </c>
      <c r="B155" s="501">
        <f t="shared" si="15"/>
        <v>1485.8000000000031</v>
      </c>
      <c r="C155" s="501">
        <f t="shared" si="15"/>
        <v>1485.8000000000031</v>
      </c>
      <c r="D155" s="502">
        <f t="shared" si="11"/>
        <v>2403.4</v>
      </c>
      <c r="E155" s="502">
        <f t="shared" si="12"/>
        <v>2193.800000000007</v>
      </c>
      <c r="F155" s="411"/>
    </row>
    <row r="156" spans="1:6" ht="18" customHeight="1">
      <c r="A156" s="409">
        <v>151</v>
      </c>
      <c r="B156" s="501">
        <f t="shared" si="15"/>
        <v>1495.2000000000032</v>
      </c>
      <c r="C156" s="501">
        <f t="shared" si="15"/>
        <v>1495.2000000000032</v>
      </c>
      <c r="D156" s="502">
        <f t="shared" si="11"/>
        <v>2418.6</v>
      </c>
      <c r="E156" s="502">
        <f t="shared" si="12"/>
        <v>2207.7000000000071</v>
      </c>
      <c r="F156" s="411"/>
    </row>
    <row r="157" spans="1:6" ht="18" customHeight="1">
      <c r="A157" s="409">
        <v>152</v>
      </c>
      <c r="B157" s="501">
        <f t="shared" si="15"/>
        <v>1504.6000000000033</v>
      </c>
      <c r="C157" s="501">
        <f t="shared" si="15"/>
        <v>1504.6000000000033</v>
      </c>
      <c r="D157" s="502">
        <f t="shared" si="11"/>
        <v>2433.7999999999997</v>
      </c>
      <c r="E157" s="502">
        <f t="shared" si="12"/>
        <v>2221.6000000000072</v>
      </c>
      <c r="F157" s="411"/>
    </row>
    <row r="158" spans="1:6" ht="18" customHeight="1">
      <c r="A158" s="409">
        <v>153</v>
      </c>
      <c r="B158" s="501">
        <f t="shared" si="15"/>
        <v>1514.0000000000034</v>
      </c>
      <c r="C158" s="501">
        <f t="shared" si="15"/>
        <v>1514.0000000000034</v>
      </c>
      <c r="D158" s="502">
        <f t="shared" si="11"/>
        <v>2448.9999999999995</v>
      </c>
      <c r="E158" s="502">
        <f t="shared" si="12"/>
        <v>2235.5000000000073</v>
      </c>
      <c r="F158" s="411"/>
    </row>
    <row r="159" spans="1:6" ht="18" customHeight="1">
      <c r="A159" s="409">
        <v>154</v>
      </c>
      <c r="B159" s="501">
        <f t="shared" si="15"/>
        <v>1523.4000000000035</v>
      </c>
      <c r="C159" s="501">
        <f t="shared" si="15"/>
        <v>1523.4000000000035</v>
      </c>
      <c r="D159" s="502">
        <f t="shared" si="11"/>
        <v>2464.1999999999994</v>
      </c>
      <c r="E159" s="502">
        <f t="shared" si="12"/>
        <v>2249.4000000000074</v>
      </c>
      <c r="F159" s="411"/>
    </row>
    <row r="160" spans="1:6" ht="18" customHeight="1">
      <c r="A160" s="409">
        <v>155</v>
      </c>
      <c r="B160" s="501">
        <f t="shared" si="15"/>
        <v>1532.8000000000036</v>
      </c>
      <c r="C160" s="501">
        <f t="shared" si="15"/>
        <v>1532.8000000000036</v>
      </c>
      <c r="D160" s="502">
        <f t="shared" si="11"/>
        <v>2479.3999999999992</v>
      </c>
      <c r="E160" s="502">
        <f t="shared" si="12"/>
        <v>2263.3000000000075</v>
      </c>
      <c r="F160" s="411"/>
    </row>
    <row r="161" spans="1:6" ht="18" customHeight="1">
      <c r="A161" s="409">
        <v>156</v>
      </c>
      <c r="B161" s="501">
        <f t="shared" si="15"/>
        <v>1542.2000000000037</v>
      </c>
      <c r="C161" s="501">
        <f t="shared" si="15"/>
        <v>1542.2000000000037</v>
      </c>
      <c r="D161" s="502">
        <f t="shared" si="11"/>
        <v>2494.599999999999</v>
      </c>
      <c r="E161" s="502">
        <f t="shared" si="12"/>
        <v>2277.2000000000075</v>
      </c>
      <c r="F161" s="411"/>
    </row>
    <row r="162" spans="1:6" ht="18" customHeight="1">
      <c r="A162" s="409">
        <v>157</v>
      </c>
      <c r="B162" s="501">
        <f t="shared" si="15"/>
        <v>1551.6000000000038</v>
      </c>
      <c r="C162" s="501">
        <f t="shared" si="15"/>
        <v>1551.6000000000038</v>
      </c>
      <c r="D162" s="502">
        <f t="shared" si="11"/>
        <v>2509.7999999999988</v>
      </c>
      <c r="E162" s="502">
        <f t="shared" si="12"/>
        <v>2291.1000000000076</v>
      </c>
      <c r="F162" s="411"/>
    </row>
    <row r="163" spans="1:6" ht="18" customHeight="1">
      <c r="A163" s="409">
        <v>158</v>
      </c>
      <c r="B163" s="501">
        <f t="shared" si="15"/>
        <v>1561.0000000000039</v>
      </c>
      <c r="C163" s="501">
        <f t="shared" si="15"/>
        <v>1561.0000000000039</v>
      </c>
      <c r="D163" s="502">
        <f t="shared" si="11"/>
        <v>2524.9999999999986</v>
      </c>
      <c r="E163" s="502">
        <f t="shared" si="12"/>
        <v>2305.0000000000077</v>
      </c>
      <c r="F163" s="411"/>
    </row>
    <row r="164" spans="1:6" ht="18" customHeight="1">
      <c r="A164" s="409">
        <v>159</v>
      </c>
      <c r="B164" s="501">
        <f t="shared" si="15"/>
        <v>1570.400000000004</v>
      </c>
      <c r="C164" s="501">
        <f t="shared" si="15"/>
        <v>1570.400000000004</v>
      </c>
      <c r="D164" s="502">
        <f t="shared" si="11"/>
        <v>2540.1999999999985</v>
      </c>
      <c r="E164" s="502">
        <f t="shared" si="12"/>
        <v>2318.9000000000078</v>
      </c>
      <c r="F164" s="411"/>
    </row>
    <row r="165" spans="1:6" ht="18" customHeight="1">
      <c r="A165" s="409">
        <v>160</v>
      </c>
      <c r="B165" s="501">
        <f t="shared" ref="B165:C180" si="16">B164+9.4</f>
        <v>1579.800000000004</v>
      </c>
      <c r="C165" s="501">
        <f t="shared" si="16"/>
        <v>1579.800000000004</v>
      </c>
      <c r="D165" s="502">
        <f t="shared" ref="D165:D228" si="17">D164+15.2</f>
        <v>2555.3999999999983</v>
      </c>
      <c r="E165" s="502">
        <f t="shared" ref="E165:E228" si="18">E164+13.9</f>
        <v>2332.8000000000079</v>
      </c>
      <c r="F165" s="411"/>
    </row>
    <row r="166" spans="1:6" ht="18" customHeight="1">
      <c r="A166" s="409">
        <v>161</v>
      </c>
      <c r="B166" s="501">
        <f t="shared" si="16"/>
        <v>1589.2000000000041</v>
      </c>
      <c r="C166" s="501">
        <f t="shared" si="16"/>
        <v>1589.2000000000041</v>
      </c>
      <c r="D166" s="502">
        <f t="shared" si="17"/>
        <v>2570.5999999999981</v>
      </c>
      <c r="E166" s="502">
        <f t="shared" si="18"/>
        <v>2346.700000000008</v>
      </c>
      <c r="F166" s="411"/>
    </row>
    <row r="167" spans="1:6" ht="18" customHeight="1">
      <c r="A167" s="409">
        <v>162</v>
      </c>
      <c r="B167" s="501">
        <f t="shared" si="16"/>
        <v>1598.6000000000042</v>
      </c>
      <c r="C167" s="501">
        <f t="shared" si="16"/>
        <v>1598.6000000000042</v>
      </c>
      <c r="D167" s="502">
        <f t="shared" si="17"/>
        <v>2585.7999999999979</v>
      </c>
      <c r="E167" s="502">
        <f t="shared" si="18"/>
        <v>2360.6000000000081</v>
      </c>
      <c r="F167" s="411"/>
    </row>
    <row r="168" spans="1:6" ht="18" customHeight="1">
      <c r="A168" s="409">
        <v>163</v>
      </c>
      <c r="B168" s="501">
        <f t="shared" si="16"/>
        <v>1608.0000000000043</v>
      </c>
      <c r="C168" s="501">
        <f t="shared" si="16"/>
        <v>1608.0000000000043</v>
      </c>
      <c r="D168" s="502">
        <f t="shared" si="17"/>
        <v>2600.9999999999977</v>
      </c>
      <c r="E168" s="502">
        <f t="shared" si="18"/>
        <v>2374.5000000000082</v>
      </c>
      <c r="F168" s="411"/>
    </row>
    <row r="169" spans="1:6" ht="18" customHeight="1">
      <c r="A169" s="409">
        <v>164</v>
      </c>
      <c r="B169" s="501">
        <f t="shared" si="16"/>
        <v>1617.4000000000044</v>
      </c>
      <c r="C169" s="501">
        <f t="shared" si="16"/>
        <v>1617.4000000000044</v>
      </c>
      <c r="D169" s="502">
        <f t="shared" si="17"/>
        <v>2616.1999999999975</v>
      </c>
      <c r="E169" s="502">
        <f t="shared" si="18"/>
        <v>2388.4000000000083</v>
      </c>
      <c r="F169" s="411"/>
    </row>
    <row r="170" spans="1:6" ht="18" customHeight="1">
      <c r="A170" s="409">
        <v>165</v>
      </c>
      <c r="B170" s="501">
        <f t="shared" si="16"/>
        <v>1626.8000000000045</v>
      </c>
      <c r="C170" s="501">
        <f t="shared" si="16"/>
        <v>1626.8000000000045</v>
      </c>
      <c r="D170" s="502">
        <f t="shared" si="17"/>
        <v>2631.3999999999974</v>
      </c>
      <c r="E170" s="502">
        <f t="shared" si="18"/>
        <v>2402.3000000000084</v>
      </c>
      <c r="F170" s="411"/>
    </row>
    <row r="171" spans="1:6" ht="18" customHeight="1">
      <c r="A171" s="409">
        <v>166</v>
      </c>
      <c r="B171" s="501">
        <f t="shared" si="16"/>
        <v>1636.2000000000046</v>
      </c>
      <c r="C171" s="501">
        <f t="shared" si="16"/>
        <v>1636.2000000000046</v>
      </c>
      <c r="D171" s="502">
        <f t="shared" si="17"/>
        <v>2646.5999999999972</v>
      </c>
      <c r="E171" s="502">
        <f t="shared" si="18"/>
        <v>2416.2000000000085</v>
      </c>
      <c r="F171" s="411"/>
    </row>
    <row r="172" spans="1:6" ht="18" customHeight="1">
      <c r="A172" s="409">
        <v>167</v>
      </c>
      <c r="B172" s="501">
        <f t="shared" si="16"/>
        <v>1645.6000000000047</v>
      </c>
      <c r="C172" s="501">
        <f t="shared" si="16"/>
        <v>1645.6000000000047</v>
      </c>
      <c r="D172" s="502">
        <f t="shared" si="17"/>
        <v>2661.799999999997</v>
      </c>
      <c r="E172" s="502">
        <f t="shared" si="18"/>
        <v>2430.1000000000085</v>
      </c>
      <c r="F172" s="411"/>
    </row>
    <row r="173" spans="1:6" ht="18" customHeight="1">
      <c r="A173" s="409">
        <v>168</v>
      </c>
      <c r="B173" s="501">
        <f t="shared" si="16"/>
        <v>1655.0000000000048</v>
      </c>
      <c r="C173" s="501">
        <f t="shared" si="16"/>
        <v>1655.0000000000048</v>
      </c>
      <c r="D173" s="502">
        <f t="shared" si="17"/>
        <v>2676.9999999999968</v>
      </c>
      <c r="E173" s="502">
        <f t="shared" si="18"/>
        <v>2444.0000000000086</v>
      </c>
      <c r="F173" s="411"/>
    </row>
    <row r="174" spans="1:6" ht="18" customHeight="1">
      <c r="A174" s="409">
        <v>169</v>
      </c>
      <c r="B174" s="501">
        <f t="shared" si="16"/>
        <v>1664.4000000000049</v>
      </c>
      <c r="C174" s="501">
        <f t="shared" si="16"/>
        <v>1664.4000000000049</v>
      </c>
      <c r="D174" s="502">
        <f t="shared" si="17"/>
        <v>2692.1999999999966</v>
      </c>
      <c r="E174" s="502">
        <f t="shared" si="18"/>
        <v>2457.9000000000087</v>
      </c>
      <c r="F174" s="411"/>
    </row>
    <row r="175" spans="1:6" ht="18" customHeight="1">
      <c r="A175" s="409">
        <v>170</v>
      </c>
      <c r="B175" s="501">
        <f t="shared" si="16"/>
        <v>1673.800000000005</v>
      </c>
      <c r="C175" s="501">
        <f t="shared" si="16"/>
        <v>1673.800000000005</v>
      </c>
      <c r="D175" s="502">
        <f t="shared" si="17"/>
        <v>2707.3999999999965</v>
      </c>
      <c r="E175" s="502">
        <f t="shared" si="18"/>
        <v>2471.8000000000088</v>
      </c>
      <c r="F175" s="411"/>
    </row>
    <row r="176" spans="1:6" ht="18" customHeight="1">
      <c r="A176" s="409">
        <v>171</v>
      </c>
      <c r="B176" s="501">
        <f t="shared" si="16"/>
        <v>1683.200000000005</v>
      </c>
      <c r="C176" s="501">
        <f t="shared" si="16"/>
        <v>1683.200000000005</v>
      </c>
      <c r="D176" s="502">
        <f t="shared" si="17"/>
        <v>2722.5999999999963</v>
      </c>
      <c r="E176" s="502">
        <f t="shared" si="18"/>
        <v>2485.7000000000089</v>
      </c>
      <c r="F176" s="411"/>
    </row>
    <row r="177" spans="1:6" ht="18" customHeight="1">
      <c r="A177" s="409">
        <v>172</v>
      </c>
      <c r="B177" s="501">
        <f t="shared" si="16"/>
        <v>1692.6000000000051</v>
      </c>
      <c r="C177" s="501">
        <f t="shared" si="16"/>
        <v>1692.6000000000051</v>
      </c>
      <c r="D177" s="502">
        <f t="shared" si="17"/>
        <v>2737.7999999999961</v>
      </c>
      <c r="E177" s="502">
        <f t="shared" si="18"/>
        <v>2499.600000000009</v>
      </c>
      <c r="F177" s="411"/>
    </row>
    <row r="178" spans="1:6" ht="18" customHeight="1">
      <c r="A178" s="409">
        <v>173</v>
      </c>
      <c r="B178" s="501">
        <f t="shared" si="16"/>
        <v>1702.0000000000052</v>
      </c>
      <c r="C178" s="501">
        <f t="shared" si="16"/>
        <v>1702.0000000000052</v>
      </c>
      <c r="D178" s="502">
        <f t="shared" si="17"/>
        <v>2752.9999999999959</v>
      </c>
      <c r="E178" s="502">
        <f t="shared" si="18"/>
        <v>2513.5000000000091</v>
      </c>
      <c r="F178" s="411"/>
    </row>
    <row r="179" spans="1:6" ht="18" customHeight="1">
      <c r="A179" s="409">
        <v>174</v>
      </c>
      <c r="B179" s="501">
        <f t="shared" si="16"/>
        <v>1711.4000000000053</v>
      </c>
      <c r="C179" s="501">
        <f t="shared" si="16"/>
        <v>1711.4000000000053</v>
      </c>
      <c r="D179" s="502">
        <f t="shared" si="17"/>
        <v>2768.1999999999957</v>
      </c>
      <c r="E179" s="502">
        <f t="shared" si="18"/>
        <v>2527.4000000000092</v>
      </c>
      <c r="F179" s="411"/>
    </row>
    <row r="180" spans="1:6" ht="18" customHeight="1">
      <c r="A180" s="409">
        <v>175</v>
      </c>
      <c r="B180" s="501">
        <f t="shared" si="16"/>
        <v>1720.8000000000054</v>
      </c>
      <c r="C180" s="501">
        <f t="shared" si="16"/>
        <v>1720.8000000000054</v>
      </c>
      <c r="D180" s="502">
        <f t="shared" si="17"/>
        <v>2783.3999999999955</v>
      </c>
      <c r="E180" s="502">
        <f t="shared" si="18"/>
        <v>2541.3000000000093</v>
      </c>
      <c r="F180" s="411"/>
    </row>
    <row r="181" spans="1:6" ht="18" customHeight="1">
      <c r="A181" s="409">
        <v>176</v>
      </c>
      <c r="B181" s="501">
        <f t="shared" ref="B181:C196" si="19">B180+9.4</f>
        <v>1730.2000000000055</v>
      </c>
      <c r="C181" s="501">
        <f t="shared" si="19"/>
        <v>1730.2000000000055</v>
      </c>
      <c r="D181" s="502">
        <f t="shared" si="17"/>
        <v>2798.5999999999954</v>
      </c>
      <c r="E181" s="502">
        <f t="shared" si="18"/>
        <v>2555.2000000000094</v>
      </c>
      <c r="F181" s="411"/>
    </row>
    <row r="182" spans="1:6" ht="18" customHeight="1">
      <c r="A182" s="409">
        <v>177</v>
      </c>
      <c r="B182" s="501">
        <f t="shared" si="19"/>
        <v>1739.6000000000056</v>
      </c>
      <c r="C182" s="501">
        <f t="shared" si="19"/>
        <v>1739.6000000000056</v>
      </c>
      <c r="D182" s="502">
        <f t="shared" si="17"/>
        <v>2813.7999999999952</v>
      </c>
      <c r="E182" s="502">
        <f t="shared" si="18"/>
        <v>2569.1000000000095</v>
      </c>
      <c r="F182" s="411"/>
    </row>
    <row r="183" spans="1:6" ht="18" customHeight="1">
      <c r="A183" s="409">
        <v>178</v>
      </c>
      <c r="B183" s="501">
        <f t="shared" si="19"/>
        <v>1749.0000000000057</v>
      </c>
      <c r="C183" s="501">
        <f t="shared" si="19"/>
        <v>1749.0000000000057</v>
      </c>
      <c r="D183" s="502">
        <f t="shared" si="17"/>
        <v>2828.999999999995</v>
      </c>
      <c r="E183" s="502">
        <f t="shared" si="18"/>
        <v>2583.0000000000095</v>
      </c>
      <c r="F183" s="411"/>
    </row>
    <row r="184" spans="1:6" ht="18" customHeight="1">
      <c r="A184" s="409">
        <v>179</v>
      </c>
      <c r="B184" s="501">
        <f t="shared" si="19"/>
        <v>1758.4000000000058</v>
      </c>
      <c r="C184" s="501">
        <f t="shared" si="19"/>
        <v>1758.4000000000058</v>
      </c>
      <c r="D184" s="502">
        <f t="shared" si="17"/>
        <v>2844.1999999999948</v>
      </c>
      <c r="E184" s="502">
        <f t="shared" si="18"/>
        <v>2596.9000000000096</v>
      </c>
      <c r="F184" s="411"/>
    </row>
    <row r="185" spans="1:6" ht="18" customHeight="1">
      <c r="A185" s="409">
        <v>180</v>
      </c>
      <c r="B185" s="501">
        <f t="shared" si="19"/>
        <v>1767.8000000000059</v>
      </c>
      <c r="C185" s="501">
        <f t="shared" si="19"/>
        <v>1767.8000000000059</v>
      </c>
      <c r="D185" s="502">
        <f t="shared" si="17"/>
        <v>2859.3999999999946</v>
      </c>
      <c r="E185" s="502">
        <f t="shared" si="18"/>
        <v>2610.8000000000097</v>
      </c>
      <c r="F185" s="411"/>
    </row>
    <row r="186" spans="1:6" ht="18" customHeight="1">
      <c r="A186" s="409">
        <v>181</v>
      </c>
      <c r="B186" s="501">
        <f t="shared" si="19"/>
        <v>1777.200000000006</v>
      </c>
      <c r="C186" s="501">
        <f t="shared" si="19"/>
        <v>1777.200000000006</v>
      </c>
      <c r="D186" s="502">
        <f t="shared" si="17"/>
        <v>2874.5999999999945</v>
      </c>
      <c r="E186" s="502">
        <f t="shared" si="18"/>
        <v>2624.7000000000098</v>
      </c>
      <c r="F186" s="411"/>
    </row>
    <row r="187" spans="1:6" ht="18" customHeight="1">
      <c r="A187" s="409">
        <v>182</v>
      </c>
      <c r="B187" s="501">
        <f t="shared" si="19"/>
        <v>1786.600000000006</v>
      </c>
      <c r="C187" s="501">
        <f t="shared" si="19"/>
        <v>1786.600000000006</v>
      </c>
      <c r="D187" s="502">
        <f t="shared" si="17"/>
        <v>2889.7999999999943</v>
      </c>
      <c r="E187" s="502">
        <f t="shared" si="18"/>
        <v>2638.6000000000099</v>
      </c>
      <c r="F187" s="411"/>
    </row>
    <row r="188" spans="1:6" ht="18" customHeight="1">
      <c r="A188" s="409">
        <v>183</v>
      </c>
      <c r="B188" s="501">
        <f t="shared" si="19"/>
        <v>1796.0000000000061</v>
      </c>
      <c r="C188" s="501">
        <f t="shared" si="19"/>
        <v>1796.0000000000061</v>
      </c>
      <c r="D188" s="502">
        <f t="shared" si="17"/>
        <v>2904.9999999999941</v>
      </c>
      <c r="E188" s="502">
        <f t="shared" si="18"/>
        <v>2652.50000000001</v>
      </c>
      <c r="F188" s="411"/>
    </row>
    <row r="189" spans="1:6" ht="18" customHeight="1">
      <c r="A189" s="409">
        <v>184</v>
      </c>
      <c r="B189" s="501">
        <f t="shared" si="19"/>
        <v>1805.4000000000062</v>
      </c>
      <c r="C189" s="501">
        <f t="shared" si="19"/>
        <v>1805.4000000000062</v>
      </c>
      <c r="D189" s="502">
        <f t="shared" si="17"/>
        <v>2920.1999999999939</v>
      </c>
      <c r="E189" s="502">
        <f t="shared" si="18"/>
        <v>2666.4000000000101</v>
      </c>
      <c r="F189" s="411"/>
    </row>
    <row r="190" spans="1:6" ht="18" customHeight="1">
      <c r="A190" s="409">
        <v>185</v>
      </c>
      <c r="B190" s="501">
        <f t="shared" si="19"/>
        <v>1814.8000000000063</v>
      </c>
      <c r="C190" s="501">
        <f t="shared" si="19"/>
        <v>1814.8000000000063</v>
      </c>
      <c r="D190" s="502">
        <f t="shared" si="17"/>
        <v>2935.3999999999937</v>
      </c>
      <c r="E190" s="502">
        <f t="shared" si="18"/>
        <v>2680.3000000000102</v>
      </c>
      <c r="F190" s="411"/>
    </row>
    <row r="191" spans="1:6" ht="18" customHeight="1">
      <c r="A191" s="409">
        <v>186</v>
      </c>
      <c r="B191" s="501">
        <f t="shared" si="19"/>
        <v>1824.2000000000064</v>
      </c>
      <c r="C191" s="501">
        <f t="shared" si="19"/>
        <v>1824.2000000000064</v>
      </c>
      <c r="D191" s="502">
        <f t="shared" si="17"/>
        <v>2950.5999999999935</v>
      </c>
      <c r="E191" s="502">
        <f t="shared" si="18"/>
        <v>2694.2000000000103</v>
      </c>
      <c r="F191" s="411"/>
    </row>
    <row r="192" spans="1:6" ht="18" customHeight="1">
      <c r="A192" s="409">
        <v>187</v>
      </c>
      <c r="B192" s="501">
        <f t="shared" si="19"/>
        <v>1833.6000000000065</v>
      </c>
      <c r="C192" s="501">
        <f t="shared" si="19"/>
        <v>1833.6000000000065</v>
      </c>
      <c r="D192" s="502">
        <f t="shared" si="17"/>
        <v>2965.7999999999934</v>
      </c>
      <c r="E192" s="502">
        <f t="shared" si="18"/>
        <v>2708.1000000000104</v>
      </c>
      <c r="F192" s="411"/>
    </row>
    <row r="193" spans="1:6" ht="18" customHeight="1">
      <c r="A193" s="409">
        <v>188</v>
      </c>
      <c r="B193" s="501">
        <f t="shared" si="19"/>
        <v>1843.0000000000066</v>
      </c>
      <c r="C193" s="501">
        <f t="shared" si="19"/>
        <v>1843.0000000000066</v>
      </c>
      <c r="D193" s="502">
        <f t="shared" si="17"/>
        <v>2980.9999999999932</v>
      </c>
      <c r="E193" s="502">
        <f t="shared" si="18"/>
        <v>2722.0000000000105</v>
      </c>
      <c r="F193" s="411"/>
    </row>
    <row r="194" spans="1:6" ht="18" customHeight="1">
      <c r="A194" s="409">
        <v>189</v>
      </c>
      <c r="B194" s="501">
        <f t="shared" si="19"/>
        <v>1852.4000000000067</v>
      </c>
      <c r="C194" s="501">
        <f t="shared" si="19"/>
        <v>1852.4000000000067</v>
      </c>
      <c r="D194" s="502">
        <f t="shared" si="17"/>
        <v>2996.199999999993</v>
      </c>
      <c r="E194" s="502">
        <f t="shared" si="18"/>
        <v>2735.9000000000106</v>
      </c>
      <c r="F194" s="411"/>
    </row>
    <row r="195" spans="1:6" ht="18" customHeight="1">
      <c r="A195" s="409">
        <v>190</v>
      </c>
      <c r="B195" s="501">
        <f t="shared" si="19"/>
        <v>1861.8000000000068</v>
      </c>
      <c r="C195" s="501">
        <f t="shared" si="19"/>
        <v>1861.8000000000068</v>
      </c>
      <c r="D195" s="502">
        <f t="shared" si="17"/>
        <v>3011.3999999999928</v>
      </c>
      <c r="E195" s="502">
        <f t="shared" si="18"/>
        <v>2749.8000000000106</v>
      </c>
      <c r="F195" s="411"/>
    </row>
    <row r="196" spans="1:6" ht="18" customHeight="1">
      <c r="A196" s="409">
        <v>191</v>
      </c>
      <c r="B196" s="501">
        <f t="shared" si="19"/>
        <v>1871.2000000000069</v>
      </c>
      <c r="C196" s="501">
        <f t="shared" si="19"/>
        <v>1871.2000000000069</v>
      </c>
      <c r="D196" s="502">
        <f t="shared" si="17"/>
        <v>3026.5999999999926</v>
      </c>
      <c r="E196" s="502">
        <f t="shared" si="18"/>
        <v>2763.7000000000107</v>
      </c>
      <c r="F196" s="411"/>
    </row>
    <row r="197" spans="1:6" ht="18" customHeight="1">
      <c r="A197" s="409">
        <v>192</v>
      </c>
      <c r="B197" s="501">
        <f t="shared" ref="B197:C212" si="20">B196+9.4</f>
        <v>1880.600000000007</v>
      </c>
      <c r="C197" s="501">
        <f t="shared" si="20"/>
        <v>1880.600000000007</v>
      </c>
      <c r="D197" s="502">
        <f t="shared" si="17"/>
        <v>3041.7999999999925</v>
      </c>
      <c r="E197" s="502">
        <f t="shared" si="18"/>
        <v>2777.6000000000108</v>
      </c>
      <c r="F197" s="411"/>
    </row>
    <row r="198" spans="1:6" ht="18" customHeight="1">
      <c r="A198" s="409">
        <v>193</v>
      </c>
      <c r="B198" s="501">
        <f t="shared" si="20"/>
        <v>1890.000000000007</v>
      </c>
      <c r="C198" s="501">
        <f t="shared" si="20"/>
        <v>1890.000000000007</v>
      </c>
      <c r="D198" s="502">
        <f t="shared" si="17"/>
        <v>3056.9999999999923</v>
      </c>
      <c r="E198" s="502">
        <f t="shared" si="18"/>
        <v>2791.5000000000109</v>
      </c>
      <c r="F198" s="411"/>
    </row>
    <row r="199" spans="1:6" ht="18" customHeight="1">
      <c r="A199" s="409">
        <v>194</v>
      </c>
      <c r="B199" s="501">
        <f t="shared" si="20"/>
        <v>1899.4000000000071</v>
      </c>
      <c r="C199" s="501">
        <f t="shared" si="20"/>
        <v>1899.4000000000071</v>
      </c>
      <c r="D199" s="502">
        <f t="shared" si="17"/>
        <v>3072.1999999999921</v>
      </c>
      <c r="E199" s="502">
        <f t="shared" si="18"/>
        <v>2805.400000000011</v>
      </c>
      <c r="F199" s="411"/>
    </row>
    <row r="200" spans="1:6" ht="18" customHeight="1">
      <c r="A200" s="409">
        <v>195</v>
      </c>
      <c r="B200" s="501">
        <f t="shared" si="20"/>
        <v>1908.8000000000072</v>
      </c>
      <c r="C200" s="501">
        <f t="shared" si="20"/>
        <v>1908.8000000000072</v>
      </c>
      <c r="D200" s="502">
        <f t="shared" si="17"/>
        <v>3087.3999999999919</v>
      </c>
      <c r="E200" s="502">
        <f t="shared" si="18"/>
        <v>2819.3000000000111</v>
      </c>
      <c r="F200" s="411"/>
    </row>
    <row r="201" spans="1:6" ht="18" customHeight="1">
      <c r="A201" s="409">
        <v>196</v>
      </c>
      <c r="B201" s="501">
        <f t="shared" si="20"/>
        <v>1918.2000000000073</v>
      </c>
      <c r="C201" s="501">
        <f t="shared" si="20"/>
        <v>1918.2000000000073</v>
      </c>
      <c r="D201" s="502">
        <f t="shared" si="17"/>
        <v>3102.5999999999917</v>
      </c>
      <c r="E201" s="502">
        <f t="shared" si="18"/>
        <v>2833.2000000000112</v>
      </c>
      <c r="F201" s="411"/>
    </row>
    <row r="202" spans="1:6" ht="18" customHeight="1">
      <c r="A202" s="409">
        <v>197</v>
      </c>
      <c r="B202" s="501">
        <f t="shared" si="20"/>
        <v>1927.6000000000074</v>
      </c>
      <c r="C202" s="501">
        <f t="shared" si="20"/>
        <v>1927.6000000000074</v>
      </c>
      <c r="D202" s="502">
        <f t="shared" si="17"/>
        <v>3117.7999999999915</v>
      </c>
      <c r="E202" s="502">
        <f t="shared" si="18"/>
        <v>2847.1000000000113</v>
      </c>
      <c r="F202" s="411"/>
    </row>
    <row r="203" spans="1:6" ht="18" customHeight="1">
      <c r="A203" s="409">
        <v>198</v>
      </c>
      <c r="B203" s="501">
        <f t="shared" si="20"/>
        <v>1937.0000000000075</v>
      </c>
      <c r="C203" s="501">
        <f t="shared" si="20"/>
        <v>1937.0000000000075</v>
      </c>
      <c r="D203" s="502">
        <f t="shared" si="17"/>
        <v>3132.9999999999914</v>
      </c>
      <c r="E203" s="502">
        <f t="shared" si="18"/>
        <v>2861.0000000000114</v>
      </c>
      <c r="F203" s="411"/>
    </row>
    <row r="204" spans="1:6" ht="18" customHeight="1">
      <c r="A204" s="409">
        <v>199</v>
      </c>
      <c r="B204" s="501">
        <f t="shared" si="20"/>
        <v>1946.4000000000076</v>
      </c>
      <c r="C204" s="501">
        <f t="shared" si="20"/>
        <v>1946.4000000000076</v>
      </c>
      <c r="D204" s="502">
        <f t="shared" si="17"/>
        <v>3148.1999999999912</v>
      </c>
      <c r="E204" s="502">
        <f t="shared" si="18"/>
        <v>2874.9000000000115</v>
      </c>
      <c r="F204" s="411"/>
    </row>
    <row r="205" spans="1:6" ht="18" customHeight="1">
      <c r="A205" s="409">
        <v>200</v>
      </c>
      <c r="B205" s="501">
        <f t="shared" si="20"/>
        <v>1955.8000000000077</v>
      </c>
      <c r="C205" s="501">
        <f t="shared" si="20"/>
        <v>1955.8000000000077</v>
      </c>
      <c r="D205" s="502">
        <f t="shared" si="17"/>
        <v>3163.399999999991</v>
      </c>
      <c r="E205" s="502">
        <f t="shared" si="18"/>
        <v>2888.8000000000116</v>
      </c>
      <c r="F205" s="411"/>
    </row>
    <row r="206" spans="1:6">
      <c r="A206" s="409">
        <v>201</v>
      </c>
      <c r="B206" s="501">
        <f t="shared" si="20"/>
        <v>1965.2000000000078</v>
      </c>
      <c r="C206" s="501">
        <f t="shared" si="20"/>
        <v>1965.2000000000078</v>
      </c>
      <c r="D206" s="502">
        <f t="shared" si="17"/>
        <v>3178.5999999999908</v>
      </c>
      <c r="E206" s="502">
        <f t="shared" si="18"/>
        <v>2902.7000000000116</v>
      </c>
      <c r="F206" s="411"/>
    </row>
    <row r="207" spans="1:6">
      <c r="A207" s="409">
        <v>202</v>
      </c>
      <c r="B207" s="501">
        <f t="shared" si="20"/>
        <v>1974.6000000000079</v>
      </c>
      <c r="C207" s="501">
        <f t="shared" si="20"/>
        <v>1974.6000000000079</v>
      </c>
      <c r="D207" s="502">
        <f t="shared" si="17"/>
        <v>3193.7999999999906</v>
      </c>
      <c r="E207" s="502">
        <f t="shared" si="18"/>
        <v>2916.6000000000117</v>
      </c>
      <c r="F207" s="411"/>
    </row>
    <row r="208" spans="1:6">
      <c r="A208" s="409">
        <v>203</v>
      </c>
      <c r="B208" s="501">
        <f t="shared" si="20"/>
        <v>1984.000000000008</v>
      </c>
      <c r="C208" s="501">
        <f t="shared" si="20"/>
        <v>1984.000000000008</v>
      </c>
      <c r="D208" s="502">
        <f t="shared" si="17"/>
        <v>3208.9999999999905</v>
      </c>
      <c r="E208" s="502">
        <f t="shared" si="18"/>
        <v>2930.5000000000118</v>
      </c>
      <c r="F208" s="411"/>
    </row>
    <row r="209" spans="1:6">
      <c r="A209" s="409">
        <v>204</v>
      </c>
      <c r="B209" s="501">
        <f t="shared" si="20"/>
        <v>1993.400000000008</v>
      </c>
      <c r="C209" s="501">
        <f t="shared" si="20"/>
        <v>1993.400000000008</v>
      </c>
      <c r="D209" s="502">
        <f t="shared" si="17"/>
        <v>3224.1999999999903</v>
      </c>
      <c r="E209" s="502">
        <f t="shared" si="18"/>
        <v>2944.4000000000119</v>
      </c>
      <c r="F209" s="411"/>
    </row>
    <row r="210" spans="1:6">
      <c r="A210" s="409">
        <v>205</v>
      </c>
      <c r="B210" s="501">
        <f t="shared" si="20"/>
        <v>2002.8000000000081</v>
      </c>
      <c r="C210" s="501">
        <f t="shared" si="20"/>
        <v>2002.8000000000081</v>
      </c>
      <c r="D210" s="502">
        <f t="shared" si="17"/>
        <v>3239.3999999999901</v>
      </c>
      <c r="E210" s="502">
        <f t="shared" si="18"/>
        <v>2958.300000000012</v>
      </c>
      <c r="F210" s="411"/>
    </row>
    <row r="211" spans="1:6">
      <c r="A211" s="409">
        <v>206</v>
      </c>
      <c r="B211" s="501">
        <f t="shared" si="20"/>
        <v>2012.2000000000082</v>
      </c>
      <c r="C211" s="501">
        <f t="shared" si="20"/>
        <v>2012.2000000000082</v>
      </c>
      <c r="D211" s="502">
        <f t="shared" si="17"/>
        <v>3254.5999999999899</v>
      </c>
      <c r="E211" s="502">
        <f t="shared" si="18"/>
        <v>2972.2000000000121</v>
      </c>
      <c r="F211" s="411"/>
    </row>
    <row r="212" spans="1:6">
      <c r="A212" s="409">
        <v>207</v>
      </c>
      <c r="B212" s="501">
        <f t="shared" si="20"/>
        <v>2021.6000000000083</v>
      </c>
      <c r="C212" s="501">
        <f t="shared" si="20"/>
        <v>2021.6000000000083</v>
      </c>
      <c r="D212" s="502">
        <f t="shared" si="17"/>
        <v>3269.7999999999897</v>
      </c>
      <c r="E212" s="502">
        <f t="shared" si="18"/>
        <v>2986.1000000000122</v>
      </c>
      <c r="F212" s="411"/>
    </row>
    <row r="213" spans="1:6">
      <c r="A213" s="409">
        <v>208</v>
      </c>
      <c r="B213" s="501">
        <f t="shared" ref="B213:C228" si="21">B212+9.4</f>
        <v>2031.0000000000084</v>
      </c>
      <c r="C213" s="501">
        <f t="shared" si="21"/>
        <v>2031.0000000000084</v>
      </c>
      <c r="D213" s="502">
        <f t="shared" si="17"/>
        <v>3284.9999999999895</v>
      </c>
      <c r="E213" s="502">
        <f t="shared" si="18"/>
        <v>3000.0000000000123</v>
      </c>
      <c r="F213" s="411"/>
    </row>
    <row r="214" spans="1:6">
      <c r="A214" s="409">
        <v>209</v>
      </c>
      <c r="B214" s="501">
        <f t="shared" si="21"/>
        <v>2040.4000000000085</v>
      </c>
      <c r="C214" s="501">
        <f t="shared" si="21"/>
        <v>2040.4000000000085</v>
      </c>
      <c r="D214" s="502">
        <f t="shared" si="17"/>
        <v>3300.1999999999894</v>
      </c>
      <c r="E214" s="502">
        <f t="shared" si="18"/>
        <v>3013.9000000000124</v>
      </c>
      <c r="F214" s="411"/>
    </row>
    <row r="215" spans="1:6">
      <c r="A215" s="409">
        <v>210</v>
      </c>
      <c r="B215" s="501">
        <f t="shared" si="21"/>
        <v>2049.8000000000084</v>
      </c>
      <c r="C215" s="501">
        <f t="shared" si="21"/>
        <v>2049.8000000000084</v>
      </c>
      <c r="D215" s="502">
        <f t="shared" si="17"/>
        <v>3315.3999999999892</v>
      </c>
      <c r="E215" s="502">
        <f t="shared" si="18"/>
        <v>3027.8000000000125</v>
      </c>
      <c r="F215" s="411"/>
    </row>
    <row r="216" spans="1:6">
      <c r="A216" s="409">
        <v>211</v>
      </c>
      <c r="B216" s="501">
        <f t="shared" si="21"/>
        <v>2059.2000000000085</v>
      </c>
      <c r="C216" s="501">
        <f t="shared" si="21"/>
        <v>2059.2000000000085</v>
      </c>
      <c r="D216" s="502">
        <f t="shared" si="17"/>
        <v>3330.599999999989</v>
      </c>
      <c r="E216" s="502">
        <f t="shared" si="18"/>
        <v>3041.7000000000126</v>
      </c>
      <c r="F216" s="411"/>
    </row>
    <row r="217" spans="1:6">
      <c r="A217" s="409">
        <v>212</v>
      </c>
      <c r="B217" s="501">
        <f t="shared" si="21"/>
        <v>2068.6000000000085</v>
      </c>
      <c r="C217" s="501">
        <f t="shared" si="21"/>
        <v>2068.6000000000085</v>
      </c>
      <c r="D217" s="502">
        <f t="shared" si="17"/>
        <v>3345.7999999999888</v>
      </c>
      <c r="E217" s="502">
        <f t="shared" si="18"/>
        <v>3055.6000000000126</v>
      </c>
      <c r="F217" s="411"/>
    </row>
    <row r="218" spans="1:6">
      <c r="A218" s="409">
        <v>213</v>
      </c>
      <c r="B218" s="501">
        <f t="shared" si="21"/>
        <v>2078.0000000000086</v>
      </c>
      <c r="C218" s="501">
        <f t="shared" si="21"/>
        <v>2078.0000000000086</v>
      </c>
      <c r="D218" s="502">
        <f t="shared" si="17"/>
        <v>3360.9999999999886</v>
      </c>
      <c r="E218" s="502">
        <f t="shared" si="18"/>
        <v>3069.5000000000127</v>
      </c>
      <c r="F218" s="411"/>
    </row>
    <row r="219" spans="1:6">
      <c r="A219" s="409">
        <v>214</v>
      </c>
      <c r="B219" s="501">
        <f t="shared" si="21"/>
        <v>2087.4000000000087</v>
      </c>
      <c r="C219" s="501">
        <f t="shared" si="21"/>
        <v>2087.4000000000087</v>
      </c>
      <c r="D219" s="502">
        <f t="shared" si="17"/>
        <v>3376.1999999999884</v>
      </c>
      <c r="E219" s="502">
        <f t="shared" si="18"/>
        <v>3083.4000000000128</v>
      </c>
      <c r="F219" s="411"/>
    </row>
    <row r="220" spans="1:6">
      <c r="A220" s="409">
        <v>215</v>
      </c>
      <c r="B220" s="501">
        <f t="shared" si="21"/>
        <v>2096.8000000000088</v>
      </c>
      <c r="C220" s="501">
        <f t="shared" si="21"/>
        <v>2096.8000000000088</v>
      </c>
      <c r="D220" s="502">
        <f t="shared" si="17"/>
        <v>3391.3999999999883</v>
      </c>
      <c r="E220" s="502">
        <f t="shared" si="18"/>
        <v>3097.3000000000129</v>
      </c>
      <c r="F220" s="411"/>
    </row>
    <row r="221" spans="1:6">
      <c r="A221" s="409">
        <v>216</v>
      </c>
      <c r="B221" s="501">
        <f t="shared" si="21"/>
        <v>2106.2000000000089</v>
      </c>
      <c r="C221" s="501">
        <f t="shared" si="21"/>
        <v>2106.2000000000089</v>
      </c>
      <c r="D221" s="502">
        <f t="shared" si="17"/>
        <v>3406.5999999999881</v>
      </c>
      <c r="E221" s="502">
        <f t="shared" si="18"/>
        <v>3111.200000000013</v>
      </c>
    </row>
    <row r="222" spans="1:6">
      <c r="A222" s="409">
        <v>217</v>
      </c>
      <c r="B222" s="501">
        <f t="shared" si="21"/>
        <v>2115.600000000009</v>
      </c>
      <c r="C222" s="501">
        <f t="shared" si="21"/>
        <v>2115.600000000009</v>
      </c>
      <c r="D222" s="502">
        <f t="shared" si="17"/>
        <v>3421.7999999999879</v>
      </c>
      <c r="E222" s="502">
        <f t="shared" si="18"/>
        <v>3125.1000000000131</v>
      </c>
    </row>
    <row r="223" spans="1:6">
      <c r="A223" s="409">
        <v>218</v>
      </c>
      <c r="B223" s="501">
        <f t="shared" si="21"/>
        <v>2125.0000000000091</v>
      </c>
      <c r="C223" s="501">
        <f t="shared" si="21"/>
        <v>2125.0000000000091</v>
      </c>
      <c r="D223" s="502">
        <f t="shared" si="17"/>
        <v>3436.9999999999877</v>
      </c>
      <c r="E223" s="502">
        <f t="shared" si="18"/>
        <v>3139.0000000000132</v>
      </c>
    </row>
    <row r="224" spans="1:6">
      <c r="A224" s="409">
        <v>219</v>
      </c>
      <c r="B224" s="501">
        <f t="shared" si="21"/>
        <v>2134.4000000000092</v>
      </c>
      <c r="C224" s="501">
        <f t="shared" si="21"/>
        <v>2134.4000000000092</v>
      </c>
      <c r="D224" s="502">
        <f t="shared" si="17"/>
        <v>3452.1999999999875</v>
      </c>
      <c r="E224" s="502">
        <f t="shared" si="18"/>
        <v>3152.9000000000133</v>
      </c>
    </row>
    <row r="225" spans="1:5">
      <c r="A225" s="409">
        <v>220</v>
      </c>
      <c r="B225" s="501">
        <f t="shared" si="21"/>
        <v>2143.8000000000093</v>
      </c>
      <c r="C225" s="501">
        <f t="shared" si="21"/>
        <v>2143.8000000000093</v>
      </c>
      <c r="D225" s="502">
        <f t="shared" si="17"/>
        <v>3467.3999999999874</v>
      </c>
      <c r="E225" s="502">
        <f t="shared" si="18"/>
        <v>3166.8000000000134</v>
      </c>
    </row>
    <row r="226" spans="1:5">
      <c r="A226" s="409">
        <v>221</v>
      </c>
      <c r="B226" s="501">
        <f t="shared" si="21"/>
        <v>2153.2000000000094</v>
      </c>
      <c r="C226" s="501">
        <f t="shared" si="21"/>
        <v>2153.2000000000094</v>
      </c>
      <c r="D226" s="502">
        <f t="shared" si="17"/>
        <v>3482.5999999999872</v>
      </c>
      <c r="E226" s="502">
        <f t="shared" si="18"/>
        <v>3180.7000000000135</v>
      </c>
    </row>
    <row r="227" spans="1:5">
      <c r="A227" s="409">
        <v>222</v>
      </c>
      <c r="B227" s="501">
        <f t="shared" si="21"/>
        <v>2162.6000000000095</v>
      </c>
      <c r="C227" s="501">
        <f t="shared" si="21"/>
        <v>2162.6000000000095</v>
      </c>
      <c r="D227" s="502">
        <f t="shared" si="17"/>
        <v>3497.799999999987</v>
      </c>
      <c r="E227" s="502">
        <f t="shared" si="18"/>
        <v>3194.6000000000136</v>
      </c>
    </row>
    <row r="228" spans="1:5">
      <c r="A228" s="409">
        <v>223</v>
      </c>
      <c r="B228" s="501">
        <f t="shared" si="21"/>
        <v>2172.0000000000095</v>
      </c>
      <c r="C228" s="501">
        <f t="shared" si="21"/>
        <v>2172.0000000000095</v>
      </c>
      <c r="D228" s="502">
        <f t="shared" si="17"/>
        <v>3512.9999999999868</v>
      </c>
      <c r="E228" s="502">
        <f t="shared" si="18"/>
        <v>3208.5000000000136</v>
      </c>
    </row>
    <row r="229" spans="1:5">
      <c r="A229" s="409">
        <v>224</v>
      </c>
      <c r="B229" s="501">
        <f t="shared" ref="B229:C244" si="22">B228+9.4</f>
        <v>2181.4000000000096</v>
      </c>
      <c r="C229" s="501">
        <f t="shared" si="22"/>
        <v>2181.4000000000096</v>
      </c>
      <c r="D229" s="502">
        <f t="shared" ref="D229:D287" si="23">D228+15.2</f>
        <v>3528.1999999999866</v>
      </c>
      <c r="E229" s="502">
        <f t="shared" ref="E229:E287" si="24">E228+13.9</f>
        <v>3222.4000000000137</v>
      </c>
    </row>
    <row r="230" spans="1:5">
      <c r="A230" s="409">
        <v>225</v>
      </c>
      <c r="B230" s="501">
        <f t="shared" si="22"/>
        <v>2190.8000000000097</v>
      </c>
      <c r="C230" s="501">
        <f t="shared" si="22"/>
        <v>2190.8000000000097</v>
      </c>
      <c r="D230" s="502">
        <f t="shared" si="23"/>
        <v>3543.3999999999864</v>
      </c>
      <c r="E230" s="502">
        <f t="shared" si="24"/>
        <v>3236.3000000000138</v>
      </c>
    </row>
    <row r="231" spans="1:5">
      <c r="A231" s="409">
        <v>226</v>
      </c>
      <c r="B231" s="501">
        <f t="shared" si="22"/>
        <v>2200.2000000000098</v>
      </c>
      <c r="C231" s="501">
        <f t="shared" si="22"/>
        <v>2200.2000000000098</v>
      </c>
      <c r="D231" s="502">
        <f t="shared" si="23"/>
        <v>3558.5999999999863</v>
      </c>
      <c r="E231" s="502">
        <f t="shared" si="24"/>
        <v>3250.2000000000139</v>
      </c>
    </row>
    <row r="232" spans="1:5">
      <c r="A232" s="409">
        <v>227</v>
      </c>
      <c r="B232" s="501">
        <f t="shared" si="22"/>
        <v>2209.6000000000099</v>
      </c>
      <c r="C232" s="501">
        <f t="shared" si="22"/>
        <v>2209.6000000000099</v>
      </c>
      <c r="D232" s="502">
        <f t="shared" si="23"/>
        <v>3573.7999999999861</v>
      </c>
      <c r="E232" s="502">
        <f t="shared" si="24"/>
        <v>3264.100000000014</v>
      </c>
    </row>
    <row r="233" spans="1:5">
      <c r="A233" s="409">
        <v>228</v>
      </c>
      <c r="B233" s="501">
        <f t="shared" si="22"/>
        <v>2219.00000000001</v>
      </c>
      <c r="C233" s="501">
        <f t="shared" si="22"/>
        <v>2219.00000000001</v>
      </c>
      <c r="D233" s="502">
        <f t="shared" si="23"/>
        <v>3588.9999999999859</v>
      </c>
      <c r="E233" s="502">
        <f t="shared" si="24"/>
        <v>3278.0000000000141</v>
      </c>
    </row>
    <row r="234" spans="1:5">
      <c r="A234" s="409">
        <v>229</v>
      </c>
      <c r="B234" s="501">
        <f t="shared" si="22"/>
        <v>2228.4000000000101</v>
      </c>
      <c r="C234" s="501">
        <f t="shared" si="22"/>
        <v>2228.4000000000101</v>
      </c>
      <c r="D234" s="502">
        <f t="shared" si="23"/>
        <v>3604.1999999999857</v>
      </c>
      <c r="E234" s="502">
        <f t="shared" si="24"/>
        <v>3291.9000000000142</v>
      </c>
    </row>
    <row r="235" spans="1:5">
      <c r="A235" s="409">
        <v>230</v>
      </c>
      <c r="B235" s="501">
        <f t="shared" si="22"/>
        <v>2237.8000000000102</v>
      </c>
      <c r="C235" s="501">
        <f t="shared" si="22"/>
        <v>2237.8000000000102</v>
      </c>
      <c r="D235" s="502">
        <f t="shared" si="23"/>
        <v>3619.3999999999855</v>
      </c>
      <c r="E235" s="502">
        <f t="shared" si="24"/>
        <v>3305.8000000000143</v>
      </c>
    </row>
    <row r="236" spans="1:5">
      <c r="A236" s="409">
        <v>231</v>
      </c>
      <c r="B236" s="501">
        <f t="shared" si="22"/>
        <v>2247.2000000000103</v>
      </c>
      <c r="C236" s="501">
        <f t="shared" si="22"/>
        <v>2247.2000000000103</v>
      </c>
      <c r="D236" s="502">
        <f t="shared" si="23"/>
        <v>3634.5999999999854</v>
      </c>
      <c r="E236" s="502">
        <f t="shared" si="24"/>
        <v>3319.7000000000144</v>
      </c>
    </row>
    <row r="237" spans="1:5">
      <c r="A237" s="409">
        <v>232</v>
      </c>
      <c r="B237" s="501">
        <f t="shared" si="22"/>
        <v>2256.6000000000104</v>
      </c>
      <c r="C237" s="501">
        <f t="shared" si="22"/>
        <v>2256.6000000000104</v>
      </c>
      <c r="D237" s="502">
        <f t="shared" si="23"/>
        <v>3649.7999999999852</v>
      </c>
      <c r="E237" s="502">
        <f t="shared" si="24"/>
        <v>3333.6000000000145</v>
      </c>
    </row>
    <row r="238" spans="1:5">
      <c r="A238" s="409">
        <v>233</v>
      </c>
      <c r="B238" s="501">
        <f t="shared" si="22"/>
        <v>2266.0000000000105</v>
      </c>
      <c r="C238" s="501">
        <f t="shared" si="22"/>
        <v>2266.0000000000105</v>
      </c>
      <c r="D238" s="502">
        <f t="shared" si="23"/>
        <v>3664.999999999985</v>
      </c>
      <c r="E238" s="502">
        <f t="shared" si="24"/>
        <v>3347.5000000000146</v>
      </c>
    </row>
    <row r="239" spans="1:5">
      <c r="A239" s="409">
        <v>234</v>
      </c>
      <c r="B239" s="501">
        <f t="shared" si="22"/>
        <v>2275.4000000000106</v>
      </c>
      <c r="C239" s="501">
        <f t="shared" si="22"/>
        <v>2275.4000000000106</v>
      </c>
      <c r="D239" s="502">
        <f t="shared" si="23"/>
        <v>3680.1999999999848</v>
      </c>
      <c r="E239" s="502">
        <f t="shared" si="24"/>
        <v>3361.4000000000146</v>
      </c>
    </row>
    <row r="240" spans="1:5">
      <c r="A240" s="409">
        <v>235</v>
      </c>
      <c r="B240" s="501">
        <f t="shared" si="22"/>
        <v>2284.8000000000106</v>
      </c>
      <c r="C240" s="501">
        <f t="shared" si="22"/>
        <v>2284.8000000000106</v>
      </c>
      <c r="D240" s="502">
        <f t="shared" si="23"/>
        <v>3695.3999999999846</v>
      </c>
      <c r="E240" s="502">
        <f t="shared" si="24"/>
        <v>3375.3000000000147</v>
      </c>
    </row>
    <row r="241" spans="1:5">
      <c r="A241" s="409">
        <v>236</v>
      </c>
      <c r="B241" s="501">
        <f t="shared" si="22"/>
        <v>2294.2000000000107</v>
      </c>
      <c r="C241" s="501">
        <f t="shared" si="22"/>
        <v>2294.2000000000107</v>
      </c>
      <c r="D241" s="502">
        <f t="shared" si="23"/>
        <v>3710.5999999999844</v>
      </c>
      <c r="E241" s="502">
        <f t="shared" si="24"/>
        <v>3389.2000000000148</v>
      </c>
    </row>
    <row r="242" spans="1:5">
      <c r="A242" s="409">
        <v>237</v>
      </c>
      <c r="B242" s="501">
        <f t="shared" si="22"/>
        <v>2303.6000000000108</v>
      </c>
      <c r="C242" s="501">
        <f t="shared" si="22"/>
        <v>2303.6000000000108</v>
      </c>
      <c r="D242" s="502">
        <f t="shared" si="23"/>
        <v>3725.7999999999843</v>
      </c>
      <c r="E242" s="502">
        <f t="shared" si="24"/>
        <v>3403.1000000000149</v>
      </c>
    </row>
    <row r="243" spans="1:5">
      <c r="A243" s="409">
        <v>238</v>
      </c>
      <c r="B243" s="501">
        <f t="shared" si="22"/>
        <v>2313.0000000000109</v>
      </c>
      <c r="C243" s="501">
        <f t="shared" si="22"/>
        <v>2313.0000000000109</v>
      </c>
      <c r="D243" s="502">
        <f t="shared" si="23"/>
        <v>3740.9999999999841</v>
      </c>
      <c r="E243" s="502">
        <f t="shared" si="24"/>
        <v>3417.000000000015</v>
      </c>
    </row>
    <row r="244" spans="1:5">
      <c r="A244" s="409">
        <v>239</v>
      </c>
      <c r="B244" s="501">
        <f t="shared" si="22"/>
        <v>2322.400000000011</v>
      </c>
      <c r="C244" s="501">
        <f t="shared" si="22"/>
        <v>2322.400000000011</v>
      </c>
      <c r="D244" s="502">
        <f t="shared" si="23"/>
        <v>3756.1999999999839</v>
      </c>
      <c r="E244" s="502">
        <f t="shared" si="24"/>
        <v>3430.9000000000151</v>
      </c>
    </row>
    <row r="245" spans="1:5">
      <c r="A245" s="409">
        <v>240</v>
      </c>
      <c r="B245" s="501">
        <f t="shared" ref="B245:C260" si="25">B244+9.4</f>
        <v>2331.8000000000111</v>
      </c>
      <c r="C245" s="501">
        <f t="shared" si="25"/>
        <v>2331.8000000000111</v>
      </c>
      <c r="D245" s="502">
        <f t="shared" si="23"/>
        <v>3771.3999999999837</v>
      </c>
      <c r="E245" s="502">
        <f t="shared" si="24"/>
        <v>3444.8000000000152</v>
      </c>
    </row>
    <row r="246" spans="1:5">
      <c r="A246" s="409">
        <v>241</v>
      </c>
      <c r="B246" s="501">
        <f t="shared" si="25"/>
        <v>2341.2000000000112</v>
      </c>
      <c r="C246" s="501">
        <f t="shared" si="25"/>
        <v>2341.2000000000112</v>
      </c>
      <c r="D246" s="502">
        <f t="shared" si="23"/>
        <v>3786.5999999999835</v>
      </c>
      <c r="E246" s="502">
        <f t="shared" si="24"/>
        <v>3458.7000000000153</v>
      </c>
    </row>
    <row r="247" spans="1:5">
      <c r="A247" s="409">
        <v>242</v>
      </c>
      <c r="B247" s="501">
        <f t="shared" si="25"/>
        <v>2350.6000000000113</v>
      </c>
      <c r="C247" s="501">
        <f t="shared" si="25"/>
        <v>2350.6000000000113</v>
      </c>
      <c r="D247" s="502">
        <f t="shared" si="23"/>
        <v>3801.7999999999834</v>
      </c>
      <c r="E247" s="502">
        <f t="shared" si="24"/>
        <v>3472.6000000000154</v>
      </c>
    </row>
    <row r="248" spans="1:5">
      <c r="A248" s="409">
        <v>243</v>
      </c>
      <c r="B248" s="501">
        <f t="shared" si="25"/>
        <v>2360.0000000000114</v>
      </c>
      <c r="C248" s="501">
        <f t="shared" si="25"/>
        <v>2360.0000000000114</v>
      </c>
      <c r="D248" s="502">
        <f t="shared" si="23"/>
        <v>3816.9999999999832</v>
      </c>
      <c r="E248" s="502">
        <f t="shared" si="24"/>
        <v>3486.5000000000155</v>
      </c>
    </row>
    <row r="249" spans="1:5">
      <c r="A249" s="409">
        <v>244</v>
      </c>
      <c r="B249" s="501">
        <f t="shared" si="25"/>
        <v>2369.4000000000115</v>
      </c>
      <c r="C249" s="501">
        <f t="shared" si="25"/>
        <v>2369.4000000000115</v>
      </c>
      <c r="D249" s="502">
        <f t="shared" si="23"/>
        <v>3832.199999999983</v>
      </c>
      <c r="E249" s="502">
        <f t="shared" si="24"/>
        <v>3500.4000000000156</v>
      </c>
    </row>
    <row r="250" spans="1:5">
      <c r="A250" s="409">
        <v>245</v>
      </c>
      <c r="B250" s="501">
        <f t="shared" si="25"/>
        <v>2378.8000000000116</v>
      </c>
      <c r="C250" s="501">
        <f t="shared" si="25"/>
        <v>2378.8000000000116</v>
      </c>
      <c r="D250" s="502">
        <f t="shared" si="23"/>
        <v>3847.3999999999828</v>
      </c>
      <c r="E250" s="502">
        <f t="shared" si="24"/>
        <v>3514.3000000000156</v>
      </c>
    </row>
    <row r="251" spans="1:5">
      <c r="A251" s="409">
        <v>246</v>
      </c>
      <c r="B251" s="501">
        <f t="shared" si="25"/>
        <v>2388.2000000000116</v>
      </c>
      <c r="C251" s="501">
        <f t="shared" si="25"/>
        <v>2388.2000000000116</v>
      </c>
      <c r="D251" s="502">
        <f t="shared" si="23"/>
        <v>3862.5999999999826</v>
      </c>
      <c r="E251" s="502">
        <f t="shared" si="24"/>
        <v>3528.2000000000157</v>
      </c>
    </row>
    <row r="252" spans="1:5">
      <c r="A252" s="409">
        <v>247</v>
      </c>
      <c r="B252" s="501">
        <f t="shared" si="25"/>
        <v>2397.6000000000117</v>
      </c>
      <c r="C252" s="501">
        <f t="shared" si="25"/>
        <v>2397.6000000000117</v>
      </c>
      <c r="D252" s="502">
        <f t="shared" si="23"/>
        <v>3877.7999999999824</v>
      </c>
      <c r="E252" s="502">
        <f t="shared" si="24"/>
        <v>3542.1000000000158</v>
      </c>
    </row>
    <row r="253" spans="1:5">
      <c r="A253" s="409">
        <v>248</v>
      </c>
      <c r="B253" s="501">
        <f t="shared" si="25"/>
        <v>2407.0000000000118</v>
      </c>
      <c r="C253" s="501">
        <f t="shared" si="25"/>
        <v>2407.0000000000118</v>
      </c>
      <c r="D253" s="502">
        <f t="shared" si="23"/>
        <v>3892.9999999999823</v>
      </c>
      <c r="E253" s="502">
        <f t="shared" si="24"/>
        <v>3556.0000000000159</v>
      </c>
    </row>
    <row r="254" spans="1:5">
      <c r="A254" s="409">
        <v>249</v>
      </c>
      <c r="B254" s="501">
        <f t="shared" si="25"/>
        <v>2416.4000000000119</v>
      </c>
      <c r="C254" s="501">
        <f t="shared" si="25"/>
        <v>2416.4000000000119</v>
      </c>
      <c r="D254" s="502">
        <f t="shared" si="23"/>
        <v>3908.1999999999821</v>
      </c>
      <c r="E254" s="502">
        <f t="shared" si="24"/>
        <v>3569.900000000016</v>
      </c>
    </row>
    <row r="255" spans="1:5">
      <c r="A255" s="409">
        <v>250</v>
      </c>
      <c r="B255" s="501">
        <f t="shared" si="25"/>
        <v>2425.800000000012</v>
      </c>
      <c r="C255" s="501">
        <f t="shared" si="25"/>
        <v>2425.800000000012</v>
      </c>
      <c r="D255" s="502">
        <f t="shared" si="23"/>
        <v>3923.3999999999819</v>
      </c>
      <c r="E255" s="502">
        <f t="shared" si="24"/>
        <v>3583.8000000000161</v>
      </c>
    </row>
    <row r="256" spans="1:5">
      <c r="A256" s="409">
        <v>251</v>
      </c>
      <c r="B256" s="501">
        <f t="shared" si="25"/>
        <v>2435.2000000000121</v>
      </c>
      <c r="C256" s="501">
        <f t="shared" si="25"/>
        <v>2435.2000000000121</v>
      </c>
      <c r="D256" s="502">
        <f t="shared" si="23"/>
        <v>3938.5999999999817</v>
      </c>
      <c r="E256" s="502">
        <f t="shared" si="24"/>
        <v>3597.7000000000162</v>
      </c>
    </row>
    <row r="257" spans="1:5">
      <c r="A257" s="409">
        <v>252</v>
      </c>
      <c r="B257" s="501">
        <f t="shared" si="25"/>
        <v>2444.6000000000122</v>
      </c>
      <c r="C257" s="501">
        <f t="shared" si="25"/>
        <v>2444.6000000000122</v>
      </c>
      <c r="D257" s="502">
        <f t="shared" si="23"/>
        <v>3953.7999999999815</v>
      </c>
      <c r="E257" s="502">
        <f t="shared" si="24"/>
        <v>3611.6000000000163</v>
      </c>
    </row>
    <row r="258" spans="1:5">
      <c r="A258" s="409">
        <v>253</v>
      </c>
      <c r="B258" s="501">
        <f t="shared" si="25"/>
        <v>2454.0000000000123</v>
      </c>
      <c r="C258" s="501">
        <f t="shared" si="25"/>
        <v>2454.0000000000123</v>
      </c>
      <c r="D258" s="502">
        <f t="shared" si="23"/>
        <v>3968.9999999999814</v>
      </c>
      <c r="E258" s="502">
        <f t="shared" si="24"/>
        <v>3625.5000000000164</v>
      </c>
    </row>
    <row r="259" spans="1:5">
      <c r="A259" s="409">
        <v>254</v>
      </c>
      <c r="B259" s="501">
        <f t="shared" si="25"/>
        <v>2463.4000000000124</v>
      </c>
      <c r="C259" s="501">
        <f t="shared" si="25"/>
        <v>2463.4000000000124</v>
      </c>
      <c r="D259" s="502">
        <f t="shared" si="23"/>
        <v>3984.1999999999812</v>
      </c>
      <c r="E259" s="502">
        <f t="shared" si="24"/>
        <v>3639.4000000000165</v>
      </c>
    </row>
    <row r="260" spans="1:5">
      <c r="A260" s="409">
        <v>255</v>
      </c>
      <c r="B260" s="501">
        <f t="shared" si="25"/>
        <v>2472.8000000000125</v>
      </c>
      <c r="C260" s="501">
        <f t="shared" si="25"/>
        <v>2472.8000000000125</v>
      </c>
      <c r="D260" s="502">
        <f t="shared" si="23"/>
        <v>3999.399999999981</v>
      </c>
      <c r="E260" s="502">
        <f t="shared" si="24"/>
        <v>3653.3000000000166</v>
      </c>
    </row>
    <row r="261" spans="1:5">
      <c r="A261" s="409">
        <v>256</v>
      </c>
      <c r="B261" s="501">
        <f t="shared" ref="B261:C276" si="26">B260+9.4</f>
        <v>2482.2000000000126</v>
      </c>
      <c r="C261" s="501">
        <f t="shared" si="26"/>
        <v>2482.2000000000126</v>
      </c>
      <c r="D261" s="502">
        <f t="shared" si="23"/>
        <v>4014.5999999999808</v>
      </c>
      <c r="E261" s="502">
        <f t="shared" si="24"/>
        <v>3667.2000000000166</v>
      </c>
    </row>
    <row r="262" spans="1:5">
      <c r="A262" s="409">
        <v>257</v>
      </c>
      <c r="B262" s="501">
        <f t="shared" si="26"/>
        <v>2491.6000000000126</v>
      </c>
      <c r="C262" s="501">
        <f t="shared" si="26"/>
        <v>2491.6000000000126</v>
      </c>
      <c r="D262" s="502">
        <f t="shared" si="23"/>
        <v>4029.7999999999806</v>
      </c>
      <c r="E262" s="502">
        <f t="shared" si="24"/>
        <v>3681.1000000000167</v>
      </c>
    </row>
    <row r="263" spans="1:5">
      <c r="A263" s="409">
        <v>258</v>
      </c>
      <c r="B263" s="501">
        <f t="shared" si="26"/>
        <v>2501.0000000000127</v>
      </c>
      <c r="C263" s="501">
        <f t="shared" si="26"/>
        <v>2501.0000000000127</v>
      </c>
      <c r="D263" s="502">
        <f t="shared" si="23"/>
        <v>4044.9999999999804</v>
      </c>
      <c r="E263" s="502">
        <f t="shared" si="24"/>
        <v>3695.0000000000168</v>
      </c>
    </row>
    <row r="264" spans="1:5">
      <c r="A264" s="409">
        <v>259</v>
      </c>
      <c r="B264" s="501">
        <f t="shared" si="26"/>
        <v>2510.4000000000128</v>
      </c>
      <c r="C264" s="501">
        <f t="shared" si="26"/>
        <v>2510.4000000000128</v>
      </c>
      <c r="D264" s="502">
        <f t="shared" si="23"/>
        <v>4060.1999999999803</v>
      </c>
      <c r="E264" s="502">
        <f t="shared" si="24"/>
        <v>3708.9000000000169</v>
      </c>
    </row>
    <row r="265" spans="1:5">
      <c r="A265" s="409">
        <v>260</v>
      </c>
      <c r="B265" s="501">
        <f t="shared" si="26"/>
        <v>2519.8000000000129</v>
      </c>
      <c r="C265" s="501">
        <f t="shared" si="26"/>
        <v>2519.8000000000129</v>
      </c>
      <c r="D265" s="502">
        <f t="shared" si="23"/>
        <v>4075.3999999999801</v>
      </c>
      <c r="E265" s="502">
        <f t="shared" si="24"/>
        <v>3722.800000000017</v>
      </c>
    </row>
    <row r="266" spans="1:5">
      <c r="A266" s="409">
        <v>261</v>
      </c>
      <c r="B266" s="501">
        <f t="shared" si="26"/>
        <v>2529.200000000013</v>
      </c>
      <c r="C266" s="501">
        <f t="shared" si="26"/>
        <v>2529.200000000013</v>
      </c>
      <c r="D266" s="502">
        <f t="shared" si="23"/>
        <v>4090.5999999999799</v>
      </c>
      <c r="E266" s="502">
        <f t="shared" si="24"/>
        <v>3736.7000000000171</v>
      </c>
    </row>
    <row r="267" spans="1:5">
      <c r="A267" s="409">
        <v>262</v>
      </c>
      <c r="B267" s="501">
        <f t="shared" si="26"/>
        <v>2538.6000000000131</v>
      </c>
      <c r="C267" s="501">
        <f t="shared" si="26"/>
        <v>2538.6000000000131</v>
      </c>
      <c r="D267" s="502">
        <f t="shared" si="23"/>
        <v>4105.7999999999802</v>
      </c>
      <c r="E267" s="502">
        <f t="shared" si="24"/>
        <v>3750.6000000000172</v>
      </c>
    </row>
    <row r="268" spans="1:5">
      <c r="A268" s="409">
        <v>263</v>
      </c>
      <c r="B268" s="501">
        <f t="shared" si="26"/>
        <v>2548.0000000000132</v>
      </c>
      <c r="C268" s="501">
        <f t="shared" si="26"/>
        <v>2548.0000000000132</v>
      </c>
      <c r="D268" s="502">
        <f t="shared" si="23"/>
        <v>4120.99999999998</v>
      </c>
      <c r="E268" s="502">
        <f t="shared" si="24"/>
        <v>3764.5000000000173</v>
      </c>
    </row>
    <row r="269" spans="1:5">
      <c r="A269" s="409">
        <v>264</v>
      </c>
      <c r="B269" s="501">
        <f t="shared" si="26"/>
        <v>2557.4000000000133</v>
      </c>
      <c r="C269" s="501">
        <f t="shared" si="26"/>
        <v>2557.4000000000133</v>
      </c>
      <c r="D269" s="502">
        <f t="shared" si="23"/>
        <v>4136.1999999999798</v>
      </c>
      <c r="E269" s="502">
        <f t="shared" si="24"/>
        <v>3778.4000000000174</v>
      </c>
    </row>
    <row r="270" spans="1:5">
      <c r="A270" s="409">
        <v>265</v>
      </c>
      <c r="B270" s="501">
        <f t="shared" si="26"/>
        <v>2566.8000000000134</v>
      </c>
      <c r="C270" s="501">
        <f t="shared" si="26"/>
        <v>2566.8000000000134</v>
      </c>
      <c r="D270" s="502">
        <f t="shared" si="23"/>
        <v>4151.3999999999796</v>
      </c>
      <c r="E270" s="502">
        <f t="shared" si="24"/>
        <v>3792.3000000000175</v>
      </c>
    </row>
    <row r="271" spans="1:5">
      <c r="A271" s="409">
        <v>266</v>
      </c>
      <c r="B271" s="501">
        <f t="shared" si="26"/>
        <v>2576.2000000000135</v>
      </c>
      <c r="C271" s="501">
        <f t="shared" si="26"/>
        <v>2576.2000000000135</v>
      </c>
      <c r="D271" s="502">
        <f t="shared" si="23"/>
        <v>4166.5999999999794</v>
      </c>
      <c r="E271" s="502">
        <f t="shared" si="24"/>
        <v>3806.2000000000176</v>
      </c>
    </row>
    <row r="272" spans="1:5">
      <c r="A272" s="409">
        <v>267</v>
      </c>
      <c r="B272" s="501">
        <f t="shared" si="26"/>
        <v>2585.6000000000136</v>
      </c>
      <c r="C272" s="501">
        <f t="shared" si="26"/>
        <v>2585.6000000000136</v>
      </c>
      <c r="D272" s="502">
        <f t="shared" si="23"/>
        <v>4181.7999999999793</v>
      </c>
      <c r="E272" s="502">
        <f t="shared" si="24"/>
        <v>3820.1000000000176</v>
      </c>
    </row>
    <row r="273" spans="1:5">
      <c r="A273" s="409">
        <v>268</v>
      </c>
      <c r="B273" s="501">
        <f t="shared" si="26"/>
        <v>2595.0000000000136</v>
      </c>
      <c r="C273" s="501">
        <f t="shared" si="26"/>
        <v>2595.0000000000136</v>
      </c>
      <c r="D273" s="502">
        <f t="shared" si="23"/>
        <v>4196.9999999999791</v>
      </c>
      <c r="E273" s="502">
        <f t="shared" si="24"/>
        <v>3834.0000000000177</v>
      </c>
    </row>
    <row r="274" spans="1:5">
      <c r="A274" s="409">
        <v>269</v>
      </c>
      <c r="B274" s="501">
        <f t="shared" si="26"/>
        <v>2604.4000000000137</v>
      </c>
      <c r="C274" s="501">
        <f t="shared" si="26"/>
        <v>2604.4000000000137</v>
      </c>
      <c r="D274" s="502">
        <f t="shared" si="23"/>
        <v>4212.1999999999789</v>
      </c>
      <c r="E274" s="502">
        <f t="shared" si="24"/>
        <v>3847.9000000000178</v>
      </c>
    </row>
    <row r="275" spans="1:5">
      <c r="A275" s="409">
        <v>270</v>
      </c>
      <c r="B275" s="501">
        <f t="shared" si="26"/>
        <v>2613.8000000000138</v>
      </c>
      <c r="C275" s="501">
        <f t="shared" si="26"/>
        <v>2613.8000000000138</v>
      </c>
      <c r="D275" s="502">
        <f t="shared" si="23"/>
        <v>4227.3999999999787</v>
      </c>
      <c r="E275" s="502">
        <f t="shared" si="24"/>
        <v>3861.8000000000179</v>
      </c>
    </row>
    <row r="276" spans="1:5">
      <c r="A276" s="409">
        <v>271</v>
      </c>
      <c r="B276" s="501">
        <f t="shared" si="26"/>
        <v>2623.2000000000139</v>
      </c>
      <c r="C276" s="501">
        <f t="shared" si="26"/>
        <v>2623.2000000000139</v>
      </c>
      <c r="D276" s="502">
        <f t="shared" si="23"/>
        <v>4242.5999999999785</v>
      </c>
      <c r="E276" s="502">
        <f t="shared" si="24"/>
        <v>3875.700000000018</v>
      </c>
    </row>
    <row r="277" spans="1:5">
      <c r="A277" s="409">
        <v>272</v>
      </c>
      <c r="B277" s="501">
        <f t="shared" ref="B277:C287" si="27">B276+9.4</f>
        <v>2632.600000000014</v>
      </c>
      <c r="C277" s="501">
        <f t="shared" si="27"/>
        <v>2632.600000000014</v>
      </c>
      <c r="D277" s="502">
        <f t="shared" si="23"/>
        <v>4257.7999999999784</v>
      </c>
      <c r="E277" s="502">
        <f t="shared" si="24"/>
        <v>3889.6000000000181</v>
      </c>
    </row>
    <row r="278" spans="1:5">
      <c r="A278" s="409">
        <v>273</v>
      </c>
      <c r="B278" s="501">
        <f t="shared" si="27"/>
        <v>2642.0000000000141</v>
      </c>
      <c r="C278" s="501">
        <f t="shared" si="27"/>
        <v>2642.0000000000141</v>
      </c>
      <c r="D278" s="502">
        <f t="shared" si="23"/>
        <v>4272.9999999999782</v>
      </c>
      <c r="E278" s="502">
        <f t="shared" si="24"/>
        <v>3903.5000000000182</v>
      </c>
    </row>
    <row r="279" spans="1:5">
      <c r="A279" s="409">
        <v>274</v>
      </c>
      <c r="B279" s="501">
        <f t="shared" si="27"/>
        <v>2651.4000000000142</v>
      </c>
      <c r="C279" s="501">
        <f t="shared" si="27"/>
        <v>2651.4000000000142</v>
      </c>
      <c r="D279" s="502">
        <f t="shared" si="23"/>
        <v>4288.199999999978</v>
      </c>
      <c r="E279" s="502">
        <f t="shared" si="24"/>
        <v>3917.4000000000183</v>
      </c>
    </row>
    <row r="280" spans="1:5">
      <c r="A280" s="409">
        <v>275</v>
      </c>
      <c r="B280" s="501">
        <f t="shared" si="27"/>
        <v>2660.8000000000143</v>
      </c>
      <c r="C280" s="501">
        <f t="shared" si="27"/>
        <v>2660.8000000000143</v>
      </c>
      <c r="D280" s="502">
        <f t="shared" si="23"/>
        <v>4303.3999999999778</v>
      </c>
      <c r="E280" s="502">
        <f t="shared" si="24"/>
        <v>3931.3000000000184</v>
      </c>
    </row>
    <row r="281" spans="1:5">
      <c r="A281" s="409">
        <v>276</v>
      </c>
      <c r="B281" s="501">
        <f t="shared" si="27"/>
        <v>2670.2000000000144</v>
      </c>
      <c r="C281" s="501">
        <f t="shared" si="27"/>
        <v>2670.2000000000144</v>
      </c>
      <c r="D281" s="502">
        <f t="shared" si="23"/>
        <v>4318.5999999999776</v>
      </c>
      <c r="E281" s="502">
        <f t="shared" si="24"/>
        <v>3945.2000000000185</v>
      </c>
    </row>
    <row r="282" spans="1:5">
      <c r="A282" s="409">
        <v>277</v>
      </c>
      <c r="B282" s="501">
        <f t="shared" si="27"/>
        <v>2679.6000000000145</v>
      </c>
      <c r="C282" s="501">
        <f t="shared" si="27"/>
        <v>2679.6000000000145</v>
      </c>
      <c r="D282" s="502">
        <f t="shared" si="23"/>
        <v>4333.7999999999774</v>
      </c>
      <c r="E282" s="502">
        <f t="shared" si="24"/>
        <v>3959.1000000000186</v>
      </c>
    </row>
    <row r="283" spans="1:5">
      <c r="A283" s="409">
        <v>278</v>
      </c>
      <c r="B283" s="501">
        <f t="shared" si="27"/>
        <v>2689.0000000000146</v>
      </c>
      <c r="C283" s="501">
        <f t="shared" si="27"/>
        <v>2689.0000000000146</v>
      </c>
      <c r="D283" s="502">
        <f t="shared" si="23"/>
        <v>4348.9999999999773</v>
      </c>
      <c r="E283" s="502">
        <f t="shared" si="24"/>
        <v>3973.0000000000186</v>
      </c>
    </row>
    <row r="284" spans="1:5">
      <c r="A284" s="409">
        <v>279</v>
      </c>
      <c r="B284" s="501">
        <f t="shared" si="27"/>
        <v>2698.4000000000146</v>
      </c>
      <c r="C284" s="501">
        <f t="shared" si="27"/>
        <v>2698.4000000000146</v>
      </c>
      <c r="D284" s="502">
        <f t="shared" si="23"/>
        <v>4364.1999999999771</v>
      </c>
      <c r="E284" s="502">
        <f t="shared" si="24"/>
        <v>3986.9000000000187</v>
      </c>
    </row>
    <row r="285" spans="1:5">
      <c r="A285" s="409">
        <v>280</v>
      </c>
      <c r="B285" s="501">
        <f t="shared" si="27"/>
        <v>2707.8000000000147</v>
      </c>
      <c r="C285" s="501">
        <f t="shared" si="27"/>
        <v>2707.8000000000147</v>
      </c>
      <c r="D285" s="502">
        <f t="shared" si="23"/>
        <v>4379.3999999999769</v>
      </c>
      <c r="E285" s="502">
        <f t="shared" si="24"/>
        <v>4000.8000000000188</v>
      </c>
    </row>
    <row r="286" spans="1:5">
      <c r="A286" s="409">
        <v>281</v>
      </c>
      <c r="B286" s="501">
        <f t="shared" si="27"/>
        <v>2717.2000000000148</v>
      </c>
      <c r="C286" s="501">
        <f t="shared" si="27"/>
        <v>2717.2000000000148</v>
      </c>
      <c r="D286" s="502">
        <f t="shared" si="23"/>
        <v>4394.5999999999767</v>
      </c>
      <c r="E286" s="502">
        <f t="shared" si="24"/>
        <v>4014.7000000000189</v>
      </c>
    </row>
    <row r="287" spans="1:5">
      <c r="A287" s="409">
        <v>282</v>
      </c>
      <c r="B287" s="501">
        <f t="shared" si="27"/>
        <v>2726.6000000000149</v>
      </c>
      <c r="C287" s="501">
        <f t="shared" si="27"/>
        <v>2726.6000000000149</v>
      </c>
      <c r="D287" s="502">
        <f t="shared" si="23"/>
        <v>4409.7999999999765</v>
      </c>
      <c r="E287" s="502">
        <f t="shared" si="24"/>
        <v>4028.600000000019</v>
      </c>
    </row>
  </sheetData>
  <mergeCells count="3">
    <mergeCell ref="A1:F1"/>
    <mergeCell ref="B2:D2"/>
    <mergeCell ref="A3:A4"/>
  </mergeCells>
  <pageMargins left="1.04" right="0.7" top="0.32" bottom="0.4" header="0.3" footer="0.3"/>
  <pageSetup paperSize="9" orientation="portrait" verticalDpi="0" r:id="rId1"/>
</worksheet>
</file>

<file path=xl/worksheets/sheet26.xml><?xml version="1.0" encoding="utf-8"?>
<worksheet xmlns="http://schemas.openxmlformats.org/spreadsheetml/2006/main" xmlns:r="http://schemas.openxmlformats.org/officeDocument/2006/relationships">
  <sheetPr>
    <tabColor rgb="FF00B050"/>
  </sheetPr>
  <dimension ref="A1:H156"/>
  <sheetViews>
    <sheetView view="pageBreakPreview" topLeftCell="A34" zoomScale="115" zoomScaleNormal="115" zoomScaleSheetLayoutView="115" workbookViewId="0">
      <selection activeCell="D44" sqref="D44"/>
    </sheetView>
  </sheetViews>
  <sheetFormatPr defaultColWidth="9.140625" defaultRowHeight="12.75"/>
  <cols>
    <col min="1" max="1" width="22.28515625" style="512" customWidth="1"/>
    <col min="2" max="2" width="11.5703125" style="516" customWidth="1"/>
    <col min="3" max="3" width="10.42578125" style="516" bestFit="1" customWidth="1"/>
    <col min="4" max="4" width="10.7109375" style="516" customWidth="1"/>
    <col min="5" max="5" width="11.85546875" style="517" customWidth="1"/>
    <col min="6" max="6" width="17.42578125" style="512" customWidth="1"/>
    <col min="7" max="7" width="10.140625" style="516" customWidth="1"/>
    <col min="8" max="8" width="9.28515625" style="518" bestFit="1" customWidth="1"/>
    <col min="9" max="16384" width="9.140625" style="512"/>
  </cols>
  <sheetData>
    <row r="1" spans="1:8" ht="18.75">
      <c r="A1" s="1901" t="s">
        <v>2300</v>
      </c>
      <c r="B1" s="1901"/>
      <c r="C1" s="1901"/>
      <c r="D1" s="1901"/>
      <c r="E1" s="1901"/>
      <c r="F1" s="1901"/>
      <c r="G1" s="1901"/>
      <c r="H1" s="1901"/>
    </row>
    <row r="2" spans="1:8">
      <c r="A2" s="513"/>
      <c r="B2" s="419"/>
      <c r="C2" s="419"/>
      <c r="D2" s="419"/>
      <c r="E2" s="420"/>
      <c r="F2" s="513" t="s">
        <v>1698</v>
      </c>
      <c r="G2" s="419" t="s">
        <v>1699</v>
      </c>
      <c r="H2" s="416" t="s">
        <v>8</v>
      </c>
    </row>
    <row r="3" spans="1:8">
      <c r="A3" s="513"/>
      <c r="B3" s="419" t="s">
        <v>1700</v>
      </c>
      <c r="C3" s="419" t="s">
        <v>8</v>
      </c>
      <c r="D3" s="419"/>
      <c r="E3" s="420"/>
      <c r="F3" s="513" t="s">
        <v>1701</v>
      </c>
      <c r="G3" s="419" t="s">
        <v>1702</v>
      </c>
      <c r="H3" s="416">
        <v>500</v>
      </c>
    </row>
    <row r="4" spans="1:8">
      <c r="A4" s="415" t="s">
        <v>847</v>
      </c>
      <c r="B4" s="419" t="s">
        <v>1703</v>
      </c>
      <c r="C4" s="514">
        <v>4700</v>
      </c>
      <c r="D4" s="419"/>
      <c r="E4" s="420"/>
      <c r="F4" s="513" t="s">
        <v>1704</v>
      </c>
      <c r="G4" s="419" t="s">
        <v>1705</v>
      </c>
      <c r="H4" s="416">
        <v>460</v>
      </c>
    </row>
    <row r="5" spans="1:8">
      <c r="A5" s="389" t="s">
        <v>1706</v>
      </c>
      <c r="B5" s="419"/>
      <c r="C5" s="514">
        <v>41500</v>
      </c>
      <c r="D5" s="419" t="s">
        <v>2416</v>
      </c>
      <c r="E5" s="420"/>
      <c r="F5" s="513" t="s">
        <v>1707</v>
      </c>
      <c r="G5" s="419" t="s">
        <v>1708</v>
      </c>
      <c r="H5" s="416">
        <v>420</v>
      </c>
    </row>
    <row r="6" spans="1:8">
      <c r="A6" s="389" t="s">
        <v>1709</v>
      </c>
      <c r="B6" s="419"/>
      <c r="C6" s="416">
        <v>40500</v>
      </c>
      <c r="D6" s="419" t="s">
        <v>2416</v>
      </c>
      <c r="E6" s="420"/>
      <c r="F6" s="513" t="s">
        <v>1710</v>
      </c>
      <c r="G6" s="419" t="s">
        <v>1711</v>
      </c>
      <c r="H6" s="416">
        <v>625</v>
      </c>
    </row>
    <row r="7" spans="1:8">
      <c r="A7" s="389" t="s">
        <v>848</v>
      </c>
      <c r="B7" s="419"/>
      <c r="C7" s="416">
        <v>43000</v>
      </c>
      <c r="D7" s="419" t="s">
        <v>2416</v>
      </c>
      <c r="E7" s="420"/>
      <c r="F7" s="513"/>
      <c r="G7" s="419"/>
      <c r="H7" s="416"/>
    </row>
    <row r="8" spans="1:8">
      <c r="A8" s="389" t="s">
        <v>849</v>
      </c>
      <c r="B8" s="419"/>
      <c r="C8" s="416">
        <v>39000</v>
      </c>
      <c r="D8" s="419" t="s">
        <v>2416</v>
      </c>
      <c r="E8" s="420"/>
      <c r="F8" s="513" t="s">
        <v>1712</v>
      </c>
      <c r="G8" s="419" t="s">
        <v>1713</v>
      </c>
      <c r="H8" s="416">
        <v>580</v>
      </c>
    </row>
    <row r="9" spans="1:8" ht="25.5">
      <c r="A9" s="389" t="s">
        <v>850</v>
      </c>
      <c r="B9" s="419" t="s">
        <v>1714</v>
      </c>
      <c r="C9" s="848">
        <v>590</v>
      </c>
      <c r="D9" s="419"/>
      <c r="E9" s="420"/>
      <c r="F9" s="513" t="s">
        <v>1715</v>
      </c>
      <c r="G9" s="419" t="s">
        <v>1716</v>
      </c>
      <c r="H9" s="416">
        <v>460</v>
      </c>
    </row>
    <row r="10" spans="1:8">
      <c r="A10" s="389" t="s">
        <v>851</v>
      </c>
      <c r="B10" s="419" t="s">
        <v>1717</v>
      </c>
      <c r="C10" s="848">
        <v>510</v>
      </c>
      <c r="D10" s="419"/>
      <c r="E10" s="420"/>
      <c r="F10" s="513" t="s">
        <v>1339</v>
      </c>
      <c r="G10" s="419" t="s">
        <v>1718</v>
      </c>
      <c r="H10" s="416">
        <v>510</v>
      </c>
    </row>
    <row r="11" spans="1:8">
      <c r="A11" s="389" t="s">
        <v>768</v>
      </c>
      <c r="B11" s="419" t="s">
        <v>1719</v>
      </c>
      <c r="C11" s="848">
        <v>375</v>
      </c>
      <c r="D11" s="419" t="s">
        <v>861</v>
      </c>
      <c r="E11" s="420" t="s">
        <v>862</v>
      </c>
      <c r="F11" s="513" t="s">
        <v>1340</v>
      </c>
      <c r="G11" s="419" t="s">
        <v>1720</v>
      </c>
      <c r="H11" s="416">
        <v>495</v>
      </c>
    </row>
    <row r="12" spans="1:8">
      <c r="A12" s="389" t="s">
        <v>1721</v>
      </c>
      <c r="B12" s="419" t="s">
        <v>1722</v>
      </c>
      <c r="C12" s="514">
        <v>6000</v>
      </c>
      <c r="D12" s="419">
        <v>54.8</v>
      </c>
      <c r="E12" s="420">
        <v>54.8</v>
      </c>
      <c r="F12" s="513"/>
      <c r="G12" s="419"/>
      <c r="H12" s="416"/>
    </row>
    <row r="13" spans="1:8">
      <c r="A13" s="389" t="s">
        <v>853</v>
      </c>
      <c r="B13" s="419" t="s">
        <v>1723</v>
      </c>
      <c r="C13" s="848">
        <v>608</v>
      </c>
      <c r="D13" s="419"/>
      <c r="E13" s="420"/>
      <c r="F13" s="513" t="s">
        <v>1724</v>
      </c>
      <c r="G13" s="419" t="s">
        <v>1725</v>
      </c>
      <c r="H13" s="416">
        <v>580</v>
      </c>
    </row>
    <row r="14" spans="1:8" ht="25.5">
      <c r="A14" s="389" t="s">
        <v>854</v>
      </c>
      <c r="B14" s="419" t="s">
        <v>1726</v>
      </c>
      <c r="C14" s="848">
        <v>1016</v>
      </c>
      <c r="D14" s="419"/>
      <c r="E14" s="420"/>
      <c r="F14" s="513" t="s">
        <v>1727</v>
      </c>
      <c r="G14" s="419"/>
      <c r="H14" s="416">
        <f>H9</f>
        <v>460</v>
      </c>
    </row>
    <row r="15" spans="1:8">
      <c r="A15" s="389" t="s">
        <v>1728</v>
      </c>
      <c r="B15" s="419" t="s">
        <v>1729</v>
      </c>
      <c r="C15" s="848">
        <v>808</v>
      </c>
      <c r="D15" s="419"/>
      <c r="E15" s="420"/>
      <c r="F15" s="513"/>
      <c r="G15" s="419"/>
      <c r="H15" s="416"/>
    </row>
    <row r="16" spans="1:8">
      <c r="A16" s="389" t="s">
        <v>1730</v>
      </c>
      <c r="B16" s="419" t="s">
        <v>1731</v>
      </c>
      <c r="C16" s="848">
        <v>680</v>
      </c>
      <c r="D16" s="419"/>
      <c r="E16" s="420"/>
      <c r="F16" s="513" t="s">
        <v>156</v>
      </c>
      <c r="G16" s="419" t="s">
        <v>1732</v>
      </c>
      <c r="H16" s="416">
        <v>575</v>
      </c>
    </row>
    <row r="17" spans="1:8" ht="25.5">
      <c r="A17" s="389" t="s">
        <v>1733</v>
      </c>
      <c r="B17" s="419" t="s">
        <v>1734</v>
      </c>
      <c r="C17" s="848">
        <v>524</v>
      </c>
      <c r="D17" s="419"/>
      <c r="E17" s="420"/>
      <c r="F17" s="513" t="s">
        <v>1501</v>
      </c>
      <c r="G17" s="419" t="s">
        <v>1735</v>
      </c>
      <c r="H17" s="416">
        <v>471</v>
      </c>
    </row>
    <row r="18" spans="1:8">
      <c r="A18" s="389" t="s">
        <v>1194</v>
      </c>
      <c r="B18" s="419" t="s">
        <v>1736</v>
      </c>
      <c r="C18" s="416">
        <v>250</v>
      </c>
      <c r="D18" s="419"/>
      <c r="E18" s="420"/>
      <c r="F18" s="513" t="s">
        <v>3239</v>
      </c>
      <c r="G18" s="419" t="s">
        <v>1708</v>
      </c>
      <c r="H18" s="416">
        <v>418</v>
      </c>
    </row>
    <row r="19" spans="1:8">
      <c r="A19" s="393" t="s">
        <v>1737</v>
      </c>
      <c r="B19" s="419" t="s">
        <v>1738</v>
      </c>
      <c r="C19" s="514">
        <v>1991</v>
      </c>
      <c r="D19" s="419"/>
      <c r="E19" s="420"/>
      <c r="F19" s="513"/>
      <c r="G19" s="419"/>
      <c r="H19" s="416"/>
    </row>
    <row r="20" spans="1:8">
      <c r="A20" s="393" t="s">
        <v>1739</v>
      </c>
      <c r="B20" s="419" t="s">
        <v>1740</v>
      </c>
      <c r="C20" s="848">
        <v>266</v>
      </c>
      <c r="D20" s="419"/>
      <c r="E20" s="420"/>
      <c r="F20" s="513"/>
      <c r="G20" s="419"/>
      <c r="H20" s="416"/>
    </row>
    <row r="21" spans="1:8">
      <c r="A21" s="393" t="s">
        <v>1741</v>
      </c>
      <c r="B21" s="419" t="s">
        <v>1742</v>
      </c>
      <c r="C21" s="848">
        <v>612</v>
      </c>
      <c r="D21" s="419"/>
      <c r="E21" s="420"/>
      <c r="F21" s="513"/>
      <c r="G21" s="419"/>
      <c r="H21" s="416"/>
    </row>
    <row r="22" spans="1:8">
      <c r="A22" s="393" t="s">
        <v>1743</v>
      </c>
      <c r="B22" s="419" t="s">
        <v>1744</v>
      </c>
      <c r="C22" s="848">
        <v>370</v>
      </c>
      <c r="D22" s="419"/>
      <c r="E22" s="420"/>
      <c r="F22" s="513"/>
      <c r="G22" s="419"/>
      <c r="H22" s="416"/>
    </row>
    <row r="23" spans="1:8">
      <c r="A23" s="393" t="s">
        <v>1745</v>
      </c>
      <c r="B23" s="419" t="s">
        <v>1746</v>
      </c>
      <c r="C23" s="848">
        <v>323</v>
      </c>
      <c r="D23" s="419"/>
      <c r="E23" s="420"/>
      <c r="F23" s="513"/>
      <c r="G23" s="419"/>
      <c r="H23" s="416"/>
    </row>
    <row r="24" spans="1:8">
      <c r="A24" s="389" t="s">
        <v>1209</v>
      </c>
      <c r="B24" s="419" t="s">
        <v>3244</v>
      </c>
      <c r="C24" s="416">
        <v>18000</v>
      </c>
      <c r="D24" s="419"/>
      <c r="E24" s="420"/>
      <c r="F24" s="513" t="s">
        <v>1748</v>
      </c>
      <c r="G24" s="419"/>
      <c r="H24" s="416"/>
    </row>
    <row r="25" spans="1:8">
      <c r="A25" s="389" t="s">
        <v>860</v>
      </c>
      <c r="B25" s="419" t="s">
        <v>1749</v>
      </c>
      <c r="C25" s="416">
        <v>86</v>
      </c>
      <c r="D25" s="419"/>
      <c r="E25" s="420"/>
      <c r="F25" s="513" t="s">
        <v>1430</v>
      </c>
      <c r="G25" s="419"/>
      <c r="H25" s="416">
        <v>5.22</v>
      </c>
    </row>
    <row r="26" spans="1:8">
      <c r="A26" s="389" t="s">
        <v>664</v>
      </c>
      <c r="B26" s="419" t="s">
        <v>1750</v>
      </c>
      <c r="C26" s="416">
        <v>113</v>
      </c>
      <c r="D26" s="419"/>
      <c r="E26" s="420"/>
      <c r="F26" s="513" t="s">
        <v>1432</v>
      </c>
      <c r="G26" s="419"/>
      <c r="H26" s="416">
        <v>124.24</v>
      </c>
    </row>
    <row r="27" spans="1:8">
      <c r="A27" s="389" t="s">
        <v>1751</v>
      </c>
      <c r="B27" s="419" t="s">
        <v>1752</v>
      </c>
      <c r="C27" s="416">
        <v>25</v>
      </c>
      <c r="D27" s="419"/>
      <c r="E27" s="420"/>
      <c r="F27" s="513"/>
      <c r="G27" s="419"/>
      <c r="H27" s="416"/>
    </row>
    <row r="28" spans="1:8">
      <c r="A28" s="513"/>
      <c r="B28" s="419"/>
      <c r="C28" s="419"/>
      <c r="D28" s="419"/>
      <c r="E28" s="1902" t="s">
        <v>1753</v>
      </c>
      <c r="F28" s="1902"/>
      <c r="G28" s="1902"/>
      <c r="H28" s="1902"/>
    </row>
    <row r="29" spans="1:8">
      <c r="A29" s="389" t="s">
        <v>1754</v>
      </c>
      <c r="B29" s="419" t="s">
        <v>1755</v>
      </c>
      <c r="C29" s="416">
        <v>80</v>
      </c>
      <c r="D29" s="419"/>
      <c r="E29" s="515" t="s">
        <v>1756</v>
      </c>
      <c r="F29" s="417" t="s">
        <v>1757</v>
      </c>
      <c r="G29" s="418" t="s">
        <v>1758</v>
      </c>
      <c r="H29" s="418" t="s">
        <v>1759</v>
      </c>
    </row>
    <row r="30" spans="1:8">
      <c r="A30" s="389" t="s">
        <v>1760</v>
      </c>
      <c r="B30" s="419" t="s">
        <v>1761</v>
      </c>
      <c r="C30" s="416">
        <v>524.70000000000005</v>
      </c>
      <c r="D30" s="419"/>
      <c r="E30" s="515">
        <v>10.32</v>
      </c>
      <c r="F30" s="418">
        <v>79.459999999999994</v>
      </c>
      <c r="G30" s="418">
        <v>113.78</v>
      </c>
      <c r="H30" s="849">
        <v>148.09</v>
      </c>
    </row>
    <row r="31" spans="1:8" ht="25.5">
      <c r="A31" s="389" t="s">
        <v>1762</v>
      </c>
      <c r="B31" s="419" t="s">
        <v>1763</v>
      </c>
      <c r="C31" s="416">
        <v>209.1</v>
      </c>
      <c r="D31" s="419"/>
      <c r="E31" s="1902" t="s">
        <v>1764</v>
      </c>
      <c r="F31" s="1902"/>
      <c r="G31" s="1902"/>
      <c r="H31" s="1902"/>
    </row>
    <row r="32" spans="1:8">
      <c r="A32" s="389" t="s">
        <v>38</v>
      </c>
      <c r="B32" s="419" t="s">
        <v>1765</v>
      </c>
      <c r="C32" s="416">
        <v>55</v>
      </c>
      <c r="D32" s="419"/>
      <c r="E32" s="515" t="s">
        <v>1756</v>
      </c>
      <c r="F32" s="417" t="s">
        <v>1757</v>
      </c>
      <c r="G32" s="418" t="s">
        <v>1758</v>
      </c>
      <c r="H32" s="418" t="s">
        <v>1759</v>
      </c>
    </row>
    <row r="33" spans="1:8">
      <c r="A33" s="389" t="s">
        <v>1766</v>
      </c>
      <c r="B33" s="419" t="s">
        <v>1767</v>
      </c>
      <c r="C33" s="416">
        <v>12</v>
      </c>
      <c r="D33" s="419"/>
      <c r="E33" s="515">
        <v>2.46</v>
      </c>
      <c r="F33" s="418">
        <v>15.91</v>
      </c>
      <c r="G33" s="418">
        <v>22.57</v>
      </c>
      <c r="H33" s="849">
        <v>29.23</v>
      </c>
    </row>
    <row r="34" spans="1:8" ht="25.5">
      <c r="A34" s="389" t="s">
        <v>1768</v>
      </c>
      <c r="B34" s="419" t="s">
        <v>1769</v>
      </c>
      <c r="C34" s="416">
        <v>116.5</v>
      </c>
      <c r="D34" s="419"/>
      <c r="E34" s="1902" t="s">
        <v>1770</v>
      </c>
      <c r="F34" s="1902"/>
      <c r="G34" s="1902"/>
      <c r="H34" s="1902"/>
    </row>
    <row r="35" spans="1:8">
      <c r="A35" s="389" t="s">
        <v>1771</v>
      </c>
      <c r="B35" s="419" t="s">
        <v>1772</v>
      </c>
      <c r="C35" s="416">
        <v>27</v>
      </c>
      <c r="D35" s="419"/>
      <c r="E35" s="515" t="s">
        <v>1756</v>
      </c>
      <c r="F35" s="417" t="s">
        <v>1757</v>
      </c>
      <c r="G35" s="418" t="s">
        <v>1758</v>
      </c>
      <c r="H35" s="418" t="s">
        <v>1759</v>
      </c>
    </row>
    <row r="36" spans="1:8">
      <c r="A36" s="389" t="s">
        <v>1773</v>
      </c>
      <c r="B36" s="419" t="s">
        <v>1774</v>
      </c>
      <c r="C36" s="416">
        <v>5</v>
      </c>
      <c r="D36" s="419"/>
      <c r="E36" s="515">
        <v>1.03</v>
      </c>
      <c r="F36" s="418">
        <v>7.95</v>
      </c>
      <c r="G36" s="418">
        <v>11.38</v>
      </c>
      <c r="H36" s="849">
        <v>14.81</v>
      </c>
    </row>
    <row r="37" spans="1:8">
      <c r="A37" s="389" t="s">
        <v>1775</v>
      </c>
      <c r="B37" s="419" t="s">
        <v>1776</v>
      </c>
      <c r="C37" s="416">
        <v>60</v>
      </c>
      <c r="D37" s="419"/>
      <c r="E37" s="420"/>
      <c r="F37" s="419"/>
      <c r="G37" s="419"/>
      <c r="H37" s="416"/>
    </row>
    <row r="38" spans="1:8">
      <c r="A38" s="389" t="s">
        <v>1777</v>
      </c>
      <c r="B38" s="419" t="s">
        <v>1778</v>
      </c>
      <c r="C38" s="416">
        <v>24</v>
      </c>
      <c r="D38" s="419"/>
      <c r="E38" s="420"/>
      <c r="F38" s="419"/>
      <c r="G38" s="419"/>
      <c r="H38" s="416"/>
    </row>
    <row r="39" spans="1:8">
      <c r="A39" s="389" t="s">
        <v>1779</v>
      </c>
      <c r="B39" s="419" t="s">
        <v>1780</v>
      </c>
      <c r="C39" s="416">
        <v>21</v>
      </c>
      <c r="D39" s="419"/>
      <c r="E39" s="420"/>
      <c r="F39" s="513"/>
      <c r="G39" s="419"/>
      <c r="H39" s="416"/>
    </row>
    <row r="40" spans="1:8">
      <c r="A40" s="389" t="s">
        <v>1570</v>
      </c>
      <c r="B40" s="419" t="s">
        <v>1781</v>
      </c>
      <c r="C40" s="416">
        <v>331</v>
      </c>
      <c r="D40" s="419"/>
      <c r="E40" s="389" t="s">
        <v>1782</v>
      </c>
      <c r="F40" s="419" t="s">
        <v>1783</v>
      </c>
      <c r="G40" s="416">
        <v>550</v>
      </c>
      <c r="H40" s="416"/>
    </row>
    <row r="41" spans="1:8" ht="25.5">
      <c r="A41" s="389" t="s">
        <v>1784</v>
      </c>
      <c r="B41" s="419" t="s">
        <v>1785</v>
      </c>
      <c r="C41" s="416">
        <v>131</v>
      </c>
      <c r="D41" s="419"/>
      <c r="E41" s="420" t="s">
        <v>1786</v>
      </c>
      <c r="F41" s="419" t="s">
        <v>1787</v>
      </c>
      <c r="G41" s="416">
        <v>141</v>
      </c>
      <c r="H41" s="416"/>
    </row>
    <row r="42" spans="1:8" ht="25.5">
      <c r="A42" s="389" t="s">
        <v>1788</v>
      </c>
      <c r="B42" s="419" t="s">
        <v>1789</v>
      </c>
      <c r="C42" s="416">
        <v>187</v>
      </c>
      <c r="D42" s="419"/>
      <c r="E42" s="420" t="s">
        <v>1786</v>
      </c>
      <c r="F42" s="419" t="s">
        <v>1790</v>
      </c>
      <c r="G42" s="416">
        <v>180</v>
      </c>
      <c r="H42" s="416"/>
    </row>
    <row r="43" spans="1:8" ht="38.25">
      <c r="A43" s="389" t="s">
        <v>1791</v>
      </c>
      <c r="B43" s="419" t="s">
        <v>1792</v>
      </c>
      <c r="C43" s="416">
        <v>17</v>
      </c>
      <c r="D43" s="419"/>
      <c r="E43" s="420" t="s">
        <v>1372</v>
      </c>
      <c r="F43" s="419" t="s">
        <v>1793</v>
      </c>
      <c r="G43" s="416">
        <v>168</v>
      </c>
      <c r="H43" s="416"/>
    </row>
    <row r="44" spans="1:8" ht="38.25">
      <c r="A44" s="389" t="s">
        <v>1794</v>
      </c>
      <c r="B44" s="419" t="s">
        <v>3459</v>
      </c>
      <c r="C44" s="416">
        <v>67</v>
      </c>
      <c r="D44" s="419"/>
      <c r="E44" s="420" t="s">
        <v>1372</v>
      </c>
      <c r="F44" s="419" t="s">
        <v>1795</v>
      </c>
      <c r="G44" s="416">
        <v>194</v>
      </c>
      <c r="H44" s="416"/>
    </row>
    <row r="45" spans="1:8">
      <c r="A45" s="389" t="s">
        <v>670</v>
      </c>
      <c r="B45" s="419" t="s">
        <v>1796</v>
      </c>
      <c r="C45" s="416">
        <v>27</v>
      </c>
      <c r="D45" s="419"/>
      <c r="E45" s="420" t="s">
        <v>1797</v>
      </c>
      <c r="F45" s="419" t="s">
        <v>1798</v>
      </c>
      <c r="G45" s="416">
        <v>130</v>
      </c>
      <c r="H45" s="416"/>
    </row>
    <row r="46" spans="1:8">
      <c r="A46" s="389" t="s">
        <v>1799</v>
      </c>
      <c r="B46" s="419" t="s">
        <v>1800</v>
      </c>
      <c r="C46" s="416">
        <v>412</v>
      </c>
      <c r="D46" s="419"/>
      <c r="E46" s="420" t="s">
        <v>1801</v>
      </c>
      <c r="F46" s="419" t="s">
        <v>1802</v>
      </c>
      <c r="G46" s="416">
        <v>248</v>
      </c>
      <c r="H46" s="416"/>
    </row>
    <row r="47" spans="1:8" ht="38.25">
      <c r="A47" s="513" t="s">
        <v>1803</v>
      </c>
      <c r="B47" s="419" t="s">
        <v>1373</v>
      </c>
      <c r="C47" s="419">
        <v>3198</v>
      </c>
      <c r="D47" s="419"/>
      <c r="E47" s="420" t="s">
        <v>1804</v>
      </c>
      <c r="F47" s="419" t="s">
        <v>1805</v>
      </c>
      <c r="G47" s="416">
        <v>708</v>
      </c>
      <c r="H47" s="416"/>
    </row>
    <row r="48" spans="1:8" ht="38.25">
      <c r="A48" s="389" t="s">
        <v>1806</v>
      </c>
      <c r="B48" s="419" t="s">
        <v>1427</v>
      </c>
      <c r="C48" s="416">
        <v>250</v>
      </c>
      <c r="D48" s="419"/>
      <c r="E48" s="420" t="s">
        <v>1425</v>
      </c>
      <c r="F48" s="419" t="s">
        <v>1424</v>
      </c>
      <c r="G48" s="416">
        <v>244</v>
      </c>
      <c r="H48" s="416"/>
    </row>
    <row r="49" spans="1:8">
      <c r="A49" s="389" t="s">
        <v>1807</v>
      </c>
      <c r="B49" s="419" t="s">
        <v>1429</v>
      </c>
      <c r="C49" s="416">
        <v>130</v>
      </c>
      <c r="D49" s="419"/>
      <c r="E49" s="420"/>
      <c r="F49" s="513"/>
      <c r="G49" s="419"/>
      <c r="H49" s="416"/>
    </row>
    <row r="50" spans="1:8">
      <c r="A50" s="389"/>
      <c r="B50" s="419"/>
      <c r="C50" s="416"/>
      <c r="D50" s="419"/>
      <c r="E50" s="420"/>
      <c r="F50" s="513"/>
      <c r="G50" s="419"/>
      <c r="H50" s="416"/>
    </row>
    <row r="51" spans="1:8">
      <c r="A51" s="513"/>
      <c r="B51" s="419"/>
      <c r="C51" s="419" t="s">
        <v>1756</v>
      </c>
      <c r="D51" s="419" t="s">
        <v>1808</v>
      </c>
      <c r="E51" s="420"/>
      <c r="F51" s="513"/>
      <c r="G51" s="419"/>
      <c r="H51" s="416"/>
    </row>
    <row r="52" spans="1:8">
      <c r="A52" s="389" t="s">
        <v>152</v>
      </c>
      <c r="B52" s="419"/>
      <c r="C52" s="419">
        <v>288</v>
      </c>
      <c r="D52" s="419">
        <v>631</v>
      </c>
      <c r="E52" s="420"/>
      <c r="F52" s="513"/>
      <c r="G52" s="419"/>
      <c r="H52" s="416"/>
    </row>
    <row r="53" spans="1:8">
      <c r="A53" s="389" t="s">
        <v>1809</v>
      </c>
      <c r="B53" s="419"/>
      <c r="C53" s="419">
        <v>64</v>
      </c>
      <c r="D53" s="419">
        <v>341</v>
      </c>
      <c r="E53" s="420"/>
      <c r="F53" s="513"/>
      <c r="G53" s="419"/>
      <c r="H53" s="416"/>
    </row>
    <row r="54" spans="1:8">
      <c r="A54" s="389" t="s">
        <v>1810</v>
      </c>
      <c r="B54" s="419"/>
      <c r="C54" s="419">
        <v>328</v>
      </c>
      <c r="D54" s="419">
        <v>1004</v>
      </c>
      <c r="E54" s="420"/>
      <c r="F54" s="513"/>
      <c r="G54" s="419"/>
      <c r="H54" s="416"/>
    </row>
    <row r="55" spans="1:8">
      <c r="A55" s="389" t="s">
        <v>1436</v>
      </c>
      <c r="B55" s="419"/>
      <c r="C55" s="419">
        <v>1390</v>
      </c>
      <c r="D55" s="419">
        <v>1521</v>
      </c>
      <c r="E55" s="420"/>
      <c r="F55" s="513"/>
      <c r="G55" s="419"/>
      <c r="H55" s="416"/>
    </row>
    <row r="56" spans="1:8">
      <c r="A56" s="513"/>
      <c r="B56" s="419"/>
      <c r="C56" s="419"/>
      <c r="D56" s="419" t="s">
        <v>161</v>
      </c>
      <c r="E56" s="419" t="s">
        <v>162</v>
      </c>
      <c r="F56" s="419" t="s">
        <v>163</v>
      </c>
      <c r="G56" s="419"/>
      <c r="H56" s="416"/>
    </row>
    <row r="57" spans="1:8">
      <c r="A57" s="389" t="s">
        <v>1435</v>
      </c>
      <c r="B57" s="419"/>
      <c r="C57" s="419">
        <v>355</v>
      </c>
      <c r="D57" s="419">
        <v>2268</v>
      </c>
      <c r="E57" s="419">
        <v>2495</v>
      </c>
      <c r="F57" s="419">
        <v>2722</v>
      </c>
      <c r="G57" s="419"/>
      <c r="H57" s="416"/>
    </row>
    <row r="58" spans="1:8">
      <c r="A58" s="389" t="s">
        <v>866</v>
      </c>
      <c r="B58" s="419"/>
      <c r="C58" s="850">
        <v>1180</v>
      </c>
      <c r="D58" s="850">
        <v>1615</v>
      </c>
      <c r="E58" s="850">
        <v>1777</v>
      </c>
      <c r="F58" s="851">
        <v>1938</v>
      </c>
      <c r="G58" s="419"/>
      <c r="H58" s="416"/>
    </row>
    <row r="59" spans="1:8">
      <c r="A59" s="389" t="s">
        <v>1542</v>
      </c>
      <c r="B59" s="419"/>
      <c r="C59" s="850">
        <v>233</v>
      </c>
      <c r="D59" s="850">
        <v>248</v>
      </c>
      <c r="E59" s="850">
        <v>273</v>
      </c>
      <c r="F59" s="852">
        <v>298</v>
      </c>
      <c r="G59" s="419"/>
      <c r="H59" s="416"/>
    </row>
    <row r="60" spans="1:8">
      <c r="A60" s="389" t="s">
        <v>1811</v>
      </c>
      <c r="B60" s="419"/>
      <c r="C60" s="850">
        <v>2085</v>
      </c>
      <c r="D60" s="850">
        <v>1903</v>
      </c>
      <c r="E60" s="850">
        <v>2093</v>
      </c>
      <c r="F60" s="851">
        <v>2284</v>
      </c>
      <c r="G60" s="419"/>
      <c r="H60" s="416"/>
    </row>
    <row r="61" spans="1:8">
      <c r="A61" s="389" t="s">
        <v>1812</v>
      </c>
      <c r="B61" s="419"/>
      <c r="C61" s="850">
        <v>236</v>
      </c>
      <c r="D61" s="850">
        <v>215</v>
      </c>
      <c r="E61" s="852">
        <v>237</v>
      </c>
      <c r="F61" s="853">
        <v>258</v>
      </c>
      <c r="G61" s="419"/>
      <c r="H61" s="416"/>
    </row>
    <row r="62" spans="1:8">
      <c r="A62" s="389" t="s">
        <v>1813</v>
      </c>
      <c r="B62" s="419"/>
      <c r="C62" s="850">
        <v>243</v>
      </c>
      <c r="D62" s="850">
        <v>222</v>
      </c>
      <c r="E62" s="852">
        <v>244</v>
      </c>
      <c r="F62" s="853">
        <v>266</v>
      </c>
      <c r="G62" s="419"/>
      <c r="H62" s="416"/>
    </row>
    <row r="63" spans="1:8">
      <c r="A63" s="513"/>
      <c r="B63" s="419"/>
      <c r="C63" s="419"/>
      <c r="D63" s="419"/>
      <c r="E63" s="420"/>
      <c r="F63" s="419"/>
      <c r="G63" s="419"/>
      <c r="H63" s="416"/>
    </row>
    <row r="64" spans="1:8">
      <c r="A64" s="513"/>
      <c r="B64" s="419"/>
      <c r="C64" s="419"/>
      <c r="D64" s="419"/>
      <c r="E64" s="420"/>
      <c r="F64" s="419"/>
      <c r="G64" s="419"/>
      <c r="H64" s="416"/>
    </row>
    <row r="65" spans="1:8">
      <c r="A65" s="513"/>
      <c r="B65" s="419"/>
      <c r="C65" s="419"/>
      <c r="D65" s="419"/>
      <c r="E65" s="420"/>
      <c r="F65" s="513"/>
      <c r="G65" s="419"/>
      <c r="H65" s="416"/>
    </row>
    <row r="66" spans="1:8" ht="24">
      <c r="A66" s="421" t="s">
        <v>1814</v>
      </c>
      <c r="B66" s="419" t="s">
        <v>1815</v>
      </c>
      <c r="C66" s="803">
        <v>1784</v>
      </c>
      <c r="D66" s="419"/>
      <c r="E66" s="420"/>
      <c r="F66" s="513" t="s">
        <v>1816</v>
      </c>
      <c r="G66" s="419" t="s">
        <v>1817</v>
      </c>
      <c r="H66" s="416">
        <v>5</v>
      </c>
    </row>
    <row r="67" spans="1:8" ht="24">
      <c r="A67" s="421" t="s">
        <v>1818</v>
      </c>
      <c r="B67" s="419" t="s">
        <v>1819</v>
      </c>
      <c r="C67" s="803">
        <v>2226</v>
      </c>
      <c r="D67" s="419"/>
      <c r="E67" s="420"/>
      <c r="F67" s="513" t="s">
        <v>1820</v>
      </c>
      <c r="G67" s="419" t="s">
        <v>1821</v>
      </c>
      <c r="H67" s="416">
        <v>1</v>
      </c>
    </row>
    <row r="68" spans="1:8">
      <c r="A68" s="421" t="s">
        <v>1822</v>
      </c>
      <c r="B68" s="419" t="s">
        <v>1823</v>
      </c>
      <c r="C68" s="803">
        <v>766</v>
      </c>
      <c r="D68" s="419"/>
      <c r="E68" s="420"/>
      <c r="F68" s="421" t="s">
        <v>1824</v>
      </c>
      <c r="G68" s="419" t="s">
        <v>1825</v>
      </c>
      <c r="H68" s="797">
        <v>53</v>
      </c>
    </row>
    <row r="69" spans="1:8">
      <c r="A69" s="513" t="s">
        <v>1826</v>
      </c>
      <c r="B69" s="419" t="s">
        <v>1827</v>
      </c>
      <c r="C69" s="803">
        <v>934</v>
      </c>
      <c r="D69" s="419"/>
      <c r="E69" s="420"/>
      <c r="F69" s="421" t="s">
        <v>1828</v>
      </c>
      <c r="G69" s="419" t="s">
        <v>1829</v>
      </c>
      <c r="H69" s="797">
        <v>85</v>
      </c>
    </row>
    <row r="70" spans="1:8">
      <c r="A70" s="513" t="s">
        <v>1830</v>
      </c>
      <c r="B70" s="419" t="s">
        <v>1831</v>
      </c>
      <c r="C70" s="416">
        <v>2385</v>
      </c>
      <c r="D70" s="419"/>
      <c r="E70" s="420"/>
      <c r="F70" s="421" t="s">
        <v>1832</v>
      </c>
      <c r="G70" s="419" t="s">
        <v>1833</v>
      </c>
      <c r="H70" s="797">
        <v>123</v>
      </c>
    </row>
    <row r="71" spans="1:8">
      <c r="A71" s="513" t="s">
        <v>1834</v>
      </c>
      <c r="B71" s="419" t="s">
        <v>1835</v>
      </c>
      <c r="C71" s="803">
        <v>1370</v>
      </c>
      <c r="D71" s="419"/>
      <c r="E71" s="420"/>
      <c r="F71" s="421" t="s">
        <v>1836</v>
      </c>
      <c r="G71" s="419" t="s">
        <v>1837</v>
      </c>
      <c r="H71" s="797">
        <v>193</v>
      </c>
    </row>
    <row r="72" spans="1:8">
      <c r="A72" s="513" t="s">
        <v>1838</v>
      </c>
      <c r="B72" s="419" t="s">
        <v>1839</v>
      </c>
      <c r="C72" s="803">
        <v>349</v>
      </c>
      <c r="D72" s="419"/>
      <c r="E72" s="420"/>
      <c r="F72" s="421" t="s">
        <v>1840</v>
      </c>
      <c r="G72" s="419" t="s">
        <v>1841</v>
      </c>
      <c r="H72" s="416">
        <v>24</v>
      </c>
    </row>
    <row r="73" spans="1:8">
      <c r="A73" s="513" t="s">
        <v>1842</v>
      </c>
      <c r="B73" s="419" t="s">
        <v>1843</v>
      </c>
      <c r="C73" s="803">
        <v>86</v>
      </c>
      <c r="D73" s="419"/>
      <c r="E73" s="420"/>
      <c r="F73" s="513" t="s">
        <v>1844</v>
      </c>
      <c r="G73" s="419" t="s">
        <v>1845</v>
      </c>
      <c r="H73" s="416">
        <v>31</v>
      </c>
    </row>
    <row r="74" spans="1:8">
      <c r="A74" s="513" t="s">
        <v>1846</v>
      </c>
      <c r="B74" s="419" t="s">
        <v>1847</v>
      </c>
      <c r="C74" s="803">
        <v>22</v>
      </c>
      <c r="D74" s="419"/>
      <c r="E74" s="420"/>
      <c r="F74" s="513" t="s">
        <v>1848</v>
      </c>
      <c r="G74" s="419" t="s">
        <v>1849</v>
      </c>
      <c r="H74" s="797">
        <v>1051</v>
      </c>
    </row>
    <row r="75" spans="1:8">
      <c r="A75" s="513" t="s">
        <v>1446</v>
      </c>
      <c r="B75" s="419" t="s">
        <v>2301</v>
      </c>
      <c r="C75" s="416">
        <v>122</v>
      </c>
      <c r="D75" s="419"/>
      <c r="E75" s="420"/>
      <c r="F75" s="513" t="s">
        <v>1851</v>
      </c>
      <c r="G75" s="419" t="s">
        <v>1852</v>
      </c>
      <c r="H75" s="416">
        <v>70</v>
      </c>
    </row>
    <row r="76" spans="1:8" ht="25.5">
      <c r="A76" s="513" t="s">
        <v>1853</v>
      </c>
      <c r="B76" s="419" t="s">
        <v>1854</v>
      </c>
      <c r="C76" s="416">
        <v>29</v>
      </c>
      <c r="D76" s="419"/>
      <c r="E76" s="420"/>
      <c r="F76" s="513" t="s">
        <v>1855</v>
      </c>
      <c r="G76" s="419" t="s">
        <v>1856</v>
      </c>
      <c r="H76" s="416">
        <v>15</v>
      </c>
    </row>
    <row r="77" spans="1:8" ht="25.5">
      <c r="A77" s="513" t="s">
        <v>1857</v>
      </c>
      <c r="B77" s="419" t="s">
        <v>1858</v>
      </c>
      <c r="C77" s="416">
        <v>117</v>
      </c>
      <c r="D77" s="419"/>
      <c r="E77" s="420"/>
      <c r="F77" s="513"/>
      <c r="G77" s="419"/>
      <c r="H77" s="416"/>
    </row>
    <row r="78" spans="1:8">
      <c r="A78" s="513" t="s">
        <v>1443</v>
      </c>
      <c r="B78" s="419" t="s">
        <v>1859</v>
      </c>
      <c r="C78" s="416">
        <v>410</v>
      </c>
      <c r="D78" s="419"/>
      <c r="E78" s="420"/>
      <c r="F78" s="513"/>
      <c r="G78" s="419"/>
      <c r="H78" s="416"/>
    </row>
    <row r="79" spans="1:8" ht="25.5">
      <c r="A79" s="513" t="s">
        <v>1444</v>
      </c>
      <c r="B79" s="419" t="s">
        <v>1860</v>
      </c>
      <c r="C79" s="416">
        <v>389</v>
      </c>
      <c r="D79" s="419"/>
      <c r="E79" s="420"/>
      <c r="F79" s="513" t="s">
        <v>2265</v>
      </c>
      <c r="G79" s="419" t="s">
        <v>2266</v>
      </c>
      <c r="H79" s="416">
        <v>311</v>
      </c>
    </row>
    <row r="80" spans="1:8">
      <c r="A80" s="513" t="s">
        <v>1445</v>
      </c>
      <c r="B80" s="419" t="s">
        <v>1861</v>
      </c>
      <c r="C80" s="416">
        <v>244</v>
      </c>
      <c r="D80" s="419"/>
      <c r="E80" s="420"/>
      <c r="F80" s="513" t="s">
        <v>2267</v>
      </c>
      <c r="G80" s="419" t="s">
        <v>2268</v>
      </c>
      <c r="H80" s="416">
        <v>178</v>
      </c>
    </row>
    <row r="81" spans="1:8">
      <c r="A81" s="513" t="s">
        <v>1862</v>
      </c>
      <c r="B81" s="419" t="s">
        <v>1863</v>
      </c>
      <c r="C81" s="416">
        <v>70</v>
      </c>
      <c r="D81" s="419"/>
      <c r="E81" s="420"/>
      <c r="F81" s="513"/>
      <c r="G81" s="419"/>
      <c r="H81" s="416"/>
    </row>
    <row r="82" spans="1:8">
      <c r="A82" s="513" t="s">
        <v>1864</v>
      </c>
      <c r="B82" s="419" t="s">
        <v>1865</v>
      </c>
      <c r="C82" s="416">
        <v>1483</v>
      </c>
      <c r="D82" s="419"/>
      <c r="E82" s="420"/>
      <c r="F82" s="513"/>
      <c r="G82" s="419"/>
      <c r="H82" s="416"/>
    </row>
    <row r="83" spans="1:8">
      <c r="A83" s="513" t="s">
        <v>1866</v>
      </c>
      <c r="B83" s="419" t="s">
        <v>1867</v>
      </c>
      <c r="C83" s="797">
        <v>3758</v>
      </c>
      <c r="D83" s="419"/>
      <c r="E83" s="420"/>
      <c r="F83" s="513"/>
      <c r="G83" s="419"/>
      <c r="H83" s="416"/>
    </row>
    <row r="84" spans="1:8">
      <c r="A84" s="513"/>
      <c r="B84" s="419"/>
      <c r="C84" s="419"/>
      <c r="D84" s="419"/>
      <c r="E84" s="420"/>
      <c r="F84" s="513"/>
      <c r="G84" s="419"/>
      <c r="H84" s="416"/>
    </row>
    <row r="85" spans="1:8">
      <c r="A85" s="513"/>
      <c r="B85" s="419"/>
      <c r="C85" s="419"/>
      <c r="D85" s="419"/>
      <c r="E85" s="420"/>
      <c r="F85" s="513"/>
      <c r="G85" s="419"/>
      <c r="H85" s="416"/>
    </row>
    <row r="86" spans="1:8">
      <c r="A86" s="513" t="s">
        <v>1868</v>
      </c>
      <c r="B86" s="419" t="s">
        <v>1869</v>
      </c>
      <c r="C86" s="10">
        <v>446.4</v>
      </c>
      <c r="D86" s="419"/>
      <c r="E86" s="420"/>
      <c r="F86" s="513"/>
      <c r="G86" s="419"/>
      <c r="H86" s="416"/>
    </row>
    <row r="87" spans="1:8">
      <c r="A87" s="513" t="s">
        <v>1870</v>
      </c>
      <c r="B87" s="419"/>
      <c r="C87" s="10">
        <v>477.6</v>
      </c>
      <c r="D87" s="419"/>
      <c r="E87" s="420"/>
      <c r="F87" s="513"/>
      <c r="G87" s="419"/>
      <c r="H87" s="416"/>
    </row>
    <row r="88" spans="1:8">
      <c r="A88" s="513" t="s">
        <v>1871</v>
      </c>
      <c r="B88" s="419"/>
      <c r="C88" s="10">
        <v>600</v>
      </c>
      <c r="D88" s="419"/>
      <c r="E88" s="420"/>
      <c r="F88" s="513"/>
      <c r="G88" s="419"/>
      <c r="H88" s="416"/>
    </row>
    <row r="89" spans="1:8">
      <c r="A89" s="513" t="s">
        <v>1872</v>
      </c>
      <c r="B89" s="419" t="s">
        <v>1873</v>
      </c>
      <c r="C89" s="416">
        <v>24300</v>
      </c>
      <c r="D89" s="419"/>
      <c r="E89" s="420"/>
      <c r="F89" s="513"/>
      <c r="G89" s="419"/>
      <c r="H89" s="416"/>
    </row>
    <row r="90" spans="1:8">
      <c r="A90" s="513" t="s">
        <v>2302</v>
      </c>
      <c r="B90" s="419" t="s">
        <v>1874</v>
      </c>
      <c r="C90" s="416">
        <v>16700</v>
      </c>
      <c r="D90" s="419"/>
      <c r="E90" s="420"/>
      <c r="F90" s="513"/>
      <c r="G90" s="419"/>
      <c r="H90" s="416"/>
    </row>
    <row r="91" spans="1:8">
      <c r="A91" s="513" t="s">
        <v>1875</v>
      </c>
      <c r="B91" s="419" t="s">
        <v>1876</v>
      </c>
      <c r="C91" s="416">
        <v>325</v>
      </c>
      <c r="D91" s="419"/>
      <c r="E91" s="420"/>
      <c r="F91" s="513"/>
      <c r="G91" s="419"/>
      <c r="H91" s="416"/>
    </row>
    <row r="92" spans="1:8">
      <c r="A92" s="513" t="s">
        <v>1877</v>
      </c>
      <c r="B92" s="419" t="s">
        <v>1878</v>
      </c>
      <c r="C92" s="416">
        <v>64</v>
      </c>
      <c r="D92" s="419"/>
      <c r="E92" s="420"/>
      <c r="F92" s="513"/>
      <c r="G92" s="419"/>
      <c r="H92" s="416"/>
    </row>
    <row r="93" spans="1:8">
      <c r="A93" s="513" t="s">
        <v>1879</v>
      </c>
      <c r="B93" s="419" t="s">
        <v>1880</v>
      </c>
      <c r="C93" s="10">
        <v>145.19999999999999</v>
      </c>
      <c r="D93" s="419"/>
      <c r="E93" s="420"/>
      <c r="F93" s="513"/>
      <c r="G93" s="419"/>
      <c r="H93" s="416"/>
    </row>
    <row r="94" spans="1:8">
      <c r="A94" s="513" t="s">
        <v>1447</v>
      </c>
      <c r="B94" s="419" t="s">
        <v>1876</v>
      </c>
      <c r="C94" s="10">
        <v>109</v>
      </c>
      <c r="D94" s="419"/>
      <c r="E94" s="420"/>
      <c r="F94" s="513"/>
      <c r="G94" s="419"/>
      <c r="H94" s="416"/>
    </row>
    <row r="95" spans="1:8">
      <c r="A95" s="513" t="s">
        <v>1881</v>
      </c>
      <c r="B95" s="419" t="s">
        <v>1876</v>
      </c>
      <c r="C95" s="10">
        <v>198</v>
      </c>
      <c r="D95" s="419"/>
      <c r="E95" s="420"/>
      <c r="F95" s="513"/>
      <c r="G95" s="419"/>
      <c r="H95" s="416"/>
    </row>
    <row r="96" spans="1:8">
      <c r="A96" s="513" t="s">
        <v>1882</v>
      </c>
      <c r="B96" s="419" t="s">
        <v>1883</v>
      </c>
      <c r="C96" s="10">
        <v>22</v>
      </c>
      <c r="D96" s="419"/>
      <c r="E96" s="420"/>
      <c r="F96" s="513"/>
      <c r="G96" s="419"/>
      <c r="H96" s="416"/>
    </row>
    <row r="97" spans="1:8">
      <c r="A97" s="513" t="s">
        <v>1884</v>
      </c>
      <c r="B97" s="419" t="s">
        <v>1885</v>
      </c>
      <c r="C97" s="10">
        <v>80</v>
      </c>
      <c r="D97" s="419"/>
      <c r="E97" s="420"/>
      <c r="F97" s="513"/>
      <c r="G97" s="419"/>
      <c r="H97" s="416"/>
    </row>
    <row r="98" spans="1:8">
      <c r="A98" s="513" t="s">
        <v>1886</v>
      </c>
      <c r="B98" s="419" t="s">
        <v>1887</v>
      </c>
      <c r="C98" s="10">
        <v>4500</v>
      </c>
      <c r="D98" s="419"/>
      <c r="E98" s="420"/>
      <c r="F98" s="513"/>
      <c r="G98" s="419"/>
      <c r="H98" s="416"/>
    </row>
    <row r="99" spans="1:8" ht="22.5">
      <c r="A99" s="422" t="s">
        <v>1499</v>
      </c>
      <c r="B99" s="423" t="s">
        <v>3245</v>
      </c>
      <c r="C99" s="416">
        <v>65</v>
      </c>
      <c r="D99" s="419"/>
      <c r="E99" s="420"/>
      <c r="F99" s="513"/>
      <c r="G99" s="419"/>
      <c r="H99" s="416"/>
    </row>
    <row r="100" spans="1:8" ht="22.5">
      <c r="A100" s="422" t="s">
        <v>3246</v>
      </c>
      <c r="B100" s="423" t="s">
        <v>1503</v>
      </c>
      <c r="C100" s="416">
        <v>25</v>
      </c>
      <c r="D100" s="419"/>
      <c r="E100" s="420"/>
      <c r="F100" s="513"/>
      <c r="G100" s="419"/>
      <c r="H100" s="416"/>
    </row>
    <row r="101" spans="1:8">
      <c r="A101" s="422" t="s">
        <v>1500</v>
      </c>
      <c r="B101" s="423" t="s">
        <v>1504</v>
      </c>
      <c r="C101" s="416">
        <v>8</v>
      </c>
      <c r="D101" s="419"/>
      <c r="E101" s="420"/>
      <c r="F101" s="513"/>
      <c r="G101" s="419"/>
      <c r="H101" s="416"/>
    </row>
    <row r="102" spans="1:8" ht="22.5">
      <c r="A102" s="422" t="s">
        <v>1509</v>
      </c>
      <c r="B102" s="423" t="s">
        <v>1505</v>
      </c>
      <c r="C102" s="416">
        <v>33</v>
      </c>
      <c r="D102" s="419"/>
      <c r="E102" s="420"/>
      <c r="F102" s="513"/>
      <c r="G102" s="419"/>
      <c r="H102" s="416"/>
    </row>
    <row r="103" spans="1:8">
      <c r="A103" s="424" t="s">
        <v>1507</v>
      </c>
      <c r="B103" s="423" t="s">
        <v>1511</v>
      </c>
      <c r="C103" s="416">
        <v>30</v>
      </c>
      <c r="D103" s="419"/>
      <c r="E103" s="420"/>
      <c r="F103" s="513"/>
      <c r="G103" s="419"/>
      <c r="H103" s="416"/>
    </row>
    <row r="104" spans="1:8">
      <c r="A104" s="513" t="s">
        <v>1888</v>
      </c>
      <c r="B104" s="419" t="s">
        <v>1889</v>
      </c>
      <c r="C104" s="416">
        <v>55</v>
      </c>
      <c r="D104" s="419"/>
      <c r="E104" s="420"/>
      <c r="F104" s="513"/>
      <c r="G104" s="419"/>
      <c r="H104" s="416"/>
    </row>
    <row r="105" spans="1:8">
      <c r="A105" s="513"/>
      <c r="B105" s="419"/>
      <c r="C105" s="419" t="s">
        <v>1890</v>
      </c>
      <c r="D105" s="513"/>
      <c r="E105" s="419" t="s">
        <v>1891</v>
      </c>
      <c r="F105" s="513"/>
      <c r="G105" s="419"/>
      <c r="H105" s="416"/>
    </row>
    <row r="106" spans="1:8">
      <c r="A106" s="513" t="s">
        <v>1448</v>
      </c>
      <c r="B106" s="419" t="s">
        <v>1892</v>
      </c>
      <c r="C106" s="416">
        <v>205</v>
      </c>
      <c r="D106" s="419" t="s">
        <v>1893</v>
      </c>
      <c r="E106" s="416">
        <v>190</v>
      </c>
      <c r="F106" s="513"/>
      <c r="G106" s="419"/>
      <c r="H106" s="416"/>
    </row>
    <row r="107" spans="1:8">
      <c r="A107" s="513" t="s">
        <v>1449</v>
      </c>
      <c r="B107" s="419" t="s">
        <v>1894</v>
      </c>
      <c r="C107" s="416">
        <v>170</v>
      </c>
      <c r="D107" s="419" t="s">
        <v>1895</v>
      </c>
      <c r="E107" s="416">
        <v>155</v>
      </c>
      <c r="F107" s="513"/>
      <c r="G107" s="419"/>
      <c r="H107" s="416"/>
    </row>
    <row r="108" spans="1:8">
      <c r="A108" s="513" t="s">
        <v>1450</v>
      </c>
      <c r="B108" s="419" t="s">
        <v>1896</v>
      </c>
      <c r="C108" s="416">
        <v>130</v>
      </c>
      <c r="D108" s="419" t="s">
        <v>1897</v>
      </c>
      <c r="E108" s="416">
        <v>120</v>
      </c>
      <c r="F108" s="513"/>
      <c r="G108" s="419"/>
      <c r="H108" s="416"/>
    </row>
    <row r="109" spans="1:8">
      <c r="A109" s="513" t="s">
        <v>1452</v>
      </c>
      <c r="B109" s="419" t="s">
        <v>1898</v>
      </c>
      <c r="C109" s="416">
        <v>95</v>
      </c>
      <c r="D109" s="419" t="s">
        <v>1899</v>
      </c>
      <c r="E109" s="416">
        <v>80</v>
      </c>
      <c r="F109" s="513"/>
      <c r="G109" s="419"/>
      <c r="H109" s="416"/>
    </row>
    <row r="110" spans="1:8">
      <c r="A110" s="513" t="s">
        <v>1900</v>
      </c>
      <c r="B110" s="419"/>
      <c r="C110" s="416">
        <f>C106+C108</f>
        <v>335</v>
      </c>
      <c r="D110" s="419"/>
      <c r="E110" s="416">
        <f>E106+E108</f>
        <v>310</v>
      </c>
      <c r="F110" s="513"/>
      <c r="G110" s="419"/>
      <c r="H110" s="416"/>
    </row>
    <row r="111" spans="1:8">
      <c r="A111" s="513" t="s">
        <v>1901</v>
      </c>
      <c r="B111" s="419"/>
      <c r="C111" s="416">
        <f>C106+C109</f>
        <v>300</v>
      </c>
      <c r="D111" s="419"/>
      <c r="E111" s="416">
        <f>E106+E109</f>
        <v>270</v>
      </c>
      <c r="F111" s="513"/>
      <c r="G111" s="419"/>
      <c r="H111" s="416"/>
    </row>
    <row r="112" spans="1:8">
      <c r="A112" s="513" t="s">
        <v>1902</v>
      </c>
      <c r="B112" s="419" t="s">
        <v>1903</v>
      </c>
      <c r="C112" s="416">
        <v>57</v>
      </c>
      <c r="D112" s="419" t="s">
        <v>1904</v>
      </c>
      <c r="E112" s="416">
        <v>60</v>
      </c>
      <c r="F112" s="513"/>
      <c r="G112" s="419"/>
      <c r="H112" s="416"/>
    </row>
    <row r="113" spans="1:8">
      <c r="A113" s="513"/>
      <c r="B113" s="419"/>
      <c r="C113" s="419"/>
      <c r="D113" s="419"/>
      <c r="E113" s="420"/>
      <c r="F113" s="513"/>
      <c r="G113" s="419"/>
      <c r="H113" s="416"/>
    </row>
    <row r="114" spans="1:8" ht="25.5">
      <c r="A114" s="513" t="s">
        <v>1905</v>
      </c>
      <c r="B114" s="419" t="s">
        <v>1906</v>
      </c>
      <c r="C114" s="416">
        <v>18</v>
      </c>
      <c r="D114" s="419"/>
      <c r="E114" s="420" t="s">
        <v>1907</v>
      </c>
      <c r="F114" s="513" t="s">
        <v>1908</v>
      </c>
      <c r="G114" s="416">
        <v>18</v>
      </c>
      <c r="H114" s="416"/>
    </row>
    <row r="115" spans="1:8" ht="25.5">
      <c r="A115" s="513" t="s">
        <v>1455</v>
      </c>
      <c r="B115" s="419" t="s">
        <v>1909</v>
      </c>
      <c r="C115" s="416">
        <v>1290</v>
      </c>
      <c r="D115" s="419"/>
      <c r="E115" s="420" t="s">
        <v>1910</v>
      </c>
      <c r="F115" s="513" t="s">
        <v>1911</v>
      </c>
      <c r="G115" s="416">
        <v>110</v>
      </c>
      <c r="H115" s="416"/>
    </row>
    <row r="116" spans="1:8" ht="25.5">
      <c r="A116" s="513" t="s">
        <v>1912</v>
      </c>
      <c r="B116" s="419" t="s">
        <v>1913</v>
      </c>
      <c r="C116" s="416">
        <v>15</v>
      </c>
      <c r="D116" s="419"/>
      <c r="E116" s="420" t="s">
        <v>1914</v>
      </c>
      <c r="F116" s="513" t="s">
        <v>1915</v>
      </c>
      <c r="G116" s="416">
        <v>950</v>
      </c>
      <c r="H116" s="416"/>
    </row>
    <row r="117" spans="1:8" ht="25.5">
      <c r="A117" s="513" t="s">
        <v>1916</v>
      </c>
      <c r="B117" s="419" t="s">
        <v>1917</v>
      </c>
      <c r="C117" s="416">
        <v>18</v>
      </c>
      <c r="D117" s="419"/>
      <c r="E117" s="420" t="s">
        <v>1918</v>
      </c>
      <c r="F117" s="513" t="s">
        <v>1919</v>
      </c>
      <c r="G117" s="416">
        <v>180</v>
      </c>
      <c r="H117" s="416"/>
    </row>
    <row r="118" spans="1:8">
      <c r="A118" s="513" t="s">
        <v>1920</v>
      </c>
      <c r="B118" s="419" t="s">
        <v>1921</v>
      </c>
      <c r="C118" s="416">
        <v>24</v>
      </c>
      <c r="D118" s="419"/>
      <c r="E118" s="420" t="s">
        <v>1922</v>
      </c>
      <c r="F118" s="513" t="s">
        <v>1923</v>
      </c>
      <c r="G118" s="416">
        <v>2300</v>
      </c>
      <c r="H118" s="416"/>
    </row>
    <row r="119" spans="1:8" ht="38.25">
      <c r="A119" s="513" t="s">
        <v>1924</v>
      </c>
      <c r="B119" s="419" t="s">
        <v>1925</v>
      </c>
      <c r="C119" s="416">
        <v>1050</v>
      </c>
      <c r="D119" s="419"/>
      <c r="E119" s="420" t="s">
        <v>1926</v>
      </c>
      <c r="F119" s="513" t="s">
        <v>1927</v>
      </c>
      <c r="G119" s="416">
        <v>85</v>
      </c>
      <c r="H119" s="416"/>
    </row>
    <row r="120" spans="1:8">
      <c r="A120" s="513" t="s">
        <v>1928</v>
      </c>
      <c r="B120" s="419" t="s">
        <v>1929</v>
      </c>
      <c r="C120" s="416">
        <v>19</v>
      </c>
      <c r="D120" s="419"/>
      <c r="E120" s="420" t="s">
        <v>1576</v>
      </c>
      <c r="F120" s="513" t="s">
        <v>1930</v>
      </c>
      <c r="G120" s="416">
        <v>100</v>
      </c>
      <c r="H120" s="416"/>
    </row>
    <row r="121" spans="1:8" ht="51">
      <c r="A121" s="513" t="s">
        <v>1931</v>
      </c>
      <c r="B121" s="419" t="s">
        <v>1932</v>
      </c>
      <c r="C121" s="416">
        <v>40</v>
      </c>
      <c r="D121" s="419"/>
      <c r="E121" s="420" t="s">
        <v>1933</v>
      </c>
      <c r="F121" s="513" t="s">
        <v>1934</v>
      </c>
      <c r="G121" s="416">
        <v>290</v>
      </c>
      <c r="H121" s="416"/>
    </row>
    <row r="122" spans="1:8" ht="22.5">
      <c r="A122" s="513" t="s">
        <v>1935</v>
      </c>
      <c r="B122" s="419" t="s">
        <v>1936</v>
      </c>
      <c r="C122" s="416">
        <v>115</v>
      </c>
      <c r="D122" s="419"/>
      <c r="E122" s="422" t="s">
        <v>1937</v>
      </c>
      <c r="F122" s="513" t="s">
        <v>1938</v>
      </c>
      <c r="G122" s="416">
        <v>875</v>
      </c>
      <c r="H122" s="416"/>
    </row>
    <row r="123" spans="1:8" ht="38.25">
      <c r="A123" s="513" t="s">
        <v>1939</v>
      </c>
      <c r="B123" s="419" t="s">
        <v>1940</v>
      </c>
      <c r="C123" s="416">
        <v>90</v>
      </c>
      <c r="D123" s="419"/>
      <c r="E123" s="425" t="s">
        <v>1941</v>
      </c>
      <c r="F123" s="513" t="s">
        <v>1942</v>
      </c>
      <c r="G123" s="416">
        <v>360</v>
      </c>
      <c r="H123" s="416"/>
    </row>
    <row r="124" spans="1:8" ht="25.5">
      <c r="A124" s="513" t="s">
        <v>1943</v>
      </c>
      <c r="B124" s="419" t="s">
        <v>1944</v>
      </c>
      <c r="C124" s="416">
        <v>85</v>
      </c>
      <c r="D124" s="419"/>
      <c r="E124" s="425" t="s">
        <v>1945</v>
      </c>
      <c r="F124" s="513" t="s">
        <v>1946</v>
      </c>
      <c r="G124" s="416">
        <v>190</v>
      </c>
      <c r="H124" s="416"/>
    </row>
    <row r="125" spans="1:8" ht="45">
      <c r="A125" s="513" t="s">
        <v>1947</v>
      </c>
      <c r="B125" s="419" t="s">
        <v>1948</v>
      </c>
      <c r="C125" s="416">
        <v>130</v>
      </c>
      <c r="D125" s="419"/>
      <c r="E125" s="422" t="s">
        <v>1949</v>
      </c>
      <c r="F125" s="513" t="s">
        <v>1950</v>
      </c>
      <c r="G125" s="416">
        <v>100</v>
      </c>
      <c r="H125" s="416"/>
    </row>
    <row r="126" spans="1:8" ht="56.25">
      <c r="A126" s="513" t="s">
        <v>1663</v>
      </c>
      <c r="B126" s="419" t="s">
        <v>1951</v>
      </c>
      <c r="C126" s="416">
        <v>80</v>
      </c>
      <c r="D126" s="419"/>
      <c r="E126" s="425" t="s">
        <v>1952</v>
      </c>
      <c r="F126" s="513" t="s">
        <v>1953</v>
      </c>
      <c r="G126" s="416">
        <v>5100</v>
      </c>
      <c r="H126" s="416"/>
    </row>
    <row r="127" spans="1:8" ht="25.5">
      <c r="A127" s="513" t="s">
        <v>1954</v>
      </c>
      <c r="B127" s="419" t="s">
        <v>1955</v>
      </c>
      <c r="C127" s="416">
        <v>70</v>
      </c>
      <c r="D127" s="419"/>
      <c r="E127" s="425" t="s">
        <v>1956</v>
      </c>
      <c r="F127" s="513" t="s">
        <v>1957</v>
      </c>
      <c r="G127" s="416">
        <v>190</v>
      </c>
      <c r="H127" s="416"/>
    </row>
    <row r="128" spans="1:8" ht="33.75">
      <c r="A128" s="513" t="s">
        <v>1958</v>
      </c>
      <c r="B128" s="419" t="s">
        <v>2092</v>
      </c>
      <c r="C128" s="416">
        <v>1510</v>
      </c>
      <c r="D128" s="419"/>
      <c r="E128" s="426" t="s">
        <v>1959</v>
      </c>
      <c r="F128" s="513" t="s">
        <v>1960</v>
      </c>
      <c r="G128" s="416">
        <v>350</v>
      </c>
      <c r="H128" s="416"/>
    </row>
    <row r="129" spans="1:8" ht="25.5">
      <c r="A129" s="513" t="s">
        <v>1961</v>
      </c>
      <c r="B129" s="419" t="s">
        <v>1962</v>
      </c>
      <c r="C129" s="416">
        <v>2440</v>
      </c>
      <c r="D129" s="419"/>
      <c r="E129" s="422" t="s">
        <v>1963</v>
      </c>
      <c r="F129" s="513" t="s">
        <v>1964</v>
      </c>
      <c r="G129" s="416">
        <v>65</v>
      </c>
      <c r="H129" s="416"/>
    </row>
    <row r="130" spans="1:8" ht="25.5">
      <c r="A130" s="513" t="s">
        <v>1965</v>
      </c>
      <c r="B130" s="419" t="s">
        <v>1966</v>
      </c>
      <c r="C130" s="416">
        <v>3725</v>
      </c>
      <c r="D130" s="419"/>
      <c r="E130" s="422" t="s">
        <v>1967</v>
      </c>
      <c r="F130" s="513" t="s">
        <v>1968</v>
      </c>
      <c r="G130" s="416">
        <v>65</v>
      </c>
      <c r="H130" s="416"/>
    </row>
    <row r="131" spans="1:8" ht="45">
      <c r="A131" s="513" t="s">
        <v>1969</v>
      </c>
      <c r="B131" s="419" t="s">
        <v>1970</v>
      </c>
      <c r="C131" s="416">
        <v>1375</v>
      </c>
      <c r="D131" s="419"/>
      <c r="E131" s="426" t="s">
        <v>1971</v>
      </c>
      <c r="F131" s="513" t="s">
        <v>1972</v>
      </c>
      <c r="G131" s="416">
        <v>6</v>
      </c>
      <c r="H131" s="416"/>
    </row>
    <row r="132" spans="1:8" ht="33.75">
      <c r="A132" s="513" t="s">
        <v>1973</v>
      </c>
      <c r="B132" s="419" t="s">
        <v>1974</v>
      </c>
      <c r="C132" s="416">
        <v>65</v>
      </c>
      <c r="D132" s="419"/>
      <c r="E132" s="426" t="s">
        <v>1975</v>
      </c>
      <c r="F132" s="513" t="s">
        <v>1976</v>
      </c>
      <c r="G132" s="416">
        <v>12</v>
      </c>
      <c r="H132" s="416"/>
    </row>
    <row r="133" spans="1:8" ht="22.5">
      <c r="A133" s="513" t="s">
        <v>1977</v>
      </c>
      <c r="B133" s="419" t="s">
        <v>1978</v>
      </c>
      <c r="C133" s="416">
        <v>430</v>
      </c>
      <c r="D133" s="419"/>
      <c r="E133" s="426" t="s">
        <v>1979</v>
      </c>
      <c r="F133" s="513" t="s">
        <v>1427</v>
      </c>
      <c r="G133" s="416">
        <v>250</v>
      </c>
      <c r="H133" s="416"/>
    </row>
    <row r="134" spans="1:8" ht="45">
      <c r="A134" s="513" t="s">
        <v>2090</v>
      </c>
      <c r="B134" s="419" t="s">
        <v>2091</v>
      </c>
      <c r="C134" s="416">
        <v>1050</v>
      </c>
      <c r="D134" s="419"/>
      <c r="E134" s="426" t="s">
        <v>1980</v>
      </c>
      <c r="F134" s="513" t="s">
        <v>1429</v>
      </c>
      <c r="G134" s="416">
        <v>130</v>
      </c>
      <c r="H134" s="416"/>
    </row>
    <row r="135" spans="1:8">
      <c r="A135" s="513"/>
      <c r="B135" s="419"/>
      <c r="C135" s="419"/>
      <c r="D135" s="419"/>
      <c r="E135" s="426" t="s">
        <v>1981</v>
      </c>
      <c r="F135" s="513" t="s">
        <v>1982</v>
      </c>
      <c r="G135" s="416">
        <v>20</v>
      </c>
      <c r="H135" s="416"/>
    </row>
    <row r="136" spans="1:8">
      <c r="A136" s="513"/>
      <c r="B136" s="419"/>
      <c r="C136" s="419"/>
      <c r="D136" s="419"/>
      <c r="E136" s="426" t="s">
        <v>1983</v>
      </c>
      <c r="F136" s="513" t="s">
        <v>1984</v>
      </c>
      <c r="G136" s="416">
        <v>15</v>
      </c>
      <c r="H136" s="416"/>
    </row>
    <row r="137" spans="1:8" ht="22.5">
      <c r="A137" s="513"/>
      <c r="B137" s="419"/>
      <c r="C137" s="419"/>
      <c r="D137" s="419"/>
      <c r="E137" s="422" t="s">
        <v>1985</v>
      </c>
      <c r="F137" s="513" t="s">
        <v>1986</v>
      </c>
      <c r="G137" s="416">
        <v>250</v>
      </c>
      <c r="H137" s="416"/>
    </row>
    <row r="138" spans="1:8" ht="22.5">
      <c r="A138" s="513"/>
      <c r="B138" s="419"/>
      <c r="C138" s="419"/>
      <c r="D138" s="419"/>
      <c r="E138" s="422" t="s">
        <v>1985</v>
      </c>
      <c r="F138" s="513" t="s">
        <v>1986</v>
      </c>
      <c r="G138" s="416">
        <v>250</v>
      </c>
      <c r="H138" s="416"/>
    </row>
    <row r="139" spans="1:8">
      <c r="A139" s="513"/>
      <c r="B139" s="419"/>
      <c r="C139" s="419"/>
      <c r="D139" s="419"/>
      <c r="E139" s="420" t="s">
        <v>1569</v>
      </c>
      <c r="F139" s="513" t="s">
        <v>2095</v>
      </c>
      <c r="G139" s="416">
        <v>1980</v>
      </c>
      <c r="H139" s="416"/>
    </row>
    <row r="140" spans="1:8">
      <c r="A140" s="513"/>
      <c r="B140" s="419"/>
      <c r="C140" s="419"/>
      <c r="D140" s="419"/>
      <c r="E140" s="420" t="s">
        <v>1569</v>
      </c>
      <c r="F140" s="513" t="s">
        <v>2270</v>
      </c>
      <c r="G140" s="416">
        <v>5900</v>
      </c>
      <c r="H140" s="416"/>
    </row>
    <row r="141" spans="1:8">
      <c r="A141" s="513"/>
      <c r="B141" s="419"/>
      <c r="C141" s="419"/>
      <c r="D141" s="419"/>
      <c r="E141" s="420"/>
      <c r="F141" s="513"/>
      <c r="G141" s="419"/>
      <c r="H141" s="416"/>
    </row>
    <row r="142" spans="1:8" ht="25.5">
      <c r="A142" s="427" t="s">
        <v>1987</v>
      </c>
      <c r="B142" s="418" t="s">
        <v>1375</v>
      </c>
      <c r="C142" s="419">
        <v>71195</v>
      </c>
      <c r="D142" s="419"/>
      <c r="E142" s="427" t="s">
        <v>1378</v>
      </c>
      <c r="F142" s="418" t="s">
        <v>1379</v>
      </c>
      <c r="G142" s="419">
        <v>231</v>
      </c>
      <c r="H142" s="416"/>
    </row>
    <row r="143" spans="1:8" ht="38.25">
      <c r="A143" s="427" t="s">
        <v>1988</v>
      </c>
      <c r="B143" s="418" t="s">
        <v>1377</v>
      </c>
      <c r="C143" s="854">
        <v>142391</v>
      </c>
      <c r="D143" s="419"/>
      <c r="E143" s="427" t="s">
        <v>1395</v>
      </c>
      <c r="F143" s="419" t="s">
        <v>1396</v>
      </c>
      <c r="G143" s="419">
        <v>84</v>
      </c>
      <c r="H143" s="416"/>
    </row>
    <row r="144" spans="1:8" ht="38.25">
      <c r="A144" s="427" t="s">
        <v>1989</v>
      </c>
      <c r="B144" s="418" t="s">
        <v>1687</v>
      </c>
      <c r="C144" s="419">
        <v>46217</v>
      </c>
      <c r="D144" s="419"/>
      <c r="E144" s="420" t="s">
        <v>1414</v>
      </c>
      <c r="F144" s="419" t="s">
        <v>1415</v>
      </c>
      <c r="G144" s="419">
        <v>103</v>
      </c>
      <c r="H144" s="416"/>
    </row>
    <row r="145" spans="1:8" ht="38.25">
      <c r="A145" s="427" t="s">
        <v>1990</v>
      </c>
      <c r="B145" s="418" t="s">
        <v>1689</v>
      </c>
      <c r="C145" s="419">
        <v>58690</v>
      </c>
      <c r="D145" s="419"/>
      <c r="E145" s="427" t="s">
        <v>1380</v>
      </c>
      <c r="F145" s="418" t="s">
        <v>1381</v>
      </c>
      <c r="G145" s="419">
        <v>246</v>
      </c>
      <c r="H145" s="416"/>
    </row>
    <row r="146" spans="1:8" ht="38.25">
      <c r="A146" s="513" t="s">
        <v>1392</v>
      </c>
      <c r="B146" s="419" t="s">
        <v>1393</v>
      </c>
      <c r="C146" s="419">
        <v>3030</v>
      </c>
      <c r="D146" s="419"/>
      <c r="E146" s="427" t="s">
        <v>1397</v>
      </c>
      <c r="F146" s="419" t="s">
        <v>1398</v>
      </c>
      <c r="G146" s="419">
        <v>117</v>
      </c>
      <c r="H146" s="416"/>
    </row>
    <row r="147" spans="1:8" ht="38.25">
      <c r="A147" s="513" t="s">
        <v>1991</v>
      </c>
      <c r="B147" s="419" t="s">
        <v>1410</v>
      </c>
      <c r="C147" s="419">
        <v>805</v>
      </c>
      <c r="D147" s="419"/>
      <c r="E147" s="427" t="s">
        <v>1382</v>
      </c>
      <c r="F147" s="418" t="s">
        <v>1383</v>
      </c>
      <c r="G147" s="419">
        <v>103</v>
      </c>
      <c r="H147" s="416"/>
    </row>
    <row r="148" spans="1:8" ht="25.5">
      <c r="A148" s="513" t="s">
        <v>2289</v>
      </c>
      <c r="B148" s="419" t="s">
        <v>2099</v>
      </c>
      <c r="C148" s="419">
        <v>1790</v>
      </c>
      <c r="D148" s="419"/>
      <c r="E148" s="427" t="s">
        <v>1384</v>
      </c>
      <c r="F148" s="418" t="s">
        <v>1385</v>
      </c>
      <c r="G148" s="419">
        <v>1087</v>
      </c>
      <c r="H148" s="416"/>
    </row>
    <row r="149" spans="1:8" ht="38.25">
      <c r="A149" s="513" t="s">
        <v>1992</v>
      </c>
      <c r="B149" s="419" t="s">
        <v>1391</v>
      </c>
      <c r="C149" s="419">
        <v>1570</v>
      </c>
      <c r="D149" s="419"/>
      <c r="E149" s="427" t="s">
        <v>1399</v>
      </c>
      <c r="F149" s="419" t="s">
        <v>1400</v>
      </c>
      <c r="G149" s="419">
        <v>308</v>
      </c>
      <c r="H149" s="416"/>
    </row>
    <row r="150" spans="1:8" ht="25.5">
      <c r="A150" s="513" t="s">
        <v>1993</v>
      </c>
      <c r="B150" s="419" t="s">
        <v>1695</v>
      </c>
      <c r="C150" s="419">
        <v>1452</v>
      </c>
      <c r="D150" s="419"/>
      <c r="E150" s="427" t="s">
        <v>1386</v>
      </c>
      <c r="F150" s="418" t="s">
        <v>1387</v>
      </c>
      <c r="G150" s="419">
        <v>168</v>
      </c>
      <c r="H150" s="416"/>
    </row>
    <row r="151" spans="1:8" ht="38.25">
      <c r="A151" s="513" t="s">
        <v>2290</v>
      </c>
      <c r="B151" s="419" t="s">
        <v>1394</v>
      </c>
      <c r="C151" s="419">
        <v>754</v>
      </c>
      <c r="D151" s="419"/>
      <c r="E151" s="427" t="s">
        <v>1401</v>
      </c>
      <c r="F151" s="419" t="s">
        <v>1402</v>
      </c>
      <c r="G151" s="419">
        <v>45</v>
      </c>
      <c r="H151" s="416"/>
    </row>
    <row r="152" spans="1:8" ht="38.25">
      <c r="A152" s="513" t="s">
        <v>1995</v>
      </c>
      <c r="B152" s="419" t="s">
        <v>1996</v>
      </c>
      <c r="C152" s="419">
        <v>8058</v>
      </c>
      <c r="D152" s="419"/>
      <c r="E152" s="427" t="s">
        <v>1388</v>
      </c>
      <c r="F152" s="418" t="s">
        <v>1389</v>
      </c>
      <c r="G152" s="419">
        <v>32</v>
      </c>
      <c r="H152" s="416"/>
    </row>
    <row r="153" spans="1:8">
      <c r="A153" s="513" t="s">
        <v>1997</v>
      </c>
      <c r="B153" s="419" t="s">
        <v>1417</v>
      </c>
      <c r="C153" s="419">
        <v>6038</v>
      </c>
      <c r="D153" s="419"/>
      <c r="E153" s="420" t="s">
        <v>1998</v>
      </c>
      <c r="F153" s="419" t="s">
        <v>1407</v>
      </c>
      <c r="G153" s="419">
        <v>373</v>
      </c>
      <c r="H153" s="416"/>
    </row>
    <row r="154" spans="1:8" ht="38.25">
      <c r="A154" s="513" t="s">
        <v>1999</v>
      </c>
      <c r="B154" s="419" t="s">
        <v>1420</v>
      </c>
      <c r="C154" s="419">
        <v>5830</v>
      </c>
      <c r="D154" s="419"/>
      <c r="E154" s="420" t="s">
        <v>2000</v>
      </c>
      <c r="F154" s="419" t="s">
        <v>1408</v>
      </c>
      <c r="G154" s="419">
        <v>340</v>
      </c>
      <c r="H154" s="416"/>
    </row>
    <row r="155" spans="1:8" ht="25.5">
      <c r="A155" s="513" t="s">
        <v>1994</v>
      </c>
      <c r="B155" s="419" t="s">
        <v>2101</v>
      </c>
      <c r="C155" s="419">
        <v>383</v>
      </c>
      <c r="D155" s="419"/>
      <c r="E155" s="427" t="s">
        <v>2001</v>
      </c>
      <c r="F155" s="419" t="s">
        <v>1693</v>
      </c>
      <c r="G155" s="419">
        <v>53</v>
      </c>
      <c r="H155" s="416"/>
    </row>
    <row r="156" spans="1:8">
      <c r="A156" s="512" t="s">
        <v>2292</v>
      </c>
      <c r="B156" s="516" t="s">
        <v>2291</v>
      </c>
      <c r="C156" s="516">
        <v>3797</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xl/worksheets/sheet27.xml><?xml version="1.0" encoding="utf-8"?>
<worksheet xmlns="http://schemas.openxmlformats.org/spreadsheetml/2006/main" xmlns:r="http://schemas.openxmlformats.org/officeDocument/2006/relationships">
  <sheetPr>
    <tabColor rgb="FF7030A0"/>
  </sheetPr>
  <dimension ref="A1:O35"/>
  <sheetViews>
    <sheetView view="pageBreakPreview" topLeftCell="A10" zoomScale="115" zoomScaleNormal="130" zoomScaleSheetLayoutView="115" workbookViewId="0">
      <selection activeCell="E26" sqref="E26"/>
    </sheetView>
  </sheetViews>
  <sheetFormatPr defaultColWidth="9.140625" defaultRowHeight="12.75"/>
  <cols>
    <col min="1" max="1" width="5.7109375" style="397" customWidth="1"/>
    <col min="2" max="2" width="31.5703125" style="215" customWidth="1"/>
    <col min="3" max="3" width="5.7109375" style="397" customWidth="1"/>
    <col min="4" max="4" width="14.140625" style="397" customWidth="1"/>
    <col min="5" max="5" width="6.7109375" style="215" bestFit="1" customWidth="1"/>
    <col min="6" max="7" width="8.140625" style="215" customWidth="1"/>
    <col min="8" max="8" width="7.5703125" style="215" customWidth="1"/>
    <col min="9" max="9" width="8.140625" style="215" customWidth="1"/>
    <col min="10" max="10" width="8.28515625" style="215" customWidth="1"/>
    <col min="11" max="11" width="8.42578125" style="215" customWidth="1"/>
    <col min="12" max="12" width="8.7109375" style="215" customWidth="1"/>
    <col min="13" max="17" width="9.140625" style="215" customWidth="1"/>
    <col min="18" max="16384" width="9.140625" style="215"/>
  </cols>
  <sheetData>
    <row r="1" spans="1:15" s="214" customFormat="1" ht="20.100000000000001" customHeight="1">
      <c r="A1" s="1888" t="s">
        <v>2386</v>
      </c>
      <c r="B1" s="1889"/>
      <c r="C1" s="1889"/>
      <c r="D1" s="1889"/>
      <c r="E1" s="1889"/>
      <c r="F1" s="1889"/>
      <c r="G1" s="1889"/>
      <c r="H1" s="1889"/>
      <c r="I1" s="1889"/>
      <c r="J1" s="1889"/>
      <c r="K1" s="1889"/>
      <c r="L1" s="1889"/>
    </row>
    <row r="2" spans="1:15" s="214" customFormat="1" ht="27.75" customHeight="1">
      <c r="A2" s="370"/>
      <c r="B2" s="57" t="s">
        <v>836</v>
      </c>
      <c r="C2" s="1890" t="str">
        <f>'lead 19-20'!C2</f>
        <v>Providing Additional Space for Agriculture Staff in  Baduguleru GP of Kanigiri Mandal</v>
      </c>
      <c r="D2" s="1890"/>
      <c r="E2" s="1890"/>
      <c r="F2" s="1890"/>
      <c r="G2" s="1890"/>
      <c r="H2" s="1890"/>
      <c r="I2" s="1890"/>
      <c r="J2" s="1890"/>
      <c r="K2" s="1890"/>
      <c r="L2" s="1890"/>
    </row>
    <row r="3" spans="1:15" s="214" customFormat="1" ht="20.100000000000001" customHeight="1">
      <c r="A3" s="371"/>
      <c r="B3" s="372"/>
      <c r="C3" s="373" t="s">
        <v>2387</v>
      </c>
      <c r="D3" s="371"/>
      <c r="E3" s="374"/>
      <c r="F3" s="374"/>
      <c r="G3" s="374"/>
      <c r="H3" s="374"/>
      <c r="I3" s="374"/>
      <c r="J3" s="372"/>
      <c r="K3" s="372"/>
      <c r="L3" s="374"/>
      <c r="M3" s="214" t="s">
        <v>837</v>
      </c>
      <c r="N3" s="214">
        <f>'lead 19-20'!N3</f>
        <v>85</v>
      </c>
    </row>
    <row r="4" spans="1:15" ht="15" customHeight="1">
      <c r="A4" s="375"/>
      <c r="B4" s="218" t="s">
        <v>838</v>
      </c>
      <c r="C4" s="454" t="str">
        <f>'lead 19-20'!C4</f>
        <v>No: 087043102002090039</v>
      </c>
      <c r="D4" s="375"/>
      <c r="E4" s="376"/>
      <c r="F4" s="375"/>
      <c r="G4" s="376"/>
      <c r="H4" s="376"/>
      <c r="I4" s="376"/>
      <c r="J4" s="377" t="s">
        <v>839</v>
      </c>
      <c r="K4" s="378" t="s">
        <v>2434</v>
      </c>
      <c r="L4" s="375"/>
      <c r="M4" s="215" t="s">
        <v>139</v>
      </c>
      <c r="N4" s="214">
        <f>'lead 19-20'!N4</f>
        <v>50</v>
      </c>
    </row>
    <row r="5" spans="1:15" s="216" customFormat="1" ht="31.5" customHeight="1">
      <c r="A5" s="1886" t="s">
        <v>840</v>
      </c>
      <c r="B5" s="1886" t="s">
        <v>322</v>
      </c>
      <c r="C5" s="1886" t="s">
        <v>841</v>
      </c>
      <c r="D5" s="1886" t="s">
        <v>842</v>
      </c>
      <c r="E5" s="1886" t="s">
        <v>253</v>
      </c>
      <c r="F5" s="1886" t="s">
        <v>843</v>
      </c>
      <c r="G5" s="1886" t="s">
        <v>844</v>
      </c>
      <c r="H5" s="1886" t="s">
        <v>17</v>
      </c>
      <c r="I5" s="1886" t="s">
        <v>845</v>
      </c>
      <c r="J5" s="1886" t="s">
        <v>1321</v>
      </c>
      <c r="K5" s="1887" t="s">
        <v>1323</v>
      </c>
      <c r="L5" s="1887" t="s">
        <v>117</v>
      </c>
      <c r="M5" s="216" t="s">
        <v>846</v>
      </c>
      <c r="N5" s="214">
        <f>'lead 19-20'!N5</f>
        <v>48</v>
      </c>
    </row>
    <row r="6" spans="1:15" s="216" customFormat="1" ht="18" customHeight="1">
      <c r="A6" s="1886"/>
      <c r="B6" s="1886"/>
      <c r="C6" s="1886"/>
      <c r="D6" s="1886"/>
      <c r="E6" s="1886"/>
      <c r="F6" s="1886"/>
      <c r="G6" s="1886"/>
      <c r="H6" s="1886"/>
      <c r="I6" s="1886"/>
      <c r="J6" s="1886"/>
      <c r="K6" s="1887"/>
      <c r="L6" s="1887"/>
      <c r="M6" s="216" t="s">
        <v>1523</v>
      </c>
      <c r="N6" s="214">
        <f>'lead 19-20'!N6</f>
        <v>72</v>
      </c>
      <c r="O6" s="379"/>
    </row>
    <row r="7" spans="1:15" s="381" customFormat="1" ht="15" customHeight="1">
      <c r="A7" s="380">
        <v>1</v>
      </c>
      <c r="B7" s="380">
        <v>2</v>
      </c>
      <c r="C7" s="380">
        <v>3</v>
      </c>
      <c r="D7" s="380">
        <v>4</v>
      </c>
      <c r="E7" s="380">
        <v>5</v>
      </c>
      <c r="F7" s="380">
        <v>6</v>
      </c>
      <c r="G7" s="380">
        <v>7</v>
      </c>
      <c r="H7" s="380">
        <v>8</v>
      </c>
      <c r="I7" s="380">
        <v>9</v>
      </c>
      <c r="J7" s="380">
        <v>10</v>
      </c>
      <c r="K7" s="380">
        <v>11</v>
      </c>
      <c r="L7" s="380">
        <v>13</v>
      </c>
    </row>
    <row r="8" spans="1:15" s="388" customFormat="1">
      <c r="A8" s="382">
        <v>1</v>
      </c>
      <c r="B8" s="383" t="s">
        <v>847</v>
      </c>
      <c r="C8" s="384" t="s">
        <v>29</v>
      </c>
      <c r="D8" s="385" t="s">
        <v>3</v>
      </c>
      <c r="E8" s="386" t="s">
        <v>15</v>
      </c>
      <c r="F8" s="386">
        <v>0</v>
      </c>
      <c r="G8" s="386">
        <f>'MINI SSR 2022-23 (2)'!C4</f>
        <v>4700</v>
      </c>
      <c r="H8" s="386"/>
      <c r="I8" s="386"/>
      <c r="J8" s="386"/>
      <c r="K8" s="386"/>
      <c r="L8" s="387">
        <f t="shared" ref="L8:L25" si="0">SUM(F8:K8)</f>
        <v>4700</v>
      </c>
    </row>
    <row r="9" spans="1:15" s="388" customFormat="1">
      <c r="A9" s="382">
        <v>2</v>
      </c>
      <c r="B9" s="383" t="s">
        <v>1706</v>
      </c>
      <c r="C9" s="384" t="s">
        <v>29</v>
      </c>
      <c r="D9" s="385" t="s">
        <v>3</v>
      </c>
      <c r="E9" s="386" t="s">
        <v>15</v>
      </c>
      <c r="F9" s="386">
        <v>0</v>
      </c>
      <c r="G9" s="386">
        <f>'MINI SSR 2022-23 (2)'!C5</f>
        <v>64500</v>
      </c>
      <c r="H9" s="386"/>
      <c r="I9" s="386">
        <f>G9*18%</f>
        <v>11610</v>
      </c>
      <c r="J9" s="386"/>
      <c r="K9" s="386"/>
      <c r="L9" s="387">
        <f t="shared" si="0"/>
        <v>76110</v>
      </c>
    </row>
    <row r="10" spans="1:15" s="388" customFormat="1">
      <c r="A10" s="382">
        <v>3</v>
      </c>
      <c r="B10" s="389" t="s">
        <v>848</v>
      </c>
      <c r="C10" s="384" t="s">
        <v>29</v>
      </c>
      <c r="D10" s="385" t="s">
        <v>3</v>
      </c>
      <c r="E10" s="386"/>
      <c r="F10" s="386"/>
      <c r="G10" s="386">
        <f>'MINI SSR 2022-23 (2)'!C7</f>
        <v>61500</v>
      </c>
      <c r="H10" s="386"/>
      <c r="I10" s="386">
        <f>G10*18%</f>
        <v>11070</v>
      </c>
      <c r="J10" s="386"/>
      <c r="K10" s="386"/>
      <c r="L10" s="387">
        <f t="shared" si="0"/>
        <v>72570</v>
      </c>
    </row>
    <row r="11" spans="1:15" s="388" customFormat="1">
      <c r="A11" s="382">
        <v>4</v>
      </c>
      <c r="B11" s="389" t="s">
        <v>849</v>
      </c>
      <c r="C11" s="384" t="s">
        <v>29</v>
      </c>
      <c r="D11" s="385" t="s">
        <v>3</v>
      </c>
      <c r="E11" s="386"/>
      <c r="F11" s="386"/>
      <c r="G11" s="386">
        <f>'MINI SSR 2022-23 (2)'!C8</f>
        <v>61500</v>
      </c>
      <c r="H11" s="386"/>
      <c r="I11" s="386"/>
      <c r="J11" s="386"/>
      <c r="K11" s="386"/>
      <c r="L11" s="387">
        <f t="shared" si="0"/>
        <v>61500</v>
      </c>
    </row>
    <row r="12" spans="1:15" s="388" customFormat="1">
      <c r="A12" s="382">
        <v>2</v>
      </c>
      <c r="B12" s="389" t="s">
        <v>850</v>
      </c>
      <c r="C12" s="384" t="s">
        <v>5</v>
      </c>
      <c r="D12" s="390" t="s">
        <v>2740</v>
      </c>
      <c r="E12" s="391">
        <f>N3</f>
        <v>85</v>
      </c>
      <c r="F12" s="391">
        <f>VLOOKUP(E12,'con 2022-23 (2)'!$A$6:$F$305,2,FALSE)</f>
        <v>1115.9999999999998</v>
      </c>
      <c r="G12" s="386">
        <f>'MINI SSR 2022-23 (2)'!C9</f>
        <v>700</v>
      </c>
      <c r="H12" s="386"/>
      <c r="I12" s="386"/>
      <c r="J12" s="386"/>
      <c r="K12" s="386"/>
      <c r="L12" s="387">
        <f t="shared" si="0"/>
        <v>1815.9999999999998</v>
      </c>
    </row>
    <row r="13" spans="1:15" s="388" customFormat="1">
      <c r="A13" s="382">
        <v>5</v>
      </c>
      <c r="B13" s="389" t="s">
        <v>851</v>
      </c>
      <c r="C13" s="384" t="s">
        <v>5</v>
      </c>
      <c r="D13" s="390" t="str">
        <f>D12</f>
        <v>K.Bitragunta</v>
      </c>
      <c r="E13" s="391">
        <f>E12</f>
        <v>85</v>
      </c>
      <c r="F13" s="391">
        <f>VLOOKUP(E13,'con 2022-23 (2)'!$A$6:$F$305,2,FALSE)</f>
        <v>1115.9999999999998</v>
      </c>
      <c r="G13" s="386">
        <f>'MINI SSR 2022-23 (2)'!C10</f>
        <v>605</v>
      </c>
      <c r="H13" s="386"/>
      <c r="I13" s="386"/>
      <c r="J13" s="386"/>
      <c r="K13" s="386"/>
      <c r="L13" s="387">
        <f t="shared" si="0"/>
        <v>1720.9999999999998</v>
      </c>
    </row>
    <row r="14" spans="1:15" s="388" customFormat="1">
      <c r="A14" s="382">
        <v>6</v>
      </c>
      <c r="B14" s="389" t="s">
        <v>768</v>
      </c>
      <c r="C14" s="384" t="s">
        <v>5</v>
      </c>
      <c r="D14" s="390" t="str">
        <f>D13</f>
        <v>K.Bitragunta</v>
      </c>
      <c r="E14" s="391">
        <f>E13</f>
        <v>85</v>
      </c>
      <c r="F14" s="391">
        <f>VLOOKUP(E14,'con 2022-23 (2)'!A8:F307,2,FALSE)</f>
        <v>1115.9999999999998</v>
      </c>
      <c r="G14" s="386">
        <f>'MINI SSR 2022-23 (2)'!C11</f>
        <v>460</v>
      </c>
      <c r="H14" s="386"/>
      <c r="I14" s="386"/>
      <c r="J14" s="386"/>
      <c r="K14" s="386"/>
      <c r="L14" s="387">
        <f t="shared" si="0"/>
        <v>1575.9999999999998</v>
      </c>
    </row>
    <row r="15" spans="1:15" s="388" customFormat="1">
      <c r="A15" s="382">
        <v>7</v>
      </c>
      <c r="B15" s="389" t="s">
        <v>1320</v>
      </c>
      <c r="C15" s="384" t="s">
        <v>852</v>
      </c>
      <c r="D15" s="390" t="s">
        <v>1524</v>
      </c>
      <c r="E15" s="391">
        <f>N5</f>
        <v>48</v>
      </c>
      <c r="F15" s="391">
        <f>VLOOKUP(E15,'con 2022-23 (2)'!$A$5:$F$308,4,FALSE)</f>
        <v>1078.9999999999995</v>
      </c>
      <c r="G15" s="386">
        <f>'MINI SSR 2022-23 (2)'!C12</f>
        <v>7500</v>
      </c>
      <c r="H15" s="386"/>
      <c r="I15" s="386"/>
      <c r="J15" s="386">
        <f>'MINI SSR 2022-23 (2)'!D12</f>
        <v>68.5</v>
      </c>
      <c r="K15" s="386">
        <f>'MINI SSR 2022-23 (2)'!E12</f>
        <v>68.5</v>
      </c>
      <c r="L15" s="387">
        <f t="shared" si="0"/>
        <v>8716</v>
      </c>
    </row>
    <row r="16" spans="1:15" s="388" customFormat="1">
      <c r="A16" s="382">
        <v>8</v>
      </c>
      <c r="B16" s="389" t="s">
        <v>853</v>
      </c>
      <c r="C16" s="384" t="s">
        <v>5</v>
      </c>
      <c r="D16" s="390" t="s">
        <v>2024</v>
      </c>
      <c r="E16" s="391">
        <f>N4</f>
        <v>50</v>
      </c>
      <c r="F16" s="391">
        <f>VLOOKUP(E16,'con 2022-23 (2)'!$A$5:$F$309,3,FALSE)</f>
        <v>671.9000000000002</v>
      </c>
      <c r="G16" s="386">
        <f>'MINI SSR 2022-23 (2)'!C13</f>
        <v>716</v>
      </c>
      <c r="H16" s="386">
        <v>70</v>
      </c>
      <c r="I16" s="386">
        <f>ROUND(G16*0.25,2)</f>
        <v>179</v>
      </c>
      <c r="J16" s="386"/>
      <c r="K16" s="386"/>
      <c r="L16" s="387">
        <f t="shared" si="0"/>
        <v>1636.9</v>
      </c>
    </row>
    <row r="17" spans="1:12" s="392" customFormat="1">
      <c r="A17" s="382">
        <v>9</v>
      </c>
      <c r="B17" s="389" t="s">
        <v>854</v>
      </c>
      <c r="C17" s="384" t="s">
        <v>5</v>
      </c>
      <c r="D17" s="390" t="str">
        <f t="shared" ref="D17:E20" si="1">D16</f>
        <v>Ramatherdham</v>
      </c>
      <c r="E17" s="391">
        <f t="shared" si="1"/>
        <v>50</v>
      </c>
      <c r="F17" s="391">
        <f>VLOOKUP(E17,'con 2022-23 (2)'!$A$5:$F$309,3,FALSE)</f>
        <v>671.9000000000002</v>
      </c>
      <c r="G17" s="386">
        <f>'MINI SSR 2022-23 (2)'!C14</f>
        <v>1196</v>
      </c>
      <c r="H17" s="386">
        <v>70</v>
      </c>
      <c r="I17" s="386">
        <f>ROUND(G17*0.25,2)</f>
        <v>299</v>
      </c>
      <c r="J17" s="386"/>
      <c r="K17" s="386"/>
      <c r="L17" s="387">
        <f t="shared" si="0"/>
        <v>2236.9</v>
      </c>
    </row>
    <row r="18" spans="1:12" s="392" customFormat="1">
      <c r="A18" s="382">
        <v>10</v>
      </c>
      <c r="B18" s="389" t="s">
        <v>855</v>
      </c>
      <c r="C18" s="384" t="s">
        <v>5</v>
      </c>
      <c r="D18" s="390" t="str">
        <f t="shared" si="1"/>
        <v>Ramatherdham</v>
      </c>
      <c r="E18" s="391">
        <f t="shared" si="1"/>
        <v>50</v>
      </c>
      <c r="F18" s="391">
        <f>VLOOKUP(E18,'con 2022-23 (2)'!$A$5:$F$309,3,FALSE)</f>
        <v>671.9000000000002</v>
      </c>
      <c r="G18" s="386">
        <f>'MINI SSR 2022-23 (2)'!C15</f>
        <v>952</v>
      </c>
      <c r="H18" s="386">
        <v>70</v>
      </c>
      <c r="I18" s="386">
        <f>ROUND(G18*0.25,2)</f>
        <v>238</v>
      </c>
      <c r="J18" s="386"/>
      <c r="K18" s="386"/>
      <c r="L18" s="387">
        <f t="shared" si="0"/>
        <v>1931.9</v>
      </c>
    </row>
    <row r="19" spans="1:12" s="392" customFormat="1">
      <c r="A19" s="382">
        <v>11</v>
      </c>
      <c r="B19" s="389" t="s">
        <v>856</v>
      </c>
      <c r="C19" s="384" t="s">
        <v>5</v>
      </c>
      <c r="D19" s="390" t="str">
        <f t="shared" si="1"/>
        <v>Ramatherdham</v>
      </c>
      <c r="E19" s="391">
        <f t="shared" si="1"/>
        <v>50</v>
      </c>
      <c r="F19" s="391">
        <f>VLOOKUP(E19,'con 2022-23 (2)'!$A$5:$F$309,3,FALSE)</f>
        <v>671.9000000000002</v>
      </c>
      <c r="G19" s="386">
        <f>'MINI SSR 2022-23 (2)'!C16</f>
        <v>800</v>
      </c>
      <c r="H19" s="386">
        <v>70</v>
      </c>
      <c r="I19" s="386">
        <f>ROUND(G19*0.25,2)</f>
        <v>200</v>
      </c>
      <c r="J19" s="386"/>
      <c r="K19" s="386"/>
      <c r="L19" s="387">
        <f t="shared" si="0"/>
        <v>1741.9</v>
      </c>
    </row>
    <row r="20" spans="1:12" s="392" customFormat="1">
      <c r="A20" s="382">
        <v>12</v>
      </c>
      <c r="B20" s="389" t="s">
        <v>857</v>
      </c>
      <c r="C20" s="384" t="s">
        <v>5</v>
      </c>
      <c r="D20" s="390" t="str">
        <f t="shared" si="1"/>
        <v>Ramatherdham</v>
      </c>
      <c r="E20" s="391">
        <f t="shared" si="1"/>
        <v>50</v>
      </c>
      <c r="F20" s="391">
        <f>VLOOKUP(E20,'con 2022-23 (2)'!$A$5:$F$309,3,FALSE)</f>
        <v>671.9000000000002</v>
      </c>
      <c r="G20" s="386">
        <f>'MINI SSR 2022-23 (2)'!C17</f>
        <v>636</v>
      </c>
      <c r="H20" s="386">
        <v>70</v>
      </c>
      <c r="I20" s="386">
        <f>ROUND(G20*0.25,2)</f>
        <v>159</v>
      </c>
      <c r="J20" s="386"/>
      <c r="K20" s="386"/>
      <c r="L20" s="387">
        <f t="shared" si="0"/>
        <v>1536.9</v>
      </c>
    </row>
    <row r="21" spans="1:12" s="392" customFormat="1">
      <c r="A21" s="382">
        <v>13</v>
      </c>
      <c r="B21" s="389" t="s">
        <v>1194</v>
      </c>
      <c r="C21" s="384" t="s">
        <v>5</v>
      </c>
      <c r="D21" s="390" t="str">
        <f>D20</f>
        <v>Ramatherdham</v>
      </c>
      <c r="E21" s="391">
        <f>E20</f>
        <v>50</v>
      </c>
      <c r="F21" s="391">
        <f>VLOOKUP(E21,'con 2022-23 (2)'!$A$5:$F$309,3,FALSE)</f>
        <v>671.9000000000002</v>
      </c>
      <c r="G21" s="386">
        <f>'MINI SSR 2022-23 (2)'!C18</f>
        <v>298</v>
      </c>
      <c r="H21" s="386">
        <v>70</v>
      </c>
      <c r="I21" s="386"/>
      <c r="J21" s="386"/>
      <c r="K21" s="386"/>
      <c r="L21" s="387">
        <f t="shared" si="0"/>
        <v>1039.9000000000001</v>
      </c>
    </row>
    <row r="22" spans="1:12" s="388" customFormat="1">
      <c r="A22" s="382">
        <v>14</v>
      </c>
      <c r="B22" s="393" t="s">
        <v>1322</v>
      </c>
      <c r="C22" s="384" t="s">
        <v>102</v>
      </c>
      <c r="D22" s="390" t="str">
        <f>D21</f>
        <v>Ramatherdham</v>
      </c>
      <c r="E22" s="391">
        <f>E20</f>
        <v>50</v>
      </c>
      <c r="F22" s="391">
        <f>VLOOKUP(E22,'con 2022-23 (2)'!$A$5:$F$309,5,FALSE)*0.16</f>
        <v>157.74399999999994</v>
      </c>
      <c r="G22" s="386">
        <f>'MINI SSR 2022-23 (2)'!C19</f>
        <v>2100</v>
      </c>
      <c r="H22" s="386"/>
      <c r="I22" s="386"/>
      <c r="J22" s="386"/>
      <c r="K22" s="386"/>
      <c r="L22" s="387">
        <f t="shared" si="0"/>
        <v>2257.7440000000001</v>
      </c>
    </row>
    <row r="23" spans="1:12" s="388" customFormat="1">
      <c r="A23" s="382">
        <v>15</v>
      </c>
      <c r="B23" s="389" t="s">
        <v>1209</v>
      </c>
      <c r="C23" s="384"/>
      <c r="D23" s="390" t="s">
        <v>1210</v>
      </c>
      <c r="E23" s="391">
        <f>N6</f>
        <v>72</v>
      </c>
      <c r="F23" s="391">
        <f>VLOOKUP(E23,'con 2022-23 (2)'!$A$5:$F$308,4,FALSE)</f>
        <v>1542.1999999999985</v>
      </c>
      <c r="G23" s="386">
        <f>'MINI SSR 2022-23 (2)'!C24</f>
        <v>18000</v>
      </c>
      <c r="H23" s="386"/>
      <c r="I23" s="386"/>
      <c r="J23" s="386"/>
      <c r="K23" s="386"/>
      <c r="L23" s="387">
        <f t="shared" si="0"/>
        <v>19542.199999999997</v>
      </c>
    </row>
    <row r="24" spans="1:12" s="388" customFormat="1">
      <c r="A24" s="382">
        <v>16</v>
      </c>
      <c r="B24" s="389" t="s">
        <v>860</v>
      </c>
      <c r="C24" s="384" t="s">
        <v>5</v>
      </c>
      <c r="D24" s="390" t="s">
        <v>3</v>
      </c>
      <c r="E24" s="391">
        <v>5</v>
      </c>
      <c r="F24" s="391">
        <f>VLOOKUP(E24,'con 2022-23 (2)'!$A$6:$F$305,2,FALSE)</f>
        <v>96</v>
      </c>
      <c r="G24" s="386">
        <f>'MINI SSR 2022-23 (2)'!C25</f>
        <v>93</v>
      </c>
      <c r="H24" s="386"/>
      <c r="I24" s="386"/>
      <c r="J24" s="386"/>
      <c r="K24" s="386"/>
      <c r="L24" s="387">
        <f t="shared" si="0"/>
        <v>189</v>
      </c>
    </row>
    <row r="25" spans="1:12" s="388" customFormat="1">
      <c r="A25" s="382">
        <v>17</v>
      </c>
      <c r="B25" s="389" t="s">
        <v>664</v>
      </c>
      <c r="C25" s="384" t="s">
        <v>5</v>
      </c>
      <c r="D25" s="390" t="s">
        <v>3</v>
      </c>
      <c r="E25" s="391">
        <v>5</v>
      </c>
      <c r="F25" s="391">
        <f>VLOOKUP(E25,'con 2022-23 (2)'!$A$6:$F$305,2,FALSE)</f>
        <v>96</v>
      </c>
      <c r="G25" s="386">
        <f>'MINI SSR 2022-23 (2)'!C26</f>
        <v>149</v>
      </c>
      <c r="H25" s="386"/>
      <c r="I25" s="386"/>
      <c r="J25" s="386"/>
      <c r="K25" s="386"/>
      <c r="L25" s="387">
        <f t="shared" si="0"/>
        <v>245</v>
      </c>
    </row>
    <row r="26" spans="1:12" s="396" customFormat="1">
      <c r="A26" s="382"/>
      <c r="B26" s="394"/>
      <c r="C26" s="382"/>
      <c r="D26" s="394"/>
      <c r="E26" s="394"/>
      <c r="F26" s="394"/>
      <c r="G26" s="394"/>
      <c r="H26" s="394"/>
      <c r="I26" s="394"/>
      <c r="J26" s="394"/>
      <c r="K26" s="394"/>
      <c r="L26" s="395"/>
    </row>
    <row r="27" spans="1:12" s="396" customFormat="1">
      <c r="A27" s="388"/>
      <c r="C27" s="388"/>
    </row>
    <row r="28" spans="1:12" s="396" customFormat="1">
      <c r="A28" s="388" t="s">
        <v>1458</v>
      </c>
      <c r="B28" s="227" t="s">
        <v>1457</v>
      </c>
      <c r="C28" s="388"/>
    </row>
    <row r="29" spans="1:12" s="396" customFormat="1">
      <c r="A29" s="388" t="s">
        <v>1459</v>
      </c>
      <c r="B29" s="227" t="s">
        <v>2390</v>
      </c>
      <c r="C29" s="388"/>
    </row>
    <row r="30" spans="1:12" s="396" customFormat="1">
      <c r="A30" s="388"/>
      <c r="B30" s="227"/>
      <c r="C30" s="388"/>
    </row>
    <row r="31" spans="1:12" s="58" customFormat="1">
      <c r="B31" s="396"/>
      <c r="C31" s="388"/>
      <c r="D31" s="388"/>
      <c r="E31" s="396"/>
      <c r="F31" s="59"/>
      <c r="H31" s="217" t="s">
        <v>149</v>
      </c>
      <c r="J31" s="59"/>
      <c r="K31" s="217" t="str">
        <f>'lead 19-20'!K31</f>
        <v>Assistant  Engineer</v>
      </c>
      <c r="L31" s="59"/>
    </row>
    <row r="32" spans="1:12" s="58" customFormat="1">
      <c r="B32" s="396"/>
      <c r="C32" s="388"/>
      <c r="D32" s="388"/>
      <c r="E32" s="396"/>
      <c r="H32" s="217" t="s">
        <v>858</v>
      </c>
      <c r="J32" s="59"/>
      <c r="K32" s="217" t="str">
        <f>'lead 19-20'!K32</f>
        <v>Mandal Praja parishad</v>
      </c>
      <c r="L32" s="59"/>
    </row>
    <row r="33" spans="1:11" s="396" customFormat="1">
      <c r="A33" s="388"/>
      <c r="C33" s="388"/>
      <c r="D33" s="388"/>
      <c r="H33" s="217" t="s">
        <v>1525</v>
      </c>
      <c r="K33" s="217" t="str">
        <f>'lead 19-20'!K33</f>
        <v>Kanigiri</v>
      </c>
    </row>
    <row r="34" spans="1:11" s="396" customFormat="1">
      <c r="A34" s="388"/>
      <c r="C34" s="388"/>
      <c r="D34" s="388"/>
    </row>
    <row r="35" spans="1:11" s="396" customFormat="1">
      <c r="A35" s="388"/>
      <c r="C35" s="388"/>
      <c r="D35" s="388"/>
    </row>
  </sheetData>
  <mergeCells count="14">
    <mergeCell ref="I5:I6"/>
    <mergeCell ref="J5:J6"/>
    <mergeCell ref="K5:K6"/>
    <mergeCell ref="L5:L6"/>
    <mergeCell ref="A1:L1"/>
    <mergeCell ref="C2:L2"/>
    <mergeCell ref="A5:A6"/>
    <mergeCell ref="B5:B6"/>
    <mergeCell ref="C5:C6"/>
    <mergeCell ref="D5:D6"/>
    <mergeCell ref="E5:E6"/>
    <mergeCell ref="F5:F6"/>
    <mergeCell ref="G5:G6"/>
    <mergeCell ref="H5:H6"/>
  </mergeCells>
  <pageMargins left="0.71" right="0.2" top="0.25" bottom="0.25" header="0.3" footer="0.3"/>
  <pageSetup paperSize="9" orientation="landscape" verticalDpi="300" r:id="rId1"/>
  <rowBreaks count="1" manualBreakCount="1">
    <brk id="34" max="16383" man="1"/>
  </rowBreaks>
</worksheet>
</file>

<file path=xl/worksheets/sheet28.xml><?xml version="1.0" encoding="utf-8"?>
<worksheet xmlns="http://schemas.openxmlformats.org/spreadsheetml/2006/main" xmlns:r="http://schemas.openxmlformats.org/officeDocument/2006/relationships">
  <sheetPr>
    <tabColor rgb="FF00B050"/>
  </sheetPr>
  <dimension ref="A1:H925"/>
  <sheetViews>
    <sheetView topLeftCell="A880" zoomScaleSheetLayoutView="145" workbookViewId="0">
      <selection activeCell="E888" sqref="E888"/>
    </sheetView>
  </sheetViews>
  <sheetFormatPr defaultColWidth="9.140625" defaultRowHeight="12.75"/>
  <cols>
    <col min="1" max="1" width="4.5703125" style="58" customWidth="1"/>
    <col min="2" max="2" width="10.42578125" style="58" customWidth="1"/>
    <col min="3" max="3" width="40.42578125" style="669" customWidth="1"/>
    <col min="4" max="4" width="6.5703125" style="12" bestFit="1" customWidth="1"/>
    <col min="5" max="5" width="8.5703125" style="12" customWidth="1"/>
    <col min="6" max="6" width="9.5703125" style="12" bestFit="1" customWidth="1"/>
    <col min="7" max="7" width="10.5703125" style="58" customWidth="1"/>
    <col min="8" max="8" width="7.5703125" style="12" customWidth="1"/>
    <col min="9" max="9" width="3" style="58" bestFit="1" customWidth="1"/>
    <col min="10" max="16384" width="9.140625" style="58"/>
  </cols>
  <sheetData>
    <row r="1" spans="1:8">
      <c r="A1" s="1903" t="s">
        <v>2435</v>
      </c>
      <c r="B1" s="1903"/>
      <c r="C1" s="1903"/>
      <c r="D1" s="1903"/>
      <c r="E1" s="1903"/>
      <c r="F1" s="1903"/>
      <c r="G1" s="1903"/>
    </row>
    <row r="2" spans="1:8" ht="33.75" customHeight="1">
      <c r="A2" s="1904" t="str">
        <f>'lead 19-20'!B2&amp;'lead 19-20'!C2</f>
        <v>Name of the Work: Providing Additional Space for Agriculture Staff in  Baduguleru GP of Kanigiri Mandal</v>
      </c>
      <c r="B2" s="1904"/>
      <c r="C2" s="1904"/>
      <c r="D2" s="1904"/>
      <c r="E2" s="1904"/>
      <c r="F2" s="1904"/>
      <c r="G2" s="1904"/>
    </row>
    <row r="3" spans="1:8">
      <c r="A3" s="59"/>
      <c r="E3" s="12" t="s">
        <v>270</v>
      </c>
      <c r="F3" s="217" t="str">
        <f>'lead 22-23 P-B'!K4</f>
        <v>3.30 lakhs</v>
      </c>
    </row>
    <row r="4" spans="1:8" s="670" customFormat="1" ht="19.5" customHeight="1">
      <c r="A4" s="667" t="s">
        <v>23</v>
      </c>
      <c r="B4" s="667" t="s">
        <v>24</v>
      </c>
      <c r="C4" s="700" t="s">
        <v>25</v>
      </c>
      <c r="D4" s="667" t="s">
        <v>16</v>
      </c>
      <c r="E4" s="667" t="s">
        <v>6</v>
      </c>
      <c r="F4" s="667" t="s">
        <v>8</v>
      </c>
      <c r="G4" s="667" t="s">
        <v>10</v>
      </c>
      <c r="H4" s="634"/>
    </row>
    <row r="5" spans="1:8" ht="25.5">
      <c r="A5" s="673">
        <v>1</v>
      </c>
      <c r="B5" s="673" t="s">
        <v>46</v>
      </c>
      <c r="C5" s="573" t="s">
        <v>43</v>
      </c>
      <c r="D5" s="673"/>
      <c r="E5" s="673"/>
      <c r="F5" s="673"/>
      <c r="G5" s="673"/>
      <c r="H5" s="12" t="s">
        <v>2322</v>
      </c>
    </row>
    <row r="6" spans="1:8">
      <c r="A6" s="673"/>
      <c r="B6" s="673"/>
      <c r="C6" s="700" t="s">
        <v>44</v>
      </c>
      <c r="D6" s="673" t="s">
        <v>4</v>
      </c>
      <c r="E6" s="659">
        <f>1440/3</f>
        <v>480</v>
      </c>
      <c r="F6" s="659">
        <f>'lead 22-23 P-B'!$L$8</f>
        <v>4700</v>
      </c>
      <c r="G6" s="53">
        <f>ROUND(E6*F6/1000,2)</f>
        <v>2256</v>
      </c>
      <c r="H6" s="12" t="s">
        <v>2322</v>
      </c>
    </row>
    <row r="7" spans="1:8">
      <c r="A7" s="673"/>
      <c r="B7" s="673"/>
      <c r="C7" s="700" t="s">
        <v>110</v>
      </c>
      <c r="D7" s="673" t="s">
        <v>35</v>
      </c>
      <c r="E7" s="659">
        <v>1.05</v>
      </c>
      <c r="F7" s="659">
        <f>'lead 22-23 P-B'!$L$12</f>
        <v>1815.9999999999998</v>
      </c>
      <c r="G7" s="53">
        <f>ROUND(E7*F7,2)</f>
        <v>1906.8</v>
      </c>
      <c r="H7" s="12" t="s">
        <v>2322</v>
      </c>
    </row>
    <row r="8" spans="1:8">
      <c r="A8" s="673"/>
      <c r="B8" s="673"/>
      <c r="C8" s="700" t="s">
        <v>45</v>
      </c>
      <c r="D8" s="673" t="s">
        <v>27</v>
      </c>
      <c r="E8" s="659">
        <v>0.2</v>
      </c>
      <c r="F8" s="659">
        <f>'MINI SSR 2022-23 (2)'!H$5</f>
        <v>525</v>
      </c>
      <c r="G8" s="53">
        <f>ROUND(E8*F8,2)</f>
        <v>105</v>
      </c>
      <c r="H8" s="12" t="s">
        <v>2322</v>
      </c>
    </row>
    <row r="9" spans="1:8">
      <c r="A9" s="673"/>
      <c r="B9" s="673"/>
      <c r="C9" s="700"/>
      <c r="D9" s="673"/>
      <c r="E9" s="673"/>
      <c r="F9" s="673"/>
      <c r="G9" s="652">
        <f>SUM(G6:G8)</f>
        <v>4267.8</v>
      </c>
      <c r="H9" s="12" t="s">
        <v>2322</v>
      </c>
    </row>
    <row r="10" spans="1:8" ht="25.5">
      <c r="A10" s="673">
        <v>2</v>
      </c>
      <c r="B10" s="673" t="s">
        <v>51</v>
      </c>
      <c r="C10" s="573" t="s">
        <v>47</v>
      </c>
      <c r="D10" s="673"/>
      <c r="E10" s="673"/>
      <c r="F10" s="673"/>
      <c r="G10" s="673"/>
      <c r="H10" s="12" t="s">
        <v>2322</v>
      </c>
    </row>
    <row r="11" spans="1:8">
      <c r="A11" s="673"/>
      <c r="B11" s="673"/>
      <c r="C11" s="700" t="s">
        <v>44</v>
      </c>
      <c r="D11" s="673" t="s">
        <v>4</v>
      </c>
      <c r="E11" s="659">
        <f>1440/4</f>
        <v>360</v>
      </c>
      <c r="F11" s="659">
        <f>'lead 22-23 P-B'!$L$8</f>
        <v>4700</v>
      </c>
      <c r="G11" s="53">
        <f>ROUND(E11*F11/1000,2)</f>
        <v>1692</v>
      </c>
      <c r="H11" s="12" t="s">
        <v>2322</v>
      </c>
    </row>
    <row r="12" spans="1:8">
      <c r="A12" s="673"/>
      <c r="B12" s="673"/>
      <c r="C12" s="700" t="s">
        <v>110</v>
      </c>
      <c r="D12" s="673" t="s">
        <v>35</v>
      </c>
      <c r="E12" s="659">
        <v>1.05</v>
      </c>
      <c r="F12" s="659">
        <f>'lead 22-23 P-B'!$L$12</f>
        <v>1815.9999999999998</v>
      </c>
      <c r="G12" s="53">
        <f>ROUND(E12*F12,2)</f>
        <v>1906.8</v>
      </c>
      <c r="H12" s="12" t="s">
        <v>2322</v>
      </c>
    </row>
    <row r="13" spans="1:8">
      <c r="A13" s="673"/>
      <c r="B13" s="673"/>
      <c r="C13" s="700" t="s">
        <v>45</v>
      </c>
      <c r="D13" s="673" t="s">
        <v>27</v>
      </c>
      <c r="E13" s="659">
        <v>0.2</v>
      </c>
      <c r="F13" s="659">
        <f>'MINI SSR 2022-23 (2)'!H$5</f>
        <v>525</v>
      </c>
      <c r="G13" s="53">
        <f>ROUND(E13*F13,2)</f>
        <v>105</v>
      </c>
      <c r="H13" s="12" t="s">
        <v>2322</v>
      </c>
    </row>
    <row r="14" spans="1:8">
      <c r="A14" s="673"/>
      <c r="B14" s="673"/>
      <c r="C14" s="700"/>
      <c r="D14" s="673"/>
      <c r="E14" s="673"/>
      <c r="F14" s="673"/>
      <c r="G14" s="652">
        <f>SUM(G11:G13)</f>
        <v>3703.8</v>
      </c>
      <c r="H14" s="12" t="s">
        <v>2322</v>
      </c>
    </row>
    <row r="15" spans="1:8" s="601" customFormat="1" ht="25.5">
      <c r="A15" s="673">
        <v>1</v>
      </c>
      <c r="B15" s="673" t="s">
        <v>52</v>
      </c>
      <c r="C15" s="573" t="s">
        <v>48</v>
      </c>
      <c r="D15" s="673"/>
      <c r="E15" s="673"/>
      <c r="F15" s="673"/>
      <c r="G15" s="673"/>
      <c r="H15" s="12" t="s">
        <v>2322</v>
      </c>
    </row>
    <row r="16" spans="1:8" s="601" customFormat="1">
      <c r="A16" s="673"/>
      <c r="B16" s="673"/>
      <c r="C16" s="700" t="s">
        <v>44</v>
      </c>
      <c r="D16" s="673" t="s">
        <v>4</v>
      </c>
      <c r="E16" s="659">
        <f>1440/5</f>
        <v>288</v>
      </c>
      <c r="F16" s="659">
        <f>'lead 22-23 P-B'!$L$8</f>
        <v>4700</v>
      </c>
      <c r="G16" s="53">
        <f>ROUND(E16*F16/1000,2)</f>
        <v>1353.6</v>
      </c>
      <c r="H16" s="12" t="s">
        <v>2322</v>
      </c>
    </row>
    <row r="17" spans="1:8" s="601" customFormat="1">
      <c r="A17" s="673"/>
      <c r="B17" s="673"/>
      <c r="C17" s="700" t="s">
        <v>110</v>
      </c>
      <c r="D17" s="673" t="s">
        <v>35</v>
      </c>
      <c r="E17" s="659">
        <v>1.05</v>
      </c>
      <c r="F17" s="659">
        <f>'lead 22-23 P-B'!$L$12</f>
        <v>1815.9999999999998</v>
      </c>
      <c r="G17" s="53">
        <f>ROUND(E17*F17,2)</f>
        <v>1906.8</v>
      </c>
      <c r="H17" s="12" t="s">
        <v>2322</v>
      </c>
    </row>
    <row r="18" spans="1:8" s="601" customFormat="1">
      <c r="A18" s="673"/>
      <c r="B18" s="673"/>
      <c r="C18" s="700" t="s">
        <v>45</v>
      </c>
      <c r="D18" s="673" t="s">
        <v>27</v>
      </c>
      <c r="E18" s="659">
        <v>0.2</v>
      </c>
      <c r="F18" s="659">
        <f>'MINI SSR 2022-23 (2)'!H$5</f>
        <v>525</v>
      </c>
      <c r="G18" s="53">
        <f>ROUND(E18*F18,2)</f>
        <v>105</v>
      </c>
      <c r="H18" s="12" t="s">
        <v>2322</v>
      </c>
    </row>
    <row r="19" spans="1:8" s="601" customFormat="1">
      <c r="A19" s="673"/>
      <c r="B19" s="673"/>
      <c r="C19" s="700"/>
      <c r="D19" s="673"/>
      <c r="E19" s="673"/>
      <c r="F19" s="673"/>
      <c r="G19" s="652">
        <f>SUM(G16:G18)</f>
        <v>3365.3999999999996</v>
      </c>
      <c r="H19" s="12" t="s">
        <v>2322</v>
      </c>
    </row>
    <row r="20" spans="1:8" s="601" customFormat="1" ht="25.5">
      <c r="A20" s="673">
        <v>4</v>
      </c>
      <c r="B20" s="673" t="s">
        <v>53</v>
      </c>
      <c r="C20" s="573" t="s">
        <v>49</v>
      </c>
      <c r="D20" s="673"/>
      <c r="E20" s="673"/>
      <c r="F20" s="673"/>
      <c r="G20" s="673"/>
      <c r="H20" s="12" t="s">
        <v>2322</v>
      </c>
    </row>
    <row r="21" spans="1:8" s="601" customFormat="1">
      <c r="A21" s="673"/>
      <c r="B21" s="673"/>
      <c r="C21" s="700" t="s">
        <v>44</v>
      </c>
      <c r="D21" s="673" t="s">
        <v>4</v>
      </c>
      <c r="E21" s="659">
        <f>1440/6</f>
        <v>240</v>
      </c>
      <c r="F21" s="659">
        <f>'lead 22-23 P-B'!$L$8</f>
        <v>4700</v>
      </c>
      <c r="G21" s="53">
        <f>ROUND(E21*F21/1000,2)</f>
        <v>1128</v>
      </c>
      <c r="H21" s="12" t="s">
        <v>2322</v>
      </c>
    </row>
    <row r="22" spans="1:8" s="601" customFormat="1">
      <c r="A22" s="673"/>
      <c r="B22" s="673"/>
      <c r="C22" s="700" t="s">
        <v>111</v>
      </c>
      <c r="D22" s="673" t="s">
        <v>35</v>
      </c>
      <c r="E22" s="659">
        <v>1.05</v>
      </c>
      <c r="F22" s="659">
        <f>'lead 22-23 P-B'!$L$12</f>
        <v>1815.9999999999998</v>
      </c>
      <c r="G22" s="53">
        <f>ROUND(E22*F22,2)</f>
        <v>1906.8</v>
      </c>
      <c r="H22" s="12" t="s">
        <v>2322</v>
      </c>
    </row>
    <row r="23" spans="1:8" s="601" customFormat="1">
      <c r="A23" s="673"/>
      <c r="B23" s="673"/>
      <c r="C23" s="700" t="s">
        <v>45</v>
      </c>
      <c r="D23" s="673" t="s">
        <v>27</v>
      </c>
      <c r="E23" s="659">
        <v>0.2</v>
      </c>
      <c r="F23" s="659">
        <f>'MINI SSR 2022-23 (2)'!H$5</f>
        <v>525</v>
      </c>
      <c r="G23" s="53">
        <f>ROUND(E23*F23,2)</f>
        <v>105</v>
      </c>
      <c r="H23" s="12" t="s">
        <v>2322</v>
      </c>
    </row>
    <row r="24" spans="1:8" s="601" customFormat="1">
      <c r="A24" s="673"/>
      <c r="B24" s="673"/>
      <c r="C24" s="700"/>
      <c r="D24" s="673"/>
      <c r="E24" s="673"/>
      <c r="F24" s="673"/>
      <c r="G24" s="652">
        <f>SUM(G21:G23)</f>
        <v>3139.8</v>
      </c>
      <c r="H24" s="12" t="s">
        <v>2322</v>
      </c>
    </row>
    <row r="25" spans="1:8" s="601" customFormat="1" ht="25.5">
      <c r="A25" s="673">
        <v>5</v>
      </c>
      <c r="B25" s="673" t="s">
        <v>54</v>
      </c>
      <c r="C25" s="573" t="s">
        <v>50</v>
      </c>
      <c r="D25" s="673"/>
      <c r="E25" s="673"/>
      <c r="F25" s="673"/>
      <c r="G25" s="673"/>
      <c r="H25" s="12" t="s">
        <v>2322</v>
      </c>
    </row>
    <row r="26" spans="1:8" s="601" customFormat="1">
      <c r="A26" s="673"/>
      <c r="B26" s="673"/>
      <c r="C26" s="700" t="s">
        <v>44</v>
      </c>
      <c r="D26" s="673" t="s">
        <v>4</v>
      </c>
      <c r="E26" s="659">
        <f>1440/8</f>
        <v>180</v>
      </c>
      <c r="F26" s="659">
        <f>'lead 22-23 P-B'!$L$8</f>
        <v>4700</v>
      </c>
      <c r="G26" s="53">
        <f>ROUND(E26*F26/1000,2)</f>
        <v>846</v>
      </c>
      <c r="H26" s="12" t="s">
        <v>2322</v>
      </c>
    </row>
    <row r="27" spans="1:8" s="601" customFormat="1">
      <c r="A27" s="673"/>
      <c r="B27" s="673"/>
      <c r="C27" s="700" t="s">
        <v>111</v>
      </c>
      <c r="D27" s="673" t="s">
        <v>35</v>
      </c>
      <c r="E27" s="659">
        <v>1.05</v>
      </c>
      <c r="F27" s="659">
        <f>'lead 22-23 P-B'!$L$12</f>
        <v>1815.9999999999998</v>
      </c>
      <c r="G27" s="53">
        <f>ROUND(E27*F27,2)</f>
        <v>1906.8</v>
      </c>
      <c r="H27" s="12" t="s">
        <v>2322</v>
      </c>
    </row>
    <row r="28" spans="1:8" s="601" customFormat="1">
      <c r="A28" s="673"/>
      <c r="B28" s="673"/>
      <c r="C28" s="700" t="s">
        <v>45</v>
      </c>
      <c r="D28" s="673" t="s">
        <v>27</v>
      </c>
      <c r="E28" s="659">
        <v>0.2</v>
      </c>
      <c r="F28" s="659">
        <f>'MINI SSR 2022-23 (2)'!H$5</f>
        <v>525</v>
      </c>
      <c r="G28" s="53">
        <f>ROUND(E28*F28,2)</f>
        <v>105</v>
      </c>
      <c r="H28" s="12" t="s">
        <v>2322</v>
      </c>
    </row>
    <row r="29" spans="1:8" s="601" customFormat="1">
      <c r="A29" s="673"/>
      <c r="B29" s="673"/>
      <c r="C29" s="700"/>
      <c r="D29" s="673"/>
      <c r="E29" s="673"/>
      <c r="F29" s="673"/>
      <c r="G29" s="652">
        <f>SUM(G26:G28)</f>
        <v>2857.8</v>
      </c>
      <c r="H29" s="12" t="s">
        <v>2322</v>
      </c>
    </row>
    <row r="30" spans="1:8" s="601" customFormat="1" ht="25.5">
      <c r="A30" s="673"/>
      <c r="B30" s="673"/>
      <c r="C30" s="700" t="s">
        <v>827</v>
      </c>
      <c r="D30" s="673"/>
      <c r="E30" s="673"/>
      <c r="F30" s="673"/>
      <c r="G30" s="673"/>
      <c r="H30" s="12" t="s">
        <v>2322</v>
      </c>
    </row>
    <row r="31" spans="1:8" s="601" customFormat="1">
      <c r="A31" s="673"/>
      <c r="B31" s="673"/>
      <c r="C31" s="700" t="s">
        <v>822</v>
      </c>
      <c r="D31" s="672">
        <v>0.6</v>
      </c>
      <c r="E31" s="672">
        <f>'lead 22-23 P-B'!L17</f>
        <v>2236.9</v>
      </c>
      <c r="F31" s="672">
        <f>ROUND(D31*E31,2)</f>
        <v>1342.14</v>
      </c>
      <c r="G31" s="673"/>
      <c r="H31" s="12" t="s">
        <v>2322</v>
      </c>
    </row>
    <row r="32" spans="1:8" s="601" customFormat="1">
      <c r="A32" s="673"/>
      <c r="B32" s="673"/>
      <c r="C32" s="700" t="s">
        <v>823</v>
      </c>
      <c r="D32" s="672">
        <v>0.15</v>
      </c>
      <c r="E32" s="672">
        <f>'lead 22-23 P-B'!L18</f>
        <v>1931.9</v>
      </c>
      <c r="F32" s="672">
        <f>ROUND(D32*E32,2)</f>
        <v>289.79000000000002</v>
      </c>
      <c r="G32" s="673"/>
      <c r="H32" s="12" t="s">
        <v>2322</v>
      </c>
    </row>
    <row r="33" spans="1:8" s="601" customFormat="1">
      <c r="A33" s="673"/>
      <c r="B33" s="673"/>
      <c r="C33" s="700" t="s">
        <v>824</v>
      </c>
      <c r="D33" s="672">
        <v>0.15</v>
      </c>
      <c r="E33" s="672">
        <f>'lead 22-23 P-B'!L19</f>
        <v>1741.9</v>
      </c>
      <c r="F33" s="672">
        <f>ROUND(D33*E33,2)</f>
        <v>261.29000000000002</v>
      </c>
      <c r="G33" s="673"/>
      <c r="H33" s="12" t="s">
        <v>2322</v>
      </c>
    </row>
    <row r="34" spans="1:8" s="601" customFormat="1">
      <c r="A34" s="673"/>
      <c r="B34" s="673"/>
      <c r="C34" s="700" t="s">
        <v>825</v>
      </c>
      <c r="D34" s="672">
        <v>0.1</v>
      </c>
      <c r="E34" s="672">
        <f>'lead 22-23 P-B'!L20</f>
        <v>1536.9</v>
      </c>
      <c r="F34" s="672">
        <f>ROUND(D34*E34,2)</f>
        <v>153.69</v>
      </c>
      <c r="G34" s="673"/>
      <c r="H34" s="12" t="s">
        <v>2322</v>
      </c>
    </row>
    <row r="35" spans="1:8" s="601" customFormat="1">
      <c r="A35" s="673"/>
      <c r="B35" s="673"/>
      <c r="C35" s="573" t="s">
        <v>826</v>
      </c>
      <c r="D35" s="673"/>
      <c r="E35" s="673"/>
      <c r="F35" s="660">
        <f>SUM(F31:F34)</f>
        <v>2046.91</v>
      </c>
      <c r="G35" s="673"/>
      <c r="H35" s="12" t="s">
        <v>2322</v>
      </c>
    </row>
    <row r="36" spans="1:8" s="601" customFormat="1">
      <c r="A36" s="673"/>
      <c r="B36" s="673"/>
      <c r="C36" s="700"/>
      <c r="D36" s="673"/>
      <c r="E36" s="673"/>
      <c r="F36" s="673"/>
      <c r="G36" s="673"/>
      <c r="H36" s="12" t="s">
        <v>2322</v>
      </c>
    </row>
    <row r="37" spans="1:8" s="601" customFormat="1" ht="25.5">
      <c r="A37" s="16">
        <v>6</v>
      </c>
      <c r="B37" s="650"/>
      <c r="C37" s="700" t="s">
        <v>294</v>
      </c>
      <c r="D37" s="673"/>
      <c r="E37" s="673"/>
      <c r="F37" s="673"/>
      <c r="G37" s="39"/>
      <c r="H37" s="12" t="s">
        <v>2322</v>
      </c>
    </row>
    <row r="38" spans="1:8" s="601" customFormat="1">
      <c r="A38" s="16"/>
      <c r="B38" s="650"/>
      <c r="C38" s="700" t="s">
        <v>31</v>
      </c>
      <c r="D38" s="673"/>
      <c r="E38" s="673"/>
      <c r="F38" s="673"/>
      <c r="G38" s="39"/>
      <c r="H38" s="12" t="s">
        <v>2322</v>
      </c>
    </row>
    <row r="39" spans="1:8" s="601" customFormat="1">
      <c r="A39" s="16"/>
      <c r="B39" s="673"/>
      <c r="C39" s="700" t="s">
        <v>1324</v>
      </c>
      <c r="D39" s="673"/>
      <c r="E39" s="673"/>
      <c r="F39" s="673"/>
      <c r="G39" s="39"/>
      <c r="H39" s="12" t="s">
        <v>2322</v>
      </c>
    </row>
    <row r="40" spans="1:8" s="601" customFormat="1">
      <c r="A40" s="16"/>
      <c r="B40" s="674"/>
      <c r="C40" s="700" t="s">
        <v>122</v>
      </c>
      <c r="D40" s="673"/>
      <c r="E40" s="673"/>
      <c r="F40" s="673"/>
      <c r="G40" s="53">
        <f>'MINI SSR 2022-23 (2)'!H25</f>
        <v>6.06</v>
      </c>
      <c r="H40" s="12" t="s">
        <v>2322</v>
      </c>
    </row>
    <row r="41" spans="1:8" s="601" customFormat="1">
      <c r="A41" s="39"/>
      <c r="B41" s="39"/>
      <c r="C41" s="573" t="s">
        <v>119</v>
      </c>
      <c r="D41" s="16"/>
      <c r="E41" s="16"/>
      <c r="F41" s="16"/>
      <c r="G41" s="675">
        <f>SUM(G40)</f>
        <v>6.06</v>
      </c>
      <c r="H41" s="12" t="s">
        <v>2322</v>
      </c>
    </row>
    <row r="42" spans="1:8" s="601" customFormat="1" ht="63.75">
      <c r="A42" s="16">
        <v>2</v>
      </c>
      <c r="B42" s="650"/>
      <c r="C42" s="700" t="s">
        <v>1278</v>
      </c>
      <c r="D42" s="673"/>
      <c r="E42" s="673"/>
      <c r="F42" s="673"/>
      <c r="G42" s="39"/>
      <c r="H42" s="12" t="s">
        <v>2322</v>
      </c>
    </row>
    <row r="43" spans="1:8" s="601" customFormat="1">
      <c r="A43" s="16"/>
      <c r="B43" s="650"/>
      <c r="C43" s="700" t="s">
        <v>31</v>
      </c>
      <c r="D43" s="673"/>
      <c r="E43" s="673"/>
      <c r="F43" s="673"/>
      <c r="G43" s="39"/>
      <c r="H43" s="12" t="s">
        <v>2322</v>
      </c>
    </row>
    <row r="44" spans="1:8" s="601" customFormat="1">
      <c r="A44" s="16"/>
      <c r="B44" s="673"/>
      <c r="C44" s="700" t="s">
        <v>1324</v>
      </c>
      <c r="D44" s="673"/>
      <c r="E44" s="673"/>
      <c r="F44" s="673"/>
      <c r="G44" s="39"/>
      <c r="H44" s="12" t="s">
        <v>2322</v>
      </c>
    </row>
    <row r="45" spans="1:8" s="601" customFormat="1">
      <c r="A45" s="16"/>
      <c r="B45" s="674"/>
      <c r="C45" s="700" t="s">
        <v>122</v>
      </c>
      <c r="D45" s="673"/>
      <c r="E45" s="673"/>
      <c r="F45" s="673"/>
      <c r="G45" s="53">
        <f>'MINI SSR 2022-23 (2)'!H26</f>
        <v>144.26</v>
      </c>
      <c r="H45" s="12" t="s">
        <v>2322</v>
      </c>
    </row>
    <row r="46" spans="1:8" s="601" customFormat="1">
      <c r="A46" s="39"/>
      <c r="B46" s="39"/>
      <c r="C46" s="573" t="s">
        <v>119</v>
      </c>
      <c r="D46" s="16"/>
      <c r="E46" s="16"/>
      <c r="F46" s="16"/>
      <c r="G46" s="675">
        <f>SUM(G45)</f>
        <v>144.26</v>
      </c>
      <c r="H46" s="12" t="s">
        <v>2322</v>
      </c>
    </row>
    <row r="47" spans="1:8" s="601" customFormat="1" ht="89.25">
      <c r="A47" s="16">
        <v>8</v>
      </c>
      <c r="B47" s="650" t="s">
        <v>1327</v>
      </c>
      <c r="C47" s="700" t="s">
        <v>55</v>
      </c>
      <c r="D47" s="673"/>
      <c r="E47" s="673"/>
      <c r="F47" s="673"/>
      <c r="G47" s="650"/>
      <c r="H47" s="12" t="s">
        <v>2322</v>
      </c>
    </row>
    <row r="48" spans="1:8" s="601" customFormat="1">
      <c r="A48" s="16"/>
      <c r="B48" s="673"/>
      <c r="C48" s="573" t="s">
        <v>31</v>
      </c>
      <c r="D48" s="673"/>
      <c r="E48" s="673"/>
      <c r="F48" s="673"/>
      <c r="G48" s="39"/>
      <c r="H48" s="12" t="s">
        <v>2322</v>
      </c>
    </row>
    <row r="49" spans="1:8" s="601" customFormat="1">
      <c r="A49" s="16"/>
      <c r="B49" s="673"/>
      <c r="C49" s="573" t="s">
        <v>2423</v>
      </c>
      <c r="D49" s="673"/>
      <c r="E49" s="673"/>
      <c r="F49" s="673"/>
      <c r="G49" s="39"/>
      <c r="H49" s="12" t="s">
        <v>2322</v>
      </c>
    </row>
    <row r="50" spans="1:8" s="601" customFormat="1">
      <c r="A50" s="16"/>
      <c r="B50" s="674" t="s">
        <v>18</v>
      </c>
      <c r="C50" s="573" t="s">
        <v>26</v>
      </c>
      <c r="D50" s="673"/>
      <c r="E50" s="673"/>
      <c r="F50" s="673"/>
      <c r="G50" s="39"/>
      <c r="H50" s="12" t="s">
        <v>2322</v>
      </c>
    </row>
    <row r="51" spans="1:8" s="601" customFormat="1">
      <c r="A51" s="39"/>
      <c r="B51" s="39"/>
      <c r="C51" s="700" t="s">
        <v>118</v>
      </c>
      <c r="D51" s="16" t="s">
        <v>27</v>
      </c>
      <c r="E51" s="10">
        <v>0.31</v>
      </c>
      <c r="F51" s="659">
        <f>'MINI SSR 2022-23 (2)'!H$5</f>
        <v>525</v>
      </c>
      <c r="G51" s="53">
        <f>ROUND(E51*F51,2)</f>
        <v>162.75</v>
      </c>
      <c r="H51" s="12" t="s">
        <v>2322</v>
      </c>
    </row>
    <row r="52" spans="1:8" s="601" customFormat="1">
      <c r="A52" s="39"/>
      <c r="B52" s="674" t="s">
        <v>20</v>
      </c>
      <c r="C52" s="573" t="s">
        <v>22</v>
      </c>
      <c r="D52" s="16"/>
      <c r="E52" s="16"/>
      <c r="F52" s="16"/>
      <c r="G52" s="39"/>
      <c r="H52" s="12" t="s">
        <v>2322</v>
      </c>
    </row>
    <row r="53" spans="1:8" s="601" customFormat="1">
      <c r="A53" s="39"/>
      <c r="B53" s="39"/>
      <c r="C53" s="700" t="s">
        <v>32</v>
      </c>
      <c r="D53" s="16" t="s">
        <v>5</v>
      </c>
      <c r="E53" s="10">
        <v>6</v>
      </c>
      <c r="F53" s="10">
        <f>'lead 22-23 P-B'!L14</f>
        <v>1575.9999999999998</v>
      </c>
      <c r="G53" s="53">
        <f>ROUND(E53*F53,2)</f>
        <v>9456</v>
      </c>
      <c r="H53" s="12" t="s">
        <v>2322</v>
      </c>
    </row>
    <row r="54" spans="1:8" s="601" customFormat="1">
      <c r="A54" s="39"/>
      <c r="B54" s="39"/>
      <c r="C54" s="573" t="s">
        <v>2424</v>
      </c>
      <c r="D54" s="16"/>
      <c r="E54" s="10"/>
      <c r="F54" s="10"/>
      <c r="G54" s="53">
        <f>SUM(G51:G53)</f>
        <v>9618.75</v>
      </c>
      <c r="H54" s="12" t="s">
        <v>2322</v>
      </c>
    </row>
    <row r="55" spans="1:8" s="601" customFormat="1">
      <c r="A55" s="39"/>
      <c r="B55" s="39"/>
      <c r="C55" s="573" t="s">
        <v>28</v>
      </c>
      <c r="D55" s="16"/>
      <c r="E55" s="16"/>
      <c r="F55" s="16"/>
      <c r="G55" s="675">
        <f>ROUND(G54/6,2)</f>
        <v>1603.13</v>
      </c>
      <c r="H55" s="12" t="s">
        <v>2322</v>
      </c>
    </row>
    <row r="56" spans="1:8" s="601" customFormat="1" ht="102">
      <c r="A56" s="16">
        <v>9</v>
      </c>
      <c r="B56" s="650" t="s">
        <v>1326</v>
      </c>
      <c r="C56" s="700" t="s">
        <v>1190</v>
      </c>
      <c r="D56" s="673"/>
      <c r="E56" s="673"/>
      <c r="F56" s="673"/>
      <c r="G56" s="650"/>
      <c r="H56" s="12" t="s">
        <v>2322</v>
      </c>
    </row>
    <row r="57" spans="1:8" s="601" customFormat="1">
      <c r="A57" s="16"/>
      <c r="B57" s="673"/>
      <c r="C57" s="573" t="s">
        <v>2425</v>
      </c>
      <c r="D57" s="673"/>
      <c r="E57" s="673"/>
      <c r="F57" s="673"/>
      <c r="G57" s="39"/>
      <c r="H57" s="12" t="s">
        <v>2322</v>
      </c>
    </row>
    <row r="58" spans="1:8" s="601" customFormat="1">
      <c r="A58" s="16"/>
      <c r="B58" s="674" t="s">
        <v>18</v>
      </c>
      <c r="C58" s="573" t="s">
        <v>26</v>
      </c>
      <c r="D58" s="673"/>
      <c r="E58" s="673"/>
      <c r="F58" s="673"/>
      <c r="G58" s="39"/>
      <c r="H58" s="12" t="s">
        <v>2322</v>
      </c>
    </row>
    <row r="59" spans="1:8" s="601" customFormat="1">
      <c r="A59" s="39"/>
      <c r="B59" s="39"/>
      <c r="C59" s="700" t="s">
        <v>118</v>
      </c>
      <c r="D59" s="16" t="s">
        <v>27</v>
      </c>
      <c r="E59" s="10">
        <v>0.31</v>
      </c>
      <c r="F59" s="659">
        <f>'MINI SSR 2022-23 (2)'!H$5</f>
        <v>525</v>
      </c>
      <c r="G59" s="53">
        <f>ROUND(E59*F59,2)</f>
        <v>162.75</v>
      </c>
      <c r="H59" s="12" t="s">
        <v>2322</v>
      </c>
    </row>
    <row r="60" spans="1:8" s="601" customFormat="1">
      <c r="A60" s="39"/>
      <c r="B60" s="674" t="s">
        <v>20</v>
      </c>
      <c r="C60" s="573" t="s">
        <v>22</v>
      </c>
      <c r="D60" s="16"/>
      <c r="E60" s="16"/>
      <c r="F60" s="16"/>
      <c r="G60" s="39"/>
      <c r="H60" s="12" t="s">
        <v>2322</v>
      </c>
    </row>
    <row r="61" spans="1:8" s="601" customFormat="1">
      <c r="A61" s="39"/>
      <c r="B61" s="39"/>
      <c r="C61" s="700" t="s">
        <v>860</v>
      </c>
      <c r="D61" s="16" t="s">
        <v>5</v>
      </c>
      <c r="E61" s="10">
        <v>6</v>
      </c>
      <c r="F61" s="10">
        <f>'lead 22-23 P-B'!L24</f>
        <v>189</v>
      </c>
      <c r="G61" s="53">
        <f>ROUND(E61*F61,2)</f>
        <v>1134</v>
      </c>
      <c r="H61" s="12" t="s">
        <v>2322</v>
      </c>
    </row>
    <row r="62" spans="1:8" s="601" customFormat="1">
      <c r="A62" s="39"/>
      <c r="B62" s="39"/>
      <c r="C62" s="573" t="s">
        <v>2424</v>
      </c>
      <c r="D62" s="16"/>
      <c r="E62" s="10"/>
      <c r="F62" s="10"/>
      <c r="G62" s="53">
        <f>SUM(G59:G61)</f>
        <v>1296.75</v>
      </c>
      <c r="H62" s="12" t="s">
        <v>2322</v>
      </c>
    </row>
    <row r="63" spans="1:8" s="601" customFormat="1">
      <c r="A63" s="39"/>
      <c r="B63" s="39"/>
      <c r="C63" s="573" t="s">
        <v>28</v>
      </c>
      <c r="D63" s="16"/>
      <c r="E63" s="16"/>
      <c r="F63" s="16"/>
      <c r="G63" s="675">
        <f>ROUND(G62/6,2)</f>
        <v>216.13</v>
      </c>
      <c r="H63" s="12" t="s">
        <v>2322</v>
      </c>
    </row>
    <row r="64" spans="1:8" s="601" customFormat="1" ht="89.25">
      <c r="A64" s="16">
        <v>10</v>
      </c>
      <c r="B64" s="650" t="s">
        <v>1326</v>
      </c>
      <c r="C64" s="700" t="s">
        <v>662</v>
      </c>
      <c r="D64" s="673"/>
      <c r="E64" s="673"/>
      <c r="F64" s="673"/>
      <c r="G64" s="650"/>
      <c r="H64" s="12" t="s">
        <v>2322</v>
      </c>
    </row>
    <row r="65" spans="1:8" s="601" customFormat="1">
      <c r="A65" s="16"/>
      <c r="B65" s="673"/>
      <c r="C65" s="573" t="s">
        <v>2425</v>
      </c>
      <c r="D65" s="673"/>
      <c r="E65" s="673"/>
      <c r="F65" s="673"/>
      <c r="G65" s="39"/>
      <c r="H65" s="12" t="s">
        <v>2322</v>
      </c>
    </row>
    <row r="66" spans="1:8" s="601" customFormat="1">
      <c r="A66" s="16"/>
      <c r="B66" s="674" t="s">
        <v>18</v>
      </c>
      <c r="C66" s="573" t="s">
        <v>26</v>
      </c>
      <c r="D66" s="673"/>
      <c r="E66" s="673"/>
      <c r="F66" s="673"/>
      <c r="G66" s="39"/>
      <c r="H66" s="12" t="s">
        <v>2322</v>
      </c>
    </row>
    <row r="67" spans="1:8" s="601" customFormat="1">
      <c r="A67" s="39"/>
      <c r="B67" s="39"/>
      <c r="C67" s="700" t="s">
        <v>118</v>
      </c>
      <c r="D67" s="16" t="s">
        <v>27</v>
      </c>
      <c r="E67" s="10">
        <v>0.31</v>
      </c>
      <c r="F67" s="659">
        <f>'MINI SSR 2022-23 (2)'!H$5</f>
        <v>525</v>
      </c>
      <c r="G67" s="53">
        <f>ROUND(E67*F67,2)</f>
        <v>162.75</v>
      </c>
      <c r="H67" s="12" t="s">
        <v>2322</v>
      </c>
    </row>
    <row r="68" spans="1:8" s="601" customFormat="1">
      <c r="A68" s="39"/>
      <c r="B68" s="674" t="s">
        <v>20</v>
      </c>
      <c r="C68" s="573" t="s">
        <v>22</v>
      </c>
      <c r="D68" s="16"/>
      <c r="E68" s="16"/>
      <c r="F68" s="16"/>
      <c r="G68" s="39"/>
      <c r="H68" s="12" t="s">
        <v>2322</v>
      </c>
    </row>
    <row r="69" spans="1:8" s="601" customFormat="1">
      <c r="A69" s="39"/>
      <c r="B69" s="39"/>
      <c r="C69" s="700" t="s">
        <v>663</v>
      </c>
      <c r="D69" s="16" t="s">
        <v>5</v>
      </c>
      <c r="E69" s="10">
        <v>6</v>
      </c>
      <c r="F69" s="10">
        <f>'lead 22-23 P-B'!L25</f>
        <v>245</v>
      </c>
      <c r="G69" s="53">
        <f>ROUND(E69*F69,2)</f>
        <v>1470</v>
      </c>
      <c r="H69" s="12" t="s">
        <v>2322</v>
      </c>
    </row>
    <row r="70" spans="1:8" s="601" customFormat="1">
      <c r="A70" s="39"/>
      <c r="B70" s="39"/>
      <c r="C70" s="573" t="s">
        <v>2424</v>
      </c>
      <c r="D70" s="16"/>
      <c r="E70" s="10"/>
      <c r="F70" s="10"/>
      <c r="G70" s="53">
        <f>SUM(G67:G69)</f>
        <v>1632.75</v>
      </c>
      <c r="H70" s="12" t="s">
        <v>2322</v>
      </c>
    </row>
    <row r="71" spans="1:8" s="601" customFormat="1">
      <c r="A71" s="39"/>
      <c r="B71" s="39"/>
      <c r="C71" s="573" t="s">
        <v>28</v>
      </c>
      <c r="D71" s="16"/>
      <c r="E71" s="16"/>
      <c r="F71" s="16"/>
      <c r="G71" s="675">
        <f>ROUND(G70/6,2)</f>
        <v>272.13</v>
      </c>
      <c r="H71" s="12" t="s">
        <v>2322</v>
      </c>
    </row>
    <row r="72" spans="1:8" s="601" customFormat="1" ht="63.75">
      <c r="A72" s="16">
        <v>11</v>
      </c>
      <c r="B72" s="650" t="s">
        <v>1325</v>
      </c>
      <c r="C72" s="700" t="s">
        <v>282</v>
      </c>
      <c r="D72" s="673"/>
      <c r="E72" s="673"/>
      <c r="F72" s="673"/>
      <c r="G72" s="650"/>
      <c r="H72" s="12" t="s">
        <v>2322</v>
      </c>
    </row>
    <row r="73" spans="1:8" s="601" customFormat="1">
      <c r="A73" s="673"/>
      <c r="B73" s="673"/>
      <c r="C73" s="700" t="s">
        <v>312</v>
      </c>
      <c r="D73" s="673"/>
      <c r="E73" s="659"/>
      <c r="F73" s="659"/>
      <c r="G73" s="53"/>
      <c r="H73" s="12" t="s">
        <v>2322</v>
      </c>
    </row>
    <row r="74" spans="1:8" s="601" customFormat="1">
      <c r="A74" s="673"/>
      <c r="B74" s="673"/>
      <c r="C74" s="700" t="s">
        <v>311</v>
      </c>
      <c r="D74" s="673" t="s">
        <v>27</v>
      </c>
      <c r="E74" s="659">
        <v>3.12</v>
      </c>
      <c r="F74" s="659">
        <f>'MINI SSR 2022-23 (2)'!H$5</f>
        <v>525</v>
      </c>
      <c r="G74" s="53">
        <f>ROUND(E74*F74,2)</f>
        <v>1638</v>
      </c>
      <c r="H74" s="12" t="s">
        <v>2322</v>
      </c>
    </row>
    <row r="75" spans="1:8" s="601" customFormat="1">
      <c r="A75" s="673"/>
      <c r="B75" s="673"/>
      <c r="C75" s="700" t="s">
        <v>57</v>
      </c>
      <c r="D75" s="673" t="s">
        <v>59</v>
      </c>
      <c r="E75" s="659">
        <v>0.72</v>
      </c>
      <c r="F75" s="10">
        <f>'MINI SSR 2022-23 (2)'!$C$29</f>
        <v>95</v>
      </c>
      <c r="G75" s="53">
        <f>ROUND(E75*F75,2)</f>
        <v>68.400000000000006</v>
      </c>
      <c r="H75" s="12" t="s">
        <v>2322</v>
      </c>
    </row>
    <row r="76" spans="1:8" s="601" customFormat="1">
      <c r="A76" s="673"/>
      <c r="B76" s="673"/>
      <c r="C76" s="700" t="s">
        <v>313</v>
      </c>
      <c r="D76" s="673"/>
      <c r="E76" s="659"/>
      <c r="F76" s="659"/>
      <c r="G76" s="53">
        <f>SUM(G74:G75)</f>
        <v>1706.4</v>
      </c>
      <c r="H76" s="12" t="s">
        <v>2322</v>
      </c>
    </row>
    <row r="77" spans="1:8" s="601" customFormat="1">
      <c r="A77" s="673"/>
      <c r="B77" s="673"/>
      <c r="C77" s="700" t="s">
        <v>313</v>
      </c>
      <c r="D77" s="673"/>
      <c r="E77" s="673"/>
      <c r="F77" s="673"/>
      <c r="G77" s="661">
        <f>ROUND(G76/6,2)</f>
        <v>284.39999999999998</v>
      </c>
      <c r="H77" s="12" t="s">
        <v>2322</v>
      </c>
    </row>
    <row r="78" spans="1:8" s="601" customFormat="1" ht="89.25">
      <c r="A78" s="16">
        <v>3</v>
      </c>
      <c r="B78" s="650" t="s">
        <v>158</v>
      </c>
      <c r="C78" s="700" t="s">
        <v>159</v>
      </c>
      <c r="D78" s="673"/>
      <c r="E78" s="673"/>
      <c r="F78" s="673"/>
      <c r="G78" s="650"/>
      <c r="H78" s="12" t="s">
        <v>2322</v>
      </c>
    </row>
    <row r="79" spans="1:8" s="601" customFormat="1">
      <c r="A79" s="16"/>
      <c r="B79" s="650"/>
      <c r="C79" s="573" t="s">
        <v>60</v>
      </c>
      <c r="D79" s="673"/>
      <c r="E79" s="673"/>
      <c r="F79" s="673"/>
      <c r="G79" s="652"/>
      <c r="H79" s="12" t="s">
        <v>2322</v>
      </c>
    </row>
    <row r="80" spans="1:8" s="601" customFormat="1">
      <c r="A80" s="673"/>
      <c r="B80" s="673"/>
      <c r="C80" s="700" t="s">
        <v>44</v>
      </c>
      <c r="D80" s="673" t="s">
        <v>4</v>
      </c>
      <c r="E80" s="659">
        <v>162</v>
      </c>
      <c r="F80" s="659">
        <f>'lead 22-23 P-B'!L8</f>
        <v>4700</v>
      </c>
      <c r="G80" s="53">
        <f>ROUND(E80*F80/1000,2)</f>
        <v>761.4</v>
      </c>
      <c r="H80" s="12" t="s">
        <v>2322</v>
      </c>
    </row>
    <row r="81" spans="1:8" s="601" customFormat="1">
      <c r="A81" s="673"/>
      <c r="B81" s="673"/>
      <c r="C81" s="700" t="s">
        <v>56</v>
      </c>
      <c r="D81" s="673" t="s">
        <v>35</v>
      </c>
      <c r="E81" s="659">
        <v>0.9</v>
      </c>
      <c r="F81" s="659">
        <f>'lead 22-23 P-B'!L16</f>
        <v>1636.9</v>
      </c>
      <c r="G81" s="53">
        <f>ROUND(E81*F81,2)</f>
        <v>1473.21</v>
      </c>
      <c r="H81" s="12" t="s">
        <v>2322</v>
      </c>
    </row>
    <row r="82" spans="1:8" s="601" customFormat="1">
      <c r="A82" s="673"/>
      <c r="B82" s="673"/>
      <c r="C82" s="700" t="s">
        <v>112</v>
      </c>
      <c r="D82" s="673" t="s">
        <v>35</v>
      </c>
      <c r="E82" s="659">
        <v>0.45</v>
      </c>
      <c r="F82" s="659">
        <f>'lead 22-23 P-B'!L13</f>
        <v>1720.9999999999998</v>
      </c>
      <c r="G82" s="53">
        <f>ROUND(E82*F82,2)</f>
        <v>774.45</v>
      </c>
      <c r="H82" s="12" t="s">
        <v>2322</v>
      </c>
    </row>
    <row r="83" spans="1:8" s="601" customFormat="1">
      <c r="A83" s="673"/>
      <c r="B83" s="673"/>
      <c r="C83" s="700" t="s">
        <v>57</v>
      </c>
      <c r="D83" s="673" t="s">
        <v>58</v>
      </c>
      <c r="E83" s="659">
        <v>1.2</v>
      </c>
      <c r="F83" s="10">
        <f>'MINI SSR 2022-23 (2)'!$C$29</f>
        <v>95</v>
      </c>
      <c r="G83" s="53">
        <f>ROUND(E83*F83,2)</f>
        <v>114</v>
      </c>
      <c r="H83" s="12" t="s">
        <v>2322</v>
      </c>
    </row>
    <row r="84" spans="1:8" s="601" customFormat="1">
      <c r="A84" s="673"/>
      <c r="B84" s="673"/>
      <c r="C84" s="573" t="s">
        <v>61</v>
      </c>
      <c r="D84" s="673"/>
      <c r="E84" s="659"/>
      <c r="F84" s="659"/>
      <c r="G84" s="53"/>
      <c r="H84" s="12" t="s">
        <v>2322</v>
      </c>
    </row>
    <row r="85" spans="1:8" s="601" customFormat="1">
      <c r="A85" s="673"/>
      <c r="B85" s="673"/>
      <c r="C85" s="700" t="s">
        <v>62</v>
      </c>
      <c r="D85" s="673" t="s">
        <v>21</v>
      </c>
      <c r="E85" s="659">
        <v>1</v>
      </c>
      <c r="F85" s="659">
        <f>'MINI SSR 2022-23 (2)'!$C$30</f>
        <v>667.5</v>
      </c>
      <c r="G85" s="53">
        <f>ROUND(E85*F85,2)</f>
        <v>667.5</v>
      </c>
      <c r="H85" s="12" t="s">
        <v>2322</v>
      </c>
    </row>
    <row r="86" spans="1:8" s="601" customFormat="1">
      <c r="A86" s="673"/>
      <c r="B86" s="673"/>
      <c r="C86" s="573" t="s">
        <v>63</v>
      </c>
      <c r="D86" s="673"/>
      <c r="E86" s="659"/>
      <c r="F86" s="659"/>
      <c r="G86" s="53"/>
      <c r="H86" s="12" t="s">
        <v>2322</v>
      </c>
    </row>
    <row r="87" spans="1:8" s="601" customFormat="1">
      <c r="A87" s="673"/>
      <c r="B87" s="673"/>
      <c r="C87" s="700" t="s">
        <v>64</v>
      </c>
      <c r="D87" s="673" t="s">
        <v>27</v>
      </c>
      <c r="E87" s="659">
        <v>0.1</v>
      </c>
      <c r="F87" s="659">
        <f>'MINI SSR 2022-23 (2)'!$H$3</f>
        <v>630</v>
      </c>
      <c r="G87" s="53">
        <f>ROUND(E87*F87,2)</f>
        <v>63</v>
      </c>
      <c r="H87" s="12" t="s">
        <v>2322</v>
      </c>
    </row>
    <row r="88" spans="1:8" s="601" customFormat="1">
      <c r="A88" s="673"/>
      <c r="B88" s="673"/>
      <c r="C88" s="700" t="s">
        <v>19</v>
      </c>
      <c r="D88" s="673" t="s">
        <v>27</v>
      </c>
      <c r="E88" s="659">
        <v>1.39</v>
      </c>
      <c r="F88" s="659">
        <f>'MINI SSR 2022-23 (2)'!H$5</f>
        <v>525</v>
      </c>
      <c r="G88" s="53">
        <f>ROUND(E88*F88,2)</f>
        <v>729.75</v>
      </c>
      <c r="H88" s="12" t="s">
        <v>2322</v>
      </c>
    </row>
    <row r="89" spans="1:8" s="601" customFormat="1">
      <c r="A89" s="673"/>
      <c r="B89" s="673"/>
      <c r="C89" s="700"/>
      <c r="D89" s="673"/>
      <c r="E89" s="673"/>
      <c r="F89" s="673"/>
      <c r="G89" s="661">
        <f>SUM(G80:G88)</f>
        <v>4583.3100000000004</v>
      </c>
      <c r="H89" s="12" t="s">
        <v>2322</v>
      </c>
    </row>
    <row r="90" spans="1:8" s="601" customFormat="1" ht="89.25">
      <c r="A90" s="16">
        <v>13</v>
      </c>
      <c r="B90" s="650" t="s">
        <v>65</v>
      </c>
      <c r="C90" s="700" t="s">
        <v>67</v>
      </c>
      <c r="D90" s="673"/>
      <c r="E90" s="673"/>
      <c r="F90" s="673"/>
      <c r="G90" s="650"/>
      <c r="H90" s="12" t="s">
        <v>2322</v>
      </c>
    </row>
    <row r="91" spans="1:8" s="601" customFormat="1">
      <c r="A91" s="16"/>
      <c r="B91" s="650"/>
      <c r="C91" s="573" t="s">
        <v>60</v>
      </c>
      <c r="D91" s="673"/>
      <c r="E91" s="673"/>
      <c r="F91" s="673"/>
      <c r="G91" s="652"/>
      <c r="H91" s="12" t="s">
        <v>2322</v>
      </c>
    </row>
    <row r="92" spans="1:8" s="601" customFormat="1">
      <c r="A92" s="673"/>
      <c r="B92" s="673"/>
      <c r="C92" s="700" t="s">
        <v>44</v>
      </c>
      <c r="D92" s="673" t="s">
        <v>4</v>
      </c>
      <c r="E92" s="659">
        <v>129.6</v>
      </c>
      <c r="F92" s="659">
        <f>F80</f>
        <v>4700</v>
      </c>
      <c r="G92" s="53">
        <f>ROUND(E92*F92/1000,2)</f>
        <v>609.12</v>
      </c>
      <c r="H92" s="12" t="s">
        <v>2322</v>
      </c>
    </row>
    <row r="93" spans="1:8" s="601" customFormat="1">
      <c r="A93" s="673"/>
      <c r="B93" s="673"/>
      <c r="C93" s="700" t="s">
        <v>56</v>
      </c>
      <c r="D93" s="673" t="s">
        <v>35</v>
      </c>
      <c r="E93" s="659">
        <v>0.9</v>
      </c>
      <c r="F93" s="659">
        <f>F81</f>
        <v>1636.9</v>
      </c>
      <c r="G93" s="53">
        <f>ROUND(E93*F93,2)</f>
        <v>1473.21</v>
      </c>
      <c r="H93" s="12" t="s">
        <v>2322</v>
      </c>
    </row>
    <row r="94" spans="1:8" s="601" customFormat="1">
      <c r="A94" s="673"/>
      <c r="B94" s="673"/>
      <c r="C94" s="700" t="s">
        <v>112</v>
      </c>
      <c r="D94" s="673" t="s">
        <v>35</v>
      </c>
      <c r="E94" s="659">
        <v>0.45</v>
      </c>
      <c r="F94" s="659">
        <f>F82</f>
        <v>1720.9999999999998</v>
      </c>
      <c r="G94" s="53">
        <f>ROUND(E94*F94,2)</f>
        <v>774.45</v>
      </c>
      <c r="H94" s="12" t="s">
        <v>2322</v>
      </c>
    </row>
    <row r="95" spans="1:8" s="601" customFormat="1">
      <c r="A95" s="673"/>
      <c r="B95" s="673"/>
      <c r="C95" s="700" t="s">
        <v>57</v>
      </c>
      <c r="D95" s="673" t="s">
        <v>58</v>
      </c>
      <c r="E95" s="659">
        <v>1.2</v>
      </c>
      <c r="F95" s="10">
        <f>'MINI SSR 2022-23 (2)'!$C$29</f>
        <v>95</v>
      </c>
      <c r="G95" s="53">
        <f>ROUND(E95*F95,2)</f>
        <v>114</v>
      </c>
      <c r="H95" s="12" t="s">
        <v>2322</v>
      </c>
    </row>
    <row r="96" spans="1:8" s="601" customFormat="1">
      <c r="A96" s="673"/>
      <c r="B96" s="673"/>
      <c r="C96" s="573" t="s">
        <v>61</v>
      </c>
      <c r="D96" s="673"/>
      <c r="E96" s="659"/>
      <c r="F96" s="659"/>
      <c r="G96" s="53"/>
      <c r="H96" s="12" t="s">
        <v>2322</v>
      </c>
    </row>
    <row r="97" spans="1:8" s="601" customFormat="1">
      <c r="A97" s="673"/>
      <c r="B97" s="673"/>
      <c r="C97" s="700" t="s">
        <v>62</v>
      </c>
      <c r="D97" s="673" t="s">
        <v>21</v>
      </c>
      <c r="E97" s="659">
        <v>1</v>
      </c>
      <c r="F97" s="659">
        <f>'MINI SSR 2022-23 (2)'!$C$30</f>
        <v>667.5</v>
      </c>
      <c r="G97" s="53">
        <f>ROUND(E97*F97,2)</f>
        <v>667.5</v>
      </c>
      <c r="H97" s="12" t="s">
        <v>2322</v>
      </c>
    </row>
    <row r="98" spans="1:8" s="601" customFormat="1">
      <c r="A98" s="673"/>
      <c r="B98" s="673"/>
      <c r="C98" s="573" t="s">
        <v>63</v>
      </c>
      <c r="D98" s="673"/>
      <c r="E98" s="659"/>
      <c r="F98" s="659"/>
      <c r="G98" s="53"/>
      <c r="H98" s="12" t="s">
        <v>2322</v>
      </c>
    </row>
    <row r="99" spans="1:8" s="601" customFormat="1">
      <c r="A99" s="673"/>
      <c r="B99" s="673"/>
      <c r="C99" s="700" t="s">
        <v>64</v>
      </c>
      <c r="D99" s="673" t="s">
        <v>27</v>
      </c>
      <c r="E99" s="659">
        <v>0.1</v>
      </c>
      <c r="F99" s="659">
        <f>'MINI SSR 2022-23 (2)'!$H$3</f>
        <v>630</v>
      </c>
      <c r="G99" s="53">
        <f>ROUND(E99*F99,2)</f>
        <v>63</v>
      </c>
      <c r="H99" s="12" t="s">
        <v>2322</v>
      </c>
    </row>
    <row r="100" spans="1:8" s="601" customFormat="1">
      <c r="A100" s="673"/>
      <c r="B100" s="673"/>
      <c r="C100" s="700" t="s">
        <v>19</v>
      </c>
      <c r="D100" s="673" t="s">
        <v>27</v>
      </c>
      <c r="E100" s="659">
        <v>1.39</v>
      </c>
      <c r="F100" s="659">
        <f>'MINI SSR 2022-23 (2)'!H$5</f>
        <v>525</v>
      </c>
      <c r="G100" s="53">
        <f>ROUND(E100*F100,2)</f>
        <v>729.75</v>
      </c>
      <c r="H100" s="12" t="s">
        <v>2322</v>
      </c>
    </row>
    <row r="101" spans="1:8" s="601" customFormat="1">
      <c r="A101" s="673"/>
      <c r="B101" s="673"/>
      <c r="C101" s="700"/>
      <c r="D101" s="673"/>
      <c r="E101" s="673"/>
      <c r="F101" s="673"/>
      <c r="G101" s="661">
        <f>SUM(G92:G100)</f>
        <v>4431.03</v>
      </c>
      <c r="H101" s="12" t="s">
        <v>2322</v>
      </c>
    </row>
    <row r="102" spans="1:8" s="601" customFormat="1" ht="178.5">
      <c r="A102" s="16">
        <v>14</v>
      </c>
      <c r="B102" s="650" t="s">
        <v>66</v>
      </c>
      <c r="C102" s="700" t="s">
        <v>225</v>
      </c>
      <c r="D102" s="673"/>
      <c r="E102" s="673"/>
      <c r="F102" s="673"/>
      <c r="G102" s="650"/>
      <c r="H102" s="12" t="s">
        <v>2322</v>
      </c>
    </row>
    <row r="103" spans="1:8" s="601" customFormat="1">
      <c r="A103" s="16"/>
      <c r="B103" s="650"/>
      <c r="C103" s="573" t="s">
        <v>81</v>
      </c>
      <c r="D103" s="673"/>
      <c r="E103" s="673"/>
      <c r="F103" s="673"/>
      <c r="G103" s="652"/>
      <c r="H103" s="12" t="s">
        <v>2322</v>
      </c>
    </row>
    <row r="104" spans="1:8" s="601" customFormat="1">
      <c r="A104" s="16"/>
      <c r="B104" s="650"/>
      <c r="C104" s="573" t="s">
        <v>60</v>
      </c>
      <c r="D104" s="673"/>
      <c r="E104" s="673"/>
      <c r="F104" s="673"/>
      <c r="G104" s="652"/>
      <c r="H104" s="12" t="s">
        <v>2322</v>
      </c>
    </row>
    <row r="105" spans="1:8" s="601" customFormat="1">
      <c r="A105" s="16"/>
      <c r="B105" s="650"/>
      <c r="C105" s="700" t="s">
        <v>154</v>
      </c>
      <c r="D105" s="673" t="s">
        <v>35</v>
      </c>
      <c r="E105" s="659">
        <v>0.8</v>
      </c>
      <c r="F105" s="659">
        <f>F35</f>
        <v>2046.91</v>
      </c>
      <c r="G105" s="53">
        <f>ROUND(E105*F105,2)</f>
        <v>1637.53</v>
      </c>
      <c r="H105" s="12" t="s">
        <v>2322</v>
      </c>
    </row>
    <row r="106" spans="1:8" s="601" customFormat="1">
      <c r="A106" s="16"/>
      <c r="B106" s="650"/>
      <c r="C106" s="700" t="s">
        <v>112</v>
      </c>
      <c r="D106" s="673" t="s">
        <v>35</v>
      </c>
      <c r="E106" s="659">
        <v>0.4</v>
      </c>
      <c r="F106" s="659">
        <f>'lead 22-23 P-B'!L13</f>
        <v>1720.9999999999998</v>
      </c>
      <c r="G106" s="53">
        <f>ROUND(E106*F106,2)</f>
        <v>688.4</v>
      </c>
      <c r="H106" s="12" t="s">
        <v>2322</v>
      </c>
    </row>
    <row r="107" spans="1:8" s="601" customFormat="1">
      <c r="A107" s="673"/>
      <c r="B107" s="673"/>
      <c r="C107" s="700" t="s">
        <v>33</v>
      </c>
      <c r="D107" s="673" t="s">
        <v>4</v>
      </c>
      <c r="E107" s="659">
        <v>340</v>
      </c>
      <c r="F107" s="659">
        <f>'lead 22-23 P-B'!L8</f>
        <v>4700</v>
      </c>
      <c r="G107" s="53">
        <f>ROUND(E107*F107/1000,2)</f>
        <v>1598</v>
      </c>
      <c r="H107" s="12" t="s">
        <v>2322</v>
      </c>
    </row>
    <row r="108" spans="1:8" s="601" customFormat="1">
      <c r="A108" s="673"/>
      <c r="B108" s="673"/>
      <c r="C108" s="573" t="s">
        <v>68</v>
      </c>
      <c r="D108" s="673"/>
      <c r="E108" s="659"/>
      <c r="F108" s="659"/>
      <c r="G108" s="53"/>
      <c r="H108" s="12" t="s">
        <v>2322</v>
      </c>
    </row>
    <row r="109" spans="1:8" s="601" customFormat="1">
      <c r="A109" s="673"/>
      <c r="B109" s="673"/>
      <c r="C109" s="700" t="s">
        <v>64</v>
      </c>
      <c r="D109" s="673" t="s">
        <v>27</v>
      </c>
      <c r="E109" s="532">
        <v>0.13300000000000001</v>
      </c>
      <c r="F109" s="659">
        <f>'MINI SSR 2022-23 (2)'!$H$3</f>
        <v>630</v>
      </c>
      <c r="G109" s="53">
        <f>ROUND(E109*F109,2)</f>
        <v>83.79</v>
      </c>
      <c r="H109" s="12" t="s">
        <v>2322</v>
      </c>
    </row>
    <row r="110" spans="1:8" s="601" customFormat="1">
      <c r="A110" s="673"/>
      <c r="B110" s="673"/>
      <c r="C110" s="700" t="s">
        <v>69</v>
      </c>
      <c r="D110" s="673" t="s">
        <v>27</v>
      </c>
      <c r="E110" s="532">
        <v>0.26700000000000002</v>
      </c>
      <c r="F110" s="659">
        <f>'MINI SSR 2022-23 (2)'!$H$4</f>
        <v>565</v>
      </c>
      <c r="G110" s="53">
        <f>ROUND(E110*F110,2)</f>
        <v>150.86000000000001</v>
      </c>
      <c r="H110" s="12" t="s">
        <v>2322</v>
      </c>
    </row>
    <row r="111" spans="1:8" s="601" customFormat="1">
      <c r="A111" s="673"/>
      <c r="B111" s="673"/>
      <c r="C111" s="700" t="s">
        <v>70</v>
      </c>
      <c r="D111" s="673" t="s">
        <v>27</v>
      </c>
      <c r="E111" s="532">
        <v>3.6</v>
      </c>
      <c r="F111" s="659">
        <f>'MINI SSR 2022-23 (2)'!H$5</f>
        <v>525</v>
      </c>
      <c r="G111" s="53">
        <f>ROUND(E111*F111,2)</f>
        <v>1890</v>
      </c>
      <c r="H111" s="12" t="s">
        <v>2322</v>
      </c>
    </row>
    <row r="112" spans="1:8" s="601" customFormat="1">
      <c r="A112" s="673"/>
      <c r="B112" s="673"/>
      <c r="C112" s="573" t="s">
        <v>61</v>
      </c>
      <c r="D112" s="673"/>
      <c r="E112" s="659"/>
      <c r="F112" s="659"/>
      <c r="G112" s="53"/>
      <c r="H112" s="12" t="s">
        <v>2322</v>
      </c>
    </row>
    <row r="113" spans="1:8" s="601" customFormat="1">
      <c r="A113" s="673"/>
      <c r="B113" s="673"/>
      <c r="C113" s="700" t="s">
        <v>62</v>
      </c>
      <c r="D113" s="673" t="s">
        <v>21</v>
      </c>
      <c r="E113" s="659">
        <v>1</v>
      </c>
      <c r="F113" s="659">
        <f>'MINI SSR 2022-23 (2)'!$C$30</f>
        <v>667.5</v>
      </c>
      <c r="G113" s="53">
        <f>ROUND(E113*F113,2)</f>
        <v>667.5</v>
      </c>
      <c r="H113" s="12" t="s">
        <v>2322</v>
      </c>
    </row>
    <row r="114" spans="1:8" s="601" customFormat="1">
      <c r="A114" s="673"/>
      <c r="B114" s="673"/>
      <c r="C114" s="700" t="s">
        <v>160</v>
      </c>
      <c r="D114" s="673" t="s">
        <v>21</v>
      </c>
      <c r="E114" s="659">
        <v>1</v>
      </c>
      <c r="F114" s="659">
        <f>'MINI SSR 2022-23 (2)'!$C$31</f>
        <v>259.10000000000002</v>
      </c>
      <c r="G114" s="53">
        <f>ROUND(E114*F114,2)</f>
        <v>259.10000000000002</v>
      </c>
      <c r="H114" s="12" t="s">
        <v>2322</v>
      </c>
    </row>
    <row r="115" spans="1:8" s="601" customFormat="1">
      <c r="A115" s="673"/>
      <c r="B115" s="673"/>
      <c r="C115" s="700" t="s">
        <v>57</v>
      </c>
      <c r="D115" s="673" t="s">
        <v>58</v>
      </c>
      <c r="E115" s="659">
        <v>1.2</v>
      </c>
      <c r="F115" s="10">
        <f>'MINI SSR 2022-23 (2)'!$C$29</f>
        <v>95</v>
      </c>
      <c r="G115" s="53">
        <f>ROUND(E115*F115,2)</f>
        <v>114</v>
      </c>
      <c r="H115" s="12" t="s">
        <v>2322</v>
      </c>
    </row>
    <row r="116" spans="1:8" s="601" customFormat="1">
      <c r="A116" s="673"/>
      <c r="B116" s="673"/>
      <c r="C116" s="573" t="s">
        <v>71</v>
      </c>
      <c r="D116" s="673"/>
      <c r="E116" s="673"/>
      <c r="F116" s="673"/>
      <c r="G116" s="661">
        <f>SUM(G105:G115)</f>
        <v>7089.18</v>
      </c>
      <c r="H116" s="12" t="s">
        <v>2322</v>
      </c>
    </row>
    <row r="117" spans="1:8" s="601" customFormat="1">
      <c r="A117" s="673"/>
      <c r="B117" s="673"/>
      <c r="C117" s="573" t="s">
        <v>72</v>
      </c>
      <c r="D117" s="673"/>
      <c r="E117" s="673"/>
      <c r="F117" s="673"/>
      <c r="G117" s="652"/>
      <c r="H117" s="12" t="s">
        <v>2322</v>
      </c>
    </row>
    <row r="118" spans="1:8" s="601" customFormat="1">
      <c r="A118" s="673"/>
      <c r="B118" s="673"/>
      <c r="C118" s="700" t="s">
        <v>73</v>
      </c>
      <c r="D118" s="673" t="s">
        <v>35</v>
      </c>
      <c r="E118" s="659">
        <v>1</v>
      </c>
      <c r="F118" s="659">
        <f>G116</f>
        <v>7089.18</v>
      </c>
      <c r="G118" s="53">
        <f>ROUND(E118*F118,2)</f>
        <v>7089.18</v>
      </c>
      <c r="H118" s="12" t="s">
        <v>2322</v>
      </c>
    </row>
    <row r="119" spans="1:8" s="601" customFormat="1" ht="25.5">
      <c r="A119" s="673"/>
      <c r="B119" s="673"/>
      <c r="C119" s="700" t="s">
        <v>1279</v>
      </c>
      <c r="D119" s="673" t="s">
        <v>35</v>
      </c>
      <c r="E119" s="659">
        <v>1</v>
      </c>
      <c r="F119" s="659">
        <f>'MINI SSR 2022-23 (2)'!C52</f>
        <v>301</v>
      </c>
      <c r="G119" s="53">
        <f>ROUND(E119*F119,2)</f>
        <v>301</v>
      </c>
      <c r="H119" s="12" t="s">
        <v>2322</v>
      </c>
    </row>
    <row r="120" spans="1:8" s="601" customFormat="1">
      <c r="A120" s="673"/>
      <c r="B120" s="673"/>
      <c r="C120" s="700" t="s">
        <v>1280</v>
      </c>
      <c r="D120" s="673" t="s">
        <v>35</v>
      </c>
      <c r="E120" s="659">
        <v>1</v>
      </c>
      <c r="F120" s="659">
        <f>'MINI SSR 2022-23 (2)'!D52</f>
        <v>672</v>
      </c>
      <c r="G120" s="53">
        <f>ROUND(E120*F120,2)</f>
        <v>672</v>
      </c>
      <c r="H120" s="12" t="s">
        <v>2322</v>
      </c>
    </row>
    <row r="121" spans="1:8" s="601" customFormat="1">
      <c r="A121" s="673"/>
      <c r="B121" s="673"/>
      <c r="C121" s="700"/>
      <c r="D121" s="673"/>
      <c r="E121" s="673"/>
      <c r="F121" s="673"/>
      <c r="G121" s="661">
        <f>SUM(G118:G120)</f>
        <v>8062.18</v>
      </c>
      <c r="H121" s="12" t="s">
        <v>2322</v>
      </c>
    </row>
    <row r="122" spans="1:8" s="601" customFormat="1">
      <c r="A122" s="673"/>
      <c r="B122" s="673"/>
      <c r="C122" s="573" t="s">
        <v>74</v>
      </c>
      <c r="D122" s="673"/>
      <c r="E122" s="673"/>
      <c r="F122" s="673"/>
      <c r="G122" s="652"/>
      <c r="H122" s="12" t="s">
        <v>2322</v>
      </c>
    </row>
    <row r="123" spans="1:8" s="601" customFormat="1">
      <c r="A123" s="673"/>
      <c r="B123" s="673"/>
      <c r="C123" s="700" t="s">
        <v>73</v>
      </c>
      <c r="D123" s="673" t="s">
        <v>35</v>
      </c>
      <c r="E123" s="659">
        <v>1</v>
      </c>
      <c r="F123" s="659">
        <f>G116</f>
        <v>7089.18</v>
      </c>
      <c r="G123" s="53">
        <f>ROUND(E123*F123,2)</f>
        <v>7089.18</v>
      </c>
      <c r="H123" s="12" t="s">
        <v>2322</v>
      </c>
    </row>
    <row r="124" spans="1:8" s="601" customFormat="1" ht="25.5">
      <c r="A124" s="673"/>
      <c r="B124" s="673"/>
      <c r="C124" s="700" t="s">
        <v>1281</v>
      </c>
      <c r="D124" s="673" t="s">
        <v>35</v>
      </c>
      <c r="E124" s="659">
        <v>1</v>
      </c>
      <c r="F124" s="659">
        <f>'MINI SSR 2022-23 (2)'!C54</f>
        <v>343</v>
      </c>
      <c r="G124" s="53">
        <f>ROUND(E124*F124,2)</f>
        <v>343</v>
      </c>
      <c r="H124" s="12" t="s">
        <v>2322</v>
      </c>
    </row>
    <row r="125" spans="1:8" s="601" customFormat="1">
      <c r="A125" s="673"/>
      <c r="B125" s="673"/>
      <c r="C125" s="700" t="s">
        <v>1282</v>
      </c>
      <c r="D125" s="673" t="s">
        <v>35</v>
      </c>
      <c r="E125" s="659">
        <v>1</v>
      </c>
      <c r="F125" s="659">
        <f>'MINI SSR 2022-23 (2)'!D54</f>
        <v>1069</v>
      </c>
      <c r="G125" s="53">
        <f>ROUND(E125*F125,2)</f>
        <v>1069</v>
      </c>
      <c r="H125" s="12" t="s">
        <v>2322</v>
      </c>
    </row>
    <row r="126" spans="1:8" s="601" customFormat="1">
      <c r="A126" s="673"/>
      <c r="B126" s="673"/>
      <c r="C126" s="700"/>
      <c r="D126" s="673"/>
      <c r="E126" s="673"/>
      <c r="F126" s="673"/>
      <c r="G126" s="661">
        <f>SUM(G123:G125)</f>
        <v>8501.18</v>
      </c>
      <c r="H126" s="12" t="s">
        <v>2322</v>
      </c>
    </row>
    <row r="127" spans="1:8" s="601" customFormat="1">
      <c r="A127" s="673"/>
      <c r="B127" s="673"/>
      <c r="C127" s="573" t="s">
        <v>75</v>
      </c>
      <c r="D127" s="673"/>
      <c r="E127" s="673"/>
      <c r="F127" s="673"/>
      <c r="G127" s="652"/>
      <c r="H127" s="12" t="s">
        <v>2322</v>
      </c>
    </row>
    <row r="128" spans="1:8" s="601" customFormat="1">
      <c r="A128" s="673"/>
      <c r="B128" s="673"/>
      <c r="C128" s="700" t="s">
        <v>73</v>
      </c>
      <c r="D128" s="673" t="s">
        <v>35</v>
      </c>
      <c r="E128" s="659">
        <v>1</v>
      </c>
      <c r="F128" s="659">
        <f>G116</f>
        <v>7089.18</v>
      </c>
      <c r="G128" s="53">
        <f>ROUND(E128*F128,2)</f>
        <v>7089.18</v>
      </c>
      <c r="H128" s="12" t="s">
        <v>2322</v>
      </c>
    </row>
    <row r="129" spans="1:8" s="601" customFormat="1">
      <c r="A129" s="673"/>
      <c r="B129" s="673"/>
      <c r="C129" s="700" t="s">
        <v>1283</v>
      </c>
      <c r="D129" s="673" t="s">
        <v>35</v>
      </c>
      <c r="E129" s="659">
        <v>1</v>
      </c>
      <c r="F129" s="659">
        <f>'MINI SSR 2022-23 (2)'!C55</f>
        <v>1453</v>
      </c>
      <c r="G129" s="53">
        <f>ROUND(E129*F129,2)</f>
        <v>1453</v>
      </c>
      <c r="H129" s="12" t="s">
        <v>2322</v>
      </c>
    </row>
    <row r="130" spans="1:8" s="601" customFormat="1">
      <c r="A130" s="673"/>
      <c r="B130" s="673"/>
      <c r="C130" s="700" t="s">
        <v>1284</v>
      </c>
      <c r="D130" s="673" t="s">
        <v>35</v>
      </c>
      <c r="E130" s="659">
        <v>1</v>
      </c>
      <c r="F130" s="659">
        <f>'MINI SSR 2022-23 (2)'!D55</f>
        <v>1620</v>
      </c>
      <c r="G130" s="53">
        <f>ROUND(E130*F130,2)</f>
        <v>1620</v>
      </c>
      <c r="H130" s="12" t="s">
        <v>2322</v>
      </c>
    </row>
    <row r="131" spans="1:8" s="601" customFormat="1">
      <c r="A131" s="673"/>
      <c r="B131" s="673"/>
      <c r="C131" s="700"/>
      <c r="D131" s="673"/>
      <c r="E131" s="673"/>
      <c r="F131" s="673"/>
      <c r="G131" s="661">
        <f>SUM(G128:G130)</f>
        <v>10162.18</v>
      </c>
      <c r="H131" s="12" t="s">
        <v>2322</v>
      </c>
    </row>
    <row r="132" spans="1:8" s="601" customFormat="1" ht="178.5">
      <c r="A132" s="16">
        <v>7</v>
      </c>
      <c r="B132" s="650" t="s">
        <v>76</v>
      </c>
      <c r="C132" s="700" t="s">
        <v>226</v>
      </c>
      <c r="D132" s="673"/>
      <c r="E132" s="673"/>
      <c r="F132" s="673"/>
      <c r="G132" s="650"/>
      <c r="H132" s="12" t="s">
        <v>2322</v>
      </c>
    </row>
    <row r="133" spans="1:8" s="601" customFormat="1">
      <c r="A133" s="16"/>
      <c r="B133" s="650"/>
      <c r="C133" s="573" t="s">
        <v>80</v>
      </c>
      <c r="D133" s="673"/>
      <c r="E133" s="673"/>
      <c r="F133" s="673"/>
      <c r="G133" s="652"/>
      <c r="H133" s="12" t="s">
        <v>2322</v>
      </c>
    </row>
    <row r="134" spans="1:8" s="601" customFormat="1">
      <c r="A134" s="16"/>
      <c r="B134" s="650"/>
      <c r="C134" s="573" t="s">
        <v>60</v>
      </c>
      <c r="D134" s="673"/>
      <c r="E134" s="673"/>
      <c r="F134" s="673"/>
      <c r="G134" s="652"/>
      <c r="H134" s="12" t="s">
        <v>2322</v>
      </c>
    </row>
    <row r="135" spans="1:8" s="601" customFormat="1">
      <c r="A135" s="16"/>
      <c r="B135" s="650"/>
      <c r="C135" s="700" t="s">
        <v>154</v>
      </c>
      <c r="D135" s="673" t="s">
        <v>35</v>
      </c>
      <c r="E135" s="659">
        <v>0.8</v>
      </c>
      <c r="F135" s="659">
        <f>F105</f>
        <v>2046.91</v>
      </c>
      <c r="G135" s="53">
        <f>ROUND(E135*F135,2)</f>
        <v>1637.53</v>
      </c>
      <c r="H135" s="12" t="s">
        <v>2322</v>
      </c>
    </row>
    <row r="136" spans="1:8" s="601" customFormat="1">
      <c r="A136" s="16"/>
      <c r="B136" s="650"/>
      <c r="C136" s="700" t="s">
        <v>112</v>
      </c>
      <c r="D136" s="673" t="s">
        <v>35</v>
      </c>
      <c r="E136" s="659">
        <v>0.4</v>
      </c>
      <c r="F136" s="659">
        <f>'lead 22-23 P-B'!L13</f>
        <v>1720.9999999999998</v>
      </c>
      <c r="G136" s="53">
        <f>ROUND(E136*F136,2)</f>
        <v>688.4</v>
      </c>
      <c r="H136" s="12" t="s">
        <v>2322</v>
      </c>
    </row>
    <row r="137" spans="1:8" s="601" customFormat="1">
      <c r="A137" s="673"/>
      <c r="B137" s="673"/>
      <c r="C137" s="700" t="s">
        <v>33</v>
      </c>
      <c r="D137" s="673" t="s">
        <v>4</v>
      </c>
      <c r="E137" s="659">
        <f>E107</f>
        <v>340</v>
      </c>
      <c r="F137" s="659">
        <f>'lead 22-23 P-B'!L8</f>
        <v>4700</v>
      </c>
      <c r="G137" s="53">
        <f>ROUND(E137*F137/1000,2)</f>
        <v>1598</v>
      </c>
      <c r="H137" s="12" t="s">
        <v>2322</v>
      </c>
    </row>
    <row r="138" spans="1:8" s="601" customFormat="1">
      <c r="A138" s="673"/>
      <c r="B138" s="673"/>
      <c r="C138" s="573" t="s">
        <v>68</v>
      </c>
      <c r="D138" s="673"/>
      <c r="E138" s="659"/>
      <c r="F138" s="659"/>
      <c r="G138" s="53"/>
      <c r="H138" s="12" t="s">
        <v>2322</v>
      </c>
    </row>
    <row r="139" spans="1:8" s="601" customFormat="1">
      <c r="A139" s="673"/>
      <c r="B139" s="673"/>
      <c r="C139" s="700" t="s">
        <v>64</v>
      </c>
      <c r="D139" s="673" t="s">
        <v>27</v>
      </c>
      <c r="E139" s="532">
        <v>0.16700000000000001</v>
      </c>
      <c r="F139" s="659">
        <f>'MINI SSR 2022-23 (2)'!$H$3</f>
        <v>630</v>
      </c>
      <c r="G139" s="53">
        <f>ROUND(E139*F139,2)</f>
        <v>105.21</v>
      </c>
      <c r="H139" s="12" t="s">
        <v>2322</v>
      </c>
    </row>
    <row r="140" spans="1:8" s="601" customFormat="1">
      <c r="A140" s="673"/>
      <c r="B140" s="673"/>
      <c r="C140" s="700" t="s">
        <v>69</v>
      </c>
      <c r="D140" s="673" t="s">
        <v>27</v>
      </c>
      <c r="E140" s="532">
        <v>0.16700000000000001</v>
      </c>
      <c r="F140" s="659">
        <f>'MINI SSR 2022-23 (2)'!$H$4</f>
        <v>565</v>
      </c>
      <c r="G140" s="53">
        <f>ROUND(E140*F140,2)</f>
        <v>94.36</v>
      </c>
      <c r="H140" s="12" t="s">
        <v>2322</v>
      </c>
    </row>
    <row r="141" spans="1:8" s="601" customFormat="1">
      <c r="A141" s="673"/>
      <c r="B141" s="673"/>
      <c r="C141" s="700" t="s">
        <v>70</v>
      </c>
      <c r="D141" s="673" t="s">
        <v>27</v>
      </c>
      <c r="E141" s="532">
        <v>4.7</v>
      </c>
      <c r="F141" s="659">
        <f>'MINI SSR 2022-23 (2)'!H$5</f>
        <v>525</v>
      </c>
      <c r="G141" s="53">
        <f>ROUND(E141*F141,2)</f>
        <v>2467.5</v>
      </c>
      <c r="H141" s="12" t="s">
        <v>2322</v>
      </c>
    </row>
    <row r="142" spans="1:8" s="601" customFormat="1">
      <c r="A142" s="673"/>
      <c r="B142" s="673"/>
      <c r="C142" s="573" t="s">
        <v>61</v>
      </c>
      <c r="D142" s="673"/>
      <c r="E142" s="659"/>
      <c r="F142" s="659"/>
      <c r="G142" s="53"/>
      <c r="H142" s="12" t="s">
        <v>2322</v>
      </c>
    </row>
    <row r="143" spans="1:8">
      <c r="A143" s="673"/>
      <c r="B143" s="673"/>
      <c r="C143" s="700" t="s">
        <v>62</v>
      </c>
      <c r="D143" s="673" t="s">
        <v>21</v>
      </c>
      <c r="E143" s="659">
        <v>1</v>
      </c>
      <c r="F143" s="659">
        <f>'MINI SSR 2022-23 (2)'!$C$30</f>
        <v>667.5</v>
      </c>
      <c r="G143" s="53">
        <f>ROUND(E143*F143,2)</f>
        <v>667.5</v>
      </c>
      <c r="H143" s="12" t="s">
        <v>2322</v>
      </c>
    </row>
    <row r="144" spans="1:8">
      <c r="A144" s="673"/>
      <c r="B144" s="673"/>
      <c r="C144" s="700" t="s">
        <v>160</v>
      </c>
      <c r="D144" s="673" t="s">
        <v>21</v>
      </c>
      <c r="E144" s="659">
        <v>1</v>
      </c>
      <c r="F144" s="659">
        <f>'MINI SSR 2022-23 (2)'!$C$31</f>
        <v>259.10000000000002</v>
      </c>
      <c r="G144" s="53">
        <f>ROUND(E144*F144,2)</f>
        <v>259.10000000000002</v>
      </c>
      <c r="H144" s="12" t="s">
        <v>2322</v>
      </c>
    </row>
    <row r="145" spans="1:8">
      <c r="A145" s="673"/>
      <c r="B145" s="673"/>
      <c r="C145" s="700" t="s">
        <v>57</v>
      </c>
      <c r="D145" s="673" t="s">
        <v>58</v>
      </c>
      <c r="E145" s="659">
        <v>1.2</v>
      </c>
      <c r="F145" s="10">
        <f>'MINI SSR 2022-23 (2)'!$C$29</f>
        <v>95</v>
      </c>
      <c r="G145" s="53">
        <f>ROUND(E145*F145,2)</f>
        <v>114</v>
      </c>
      <c r="H145" s="12" t="s">
        <v>2322</v>
      </c>
    </row>
    <row r="146" spans="1:8">
      <c r="A146" s="673"/>
      <c r="B146" s="673"/>
      <c r="C146" s="573" t="s">
        <v>71</v>
      </c>
      <c r="D146" s="673"/>
      <c r="E146" s="673"/>
      <c r="F146" s="673"/>
      <c r="G146" s="661">
        <f>SUM(G135:G145)</f>
        <v>7631.6</v>
      </c>
      <c r="H146" s="12" t="s">
        <v>2322</v>
      </c>
    </row>
    <row r="147" spans="1:8">
      <c r="A147" s="673"/>
      <c r="B147" s="673"/>
      <c r="C147" s="573"/>
      <c r="D147" s="673"/>
      <c r="E147" s="650" t="s">
        <v>161</v>
      </c>
      <c r="F147" s="650" t="s">
        <v>162</v>
      </c>
      <c r="G147" s="660" t="s">
        <v>163</v>
      </c>
      <c r="H147" s="12" t="s">
        <v>2322</v>
      </c>
    </row>
    <row r="148" spans="1:8">
      <c r="A148" s="673"/>
      <c r="B148" s="673"/>
      <c r="C148" s="573" t="s">
        <v>1285</v>
      </c>
      <c r="D148" s="673"/>
      <c r="E148" s="659">
        <f>G146</f>
        <v>7631.6</v>
      </c>
      <c r="F148" s="659">
        <f>G146</f>
        <v>7631.6</v>
      </c>
      <c r="G148" s="652">
        <f>G146</f>
        <v>7631.6</v>
      </c>
      <c r="H148" s="12" t="s">
        <v>2322</v>
      </c>
    </row>
    <row r="149" spans="1:8" ht="25.5">
      <c r="A149" s="673"/>
      <c r="B149" s="673"/>
      <c r="C149" s="700" t="s">
        <v>164</v>
      </c>
      <c r="D149" s="673"/>
      <c r="E149" s="659">
        <f>'MINI SSR 2022-23 (2)'!C57</f>
        <v>371</v>
      </c>
      <c r="F149" s="659">
        <f>E149</f>
        <v>371</v>
      </c>
      <c r="G149" s="9">
        <f>E149</f>
        <v>371</v>
      </c>
      <c r="H149" s="12" t="s">
        <v>2322</v>
      </c>
    </row>
    <row r="150" spans="1:8">
      <c r="A150" s="673"/>
      <c r="B150" s="673"/>
      <c r="C150" s="700" t="s">
        <v>165</v>
      </c>
      <c r="D150" s="673"/>
      <c r="E150" s="659">
        <f>'MINI SSR 2022-23 (2)'!D57</f>
        <v>2415</v>
      </c>
      <c r="F150" s="659">
        <f>'MINI SSR 2022-23 (2)'!E57</f>
        <v>2657</v>
      </c>
      <c r="G150" s="659">
        <f>'MINI SSR 2022-23 (2)'!F57</f>
        <v>2898</v>
      </c>
      <c r="H150" s="12" t="s">
        <v>2322</v>
      </c>
    </row>
    <row r="151" spans="1:8" ht="25.5">
      <c r="A151" s="673"/>
      <c r="B151" s="673"/>
      <c r="C151" s="700" t="s">
        <v>1286</v>
      </c>
      <c r="D151" s="673"/>
      <c r="E151" s="673"/>
      <c r="F151" s="673">
        <f>ROUND((G139+G140+G141+F150)*0.1,2)</f>
        <v>532.41</v>
      </c>
      <c r="G151" s="676">
        <f>ROUND((G139+G140+G141+G150)*0.2,2)</f>
        <v>1113.01</v>
      </c>
      <c r="H151" s="12" t="s">
        <v>2322</v>
      </c>
    </row>
    <row r="152" spans="1:8">
      <c r="A152" s="673"/>
      <c r="B152" s="673"/>
      <c r="C152" s="700"/>
      <c r="D152" s="673"/>
      <c r="E152" s="660">
        <f>SUM(E148:E151)</f>
        <v>10417.6</v>
      </c>
      <c r="F152" s="660">
        <f>SUM(F148:F151)</f>
        <v>11192.01</v>
      </c>
      <c r="G152" s="661">
        <f>SUM(G148:G151)</f>
        <v>12013.61</v>
      </c>
      <c r="H152" s="12" t="s">
        <v>2322</v>
      </c>
    </row>
    <row r="153" spans="1:8">
      <c r="A153" s="673"/>
      <c r="B153" s="673"/>
      <c r="C153" s="573"/>
      <c r="D153" s="673"/>
      <c r="E153" s="650" t="s">
        <v>161</v>
      </c>
      <c r="F153" s="650" t="s">
        <v>162</v>
      </c>
      <c r="G153" s="660" t="s">
        <v>163</v>
      </c>
      <c r="H153" s="12" t="s">
        <v>2322</v>
      </c>
    </row>
    <row r="154" spans="1:8">
      <c r="A154" s="673"/>
      <c r="B154" s="673"/>
      <c r="C154" s="573" t="s">
        <v>1287</v>
      </c>
      <c r="D154" s="673"/>
      <c r="E154" s="659">
        <f>G146</f>
        <v>7631.6</v>
      </c>
      <c r="F154" s="659">
        <f>G146</f>
        <v>7631.6</v>
      </c>
      <c r="G154" s="652">
        <f>G146</f>
        <v>7631.6</v>
      </c>
      <c r="H154" s="12" t="s">
        <v>2322</v>
      </c>
    </row>
    <row r="155" spans="1:8" ht="25.5">
      <c r="A155" s="673"/>
      <c r="B155" s="673"/>
      <c r="C155" s="700" t="s">
        <v>166</v>
      </c>
      <c r="D155" s="673"/>
      <c r="E155" s="659">
        <f>'MINI SSR 2022-23 (2)'!C58</f>
        <v>1233</v>
      </c>
      <c r="F155" s="659">
        <f>E155</f>
        <v>1233</v>
      </c>
      <c r="G155" s="9">
        <f>E155</f>
        <v>1233</v>
      </c>
      <c r="H155" s="12" t="s">
        <v>2322</v>
      </c>
    </row>
    <row r="156" spans="1:8">
      <c r="A156" s="673"/>
      <c r="B156" s="673"/>
      <c r="C156" s="700" t="s">
        <v>167</v>
      </c>
      <c r="D156" s="673"/>
      <c r="E156" s="659">
        <f>'MINI SSR 2022-23 (2)'!D58</f>
        <v>1720</v>
      </c>
      <c r="F156" s="659">
        <f>'MINI SSR 2022-23 (2)'!E58</f>
        <v>1892</v>
      </c>
      <c r="G156" s="659">
        <f>'MINI SSR 2022-23 (2)'!F58</f>
        <v>2064</v>
      </c>
      <c r="H156" s="12" t="s">
        <v>2322</v>
      </c>
    </row>
    <row r="157" spans="1:8" ht="25.5">
      <c r="A157" s="673"/>
      <c r="B157" s="673"/>
      <c r="C157" s="700" t="s">
        <v>1286</v>
      </c>
      <c r="D157" s="673"/>
      <c r="E157" s="673"/>
      <c r="F157" s="673">
        <f>ROUND((G139+G140+G141+F156)*0.1,2)</f>
        <v>455.91</v>
      </c>
      <c r="G157" s="676">
        <f>ROUND((G139+G140+G141+G156)*0.2,2)</f>
        <v>946.21</v>
      </c>
      <c r="H157" s="12" t="s">
        <v>2322</v>
      </c>
    </row>
    <row r="158" spans="1:8">
      <c r="A158" s="673"/>
      <c r="B158" s="673"/>
      <c r="C158" s="700"/>
      <c r="D158" s="673"/>
      <c r="E158" s="660">
        <f>SUM(E154:E157)</f>
        <v>10584.6</v>
      </c>
      <c r="F158" s="660">
        <f>SUM(F154:F157)</f>
        <v>11212.51</v>
      </c>
      <c r="G158" s="661">
        <f>SUM(G154:G157)</f>
        <v>11874.810000000001</v>
      </c>
      <c r="H158" s="12" t="s">
        <v>2322</v>
      </c>
    </row>
    <row r="159" spans="1:8" ht="178.5">
      <c r="A159" s="16">
        <v>8</v>
      </c>
      <c r="B159" s="650" t="s">
        <v>78</v>
      </c>
      <c r="C159" s="700" t="s">
        <v>226</v>
      </c>
      <c r="D159" s="673"/>
      <c r="E159" s="673"/>
      <c r="F159" s="673"/>
      <c r="G159" s="650"/>
      <c r="H159" s="12" t="s">
        <v>2322</v>
      </c>
    </row>
    <row r="160" spans="1:8">
      <c r="A160" s="16"/>
      <c r="B160" s="650"/>
      <c r="C160" s="573" t="s">
        <v>79</v>
      </c>
      <c r="D160" s="673"/>
      <c r="E160" s="673"/>
      <c r="F160" s="673"/>
      <c r="G160" s="652"/>
      <c r="H160" s="12" t="s">
        <v>2322</v>
      </c>
    </row>
    <row r="161" spans="1:8">
      <c r="A161" s="16"/>
      <c r="B161" s="650"/>
      <c r="C161" s="573" t="s">
        <v>60</v>
      </c>
      <c r="D161" s="650"/>
      <c r="E161" s="650"/>
      <c r="F161" s="650"/>
      <c r="G161" s="652"/>
      <c r="H161" s="12" t="s">
        <v>2322</v>
      </c>
    </row>
    <row r="162" spans="1:8">
      <c r="A162" s="16"/>
      <c r="B162" s="650"/>
      <c r="C162" s="700" t="s">
        <v>154</v>
      </c>
      <c r="D162" s="673" t="s">
        <v>35</v>
      </c>
      <c r="E162" s="659">
        <v>0.8</v>
      </c>
      <c r="F162" s="659">
        <f>F35</f>
        <v>2046.91</v>
      </c>
      <c r="G162" s="53">
        <f>ROUND(E162*F162,2)</f>
        <v>1637.53</v>
      </c>
      <c r="H162" s="12" t="s">
        <v>2322</v>
      </c>
    </row>
    <row r="163" spans="1:8">
      <c r="A163" s="16"/>
      <c r="B163" s="650"/>
      <c r="C163" s="700" t="s">
        <v>112</v>
      </c>
      <c r="D163" s="673" t="s">
        <v>35</v>
      </c>
      <c r="E163" s="659">
        <v>0.4</v>
      </c>
      <c r="F163" s="659">
        <f>'lead 22-23 P-B'!L13</f>
        <v>1720.9999999999998</v>
      </c>
      <c r="G163" s="53">
        <f>ROUND(E163*F163,2)</f>
        <v>688.4</v>
      </c>
      <c r="H163" s="12" t="s">
        <v>2322</v>
      </c>
    </row>
    <row r="164" spans="1:8">
      <c r="A164" s="673"/>
      <c r="B164" s="673"/>
      <c r="C164" s="700" t="s">
        <v>33</v>
      </c>
      <c r="D164" s="673" t="s">
        <v>4</v>
      </c>
      <c r="E164" s="659">
        <f>E137</f>
        <v>340</v>
      </c>
      <c r="F164" s="659">
        <f>'lead 22-23 P-B'!L8</f>
        <v>4700</v>
      </c>
      <c r="G164" s="53">
        <f>ROUND(E164*F164/1000,2)</f>
        <v>1598</v>
      </c>
      <c r="H164" s="12" t="s">
        <v>2322</v>
      </c>
    </row>
    <row r="165" spans="1:8">
      <c r="A165" s="673"/>
      <c r="B165" s="673"/>
      <c r="C165" s="573" t="s">
        <v>68</v>
      </c>
      <c r="D165" s="673"/>
      <c r="E165" s="659"/>
      <c r="F165" s="659"/>
      <c r="G165" s="53"/>
      <c r="H165" s="12" t="s">
        <v>2322</v>
      </c>
    </row>
    <row r="166" spans="1:8">
      <c r="A166" s="673"/>
      <c r="B166" s="673"/>
      <c r="C166" s="700" t="s">
        <v>64</v>
      </c>
      <c r="D166" s="673" t="s">
        <v>27</v>
      </c>
      <c r="E166" s="532">
        <v>6.7000000000000004E-2</v>
      </c>
      <c r="F166" s="659">
        <f>'MINI SSR 2022-23 (2)'!$H$3</f>
        <v>630</v>
      </c>
      <c r="G166" s="53">
        <f>ROUND(E166*F166,2)</f>
        <v>42.21</v>
      </c>
      <c r="H166" s="12" t="s">
        <v>2322</v>
      </c>
    </row>
    <row r="167" spans="1:8">
      <c r="A167" s="673"/>
      <c r="B167" s="673"/>
      <c r="C167" s="700" t="s">
        <v>69</v>
      </c>
      <c r="D167" s="673" t="s">
        <v>27</v>
      </c>
      <c r="E167" s="532">
        <v>0.13300000000000001</v>
      </c>
      <c r="F167" s="659">
        <f>'MINI SSR 2022-23 (2)'!$H$4</f>
        <v>565</v>
      </c>
      <c r="G167" s="53">
        <f>ROUND(E167*F167,2)</f>
        <v>75.150000000000006</v>
      </c>
      <c r="H167" s="12" t="s">
        <v>2322</v>
      </c>
    </row>
    <row r="168" spans="1:8">
      <c r="A168" s="673"/>
      <c r="B168" s="673"/>
      <c r="C168" s="700" t="s">
        <v>70</v>
      </c>
      <c r="D168" s="673" t="s">
        <v>27</v>
      </c>
      <c r="E168" s="532">
        <v>2.5</v>
      </c>
      <c r="F168" s="659">
        <f>'MINI SSR 2022-23 (2)'!H$5</f>
        <v>525</v>
      </c>
      <c r="G168" s="53">
        <f>ROUND(E168*F168,2)</f>
        <v>1312.5</v>
      </c>
      <c r="H168" s="12" t="s">
        <v>2322</v>
      </c>
    </row>
    <row r="169" spans="1:8">
      <c r="A169" s="673"/>
      <c r="B169" s="673"/>
      <c r="C169" s="573" t="s">
        <v>61</v>
      </c>
      <c r="D169" s="673"/>
      <c r="E169" s="659"/>
      <c r="F169" s="659"/>
      <c r="G169" s="53"/>
      <c r="H169" s="12" t="s">
        <v>2322</v>
      </c>
    </row>
    <row r="170" spans="1:8">
      <c r="A170" s="673"/>
      <c r="B170" s="673"/>
      <c r="C170" s="700" t="s">
        <v>62</v>
      </c>
      <c r="D170" s="673" t="s">
        <v>21</v>
      </c>
      <c r="E170" s="532">
        <v>0.26700000000000002</v>
      </c>
      <c r="F170" s="659">
        <f>'MINI SSR 2022-23 (2)'!$C$30</f>
        <v>667.5</v>
      </c>
      <c r="G170" s="53">
        <f>ROUND(E170*F170,2)</f>
        <v>178.22</v>
      </c>
      <c r="H170" s="12" t="s">
        <v>2322</v>
      </c>
    </row>
    <row r="171" spans="1:8">
      <c r="A171" s="673"/>
      <c r="B171" s="673"/>
      <c r="C171" s="700" t="s">
        <v>160</v>
      </c>
      <c r="D171" s="673" t="s">
        <v>21</v>
      </c>
      <c r="E171" s="532">
        <v>0.26700000000000002</v>
      </c>
      <c r="F171" s="659">
        <f>'MINI SSR 2022-23 (2)'!$C$31</f>
        <v>259.10000000000002</v>
      </c>
      <c r="G171" s="53">
        <f>ROUND(E171*F171,2)</f>
        <v>69.180000000000007</v>
      </c>
      <c r="H171" s="12" t="s">
        <v>2322</v>
      </c>
    </row>
    <row r="172" spans="1:8">
      <c r="A172" s="673"/>
      <c r="B172" s="673"/>
      <c r="C172" s="700" t="s">
        <v>57</v>
      </c>
      <c r="D172" s="673" t="s">
        <v>58</v>
      </c>
      <c r="E172" s="659">
        <v>1.2</v>
      </c>
      <c r="F172" s="10">
        <f>'MINI SSR 2022-23 (2)'!$C$29</f>
        <v>95</v>
      </c>
      <c r="G172" s="53">
        <f>ROUND(E172*F172,2)</f>
        <v>114</v>
      </c>
      <c r="H172" s="12" t="s">
        <v>2322</v>
      </c>
    </row>
    <row r="173" spans="1:8">
      <c r="A173" s="673"/>
      <c r="B173" s="673"/>
      <c r="C173" s="573" t="s">
        <v>71</v>
      </c>
      <c r="D173" s="673"/>
      <c r="E173" s="673"/>
      <c r="F173" s="673"/>
      <c r="G173" s="661">
        <f>SUM(G162:G172)</f>
        <v>5715.1900000000005</v>
      </c>
      <c r="H173" s="12" t="s">
        <v>2322</v>
      </c>
    </row>
    <row r="174" spans="1:8">
      <c r="A174" s="673"/>
      <c r="B174" s="673"/>
      <c r="C174" s="573"/>
      <c r="D174" s="673"/>
      <c r="E174" s="650" t="s">
        <v>161</v>
      </c>
      <c r="F174" s="650" t="s">
        <v>162</v>
      </c>
      <c r="G174" s="660" t="s">
        <v>163</v>
      </c>
      <c r="H174" s="12" t="s">
        <v>2322</v>
      </c>
    </row>
    <row r="175" spans="1:8">
      <c r="A175" s="673"/>
      <c r="B175" s="673"/>
      <c r="C175" s="573" t="s">
        <v>1288</v>
      </c>
      <c r="D175" s="673"/>
      <c r="E175" s="659">
        <f>G173</f>
        <v>5715.1900000000005</v>
      </c>
      <c r="F175" s="659">
        <f>G173</f>
        <v>5715.1900000000005</v>
      </c>
      <c r="G175" s="652">
        <f>G173</f>
        <v>5715.1900000000005</v>
      </c>
      <c r="H175" s="12" t="s">
        <v>2322</v>
      </c>
    </row>
    <row r="176" spans="1:8" ht="25.5">
      <c r="A176" s="673"/>
      <c r="B176" s="673"/>
      <c r="C176" s="700" t="s">
        <v>177</v>
      </c>
      <c r="D176" s="673"/>
      <c r="E176" s="659">
        <f>'MINI SSR 2022-23 (2)'!C60</f>
        <v>2179</v>
      </c>
      <c r="F176" s="659">
        <f>E176</f>
        <v>2179</v>
      </c>
      <c r="G176" s="9">
        <f>E176</f>
        <v>2179</v>
      </c>
      <c r="H176" s="12" t="s">
        <v>2322</v>
      </c>
    </row>
    <row r="177" spans="1:8">
      <c r="A177" s="673"/>
      <c r="B177" s="673"/>
      <c r="C177" s="700" t="s">
        <v>178</v>
      </c>
      <c r="D177" s="673"/>
      <c r="E177" s="659">
        <f>'MINI SSR 2022-23 (2)'!D60</f>
        <v>2027</v>
      </c>
      <c r="F177" s="659">
        <f>'MINI SSR 2022-23 (2)'!E60</f>
        <v>2230</v>
      </c>
      <c r="G177" s="659">
        <f>'MINI SSR 2022-23 (2)'!F60</f>
        <v>2432</v>
      </c>
      <c r="H177" s="12" t="s">
        <v>2322</v>
      </c>
    </row>
    <row r="178" spans="1:8" ht="25.5">
      <c r="A178" s="673"/>
      <c r="B178" s="673"/>
      <c r="C178" s="700" t="s">
        <v>1286</v>
      </c>
      <c r="D178" s="673"/>
      <c r="E178" s="673"/>
      <c r="F178" s="659">
        <f>ROUND((G166+G167+G168+F177)*0.1,2)</f>
        <v>365.99</v>
      </c>
      <c r="G178" s="652">
        <f>ROUND((G166+G167+G168+G177)*0.2,2)</f>
        <v>772.37</v>
      </c>
      <c r="H178" s="12" t="s">
        <v>2322</v>
      </c>
    </row>
    <row r="179" spans="1:8">
      <c r="A179" s="673"/>
      <c r="B179" s="673"/>
      <c r="C179" s="573" t="s">
        <v>182</v>
      </c>
      <c r="D179" s="673"/>
      <c r="E179" s="660">
        <f>SUM(E175:E178)</f>
        <v>9921.19</v>
      </c>
      <c r="F179" s="660">
        <f>SUM(F175:F178)</f>
        <v>10490.18</v>
      </c>
      <c r="G179" s="661">
        <f>SUM(G175:G178)</f>
        <v>11098.560000000001</v>
      </c>
      <c r="H179" s="12" t="s">
        <v>2322</v>
      </c>
    </row>
    <row r="180" spans="1:8">
      <c r="A180" s="673"/>
      <c r="B180" s="673"/>
      <c r="C180" s="573"/>
      <c r="D180" s="673"/>
      <c r="E180" s="650" t="s">
        <v>161</v>
      </c>
      <c r="F180" s="650" t="s">
        <v>162</v>
      </c>
      <c r="G180" s="660" t="s">
        <v>163</v>
      </c>
      <c r="H180" s="12" t="s">
        <v>2322</v>
      </c>
    </row>
    <row r="181" spans="1:8">
      <c r="A181" s="673"/>
      <c r="B181" s="673"/>
      <c r="C181" s="573" t="s">
        <v>1289</v>
      </c>
      <c r="D181" s="673"/>
      <c r="E181" s="659">
        <f>G173</f>
        <v>5715.1900000000005</v>
      </c>
      <c r="F181" s="659">
        <f>G173</f>
        <v>5715.1900000000005</v>
      </c>
      <c r="G181" s="652">
        <f>G173</f>
        <v>5715.1900000000005</v>
      </c>
      <c r="H181" s="12" t="s">
        <v>2322</v>
      </c>
    </row>
    <row r="182" spans="1:8">
      <c r="A182" s="673"/>
      <c r="B182" s="673"/>
      <c r="C182" s="573" t="s">
        <v>1269</v>
      </c>
      <c r="D182" s="659">
        <v>0.1</v>
      </c>
      <c r="E182" s="659">
        <f>ROUND(E181*0.1,2)</f>
        <v>571.52</v>
      </c>
      <c r="F182" s="659">
        <f>ROUND(F181*0.1,2)</f>
        <v>571.52</v>
      </c>
      <c r="G182" s="652">
        <f>ROUND(G181*0.1,2)</f>
        <v>571.52</v>
      </c>
      <c r="H182" s="12" t="s">
        <v>2322</v>
      </c>
    </row>
    <row r="183" spans="1:8" ht="25.5">
      <c r="A183" s="673"/>
      <c r="B183" s="673"/>
      <c r="C183" s="700" t="s">
        <v>179</v>
      </c>
      <c r="D183" s="673"/>
      <c r="E183" s="659">
        <f>'MINI SSR 2022-23 (2)'!C61</f>
        <v>247</v>
      </c>
      <c r="F183" s="659">
        <f>E183</f>
        <v>247</v>
      </c>
      <c r="G183" s="9">
        <f>E183</f>
        <v>247</v>
      </c>
      <c r="H183" s="12" t="s">
        <v>2322</v>
      </c>
    </row>
    <row r="184" spans="1:8">
      <c r="A184" s="673"/>
      <c r="B184" s="673"/>
      <c r="C184" s="700" t="s">
        <v>180</v>
      </c>
      <c r="D184" s="673"/>
      <c r="E184" s="659">
        <f>'MINI SSR 2022-23 (2)'!D61</f>
        <v>241</v>
      </c>
      <c r="F184" s="659">
        <f>'MINI SSR 2022-23 (2)'!E61</f>
        <v>265</v>
      </c>
      <c r="G184" s="659">
        <f>'MINI SSR 2022-23 (2)'!F61</f>
        <v>289</v>
      </c>
      <c r="H184" s="12" t="s">
        <v>2322</v>
      </c>
    </row>
    <row r="185" spans="1:8" ht="25.5">
      <c r="A185" s="673"/>
      <c r="B185" s="673"/>
      <c r="C185" s="700" t="s">
        <v>1290</v>
      </c>
      <c r="D185" s="673"/>
      <c r="E185" s="673"/>
      <c r="F185" s="659">
        <f>ROUND(((G166+G167+G168+F184)*0.1),2)</f>
        <v>169.49</v>
      </c>
      <c r="G185" s="652">
        <f>ROUND(((G166+G167+G168+G184)*0.2),2)</f>
        <v>343.77</v>
      </c>
      <c r="H185" s="12" t="s">
        <v>2322</v>
      </c>
    </row>
    <row r="186" spans="1:8">
      <c r="A186" s="673"/>
      <c r="B186" s="673"/>
      <c r="C186" s="573" t="s">
        <v>181</v>
      </c>
      <c r="D186" s="673"/>
      <c r="E186" s="660">
        <f>SUM(E182:E185)</f>
        <v>1059.52</v>
      </c>
      <c r="F186" s="660">
        <f>SUM(F182:F185)</f>
        <v>1253.01</v>
      </c>
      <c r="G186" s="661">
        <f>SUM(G182:G185)</f>
        <v>1451.29</v>
      </c>
      <c r="H186" s="12" t="s">
        <v>2322</v>
      </c>
    </row>
    <row r="187" spans="1:8">
      <c r="A187" s="673"/>
      <c r="B187" s="673"/>
      <c r="C187" s="573"/>
      <c r="D187" s="673"/>
      <c r="E187" s="650" t="s">
        <v>161</v>
      </c>
      <c r="F187" s="650" t="s">
        <v>162</v>
      </c>
      <c r="G187" s="660" t="s">
        <v>163</v>
      </c>
      <c r="H187" s="12" t="s">
        <v>2322</v>
      </c>
    </row>
    <row r="188" spans="1:8">
      <c r="A188" s="673"/>
      <c r="B188" s="673"/>
      <c r="C188" s="573" t="s">
        <v>1291</v>
      </c>
      <c r="D188" s="673"/>
      <c r="E188" s="659">
        <f>G173</f>
        <v>5715.1900000000005</v>
      </c>
      <c r="F188" s="659">
        <f>G173</f>
        <v>5715.1900000000005</v>
      </c>
      <c r="G188" s="652">
        <f>G173</f>
        <v>5715.1900000000005</v>
      </c>
      <c r="H188" s="12" t="s">
        <v>2322</v>
      </c>
    </row>
    <row r="189" spans="1:8">
      <c r="A189" s="673"/>
      <c r="B189" s="673"/>
      <c r="C189" s="573" t="s">
        <v>1270</v>
      </c>
      <c r="D189" s="673">
        <v>0.125</v>
      </c>
      <c r="E189" s="659">
        <f>ROUND(E188*0.125,2)</f>
        <v>714.4</v>
      </c>
      <c r="F189" s="659">
        <f>ROUND(F188*0.125,2)</f>
        <v>714.4</v>
      </c>
      <c r="G189" s="652">
        <f>ROUND(G188*0.125,2)</f>
        <v>714.4</v>
      </c>
      <c r="H189" s="12" t="s">
        <v>2322</v>
      </c>
    </row>
    <row r="190" spans="1:8" ht="25.5">
      <c r="A190" s="673"/>
      <c r="B190" s="673"/>
      <c r="C190" s="700" t="s">
        <v>179</v>
      </c>
      <c r="D190" s="673"/>
      <c r="E190" s="659">
        <f>'MINI SSR 2022-23 (2)'!C61</f>
        <v>247</v>
      </c>
      <c r="F190" s="659">
        <f>E190</f>
        <v>247</v>
      </c>
      <c r="G190" s="9">
        <f>E190</f>
        <v>247</v>
      </c>
      <c r="H190" s="12" t="s">
        <v>2322</v>
      </c>
    </row>
    <row r="191" spans="1:8">
      <c r="A191" s="673"/>
      <c r="B191" s="673"/>
      <c r="C191" s="700" t="s">
        <v>180</v>
      </c>
      <c r="D191" s="673"/>
      <c r="E191" s="659">
        <f>'MINI SSR 2022-23 (2)'!D61</f>
        <v>241</v>
      </c>
      <c r="F191" s="659">
        <f>'MINI SSR 2022-23 (2)'!E61</f>
        <v>265</v>
      </c>
      <c r="G191" s="659">
        <f>'MINI SSR 2022-23 (2)'!F61</f>
        <v>289</v>
      </c>
      <c r="H191" s="12" t="s">
        <v>2322</v>
      </c>
    </row>
    <row r="192" spans="1:8" ht="25.5">
      <c r="A192" s="673"/>
      <c r="B192" s="673"/>
      <c r="C192" s="700" t="s">
        <v>1290</v>
      </c>
      <c r="D192" s="673"/>
      <c r="E192" s="673"/>
      <c r="F192" s="659">
        <f>ROUND(((G166+G167+G168+F191)*0.1),2)</f>
        <v>169.49</v>
      </c>
      <c r="G192" s="652">
        <f>ROUND(((G166+G167+G168+G191)*0.2),2)</f>
        <v>343.77</v>
      </c>
      <c r="H192" s="12" t="s">
        <v>2322</v>
      </c>
    </row>
    <row r="193" spans="1:8">
      <c r="A193" s="673"/>
      <c r="B193" s="673"/>
      <c r="C193" s="573" t="s">
        <v>181</v>
      </c>
      <c r="D193" s="673"/>
      <c r="E193" s="660">
        <f>SUM(E189:E192)</f>
        <v>1202.4000000000001</v>
      </c>
      <c r="F193" s="660">
        <f>SUM(F189:F192)</f>
        <v>1395.89</v>
      </c>
      <c r="G193" s="661">
        <f>SUM(G189:G192)</f>
        <v>1594.17</v>
      </c>
      <c r="H193" s="12" t="s">
        <v>2322</v>
      </c>
    </row>
    <row r="194" spans="1:8">
      <c r="A194" s="673"/>
      <c r="B194" s="673"/>
      <c r="C194" s="573"/>
      <c r="D194" s="673"/>
      <c r="E194" s="650" t="s">
        <v>161</v>
      </c>
      <c r="F194" s="650" t="s">
        <v>162</v>
      </c>
      <c r="G194" s="660" t="s">
        <v>163</v>
      </c>
      <c r="H194" s="12" t="s">
        <v>2322</v>
      </c>
    </row>
    <row r="195" spans="1:8">
      <c r="A195" s="673"/>
      <c r="B195" s="673"/>
      <c r="C195" s="573" t="s">
        <v>1292</v>
      </c>
      <c r="D195" s="673"/>
      <c r="E195" s="659">
        <f>G173</f>
        <v>5715.1900000000005</v>
      </c>
      <c r="F195" s="659">
        <f>G173</f>
        <v>5715.1900000000005</v>
      </c>
      <c r="G195" s="652">
        <f>G173</f>
        <v>5715.1900000000005</v>
      </c>
      <c r="H195" s="12" t="s">
        <v>2322</v>
      </c>
    </row>
    <row r="196" spans="1:8">
      <c r="A196" s="673"/>
      <c r="B196" s="673"/>
      <c r="C196" s="573" t="s">
        <v>1270</v>
      </c>
      <c r="D196" s="673">
        <v>0.15</v>
      </c>
      <c r="E196" s="659">
        <f>ROUND(E195*0.15,2)</f>
        <v>857.28</v>
      </c>
      <c r="F196" s="659">
        <f>ROUND(F195*0.15,2)</f>
        <v>857.28</v>
      </c>
      <c r="G196" s="652">
        <f>ROUND(G195*0.15,2)</f>
        <v>857.28</v>
      </c>
      <c r="H196" s="12" t="s">
        <v>2322</v>
      </c>
    </row>
    <row r="197" spans="1:8" ht="25.5">
      <c r="A197" s="673"/>
      <c r="B197" s="673"/>
      <c r="C197" s="700" t="s">
        <v>179</v>
      </c>
      <c r="D197" s="673"/>
      <c r="E197" s="659">
        <f>E190</f>
        <v>247</v>
      </c>
      <c r="F197" s="659">
        <f>E197</f>
        <v>247</v>
      </c>
      <c r="G197" s="9">
        <f>E197</f>
        <v>247</v>
      </c>
      <c r="H197" s="12" t="s">
        <v>2322</v>
      </c>
    </row>
    <row r="198" spans="1:8">
      <c r="A198" s="673"/>
      <c r="B198" s="673"/>
      <c r="C198" s="700" t="s">
        <v>180</v>
      </c>
      <c r="D198" s="673"/>
      <c r="E198" s="659">
        <f>E191</f>
        <v>241</v>
      </c>
      <c r="F198" s="659">
        <f>F191</f>
        <v>265</v>
      </c>
      <c r="G198" s="9">
        <f>G191</f>
        <v>289</v>
      </c>
      <c r="H198" s="12" t="s">
        <v>2322</v>
      </c>
    </row>
    <row r="199" spans="1:8" ht="25.5">
      <c r="A199" s="673"/>
      <c r="B199" s="673"/>
      <c r="C199" s="700" t="s">
        <v>1290</v>
      </c>
      <c r="D199" s="673"/>
      <c r="E199" s="673"/>
      <c r="F199" s="659">
        <f>ROUND(((G166+G167+G168+F198)*1)*0.1,2)</f>
        <v>169.49</v>
      </c>
      <c r="G199" s="652">
        <f>ROUND(((G166+G167+G168+G198)*1)*0.2,2)</f>
        <v>343.77</v>
      </c>
      <c r="H199" s="12" t="s">
        <v>2322</v>
      </c>
    </row>
    <row r="200" spans="1:8">
      <c r="A200" s="673"/>
      <c r="B200" s="673"/>
      <c r="C200" s="573" t="s">
        <v>181</v>
      </c>
      <c r="D200" s="673"/>
      <c r="E200" s="660">
        <f>SUM(E196:E199)</f>
        <v>1345.28</v>
      </c>
      <c r="F200" s="660">
        <f>SUM(F196:F199)</f>
        <v>1538.77</v>
      </c>
      <c r="G200" s="661">
        <f>SUM(G196:G199)</f>
        <v>1737.05</v>
      </c>
      <c r="H200" s="12" t="s">
        <v>2322</v>
      </c>
    </row>
    <row r="201" spans="1:8">
      <c r="A201" s="673"/>
      <c r="B201" s="673"/>
      <c r="C201" s="573" t="s">
        <v>1293</v>
      </c>
      <c r="D201" s="673"/>
      <c r="E201" s="659">
        <f>G173</f>
        <v>5715.1900000000005</v>
      </c>
      <c r="F201" s="659">
        <f>G173</f>
        <v>5715.1900000000005</v>
      </c>
      <c r="G201" s="652">
        <f>G173</f>
        <v>5715.1900000000005</v>
      </c>
      <c r="H201" s="12" t="s">
        <v>2322</v>
      </c>
    </row>
    <row r="202" spans="1:8">
      <c r="A202" s="673"/>
      <c r="B202" s="673"/>
      <c r="C202" s="573" t="s">
        <v>1270</v>
      </c>
      <c r="D202" s="532">
        <v>0.17499999999999999</v>
      </c>
      <c r="E202" s="659">
        <f>ROUND(E201*0.175,2)</f>
        <v>1000.16</v>
      </c>
      <c r="F202" s="659">
        <f>ROUND(F201*0.175,2)</f>
        <v>1000.16</v>
      </c>
      <c r="G202" s="652">
        <f>ROUND(G201*0.175,2)</f>
        <v>1000.16</v>
      </c>
      <c r="H202" s="12" t="s">
        <v>2322</v>
      </c>
    </row>
    <row r="203" spans="1:8" ht="25.5">
      <c r="A203" s="673"/>
      <c r="B203" s="673"/>
      <c r="C203" s="700" t="s">
        <v>183</v>
      </c>
      <c r="D203" s="673"/>
      <c r="E203" s="659">
        <f>'MINI SSR 2022-23 (2)'!C62</f>
        <v>254</v>
      </c>
      <c r="F203" s="659">
        <f>E203</f>
        <v>254</v>
      </c>
      <c r="G203" s="9">
        <f>E203</f>
        <v>254</v>
      </c>
      <c r="H203" s="12" t="s">
        <v>2322</v>
      </c>
    </row>
    <row r="204" spans="1:8">
      <c r="A204" s="673"/>
      <c r="B204" s="673"/>
      <c r="C204" s="700" t="s">
        <v>184</v>
      </c>
      <c r="D204" s="673"/>
      <c r="E204" s="659">
        <f>'MINI SSR 2022-23 (2)'!D62</f>
        <v>248</v>
      </c>
      <c r="F204" s="659">
        <f>'MINI SSR 2022-23 (2)'!E62</f>
        <v>273</v>
      </c>
      <c r="G204" s="659">
        <f>'MINI SSR 2022-23 (2)'!F62</f>
        <v>298</v>
      </c>
      <c r="H204" s="12" t="s">
        <v>2322</v>
      </c>
    </row>
    <row r="205" spans="1:8" ht="25.5">
      <c r="A205" s="673"/>
      <c r="B205" s="673"/>
      <c r="C205" s="700" t="s">
        <v>1290</v>
      </c>
      <c r="D205" s="673"/>
      <c r="E205" s="673"/>
      <c r="F205" s="659">
        <f>ROUND(((G166+G167+G168+F204)*1)*0.1,2)</f>
        <v>170.29</v>
      </c>
      <c r="G205" s="652">
        <f>ROUND(((G166+G167+G168+G204)*1)*0.2,2)</f>
        <v>345.57</v>
      </c>
      <c r="H205" s="12" t="s">
        <v>2322</v>
      </c>
    </row>
    <row r="206" spans="1:8">
      <c r="A206" s="673"/>
      <c r="B206" s="673"/>
      <c r="C206" s="573" t="s">
        <v>181</v>
      </c>
      <c r="D206" s="673"/>
      <c r="E206" s="660">
        <f>SUM(E202:E205)</f>
        <v>1502.1599999999999</v>
      </c>
      <c r="F206" s="660">
        <f>SUM(F202:F205)</f>
        <v>1697.4499999999998</v>
      </c>
      <c r="G206" s="661">
        <f>SUM(G202:G205)</f>
        <v>1897.7299999999998</v>
      </c>
      <c r="H206" s="12" t="s">
        <v>2322</v>
      </c>
    </row>
    <row r="207" spans="1:8">
      <c r="A207" s="673"/>
      <c r="B207" s="673"/>
      <c r="C207" s="573" t="s">
        <v>1294</v>
      </c>
      <c r="D207" s="673"/>
      <c r="E207" s="650" t="s">
        <v>161</v>
      </c>
      <c r="F207" s="650" t="s">
        <v>162</v>
      </c>
      <c r="G207" s="660" t="s">
        <v>163</v>
      </c>
      <c r="H207" s="12" t="s">
        <v>2322</v>
      </c>
    </row>
    <row r="208" spans="1:8">
      <c r="A208" s="673"/>
      <c r="B208" s="673"/>
      <c r="C208" s="700" t="s">
        <v>168</v>
      </c>
      <c r="D208" s="673"/>
      <c r="E208" s="659">
        <f>G173</f>
        <v>5715.1900000000005</v>
      </c>
      <c r="F208" s="659">
        <f>E208</f>
        <v>5715.1900000000005</v>
      </c>
      <c r="G208" s="53">
        <f>F208</f>
        <v>5715.1900000000005</v>
      </c>
      <c r="H208" s="12" t="s">
        <v>2322</v>
      </c>
    </row>
    <row r="209" spans="1:8">
      <c r="A209" s="673"/>
      <c r="B209" s="673"/>
      <c r="C209" s="700" t="s">
        <v>169</v>
      </c>
      <c r="D209" s="658">
        <v>0.05</v>
      </c>
      <c r="E209" s="659">
        <f>ROUND(E208*D209,2)</f>
        <v>285.76</v>
      </c>
      <c r="F209" s="659">
        <f>ROUND(F208*D209,2)</f>
        <v>285.76</v>
      </c>
      <c r="G209" s="53">
        <f>ROUND(G208*D209,2)</f>
        <v>285.76</v>
      </c>
      <c r="H209" s="12" t="s">
        <v>2322</v>
      </c>
    </row>
    <row r="210" spans="1:8" ht="25.5">
      <c r="A210" s="673"/>
      <c r="B210" s="673"/>
      <c r="C210" s="700" t="s">
        <v>171</v>
      </c>
      <c r="D210" s="659" t="s">
        <v>77</v>
      </c>
      <c r="E210" s="659">
        <f>'MINI SSR 2022-23 (2)'!$C$59</f>
        <v>243</v>
      </c>
      <c r="F210" s="659">
        <f>'MINI SSR 2022-23 (2)'!$C$59</f>
        <v>243</v>
      </c>
      <c r="G210" s="659">
        <f>'MINI SSR 2022-23 (2)'!$C$59</f>
        <v>243</v>
      </c>
      <c r="H210" s="12" t="s">
        <v>2322</v>
      </c>
    </row>
    <row r="211" spans="1:8">
      <c r="A211" s="673"/>
      <c r="B211" s="673"/>
      <c r="C211" s="700" t="s">
        <v>172</v>
      </c>
      <c r="D211" s="659" t="s">
        <v>77</v>
      </c>
      <c r="E211" s="659">
        <f>'MINI SSR 2022-23 (2)'!D59</f>
        <v>264</v>
      </c>
      <c r="F211" s="659">
        <f>'MINI SSR 2022-23 (2)'!E59</f>
        <v>290</v>
      </c>
      <c r="G211" s="659">
        <f>'MINI SSR 2022-23 (2)'!F59</f>
        <v>317</v>
      </c>
      <c r="H211" s="12" t="s">
        <v>2322</v>
      </c>
    </row>
    <row r="212" spans="1:8" ht="25.5">
      <c r="A212" s="673"/>
      <c r="B212" s="673"/>
      <c r="C212" s="700" t="s">
        <v>170</v>
      </c>
      <c r="D212" s="673"/>
      <c r="E212" s="673"/>
      <c r="F212" s="659">
        <f>ROUND(((G166+G167+G168+F211))*0.1,2)</f>
        <v>171.99</v>
      </c>
      <c r="G212" s="652">
        <f>ROUND(((G166+G167+G168+G211))*0.2,2)</f>
        <v>349.37</v>
      </c>
      <c r="H212" s="12" t="s">
        <v>2322</v>
      </c>
    </row>
    <row r="213" spans="1:8">
      <c r="A213" s="673"/>
      <c r="B213" s="673"/>
      <c r="C213" s="573" t="s">
        <v>175</v>
      </c>
      <c r="D213" s="673"/>
      <c r="E213" s="660">
        <f>SUM(E209:E212)</f>
        <v>792.76</v>
      </c>
      <c r="F213" s="660">
        <f>SUM(F209:F212)</f>
        <v>990.75</v>
      </c>
      <c r="G213" s="661">
        <f>SUM(G209:G212)</f>
        <v>1195.1300000000001</v>
      </c>
      <c r="H213" s="12" t="s">
        <v>2322</v>
      </c>
    </row>
    <row r="214" spans="1:8">
      <c r="A214" s="16"/>
      <c r="B214" s="650"/>
      <c r="C214" s="573" t="s">
        <v>173</v>
      </c>
      <c r="D214" s="673"/>
      <c r="E214" s="673"/>
      <c r="F214" s="673"/>
      <c r="G214" s="652"/>
      <c r="H214" s="12" t="s">
        <v>2322</v>
      </c>
    </row>
    <row r="215" spans="1:8">
      <c r="A215" s="673"/>
      <c r="B215" s="673"/>
      <c r="C215" s="573"/>
      <c r="D215" s="673"/>
      <c r="E215" s="650" t="s">
        <v>161</v>
      </c>
      <c r="F215" s="650" t="s">
        <v>162</v>
      </c>
      <c r="G215" s="660" t="s">
        <v>163</v>
      </c>
      <c r="H215" s="12" t="s">
        <v>2322</v>
      </c>
    </row>
    <row r="216" spans="1:8">
      <c r="A216" s="673"/>
      <c r="B216" s="673"/>
      <c r="C216" s="700" t="s">
        <v>174</v>
      </c>
      <c r="D216" s="658"/>
      <c r="E216" s="659">
        <f>E208</f>
        <v>5715.1900000000005</v>
      </c>
      <c r="F216" s="659">
        <f>F208</f>
        <v>5715.1900000000005</v>
      </c>
      <c r="G216" s="652">
        <f>G208</f>
        <v>5715.1900000000005</v>
      </c>
      <c r="H216" s="12" t="s">
        <v>2322</v>
      </c>
    </row>
    <row r="217" spans="1:8">
      <c r="A217" s="673"/>
      <c r="B217" s="673"/>
      <c r="C217" s="700" t="s">
        <v>1271</v>
      </c>
      <c r="D217" s="658">
        <v>3.7499999999999999E-2</v>
      </c>
      <c r="E217" s="659">
        <f>ROUND(E216*0.0375,2)</f>
        <v>214.32</v>
      </c>
      <c r="F217" s="659">
        <f>ROUND(F216*0.0375,2)</f>
        <v>214.32</v>
      </c>
      <c r="G217" s="652">
        <f>ROUND(G216*0.0375,2)</f>
        <v>214.32</v>
      </c>
      <c r="H217" s="12" t="s">
        <v>2322</v>
      </c>
    </row>
    <row r="218" spans="1:8">
      <c r="A218" s="673"/>
      <c r="B218" s="673"/>
      <c r="C218" s="700" t="s">
        <v>834</v>
      </c>
      <c r="D218" s="659">
        <v>0.6</v>
      </c>
      <c r="E218" s="659">
        <f>'MINI SSR 2022-23 (2)'!$C$59*D218</f>
        <v>145.79999999999998</v>
      </c>
      <c r="F218" s="659">
        <f>'MINI SSR 2022-23 (2)'!$C$59*D218</f>
        <v>145.79999999999998</v>
      </c>
      <c r="G218" s="659">
        <f>'MINI SSR 2022-23 (2)'!$C$59*D218</f>
        <v>145.79999999999998</v>
      </c>
      <c r="H218" s="12" t="s">
        <v>2322</v>
      </c>
    </row>
    <row r="219" spans="1:8">
      <c r="A219" s="673"/>
      <c r="B219" s="673"/>
      <c r="C219" s="700" t="s">
        <v>835</v>
      </c>
      <c r="D219" s="659">
        <v>0.6</v>
      </c>
      <c r="E219" s="659">
        <f>E211*D219</f>
        <v>158.4</v>
      </c>
      <c r="F219" s="659">
        <f>F211*D219</f>
        <v>174</v>
      </c>
      <c r="G219" s="659">
        <f>G211*D219</f>
        <v>190.2</v>
      </c>
      <c r="H219" s="12" t="s">
        <v>2322</v>
      </c>
    </row>
    <row r="220" spans="1:8" ht="25.5">
      <c r="A220" s="673"/>
      <c r="B220" s="673"/>
      <c r="C220" s="700" t="s">
        <v>170</v>
      </c>
      <c r="D220" s="673">
        <v>0.6</v>
      </c>
      <c r="E220" s="673"/>
      <c r="F220" s="652">
        <f>ROUND(((G166+G167+G168+F219)*D220)*0.1,2)</f>
        <v>96.23</v>
      </c>
      <c r="G220" s="652">
        <f>ROUND(((G166+G167+G168+G219)*D220)*0.2,2)</f>
        <v>194.41</v>
      </c>
      <c r="H220" s="12" t="s">
        <v>2322</v>
      </c>
    </row>
    <row r="221" spans="1:8">
      <c r="A221" s="673"/>
      <c r="B221" s="673"/>
      <c r="C221" s="573" t="s">
        <v>176</v>
      </c>
      <c r="D221" s="673"/>
      <c r="E221" s="660">
        <f>SUM(E217:E220)</f>
        <v>518.52</v>
      </c>
      <c r="F221" s="660">
        <f>SUM(F217:F220)</f>
        <v>630.35</v>
      </c>
      <c r="G221" s="661">
        <f>SUM(G217:G220)</f>
        <v>744.7299999999999</v>
      </c>
      <c r="H221" s="12" t="s">
        <v>2322</v>
      </c>
    </row>
    <row r="222" spans="1:8" ht="191.25">
      <c r="A222" s="16">
        <v>17</v>
      </c>
      <c r="B222" s="650" t="s">
        <v>78</v>
      </c>
      <c r="C222" s="700" t="s">
        <v>1316</v>
      </c>
      <c r="D222" s="673"/>
      <c r="E222" s="673"/>
      <c r="F222" s="673"/>
      <c r="G222" s="650"/>
      <c r="H222" s="12" t="s">
        <v>2322</v>
      </c>
    </row>
    <row r="223" spans="1:8">
      <c r="A223" s="16"/>
      <c r="B223" s="650"/>
      <c r="C223" s="573" t="s">
        <v>1211</v>
      </c>
      <c r="D223" s="673"/>
      <c r="E223" s="673"/>
      <c r="F223" s="673"/>
      <c r="G223" s="652"/>
      <c r="H223" s="12" t="s">
        <v>2322</v>
      </c>
    </row>
    <row r="224" spans="1:8">
      <c r="A224" s="16"/>
      <c r="B224" s="650"/>
      <c r="C224" s="573" t="s">
        <v>60</v>
      </c>
      <c r="D224" s="650"/>
      <c r="E224" s="650"/>
      <c r="F224" s="650"/>
      <c r="G224" s="652"/>
      <c r="H224" s="12" t="s">
        <v>2322</v>
      </c>
    </row>
    <row r="225" spans="1:8">
      <c r="A225" s="16"/>
      <c r="B225" s="650"/>
      <c r="C225" s="700" t="s">
        <v>154</v>
      </c>
      <c r="D225" s="673" t="s">
        <v>35</v>
      </c>
      <c r="E225" s="659">
        <v>0.8</v>
      </c>
      <c r="F225" s="659">
        <f>F35</f>
        <v>2046.91</v>
      </c>
      <c r="G225" s="53">
        <f>ROUND(E225*F225,2)</f>
        <v>1637.53</v>
      </c>
      <c r="H225" s="12" t="s">
        <v>2322</v>
      </c>
    </row>
    <row r="226" spans="1:8">
      <c r="A226" s="16"/>
      <c r="B226" s="650"/>
      <c r="C226" s="700" t="s">
        <v>112</v>
      </c>
      <c r="D226" s="673" t="s">
        <v>35</v>
      </c>
      <c r="E226" s="659">
        <v>0.4</v>
      </c>
      <c r="F226" s="659">
        <f>'lead 22-23 P-B'!L13</f>
        <v>1720.9999999999998</v>
      </c>
      <c r="G226" s="53">
        <f>ROUND(E226*F226,2)</f>
        <v>688.4</v>
      </c>
      <c r="H226" s="12" t="s">
        <v>2322</v>
      </c>
    </row>
    <row r="227" spans="1:8">
      <c r="A227" s="673"/>
      <c r="B227" s="673"/>
      <c r="C227" s="700" t="s">
        <v>33</v>
      </c>
      <c r="D227" s="673" t="s">
        <v>4</v>
      </c>
      <c r="E227" s="659">
        <f>E164</f>
        <v>340</v>
      </c>
      <c r="F227" s="659">
        <f>'lead 22-23 P-B'!L8</f>
        <v>4700</v>
      </c>
      <c r="G227" s="53">
        <f>ROUND(E227*F227/1000,2)</f>
        <v>1598</v>
      </c>
      <c r="H227" s="12" t="s">
        <v>2322</v>
      </c>
    </row>
    <row r="228" spans="1:8">
      <c r="A228" s="673"/>
      <c r="B228" s="673"/>
      <c r="C228" s="573" t="s">
        <v>68</v>
      </c>
      <c r="D228" s="673"/>
      <c r="E228" s="659"/>
      <c r="F228" s="659"/>
      <c r="G228" s="53"/>
      <c r="H228" s="12" t="s">
        <v>2322</v>
      </c>
    </row>
    <row r="229" spans="1:8">
      <c r="A229" s="673"/>
      <c r="B229" s="673"/>
      <c r="C229" s="700" t="s">
        <v>64</v>
      </c>
      <c r="D229" s="673" t="s">
        <v>27</v>
      </c>
      <c r="E229" s="532">
        <v>6.7000000000000004E-2</v>
      </c>
      <c r="F229" s="659">
        <f>'MINI SSR 2022-23 (2)'!$H$3</f>
        <v>630</v>
      </c>
      <c r="G229" s="53">
        <f>ROUND(E229*F229,2)</f>
        <v>42.21</v>
      </c>
      <c r="H229" s="12" t="s">
        <v>2322</v>
      </c>
    </row>
    <row r="230" spans="1:8">
      <c r="A230" s="673"/>
      <c r="B230" s="673"/>
      <c r="C230" s="700" t="s">
        <v>69</v>
      </c>
      <c r="D230" s="673" t="s">
        <v>27</v>
      </c>
      <c r="E230" s="532">
        <v>0.13300000000000001</v>
      </c>
      <c r="F230" s="659">
        <f>'MINI SSR 2022-23 (2)'!$H$4</f>
        <v>565</v>
      </c>
      <c r="G230" s="53">
        <f>ROUND(E230*F230,2)</f>
        <v>75.150000000000006</v>
      </c>
      <c r="H230" s="12" t="s">
        <v>2322</v>
      </c>
    </row>
    <row r="231" spans="1:8">
      <c r="A231" s="673"/>
      <c r="B231" s="673"/>
      <c r="C231" s="700" t="s">
        <v>70</v>
      </c>
      <c r="D231" s="673" t="s">
        <v>27</v>
      </c>
      <c r="E231" s="532">
        <v>2.5</v>
      </c>
      <c r="F231" s="659">
        <f>'MINI SSR 2022-23 (2)'!H$5</f>
        <v>525</v>
      </c>
      <c r="G231" s="53">
        <f>ROUND(E231*F231,2)</f>
        <v>1312.5</v>
      </c>
      <c r="H231" s="12" t="s">
        <v>2322</v>
      </c>
    </row>
    <row r="232" spans="1:8">
      <c r="A232" s="673"/>
      <c r="B232" s="673"/>
      <c r="C232" s="573" t="s">
        <v>61</v>
      </c>
      <c r="D232" s="673"/>
      <c r="E232" s="659"/>
      <c r="F232" s="659"/>
      <c r="G232" s="53"/>
      <c r="H232" s="12" t="s">
        <v>2322</v>
      </c>
    </row>
    <row r="233" spans="1:8">
      <c r="A233" s="673"/>
      <c r="B233" s="673"/>
      <c r="C233" s="700" t="s">
        <v>62</v>
      </c>
      <c r="D233" s="673" t="s">
        <v>21</v>
      </c>
      <c r="E233" s="532">
        <v>0.26700000000000002</v>
      </c>
      <c r="F233" s="659">
        <f>'MINI SSR 2022-23 (2)'!$C$30</f>
        <v>667.5</v>
      </c>
      <c r="G233" s="53">
        <f>ROUND(E233*F233,2)</f>
        <v>178.22</v>
      </c>
      <c r="H233" s="12" t="s">
        <v>2322</v>
      </c>
    </row>
    <row r="234" spans="1:8">
      <c r="A234" s="673"/>
      <c r="B234" s="673"/>
      <c r="C234" s="700" t="s">
        <v>57</v>
      </c>
      <c r="D234" s="673" t="s">
        <v>58</v>
      </c>
      <c r="E234" s="659">
        <v>1.2</v>
      </c>
      <c r="F234" s="10">
        <f>'MINI SSR 2022-23 (2)'!$C$29</f>
        <v>95</v>
      </c>
      <c r="G234" s="53">
        <f>ROUND(E234*F234,2)</f>
        <v>114</v>
      </c>
      <c r="H234" s="12" t="s">
        <v>2322</v>
      </c>
    </row>
    <row r="235" spans="1:8">
      <c r="A235" s="673"/>
      <c r="B235" s="673"/>
      <c r="C235" s="573" t="s">
        <v>71</v>
      </c>
      <c r="D235" s="673"/>
      <c r="E235" s="673"/>
      <c r="F235" s="673"/>
      <c r="G235" s="661">
        <f>SUM(G225:G234)+0.01</f>
        <v>5646.02</v>
      </c>
      <c r="H235" s="12" t="s">
        <v>2322</v>
      </c>
    </row>
    <row r="236" spans="1:8">
      <c r="A236" s="673"/>
      <c r="B236" s="673"/>
      <c r="C236" s="573"/>
      <c r="D236" s="673"/>
      <c r="E236" s="650" t="s">
        <v>161</v>
      </c>
      <c r="F236" s="650" t="s">
        <v>162</v>
      </c>
      <c r="G236" s="660" t="s">
        <v>163</v>
      </c>
      <c r="H236" s="12" t="s">
        <v>2322</v>
      </c>
    </row>
    <row r="237" spans="1:8">
      <c r="A237" s="673"/>
      <c r="B237" s="673"/>
      <c r="C237" s="573" t="s">
        <v>1295</v>
      </c>
      <c r="D237" s="673"/>
      <c r="E237" s="659">
        <f>G235</f>
        <v>5646.02</v>
      </c>
      <c r="F237" s="659">
        <f>G235</f>
        <v>5646.02</v>
      </c>
      <c r="G237" s="652">
        <f>G235</f>
        <v>5646.02</v>
      </c>
      <c r="H237" s="12" t="s">
        <v>2322</v>
      </c>
    </row>
    <row r="238" spans="1:8">
      <c r="A238" s="673"/>
      <c r="B238" s="673"/>
      <c r="C238" s="573" t="s">
        <v>1272</v>
      </c>
      <c r="D238" s="659">
        <v>0.05</v>
      </c>
      <c r="E238" s="659">
        <f>ROUND(E237*D238,2)</f>
        <v>282.3</v>
      </c>
      <c r="F238" s="659">
        <f>ROUND(F237*D238,2)</f>
        <v>282.3</v>
      </c>
      <c r="G238" s="652">
        <f>ROUND(G237*D238,2)</f>
        <v>282.3</v>
      </c>
      <c r="H238" s="12" t="s">
        <v>2322</v>
      </c>
    </row>
    <row r="239" spans="1:8" ht="25.5">
      <c r="A239" s="673"/>
      <c r="B239" s="673"/>
      <c r="C239" s="700" t="s">
        <v>1212</v>
      </c>
      <c r="D239" s="673"/>
      <c r="E239" s="659">
        <f>E183*50%</f>
        <v>123.5</v>
      </c>
      <c r="F239" s="659">
        <f>E239</f>
        <v>123.5</v>
      </c>
      <c r="G239" s="9">
        <f>E239</f>
        <v>123.5</v>
      </c>
      <c r="H239" s="12" t="s">
        <v>2322</v>
      </c>
    </row>
    <row r="240" spans="1:8" ht="25.5">
      <c r="A240" s="673"/>
      <c r="B240" s="673"/>
      <c r="C240" s="700" t="s">
        <v>1213</v>
      </c>
      <c r="D240" s="673"/>
      <c r="E240" s="659">
        <f>E184*50%</f>
        <v>120.5</v>
      </c>
      <c r="F240" s="659">
        <f>F184*50%</f>
        <v>132.5</v>
      </c>
      <c r="G240" s="652">
        <f>G184*50%</f>
        <v>144.5</v>
      </c>
      <c r="H240" s="12" t="s">
        <v>2322</v>
      </c>
    </row>
    <row r="241" spans="1:8" ht="25.5">
      <c r="A241" s="673"/>
      <c r="B241" s="673"/>
      <c r="C241" s="700" t="s">
        <v>1290</v>
      </c>
      <c r="D241" s="673"/>
      <c r="E241" s="673"/>
      <c r="F241" s="659">
        <f>ROUND(((G229+G230+G231+F240)*0.1),2)</f>
        <v>156.24</v>
      </c>
      <c r="G241" s="659">
        <f>ROUND(((G229+G230+G231+G240)*0.2),2)</f>
        <v>314.87</v>
      </c>
      <c r="H241" s="12" t="s">
        <v>2322</v>
      </c>
    </row>
    <row r="242" spans="1:8">
      <c r="A242" s="673"/>
      <c r="B242" s="673"/>
      <c r="C242" s="573" t="s">
        <v>181</v>
      </c>
      <c r="D242" s="673"/>
      <c r="E242" s="660">
        <f>SUM(E238:E241)</f>
        <v>526.29999999999995</v>
      </c>
      <c r="F242" s="660">
        <f>SUM(F238:F241)</f>
        <v>694.54</v>
      </c>
      <c r="G242" s="661">
        <f>SUM(G238:G241)</f>
        <v>865.17</v>
      </c>
      <c r="H242" s="12" t="s">
        <v>2322</v>
      </c>
    </row>
    <row r="243" spans="1:8">
      <c r="A243" s="673"/>
      <c r="B243" s="673"/>
      <c r="C243" s="573"/>
      <c r="D243" s="673"/>
      <c r="E243" s="650" t="s">
        <v>161</v>
      </c>
      <c r="F243" s="650" t="s">
        <v>162</v>
      </c>
      <c r="G243" s="660" t="s">
        <v>163</v>
      </c>
      <c r="H243" s="12" t="s">
        <v>2322</v>
      </c>
    </row>
    <row r="244" spans="1:8">
      <c r="A244" s="673"/>
      <c r="B244" s="673"/>
      <c r="C244" s="573" t="s">
        <v>1296</v>
      </c>
      <c r="D244" s="673"/>
      <c r="E244" s="659">
        <f>G235</f>
        <v>5646.02</v>
      </c>
      <c r="F244" s="659">
        <f>E244</f>
        <v>5646.02</v>
      </c>
      <c r="G244" s="652">
        <f>F244</f>
        <v>5646.02</v>
      </c>
      <c r="H244" s="12" t="s">
        <v>2322</v>
      </c>
    </row>
    <row r="245" spans="1:8">
      <c r="A245" s="673"/>
      <c r="B245" s="673"/>
      <c r="C245" s="573" t="s">
        <v>1272</v>
      </c>
      <c r="D245" s="532">
        <v>2.5000000000000001E-2</v>
      </c>
      <c r="E245" s="659">
        <f>ROUND(E244*D245,2)</f>
        <v>141.15</v>
      </c>
      <c r="F245" s="659">
        <f>ROUND(F244*D245,2)</f>
        <v>141.15</v>
      </c>
      <c r="G245" s="652">
        <f>ROUND(G244*D245,2)</f>
        <v>141.15</v>
      </c>
      <c r="H245" s="12" t="s">
        <v>2322</v>
      </c>
    </row>
    <row r="246" spans="1:8" ht="25.5">
      <c r="A246" s="673"/>
      <c r="B246" s="673"/>
      <c r="C246" s="700" t="s">
        <v>1212</v>
      </c>
      <c r="D246" s="673"/>
      <c r="E246" s="659">
        <f>E190*50%</f>
        <v>123.5</v>
      </c>
      <c r="F246" s="659">
        <f>E246</f>
        <v>123.5</v>
      </c>
      <c r="G246" s="9">
        <f>E246</f>
        <v>123.5</v>
      </c>
      <c r="H246" s="12" t="s">
        <v>2322</v>
      </c>
    </row>
    <row r="247" spans="1:8" ht="25.5">
      <c r="A247" s="673"/>
      <c r="B247" s="673"/>
      <c r="C247" s="700" t="s">
        <v>1213</v>
      </c>
      <c r="D247" s="673"/>
      <c r="E247" s="659">
        <f>E191*50%</f>
        <v>120.5</v>
      </c>
      <c r="F247" s="659">
        <f>F191*50%</f>
        <v>132.5</v>
      </c>
      <c r="G247" s="652">
        <f>G191*50%</f>
        <v>144.5</v>
      </c>
      <c r="H247" s="12" t="s">
        <v>2322</v>
      </c>
    </row>
    <row r="248" spans="1:8" ht="25.5">
      <c r="A248" s="673"/>
      <c r="B248" s="673"/>
      <c r="C248" s="700" t="s">
        <v>1290</v>
      </c>
      <c r="D248" s="673"/>
      <c r="E248" s="673"/>
      <c r="F248" s="659">
        <f>ROUND(((G229+G230+G231+F247)*0.1),2)</f>
        <v>156.24</v>
      </c>
      <c r="G248" s="659">
        <f>ROUND(((G229+G230+G231+G247)*0.2),2)</f>
        <v>314.87</v>
      </c>
      <c r="H248" s="12" t="s">
        <v>2322</v>
      </c>
    </row>
    <row r="249" spans="1:8">
      <c r="A249" s="673"/>
      <c r="B249" s="673"/>
      <c r="C249" s="573" t="s">
        <v>181</v>
      </c>
      <c r="D249" s="673"/>
      <c r="E249" s="660">
        <f>SUM(E245:E248)</f>
        <v>385.15</v>
      </c>
      <c r="F249" s="660">
        <f>SUM(F245:F248)</f>
        <v>553.39</v>
      </c>
      <c r="G249" s="661">
        <f>SUM(G245:G248)</f>
        <v>724.02</v>
      </c>
      <c r="H249" s="12" t="s">
        <v>2322</v>
      </c>
    </row>
    <row r="250" spans="1:8" ht="127.5">
      <c r="A250" s="16">
        <v>18</v>
      </c>
      <c r="B250" s="650"/>
      <c r="C250" s="700" t="s">
        <v>315</v>
      </c>
      <c r="D250" s="673"/>
      <c r="E250" s="673"/>
      <c r="F250" s="673"/>
      <c r="G250" s="650"/>
      <c r="H250" s="12" t="s">
        <v>2322</v>
      </c>
    </row>
    <row r="251" spans="1:8">
      <c r="A251" s="16"/>
      <c r="B251" s="650"/>
      <c r="C251" s="573" t="s">
        <v>314</v>
      </c>
      <c r="D251" s="673"/>
      <c r="E251" s="673"/>
      <c r="F251" s="673"/>
      <c r="G251" s="652"/>
      <c r="H251" s="12" t="s">
        <v>2322</v>
      </c>
    </row>
    <row r="252" spans="1:8">
      <c r="A252" s="16"/>
      <c r="B252" s="650"/>
      <c r="C252" s="573" t="s">
        <v>60</v>
      </c>
      <c r="D252" s="650"/>
      <c r="E252" s="650"/>
      <c r="F252" s="650"/>
      <c r="G252" s="652"/>
      <c r="H252" s="12" t="s">
        <v>2322</v>
      </c>
    </row>
    <row r="253" spans="1:8">
      <c r="A253" s="16"/>
      <c r="B253" s="650"/>
      <c r="C253" s="700" t="s">
        <v>154</v>
      </c>
      <c r="D253" s="673" t="s">
        <v>35</v>
      </c>
      <c r="E253" s="659">
        <v>0.8</v>
      </c>
      <c r="F253" s="659">
        <f>F162</f>
        <v>2046.91</v>
      </c>
      <c r="G253" s="53">
        <f>ROUND(E253*F253,2)</f>
        <v>1637.53</v>
      </c>
      <c r="H253" s="12" t="s">
        <v>2322</v>
      </c>
    </row>
    <row r="254" spans="1:8">
      <c r="A254" s="16"/>
      <c r="B254" s="650"/>
      <c r="C254" s="700" t="s">
        <v>112</v>
      </c>
      <c r="D254" s="673" t="s">
        <v>35</v>
      </c>
      <c r="E254" s="659">
        <v>0.4</v>
      </c>
      <c r="F254" s="659">
        <f>F163</f>
        <v>1720.9999999999998</v>
      </c>
      <c r="G254" s="53">
        <f>ROUND(E254*F254,2)</f>
        <v>688.4</v>
      </c>
      <c r="H254" s="12" t="s">
        <v>2322</v>
      </c>
    </row>
    <row r="255" spans="1:8">
      <c r="A255" s="673"/>
      <c r="B255" s="673"/>
      <c r="C255" s="700" t="s">
        <v>33</v>
      </c>
      <c r="D255" s="673" t="s">
        <v>4</v>
      </c>
      <c r="E255" s="659">
        <f>E227</f>
        <v>340</v>
      </c>
      <c r="F255" s="659">
        <f>F164</f>
        <v>4700</v>
      </c>
      <c r="G255" s="53">
        <f>ROUND(E255*F255/1000,2)</f>
        <v>1598</v>
      </c>
      <c r="H255" s="12" t="s">
        <v>2322</v>
      </c>
    </row>
    <row r="256" spans="1:8">
      <c r="A256" s="673"/>
      <c r="B256" s="673"/>
      <c r="C256" s="573" t="s">
        <v>68</v>
      </c>
      <c r="D256" s="673"/>
      <c r="E256" s="659"/>
      <c r="F256" s="659"/>
      <c r="G256" s="53"/>
      <c r="H256" s="12" t="s">
        <v>2322</v>
      </c>
    </row>
    <row r="257" spans="1:8">
      <c r="A257" s="673"/>
      <c r="B257" s="673"/>
      <c r="C257" s="700" t="s">
        <v>64</v>
      </c>
      <c r="D257" s="673" t="s">
        <v>27</v>
      </c>
      <c r="E257" s="532">
        <v>0.1</v>
      </c>
      <c r="F257" s="659">
        <f>'MINI SSR 2022-23 (2)'!$H$3</f>
        <v>630</v>
      </c>
      <c r="G257" s="53">
        <f>ROUND(E257*F257,2)</f>
        <v>63</v>
      </c>
      <c r="H257" s="12" t="s">
        <v>2322</v>
      </c>
    </row>
    <row r="258" spans="1:8">
      <c r="A258" s="673"/>
      <c r="B258" s="673"/>
      <c r="C258" s="700" t="s">
        <v>69</v>
      </c>
      <c r="D258" s="673" t="s">
        <v>27</v>
      </c>
      <c r="E258" s="532">
        <v>1.39</v>
      </c>
      <c r="F258" s="659">
        <f>'MINI SSR 2022-23 (2)'!$H$4</f>
        <v>565</v>
      </c>
      <c r="G258" s="53">
        <f>ROUND(E258*F258,2)</f>
        <v>785.35</v>
      </c>
      <c r="H258" s="12" t="s">
        <v>2322</v>
      </c>
    </row>
    <row r="259" spans="1:8">
      <c r="A259" s="673"/>
      <c r="B259" s="673"/>
      <c r="C259" s="573" t="s">
        <v>61</v>
      </c>
      <c r="D259" s="673"/>
      <c r="E259" s="659"/>
      <c r="F259" s="659"/>
      <c r="G259" s="53"/>
      <c r="H259" s="12" t="s">
        <v>2322</v>
      </c>
    </row>
    <row r="260" spans="1:8">
      <c r="A260" s="673"/>
      <c r="B260" s="673"/>
      <c r="C260" s="700" t="s">
        <v>62</v>
      </c>
      <c r="D260" s="673" t="s">
        <v>21</v>
      </c>
      <c r="E260" s="532">
        <v>0.308</v>
      </c>
      <c r="F260" s="659">
        <f>'MINI SSR 2022-23 (2)'!$C$30</f>
        <v>667.5</v>
      </c>
      <c r="G260" s="53">
        <f>ROUND(E260*F260,2)</f>
        <v>205.59</v>
      </c>
      <c r="H260" s="12" t="s">
        <v>2322</v>
      </c>
    </row>
    <row r="261" spans="1:8">
      <c r="A261" s="673"/>
      <c r="B261" s="673"/>
      <c r="C261" s="700" t="s">
        <v>160</v>
      </c>
      <c r="D261" s="673" t="s">
        <v>21</v>
      </c>
      <c r="E261" s="532">
        <v>0.308</v>
      </c>
      <c r="F261" s="659">
        <f>'MINI SSR 2022-23 (2)'!$C$31</f>
        <v>259.10000000000002</v>
      </c>
      <c r="G261" s="53">
        <f>ROUND(E261*F261,2)</f>
        <v>79.8</v>
      </c>
      <c r="H261" s="12" t="s">
        <v>2322</v>
      </c>
    </row>
    <row r="262" spans="1:8">
      <c r="A262" s="673"/>
      <c r="B262" s="673"/>
      <c r="C262" s="700" t="s">
        <v>57</v>
      </c>
      <c r="D262" s="673" t="s">
        <v>58</v>
      </c>
      <c r="E262" s="659">
        <v>1.2</v>
      </c>
      <c r="F262" s="10">
        <f>'MINI SSR 2022-23 (2)'!$C$29</f>
        <v>95</v>
      </c>
      <c r="G262" s="53">
        <f>ROUND(E262*F262,2)</f>
        <v>114</v>
      </c>
      <c r="H262" s="12" t="s">
        <v>2322</v>
      </c>
    </row>
    <row r="263" spans="1:8">
      <c r="A263" s="673"/>
      <c r="B263" s="673"/>
      <c r="C263" s="573" t="s">
        <v>71</v>
      </c>
      <c r="D263" s="673"/>
      <c r="E263" s="673"/>
      <c r="F263" s="673"/>
      <c r="G263" s="661">
        <f>SUM(G253:G262)</f>
        <v>5171.67</v>
      </c>
      <c r="H263" s="12" t="s">
        <v>2322</v>
      </c>
    </row>
    <row r="264" spans="1:8">
      <c r="A264" s="673"/>
      <c r="B264" s="673"/>
      <c r="C264" s="573"/>
      <c r="D264" s="673"/>
      <c r="E264" s="650" t="s">
        <v>161</v>
      </c>
      <c r="F264" s="650" t="s">
        <v>162</v>
      </c>
      <c r="G264" s="650" t="s">
        <v>162</v>
      </c>
      <c r="H264" s="12" t="s">
        <v>2322</v>
      </c>
    </row>
    <row r="265" spans="1:8">
      <c r="A265" s="673"/>
      <c r="B265" s="673"/>
      <c r="C265" s="573" t="s">
        <v>1297</v>
      </c>
      <c r="D265" s="673"/>
      <c r="E265" s="659">
        <f>G263</f>
        <v>5171.67</v>
      </c>
      <c r="F265" s="659">
        <f>G263</f>
        <v>5171.67</v>
      </c>
      <c r="G265" s="659">
        <f>F265</f>
        <v>5171.67</v>
      </c>
      <c r="H265" s="12" t="s">
        <v>2322</v>
      </c>
    </row>
    <row r="266" spans="1:8" ht="25.5">
      <c r="A266" s="673"/>
      <c r="B266" s="673"/>
      <c r="C266" s="700" t="s">
        <v>177</v>
      </c>
      <c r="D266" s="673"/>
      <c r="E266" s="659">
        <f>'MINI SSR 2022-23 (2)'!C53</f>
        <v>67</v>
      </c>
      <c r="F266" s="659">
        <f>E266</f>
        <v>67</v>
      </c>
      <c r="G266" s="659">
        <f>F266</f>
        <v>67</v>
      </c>
      <c r="H266" s="12" t="s">
        <v>2322</v>
      </c>
    </row>
    <row r="267" spans="1:8">
      <c r="A267" s="673"/>
      <c r="B267" s="673"/>
      <c r="C267" s="700" t="s">
        <v>178</v>
      </c>
      <c r="D267" s="673"/>
      <c r="E267" s="659">
        <f>'MINI SSR 2022-23 (2)'!D53</f>
        <v>363</v>
      </c>
      <c r="F267" s="659">
        <f>E267</f>
        <v>363</v>
      </c>
      <c r="G267" s="659">
        <f>F267</f>
        <v>363</v>
      </c>
      <c r="H267" s="12" t="s">
        <v>2322</v>
      </c>
    </row>
    <row r="268" spans="1:8" ht="25.5">
      <c r="A268" s="673"/>
      <c r="B268" s="673"/>
      <c r="C268" s="700" t="s">
        <v>1286</v>
      </c>
      <c r="D268" s="673"/>
      <c r="E268" s="673"/>
      <c r="F268" s="659">
        <f>ROUND((G257+G258+F267)*0.1,2)</f>
        <v>121.14</v>
      </c>
      <c r="G268" s="659">
        <f>ROUND((G257+G258+G267)*0.2,2)</f>
        <v>242.27</v>
      </c>
      <c r="H268" s="12" t="s">
        <v>2322</v>
      </c>
    </row>
    <row r="269" spans="1:8">
      <c r="A269" s="673"/>
      <c r="B269" s="673"/>
      <c r="C269" s="573" t="s">
        <v>182</v>
      </c>
      <c r="D269" s="673"/>
      <c r="E269" s="660">
        <f>SUM(E265:E268)</f>
        <v>5601.67</v>
      </c>
      <c r="F269" s="660">
        <f>SUM(F265:F268)</f>
        <v>5722.81</v>
      </c>
      <c r="G269" s="660">
        <f>SUM(G265:G268)</f>
        <v>5843.9400000000005</v>
      </c>
      <c r="H269" s="12" t="s">
        <v>2322</v>
      </c>
    </row>
    <row r="270" spans="1:8" ht="127.5">
      <c r="A270" s="16">
        <v>9</v>
      </c>
      <c r="B270" s="650" t="s">
        <v>1328</v>
      </c>
      <c r="C270" s="700" t="s">
        <v>1329</v>
      </c>
      <c r="D270" s="673"/>
      <c r="E270" s="673"/>
      <c r="F270" s="673"/>
      <c r="G270" s="650"/>
      <c r="H270" s="12" t="s">
        <v>2322</v>
      </c>
    </row>
    <row r="271" spans="1:8">
      <c r="A271" s="16"/>
      <c r="B271" s="650"/>
      <c r="C271" s="573" t="s">
        <v>36</v>
      </c>
      <c r="D271" s="673"/>
      <c r="E271" s="673"/>
      <c r="F271" s="673"/>
      <c r="G271" s="39"/>
      <c r="H271" s="12" t="s">
        <v>2322</v>
      </c>
    </row>
    <row r="272" spans="1:8">
      <c r="A272" s="16"/>
      <c r="B272" s="673"/>
      <c r="C272" s="573" t="s">
        <v>40</v>
      </c>
      <c r="D272" s="673"/>
      <c r="E272" s="673"/>
      <c r="F272" s="673"/>
      <c r="G272" s="39"/>
      <c r="H272" s="12" t="s">
        <v>2322</v>
      </c>
    </row>
    <row r="273" spans="1:8">
      <c r="A273" s="16"/>
      <c r="B273" s="674" t="s">
        <v>18</v>
      </c>
      <c r="C273" s="573" t="s">
        <v>22</v>
      </c>
      <c r="D273" s="673"/>
      <c r="E273" s="673"/>
      <c r="F273" s="673"/>
      <c r="G273" s="39"/>
      <c r="H273" s="12" t="s">
        <v>2322</v>
      </c>
    </row>
    <row r="274" spans="1:8">
      <c r="A274" s="39"/>
      <c r="B274" s="39"/>
      <c r="C274" s="700" t="s">
        <v>37</v>
      </c>
      <c r="D274" s="10" t="s">
        <v>34</v>
      </c>
      <c r="E274" s="698">
        <v>1</v>
      </c>
      <c r="F274" s="10">
        <f>'lead 22-23 P-B'!L9</f>
        <v>76110</v>
      </c>
      <c r="G274" s="53">
        <f>ROUND(E274*F274,2)</f>
        <v>76110</v>
      </c>
      <c r="H274" s="12" t="s">
        <v>2322</v>
      </c>
    </row>
    <row r="275" spans="1:8">
      <c r="A275" s="39"/>
      <c r="B275" s="39"/>
      <c r="C275" s="700" t="s">
        <v>38</v>
      </c>
      <c r="D275" s="16" t="s">
        <v>4</v>
      </c>
      <c r="E275" s="10">
        <v>6</v>
      </c>
      <c r="F275" s="10">
        <f>'MINI SSR 2022-23 (2)'!C32</f>
        <v>70</v>
      </c>
      <c r="G275" s="53">
        <f>ROUND(E275*F275,2)</f>
        <v>420</v>
      </c>
      <c r="H275" s="12" t="s">
        <v>2322</v>
      </c>
    </row>
    <row r="276" spans="1:8" ht="25.5">
      <c r="A276" s="39"/>
      <c r="B276" s="674" t="s">
        <v>20</v>
      </c>
      <c r="C276" s="573" t="s">
        <v>1273</v>
      </c>
      <c r="D276" s="16"/>
      <c r="E276" s="16"/>
      <c r="F276" s="16"/>
      <c r="G276" s="39"/>
      <c r="H276" s="12" t="s">
        <v>2322</v>
      </c>
    </row>
    <row r="277" spans="1:8">
      <c r="A277" s="39"/>
      <c r="B277" s="39"/>
      <c r="C277" s="700" t="s">
        <v>120</v>
      </c>
      <c r="D277" s="16" t="s">
        <v>27</v>
      </c>
      <c r="E277" s="10">
        <v>10</v>
      </c>
      <c r="F277" s="10">
        <f>'MINI SSR 2022-23 (2)'!H6</f>
        <v>750</v>
      </c>
      <c r="G277" s="53">
        <f>ROUND(E277*F277,2)</f>
        <v>7500</v>
      </c>
      <c r="H277" s="12" t="s">
        <v>2322</v>
      </c>
    </row>
    <row r="278" spans="1:8">
      <c r="A278" s="39"/>
      <c r="B278" s="39"/>
      <c r="C278" s="700" t="s">
        <v>19</v>
      </c>
      <c r="D278" s="16" t="s">
        <v>27</v>
      </c>
      <c r="E278" s="10">
        <v>10</v>
      </c>
      <c r="F278" s="10">
        <f>'MINI SSR 2022-23 (2)'!$H$5</f>
        <v>525</v>
      </c>
      <c r="G278" s="53">
        <f>ROUND(E278*F278,2)</f>
        <v>5250</v>
      </c>
      <c r="H278" s="12" t="s">
        <v>2322</v>
      </c>
    </row>
    <row r="279" spans="1:8">
      <c r="A279" s="39"/>
      <c r="B279" s="39"/>
      <c r="C279" s="573" t="s">
        <v>39</v>
      </c>
      <c r="D279" s="16"/>
      <c r="E279" s="10"/>
      <c r="F279" s="10"/>
      <c r="G279" s="675">
        <f>SUM(G274:G278)</f>
        <v>89280</v>
      </c>
      <c r="H279" s="12" t="s">
        <v>2322</v>
      </c>
    </row>
    <row r="280" spans="1:8">
      <c r="A280" s="673"/>
      <c r="B280" s="673"/>
      <c r="C280" s="573"/>
      <c r="D280" s="673"/>
      <c r="E280" s="650" t="s">
        <v>161</v>
      </c>
      <c r="F280" s="660" t="s">
        <v>162</v>
      </c>
      <c r="G280" s="660" t="s">
        <v>163</v>
      </c>
      <c r="H280" s="12" t="s">
        <v>2322</v>
      </c>
    </row>
    <row r="281" spans="1:8">
      <c r="A281" s="673"/>
      <c r="B281" s="673"/>
      <c r="C281" s="573" t="s">
        <v>867</v>
      </c>
      <c r="D281" s="673"/>
      <c r="E281" s="659">
        <f>G279</f>
        <v>89280</v>
      </c>
      <c r="F281" s="652">
        <f>E281</f>
        <v>89280</v>
      </c>
      <c r="G281" s="652">
        <f>F281</f>
        <v>89280</v>
      </c>
      <c r="H281" s="12" t="s">
        <v>2322</v>
      </c>
    </row>
    <row r="282" spans="1:8" ht="25.5">
      <c r="A282" s="673"/>
      <c r="B282" s="673"/>
      <c r="C282" s="700" t="s">
        <v>1286</v>
      </c>
      <c r="D282" s="673"/>
      <c r="E282" s="673"/>
      <c r="F282" s="652">
        <f>ROUND((G277+G278)*10%,2)</f>
        <v>1275</v>
      </c>
      <c r="G282" s="652">
        <f>ROUND((G277+G278)*20%,2)</f>
        <v>2550</v>
      </c>
      <c r="H282" s="12" t="s">
        <v>2322</v>
      </c>
    </row>
    <row r="283" spans="1:8">
      <c r="A283" s="673"/>
      <c r="B283" s="673"/>
      <c r="C283" s="573" t="s">
        <v>894</v>
      </c>
      <c r="D283" s="673"/>
      <c r="E283" s="660">
        <f>SUM(E281:E282)</f>
        <v>89280</v>
      </c>
      <c r="F283" s="661">
        <f>SUM(F281:F282)</f>
        <v>90555</v>
      </c>
      <c r="G283" s="661">
        <f>SUM(G281:G282)</f>
        <v>91830</v>
      </c>
      <c r="H283" s="12" t="s">
        <v>2322</v>
      </c>
    </row>
    <row r="284" spans="1:8" s="227" customFormat="1" ht="204">
      <c r="A284" s="677">
        <v>20</v>
      </c>
      <c r="B284" s="678" t="s">
        <v>1330</v>
      </c>
      <c r="C284" s="678" t="s">
        <v>1331</v>
      </c>
      <c r="D284" s="607"/>
      <c r="E284" s="607"/>
      <c r="F284" s="607"/>
      <c r="G284" s="679"/>
      <c r="H284" s="12" t="s">
        <v>2322</v>
      </c>
    </row>
    <row r="285" spans="1:8" s="227" customFormat="1">
      <c r="A285" s="677"/>
      <c r="B285" s="680"/>
      <c r="C285" s="678" t="s">
        <v>1332</v>
      </c>
      <c r="D285" s="677"/>
      <c r="E285" s="569"/>
      <c r="F285" s="570"/>
      <c r="G285" s="679"/>
      <c r="H285" s="12" t="s">
        <v>2322</v>
      </c>
    </row>
    <row r="286" spans="1:8" s="227" customFormat="1">
      <c r="A286" s="677"/>
      <c r="B286" s="678"/>
      <c r="C286" s="678" t="s">
        <v>1333</v>
      </c>
      <c r="D286" s="677"/>
      <c r="E286" s="569"/>
      <c r="F286" s="570"/>
      <c r="G286" s="679"/>
      <c r="H286" s="12" t="s">
        <v>2322</v>
      </c>
    </row>
    <row r="287" spans="1:8" s="227" customFormat="1" ht="25.5">
      <c r="A287" s="677"/>
      <c r="B287" s="678"/>
      <c r="C287" s="678" t="s">
        <v>1334</v>
      </c>
      <c r="D287" s="677" t="s">
        <v>34</v>
      </c>
      <c r="E287" s="569">
        <v>1.0249999999999999</v>
      </c>
      <c r="F287" s="570">
        <f>'lead 22-23 P-B'!L10</f>
        <v>72570</v>
      </c>
      <c r="G287" s="679">
        <f>ROUND(F287*E287,2)</f>
        <v>74384.25</v>
      </c>
      <c r="H287" s="12" t="s">
        <v>2322</v>
      </c>
    </row>
    <row r="288" spans="1:8" s="227" customFormat="1" ht="25.5">
      <c r="A288" s="677"/>
      <c r="B288" s="678"/>
      <c r="C288" s="678" t="s">
        <v>1335</v>
      </c>
      <c r="D288" s="677" t="s">
        <v>1336</v>
      </c>
      <c r="E288" s="569">
        <v>70</v>
      </c>
      <c r="F288" s="570">
        <f>'MINI SSR 2022-23 (2)'!C33</f>
        <v>16</v>
      </c>
      <c r="G288" s="679">
        <f>ROUND(F288*E288,2)</f>
        <v>1120</v>
      </c>
      <c r="H288" s="12" t="s">
        <v>2322</v>
      </c>
    </row>
    <row r="289" spans="1:8" s="227" customFormat="1" ht="25.5">
      <c r="A289" s="677"/>
      <c r="B289" s="678"/>
      <c r="C289" s="678" t="s">
        <v>1337</v>
      </c>
      <c r="D289" s="677" t="s">
        <v>90</v>
      </c>
      <c r="E289" s="569">
        <v>3</v>
      </c>
      <c r="F289" s="570">
        <f>'MINI SSR 2022-23 (2)'!C32</f>
        <v>70</v>
      </c>
      <c r="G289" s="679">
        <f>ROUND(F289*E289,2)</f>
        <v>210</v>
      </c>
      <c r="H289" s="12" t="s">
        <v>2322</v>
      </c>
    </row>
    <row r="290" spans="1:8" s="227" customFormat="1" ht="25.5">
      <c r="A290" s="677"/>
      <c r="B290" s="678"/>
      <c r="C290" s="678" t="s">
        <v>1338</v>
      </c>
      <c r="D290" s="677"/>
      <c r="E290" s="569"/>
      <c r="F290" s="570"/>
      <c r="G290" s="679"/>
      <c r="H290" s="12" t="s">
        <v>2322</v>
      </c>
    </row>
    <row r="291" spans="1:8" s="227" customFormat="1">
      <c r="A291" s="677"/>
      <c r="B291" s="678"/>
      <c r="C291" s="678" t="s">
        <v>1339</v>
      </c>
      <c r="D291" s="677" t="s">
        <v>27</v>
      </c>
      <c r="E291" s="569">
        <v>2.5</v>
      </c>
      <c r="F291" s="681">
        <f>'MINI SSR 2022-23 (2)'!H10</f>
        <v>615</v>
      </c>
      <c r="G291" s="679">
        <f>ROUND(F291*E291,2)</f>
        <v>1537.5</v>
      </c>
      <c r="H291" s="12" t="s">
        <v>2322</v>
      </c>
    </row>
    <row r="292" spans="1:8" s="227" customFormat="1">
      <c r="A292" s="677"/>
      <c r="B292" s="678"/>
      <c r="C292" s="678" t="s">
        <v>1340</v>
      </c>
      <c r="D292" s="677" t="s">
        <v>27</v>
      </c>
      <c r="E292" s="569">
        <v>10</v>
      </c>
      <c r="F292" s="681">
        <f>'MINI SSR 2022-23 (2)'!H11</f>
        <v>590</v>
      </c>
      <c r="G292" s="679">
        <f>ROUND(F292*E292,2)</f>
        <v>5900</v>
      </c>
      <c r="H292" s="12" t="s">
        <v>2322</v>
      </c>
    </row>
    <row r="293" spans="1:8" s="227" customFormat="1">
      <c r="A293" s="677"/>
      <c r="B293" s="678"/>
      <c r="C293" s="678" t="s">
        <v>1341</v>
      </c>
      <c r="D293" s="677" t="s">
        <v>27</v>
      </c>
      <c r="E293" s="569">
        <v>10</v>
      </c>
      <c r="F293" s="681">
        <f>'MINI SSR 2022-23 (2)'!H5</f>
        <v>525</v>
      </c>
      <c r="G293" s="679">
        <f>ROUND(F293*E293,2)</f>
        <v>5250</v>
      </c>
      <c r="H293" s="12" t="s">
        <v>2322</v>
      </c>
    </row>
    <row r="294" spans="1:8" s="227" customFormat="1" ht="25.5">
      <c r="A294" s="677"/>
      <c r="B294" s="678"/>
      <c r="C294" s="678" t="s">
        <v>1342</v>
      </c>
      <c r="D294" s="677" t="s">
        <v>1343</v>
      </c>
      <c r="E294" s="569">
        <v>10</v>
      </c>
      <c r="F294" s="681">
        <f>'MINI SSR 2022-23 (2)'!C34</f>
        <v>117.7</v>
      </c>
      <c r="G294" s="679">
        <f>ROUND(F294*E294,2)</f>
        <v>1177</v>
      </c>
      <c r="H294" s="12" t="s">
        <v>2322</v>
      </c>
    </row>
    <row r="295" spans="1:8" s="227" customFormat="1">
      <c r="A295" s="677"/>
      <c r="B295" s="678"/>
      <c r="C295" s="678" t="s">
        <v>1344</v>
      </c>
      <c r="D295" s="677"/>
      <c r="E295" s="569"/>
      <c r="F295" s="570"/>
      <c r="G295" s="682">
        <f>SUM(G287:G294)</f>
        <v>89578.75</v>
      </c>
      <c r="H295" s="12" t="s">
        <v>2322</v>
      </c>
    </row>
    <row r="296" spans="1:8" s="227" customFormat="1">
      <c r="A296" s="677"/>
      <c r="B296" s="678"/>
      <c r="C296" s="678" t="s">
        <v>1345</v>
      </c>
      <c r="D296" s="677"/>
      <c r="E296" s="569"/>
      <c r="F296" s="570"/>
      <c r="G296" s="682">
        <f>ROUND(G295/1000,2)</f>
        <v>89.58</v>
      </c>
      <c r="H296" s="12" t="s">
        <v>2322</v>
      </c>
    </row>
    <row r="297" spans="1:8" ht="63.75">
      <c r="A297" s="16">
        <v>11</v>
      </c>
      <c r="B297" s="650"/>
      <c r="C297" s="700" t="s">
        <v>185</v>
      </c>
      <c r="D297" s="673"/>
      <c r="E297" s="673"/>
      <c r="F297" s="673"/>
      <c r="G297" s="39"/>
      <c r="H297" s="12" t="s">
        <v>2322</v>
      </c>
    </row>
    <row r="298" spans="1:8">
      <c r="A298" s="16"/>
      <c r="B298" s="650"/>
      <c r="C298" s="573" t="s">
        <v>186</v>
      </c>
      <c r="D298" s="673"/>
      <c r="E298" s="673"/>
      <c r="F298" s="673"/>
      <c r="G298" s="39"/>
      <c r="H298" s="12" t="s">
        <v>2322</v>
      </c>
    </row>
    <row r="299" spans="1:8">
      <c r="A299" s="16"/>
      <c r="B299" s="674" t="s">
        <v>18</v>
      </c>
      <c r="C299" s="573" t="s">
        <v>22</v>
      </c>
      <c r="D299" s="673"/>
      <c r="E299" s="673"/>
      <c r="F299" s="673"/>
      <c r="G299" s="39"/>
      <c r="H299" s="12" t="s">
        <v>2322</v>
      </c>
    </row>
    <row r="300" spans="1:8" ht="25.5">
      <c r="A300" s="39"/>
      <c r="B300" s="39"/>
      <c r="C300" s="700" t="s">
        <v>187</v>
      </c>
      <c r="D300" s="16" t="s">
        <v>4</v>
      </c>
      <c r="E300" s="541">
        <v>1.0249999999999999</v>
      </c>
      <c r="F300" s="10">
        <f>'lead 22-23 P-B'!L10/1000</f>
        <v>72.569999999999993</v>
      </c>
      <c r="G300" s="53">
        <f>ROUND(E300*F300,2)</f>
        <v>74.38</v>
      </c>
      <c r="H300" s="12" t="s">
        <v>2322</v>
      </c>
    </row>
    <row r="301" spans="1:8">
      <c r="A301" s="39"/>
      <c r="B301" s="674" t="s">
        <v>20</v>
      </c>
      <c r="C301" s="700" t="s">
        <v>188</v>
      </c>
      <c r="D301" s="16" t="s">
        <v>4</v>
      </c>
      <c r="E301" s="10">
        <v>1</v>
      </c>
      <c r="F301" s="10">
        <f>'MINI SSR 2022-23 (2)'!C35</f>
        <v>30</v>
      </c>
      <c r="G301" s="53">
        <f>ROUND(E301*F301,2)</f>
        <v>30</v>
      </c>
      <c r="H301" s="12" t="s">
        <v>2322</v>
      </c>
    </row>
    <row r="302" spans="1:8">
      <c r="A302" s="39"/>
      <c r="B302" s="39"/>
      <c r="C302" s="700" t="s">
        <v>189</v>
      </c>
      <c r="D302" s="16" t="s">
        <v>27</v>
      </c>
      <c r="E302" s="10">
        <v>1</v>
      </c>
      <c r="F302" s="10">
        <f>'MINI SSR 2022-23 (2)'!C36</f>
        <v>6</v>
      </c>
      <c r="G302" s="53">
        <f>ROUND(E302*F302,2)</f>
        <v>6</v>
      </c>
      <c r="H302" s="12" t="s">
        <v>2322</v>
      </c>
    </row>
    <row r="303" spans="1:8">
      <c r="A303" s="39"/>
      <c r="B303" s="39"/>
      <c r="C303" s="573" t="s">
        <v>190</v>
      </c>
      <c r="D303" s="16"/>
      <c r="E303" s="10"/>
      <c r="F303" s="10"/>
      <c r="G303" s="675">
        <f>SUM(G300:G302)</f>
        <v>110.38</v>
      </c>
      <c r="H303" s="12" t="s">
        <v>2322</v>
      </c>
    </row>
    <row r="304" spans="1:8" ht="114.75">
      <c r="A304" s="16">
        <v>5</v>
      </c>
      <c r="B304" s="650"/>
      <c r="C304" s="700" t="s">
        <v>969</v>
      </c>
      <c r="D304" s="673"/>
      <c r="E304" s="673"/>
      <c r="F304" s="673"/>
      <c r="G304" s="39"/>
      <c r="H304" s="12" t="s">
        <v>2322</v>
      </c>
    </row>
    <row r="305" spans="1:8">
      <c r="A305" s="16"/>
      <c r="B305" s="674" t="s">
        <v>18</v>
      </c>
      <c r="C305" s="573" t="s">
        <v>22</v>
      </c>
      <c r="D305" s="673"/>
      <c r="E305" s="673"/>
      <c r="F305" s="673"/>
      <c r="G305" s="39"/>
      <c r="H305" s="12" t="s">
        <v>2322</v>
      </c>
    </row>
    <row r="306" spans="1:8">
      <c r="A306" s="39"/>
      <c r="B306" s="39"/>
      <c r="C306" s="700" t="s">
        <v>934</v>
      </c>
      <c r="D306" s="16" t="s">
        <v>4</v>
      </c>
      <c r="E306" s="541">
        <v>43.51</v>
      </c>
      <c r="F306" s="10">
        <f>'lead 22-23 P-B'!L10/1000</f>
        <v>72.569999999999993</v>
      </c>
      <c r="G306" s="53">
        <f>ROUND(E306*F306,2)</f>
        <v>3157.52</v>
      </c>
      <c r="H306" s="12" t="s">
        <v>2322</v>
      </c>
    </row>
    <row r="307" spans="1:8">
      <c r="A307" s="39"/>
      <c r="B307" s="39"/>
      <c r="C307" s="700" t="s">
        <v>935</v>
      </c>
      <c r="D307" s="16" t="s">
        <v>4</v>
      </c>
      <c r="E307" s="541">
        <v>14.4</v>
      </c>
      <c r="F307" s="10">
        <f>'lead 22-23 P-B'!L9/1000</f>
        <v>76.11</v>
      </c>
      <c r="G307" s="53">
        <f>ROUND(E307*F307,2)</f>
        <v>1095.98</v>
      </c>
      <c r="H307" s="12" t="s">
        <v>2322</v>
      </c>
    </row>
    <row r="308" spans="1:8">
      <c r="A308" s="39"/>
      <c r="B308" s="674" t="s">
        <v>20</v>
      </c>
      <c r="C308" s="700" t="s">
        <v>188</v>
      </c>
      <c r="D308" s="16" t="s">
        <v>4</v>
      </c>
      <c r="E308" s="10">
        <f>SUM(E306:E307)</f>
        <v>57.91</v>
      </c>
      <c r="F308" s="10">
        <f>'MINI SSR 2022-23 (2)'!C35</f>
        <v>30</v>
      </c>
      <c r="G308" s="53">
        <f>ROUND(E308*F308,2)</f>
        <v>1737.3</v>
      </c>
      <c r="H308" s="12" t="s">
        <v>2322</v>
      </c>
    </row>
    <row r="309" spans="1:8">
      <c r="A309" s="39"/>
      <c r="B309" s="39"/>
      <c r="C309" s="700" t="s">
        <v>189</v>
      </c>
      <c r="D309" s="16" t="s">
        <v>27</v>
      </c>
      <c r="E309" s="10">
        <f>E308</f>
        <v>57.91</v>
      </c>
      <c r="F309" s="10">
        <f>'MINI SSR 2022-23 (2)'!C36</f>
        <v>6</v>
      </c>
      <c r="G309" s="53">
        <f>ROUND(E309*F309,2)</f>
        <v>347.46</v>
      </c>
      <c r="H309" s="12" t="s">
        <v>2322</v>
      </c>
    </row>
    <row r="310" spans="1:8">
      <c r="A310" s="39"/>
      <c r="B310" s="39"/>
      <c r="C310" s="573" t="s">
        <v>936</v>
      </c>
      <c r="D310" s="16"/>
      <c r="E310" s="10"/>
      <c r="F310" s="10"/>
      <c r="G310" s="675">
        <f>SUM(G306:G309)</f>
        <v>6338.26</v>
      </c>
      <c r="H310" s="12" t="s">
        <v>2322</v>
      </c>
    </row>
    <row r="311" spans="1:8">
      <c r="A311" s="39"/>
      <c r="B311" s="39"/>
      <c r="C311" s="573" t="s">
        <v>121</v>
      </c>
      <c r="D311" s="16"/>
      <c r="E311" s="10"/>
      <c r="F311" s="10"/>
      <c r="G311" s="675">
        <f>ROUND(G310/2.025,2)</f>
        <v>3130</v>
      </c>
      <c r="H311" s="12" t="s">
        <v>2322</v>
      </c>
    </row>
    <row r="312" spans="1:8" ht="51">
      <c r="A312" s="16">
        <v>23</v>
      </c>
      <c r="B312" s="650"/>
      <c r="C312" s="700" t="s">
        <v>627</v>
      </c>
      <c r="D312" s="673"/>
      <c r="E312" s="673"/>
      <c r="F312" s="673"/>
      <c r="G312" s="39"/>
      <c r="H312" s="12" t="s">
        <v>2322</v>
      </c>
    </row>
    <row r="313" spans="1:8">
      <c r="A313" s="16"/>
      <c r="B313" s="650"/>
      <c r="C313" s="573" t="s">
        <v>186</v>
      </c>
      <c r="D313" s="673"/>
      <c r="E313" s="673"/>
      <c r="F313" s="673"/>
      <c r="G313" s="39"/>
      <c r="H313" s="12" t="s">
        <v>2322</v>
      </c>
    </row>
    <row r="314" spans="1:8">
      <c r="A314" s="16"/>
      <c r="B314" s="674" t="s">
        <v>18</v>
      </c>
      <c r="C314" s="573" t="s">
        <v>22</v>
      </c>
      <c r="D314" s="673"/>
      <c r="E314" s="673"/>
      <c r="F314" s="673"/>
      <c r="G314" s="39"/>
      <c r="H314" s="12" t="s">
        <v>2322</v>
      </c>
    </row>
    <row r="315" spans="1:8">
      <c r="A315" s="39"/>
      <c r="B315" s="39"/>
      <c r="C315" s="700" t="s">
        <v>628</v>
      </c>
      <c r="D315" s="16" t="s">
        <v>4</v>
      </c>
      <c r="E315" s="541">
        <v>1.0249999999999999</v>
      </c>
      <c r="F315" s="10">
        <f>'MINI SSR 2022-23 (2)'!C37</f>
        <v>76</v>
      </c>
      <c r="G315" s="53">
        <f>ROUND(E315*F315,2)</f>
        <v>77.900000000000006</v>
      </c>
      <c r="H315" s="12" t="s">
        <v>2322</v>
      </c>
    </row>
    <row r="316" spans="1:8">
      <c r="A316" s="39"/>
      <c r="B316" s="674" t="s">
        <v>20</v>
      </c>
      <c r="C316" s="700" t="s">
        <v>629</v>
      </c>
      <c r="D316" s="16" t="s">
        <v>4</v>
      </c>
      <c r="E316" s="10">
        <v>1</v>
      </c>
      <c r="F316" s="10">
        <f>'MINI SSR 2022-23 (2)'!C38</f>
        <v>26</v>
      </c>
      <c r="G316" s="53">
        <f>ROUND(E316*F316,2)</f>
        <v>26</v>
      </c>
      <c r="H316" s="12" t="s">
        <v>2322</v>
      </c>
    </row>
    <row r="317" spans="1:8">
      <c r="A317" s="39"/>
      <c r="B317" s="39"/>
      <c r="C317" s="700" t="s">
        <v>630</v>
      </c>
      <c r="D317" s="16" t="s">
        <v>27</v>
      </c>
      <c r="E317" s="10">
        <v>1</v>
      </c>
      <c r="F317" s="10">
        <f>'MINI SSR 2022-23 (2)'!C39</f>
        <v>23</v>
      </c>
      <c r="G317" s="53">
        <f>ROUND(E317*F317,2)</f>
        <v>23</v>
      </c>
      <c r="H317" s="12" t="s">
        <v>2322</v>
      </c>
    </row>
    <row r="318" spans="1:8">
      <c r="A318" s="39"/>
      <c r="B318" s="39"/>
      <c r="C318" s="573" t="s">
        <v>190</v>
      </c>
      <c r="D318" s="16"/>
      <c r="E318" s="10"/>
      <c r="F318" s="10"/>
      <c r="G318" s="675">
        <f>SUM(G315:G317)</f>
        <v>126.9</v>
      </c>
      <c r="H318" s="12" t="s">
        <v>2322</v>
      </c>
    </row>
    <row r="319" spans="1:8" s="956" customFormat="1" ht="191.25">
      <c r="A319" s="951">
        <v>1</v>
      </c>
      <c r="B319" s="1008"/>
      <c r="C319" s="985" t="s">
        <v>1298</v>
      </c>
      <c r="D319" s="1009"/>
      <c r="E319" s="1009"/>
      <c r="F319" s="1009"/>
      <c r="G319" s="957"/>
      <c r="H319" s="1010" t="s">
        <v>2322</v>
      </c>
    </row>
    <row r="320" spans="1:8" s="956" customFormat="1">
      <c r="A320" s="951"/>
      <c r="B320" s="1008"/>
      <c r="C320" s="1007" t="s">
        <v>919</v>
      </c>
      <c r="D320" s="1009"/>
      <c r="E320" s="1009"/>
      <c r="F320" s="1009"/>
      <c r="G320" s="1013"/>
      <c r="H320" s="1010" t="s">
        <v>2322</v>
      </c>
    </row>
    <row r="321" spans="1:8" s="956" customFormat="1">
      <c r="A321" s="957"/>
      <c r="B321" s="957"/>
      <c r="C321" s="985" t="s">
        <v>913</v>
      </c>
      <c r="D321" s="982">
        <v>4.5999999999999996</v>
      </c>
      <c r="E321" s="980">
        <v>2.39</v>
      </c>
      <c r="F321" s="982">
        <f>ROUND(D321*E321,2)</f>
        <v>10.99</v>
      </c>
      <c r="G321" s="1006"/>
      <c r="H321" s="1010" t="s">
        <v>2322</v>
      </c>
    </row>
    <row r="322" spans="1:8" s="956" customFormat="1">
      <c r="A322" s="957"/>
      <c r="B322" s="957"/>
      <c r="C322" s="985" t="s">
        <v>914</v>
      </c>
      <c r="D322" s="982">
        <v>11.7</v>
      </c>
      <c r="E322" s="980">
        <v>0.89</v>
      </c>
      <c r="F322" s="982">
        <f>ROUND(D322*E322,2)</f>
        <v>10.41</v>
      </c>
      <c r="G322" s="1006"/>
      <c r="H322" s="1010" t="s">
        <v>2322</v>
      </c>
    </row>
    <row r="323" spans="1:8" s="956" customFormat="1">
      <c r="A323" s="957"/>
      <c r="B323" s="957"/>
      <c r="C323" s="985"/>
      <c r="D323" s="951"/>
      <c r="E323" s="980"/>
      <c r="F323" s="1051">
        <f>SUM(F321:F322)</f>
        <v>21.4</v>
      </c>
      <c r="G323" s="1006"/>
      <c r="H323" s="1010" t="s">
        <v>2322</v>
      </c>
    </row>
    <row r="324" spans="1:8" s="956" customFormat="1">
      <c r="A324" s="957"/>
      <c r="B324" s="957"/>
      <c r="C324" s="985" t="s">
        <v>696</v>
      </c>
      <c r="D324" s="951" t="s">
        <v>4</v>
      </c>
      <c r="E324" s="980">
        <f>F323</f>
        <v>21.4</v>
      </c>
      <c r="F324" s="982">
        <f>'MINI SSR 2022-23 (2)'!C40</f>
        <v>414</v>
      </c>
      <c r="G324" s="1006">
        <f t="shared" ref="G324:G329" si="0">ROUND(E324*F324,2)</f>
        <v>8859.6</v>
      </c>
      <c r="H324" s="1010" t="s">
        <v>2322</v>
      </c>
    </row>
    <row r="325" spans="1:8" s="956" customFormat="1" ht="25.5">
      <c r="A325" s="957"/>
      <c r="B325" s="1011"/>
      <c r="C325" s="985" t="s">
        <v>697</v>
      </c>
      <c r="D325" s="951" t="s">
        <v>4</v>
      </c>
      <c r="E325" s="982">
        <f>E324</f>
        <v>21.4</v>
      </c>
      <c r="F325" s="982">
        <f>'MINI SSR 2022-23 (2)'!C41</f>
        <v>144</v>
      </c>
      <c r="G325" s="1006">
        <f t="shared" si="0"/>
        <v>3081.6</v>
      </c>
      <c r="H325" s="1010" t="s">
        <v>2322</v>
      </c>
    </row>
    <row r="326" spans="1:8" s="956" customFormat="1">
      <c r="A326" s="957"/>
      <c r="B326" s="1011"/>
      <c r="C326" s="985" t="s">
        <v>915</v>
      </c>
      <c r="D326" s="951" t="s">
        <v>277</v>
      </c>
      <c r="E326" s="982">
        <v>1.3</v>
      </c>
      <c r="F326" s="982">
        <f>'MINI SSR 2022-23 (2)'!C42</f>
        <v>220</v>
      </c>
      <c r="G326" s="1006">
        <f t="shared" si="0"/>
        <v>286</v>
      </c>
      <c r="H326" s="1010" t="s">
        <v>2322</v>
      </c>
    </row>
    <row r="327" spans="1:8" s="956" customFormat="1">
      <c r="A327" s="957"/>
      <c r="B327" s="1011"/>
      <c r="C327" s="985" t="s">
        <v>916</v>
      </c>
      <c r="D327" s="951" t="s">
        <v>115</v>
      </c>
      <c r="E327" s="982">
        <v>13</v>
      </c>
      <c r="F327" s="982">
        <v>80</v>
      </c>
      <c r="G327" s="1006">
        <f t="shared" si="0"/>
        <v>1040</v>
      </c>
      <c r="H327" s="1010" t="s">
        <v>2322</v>
      </c>
    </row>
    <row r="328" spans="1:8" s="956" customFormat="1">
      <c r="A328" s="957"/>
      <c r="B328" s="1011"/>
      <c r="C328" s="985" t="s">
        <v>917</v>
      </c>
      <c r="D328" s="951" t="s">
        <v>115</v>
      </c>
      <c r="E328" s="982">
        <v>13</v>
      </c>
      <c r="F328" s="982">
        <v>30</v>
      </c>
      <c r="G328" s="1006">
        <f t="shared" si="0"/>
        <v>390</v>
      </c>
      <c r="H328" s="1010" t="s">
        <v>2322</v>
      </c>
    </row>
    <row r="329" spans="1:8" s="956" customFormat="1">
      <c r="A329" s="957"/>
      <c r="B329" s="1011"/>
      <c r="C329" s="985" t="s">
        <v>918</v>
      </c>
      <c r="D329" s="951" t="s">
        <v>115</v>
      </c>
      <c r="E329" s="982">
        <v>13</v>
      </c>
      <c r="F329" s="982">
        <v>15</v>
      </c>
      <c r="G329" s="1006">
        <f t="shared" si="0"/>
        <v>195</v>
      </c>
      <c r="H329" s="1010" t="s">
        <v>2322</v>
      </c>
    </row>
    <row r="330" spans="1:8" s="956" customFormat="1">
      <c r="A330" s="957"/>
      <c r="B330" s="1011"/>
      <c r="C330" s="985" t="s">
        <v>920</v>
      </c>
      <c r="D330" s="951"/>
      <c r="E330" s="982"/>
      <c r="F330" s="982"/>
      <c r="G330" s="1006">
        <f>SUM(G324:G329)</f>
        <v>13852.2</v>
      </c>
      <c r="H330" s="1010" t="s">
        <v>2322</v>
      </c>
    </row>
    <row r="331" spans="1:8" s="956" customFormat="1">
      <c r="A331" s="957"/>
      <c r="B331" s="1011"/>
      <c r="C331" s="985" t="s">
        <v>377</v>
      </c>
      <c r="D331" s="951"/>
      <c r="E331" s="982"/>
      <c r="F331" s="982"/>
      <c r="G331" s="1006">
        <f>ROUND(G330/4.6,2)</f>
        <v>3011.35</v>
      </c>
      <c r="H331" s="1010" t="s">
        <v>2322</v>
      </c>
    </row>
    <row r="332" spans="1:8" s="956" customFormat="1">
      <c r="A332" s="957"/>
      <c r="B332" s="957"/>
      <c r="C332" s="985" t="s">
        <v>921</v>
      </c>
      <c r="D332" s="951"/>
      <c r="E332" s="982"/>
      <c r="F332" s="982"/>
      <c r="G332" s="1012">
        <f>ROUND(G331/0.9,2)</f>
        <v>3345.94</v>
      </c>
      <c r="H332" s="1010" t="s">
        <v>2322</v>
      </c>
    </row>
    <row r="333" spans="1:8" ht="153">
      <c r="A333" s="16">
        <v>25</v>
      </c>
      <c r="B333" s="650"/>
      <c r="C333" s="700" t="s">
        <v>1299</v>
      </c>
      <c r="D333" s="673"/>
      <c r="E333" s="673"/>
      <c r="F333" s="673"/>
      <c r="G333" s="39"/>
      <c r="H333" s="12" t="s">
        <v>2322</v>
      </c>
    </row>
    <row r="334" spans="1:8">
      <c r="A334" s="16"/>
      <c r="B334" s="650"/>
      <c r="C334" s="573" t="s">
        <v>924</v>
      </c>
      <c r="D334" s="673"/>
      <c r="E334" s="673"/>
      <c r="F334" s="673"/>
      <c r="G334" s="652"/>
      <c r="H334" s="12" t="s">
        <v>2322</v>
      </c>
    </row>
    <row r="335" spans="1:8">
      <c r="A335" s="39"/>
      <c r="B335" s="39"/>
      <c r="C335" s="700" t="s">
        <v>922</v>
      </c>
      <c r="D335" s="10">
        <v>10</v>
      </c>
      <c r="E335" s="541">
        <v>2.39</v>
      </c>
      <c r="F335" s="10">
        <f>ROUND(D335*E335,2)</f>
        <v>23.9</v>
      </c>
      <c r="G335" s="53"/>
      <c r="H335" s="12" t="s">
        <v>2322</v>
      </c>
    </row>
    <row r="336" spans="1:8">
      <c r="A336" s="39"/>
      <c r="B336" s="39"/>
      <c r="C336" s="700" t="s">
        <v>923</v>
      </c>
      <c r="D336" s="10">
        <v>2.7</v>
      </c>
      <c r="E336" s="541">
        <v>0.89</v>
      </c>
      <c r="F336" s="10">
        <f>ROUND(D336*E336,2)</f>
        <v>2.4</v>
      </c>
      <c r="G336" s="53"/>
      <c r="H336" s="12" t="s">
        <v>2322</v>
      </c>
    </row>
    <row r="337" spans="1:8">
      <c r="A337" s="39"/>
      <c r="B337" s="39"/>
      <c r="C337" s="700"/>
      <c r="D337" s="16"/>
      <c r="E337" s="541"/>
      <c r="F337" s="683">
        <f>SUM(F335:F336)</f>
        <v>26.299999999999997</v>
      </c>
      <c r="G337" s="53"/>
      <c r="H337" s="12" t="s">
        <v>2322</v>
      </c>
    </row>
    <row r="338" spans="1:8">
      <c r="A338" s="39"/>
      <c r="B338" s="39"/>
      <c r="C338" s="700" t="s">
        <v>696</v>
      </c>
      <c r="D338" s="16" t="s">
        <v>4</v>
      </c>
      <c r="E338" s="541">
        <f>F337</f>
        <v>26.299999999999997</v>
      </c>
      <c r="F338" s="10">
        <f>'MINI SSR 2022-23 (2)'!$C$40</f>
        <v>414</v>
      </c>
      <c r="G338" s="53">
        <f>ROUND(E338*F338,2)</f>
        <v>10888.2</v>
      </c>
      <c r="H338" s="12" t="s">
        <v>2322</v>
      </c>
    </row>
    <row r="339" spans="1:8" ht="25.5">
      <c r="A339" s="39"/>
      <c r="B339" s="674"/>
      <c r="C339" s="700" t="s">
        <v>697</v>
      </c>
      <c r="D339" s="16" t="s">
        <v>4</v>
      </c>
      <c r="E339" s="10">
        <f>E338</f>
        <v>26.299999999999997</v>
      </c>
      <c r="F339" s="10">
        <f>'MINI SSR 2022-23 (2)'!$C$41</f>
        <v>144</v>
      </c>
      <c r="G339" s="53">
        <f>ROUND(E339*F339,2)</f>
        <v>3787.2</v>
      </c>
      <c r="H339" s="12" t="s">
        <v>2322</v>
      </c>
    </row>
    <row r="340" spans="1:8">
      <c r="A340" s="39"/>
      <c r="B340" s="674"/>
      <c r="C340" s="700" t="s">
        <v>927</v>
      </c>
      <c r="D340" s="16" t="s">
        <v>277</v>
      </c>
      <c r="E340" s="10">
        <v>0.9</v>
      </c>
      <c r="F340" s="10">
        <f>'MINI SSR 2022-23 (2)'!C42</f>
        <v>220</v>
      </c>
      <c r="G340" s="53">
        <f>ROUND(E340*F340,2)</f>
        <v>198</v>
      </c>
      <c r="H340" s="12" t="s">
        <v>2322</v>
      </c>
    </row>
    <row r="341" spans="1:8">
      <c r="A341" s="39"/>
      <c r="B341" s="674"/>
      <c r="C341" s="700" t="s">
        <v>925</v>
      </c>
      <c r="D341" s="16" t="s">
        <v>115</v>
      </c>
      <c r="E341" s="10">
        <v>9</v>
      </c>
      <c r="F341" s="10">
        <v>30</v>
      </c>
      <c r="G341" s="53">
        <f>ROUND(E341*F341,2)</f>
        <v>270</v>
      </c>
      <c r="H341" s="12" t="s">
        <v>2322</v>
      </c>
    </row>
    <row r="342" spans="1:8">
      <c r="A342" s="39"/>
      <c r="B342" s="674"/>
      <c r="C342" s="700" t="s">
        <v>926</v>
      </c>
      <c r="D342" s="16"/>
      <c r="E342" s="10"/>
      <c r="F342" s="10"/>
      <c r="G342" s="53">
        <f>SUM(G338:G341)</f>
        <v>15143.400000000001</v>
      </c>
      <c r="H342" s="12" t="s">
        <v>2322</v>
      </c>
    </row>
    <row r="343" spans="1:8">
      <c r="A343" s="39"/>
      <c r="B343" s="674"/>
      <c r="C343" s="700" t="s">
        <v>377</v>
      </c>
      <c r="D343" s="16"/>
      <c r="E343" s="10"/>
      <c r="F343" s="10"/>
      <c r="G343" s="675">
        <f>ROUND(G342/10,2)</f>
        <v>1514.34</v>
      </c>
      <c r="H343" s="12" t="s">
        <v>2322</v>
      </c>
    </row>
    <row r="344" spans="1:8" ht="51">
      <c r="A344" s="16">
        <v>25</v>
      </c>
      <c r="B344" s="650"/>
      <c r="C344" s="700" t="s">
        <v>2295</v>
      </c>
      <c r="D344" s="673"/>
      <c r="E344" s="673"/>
      <c r="F344" s="673"/>
      <c r="G344" s="39"/>
      <c r="H344" s="12" t="s">
        <v>2322</v>
      </c>
    </row>
    <row r="345" spans="1:8">
      <c r="A345" s="39"/>
      <c r="B345" s="39"/>
      <c r="C345" s="700" t="s">
        <v>696</v>
      </c>
      <c r="D345" s="16" t="s">
        <v>4</v>
      </c>
      <c r="E345" s="541">
        <v>1.0249999999999999</v>
      </c>
      <c r="F345" s="10">
        <f>'MINI SSR 2022-23 (2)'!$C$40</f>
        <v>414</v>
      </c>
      <c r="G345" s="53">
        <f>ROUND(E345*F345,2)</f>
        <v>424.35</v>
      </c>
      <c r="H345" s="12" t="s">
        <v>2322</v>
      </c>
    </row>
    <row r="346" spans="1:8" ht="25.5">
      <c r="A346" s="39"/>
      <c r="B346" s="674"/>
      <c r="C346" s="700" t="s">
        <v>697</v>
      </c>
      <c r="D346" s="16" t="s">
        <v>4</v>
      </c>
      <c r="E346" s="10">
        <v>1</v>
      </c>
      <c r="F346" s="10">
        <f>'MINI SSR 2022-23 (2)'!$C$41</f>
        <v>144</v>
      </c>
      <c r="G346" s="53">
        <f>ROUND(E346*F346,2)</f>
        <v>144</v>
      </c>
      <c r="H346" s="12" t="s">
        <v>2322</v>
      </c>
    </row>
    <row r="347" spans="1:8">
      <c r="A347" s="39"/>
      <c r="B347" s="674"/>
      <c r="C347" s="700" t="s">
        <v>2296</v>
      </c>
      <c r="D347" s="16"/>
      <c r="E347" s="10"/>
      <c r="F347" s="10"/>
      <c r="G347" s="675">
        <f>SUM(G345:G346)</f>
        <v>568.35</v>
      </c>
      <c r="H347" s="12" t="s">
        <v>2322</v>
      </c>
    </row>
    <row r="348" spans="1:8" ht="51">
      <c r="A348" s="16">
        <v>26</v>
      </c>
      <c r="B348" s="650" t="s">
        <v>1346</v>
      </c>
      <c r="C348" s="700" t="s">
        <v>1186</v>
      </c>
      <c r="D348" s="673"/>
      <c r="E348" s="673"/>
      <c r="F348" s="673"/>
      <c r="G348" s="650"/>
      <c r="H348" s="12" t="s">
        <v>2322</v>
      </c>
    </row>
    <row r="349" spans="1:8">
      <c r="A349" s="16"/>
      <c r="B349" s="650"/>
      <c r="C349" s="573" t="s">
        <v>84</v>
      </c>
      <c r="D349" s="673"/>
      <c r="E349" s="673"/>
      <c r="F349" s="673"/>
      <c r="G349" s="652"/>
      <c r="H349" s="12" t="s">
        <v>2322</v>
      </c>
    </row>
    <row r="350" spans="1:8">
      <c r="A350" s="16"/>
      <c r="B350" s="650"/>
      <c r="C350" s="573" t="s">
        <v>60</v>
      </c>
      <c r="D350" s="673"/>
      <c r="E350" s="673"/>
      <c r="F350" s="673"/>
      <c r="G350" s="652"/>
      <c r="H350" s="12" t="s">
        <v>2322</v>
      </c>
    </row>
    <row r="351" spans="1:8">
      <c r="A351" s="16"/>
      <c r="B351" s="650"/>
      <c r="C351" s="700" t="s">
        <v>33</v>
      </c>
      <c r="D351" s="673" t="s">
        <v>4</v>
      </c>
      <c r="E351" s="659">
        <v>59.4</v>
      </c>
      <c r="F351" s="659">
        <f>'lead 22-23 P-B'!L8</f>
        <v>4700</v>
      </c>
      <c r="G351" s="53">
        <f>ROUND(E351*F351/1000,2)</f>
        <v>279.18</v>
      </c>
      <c r="H351" s="12" t="s">
        <v>2322</v>
      </c>
    </row>
    <row r="352" spans="1:8">
      <c r="A352" s="16"/>
      <c r="B352" s="650"/>
      <c r="C352" s="700" t="s">
        <v>1194</v>
      </c>
      <c r="D352" s="673" t="s">
        <v>35</v>
      </c>
      <c r="E352" s="684">
        <v>1.1000000000000001</v>
      </c>
      <c r="F352" s="659">
        <f>'lead 22-23 P-B'!L21</f>
        <v>1039.9000000000001</v>
      </c>
      <c r="G352" s="53">
        <f>ROUND(E352*F352,2)</f>
        <v>1143.8900000000001</v>
      </c>
      <c r="H352" s="12" t="s">
        <v>2322</v>
      </c>
    </row>
    <row r="353" spans="1:8">
      <c r="A353" s="16"/>
      <c r="B353" s="650"/>
      <c r="C353" s="700" t="s">
        <v>1218</v>
      </c>
      <c r="D353" s="673" t="s">
        <v>35</v>
      </c>
      <c r="E353" s="659">
        <v>0.33</v>
      </c>
      <c r="F353" s="659">
        <f>'lead 22-23 P-B'!L12</f>
        <v>1815.9999999999998</v>
      </c>
      <c r="G353" s="53">
        <f>ROUND(E353*F353,2)</f>
        <v>599.28</v>
      </c>
      <c r="H353" s="12" t="s">
        <v>2322</v>
      </c>
    </row>
    <row r="354" spans="1:8">
      <c r="A354" s="673"/>
      <c r="B354" s="673"/>
      <c r="C354" s="573" t="s">
        <v>68</v>
      </c>
      <c r="D354" s="673"/>
      <c r="E354" s="659"/>
      <c r="F354" s="659"/>
      <c r="G354" s="53"/>
      <c r="H354" s="12" t="s">
        <v>2322</v>
      </c>
    </row>
    <row r="355" spans="1:8">
      <c r="A355" s="673"/>
      <c r="B355" s="673"/>
      <c r="C355" s="700" t="s">
        <v>64</v>
      </c>
      <c r="D355" s="673" t="s">
        <v>27</v>
      </c>
      <c r="E355" s="659">
        <v>1.2</v>
      </c>
      <c r="F355" s="659">
        <f>'MINI SSR 2022-23 (2)'!$H$3</f>
        <v>630</v>
      </c>
      <c r="G355" s="53">
        <f>ROUND(E355*F355,2)</f>
        <v>756</v>
      </c>
      <c r="H355" s="12" t="s">
        <v>2322</v>
      </c>
    </row>
    <row r="356" spans="1:8">
      <c r="A356" s="673"/>
      <c r="B356" s="673"/>
      <c r="C356" s="700" t="s">
        <v>85</v>
      </c>
      <c r="D356" s="673" t="s">
        <v>27</v>
      </c>
      <c r="E356" s="659">
        <v>2</v>
      </c>
      <c r="F356" s="659">
        <f>'MINI SSR 2022-23 (2)'!$H$5</f>
        <v>525</v>
      </c>
      <c r="G356" s="53">
        <f>ROUND(E356*F356,2)</f>
        <v>1050</v>
      </c>
      <c r="H356" s="12" t="s">
        <v>2322</v>
      </c>
    </row>
    <row r="357" spans="1:8">
      <c r="A357" s="673"/>
      <c r="B357" s="673"/>
      <c r="C357" s="573" t="s">
        <v>86</v>
      </c>
      <c r="D357" s="673"/>
      <c r="E357" s="673"/>
      <c r="F357" s="673"/>
      <c r="G357" s="661">
        <f>SUM(G351:G356)</f>
        <v>3828.3500000000004</v>
      </c>
      <c r="H357" s="12" t="s">
        <v>2322</v>
      </c>
    </row>
    <row r="358" spans="1:8" ht="142.5">
      <c r="A358" s="16">
        <v>4</v>
      </c>
      <c r="B358" s="650" t="s">
        <v>83</v>
      </c>
      <c r="C358" s="700" t="s">
        <v>1300</v>
      </c>
      <c r="D358" s="673"/>
      <c r="E358" s="673"/>
      <c r="F358" s="673"/>
      <c r="G358" s="650"/>
      <c r="H358" s="12" t="s">
        <v>2322</v>
      </c>
    </row>
    <row r="359" spans="1:8">
      <c r="A359" s="16"/>
      <c r="B359" s="650"/>
      <c r="C359" s="573" t="s">
        <v>84</v>
      </c>
      <c r="D359" s="673"/>
      <c r="E359" s="673"/>
      <c r="F359" s="673"/>
      <c r="G359" s="652"/>
      <c r="H359" s="12" t="s">
        <v>2322</v>
      </c>
    </row>
    <row r="360" spans="1:8">
      <c r="A360" s="16"/>
      <c r="B360" s="650"/>
      <c r="C360" s="573" t="s">
        <v>60</v>
      </c>
      <c r="D360" s="673"/>
      <c r="E360" s="673"/>
      <c r="F360" s="673"/>
      <c r="G360" s="652"/>
      <c r="H360" s="12" t="s">
        <v>2322</v>
      </c>
    </row>
    <row r="361" spans="1:8">
      <c r="A361" s="16"/>
      <c r="B361" s="650"/>
      <c r="C361" s="700" t="s">
        <v>33</v>
      </c>
      <c r="D361" s="673" t="s">
        <v>4</v>
      </c>
      <c r="E361" s="659">
        <v>48</v>
      </c>
      <c r="F361" s="659">
        <f>'lead 22-23 P-B'!L8</f>
        <v>4700</v>
      </c>
      <c r="G361" s="53">
        <f>ROUND(E361*F361/1000,2)</f>
        <v>225.6</v>
      </c>
      <c r="H361" s="12" t="s">
        <v>2322</v>
      </c>
    </row>
    <row r="362" spans="1:8">
      <c r="A362" s="16"/>
      <c r="B362" s="650"/>
      <c r="C362" s="700" t="s">
        <v>1301</v>
      </c>
      <c r="D362" s="673" t="s">
        <v>11</v>
      </c>
      <c r="E362" s="535">
        <v>512</v>
      </c>
      <c r="F362" s="659">
        <f>'lead 22-23 P-B'!L15</f>
        <v>8716</v>
      </c>
      <c r="G362" s="53">
        <f>ROUND(E362*F362/1000,2)</f>
        <v>4462.59</v>
      </c>
      <c r="H362" s="12" t="s">
        <v>2322</v>
      </c>
    </row>
    <row r="363" spans="1:8">
      <c r="A363" s="16"/>
      <c r="B363" s="650"/>
      <c r="C363" s="700" t="s">
        <v>113</v>
      </c>
      <c r="D363" s="673" t="s">
        <v>35</v>
      </c>
      <c r="E363" s="659">
        <v>0.2</v>
      </c>
      <c r="F363" s="659">
        <f>'lead 22-23 P-B'!L12</f>
        <v>1815.9999999999998</v>
      </c>
      <c r="G363" s="53">
        <f>ROUND(E363*F363,2)</f>
        <v>363.2</v>
      </c>
      <c r="H363" s="12" t="s">
        <v>2322</v>
      </c>
    </row>
    <row r="364" spans="1:8">
      <c r="A364" s="673"/>
      <c r="B364" s="673"/>
      <c r="C364" s="573" t="s">
        <v>68</v>
      </c>
      <c r="D364" s="673"/>
      <c r="E364" s="659"/>
      <c r="F364" s="659"/>
      <c r="G364" s="53"/>
      <c r="H364" s="12" t="s">
        <v>2322</v>
      </c>
    </row>
    <row r="365" spans="1:8">
      <c r="A365" s="673"/>
      <c r="B365" s="673"/>
      <c r="C365" s="700" t="s">
        <v>64</v>
      </c>
      <c r="D365" s="673" t="s">
        <v>27</v>
      </c>
      <c r="E365" s="659">
        <v>0.24</v>
      </c>
      <c r="F365" s="659">
        <f>'MINI SSR 2022-23 (2)'!$H$3</f>
        <v>630</v>
      </c>
      <c r="G365" s="53">
        <f>ROUND(E365*F365,2)</f>
        <v>151.19999999999999</v>
      </c>
      <c r="H365" s="12" t="s">
        <v>2322</v>
      </c>
    </row>
    <row r="366" spans="1:8">
      <c r="A366" s="673"/>
      <c r="B366" s="673"/>
      <c r="C366" s="700" t="s">
        <v>69</v>
      </c>
      <c r="D366" s="673" t="s">
        <v>27</v>
      </c>
      <c r="E366" s="659">
        <v>0.56000000000000005</v>
      </c>
      <c r="F366" s="659">
        <f>'MINI SSR 2022-23 (2)'!$H$4</f>
        <v>565</v>
      </c>
      <c r="G366" s="53">
        <f>ROUND(E366*F366,2)</f>
        <v>316.39999999999998</v>
      </c>
      <c r="H366" s="12" t="s">
        <v>2322</v>
      </c>
    </row>
    <row r="367" spans="1:8">
      <c r="A367" s="673"/>
      <c r="B367" s="673"/>
      <c r="C367" s="700" t="s">
        <v>85</v>
      </c>
      <c r="D367" s="673" t="s">
        <v>27</v>
      </c>
      <c r="E367" s="659">
        <v>1.89</v>
      </c>
      <c r="F367" s="659">
        <f>'MINI SSR 2022-23 (2)'!$H$5</f>
        <v>525</v>
      </c>
      <c r="G367" s="53">
        <f>ROUND(E367*F367,2)</f>
        <v>992.25</v>
      </c>
      <c r="H367" s="12" t="s">
        <v>2322</v>
      </c>
    </row>
    <row r="368" spans="1:8">
      <c r="A368" s="673"/>
      <c r="B368" s="673"/>
      <c r="C368" s="573" t="s">
        <v>86</v>
      </c>
      <c r="D368" s="673"/>
      <c r="E368" s="673"/>
      <c r="F368" s="673"/>
      <c r="G368" s="661">
        <f>SUM(G361:G367)</f>
        <v>6511.24</v>
      </c>
      <c r="H368" s="12" t="s">
        <v>2322</v>
      </c>
    </row>
    <row r="369" spans="1:8">
      <c r="A369" s="673"/>
      <c r="B369" s="673"/>
      <c r="C369" s="573"/>
      <c r="D369" s="673"/>
      <c r="E369" s="650" t="s">
        <v>161</v>
      </c>
      <c r="F369" s="650" t="s">
        <v>162</v>
      </c>
      <c r="G369" s="660" t="s">
        <v>163</v>
      </c>
      <c r="H369" s="12" t="s">
        <v>2322</v>
      </c>
    </row>
    <row r="370" spans="1:8">
      <c r="A370" s="673"/>
      <c r="B370" s="673"/>
      <c r="C370" s="573" t="s">
        <v>192</v>
      </c>
      <c r="D370" s="673"/>
      <c r="E370" s="659">
        <f>G368</f>
        <v>6511.24</v>
      </c>
      <c r="F370" s="659">
        <f>E370</f>
        <v>6511.24</v>
      </c>
      <c r="G370" s="652">
        <f>F370</f>
        <v>6511.24</v>
      </c>
      <c r="H370" s="12" t="s">
        <v>2322</v>
      </c>
    </row>
    <row r="371" spans="1:8">
      <c r="A371" s="673"/>
      <c r="B371" s="673"/>
      <c r="C371" s="700" t="s">
        <v>191</v>
      </c>
      <c r="D371" s="532">
        <v>4.3499999999999996</v>
      </c>
      <c r="E371" s="673">
        <f>ROUND(D371*'MINI SSR 2022-23 (2)'!E30,2)</f>
        <v>46.89</v>
      </c>
      <c r="F371" s="673">
        <f>E371</f>
        <v>46.89</v>
      </c>
      <c r="G371" s="673">
        <f>E371</f>
        <v>46.89</v>
      </c>
      <c r="H371" s="12" t="s">
        <v>2322</v>
      </c>
    </row>
    <row r="372" spans="1:8">
      <c r="A372" s="673"/>
      <c r="B372" s="673"/>
      <c r="C372" s="700" t="s">
        <v>193</v>
      </c>
      <c r="D372" s="532">
        <v>4.3499999999999996</v>
      </c>
      <c r="E372" s="673">
        <f>ROUND(D372*'MINI SSR 2022-23 (2)'!F30,2)</f>
        <v>368.1</v>
      </c>
      <c r="F372" s="673">
        <f>ROUND(D372*'MINI SSR 2022-23 (2)'!G30,2)</f>
        <v>527.13</v>
      </c>
      <c r="G372" s="673">
        <f>ROUND(D372*'MINI SSR 2022-23 (2)'!H30,2)</f>
        <v>686.08</v>
      </c>
      <c r="H372" s="12" t="s">
        <v>2322</v>
      </c>
    </row>
    <row r="373" spans="1:8" ht="25.5">
      <c r="A373" s="673"/>
      <c r="B373" s="673"/>
      <c r="C373" s="700" t="s">
        <v>1286</v>
      </c>
      <c r="D373" s="673"/>
      <c r="E373" s="673"/>
      <c r="F373" s="659">
        <f>ROUND((G365+G366+G367+F372)*0.1,2)</f>
        <v>198.7</v>
      </c>
      <c r="G373" s="659">
        <f>ROUND((G365+G366+G367+G372)*0.2,2)</f>
        <v>429.19</v>
      </c>
      <c r="H373" s="12" t="s">
        <v>2322</v>
      </c>
    </row>
    <row r="374" spans="1:8">
      <c r="A374" s="673"/>
      <c r="B374" s="673"/>
      <c r="C374" s="573" t="s">
        <v>86</v>
      </c>
      <c r="D374" s="673"/>
      <c r="E374" s="660">
        <f>SUM(E370:E373)</f>
        <v>6926.2300000000005</v>
      </c>
      <c r="F374" s="660">
        <f>SUM(F370:F373)</f>
        <v>7283.96</v>
      </c>
      <c r="G374" s="661">
        <f>SUM(G370:G373)</f>
        <v>7673.4</v>
      </c>
      <c r="H374" s="12" t="s">
        <v>2322</v>
      </c>
    </row>
    <row r="375" spans="1:8" ht="142.5">
      <c r="A375" s="16">
        <v>8</v>
      </c>
      <c r="B375" s="650" t="s">
        <v>1347</v>
      </c>
      <c r="C375" s="700" t="s">
        <v>1302</v>
      </c>
      <c r="D375" s="673"/>
      <c r="E375" s="673"/>
      <c r="F375" s="673"/>
      <c r="G375" s="650"/>
      <c r="H375" s="12" t="s">
        <v>2322</v>
      </c>
    </row>
    <row r="376" spans="1:8">
      <c r="A376" s="16"/>
      <c r="B376" s="650"/>
      <c r="C376" s="573" t="s">
        <v>84</v>
      </c>
      <c r="D376" s="673"/>
      <c r="E376" s="673"/>
      <c r="F376" s="673"/>
      <c r="G376" s="652"/>
      <c r="H376" s="12" t="s">
        <v>2322</v>
      </c>
    </row>
    <row r="377" spans="1:8">
      <c r="A377" s="16"/>
      <c r="B377" s="650"/>
      <c r="C377" s="573" t="s">
        <v>60</v>
      </c>
      <c r="D377" s="673"/>
      <c r="E377" s="673"/>
      <c r="F377" s="673"/>
      <c r="G377" s="652"/>
      <c r="H377" s="12" t="s">
        <v>2322</v>
      </c>
    </row>
    <row r="378" spans="1:8">
      <c r="A378" s="16"/>
      <c r="B378" s="650"/>
      <c r="C378" s="700" t="s">
        <v>33</v>
      </c>
      <c r="D378" s="673" t="s">
        <v>4</v>
      </c>
      <c r="E378" s="659">
        <v>36</v>
      </c>
      <c r="F378" s="659">
        <f>'lead 22-23 P-B'!L8</f>
        <v>4700</v>
      </c>
      <c r="G378" s="53">
        <f>ROUND(E378*F378/1000,2)</f>
        <v>169.2</v>
      </c>
      <c r="H378" s="12" t="s">
        <v>2322</v>
      </c>
    </row>
    <row r="379" spans="1:8">
      <c r="A379" s="16"/>
      <c r="B379" s="650"/>
      <c r="C379" s="700" t="s">
        <v>1301</v>
      </c>
      <c r="D379" s="673" t="s">
        <v>11</v>
      </c>
      <c r="E379" s="535">
        <v>512</v>
      </c>
      <c r="F379" s="659">
        <f>'lead 22-23 P-B'!L15</f>
        <v>8716</v>
      </c>
      <c r="G379" s="53">
        <f>ROUND(E379*F379/1000,2)</f>
        <v>4462.59</v>
      </c>
      <c r="H379" s="12" t="s">
        <v>2322</v>
      </c>
    </row>
    <row r="380" spans="1:8">
      <c r="A380" s="16"/>
      <c r="B380" s="650"/>
      <c r="C380" s="700" t="s">
        <v>113</v>
      </c>
      <c r="D380" s="673" t="s">
        <v>35</v>
      </c>
      <c r="E380" s="659">
        <v>0.2</v>
      </c>
      <c r="F380" s="659">
        <f>'lead 22-23 P-B'!L12</f>
        <v>1815.9999999999998</v>
      </c>
      <c r="G380" s="53">
        <f>ROUND(E380*F380,2)</f>
        <v>363.2</v>
      </c>
      <c r="H380" s="12" t="s">
        <v>2322</v>
      </c>
    </row>
    <row r="381" spans="1:8">
      <c r="A381" s="673"/>
      <c r="B381" s="673"/>
      <c r="C381" s="573" t="s">
        <v>68</v>
      </c>
      <c r="D381" s="673"/>
      <c r="E381" s="659"/>
      <c r="F381" s="659"/>
      <c r="G381" s="53"/>
      <c r="H381" s="12" t="s">
        <v>2322</v>
      </c>
    </row>
    <row r="382" spans="1:8">
      <c r="A382" s="673"/>
      <c r="B382" s="673"/>
      <c r="C382" s="700" t="s">
        <v>64</v>
      </c>
      <c r="D382" s="673" t="s">
        <v>27</v>
      </c>
      <c r="E382" s="659">
        <v>0.24</v>
      </c>
      <c r="F382" s="659">
        <f>'MINI SSR 2022-23 (2)'!$H$3</f>
        <v>630</v>
      </c>
      <c r="G382" s="53">
        <f>ROUND(E382*F382,2)</f>
        <v>151.19999999999999</v>
      </c>
      <c r="H382" s="12" t="s">
        <v>2322</v>
      </c>
    </row>
    <row r="383" spans="1:8">
      <c r="A383" s="673"/>
      <c r="B383" s="673"/>
      <c r="C383" s="700" t="s">
        <v>69</v>
      </c>
      <c r="D383" s="673" t="s">
        <v>27</v>
      </c>
      <c r="E383" s="659">
        <v>0.56000000000000005</v>
      </c>
      <c r="F383" s="659">
        <f>'MINI SSR 2022-23 (2)'!$H$4</f>
        <v>565</v>
      </c>
      <c r="G383" s="53">
        <f>ROUND(E383*F383,2)</f>
        <v>316.39999999999998</v>
      </c>
      <c r="H383" s="12" t="s">
        <v>2322</v>
      </c>
    </row>
    <row r="384" spans="1:8">
      <c r="A384" s="673"/>
      <c r="B384" s="673"/>
      <c r="C384" s="700" t="s">
        <v>85</v>
      </c>
      <c r="D384" s="673" t="s">
        <v>27</v>
      </c>
      <c r="E384" s="659">
        <v>1.89</v>
      </c>
      <c r="F384" s="659">
        <f>'MINI SSR 2022-23 (2)'!$H$5</f>
        <v>525</v>
      </c>
      <c r="G384" s="53">
        <f>ROUND(E384*F384,2)</f>
        <v>992.25</v>
      </c>
      <c r="H384" s="12" t="s">
        <v>2322</v>
      </c>
    </row>
    <row r="385" spans="1:8">
      <c r="A385" s="673"/>
      <c r="B385" s="673"/>
      <c r="C385" s="573" t="s">
        <v>86</v>
      </c>
      <c r="D385" s="673"/>
      <c r="E385" s="673"/>
      <c r="F385" s="673"/>
      <c r="G385" s="661">
        <f>SUM(G378:G384)</f>
        <v>6454.8399999999992</v>
      </c>
      <c r="H385" s="12" t="s">
        <v>2322</v>
      </c>
    </row>
    <row r="386" spans="1:8">
      <c r="A386" s="673"/>
      <c r="B386" s="673"/>
      <c r="C386" s="573"/>
      <c r="D386" s="673"/>
      <c r="E386" s="650" t="s">
        <v>161</v>
      </c>
      <c r="F386" s="650" t="s">
        <v>162</v>
      </c>
      <c r="G386" s="660" t="s">
        <v>163</v>
      </c>
      <c r="H386" s="12" t="s">
        <v>2322</v>
      </c>
    </row>
    <row r="387" spans="1:8">
      <c r="A387" s="673"/>
      <c r="B387" s="673"/>
      <c r="C387" s="573" t="s">
        <v>192</v>
      </c>
      <c r="D387" s="673"/>
      <c r="E387" s="659">
        <f>G385</f>
        <v>6454.8399999999992</v>
      </c>
      <c r="F387" s="659">
        <f>E387</f>
        <v>6454.8399999999992</v>
      </c>
      <c r="G387" s="652">
        <f>F387</f>
        <v>6454.8399999999992</v>
      </c>
      <c r="H387" s="12" t="s">
        <v>2322</v>
      </c>
    </row>
    <row r="388" spans="1:8">
      <c r="A388" s="673"/>
      <c r="B388" s="673"/>
      <c r="C388" s="700" t="s">
        <v>191</v>
      </c>
      <c r="D388" s="532">
        <v>4.3499999999999996</v>
      </c>
      <c r="E388" s="673">
        <f>ROUND(D388*'MINI SSR 2022-23 (2)'!E30,2)</f>
        <v>46.89</v>
      </c>
      <c r="F388" s="673">
        <f>E388</f>
        <v>46.89</v>
      </c>
      <c r="G388" s="673">
        <f>F388</f>
        <v>46.89</v>
      </c>
      <c r="H388" s="12" t="s">
        <v>2322</v>
      </c>
    </row>
    <row r="389" spans="1:8">
      <c r="A389" s="673"/>
      <c r="B389" s="673"/>
      <c r="C389" s="700" t="s">
        <v>193</v>
      </c>
      <c r="D389" s="532">
        <v>4.3499999999999996</v>
      </c>
      <c r="E389" s="673">
        <f>ROUND(D389*'MINI SSR 2022-23 (2)'!F30,2)</f>
        <v>368.1</v>
      </c>
      <c r="F389" s="673">
        <f>ROUND(D389*'MINI SSR 2022-23 (2)'!G30,2)</f>
        <v>527.13</v>
      </c>
      <c r="G389" s="673">
        <f>ROUND(D389*'MINI SSR 2022-23 (2)'!H30,2)</f>
        <v>686.08</v>
      </c>
      <c r="H389" s="12" t="s">
        <v>2322</v>
      </c>
    </row>
    <row r="390" spans="1:8" ht="25.5">
      <c r="A390" s="673"/>
      <c r="B390" s="673"/>
      <c r="C390" s="700" t="s">
        <v>1286</v>
      </c>
      <c r="D390" s="673"/>
      <c r="E390" s="673"/>
      <c r="F390" s="659">
        <f>ROUND((G382+G383+G384+F389)*0.1,2)</f>
        <v>198.7</v>
      </c>
      <c r="G390" s="659">
        <f>ROUND((G382+G383+G384+G389)*0.2,2)</f>
        <v>429.19</v>
      </c>
      <c r="H390" s="12" t="s">
        <v>2322</v>
      </c>
    </row>
    <row r="391" spans="1:8">
      <c r="A391" s="673"/>
      <c r="B391" s="673"/>
      <c r="C391" s="573" t="s">
        <v>86</v>
      </c>
      <c r="D391" s="673"/>
      <c r="E391" s="660">
        <f>SUM(E387:E390)</f>
        <v>6869.83</v>
      </c>
      <c r="F391" s="660">
        <f>SUM(F387:F390)</f>
        <v>7227.5599999999995</v>
      </c>
      <c r="G391" s="661">
        <f>SUM(G387:G390)</f>
        <v>7616.9999999999991</v>
      </c>
      <c r="H391" s="12" t="s">
        <v>2322</v>
      </c>
    </row>
    <row r="392" spans="1:8" ht="102">
      <c r="A392" s="16">
        <v>13</v>
      </c>
      <c r="B392" s="650" t="s">
        <v>221</v>
      </c>
      <c r="C392" s="700" t="s">
        <v>1318</v>
      </c>
      <c r="D392" s="673"/>
      <c r="E392" s="673"/>
      <c r="F392" s="673"/>
      <c r="G392" s="650"/>
      <c r="H392" s="12" t="s">
        <v>2322</v>
      </c>
    </row>
    <row r="393" spans="1:8">
      <c r="A393" s="16"/>
      <c r="B393" s="650"/>
      <c r="C393" s="573" t="s">
        <v>222</v>
      </c>
      <c r="D393" s="673"/>
      <c r="E393" s="673"/>
      <c r="F393" s="673"/>
      <c r="G393" s="652"/>
      <c r="H393" s="12" t="s">
        <v>2322</v>
      </c>
    </row>
    <row r="394" spans="1:8">
      <c r="A394" s="16"/>
      <c r="B394" s="650"/>
      <c r="C394" s="573" t="s">
        <v>60</v>
      </c>
      <c r="D394" s="673"/>
      <c r="E394" s="673"/>
      <c r="F394" s="673"/>
      <c r="G394" s="652"/>
      <c r="H394" s="12" t="s">
        <v>2322</v>
      </c>
    </row>
    <row r="395" spans="1:8">
      <c r="A395" s="16"/>
      <c r="B395" s="650"/>
      <c r="C395" s="700" t="s">
        <v>33</v>
      </c>
      <c r="D395" s="673" t="s">
        <v>4</v>
      </c>
      <c r="E395" s="659">
        <v>106</v>
      </c>
      <c r="F395" s="659">
        <f>'lead 22-23 P-B'!L8</f>
        <v>4700</v>
      </c>
      <c r="G395" s="53">
        <f>ROUND(E395*F395/1000,2)</f>
        <v>498.2</v>
      </c>
      <c r="H395" s="12" t="s">
        <v>2322</v>
      </c>
    </row>
    <row r="396" spans="1:8">
      <c r="A396" s="16"/>
      <c r="B396" s="650"/>
      <c r="C396" s="700" t="s">
        <v>1303</v>
      </c>
      <c r="D396" s="673" t="s">
        <v>11</v>
      </c>
      <c r="E396" s="535">
        <v>565</v>
      </c>
      <c r="F396" s="659">
        <f>'lead 22-23 P-B'!L15</f>
        <v>8716</v>
      </c>
      <c r="G396" s="53">
        <f>ROUND(E396*F396/1000,2)</f>
        <v>4924.54</v>
      </c>
      <c r="H396" s="12" t="s">
        <v>2322</v>
      </c>
    </row>
    <row r="397" spans="1:8">
      <c r="A397" s="16"/>
      <c r="B397" s="650"/>
      <c r="C397" s="700" t="s">
        <v>113</v>
      </c>
      <c r="D397" s="673" t="s">
        <v>35</v>
      </c>
      <c r="E397" s="659">
        <v>0.22</v>
      </c>
      <c r="F397" s="659">
        <f>'lead 22-23 P-B'!L12</f>
        <v>1815.9999999999998</v>
      </c>
      <c r="G397" s="53">
        <f>ROUND(E397*F397,2)</f>
        <v>399.52</v>
      </c>
      <c r="H397" s="12" t="s">
        <v>2322</v>
      </c>
    </row>
    <row r="398" spans="1:8">
      <c r="A398" s="673"/>
      <c r="B398" s="673"/>
      <c r="C398" s="573" t="s">
        <v>68</v>
      </c>
      <c r="D398" s="673"/>
      <c r="E398" s="659"/>
      <c r="F398" s="659"/>
      <c r="G398" s="53"/>
      <c r="H398" s="12" t="s">
        <v>2322</v>
      </c>
    </row>
    <row r="399" spans="1:8">
      <c r="A399" s="673"/>
      <c r="B399" s="673"/>
      <c r="C399" s="700" t="s">
        <v>64</v>
      </c>
      <c r="D399" s="673" t="s">
        <v>27</v>
      </c>
      <c r="E399" s="659">
        <v>0.6</v>
      </c>
      <c r="F399" s="659">
        <f>'MINI SSR 2022-23 (2)'!$H$3</f>
        <v>630</v>
      </c>
      <c r="G399" s="53">
        <f>ROUND(E399*F399,2)</f>
        <v>378</v>
      </c>
      <c r="H399" s="12" t="s">
        <v>2322</v>
      </c>
    </row>
    <row r="400" spans="1:8">
      <c r="A400" s="673"/>
      <c r="B400" s="673"/>
      <c r="C400" s="700" t="s">
        <v>69</v>
      </c>
      <c r="D400" s="673" t="s">
        <v>27</v>
      </c>
      <c r="E400" s="659">
        <v>0.6</v>
      </c>
      <c r="F400" s="659">
        <f>'MINI SSR 2022-23 (2)'!$H$4</f>
        <v>565</v>
      </c>
      <c r="G400" s="53">
        <f>ROUND(E400*F400,2)</f>
        <v>339</v>
      </c>
      <c r="H400" s="12" t="s">
        <v>2322</v>
      </c>
    </row>
    <row r="401" spans="1:8">
      <c r="A401" s="673"/>
      <c r="B401" s="673"/>
      <c r="C401" s="700" t="s">
        <v>85</v>
      </c>
      <c r="D401" s="673" t="s">
        <v>27</v>
      </c>
      <c r="E401" s="659">
        <v>2.75</v>
      </c>
      <c r="F401" s="659">
        <f>'MINI SSR 2022-23 (2)'!$H$5</f>
        <v>525</v>
      </c>
      <c r="G401" s="53">
        <f>ROUND(E401*F401,2)</f>
        <v>1443.75</v>
      </c>
      <c r="H401" s="12" t="s">
        <v>2322</v>
      </c>
    </row>
    <row r="402" spans="1:8">
      <c r="A402" s="673"/>
      <c r="B402" s="673"/>
      <c r="C402" s="573" t="s">
        <v>88</v>
      </c>
      <c r="D402" s="673"/>
      <c r="E402" s="659"/>
      <c r="F402" s="659"/>
      <c r="G402" s="53">
        <f>SUM(G395:G401)</f>
        <v>7983.01</v>
      </c>
      <c r="H402" s="12" t="s">
        <v>2322</v>
      </c>
    </row>
    <row r="403" spans="1:8">
      <c r="A403" s="673"/>
      <c r="B403" s="673"/>
      <c r="C403" s="573"/>
      <c r="D403" s="673"/>
      <c r="E403" s="650" t="s">
        <v>161</v>
      </c>
      <c r="F403" s="660" t="s">
        <v>162</v>
      </c>
      <c r="G403" s="660" t="s">
        <v>163</v>
      </c>
      <c r="H403" s="12" t="s">
        <v>2322</v>
      </c>
    </row>
    <row r="404" spans="1:8">
      <c r="A404" s="673"/>
      <c r="B404" s="673"/>
      <c r="C404" s="573" t="s">
        <v>192</v>
      </c>
      <c r="D404" s="673"/>
      <c r="E404" s="659">
        <f>G402</f>
        <v>7983.01</v>
      </c>
      <c r="F404" s="652">
        <f>G402</f>
        <v>7983.01</v>
      </c>
      <c r="G404" s="652">
        <f>G402</f>
        <v>7983.01</v>
      </c>
      <c r="H404" s="12" t="s">
        <v>2322</v>
      </c>
    </row>
    <row r="405" spans="1:8">
      <c r="A405" s="673"/>
      <c r="B405" s="673"/>
      <c r="C405" s="700" t="s">
        <v>1649</v>
      </c>
      <c r="D405" s="532">
        <v>8.6999999999999993</v>
      </c>
      <c r="E405" s="673">
        <f>ROUND(D405*'MINI SSR 2022-23 (2)'!E30,2)</f>
        <v>93.79</v>
      </c>
      <c r="F405" s="676">
        <f>E405</f>
        <v>93.79</v>
      </c>
      <c r="G405" s="676">
        <f>F405</f>
        <v>93.79</v>
      </c>
      <c r="H405" s="12" t="s">
        <v>2322</v>
      </c>
    </row>
    <row r="406" spans="1:8">
      <c r="A406" s="673"/>
      <c r="B406" s="673"/>
      <c r="C406" s="700" t="s">
        <v>1650</v>
      </c>
      <c r="D406" s="532">
        <v>8.6999999999999993</v>
      </c>
      <c r="E406" s="659">
        <f>8.7*'MINI SSR 2022-23 (2)'!F30</f>
        <v>736.19399999999996</v>
      </c>
      <c r="F406" s="659">
        <f>8.7*'MINI SSR 2022-23 (2)'!G30</f>
        <v>1054.2660000000001</v>
      </c>
      <c r="G406" s="659">
        <f>8.7*'MINI SSR 2022-23 (2)'!H30</f>
        <v>1372.164</v>
      </c>
      <c r="H406" s="12" t="s">
        <v>2322</v>
      </c>
    </row>
    <row r="407" spans="1:8" ht="25.5">
      <c r="A407" s="673"/>
      <c r="B407" s="673"/>
      <c r="C407" s="700" t="s">
        <v>1286</v>
      </c>
      <c r="D407" s="673"/>
      <c r="E407" s="673"/>
      <c r="F407" s="685">
        <f>(SUM(G399:G401)+F406)*10%</f>
        <v>321.50160000000005</v>
      </c>
      <c r="G407" s="685">
        <f>(SUM(G399:G401)+G406)*20%</f>
        <v>706.58280000000002</v>
      </c>
      <c r="H407" s="12" t="s">
        <v>2322</v>
      </c>
    </row>
    <row r="408" spans="1:8">
      <c r="A408" s="673"/>
      <c r="B408" s="673"/>
      <c r="C408" s="573" t="s">
        <v>900</v>
      </c>
      <c r="D408" s="673"/>
      <c r="E408" s="660">
        <f>SUM(E404:E407)</f>
        <v>8812.9940000000006</v>
      </c>
      <c r="F408" s="661">
        <f>SUM(F404:F407)</f>
        <v>9452.5676000000003</v>
      </c>
      <c r="G408" s="661">
        <f>SUM(G404:G407)</f>
        <v>10155.5468</v>
      </c>
      <c r="H408" s="12" t="s">
        <v>2322</v>
      </c>
    </row>
    <row r="409" spans="1:8">
      <c r="A409" s="673"/>
      <c r="B409" s="673"/>
      <c r="C409" s="573" t="s">
        <v>121</v>
      </c>
      <c r="D409" s="673"/>
      <c r="E409" s="660">
        <f>ROUND(E408/10,2)</f>
        <v>881.3</v>
      </c>
      <c r="F409" s="661">
        <f>ROUND(F408/10,2)</f>
        <v>945.26</v>
      </c>
      <c r="G409" s="661">
        <f>ROUND(G408/10,2)</f>
        <v>1015.55</v>
      </c>
      <c r="H409" s="12" t="s">
        <v>2322</v>
      </c>
    </row>
    <row r="410" spans="1:8" ht="127.5">
      <c r="A410" s="16">
        <v>30</v>
      </c>
      <c r="B410" s="650" t="s">
        <v>1319</v>
      </c>
      <c r="C410" s="700" t="s">
        <v>1195</v>
      </c>
      <c r="D410" s="673"/>
      <c r="E410" s="673"/>
      <c r="F410" s="673"/>
      <c r="G410" s="650"/>
      <c r="H410" s="12" t="s">
        <v>2322</v>
      </c>
    </row>
    <row r="411" spans="1:8">
      <c r="A411" s="16"/>
      <c r="B411" s="650"/>
      <c r="C411" s="573" t="s">
        <v>84</v>
      </c>
      <c r="D411" s="673"/>
      <c r="E411" s="673"/>
      <c r="F411" s="673"/>
      <c r="G411" s="652"/>
      <c r="H411" s="12" t="s">
        <v>2322</v>
      </c>
    </row>
    <row r="412" spans="1:8">
      <c r="A412" s="16"/>
      <c r="B412" s="650"/>
      <c r="C412" s="573" t="s">
        <v>60</v>
      </c>
      <c r="D412" s="673"/>
      <c r="E412" s="673"/>
      <c r="F412" s="673"/>
      <c r="G412" s="652"/>
      <c r="H412" s="12" t="s">
        <v>2322</v>
      </c>
    </row>
    <row r="413" spans="1:8" ht="25.5">
      <c r="A413" s="16"/>
      <c r="B413" s="650"/>
      <c r="C413" s="700" t="s">
        <v>1198</v>
      </c>
      <c r="D413" s="673" t="s">
        <v>11</v>
      </c>
      <c r="E413" s="535">
        <v>110</v>
      </c>
      <c r="F413" s="659">
        <f>'MINI SSR 2022-23 (2)'!C27</f>
        <v>30</v>
      </c>
      <c r="G413" s="53">
        <f>ROUND(E413*F413,2)</f>
        <v>3300</v>
      </c>
      <c r="H413" s="12" t="s">
        <v>2322</v>
      </c>
    </row>
    <row r="414" spans="1:8">
      <c r="A414" s="16"/>
      <c r="B414" s="650"/>
      <c r="C414" s="700" t="s">
        <v>1196</v>
      </c>
      <c r="D414" s="673" t="s">
        <v>35</v>
      </c>
      <c r="E414" s="659">
        <v>0.1</v>
      </c>
      <c r="F414" s="659">
        <f>G24</f>
        <v>3139.8</v>
      </c>
      <c r="G414" s="53">
        <f>ROUND(E414*F414,2)</f>
        <v>313.98</v>
      </c>
      <c r="H414" s="12" t="s">
        <v>2322</v>
      </c>
    </row>
    <row r="415" spans="1:8">
      <c r="A415" s="673"/>
      <c r="B415" s="673"/>
      <c r="C415" s="573" t="s">
        <v>68</v>
      </c>
      <c r="D415" s="673"/>
      <c r="E415" s="659"/>
      <c r="F415" s="659"/>
      <c r="G415" s="53"/>
      <c r="H415" s="12" t="s">
        <v>2322</v>
      </c>
    </row>
    <row r="416" spans="1:8">
      <c r="A416" s="673"/>
      <c r="B416" s="673"/>
      <c r="C416" s="700" t="s">
        <v>64</v>
      </c>
      <c r="D416" s="673" t="s">
        <v>27</v>
      </c>
      <c r="E416" s="659">
        <v>0.42</v>
      </c>
      <c r="F416" s="659">
        <f>'MINI SSR 2022-23 (2)'!$H$3</f>
        <v>630</v>
      </c>
      <c r="G416" s="53">
        <f>ROUND(E416*F416,2)</f>
        <v>264.60000000000002</v>
      </c>
      <c r="H416" s="12" t="s">
        <v>2322</v>
      </c>
    </row>
    <row r="417" spans="1:8">
      <c r="A417" s="673"/>
      <c r="B417" s="673"/>
      <c r="C417" s="700" t="s">
        <v>69</v>
      </c>
      <c r="D417" s="673" t="s">
        <v>27</v>
      </c>
      <c r="E417" s="659">
        <v>0.92</v>
      </c>
      <c r="F417" s="659">
        <f>'MINI SSR 2022-23 (2)'!$H$4</f>
        <v>565</v>
      </c>
      <c r="G417" s="53">
        <f>ROUND(E417*F417,2)</f>
        <v>519.79999999999995</v>
      </c>
      <c r="H417" s="12" t="s">
        <v>2322</v>
      </c>
    </row>
    <row r="418" spans="1:8">
      <c r="A418" s="673"/>
      <c r="B418" s="673"/>
      <c r="C418" s="700" t="s">
        <v>375</v>
      </c>
      <c r="D418" s="673" t="s">
        <v>27</v>
      </c>
      <c r="E418" s="659">
        <v>0.7</v>
      </c>
      <c r="F418" s="659">
        <f>'MINI SSR 2022-23 (2)'!$H$5</f>
        <v>525</v>
      </c>
      <c r="G418" s="53">
        <f>ROUND(E418*F418,2)</f>
        <v>367.5</v>
      </c>
      <c r="H418" s="12" t="s">
        <v>2322</v>
      </c>
    </row>
    <row r="419" spans="1:8">
      <c r="A419" s="673"/>
      <c r="B419" s="673"/>
      <c r="C419" s="700" t="s">
        <v>1197</v>
      </c>
      <c r="D419" s="673" t="s">
        <v>27</v>
      </c>
      <c r="E419" s="659">
        <v>2.1</v>
      </c>
      <c r="F419" s="659">
        <f>'MINI SSR 2022-23 (2)'!$H$5</f>
        <v>525</v>
      </c>
      <c r="G419" s="53">
        <f>ROUND(E419*F419,2)</f>
        <v>1102.5</v>
      </c>
      <c r="H419" s="12" t="s">
        <v>2322</v>
      </c>
    </row>
    <row r="420" spans="1:8">
      <c r="A420" s="673"/>
      <c r="B420" s="673"/>
      <c r="C420" s="573" t="s">
        <v>86</v>
      </c>
      <c r="D420" s="673"/>
      <c r="E420" s="673"/>
      <c r="F420" s="673"/>
      <c r="G420" s="661">
        <f>SUM(G413:G419)</f>
        <v>5868.38</v>
      </c>
      <c r="H420" s="12" t="s">
        <v>2322</v>
      </c>
    </row>
    <row r="421" spans="1:8">
      <c r="A421" s="673"/>
      <c r="B421" s="673"/>
      <c r="C421" s="573"/>
      <c r="D421" s="673"/>
      <c r="E421" s="650" t="s">
        <v>161</v>
      </c>
      <c r="F421" s="660" t="s">
        <v>162</v>
      </c>
      <c r="G421" s="660" t="s">
        <v>163</v>
      </c>
      <c r="H421" s="12" t="s">
        <v>2322</v>
      </c>
    </row>
    <row r="422" spans="1:8">
      <c r="A422" s="673"/>
      <c r="B422" s="673"/>
      <c r="C422" s="573" t="s">
        <v>192</v>
      </c>
      <c r="D422" s="673"/>
      <c r="E422" s="659">
        <f>G420</f>
        <v>5868.38</v>
      </c>
      <c r="F422" s="652">
        <f>G420</f>
        <v>5868.38</v>
      </c>
      <c r="G422" s="652">
        <f>G420*1</f>
        <v>5868.38</v>
      </c>
      <c r="H422" s="12" t="s">
        <v>2322</v>
      </c>
    </row>
    <row r="423" spans="1:8">
      <c r="A423" s="673"/>
      <c r="B423" s="673"/>
      <c r="C423" s="700" t="s">
        <v>1651</v>
      </c>
      <c r="D423" s="532">
        <v>4.3499999999999996</v>
      </c>
      <c r="E423" s="673">
        <f>ROUND(10.32*D423,2)</f>
        <v>44.89</v>
      </c>
      <c r="F423" s="676">
        <f>E423</f>
        <v>44.89</v>
      </c>
      <c r="G423" s="676">
        <f>F423</f>
        <v>44.89</v>
      </c>
      <c r="H423" s="12" t="s">
        <v>2322</v>
      </c>
    </row>
    <row r="424" spans="1:8">
      <c r="A424" s="673"/>
      <c r="B424" s="673"/>
      <c r="C424" s="700" t="s">
        <v>1652</v>
      </c>
      <c r="D424" s="532">
        <v>4.3499999999999996</v>
      </c>
      <c r="E424" s="673">
        <f>ROUND('MINI SSR 2022-23 (2)'!F30*$D$424,2)</f>
        <v>368.1</v>
      </c>
      <c r="F424" s="673">
        <f>ROUND('MINI SSR 2022-23 (2)'!G30*$D$424,2)</f>
        <v>527.13</v>
      </c>
      <c r="G424" s="673">
        <f>ROUND('MINI SSR 2022-23 (2)'!H30*$D$424,2)</f>
        <v>686.08</v>
      </c>
      <c r="H424" s="12" t="s">
        <v>2322</v>
      </c>
    </row>
    <row r="425" spans="1:8" ht="25.5">
      <c r="A425" s="673"/>
      <c r="B425" s="673"/>
      <c r="C425" s="700" t="s">
        <v>1286</v>
      </c>
      <c r="D425" s="673"/>
      <c r="E425" s="673"/>
      <c r="F425" s="676">
        <f>ROUND((G416+G417+G419+G418+F424)*0.1,2)</f>
        <v>278.14999999999998</v>
      </c>
      <c r="G425" s="676">
        <f>ROUND((G416+G417+G419+G418+G424)*0.2,2)</f>
        <v>588.1</v>
      </c>
      <c r="H425" s="12" t="s">
        <v>2322</v>
      </c>
    </row>
    <row r="426" spans="1:8">
      <c r="A426" s="673"/>
      <c r="B426" s="673"/>
      <c r="C426" s="573" t="s">
        <v>86</v>
      </c>
      <c r="D426" s="673"/>
      <c r="E426" s="660">
        <f>SUM(E422:E425)</f>
        <v>6281.3700000000008</v>
      </c>
      <c r="F426" s="661">
        <f>SUM(F422:F425)</f>
        <v>6718.55</v>
      </c>
      <c r="G426" s="661">
        <f>SUM(G422:G425)</f>
        <v>7187.4500000000007</v>
      </c>
      <c r="H426" s="12" t="s">
        <v>2322</v>
      </c>
    </row>
    <row r="427" spans="1:8" ht="89.25">
      <c r="A427" s="16">
        <v>9</v>
      </c>
      <c r="B427" s="650" t="s">
        <v>87</v>
      </c>
      <c r="C427" s="700" t="s">
        <v>1304</v>
      </c>
      <c r="D427" s="673"/>
      <c r="E427" s="673"/>
      <c r="F427" s="673"/>
      <c r="G427" s="650"/>
      <c r="H427" s="12" t="s">
        <v>2322</v>
      </c>
    </row>
    <row r="428" spans="1:8">
      <c r="A428" s="16"/>
      <c r="B428" s="650"/>
      <c r="C428" s="573" t="s">
        <v>42</v>
      </c>
      <c r="D428" s="673"/>
      <c r="E428" s="673"/>
      <c r="F428" s="673"/>
      <c r="G428" s="652"/>
      <c r="H428" s="12" t="s">
        <v>2322</v>
      </c>
    </row>
    <row r="429" spans="1:8">
      <c r="A429" s="16"/>
      <c r="B429" s="650"/>
      <c r="C429" s="573" t="s">
        <v>60</v>
      </c>
      <c r="D429" s="650"/>
      <c r="E429" s="650"/>
      <c r="F429" s="650"/>
      <c r="G429" s="652"/>
      <c r="H429" s="12" t="s">
        <v>2322</v>
      </c>
    </row>
    <row r="430" spans="1:8">
      <c r="A430" s="16"/>
      <c r="B430" s="650"/>
      <c r="C430" s="700" t="s">
        <v>43</v>
      </c>
      <c r="D430" s="673" t="s">
        <v>35</v>
      </c>
      <c r="E430" s="659">
        <v>0.15</v>
      </c>
      <c r="F430" s="659">
        <f>G9</f>
        <v>4267.8</v>
      </c>
      <c r="G430" s="53">
        <f>ROUND(E430*F430,2)</f>
        <v>640.16999999999996</v>
      </c>
      <c r="H430" s="12" t="s">
        <v>2322</v>
      </c>
    </row>
    <row r="431" spans="1:8">
      <c r="A431" s="673"/>
      <c r="B431" s="673"/>
      <c r="C431" s="573" t="s">
        <v>68</v>
      </c>
      <c r="D431" s="673"/>
      <c r="E431" s="659"/>
      <c r="F431" s="659"/>
      <c r="G431" s="53"/>
      <c r="H431" s="12" t="s">
        <v>2322</v>
      </c>
    </row>
    <row r="432" spans="1:8">
      <c r="A432" s="673"/>
      <c r="B432" s="673"/>
      <c r="C432" s="700" t="s">
        <v>64</v>
      </c>
      <c r="D432" s="673" t="s">
        <v>27</v>
      </c>
      <c r="E432" s="659">
        <v>0.45</v>
      </c>
      <c r="F432" s="659">
        <f>'MINI SSR 2022-23 (2)'!$H$3</f>
        <v>630</v>
      </c>
      <c r="G432" s="53">
        <f>ROUND(E432*F432,2)</f>
        <v>283.5</v>
      </c>
      <c r="H432" s="12" t="s">
        <v>2322</v>
      </c>
    </row>
    <row r="433" spans="1:8">
      <c r="A433" s="673"/>
      <c r="B433" s="673"/>
      <c r="C433" s="700" t="s">
        <v>69</v>
      </c>
      <c r="D433" s="673" t="s">
        <v>27</v>
      </c>
      <c r="E433" s="659">
        <v>1.05</v>
      </c>
      <c r="F433" s="659">
        <f>'MINI SSR 2022-23 (2)'!$H$4</f>
        <v>565</v>
      </c>
      <c r="G433" s="53">
        <f>ROUND(E433*F433,2)</f>
        <v>593.25</v>
      </c>
      <c r="H433" s="12" t="s">
        <v>2322</v>
      </c>
    </row>
    <row r="434" spans="1:8">
      <c r="A434" s="673"/>
      <c r="B434" s="673"/>
      <c r="C434" s="700" t="s">
        <v>85</v>
      </c>
      <c r="D434" s="673" t="s">
        <v>27</v>
      </c>
      <c r="E434" s="659">
        <v>2.8</v>
      </c>
      <c r="F434" s="659">
        <f>'MINI SSR 2022-23 (2)'!$H$5</f>
        <v>525</v>
      </c>
      <c r="G434" s="53">
        <f>ROUND(E434*F434,2)</f>
        <v>1470</v>
      </c>
      <c r="H434" s="12" t="s">
        <v>2322</v>
      </c>
    </row>
    <row r="435" spans="1:8">
      <c r="A435" s="673"/>
      <c r="B435" s="673"/>
      <c r="C435" s="573" t="s">
        <v>88</v>
      </c>
      <c r="D435" s="673"/>
      <c r="E435" s="673"/>
      <c r="F435" s="673"/>
      <c r="G435" s="675">
        <f>SUM(G430:G434)</f>
        <v>2986.92</v>
      </c>
      <c r="H435" s="12" t="s">
        <v>2322</v>
      </c>
    </row>
    <row r="436" spans="1:8">
      <c r="A436" s="673"/>
      <c r="B436" s="673"/>
      <c r="C436" s="573"/>
      <c r="D436" s="673"/>
      <c r="E436" s="650" t="s">
        <v>161</v>
      </c>
      <c r="F436" s="650" t="s">
        <v>162</v>
      </c>
      <c r="G436" s="660" t="s">
        <v>163</v>
      </c>
      <c r="H436" s="12" t="s">
        <v>2322</v>
      </c>
    </row>
    <row r="437" spans="1:8">
      <c r="A437" s="673"/>
      <c r="B437" s="673"/>
      <c r="C437" s="573" t="s">
        <v>1274</v>
      </c>
      <c r="D437" s="673"/>
      <c r="E437" s="659">
        <f>G435</f>
        <v>2986.92</v>
      </c>
      <c r="F437" s="659">
        <f>G435</f>
        <v>2986.92</v>
      </c>
      <c r="G437" s="652">
        <f>G435</f>
        <v>2986.92</v>
      </c>
      <c r="H437" s="12" t="s">
        <v>2322</v>
      </c>
    </row>
    <row r="438" spans="1:8">
      <c r="A438" s="673"/>
      <c r="B438" s="673"/>
      <c r="C438" s="700" t="s">
        <v>1653</v>
      </c>
      <c r="D438" s="659">
        <v>10</v>
      </c>
      <c r="E438" s="659">
        <f>ROUND(D438*'MINI SSR 2022-23 (2)'!E33,2)</f>
        <v>25.7</v>
      </c>
      <c r="F438" s="659">
        <f>E438</f>
        <v>25.7</v>
      </c>
      <c r="G438" s="652">
        <f>E438</f>
        <v>25.7</v>
      </c>
      <c r="H438" s="12" t="s">
        <v>2322</v>
      </c>
    </row>
    <row r="439" spans="1:8">
      <c r="A439" s="673"/>
      <c r="B439" s="673"/>
      <c r="C439" s="700" t="s">
        <v>1654</v>
      </c>
      <c r="D439" s="659">
        <v>10</v>
      </c>
      <c r="E439" s="659">
        <f>ROUND(D439*'MINI SSR 2022-23 (2)'!F33,2)</f>
        <v>169.4</v>
      </c>
      <c r="F439" s="659">
        <f>ROUND(D439*'MINI SSR 2022-23 (2)'!G33,2)</f>
        <v>240.4</v>
      </c>
      <c r="G439" s="652">
        <f>ROUND(D439*'MINI SSR 2022-23 (2)'!H33,2)</f>
        <v>311.3</v>
      </c>
      <c r="H439" s="12" t="s">
        <v>2322</v>
      </c>
    </row>
    <row r="440" spans="1:8" ht="25.5">
      <c r="A440" s="673"/>
      <c r="B440" s="673"/>
      <c r="C440" s="700" t="s">
        <v>1286</v>
      </c>
      <c r="D440" s="673"/>
      <c r="E440" s="673"/>
      <c r="F440" s="659">
        <f>ROUND((G432+G433+G434+F439)*0.1,2)</f>
        <v>258.72000000000003</v>
      </c>
      <c r="G440" s="652">
        <f>ROUND((G432+G433+G434+G439)*0.2,2)</f>
        <v>531.61</v>
      </c>
      <c r="H440" s="12" t="s">
        <v>2322</v>
      </c>
    </row>
    <row r="441" spans="1:8">
      <c r="A441" s="673"/>
      <c r="B441" s="673"/>
      <c r="C441" s="573" t="s">
        <v>88</v>
      </c>
      <c r="D441" s="673"/>
      <c r="E441" s="659">
        <f>SUM(E437:E440)</f>
        <v>3182.02</v>
      </c>
      <c r="F441" s="659">
        <f>SUM(F437:F440)</f>
        <v>3511.74</v>
      </c>
      <c r="G441" s="652">
        <f>SUM(G437:G440)</f>
        <v>3855.53</v>
      </c>
      <c r="H441" s="12" t="s">
        <v>2322</v>
      </c>
    </row>
    <row r="442" spans="1:8">
      <c r="A442" s="673"/>
      <c r="B442" s="673"/>
      <c r="C442" s="573" t="s">
        <v>121</v>
      </c>
      <c r="D442" s="673"/>
      <c r="E442" s="660">
        <f>ROUND(E441/10,2)</f>
        <v>318.2</v>
      </c>
      <c r="F442" s="660">
        <f>ROUND(F441/10,2)</f>
        <v>351.17</v>
      </c>
      <c r="G442" s="661">
        <f>ROUND(G441/10,2)</f>
        <v>385.55</v>
      </c>
      <c r="H442" s="12" t="s">
        <v>2322</v>
      </c>
    </row>
    <row r="443" spans="1:8" ht="89.25">
      <c r="A443" s="16">
        <v>5</v>
      </c>
      <c r="B443" s="650" t="s">
        <v>89</v>
      </c>
      <c r="C443" s="700" t="s">
        <v>1305</v>
      </c>
      <c r="D443" s="673"/>
      <c r="E443" s="673"/>
      <c r="F443" s="673"/>
      <c r="G443" s="650"/>
      <c r="H443" s="12" t="s">
        <v>2322</v>
      </c>
    </row>
    <row r="444" spans="1:8">
      <c r="A444" s="16"/>
      <c r="B444" s="650"/>
      <c r="C444" s="573" t="s">
        <v>42</v>
      </c>
      <c r="D444" s="673"/>
      <c r="E444" s="673"/>
      <c r="F444" s="673"/>
      <c r="G444" s="652"/>
      <c r="H444" s="12" t="s">
        <v>2322</v>
      </c>
    </row>
    <row r="445" spans="1:8">
      <c r="A445" s="16"/>
      <c r="B445" s="650"/>
      <c r="C445" s="573" t="s">
        <v>60</v>
      </c>
      <c r="D445" s="650"/>
      <c r="E445" s="650"/>
      <c r="F445" s="650"/>
      <c r="G445" s="652"/>
      <c r="H445" s="12" t="s">
        <v>2322</v>
      </c>
    </row>
    <row r="446" spans="1:8">
      <c r="A446" s="16"/>
      <c r="B446" s="650"/>
      <c r="C446" s="700" t="s">
        <v>48</v>
      </c>
      <c r="D446" s="673" t="s">
        <v>35</v>
      </c>
      <c r="E446" s="659">
        <v>0.15</v>
      </c>
      <c r="F446" s="659">
        <f>G19</f>
        <v>3365.3999999999996</v>
      </c>
      <c r="G446" s="53">
        <f>ROUND(E446*F446,2)</f>
        <v>504.81</v>
      </c>
      <c r="H446" s="12" t="s">
        <v>2322</v>
      </c>
    </row>
    <row r="447" spans="1:8">
      <c r="A447" s="673"/>
      <c r="B447" s="673"/>
      <c r="C447" s="573" t="s">
        <v>68</v>
      </c>
      <c r="D447" s="673"/>
      <c r="E447" s="659"/>
      <c r="F447" s="659"/>
      <c r="G447" s="53"/>
      <c r="H447" s="12" t="s">
        <v>2322</v>
      </c>
    </row>
    <row r="448" spans="1:8">
      <c r="A448" s="673"/>
      <c r="B448" s="673"/>
      <c r="C448" s="700" t="s">
        <v>64</v>
      </c>
      <c r="D448" s="673" t="s">
        <v>27</v>
      </c>
      <c r="E448" s="659">
        <v>0.45</v>
      </c>
      <c r="F448" s="659">
        <f>'MINI SSR 2022-23 (2)'!$H$3</f>
        <v>630</v>
      </c>
      <c r="G448" s="53">
        <f>ROUND(E448*F448,2)</f>
        <v>283.5</v>
      </c>
      <c r="H448" s="12" t="s">
        <v>2322</v>
      </c>
    </row>
    <row r="449" spans="1:8">
      <c r="A449" s="673"/>
      <c r="B449" s="673"/>
      <c r="C449" s="700" t="s">
        <v>69</v>
      </c>
      <c r="D449" s="673" t="s">
        <v>27</v>
      </c>
      <c r="E449" s="659">
        <v>1.05</v>
      </c>
      <c r="F449" s="659">
        <f>'MINI SSR 2022-23 (2)'!$H$4</f>
        <v>565</v>
      </c>
      <c r="G449" s="53">
        <f>ROUND(E449*F449,2)</f>
        <v>593.25</v>
      </c>
      <c r="H449" s="12" t="s">
        <v>2322</v>
      </c>
    </row>
    <row r="450" spans="1:8">
      <c r="A450" s="673"/>
      <c r="B450" s="673"/>
      <c r="C450" s="700" t="s">
        <v>85</v>
      </c>
      <c r="D450" s="673" t="s">
        <v>27</v>
      </c>
      <c r="E450" s="659">
        <v>2.8</v>
      </c>
      <c r="F450" s="659">
        <f>'MINI SSR 2022-23 (2)'!$H$5</f>
        <v>525</v>
      </c>
      <c r="G450" s="53">
        <f>ROUND(E450*F450,2)</f>
        <v>1470</v>
      </c>
      <c r="H450" s="12" t="s">
        <v>2322</v>
      </c>
    </row>
    <row r="451" spans="1:8">
      <c r="A451" s="673"/>
      <c r="B451" s="673"/>
      <c r="C451" s="573" t="s">
        <v>88</v>
      </c>
      <c r="D451" s="673"/>
      <c r="E451" s="673"/>
      <c r="F451" s="673"/>
      <c r="G451" s="661">
        <f>SUM(G446:G450)</f>
        <v>2851.56</v>
      </c>
      <c r="H451" s="12" t="s">
        <v>2322</v>
      </c>
    </row>
    <row r="452" spans="1:8">
      <c r="A452" s="673"/>
      <c r="B452" s="673"/>
      <c r="C452" s="573"/>
      <c r="D452" s="673"/>
      <c r="E452" s="650" t="s">
        <v>161</v>
      </c>
      <c r="F452" s="650" t="s">
        <v>162</v>
      </c>
      <c r="G452" s="660" t="s">
        <v>163</v>
      </c>
      <c r="H452" s="12" t="s">
        <v>2322</v>
      </c>
    </row>
    <row r="453" spans="1:8">
      <c r="A453" s="673"/>
      <c r="B453" s="673"/>
      <c r="C453" s="573" t="s">
        <v>1274</v>
      </c>
      <c r="D453" s="673"/>
      <c r="E453" s="659">
        <f>G451</f>
        <v>2851.56</v>
      </c>
      <c r="F453" s="659">
        <f>G451</f>
        <v>2851.56</v>
      </c>
      <c r="G453" s="652">
        <f>G451</f>
        <v>2851.56</v>
      </c>
      <c r="H453" s="12" t="s">
        <v>2322</v>
      </c>
    </row>
    <row r="454" spans="1:8">
      <c r="A454" s="673"/>
      <c r="B454" s="673"/>
      <c r="C454" s="700" t="s">
        <v>1653</v>
      </c>
      <c r="D454" s="659">
        <v>10</v>
      </c>
      <c r="E454" s="659">
        <f>D454*'MINI SSR 2022-23 (2)'!E36</f>
        <v>10.8</v>
      </c>
      <c r="F454" s="659">
        <f>E454</f>
        <v>10.8</v>
      </c>
      <c r="G454" s="652">
        <f>E454</f>
        <v>10.8</v>
      </c>
      <c r="H454" s="12" t="s">
        <v>2322</v>
      </c>
    </row>
    <row r="455" spans="1:8">
      <c r="A455" s="673"/>
      <c r="B455" s="673"/>
      <c r="C455" s="700" t="s">
        <v>1655</v>
      </c>
      <c r="D455" s="659">
        <v>10</v>
      </c>
      <c r="E455" s="659">
        <f>ROUND(D455*'MINI SSR 2022-23 (2)'!F36,2)</f>
        <v>84.7</v>
      </c>
      <c r="F455" s="659">
        <f>ROUND(D455*'MINI SSR 2022-23 (2)'!G36,2)</f>
        <v>121.2</v>
      </c>
      <c r="G455" s="652">
        <f>ROUND(D455*'MINI SSR 2022-23 (2)'!H36,2)</f>
        <v>157.69999999999999</v>
      </c>
      <c r="H455" s="12" t="s">
        <v>2322</v>
      </c>
    </row>
    <row r="456" spans="1:8" ht="25.5">
      <c r="A456" s="673"/>
      <c r="B456" s="673"/>
      <c r="C456" s="700" t="s">
        <v>1286</v>
      </c>
      <c r="D456" s="673"/>
      <c r="E456" s="673"/>
      <c r="F456" s="659">
        <f>ROUND((G448+G449+G450+F455)*0.1,2)</f>
        <v>246.8</v>
      </c>
      <c r="G456" s="652">
        <f>ROUND((G448+G449+G450+G455)*0.2,2)</f>
        <v>500.89</v>
      </c>
      <c r="H456" s="12" t="s">
        <v>2322</v>
      </c>
    </row>
    <row r="457" spans="1:8">
      <c r="A457" s="673"/>
      <c r="B457" s="673"/>
      <c r="C457" s="573" t="s">
        <v>88</v>
      </c>
      <c r="D457" s="673"/>
      <c r="E457" s="659">
        <f>SUM(E453:E456)</f>
        <v>2947.06</v>
      </c>
      <c r="F457" s="659">
        <f>SUM(F453:F456)</f>
        <v>3230.36</v>
      </c>
      <c r="G457" s="652">
        <f>SUM(G453:G456)</f>
        <v>3520.95</v>
      </c>
      <c r="H457" s="12" t="s">
        <v>2322</v>
      </c>
    </row>
    <row r="458" spans="1:8">
      <c r="A458" s="673"/>
      <c r="B458" s="673"/>
      <c r="C458" s="573" t="s">
        <v>121</v>
      </c>
      <c r="D458" s="673"/>
      <c r="E458" s="660">
        <f>ROUND(E457/10,2)</f>
        <v>294.70999999999998</v>
      </c>
      <c r="F458" s="660">
        <f>ROUND(F457/10,2)</f>
        <v>323.04000000000002</v>
      </c>
      <c r="G458" s="661">
        <f>ROUND(G457/10,2)</f>
        <v>352.1</v>
      </c>
      <c r="H458" s="12" t="s">
        <v>2322</v>
      </c>
    </row>
    <row r="459" spans="1:8" ht="89.25">
      <c r="A459" s="16">
        <v>6</v>
      </c>
      <c r="B459" s="650" t="s">
        <v>89</v>
      </c>
      <c r="C459" s="700" t="s">
        <v>1306</v>
      </c>
      <c r="D459" s="673"/>
      <c r="E459" s="673"/>
      <c r="F459" s="673"/>
      <c r="G459" s="650"/>
      <c r="H459" s="12" t="s">
        <v>2322</v>
      </c>
    </row>
    <row r="460" spans="1:8">
      <c r="A460" s="16"/>
      <c r="B460" s="650"/>
      <c r="C460" s="573" t="s">
        <v>42</v>
      </c>
      <c r="D460" s="673"/>
      <c r="E460" s="673"/>
      <c r="F460" s="673"/>
      <c r="G460" s="652"/>
      <c r="H460" s="12" t="s">
        <v>2322</v>
      </c>
    </row>
    <row r="461" spans="1:8">
      <c r="A461" s="16"/>
      <c r="B461" s="650"/>
      <c r="C461" s="573" t="s">
        <v>60</v>
      </c>
      <c r="D461" s="673"/>
      <c r="E461" s="673"/>
      <c r="F461" s="673"/>
      <c r="G461" s="652"/>
      <c r="H461" s="12" t="s">
        <v>2322</v>
      </c>
    </row>
    <row r="462" spans="1:8">
      <c r="A462" s="16"/>
      <c r="B462" s="650"/>
      <c r="C462" s="700" t="s">
        <v>48</v>
      </c>
      <c r="D462" s="673" t="s">
        <v>35</v>
      </c>
      <c r="E462" s="659">
        <v>0.21</v>
      </c>
      <c r="F462" s="659">
        <f>G19</f>
        <v>3365.3999999999996</v>
      </c>
      <c r="G462" s="53">
        <f>ROUND(E462*F462,2)</f>
        <v>706.73</v>
      </c>
      <c r="H462" s="12" t="s">
        <v>2322</v>
      </c>
    </row>
    <row r="463" spans="1:8">
      <c r="A463" s="673"/>
      <c r="B463" s="673"/>
      <c r="C463" s="573" t="s">
        <v>68</v>
      </c>
      <c r="D463" s="673"/>
      <c r="E463" s="659"/>
      <c r="F463" s="659"/>
      <c r="G463" s="53"/>
      <c r="H463" s="12" t="s">
        <v>2322</v>
      </c>
    </row>
    <row r="464" spans="1:8">
      <c r="A464" s="673"/>
      <c r="B464" s="673"/>
      <c r="C464" s="700" t="s">
        <v>64</v>
      </c>
      <c r="D464" s="673" t="s">
        <v>27</v>
      </c>
      <c r="E464" s="659">
        <v>0.45</v>
      </c>
      <c r="F464" s="659">
        <f>'MINI SSR 2022-23 (2)'!$H$3</f>
        <v>630</v>
      </c>
      <c r="G464" s="53">
        <f>ROUND(E464*F464,2)</f>
        <v>283.5</v>
      </c>
      <c r="H464" s="12" t="s">
        <v>2322</v>
      </c>
    </row>
    <row r="465" spans="1:8">
      <c r="A465" s="673"/>
      <c r="B465" s="673"/>
      <c r="C465" s="700" t="s">
        <v>69</v>
      </c>
      <c r="D465" s="673" t="s">
        <v>27</v>
      </c>
      <c r="E465" s="659">
        <v>1.05</v>
      </c>
      <c r="F465" s="659">
        <f>'MINI SSR 2022-23 (2)'!$H$4</f>
        <v>565</v>
      </c>
      <c r="G465" s="53">
        <f>ROUND(E465*F465,2)</f>
        <v>593.25</v>
      </c>
      <c r="H465" s="12" t="s">
        <v>2322</v>
      </c>
    </row>
    <row r="466" spans="1:8">
      <c r="A466" s="673"/>
      <c r="B466" s="673"/>
      <c r="C466" s="700" t="s">
        <v>85</v>
      </c>
      <c r="D466" s="673" t="s">
        <v>27</v>
      </c>
      <c r="E466" s="659">
        <v>2.8</v>
      </c>
      <c r="F466" s="659">
        <f>'MINI SSR 2022-23 (2)'!$H$5</f>
        <v>525</v>
      </c>
      <c r="G466" s="53">
        <f>ROUND(E466*F466,2)</f>
        <v>1470</v>
      </c>
      <c r="H466" s="12" t="s">
        <v>2322</v>
      </c>
    </row>
    <row r="467" spans="1:8">
      <c r="A467" s="673"/>
      <c r="B467" s="673"/>
      <c r="C467" s="573" t="s">
        <v>88</v>
      </c>
      <c r="D467" s="673"/>
      <c r="E467" s="673"/>
      <c r="F467" s="673"/>
      <c r="G467" s="661">
        <f>SUM(G462:G466)</f>
        <v>3053.48</v>
      </c>
      <c r="H467" s="12" t="s">
        <v>2322</v>
      </c>
    </row>
    <row r="468" spans="1:8">
      <c r="A468" s="673"/>
      <c r="B468" s="673"/>
      <c r="C468" s="573"/>
      <c r="D468" s="673"/>
      <c r="E468" s="650" t="s">
        <v>161</v>
      </c>
      <c r="F468" s="650" t="s">
        <v>162</v>
      </c>
      <c r="G468" s="660" t="s">
        <v>163</v>
      </c>
      <c r="H468" s="12" t="s">
        <v>2322</v>
      </c>
    </row>
    <row r="469" spans="1:8">
      <c r="A469" s="673"/>
      <c r="B469" s="673"/>
      <c r="C469" s="573" t="s">
        <v>1274</v>
      </c>
      <c r="D469" s="673"/>
      <c r="E469" s="659">
        <f>G467</f>
        <v>3053.48</v>
      </c>
      <c r="F469" s="659">
        <f>G467</f>
        <v>3053.48</v>
      </c>
      <c r="G469" s="652">
        <f>G467</f>
        <v>3053.48</v>
      </c>
      <c r="H469" s="12" t="s">
        <v>2322</v>
      </c>
    </row>
    <row r="470" spans="1:8">
      <c r="A470" s="673"/>
      <c r="B470" s="673"/>
      <c r="C470" s="700" t="s">
        <v>1653</v>
      </c>
      <c r="D470" s="659">
        <v>10</v>
      </c>
      <c r="E470" s="659">
        <f>D470*'MINI SSR 2022-23 (2)'!$E$36</f>
        <v>10.8</v>
      </c>
      <c r="F470" s="659">
        <f>E470</f>
        <v>10.8</v>
      </c>
      <c r="G470" s="652">
        <f>E470</f>
        <v>10.8</v>
      </c>
      <c r="H470" s="12" t="s">
        <v>2322</v>
      </c>
    </row>
    <row r="471" spans="1:8">
      <c r="A471" s="673"/>
      <c r="B471" s="673"/>
      <c r="C471" s="700" t="s">
        <v>1656</v>
      </c>
      <c r="D471" s="659">
        <v>10</v>
      </c>
      <c r="E471" s="659">
        <f>ROUND(D471*'MINI SSR 2022-23 (2)'!F36,2)</f>
        <v>84.7</v>
      </c>
      <c r="F471" s="659">
        <f>ROUND(D471*'MINI SSR 2022-23 (2)'!G36,2)</f>
        <v>121.2</v>
      </c>
      <c r="G471" s="652">
        <f>ROUND(D471*'MINI SSR 2022-23 (2)'!H36,2)</f>
        <v>157.69999999999999</v>
      </c>
      <c r="H471" s="12" t="s">
        <v>2322</v>
      </c>
    </row>
    <row r="472" spans="1:8" ht="25.5">
      <c r="A472" s="673"/>
      <c r="B472" s="673"/>
      <c r="C472" s="700" t="s">
        <v>1286</v>
      </c>
      <c r="D472" s="673"/>
      <c r="E472" s="673"/>
      <c r="F472" s="659">
        <f>ROUND((G464+G465+G466+F471)*0.1,2)</f>
        <v>246.8</v>
      </c>
      <c r="G472" s="652">
        <f>ROUND((G464+G465+G466+G471)*0.2,2)</f>
        <v>500.89</v>
      </c>
      <c r="H472" s="12" t="s">
        <v>2322</v>
      </c>
    </row>
    <row r="473" spans="1:8">
      <c r="A473" s="673"/>
      <c r="B473" s="673"/>
      <c r="C473" s="573" t="s">
        <v>88</v>
      </c>
      <c r="D473" s="673"/>
      <c r="E473" s="659">
        <f>SUM(E469:E472)</f>
        <v>3148.98</v>
      </c>
      <c r="F473" s="659">
        <f>SUM(F469:F472)</f>
        <v>3432.28</v>
      </c>
      <c r="G473" s="652">
        <f>SUM(G469:G472)</f>
        <v>3722.87</v>
      </c>
      <c r="H473" s="12" t="s">
        <v>2322</v>
      </c>
    </row>
    <row r="474" spans="1:8">
      <c r="A474" s="673"/>
      <c r="B474" s="673"/>
      <c r="C474" s="573" t="s">
        <v>121</v>
      </c>
      <c r="D474" s="673"/>
      <c r="E474" s="660">
        <f>ROUND(E473/10,2)</f>
        <v>314.89999999999998</v>
      </c>
      <c r="F474" s="660">
        <f>ROUND(F473/10,2)</f>
        <v>343.23</v>
      </c>
      <c r="G474" s="661">
        <f>ROUND(G473/10,2)</f>
        <v>372.29</v>
      </c>
      <c r="H474" s="12" t="s">
        <v>2322</v>
      </c>
    </row>
    <row r="475" spans="1:8" ht="89.25">
      <c r="A475" s="16">
        <v>34</v>
      </c>
      <c r="B475" s="650" t="s">
        <v>89</v>
      </c>
      <c r="C475" s="700" t="s">
        <v>1307</v>
      </c>
      <c r="D475" s="673"/>
      <c r="E475" s="673"/>
      <c r="F475" s="673"/>
      <c r="G475" s="650" t="s">
        <v>89</v>
      </c>
      <c r="H475" s="12" t="s">
        <v>2322</v>
      </c>
    </row>
    <row r="476" spans="1:8">
      <c r="A476" s="16"/>
      <c r="B476" s="650"/>
      <c r="C476" s="573" t="s">
        <v>42</v>
      </c>
      <c r="D476" s="673"/>
      <c r="E476" s="673"/>
      <c r="F476" s="673"/>
      <c r="G476" s="652"/>
      <c r="H476" s="12" t="s">
        <v>2322</v>
      </c>
    </row>
    <row r="477" spans="1:8">
      <c r="A477" s="16"/>
      <c r="B477" s="650"/>
      <c r="C477" s="573" t="s">
        <v>60</v>
      </c>
      <c r="D477" s="673"/>
      <c r="E477" s="673"/>
      <c r="F477" s="673"/>
      <c r="G477" s="652"/>
      <c r="H477" s="12" t="s">
        <v>2322</v>
      </c>
    </row>
    <row r="478" spans="1:8">
      <c r="A478" s="16"/>
      <c r="B478" s="650"/>
      <c r="C478" s="700" t="s">
        <v>43</v>
      </c>
      <c r="D478" s="673" t="s">
        <v>35</v>
      </c>
      <c r="E478" s="659">
        <v>0.21</v>
      </c>
      <c r="F478" s="659">
        <f>G9</f>
        <v>4267.8</v>
      </c>
      <c r="G478" s="53">
        <f>ROUND(E478*F478,2)</f>
        <v>896.24</v>
      </c>
      <c r="H478" s="12" t="s">
        <v>2322</v>
      </c>
    </row>
    <row r="479" spans="1:8">
      <c r="A479" s="673"/>
      <c r="B479" s="673"/>
      <c r="C479" s="573" t="s">
        <v>68</v>
      </c>
      <c r="D479" s="673"/>
      <c r="E479" s="659"/>
      <c r="F479" s="659"/>
      <c r="G479" s="53"/>
      <c r="H479" s="12" t="s">
        <v>2322</v>
      </c>
    </row>
    <row r="480" spans="1:8">
      <c r="A480" s="673"/>
      <c r="B480" s="673"/>
      <c r="C480" s="700" t="s">
        <v>64</v>
      </c>
      <c r="D480" s="673" t="s">
        <v>27</v>
      </c>
      <c r="E480" s="659">
        <v>0.45</v>
      </c>
      <c r="F480" s="659">
        <f>'MINI SSR 2022-23 (2)'!$H$3</f>
        <v>630</v>
      </c>
      <c r="G480" s="53">
        <f>ROUND(E480*F480,2)</f>
        <v>283.5</v>
      </c>
      <c r="H480" s="12" t="s">
        <v>2322</v>
      </c>
    </row>
    <row r="481" spans="1:8">
      <c r="A481" s="673"/>
      <c r="B481" s="673"/>
      <c r="C481" s="700" t="s">
        <v>69</v>
      </c>
      <c r="D481" s="673" t="s">
        <v>27</v>
      </c>
      <c r="E481" s="659">
        <v>1.05</v>
      </c>
      <c r="F481" s="659">
        <f>'MINI SSR 2022-23 (2)'!$H$4</f>
        <v>565</v>
      </c>
      <c r="G481" s="53">
        <f>ROUND(E481*F481,2)</f>
        <v>593.25</v>
      </c>
      <c r="H481" s="12" t="s">
        <v>2322</v>
      </c>
    </row>
    <row r="482" spans="1:8">
      <c r="A482" s="673"/>
      <c r="B482" s="673"/>
      <c r="C482" s="700" t="s">
        <v>85</v>
      </c>
      <c r="D482" s="673" t="s">
        <v>27</v>
      </c>
      <c r="E482" s="659">
        <v>2.8</v>
      </c>
      <c r="F482" s="659">
        <f>'MINI SSR 2022-23 (2)'!$H$5</f>
        <v>525</v>
      </c>
      <c r="G482" s="53">
        <f>ROUND(E482*F482,2)</f>
        <v>1470</v>
      </c>
      <c r="H482" s="12" t="s">
        <v>2322</v>
      </c>
    </row>
    <row r="483" spans="1:8">
      <c r="A483" s="673"/>
      <c r="B483" s="673"/>
      <c r="C483" s="573" t="s">
        <v>88</v>
      </c>
      <c r="D483" s="673"/>
      <c r="E483" s="673"/>
      <c r="F483" s="673"/>
      <c r="G483" s="661">
        <f>SUM(G478:G482)</f>
        <v>3242.99</v>
      </c>
      <c r="H483" s="12" t="s">
        <v>2322</v>
      </c>
    </row>
    <row r="484" spans="1:8">
      <c r="A484" s="673"/>
      <c r="B484" s="673"/>
      <c r="C484" s="573"/>
      <c r="D484" s="673"/>
      <c r="E484" s="650" t="s">
        <v>161</v>
      </c>
      <c r="F484" s="650" t="s">
        <v>162</v>
      </c>
      <c r="G484" s="660" t="s">
        <v>163</v>
      </c>
      <c r="H484" s="12" t="s">
        <v>2322</v>
      </c>
    </row>
    <row r="485" spans="1:8">
      <c r="A485" s="673"/>
      <c r="B485" s="673"/>
      <c r="C485" s="573" t="s">
        <v>1274</v>
      </c>
      <c r="D485" s="673"/>
      <c r="E485" s="659">
        <f>G483</f>
        <v>3242.99</v>
      </c>
      <c r="F485" s="659">
        <f>G483</f>
        <v>3242.99</v>
      </c>
      <c r="G485" s="652">
        <f>G483</f>
        <v>3242.99</v>
      </c>
      <c r="H485" s="12" t="s">
        <v>2322</v>
      </c>
    </row>
    <row r="486" spans="1:8">
      <c r="A486" s="673"/>
      <c r="B486" s="673"/>
      <c r="C486" s="700" t="s">
        <v>1653</v>
      </c>
      <c r="D486" s="659">
        <v>10</v>
      </c>
      <c r="E486" s="659">
        <f>D486*'MINI SSR 2022-23 (2)'!$E$36</f>
        <v>10.8</v>
      </c>
      <c r="F486" s="659">
        <f>E486</f>
        <v>10.8</v>
      </c>
      <c r="G486" s="652">
        <f>E486</f>
        <v>10.8</v>
      </c>
      <c r="H486" s="12" t="s">
        <v>2322</v>
      </c>
    </row>
    <row r="487" spans="1:8">
      <c r="A487" s="673"/>
      <c r="B487" s="673"/>
      <c r="C487" s="700" t="s">
        <v>1656</v>
      </c>
      <c r="D487" s="659">
        <v>10</v>
      </c>
      <c r="E487" s="659">
        <f>ROUND(D487*'MINI SSR 2022-23 (2)'!F36,2)</f>
        <v>84.7</v>
      </c>
      <c r="F487" s="659">
        <f>ROUND(D487*'MINI SSR 2022-23 (2)'!G36,2)</f>
        <v>121.2</v>
      </c>
      <c r="G487" s="652">
        <f>ROUND(D487*'MINI SSR 2022-23 (2)'!H36,2)</f>
        <v>157.69999999999999</v>
      </c>
      <c r="H487" s="12" t="s">
        <v>2322</v>
      </c>
    </row>
    <row r="488" spans="1:8" ht="25.5">
      <c r="A488" s="673"/>
      <c r="B488" s="673"/>
      <c r="C488" s="700" t="s">
        <v>1286</v>
      </c>
      <c r="D488" s="673"/>
      <c r="E488" s="673"/>
      <c r="F488" s="659">
        <f>ROUND((G480+G481+G482+F487)*0.1,2)</f>
        <v>246.8</v>
      </c>
      <c r="G488" s="652">
        <f>ROUND((G480+G481+G482+G487)*0.2,2)</f>
        <v>500.89</v>
      </c>
      <c r="H488" s="12" t="s">
        <v>2322</v>
      </c>
    </row>
    <row r="489" spans="1:8">
      <c r="A489" s="673"/>
      <c r="B489" s="673"/>
      <c r="C489" s="573" t="s">
        <v>88</v>
      </c>
      <c r="D489" s="673"/>
      <c r="E489" s="659">
        <f>SUM(E485:E488)</f>
        <v>3338.49</v>
      </c>
      <c r="F489" s="659">
        <f>SUM(F485:F488)</f>
        <v>3621.79</v>
      </c>
      <c r="G489" s="652">
        <f>SUM(G485:G488)</f>
        <v>3912.3799999999997</v>
      </c>
      <c r="H489" s="12" t="s">
        <v>2322</v>
      </c>
    </row>
    <row r="490" spans="1:8">
      <c r="A490" s="673"/>
      <c r="B490" s="673"/>
      <c r="C490" s="573" t="s">
        <v>121</v>
      </c>
      <c r="D490" s="673"/>
      <c r="E490" s="660">
        <f>ROUND(E489/10,2)</f>
        <v>333.85</v>
      </c>
      <c r="F490" s="660">
        <f>ROUND(F489/10,2)</f>
        <v>362.18</v>
      </c>
      <c r="G490" s="661">
        <f>ROUND(G489/10,2)</f>
        <v>391.24</v>
      </c>
      <c r="H490" s="12" t="s">
        <v>2322</v>
      </c>
    </row>
    <row r="491" spans="1:8" ht="102">
      <c r="A491" s="16">
        <v>10</v>
      </c>
      <c r="B491" s="650" t="s">
        <v>1348</v>
      </c>
      <c r="C491" s="700" t="s">
        <v>808</v>
      </c>
      <c r="D491" s="673"/>
      <c r="E491" s="673"/>
      <c r="F491" s="673"/>
      <c r="G491" s="650"/>
      <c r="H491" s="12" t="s">
        <v>2322</v>
      </c>
    </row>
    <row r="492" spans="1:8">
      <c r="A492" s="16"/>
      <c r="B492" s="650"/>
      <c r="C492" s="573" t="s">
        <v>42</v>
      </c>
      <c r="D492" s="673"/>
      <c r="E492" s="673"/>
      <c r="F492" s="673"/>
      <c r="G492" s="652"/>
      <c r="H492" s="12" t="s">
        <v>2322</v>
      </c>
    </row>
    <row r="493" spans="1:8">
      <c r="A493" s="16"/>
      <c r="B493" s="650"/>
      <c r="C493" s="573" t="s">
        <v>317</v>
      </c>
      <c r="D493" s="673"/>
      <c r="E493" s="673"/>
      <c r="F493" s="673"/>
      <c r="G493" s="652"/>
      <c r="H493" s="12" t="s">
        <v>2322</v>
      </c>
    </row>
    <row r="494" spans="1:8">
      <c r="A494" s="16"/>
      <c r="B494" s="650"/>
      <c r="C494" s="700" t="s">
        <v>107</v>
      </c>
      <c r="D494" s="673" t="s">
        <v>4</v>
      </c>
      <c r="E494" s="659">
        <v>31.7</v>
      </c>
      <c r="F494" s="659">
        <f>'lead 22-23 P-B'!L8</f>
        <v>4700</v>
      </c>
      <c r="G494" s="53">
        <f>ROUND(E494*F494/1000,2)</f>
        <v>148.99</v>
      </c>
      <c r="H494" s="12" t="s">
        <v>2322</v>
      </c>
    </row>
    <row r="495" spans="1:8">
      <c r="A495" s="16"/>
      <c r="B495" s="650"/>
      <c r="C495" s="700" t="s">
        <v>318</v>
      </c>
      <c r="D495" s="673" t="s">
        <v>35</v>
      </c>
      <c r="E495" s="659">
        <v>0.11</v>
      </c>
      <c r="F495" s="659">
        <f>'lead 22-23 P-B'!L12</f>
        <v>1815.9999999999998</v>
      </c>
      <c r="G495" s="53">
        <f>ROUND(E495*F495,2)</f>
        <v>199.76</v>
      </c>
      <c r="H495" s="12" t="s">
        <v>2322</v>
      </c>
    </row>
    <row r="496" spans="1:8">
      <c r="A496" s="16"/>
      <c r="B496" s="650"/>
      <c r="C496" s="573" t="s">
        <v>319</v>
      </c>
      <c r="D496" s="673"/>
      <c r="E496" s="673"/>
      <c r="F496" s="673"/>
      <c r="G496" s="652"/>
      <c r="H496" s="12" t="s">
        <v>2322</v>
      </c>
    </row>
    <row r="497" spans="1:8">
      <c r="A497" s="16"/>
      <c r="B497" s="650"/>
      <c r="C497" s="700" t="s">
        <v>107</v>
      </c>
      <c r="D497" s="673" t="s">
        <v>4</v>
      </c>
      <c r="E497" s="659">
        <v>19.2</v>
      </c>
      <c r="F497" s="659">
        <f>F494</f>
        <v>4700</v>
      </c>
      <c r="G497" s="53">
        <f>ROUND(E497*F497/1000,2)</f>
        <v>90.24</v>
      </c>
      <c r="H497" s="12" t="s">
        <v>2322</v>
      </c>
    </row>
    <row r="498" spans="1:8">
      <c r="A498" s="16"/>
      <c r="B498" s="650"/>
      <c r="C498" s="700" t="s">
        <v>318</v>
      </c>
      <c r="D498" s="673" t="s">
        <v>35</v>
      </c>
      <c r="E498" s="659">
        <v>0.04</v>
      </c>
      <c r="F498" s="659">
        <f>F495</f>
        <v>1815.9999999999998</v>
      </c>
      <c r="G498" s="53">
        <f>ROUND(E498*F498,2)</f>
        <v>72.64</v>
      </c>
      <c r="H498" s="12" t="s">
        <v>2322</v>
      </c>
    </row>
    <row r="499" spans="1:8">
      <c r="A499" s="673"/>
      <c r="B499" s="673"/>
      <c r="C499" s="573" t="s">
        <v>68</v>
      </c>
      <c r="D499" s="673"/>
      <c r="E499" s="659"/>
      <c r="F499" s="659"/>
      <c r="G499" s="53"/>
      <c r="H499" s="12" t="s">
        <v>2322</v>
      </c>
    </row>
    <row r="500" spans="1:8">
      <c r="A500" s="673"/>
      <c r="B500" s="673"/>
      <c r="C500" s="700" t="s">
        <v>64</v>
      </c>
      <c r="D500" s="673" t="s">
        <v>27</v>
      </c>
      <c r="E500" s="659">
        <v>0.63</v>
      </c>
      <c r="F500" s="659">
        <f>'MINI SSR 2022-23 (2)'!$H$3</f>
        <v>630</v>
      </c>
      <c r="G500" s="53">
        <f>ROUND(E500*F500,2)</f>
        <v>396.9</v>
      </c>
      <c r="H500" s="12" t="s">
        <v>2322</v>
      </c>
    </row>
    <row r="501" spans="1:8">
      <c r="A501" s="673"/>
      <c r="B501" s="673"/>
      <c r="C501" s="700" t="s">
        <v>69</v>
      </c>
      <c r="D501" s="673" t="s">
        <v>27</v>
      </c>
      <c r="E501" s="659">
        <v>1.47</v>
      </c>
      <c r="F501" s="659">
        <f>'MINI SSR 2022-23 (2)'!$H$4</f>
        <v>565</v>
      </c>
      <c r="G501" s="53">
        <f>ROUND(E501*F501,2)</f>
        <v>830.55</v>
      </c>
      <c r="H501" s="12" t="s">
        <v>2322</v>
      </c>
    </row>
    <row r="502" spans="1:8">
      <c r="A502" s="673"/>
      <c r="B502" s="673"/>
      <c r="C502" s="700" t="s">
        <v>85</v>
      </c>
      <c r="D502" s="673" t="s">
        <v>27</v>
      </c>
      <c r="E502" s="659">
        <v>3.9</v>
      </c>
      <c r="F502" s="659">
        <f>'MINI SSR 2022-23 (2)'!$H$5</f>
        <v>525</v>
      </c>
      <c r="G502" s="53">
        <f>ROUND(E502*F502,2)</f>
        <v>2047.5</v>
      </c>
      <c r="H502" s="12" t="s">
        <v>2322</v>
      </c>
    </row>
    <row r="503" spans="1:8">
      <c r="A503" s="673"/>
      <c r="B503" s="673"/>
      <c r="C503" s="573" t="s">
        <v>88</v>
      </c>
      <c r="D503" s="673"/>
      <c r="E503" s="673"/>
      <c r="F503" s="673"/>
      <c r="G503" s="661">
        <f>SUM(G494:G502)</f>
        <v>3786.58</v>
      </c>
      <c r="H503" s="12" t="s">
        <v>2322</v>
      </c>
    </row>
    <row r="504" spans="1:8">
      <c r="A504" s="673"/>
      <c r="B504" s="673"/>
      <c r="C504" s="573"/>
      <c r="D504" s="673"/>
      <c r="E504" s="650" t="s">
        <v>161</v>
      </c>
      <c r="F504" s="650" t="s">
        <v>162</v>
      </c>
      <c r="G504" s="660" t="s">
        <v>163</v>
      </c>
      <c r="H504" s="12" t="s">
        <v>2322</v>
      </c>
    </row>
    <row r="505" spans="1:8">
      <c r="A505" s="673"/>
      <c r="B505" s="673"/>
      <c r="C505" s="573" t="s">
        <v>1274</v>
      </c>
      <c r="D505" s="673"/>
      <c r="E505" s="659">
        <f>G503</f>
        <v>3786.58</v>
      </c>
      <c r="F505" s="659">
        <f>G503</f>
        <v>3786.58</v>
      </c>
      <c r="G505" s="652">
        <f>F505</f>
        <v>3786.58</v>
      </c>
      <c r="H505" s="12" t="s">
        <v>2322</v>
      </c>
    </row>
    <row r="506" spans="1:8">
      <c r="A506" s="673"/>
      <c r="B506" s="673"/>
      <c r="C506" s="700" t="s">
        <v>1653</v>
      </c>
      <c r="D506" s="659">
        <v>10</v>
      </c>
      <c r="E506" s="659">
        <f>D506*'MINI SSR 2022-23 (2)'!$E$36</f>
        <v>10.8</v>
      </c>
      <c r="F506" s="659">
        <f>E506</f>
        <v>10.8</v>
      </c>
      <c r="G506" s="652">
        <f>F506</f>
        <v>10.8</v>
      </c>
      <c r="H506" s="12" t="s">
        <v>2322</v>
      </c>
    </row>
    <row r="507" spans="1:8">
      <c r="A507" s="673"/>
      <c r="B507" s="673"/>
      <c r="C507" s="700" t="s">
        <v>1654</v>
      </c>
      <c r="D507" s="659">
        <v>10</v>
      </c>
      <c r="E507" s="659">
        <f>ROUND(D507*'MINI SSR 2022-23 (2)'!F36,2)</f>
        <v>84.7</v>
      </c>
      <c r="F507" s="659">
        <f>ROUND(D507*'MINI SSR 2022-23 (2)'!G36,2)</f>
        <v>121.2</v>
      </c>
      <c r="G507" s="652">
        <f>ROUND(D507*'MINI SSR 2022-23 (2)'!H36,2)</f>
        <v>157.69999999999999</v>
      </c>
      <c r="H507" s="12" t="s">
        <v>2322</v>
      </c>
    </row>
    <row r="508" spans="1:8" ht="25.5">
      <c r="A508" s="673"/>
      <c r="B508" s="673"/>
      <c r="C508" s="700" t="s">
        <v>1286</v>
      </c>
      <c r="D508" s="673"/>
      <c r="E508" s="673"/>
      <c r="F508" s="659">
        <f>ROUND((G500+G501+G502+F507)*0.1,2)</f>
        <v>339.62</v>
      </c>
      <c r="G508" s="652">
        <f>ROUND((G500+G501+G502+G507)*0.2,2)</f>
        <v>686.53</v>
      </c>
      <c r="H508" s="12" t="s">
        <v>2322</v>
      </c>
    </row>
    <row r="509" spans="1:8">
      <c r="A509" s="673"/>
      <c r="B509" s="673"/>
      <c r="C509" s="573" t="s">
        <v>88</v>
      </c>
      <c r="D509" s="673"/>
      <c r="E509" s="659">
        <f>SUM(E505:E508)</f>
        <v>3882.08</v>
      </c>
      <c r="F509" s="659">
        <f>SUM(F505:F508)</f>
        <v>4258.2</v>
      </c>
      <c r="G509" s="652">
        <f>SUM(G505:G508)</f>
        <v>4641.6099999999997</v>
      </c>
      <c r="H509" s="12" t="s">
        <v>2322</v>
      </c>
    </row>
    <row r="510" spans="1:8">
      <c r="A510" s="673"/>
      <c r="B510" s="673"/>
      <c r="C510" s="573" t="s">
        <v>121</v>
      </c>
      <c r="D510" s="673"/>
      <c r="E510" s="660">
        <f>ROUND(E509/10,2)</f>
        <v>388.21</v>
      </c>
      <c r="F510" s="660">
        <f>ROUND(F509/10,2)</f>
        <v>425.82</v>
      </c>
      <c r="G510" s="661">
        <f>ROUND(G509/10,2)</f>
        <v>464.16</v>
      </c>
      <c r="H510" s="12" t="s">
        <v>2322</v>
      </c>
    </row>
    <row r="511" spans="1:8" ht="102">
      <c r="A511" s="16">
        <v>11</v>
      </c>
      <c r="B511" s="650" t="s">
        <v>1349</v>
      </c>
      <c r="C511" s="700" t="s">
        <v>316</v>
      </c>
      <c r="D511" s="673"/>
      <c r="E511" s="673"/>
      <c r="F511" s="673"/>
      <c r="G511" s="650"/>
      <c r="H511" s="12" t="s">
        <v>2322</v>
      </c>
    </row>
    <row r="512" spans="1:8">
      <c r="A512" s="16"/>
      <c r="B512" s="650"/>
      <c r="C512" s="573" t="s">
        <v>42</v>
      </c>
      <c r="D512" s="673"/>
      <c r="E512" s="673"/>
      <c r="F512" s="673"/>
      <c r="G512" s="652"/>
      <c r="H512" s="12" t="s">
        <v>2322</v>
      </c>
    </row>
    <row r="513" spans="1:8">
      <c r="A513" s="16"/>
      <c r="B513" s="650"/>
      <c r="C513" s="573" t="s">
        <v>317</v>
      </c>
      <c r="D513" s="673"/>
      <c r="E513" s="673"/>
      <c r="F513" s="673"/>
      <c r="G513" s="652"/>
      <c r="H513" s="12" t="s">
        <v>2322</v>
      </c>
    </row>
    <row r="514" spans="1:8">
      <c r="A514" s="16"/>
      <c r="B514" s="650"/>
      <c r="C514" s="700" t="s">
        <v>107</v>
      </c>
      <c r="D514" s="673" t="s">
        <v>4</v>
      </c>
      <c r="E514" s="659">
        <v>43</v>
      </c>
      <c r="F514" s="659">
        <f>F494</f>
        <v>4700</v>
      </c>
      <c r="G514" s="53">
        <f>ROUND(E514*F514/1000,2)</f>
        <v>202.1</v>
      </c>
      <c r="H514" s="12" t="s">
        <v>2322</v>
      </c>
    </row>
    <row r="515" spans="1:8">
      <c r="A515" s="16"/>
      <c r="B515" s="650"/>
      <c r="C515" s="700" t="s">
        <v>318</v>
      </c>
      <c r="D515" s="673" t="s">
        <v>35</v>
      </c>
      <c r="E515" s="659">
        <v>0.18</v>
      </c>
      <c r="F515" s="659">
        <f>F495</f>
        <v>1815.9999999999998</v>
      </c>
      <c r="G515" s="53">
        <f>ROUND(E515*F515,2)</f>
        <v>326.88</v>
      </c>
      <c r="H515" s="12" t="s">
        <v>2322</v>
      </c>
    </row>
    <row r="516" spans="1:8">
      <c r="A516" s="16"/>
      <c r="B516" s="650"/>
      <c r="C516" s="573" t="s">
        <v>319</v>
      </c>
      <c r="D516" s="673"/>
      <c r="E516" s="673"/>
      <c r="F516" s="673"/>
      <c r="G516" s="652"/>
      <c r="H516" s="12" t="s">
        <v>2322</v>
      </c>
    </row>
    <row r="517" spans="1:8">
      <c r="A517" s="16"/>
      <c r="B517" s="650"/>
      <c r="C517" s="700" t="s">
        <v>107</v>
      </c>
      <c r="D517" s="673" t="s">
        <v>4</v>
      </c>
      <c r="E517" s="659">
        <v>14.5</v>
      </c>
      <c r="F517" s="659">
        <f>F514</f>
        <v>4700</v>
      </c>
      <c r="G517" s="53">
        <f>ROUND(E517*F517/1000,2)</f>
        <v>68.150000000000006</v>
      </c>
      <c r="H517" s="12" t="s">
        <v>2322</v>
      </c>
    </row>
    <row r="518" spans="1:8">
      <c r="A518" s="16"/>
      <c r="B518" s="650"/>
      <c r="C518" s="700" t="s">
        <v>318</v>
      </c>
      <c r="D518" s="673" t="s">
        <v>35</v>
      </c>
      <c r="E518" s="659">
        <v>0.04</v>
      </c>
      <c r="F518" s="659">
        <f>F515</f>
        <v>1815.9999999999998</v>
      </c>
      <c r="G518" s="53">
        <f>ROUND(E518*F518,2)</f>
        <v>72.64</v>
      </c>
      <c r="H518" s="12" t="s">
        <v>2322</v>
      </c>
    </row>
    <row r="519" spans="1:8">
      <c r="A519" s="673"/>
      <c r="B519" s="673"/>
      <c r="C519" s="573" t="s">
        <v>68</v>
      </c>
      <c r="D519" s="673"/>
      <c r="E519" s="659"/>
      <c r="F519" s="659"/>
      <c r="G519" s="53"/>
      <c r="H519" s="12" t="s">
        <v>2322</v>
      </c>
    </row>
    <row r="520" spans="1:8">
      <c r="A520" s="673"/>
      <c r="B520" s="673"/>
      <c r="C520" s="700" t="s">
        <v>64</v>
      </c>
      <c r="D520" s="673" t="s">
        <v>27</v>
      </c>
      <c r="E520" s="659">
        <v>0.63</v>
      </c>
      <c r="F520" s="659">
        <f>'MINI SSR 2022-23 (2)'!$H$3</f>
        <v>630</v>
      </c>
      <c r="G520" s="53">
        <f>ROUND(E520*F520,2)</f>
        <v>396.9</v>
      </c>
      <c r="H520" s="12" t="s">
        <v>2322</v>
      </c>
    </row>
    <row r="521" spans="1:8">
      <c r="A521" s="673"/>
      <c r="B521" s="673"/>
      <c r="C521" s="700" t="s">
        <v>69</v>
      </c>
      <c r="D521" s="673" t="s">
        <v>27</v>
      </c>
      <c r="E521" s="659">
        <v>1.47</v>
      </c>
      <c r="F521" s="659">
        <f>'MINI SSR 2022-23 (2)'!$H$4</f>
        <v>565</v>
      </c>
      <c r="G521" s="53">
        <f>ROUND(E521*F521,2)</f>
        <v>830.55</v>
      </c>
      <c r="H521" s="12" t="s">
        <v>2322</v>
      </c>
    </row>
    <row r="522" spans="1:8">
      <c r="A522" s="673"/>
      <c r="B522" s="673"/>
      <c r="C522" s="700" t="s">
        <v>85</v>
      </c>
      <c r="D522" s="673" t="s">
        <v>27</v>
      </c>
      <c r="E522" s="659">
        <v>3.9</v>
      </c>
      <c r="F522" s="659">
        <f>'MINI SSR 2022-23 (2)'!$H$5</f>
        <v>525</v>
      </c>
      <c r="G522" s="53">
        <f>ROUND(E522*F522,2)</f>
        <v>2047.5</v>
      </c>
      <c r="H522" s="12" t="s">
        <v>2322</v>
      </c>
    </row>
    <row r="523" spans="1:8">
      <c r="A523" s="673"/>
      <c r="B523" s="673"/>
      <c r="C523" s="573" t="s">
        <v>88</v>
      </c>
      <c r="D523" s="673"/>
      <c r="E523" s="673"/>
      <c r="F523" s="673"/>
      <c r="G523" s="661">
        <f>SUM(G514:G522)</f>
        <v>3944.7200000000003</v>
      </c>
      <c r="H523" s="12" t="s">
        <v>2322</v>
      </c>
    </row>
    <row r="524" spans="1:8">
      <c r="A524" s="673"/>
      <c r="B524" s="673"/>
      <c r="C524" s="573"/>
      <c r="D524" s="673"/>
      <c r="E524" s="650" t="s">
        <v>161</v>
      </c>
      <c r="F524" s="650" t="s">
        <v>162</v>
      </c>
      <c r="G524" s="660" t="s">
        <v>163</v>
      </c>
      <c r="H524" s="12" t="s">
        <v>2322</v>
      </c>
    </row>
    <row r="525" spans="1:8">
      <c r="A525" s="673"/>
      <c r="B525" s="673"/>
      <c r="C525" s="573" t="s">
        <v>1274</v>
      </c>
      <c r="D525" s="673"/>
      <c r="E525" s="659">
        <f>G523</f>
        <v>3944.7200000000003</v>
      </c>
      <c r="F525" s="659">
        <f>G523</f>
        <v>3944.7200000000003</v>
      </c>
      <c r="G525" s="652">
        <f>F525</f>
        <v>3944.7200000000003</v>
      </c>
      <c r="H525" s="12" t="s">
        <v>2322</v>
      </c>
    </row>
    <row r="526" spans="1:8">
      <c r="A526" s="673"/>
      <c r="B526" s="673"/>
      <c r="C526" s="700" t="s">
        <v>1653</v>
      </c>
      <c r="D526" s="659">
        <v>10</v>
      </c>
      <c r="E526" s="659">
        <f>D526*'MINI SSR 2022-23 (2)'!$E$36</f>
        <v>10.8</v>
      </c>
      <c r="F526" s="659">
        <f>E526</f>
        <v>10.8</v>
      </c>
      <c r="G526" s="652">
        <f>F526</f>
        <v>10.8</v>
      </c>
      <c r="H526" s="12" t="s">
        <v>2322</v>
      </c>
    </row>
    <row r="527" spans="1:8">
      <c r="A527" s="673"/>
      <c r="B527" s="673"/>
      <c r="C527" s="700" t="s">
        <v>1656</v>
      </c>
      <c r="D527" s="659">
        <v>10</v>
      </c>
      <c r="E527" s="659">
        <f>ROUND(D527*'MINI SSR 2022-23 (2)'!F36,2)</f>
        <v>84.7</v>
      </c>
      <c r="F527" s="659">
        <f>ROUND(D527*'MINI SSR 2022-23 (2)'!G36,2)</f>
        <v>121.2</v>
      </c>
      <c r="G527" s="652">
        <f>ROUND(D527*'MINI SSR 2022-23 (2)'!H36,2)</f>
        <v>157.69999999999999</v>
      </c>
      <c r="H527" s="12" t="s">
        <v>2322</v>
      </c>
    </row>
    <row r="528" spans="1:8" ht="25.5">
      <c r="A528" s="673"/>
      <c r="B528" s="673"/>
      <c r="C528" s="700" t="s">
        <v>1286</v>
      </c>
      <c r="D528" s="673"/>
      <c r="E528" s="673"/>
      <c r="F528" s="659">
        <f>ROUND((G520+G521+G522+F527)*0.1,2)</f>
        <v>339.62</v>
      </c>
      <c r="G528" s="652">
        <f>ROUND((G520+G521+G522+G527)*0.2,2)</f>
        <v>686.53</v>
      </c>
      <c r="H528" s="12" t="s">
        <v>2322</v>
      </c>
    </row>
    <row r="529" spans="1:8">
      <c r="A529" s="673"/>
      <c r="B529" s="673"/>
      <c r="C529" s="573" t="s">
        <v>88</v>
      </c>
      <c r="D529" s="673"/>
      <c r="E529" s="659">
        <f>SUM(E525:E528)</f>
        <v>4040.2200000000003</v>
      </c>
      <c r="F529" s="659">
        <f>SUM(F525:F528)</f>
        <v>4416.34</v>
      </c>
      <c r="G529" s="652">
        <f>SUM(G525:G528)</f>
        <v>4799.75</v>
      </c>
      <c r="H529" s="12" t="s">
        <v>2322</v>
      </c>
    </row>
    <row r="530" spans="1:8">
      <c r="A530" s="673"/>
      <c r="B530" s="673"/>
      <c r="C530" s="573" t="s">
        <v>121</v>
      </c>
      <c r="D530" s="673"/>
      <c r="E530" s="660">
        <f>ROUND(E529/10,2)</f>
        <v>404.02</v>
      </c>
      <c r="F530" s="660">
        <f>ROUND(F529/10,2)</f>
        <v>441.63</v>
      </c>
      <c r="G530" s="661">
        <f>ROUND(G529/10,2)</f>
        <v>479.98</v>
      </c>
      <c r="H530" s="12" t="s">
        <v>2322</v>
      </c>
    </row>
    <row r="531" spans="1:8" ht="165.75">
      <c r="A531" s="16">
        <v>37</v>
      </c>
      <c r="B531" s="650"/>
      <c r="C531" s="700" t="s">
        <v>1171</v>
      </c>
      <c r="D531" s="673"/>
      <c r="E531" s="673"/>
      <c r="F531" s="673"/>
      <c r="G531" s="652"/>
      <c r="H531" s="12" t="s">
        <v>2322</v>
      </c>
    </row>
    <row r="532" spans="1:8">
      <c r="A532" s="673"/>
      <c r="B532" s="673"/>
      <c r="C532" s="700" t="s">
        <v>868</v>
      </c>
      <c r="D532" s="673"/>
      <c r="E532" s="659"/>
      <c r="F532" s="659"/>
      <c r="G532" s="53"/>
      <c r="H532" s="12" t="s">
        <v>2322</v>
      </c>
    </row>
    <row r="533" spans="1:8">
      <c r="A533" s="673"/>
      <c r="B533" s="673"/>
      <c r="C533" s="700" t="s">
        <v>863</v>
      </c>
      <c r="D533" s="673"/>
      <c r="E533" s="659"/>
      <c r="F533" s="659"/>
      <c r="G533" s="53"/>
      <c r="H533" s="12" t="s">
        <v>2322</v>
      </c>
    </row>
    <row r="534" spans="1:8">
      <c r="A534" s="673"/>
      <c r="B534" s="673"/>
      <c r="C534" s="700" t="s">
        <v>1172</v>
      </c>
      <c r="D534" s="659" t="s">
        <v>77</v>
      </c>
      <c r="E534" s="659">
        <v>13.3</v>
      </c>
      <c r="F534" s="672">
        <f>'MINI SSR 2022-23 (2)'!C43</f>
        <v>21</v>
      </c>
      <c r="G534" s="53">
        <f>ROUND(E534*F534,2)</f>
        <v>279.3</v>
      </c>
      <c r="H534" s="12" t="s">
        <v>2322</v>
      </c>
    </row>
    <row r="535" spans="1:8">
      <c r="A535" s="16"/>
      <c r="B535" s="650"/>
      <c r="C535" s="700" t="s">
        <v>1173</v>
      </c>
      <c r="D535" s="659" t="s">
        <v>35</v>
      </c>
      <c r="E535" s="659">
        <v>0.25</v>
      </c>
      <c r="F535" s="672">
        <f>G9</f>
        <v>4267.8</v>
      </c>
      <c r="G535" s="53">
        <f>ROUND(E535*F535,2)</f>
        <v>1066.95</v>
      </c>
      <c r="H535" s="12" t="s">
        <v>2322</v>
      </c>
    </row>
    <row r="536" spans="1:8">
      <c r="A536" s="16"/>
      <c r="B536" s="650"/>
      <c r="C536" s="700" t="s">
        <v>1174</v>
      </c>
      <c r="D536" s="659" t="s">
        <v>90</v>
      </c>
      <c r="E536" s="659">
        <v>50</v>
      </c>
      <c r="F536" s="672">
        <f>'lead 22-23 P-B'!L8</f>
        <v>4700</v>
      </c>
      <c r="G536" s="53">
        <f>ROUND(E536*F536/1000,2)</f>
        <v>235</v>
      </c>
      <c r="H536" s="12" t="s">
        <v>2322</v>
      </c>
    </row>
    <row r="537" spans="1:8" ht="25.5">
      <c r="A537" s="16"/>
      <c r="B537" s="650"/>
      <c r="C537" s="700" t="s">
        <v>1175</v>
      </c>
      <c r="D537" s="659" t="s">
        <v>77</v>
      </c>
      <c r="E537" s="659">
        <v>21.8</v>
      </c>
      <c r="F537" s="672">
        <f>E510</f>
        <v>388.21</v>
      </c>
      <c r="G537" s="53">
        <f>ROUND(E537*F537,2)</f>
        <v>8462.98</v>
      </c>
      <c r="H537" s="12" t="s">
        <v>2322</v>
      </c>
    </row>
    <row r="538" spans="1:8">
      <c r="A538" s="16"/>
      <c r="B538" s="650"/>
      <c r="C538" s="573" t="s">
        <v>1176</v>
      </c>
      <c r="D538" s="673"/>
      <c r="E538" s="673"/>
      <c r="F538" s="672"/>
      <c r="G538" s="53"/>
      <c r="H538" s="12" t="s">
        <v>2322</v>
      </c>
    </row>
    <row r="539" spans="1:8">
      <c r="A539" s="16"/>
      <c r="B539" s="650"/>
      <c r="C539" s="700" t="s">
        <v>865</v>
      </c>
      <c r="D539" s="659" t="s">
        <v>27</v>
      </c>
      <c r="E539" s="659">
        <v>8</v>
      </c>
      <c r="F539" s="672">
        <f>'MINI SSR 2022-23 (2)'!$H$3</f>
        <v>630</v>
      </c>
      <c r="G539" s="53">
        <f>ROUND(E539*F539,2)</f>
        <v>5040</v>
      </c>
      <c r="H539" s="12" t="s">
        <v>2322</v>
      </c>
    </row>
    <row r="540" spans="1:8">
      <c r="A540" s="16"/>
      <c r="B540" s="650"/>
      <c r="C540" s="700" t="s">
        <v>1177</v>
      </c>
      <c r="D540" s="659" t="s">
        <v>27</v>
      </c>
      <c r="E540" s="659">
        <v>1</v>
      </c>
      <c r="F540" s="672">
        <f>'MINI SSR 2022-23 (2)'!$H$4</f>
        <v>565</v>
      </c>
      <c r="G540" s="53">
        <f>ROUND(E540*F540,2)</f>
        <v>565</v>
      </c>
      <c r="H540" s="12" t="s">
        <v>2322</v>
      </c>
    </row>
    <row r="541" spans="1:8">
      <c r="A541" s="16"/>
      <c r="B541" s="650"/>
      <c r="C541" s="700" t="s">
        <v>864</v>
      </c>
      <c r="D541" s="659" t="s">
        <v>27</v>
      </c>
      <c r="E541" s="659">
        <v>10</v>
      </c>
      <c r="F541" s="672">
        <f>'MINI SSR 2022-23 (2)'!$H$5</f>
        <v>525</v>
      </c>
      <c r="G541" s="53">
        <f>ROUND(E541*F541,2)</f>
        <v>5250</v>
      </c>
      <c r="H541" s="12" t="s">
        <v>2322</v>
      </c>
    </row>
    <row r="542" spans="1:8">
      <c r="A542" s="16"/>
      <c r="B542" s="650"/>
      <c r="C542" s="573" t="s">
        <v>1178</v>
      </c>
      <c r="D542" s="659"/>
      <c r="E542" s="659"/>
      <c r="F542" s="672"/>
      <c r="G542" s="53"/>
      <c r="H542" s="12" t="s">
        <v>2322</v>
      </c>
    </row>
    <row r="543" spans="1:8" ht="25.5">
      <c r="A543" s="16"/>
      <c r="B543" s="650"/>
      <c r="C543" s="700" t="s">
        <v>1179</v>
      </c>
      <c r="D543" s="659" t="s">
        <v>1180</v>
      </c>
      <c r="E543" s="659">
        <v>2</v>
      </c>
      <c r="F543" s="672">
        <f>'MINI SSR 2022-23 (2)'!$C$30</f>
        <v>667.5</v>
      </c>
      <c r="G543" s="53">
        <f>ROUND(E543*F543,2)</f>
        <v>1335</v>
      </c>
      <c r="H543" s="12" t="s">
        <v>2322</v>
      </c>
    </row>
    <row r="544" spans="1:8">
      <c r="A544" s="16"/>
      <c r="B544" s="650"/>
      <c r="C544" s="573" t="s">
        <v>869</v>
      </c>
      <c r="D544" s="686"/>
      <c r="E544" s="686"/>
      <c r="F544" s="686" t="s">
        <v>104</v>
      </c>
      <c r="G544" s="53">
        <f>SUM(G534:G543)</f>
        <v>22234.23</v>
      </c>
      <c r="H544" s="12" t="s">
        <v>2322</v>
      </c>
    </row>
    <row r="545" spans="1:8">
      <c r="A545" s="16"/>
      <c r="B545" s="650"/>
      <c r="C545" s="700"/>
      <c r="D545" s="672"/>
      <c r="E545" s="686" t="s">
        <v>161</v>
      </c>
      <c r="F545" s="686" t="s">
        <v>162</v>
      </c>
      <c r="G545" s="53"/>
      <c r="H545" s="12" t="s">
        <v>2322</v>
      </c>
    </row>
    <row r="546" spans="1:8">
      <c r="A546" s="16"/>
      <c r="B546" s="650"/>
      <c r="C546" s="700" t="s">
        <v>867</v>
      </c>
      <c r="D546" s="672"/>
      <c r="E546" s="672">
        <f>G544</f>
        <v>22234.23</v>
      </c>
      <c r="F546" s="672">
        <f>G544</f>
        <v>22234.23</v>
      </c>
      <c r="G546" s="53"/>
      <c r="H546" s="12" t="s">
        <v>2322</v>
      </c>
    </row>
    <row r="547" spans="1:8">
      <c r="A547" s="16"/>
      <c r="B547" s="650"/>
      <c r="C547" s="700" t="s">
        <v>1657</v>
      </c>
      <c r="D547" s="687" t="s">
        <v>326</v>
      </c>
      <c r="E547" s="672">
        <f>ROUND(D547*'MINI SSR 2022-23 (2)'!E36,2)</f>
        <v>10.8</v>
      </c>
      <c r="F547" s="672">
        <f>ROUND(D547*1.03,2)</f>
        <v>10.3</v>
      </c>
      <c r="G547" s="53"/>
      <c r="H547" s="12" t="s">
        <v>2322</v>
      </c>
    </row>
    <row r="548" spans="1:8">
      <c r="A548" s="16"/>
      <c r="B548" s="650"/>
      <c r="C548" s="700" t="s">
        <v>1658</v>
      </c>
      <c r="D548" s="687" t="s">
        <v>326</v>
      </c>
      <c r="E548" s="672">
        <f>ROUND(D548*'MINI SSR 2022-23 (2)'!F36,2)</f>
        <v>84.7</v>
      </c>
      <c r="F548" s="672">
        <f>ROUND(D548*'MINI SSR 2022-23 (2)'!G36,2)</f>
        <v>121.2</v>
      </c>
      <c r="G548" s="53"/>
      <c r="H548" s="12" t="s">
        <v>2322</v>
      </c>
    </row>
    <row r="549" spans="1:8">
      <c r="A549" s="16"/>
      <c r="B549" s="650"/>
      <c r="C549" s="700" t="s">
        <v>870</v>
      </c>
      <c r="D549" s="688" t="s">
        <v>326</v>
      </c>
      <c r="E549" s="689">
        <v>0</v>
      </c>
      <c r="F549" s="689">
        <f>ROUND(((SUM(G539:G541)+F548)*D549/100),2)</f>
        <v>1097.6199999999999</v>
      </c>
      <c r="G549" s="53"/>
      <c r="H549" s="12" t="s">
        <v>2322</v>
      </c>
    </row>
    <row r="550" spans="1:8">
      <c r="A550" s="16"/>
      <c r="B550" s="650"/>
      <c r="C550" s="573" t="s">
        <v>869</v>
      </c>
      <c r="D550" s="688"/>
      <c r="E550" s="672">
        <f>SUM(E546:E549)</f>
        <v>22329.73</v>
      </c>
      <c r="F550" s="672">
        <f>SUM(F546:F549)</f>
        <v>23463.35</v>
      </c>
      <c r="G550" s="53"/>
      <c r="H550" s="12" t="s">
        <v>2322</v>
      </c>
    </row>
    <row r="551" spans="1:8">
      <c r="A551" s="16"/>
      <c r="B551" s="650"/>
      <c r="C551" s="573" t="s">
        <v>871</v>
      </c>
      <c r="D551" s="659"/>
      <c r="E551" s="686">
        <f>ROUND(E550/10,2)</f>
        <v>2232.9699999999998</v>
      </c>
      <c r="F551" s="686">
        <f>ROUND(F550/10,2)</f>
        <v>2346.34</v>
      </c>
      <c r="G551" s="53"/>
      <c r="H551" s="12" t="s">
        <v>2322</v>
      </c>
    </row>
    <row r="552" spans="1:8" ht="102">
      <c r="A552" s="16">
        <v>12</v>
      </c>
      <c r="B552" s="650" t="s">
        <v>1313</v>
      </c>
      <c r="C552" s="700" t="s">
        <v>1312</v>
      </c>
      <c r="D552" s="673"/>
      <c r="E552" s="673"/>
      <c r="F552" s="673"/>
      <c r="G552" s="650"/>
      <c r="H552" s="12" t="s">
        <v>2322</v>
      </c>
    </row>
    <row r="553" spans="1:8">
      <c r="A553" s="16"/>
      <c r="B553" s="650"/>
      <c r="C553" s="573" t="s">
        <v>42</v>
      </c>
      <c r="D553" s="673"/>
      <c r="E553" s="673"/>
      <c r="F553" s="673"/>
      <c r="G553" s="652"/>
      <c r="H553" s="12" t="s">
        <v>2322</v>
      </c>
    </row>
    <row r="554" spans="1:8">
      <c r="A554" s="16"/>
      <c r="B554" s="650"/>
      <c r="C554" s="573" t="s">
        <v>60</v>
      </c>
      <c r="D554" s="673"/>
      <c r="E554" s="673"/>
      <c r="F554" s="673"/>
      <c r="G554" s="652"/>
      <c r="H554" s="12" t="s">
        <v>2322</v>
      </c>
    </row>
    <row r="555" spans="1:8">
      <c r="A555" s="16"/>
      <c r="B555" s="650"/>
      <c r="C555" s="700" t="s">
        <v>43</v>
      </c>
      <c r="D555" s="673" t="s">
        <v>35</v>
      </c>
      <c r="E555" s="659">
        <v>0.15</v>
      </c>
      <c r="F555" s="659">
        <f>G9</f>
        <v>4267.8</v>
      </c>
      <c r="G555" s="53">
        <f>ROUND(E555*F555,2)</f>
        <v>640.16999999999996</v>
      </c>
      <c r="H555" s="12" t="s">
        <v>2322</v>
      </c>
    </row>
    <row r="556" spans="1:8">
      <c r="A556" s="16"/>
      <c r="B556" s="650"/>
      <c r="C556" s="700" t="s">
        <v>1659</v>
      </c>
      <c r="D556" s="673" t="s">
        <v>4</v>
      </c>
      <c r="E556" s="659">
        <v>2</v>
      </c>
      <c r="F556" s="659">
        <f>'MINI SSR 2022-23 (2)'!$C$44</f>
        <v>85</v>
      </c>
      <c r="G556" s="53">
        <f>ROUND(E556*F556,2)</f>
        <v>170</v>
      </c>
      <c r="H556" s="12" t="s">
        <v>2322</v>
      </c>
    </row>
    <row r="557" spans="1:8">
      <c r="A557" s="673"/>
      <c r="B557" s="673"/>
      <c r="C557" s="573" t="s">
        <v>68</v>
      </c>
      <c r="D557" s="673"/>
      <c r="E557" s="659"/>
      <c r="F557" s="659"/>
      <c r="G557" s="53"/>
      <c r="H557" s="12" t="s">
        <v>2322</v>
      </c>
    </row>
    <row r="558" spans="1:8">
      <c r="A558" s="673"/>
      <c r="B558" s="673"/>
      <c r="C558" s="700" t="s">
        <v>64</v>
      </c>
      <c r="D558" s="673" t="s">
        <v>27</v>
      </c>
      <c r="E558" s="659">
        <v>0.45</v>
      </c>
      <c r="F558" s="672">
        <f>'MINI SSR 2022-23 (2)'!$H$3</f>
        <v>630</v>
      </c>
      <c r="G558" s="53">
        <f>ROUND(E558*F558,2)</f>
        <v>283.5</v>
      </c>
      <c r="H558" s="12" t="s">
        <v>2322</v>
      </c>
    </row>
    <row r="559" spans="1:8">
      <c r="A559" s="673"/>
      <c r="B559" s="673"/>
      <c r="C559" s="700" t="s">
        <v>69</v>
      </c>
      <c r="D559" s="673" t="s">
        <v>27</v>
      </c>
      <c r="E559" s="659">
        <v>1.05</v>
      </c>
      <c r="F559" s="672">
        <f>'MINI SSR 2022-23 (2)'!$H$4</f>
        <v>565</v>
      </c>
      <c r="G559" s="53">
        <f>ROUND(E559*F559,2)</f>
        <v>593.25</v>
      </c>
      <c r="H559" s="12" t="s">
        <v>2322</v>
      </c>
    </row>
    <row r="560" spans="1:8">
      <c r="A560" s="673"/>
      <c r="B560" s="673"/>
      <c r="C560" s="700" t="s">
        <v>85</v>
      </c>
      <c r="D560" s="673" t="s">
        <v>27</v>
      </c>
      <c r="E560" s="659">
        <v>2.8</v>
      </c>
      <c r="F560" s="672">
        <f>'MINI SSR 2022-23 (2)'!$H$5</f>
        <v>525</v>
      </c>
      <c r="G560" s="53">
        <f>ROUND(E560*F560,2)</f>
        <v>1470</v>
      </c>
      <c r="H560" s="12" t="s">
        <v>2322</v>
      </c>
    </row>
    <row r="561" spans="1:8">
      <c r="A561" s="673"/>
      <c r="B561" s="673"/>
      <c r="C561" s="573" t="s">
        <v>88</v>
      </c>
      <c r="D561" s="673"/>
      <c r="E561" s="673"/>
      <c r="F561" s="673"/>
      <c r="G561" s="661">
        <f>SUM(G555:G560)</f>
        <v>3156.92</v>
      </c>
      <c r="H561" s="12" t="s">
        <v>2322</v>
      </c>
    </row>
    <row r="562" spans="1:8">
      <c r="A562" s="673"/>
      <c r="B562" s="673"/>
      <c r="C562" s="573"/>
      <c r="D562" s="673"/>
      <c r="E562" s="650" t="s">
        <v>161</v>
      </c>
      <c r="F562" s="650" t="s">
        <v>162</v>
      </c>
      <c r="G562" s="660" t="s">
        <v>162</v>
      </c>
      <c r="H562" s="12" t="s">
        <v>2322</v>
      </c>
    </row>
    <row r="563" spans="1:8">
      <c r="A563" s="673"/>
      <c r="B563" s="673"/>
      <c r="C563" s="573" t="s">
        <v>1274</v>
      </c>
      <c r="D563" s="673"/>
      <c r="E563" s="659">
        <f>G561</f>
        <v>3156.92</v>
      </c>
      <c r="F563" s="659">
        <f>G561</f>
        <v>3156.92</v>
      </c>
      <c r="G563" s="652">
        <f>G561</f>
        <v>3156.92</v>
      </c>
      <c r="H563" s="12" t="s">
        <v>2322</v>
      </c>
    </row>
    <row r="564" spans="1:8" ht="25.5">
      <c r="A564" s="673"/>
      <c r="B564" s="673"/>
      <c r="C564" s="700" t="s">
        <v>1286</v>
      </c>
      <c r="D564" s="673"/>
      <c r="E564" s="673"/>
      <c r="F564" s="652">
        <f>(SUM(G558:G560)*10%)</f>
        <v>234.67500000000001</v>
      </c>
      <c r="G564" s="652">
        <f>(SUM(G558:G560)*20%)</f>
        <v>469.35</v>
      </c>
      <c r="H564" s="12" t="s">
        <v>2322</v>
      </c>
    </row>
    <row r="565" spans="1:8">
      <c r="A565" s="673"/>
      <c r="B565" s="673"/>
      <c r="C565" s="573" t="s">
        <v>88</v>
      </c>
      <c r="D565" s="673"/>
      <c r="E565" s="659">
        <f>SUM(E563:E564)</f>
        <v>3156.92</v>
      </c>
      <c r="F565" s="659">
        <f>SUM(F563:F564)</f>
        <v>3391.5950000000003</v>
      </c>
      <c r="G565" s="652">
        <f>SUM(G563:G564)</f>
        <v>3626.27</v>
      </c>
      <c r="H565" s="12" t="s">
        <v>2322</v>
      </c>
    </row>
    <row r="566" spans="1:8">
      <c r="A566" s="673"/>
      <c r="B566" s="673"/>
      <c r="C566" s="573" t="s">
        <v>121</v>
      </c>
      <c r="D566" s="673"/>
      <c r="E566" s="660">
        <f>ROUND(E565/10,2)</f>
        <v>315.69</v>
      </c>
      <c r="F566" s="660">
        <f>ROUND(F565/10,2)</f>
        <v>339.16</v>
      </c>
      <c r="G566" s="661">
        <f>ROUND(G565/10,2)</f>
        <v>362.63</v>
      </c>
      <c r="H566" s="12" t="s">
        <v>2322</v>
      </c>
    </row>
    <row r="567" spans="1:8" ht="102">
      <c r="A567" s="16">
        <v>39</v>
      </c>
      <c r="B567" s="650" t="s">
        <v>1313</v>
      </c>
      <c r="C567" s="700" t="s">
        <v>899</v>
      </c>
      <c r="D567" s="673"/>
      <c r="E567" s="673"/>
      <c r="F567" s="673"/>
      <c r="G567" s="650" t="s">
        <v>148</v>
      </c>
      <c r="H567" s="12" t="s">
        <v>2322</v>
      </c>
    </row>
    <row r="568" spans="1:8">
      <c r="A568" s="16"/>
      <c r="B568" s="650"/>
      <c r="C568" s="573" t="s">
        <v>42</v>
      </c>
      <c r="D568" s="673"/>
      <c r="E568" s="673"/>
      <c r="F568" s="673"/>
      <c r="G568" s="652"/>
      <c r="H568" s="12" t="s">
        <v>2322</v>
      </c>
    </row>
    <row r="569" spans="1:8">
      <c r="A569" s="16"/>
      <c r="B569" s="650"/>
      <c r="C569" s="573" t="s">
        <v>60</v>
      </c>
      <c r="D569" s="673"/>
      <c r="E569" s="673"/>
      <c r="F569" s="673"/>
      <c r="G569" s="652"/>
      <c r="H569" s="12" t="s">
        <v>2322</v>
      </c>
    </row>
    <row r="570" spans="1:8">
      <c r="A570" s="16"/>
      <c r="B570" s="650"/>
      <c r="C570" s="700" t="s">
        <v>43</v>
      </c>
      <c r="D570" s="673" t="s">
        <v>35</v>
      </c>
      <c r="E570" s="659">
        <v>0.21</v>
      </c>
      <c r="F570" s="659">
        <f>G24</f>
        <v>3139.8</v>
      </c>
      <c r="G570" s="53">
        <f>ROUND(E570*F570,2)</f>
        <v>659.36</v>
      </c>
      <c r="H570" s="12" t="s">
        <v>2322</v>
      </c>
    </row>
    <row r="571" spans="1:8">
      <c r="A571" s="16"/>
      <c r="B571" s="650"/>
      <c r="C571" s="700" t="s">
        <v>1659</v>
      </c>
      <c r="D571" s="673" t="s">
        <v>4</v>
      </c>
      <c r="E571" s="659">
        <v>2</v>
      </c>
      <c r="F571" s="659">
        <f>'MINI SSR 2022-23 (2)'!$C$44</f>
        <v>85</v>
      </c>
      <c r="G571" s="53">
        <f>ROUND(E571*F571,2)</f>
        <v>170</v>
      </c>
      <c r="H571" s="12" t="s">
        <v>2322</v>
      </c>
    </row>
    <row r="572" spans="1:8">
      <c r="A572" s="673"/>
      <c r="B572" s="673"/>
      <c r="C572" s="573" t="s">
        <v>68</v>
      </c>
      <c r="D572" s="673"/>
      <c r="E572" s="659"/>
      <c r="F572" s="659"/>
      <c r="G572" s="53"/>
      <c r="H572" s="12" t="s">
        <v>2322</v>
      </c>
    </row>
    <row r="573" spans="1:8">
      <c r="A573" s="673"/>
      <c r="B573" s="673"/>
      <c r="C573" s="700" t="s">
        <v>64</v>
      </c>
      <c r="D573" s="673" t="s">
        <v>27</v>
      </c>
      <c r="E573" s="659">
        <v>0.66</v>
      </c>
      <c r="F573" s="672">
        <f>'MINI SSR 2022-23 (2)'!$H$3</f>
        <v>630</v>
      </c>
      <c r="G573" s="53">
        <f>ROUND(E573*F573,2)</f>
        <v>415.8</v>
      </c>
      <c r="H573" s="12" t="s">
        <v>2322</v>
      </c>
    </row>
    <row r="574" spans="1:8">
      <c r="A574" s="673"/>
      <c r="B574" s="673"/>
      <c r="C574" s="700" t="s">
        <v>69</v>
      </c>
      <c r="D574" s="673" t="s">
        <v>27</v>
      </c>
      <c r="E574" s="659">
        <v>1.54</v>
      </c>
      <c r="F574" s="672">
        <f>'MINI SSR 2022-23 (2)'!$H$4</f>
        <v>565</v>
      </c>
      <c r="G574" s="53">
        <f>ROUND(E574*F574,2)</f>
        <v>870.1</v>
      </c>
      <c r="H574" s="12" t="s">
        <v>2322</v>
      </c>
    </row>
    <row r="575" spans="1:8">
      <c r="A575" s="673"/>
      <c r="B575" s="673"/>
      <c r="C575" s="700" t="s">
        <v>85</v>
      </c>
      <c r="D575" s="673" t="s">
        <v>27</v>
      </c>
      <c r="E575" s="659">
        <v>3.7</v>
      </c>
      <c r="F575" s="672">
        <f>'MINI SSR 2022-23 (2)'!$H$5</f>
        <v>525</v>
      </c>
      <c r="G575" s="53">
        <f>ROUND(E575*F575,2)</f>
        <v>1942.5</v>
      </c>
      <c r="H575" s="12" t="s">
        <v>2322</v>
      </c>
    </row>
    <row r="576" spans="1:8">
      <c r="A576" s="673"/>
      <c r="B576" s="673"/>
      <c r="C576" s="573" t="s">
        <v>88</v>
      </c>
      <c r="D576" s="673"/>
      <c r="E576" s="673"/>
      <c r="F576" s="673"/>
      <c r="G576" s="661">
        <f>SUM(G570:G575)</f>
        <v>4057.76</v>
      </c>
      <c r="H576" s="12" t="s">
        <v>2322</v>
      </c>
    </row>
    <row r="577" spans="1:8">
      <c r="A577" s="673"/>
      <c r="B577" s="673"/>
      <c r="C577" s="573"/>
      <c r="D577" s="673"/>
      <c r="E577" s="650" t="s">
        <v>161</v>
      </c>
      <c r="F577" s="650" t="s">
        <v>162</v>
      </c>
      <c r="G577" s="660" t="s">
        <v>163</v>
      </c>
      <c r="H577" s="12" t="s">
        <v>2322</v>
      </c>
    </row>
    <row r="578" spans="1:8">
      <c r="A578" s="673"/>
      <c r="B578" s="673"/>
      <c r="C578" s="573" t="s">
        <v>1274</v>
      </c>
      <c r="D578" s="673"/>
      <c r="E578" s="659">
        <f>G576</f>
        <v>4057.76</v>
      </c>
      <c r="F578" s="659">
        <f>G576</f>
        <v>4057.76</v>
      </c>
      <c r="G578" s="652">
        <f>G576</f>
        <v>4057.76</v>
      </c>
      <c r="H578" s="12" t="s">
        <v>2322</v>
      </c>
    </row>
    <row r="579" spans="1:8" ht="25.5">
      <c r="A579" s="673"/>
      <c r="B579" s="673"/>
      <c r="C579" s="700" t="s">
        <v>1286</v>
      </c>
      <c r="D579" s="673"/>
      <c r="E579" s="673"/>
      <c r="F579" s="652">
        <f>(SUM(G573:G575)*10%)</f>
        <v>322.84000000000003</v>
      </c>
      <c r="G579" s="652">
        <f>(SUM(G573:G575)*20%)</f>
        <v>645.68000000000006</v>
      </c>
      <c r="H579" s="12" t="s">
        <v>2322</v>
      </c>
    </row>
    <row r="580" spans="1:8">
      <c r="A580" s="673"/>
      <c r="B580" s="673"/>
      <c r="C580" s="573" t="s">
        <v>88</v>
      </c>
      <c r="D580" s="673"/>
      <c r="E580" s="659">
        <f>SUM(E578:E579)</f>
        <v>4057.76</v>
      </c>
      <c r="F580" s="659">
        <f>SUM(F578:F579)</f>
        <v>4380.6000000000004</v>
      </c>
      <c r="G580" s="652">
        <f>SUM(G578:G579)</f>
        <v>4703.4400000000005</v>
      </c>
      <c r="H580" s="12" t="s">
        <v>2322</v>
      </c>
    </row>
    <row r="581" spans="1:8">
      <c r="A581" s="673"/>
      <c r="B581" s="673"/>
      <c r="C581" s="573" t="s">
        <v>121</v>
      </c>
      <c r="D581" s="673"/>
      <c r="E581" s="660">
        <f>ROUND(E580/10,2)</f>
        <v>405.78</v>
      </c>
      <c r="F581" s="660">
        <f>ROUND(F580/10,2)</f>
        <v>438.06</v>
      </c>
      <c r="G581" s="661">
        <f>ROUND(G580/10,2)</f>
        <v>470.34</v>
      </c>
      <c r="H581" s="12" t="s">
        <v>2322</v>
      </c>
    </row>
    <row r="582" spans="1:8" ht="165.75">
      <c r="A582" s="16">
        <v>13</v>
      </c>
      <c r="B582" s="650" t="s">
        <v>666</v>
      </c>
      <c r="C582" s="700" t="s">
        <v>665</v>
      </c>
      <c r="D582" s="673"/>
      <c r="E582" s="673"/>
      <c r="F582" s="673"/>
      <c r="G582" s="650" t="s">
        <v>666</v>
      </c>
      <c r="H582" s="12" t="s">
        <v>2322</v>
      </c>
    </row>
    <row r="583" spans="1:8">
      <c r="A583" s="16"/>
      <c r="B583" s="650"/>
      <c r="C583" s="573" t="s">
        <v>42</v>
      </c>
      <c r="D583" s="673"/>
      <c r="E583" s="673"/>
      <c r="F583" s="673"/>
      <c r="G583" s="652"/>
      <c r="H583" s="12" t="s">
        <v>2322</v>
      </c>
    </row>
    <row r="584" spans="1:8">
      <c r="A584" s="16"/>
      <c r="B584" s="650"/>
      <c r="C584" s="573" t="s">
        <v>60</v>
      </c>
      <c r="D584" s="673"/>
      <c r="E584" s="673"/>
      <c r="F584" s="673"/>
      <c r="G584" s="652"/>
      <c r="H584" s="12" t="s">
        <v>2322</v>
      </c>
    </row>
    <row r="585" spans="1:8" ht="25.5">
      <c r="A585" s="16"/>
      <c r="B585" s="650"/>
      <c r="C585" s="700" t="s">
        <v>667</v>
      </c>
      <c r="D585" s="673" t="s">
        <v>77</v>
      </c>
      <c r="E585" s="659">
        <v>10.5</v>
      </c>
      <c r="F585" s="659">
        <f>'lead 22-23 P-B'!L22</f>
        <v>2257.7440000000001</v>
      </c>
      <c r="G585" s="53">
        <f>ROUND(E585*F585/1,2)</f>
        <v>23706.31</v>
      </c>
      <c r="H585" s="12" t="s">
        <v>2322</v>
      </c>
    </row>
    <row r="586" spans="1:8">
      <c r="A586" s="16"/>
      <c r="B586" s="650"/>
      <c r="C586" s="700" t="s">
        <v>91</v>
      </c>
      <c r="D586" s="673" t="s">
        <v>4</v>
      </c>
      <c r="E586" s="659">
        <v>36</v>
      </c>
      <c r="F586" s="659">
        <f>'lead 22-23 P-B'!L8</f>
        <v>4700</v>
      </c>
      <c r="G586" s="53">
        <f>ROUND(E586*F586/1000,2)</f>
        <v>169.2</v>
      </c>
      <c r="H586" s="12" t="s">
        <v>2322</v>
      </c>
    </row>
    <row r="587" spans="1:8">
      <c r="A587" s="16"/>
      <c r="B587" s="650"/>
      <c r="C587" s="700" t="s">
        <v>92</v>
      </c>
      <c r="D587" s="673" t="s">
        <v>4</v>
      </c>
      <c r="E587" s="659">
        <v>33</v>
      </c>
      <c r="F587" s="659">
        <f>F586</f>
        <v>4700</v>
      </c>
      <c r="G587" s="53">
        <f>ROUND(E587*F587/1000,2)</f>
        <v>155.1</v>
      </c>
      <c r="H587" s="12" t="s">
        <v>2322</v>
      </c>
    </row>
    <row r="588" spans="1:8">
      <c r="A588" s="16"/>
      <c r="B588" s="650"/>
      <c r="C588" s="700" t="s">
        <v>93</v>
      </c>
      <c r="D588" s="673" t="s">
        <v>4</v>
      </c>
      <c r="E588" s="659">
        <v>6</v>
      </c>
      <c r="F588" s="659">
        <f>F587</f>
        <v>4700</v>
      </c>
      <c r="G588" s="53">
        <f>ROUND(E588*F588/1000,2)</f>
        <v>28.2</v>
      </c>
      <c r="H588" s="12" t="s">
        <v>2322</v>
      </c>
    </row>
    <row r="589" spans="1:8">
      <c r="A589" s="16"/>
      <c r="B589" s="650"/>
      <c r="C589" s="700" t="s">
        <v>114</v>
      </c>
      <c r="D589" s="673" t="s">
        <v>35</v>
      </c>
      <c r="E589" s="659">
        <v>0.2</v>
      </c>
      <c r="F589" s="659">
        <f>'lead 22-23 P-B'!L12</f>
        <v>1815.9999999999998</v>
      </c>
      <c r="G589" s="53">
        <f>ROUND(E589*F589,2)</f>
        <v>363.2</v>
      </c>
      <c r="H589" s="12" t="s">
        <v>2322</v>
      </c>
    </row>
    <row r="590" spans="1:8">
      <c r="A590" s="673"/>
      <c r="B590" s="673"/>
      <c r="C590" s="573" t="s">
        <v>68</v>
      </c>
      <c r="D590" s="673"/>
      <c r="E590" s="659"/>
      <c r="F590" s="659"/>
      <c r="G590" s="53"/>
      <c r="H590" s="12" t="s">
        <v>2322</v>
      </c>
    </row>
    <row r="591" spans="1:8">
      <c r="A591" s="673"/>
      <c r="B591" s="673"/>
      <c r="C591" s="700" t="s">
        <v>64</v>
      </c>
      <c r="D591" s="673" t="s">
        <v>27</v>
      </c>
      <c r="E591" s="659">
        <v>3</v>
      </c>
      <c r="F591" s="672">
        <f>'MINI SSR 2022-23 (2)'!$H$3</f>
        <v>630</v>
      </c>
      <c r="G591" s="53">
        <f>ROUND(E591*F591,2)</f>
        <v>1890</v>
      </c>
      <c r="H591" s="12" t="s">
        <v>2322</v>
      </c>
    </row>
    <row r="592" spans="1:8">
      <c r="A592" s="673"/>
      <c r="B592" s="673"/>
      <c r="C592" s="700" t="s">
        <v>69</v>
      </c>
      <c r="D592" s="673" t="s">
        <v>27</v>
      </c>
      <c r="E592" s="659">
        <v>1</v>
      </c>
      <c r="F592" s="672">
        <f>'MINI SSR 2022-23 (2)'!$H$4</f>
        <v>565</v>
      </c>
      <c r="G592" s="53">
        <f>ROUND(E592*F592,2)</f>
        <v>565</v>
      </c>
      <c r="H592" s="12" t="s">
        <v>2322</v>
      </c>
    </row>
    <row r="593" spans="1:8">
      <c r="A593" s="673"/>
      <c r="B593" s="673"/>
      <c r="C593" s="700" t="s">
        <v>85</v>
      </c>
      <c r="D593" s="673" t="s">
        <v>27</v>
      </c>
      <c r="E593" s="659">
        <v>8</v>
      </c>
      <c r="F593" s="672">
        <f>'MINI SSR 2022-23 (2)'!$H$5</f>
        <v>525</v>
      </c>
      <c r="G593" s="53">
        <f>ROUND(E593*F593,2)</f>
        <v>4200</v>
      </c>
      <c r="H593" s="12" t="s">
        <v>2322</v>
      </c>
    </row>
    <row r="594" spans="1:8">
      <c r="A594" s="673"/>
      <c r="B594" s="673"/>
      <c r="C594" s="700" t="s">
        <v>895</v>
      </c>
      <c r="D594" s="673"/>
      <c r="E594" s="659">
        <v>0.01</v>
      </c>
      <c r="F594" s="659">
        <f>SUM(G586:G593)</f>
        <v>7370.7</v>
      </c>
      <c r="G594" s="53">
        <f>ROUND(E594*F594,2)</f>
        <v>73.709999999999994</v>
      </c>
      <c r="H594" s="12" t="s">
        <v>2322</v>
      </c>
    </row>
    <row r="595" spans="1:8">
      <c r="A595" s="673"/>
      <c r="B595" s="673"/>
      <c r="C595" s="573" t="s">
        <v>88</v>
      </c>
      <c r="D595" s="673"/>
      <c r="E595" s="673"/>
      <c r="F595" s="673"/>
      <c r="G595" s="661">
        <f>SUM(G585:G594)</f>
        <v>31150.720000000001</v>
      </c>
      <c r="H595" s="12" t="s">
        <v>2322</v>
      </c>
    </row>
    <row r="596" spans="1:8">
      <c r="A596" s="673"/>
      <c r="B596" s="673"/>
      <c r="C596" s="573"/>
      <c r="D596" s="673"/>
      <c r="E596" s="650" t="s">
        <v>161</v>
      </c>
      <c r="F596" s="650" t="s">
        <v>162</v>
      </c>
      <c r="G596" s="660" t="s">
        <v>163</v>
      </c>
      <c r="H596" s="12" t="s">
        <v>2322</v>
      </c>
    </row>
    <row r="597" spans="1:8">
      <c r="A597" s="673"/>
      <c r="B597" s="673"/>
      <c r="C597" s="573" t="s">
        <v>1274</v>
      </c>
      <c r="D597" s="673"/>
      <c r="E597" s="659">
        <f>G595</f>
        <v>31150.720000000001</v>
      </c>
      <c r="F597" s="659">
        <f>G595</f>
        <v>31150.720000000001</v>
      </c>
      <c r="G597" s="652">
        <f>G595</f>
        <v>31150.720000000001</v>
      </c>
      <c r="H597" s="12" t="s">
        <v>2322</v>
      </c>
    </row>
    <row r="598" spans="1:8" ht="25.5">
      <c r="A598" s="673"/>
      <c r="B598" s="673"/>
      <c r="C598" s="700" t="s">
        <v>1286</v>
      </c>
      <c r="D598" s="673"/>
      <c r="E598" s="659"/>
      <c r="F598" s="652">
        <f>ROUND((G591+G592+G593)*0.1,2)</f>
        <v>665.5</v>
      </c>
      <c r="G598" s="652">
        <f>ROUND((G591+G592+G593)*0.2,2)</f>
        <v>1331</v>
      </c>
      <c r="H598" s="12" t="s">
        <v>2322</v>
      </c>
    </row>
    <row r="599" spans="1:8">
      <c r="A599" s="673"/>
      <c r="B599" s="673"/>
      <c r="C599" s="573" t="s">
        <v>88</v>
      </c>
      <c r="D599" s="673"/>
      <c r="E599" s="659">
        <f>SUM(E597:E598)</f>
        <v>31150.720000000001</v>
      </c>
      <c r="F599" s="652">
        <f>SUM(F597:F598)</f>
        <v>31816.22</v>
      </c>
      <c r="G599" s="652">
        <f>SUM(G597:G598)</f>
        <v>32481.72</v>
      </c>
      <c r="H599" s="12" t="s">
        <v>2322</v>
      </c>
    </row>
    <row r="600" spans="1:8">
      <c r="A600" s="673"/>
      <c r="B600" s="673"/>
      <c r="C600" s="573" t="s">
        <v>121</v>
      </c>
      <c r="D600" s="673"/>
      <c r="E600" s="660">
        <f>ROUND(E599/10,2)</f>
        <v>3115.07</v>
      </c>
      <c r="F600" s="660">
        <f>ROUND(F599/10,2)</f>
        <v>3181.62</v>
      </c>
      <c r="G600" s="661">
        <f>ROUND(G599/10,2)</f>
        <v>3248.17</v>
      </c>
      <c r="H600" s="12" t="s">
        <v>2322</v>
      </c>
    </row>
    <row r="601" spans="1:8" ht="153">
      <c r="A601" s="16">
        <v>14</v>
      </c>
      <c r="B601" s="650" t="s">
        <v>668</v>
      </c>
      <c r="C601" s="700" t="s">
        <v>671</v>
      </c>
      <c r="D601" s="673"/>
      <c r="E601" s="673"/>
      <c r="F601" s="673"/>
      <c r="G601" s="650"/>
      <c r="H601" s="12" t="s">
        <v>2322</v>
      </c>
    </row>
    <row r="602" spans="1:8">
      <c r="A602" s="16"/>
      <c r="B602" s="650"/>
      <c r="C602" s="573" t="s">
        <v>42</v>
      </c>
      <c r="D602" s="673"/>
      <c r="E602" s="673"/>
      <c r="F602" s="673"/>
      <c r="G602" s="652"/>
      <c r="H602" s="12" t="s">
        <v>2322</v>
      </c>
    </row>
    <row r="603" spans="1:8">
      <c r="A603" s="16"/>
      <c r="B603" s="650"/>
      <c r="C603" s="573" t="s">
        <v>60</v>
      </c>
      <c r="D603" s="673"/>
      <c r="E603" s="673"/>
      <c r="F603" s="673"/>
      <c r="G603" s="652"/>
      <c r="H603" s="12" t="s">
        <v>2322</v>
      </c>
    </row>
    <row r="604" spans="1:8" ht="25.5">
      <c r="A604" s="16"/>
      <c r="B604" s="650"/>
      <c r="C604" s="700" t="s">
        <v>667</v>
      </c>
      <c r="D604" s="673" t="s">
        <v>77</v>
      </c>
      <c r="E604" s="659">
        <v>10.5</v>
      </c>
      <c r="F604" s="659">
        <f>F585</f>
        <v>2257.7440000000001</v>
      </c>
      <c r="G604" s="53">
        <f>ROUND(E604*F604/1,2)</f>
        <v>23706.31</v>
      </c>
      <c r="H604" s="12" t="s">
        <v>2322</v>
      </c>
    </row>
    <row r="605" spans="1:8">
      <c r="A605" s="16"/>
      <c r="B605" s="650"/>
      <c r="C605" s="700" t="s">
        <v>669</v>
      </c>
      <c r="D605" s="673" t="s">
        <v>35</v>
      </c>
      <c r="E605" s="659">
        <v>0.12</v>
      </c>
      <c r="F605" s="659">
        <f>F589</f>
        <v>1815.9999999999998</v>
      </c>
      <c r="G605" s="53">
        <f>ROUND(E605*F605,2)</f>
        <v>217.92</v>
      </c>
      <c r="H605" s="12" t="s">
        <v>2322</v>
      </c>
    </row>
    <row r="606" spans="1:8">
      <c r="A606" s="16"/>
      <c r="B606" s="650"/>
      <c r="C606" s="700" t="s">
        <v>105</v>
      </c>
      <c r="D606" s="673" t="s">
        <v>4</v>
      </c>
      <c r="E606" s="659">
        <v>57.6</v>
      </c>
      <c r="F606" s="659">
        <f>F586</f>
        <v>4700</v>
      </c>
      <c r="G606" s="53">
        <f>ROUND(E606*F606/1000,2)</f>
        <v>270.72000000000003</v>
      </c>
      <c r="H606" s="12" t="s">
        <v>2322</v>
      </c>
    </row>
    <row r="607" spans="1:8">
      <c r="A607" s="16"/>
      <c r="B607" s="650"/>
      <c r="C607" s="700" t="s">
        <v>92</v>
      </c>
      <c r="D607" s="673" t="s">
        <v>4</v>
      </c>
      <c r="E607" s="659">
        <v>33</v>
      </c>
      <c r="F607" s="659">
        <f>F587</f>
        <v>4700</v>
      </c>
      <c r="G607" s="53">
        <f>ROUND(E607*F607/1000,2)</f>
        <v>155.1</v>
      </c>
      <c r="H607" s="12" t="s">
        <v>2322</v>
      </c>
    </row>
    <row r="608" spans="1:8">
      <c r="A608" s="16"/>
      <c r="B608" s="650"/>
      <c r="C608" s="700" t="s">
        <v>670</v>
      </c>
      <c r="D608" s="673" t="s">
        <v>4</v>
      </c>
      <c r="E608" s="659">
        <v>5</v>
      </c>
      <c r="F608" s="659">
        <f>'MINI SSR 2022-23 (2)'!C45</f>
        <v>27.95</v>
      </c>
      <c r="G608" s="53">
        <f>ROUND(E608*F608,2)</f>
        <v>139.75</v>
      </c>
      <c r="H608" s="12" t="s">
        <v>2322</v>
      </c>
    </row>
    <row r="609" spans="1:8">
      <c r="A609" s="673"/>
      <c r="B609" s="673"/>
      <c r="C609" s="573" t="s">
        <v>68</v>
      </c>
      <c r="D609" s="673"/>
      <c r="E609" s="659"/>
      <c r="F609" s="659"/>
      <c r="G609" s="53"/>
      <c r="H609" s="12" t="s">
        <v>2322</v>
      </c>
    </row>
    <row r="610" spans="1:8">
      <c r="A610" s="673"/>
      <c r="B610" s="673"/>
      <c r="C610" s="700" t="s">
        <v>64</v>
      </c>
      <c r="D610" s="673" t="s">
        <v>27</v>
      </c>
      <c r="E610" s="659">
        <v>2.1</v>
      </c>
      <c r="F610" s="672">
        <f>'MINI SSR 2022-23 (2)'!$H$3</f>
        <v>630</v>
      </c>
      <c r="G610" s="53">
        <f>ROUND(E610*F610,2)</f>
        <v>1323</v>
      </c>
      <c r="H610" s="12" t="s">
        <v>2322</v>
      </c>
    </row>
    <row r="611" spans="1:8">
      <c r="A611" s="673"/>
      <c r="B611" s="673"/>
      <c r="C611" s="700" t="s">
        <v>69</v>
      </c>
      <c r="D611" s="673" t="s">
        <v>27</v>
      </c>
      <c r="E611" s="659">
        <v>4.9000000000000004</v>
      </c>
      <c r="F611" s="672">
        <f>'MINI SSR 2022-23 (2)'!$H$4</f>
        <v>565</v>
      </c>
      <c r="G611" s="53">
        <f>ROUND(E611*F611,2)</f>
        <v>2768.5</v>
      </c>
      <c r="H611" s="12" t="s">
        <v>2322</v>
      </c>
    </row>
    <row r="612" spans="1:8">
      <c r="A612" s="673"/>
      <c r="B612" s="673"/>
      <c r="C612" s="700" t="s">
        <v>85</v>
      </c>
      <c r="D612" s="673" t="s">
        <v>27</v>
      </c>
      <c r="E612" s="659">
        <v>0.8</v>
      </c>
      <c r="F612" s="672">
        <f>'MINI SSR 2022-23 (2)'!$H$5</f>
        <v>525</v>
      </c>
      <c r="G612" s="53">
        <f>ROUND(E612*F612,2)</f>
        <v>420</v>
      </c>
      <c r="H612" s="12" t="s">
        <v>2322</v>
      </c>
    </row>
    <row r="613" spans="1:8">
      <c r="A613" s="673"/>
      <c r="B613" s="673"/>
      <c r="C613" s="700" t="s">
        <v>895</v>
      </c>
      <c r="D613" s="673"/>
      <c r="E613" s="659">
        <v>0.01</v>
      </c>
      <c r="F613" s="659">
        <f>SUM(G605:G612)</f>
        <v>5294.99</v>
      </c>
      <c r="G613" s="53">
        <f>ROUND(E613*F613,2)</f>
        <v>52.95</v>
      </c>
      <c r="H613" s="12" t="s">
        <v>2322</v>
      </c>
    </row>
    <row r="614" spans="1:8">
      <c r="A614" s="673"/>
      <c r="B614" s="673"/>
      <c r="C614" s="573" t="s">
        <v>88</v>
      </c>
      <c r="D614" s="673"/>
      <c r="E614" s="673"/>
      <c r="F614" s="673"/>
      <c r="G614" s="661">
        <f>SUM(G604:G613)</f>
        <v>29054.25</v>
      </c>
      <c r="H614" s="12" t="s">
        <v>2322</v>
      </c>
    </row>
    <row r="615" spans="1:8">
      <c r="A615" s="673"/>
      <c r="B615" s="673"/>
      <c r="C615" s="573"/>
      <c r="D615" s="673"/>
      <c r="E615" s="650" t="s">
        <v>161</v>
      </c>
      <c r="F615" s="650" t="s">
        <v>161</v>
      </c>
      <c r="G615" s="660" t="s">
        <v>162</v>
      </c>
      <c r="H615" s="12" t="s">
        <v>2322</v>
      </c>
    </row>
    <row r="616" spans="1:8">
      <c r="A616" s="673"/>
      <c r="B616" s="673"/>
      <c r="C616" s="573" t="s">
        <v>1274</v>
      </c>
      <c r="D616" s="673"/>
      <c r="E616" s="659">
        <f>G614</f>
        <v>29054.25</v>
      </c>
      <c r="F616" s="659">
        <f>G614</f>
        <v>29054.25</v>
      </c>
      <c r="G616" s="652">
        <f>G614</f>
        <v>29054.25</v>
      </c>
      <c r="H616" s="12" t="s">
        <v>2322</v>
      </c>
    </row>
    <row r="617" spans="1:8">
      <c r="A617" s="673"/>
      <c r="B617" s="673"/>
      <c r="C617" s="700" t="s">
        <v>1350</v>
      </c>
      <c r="D617" s="673"/>
      <c r="E617" s="659"/>
      <c r="F617" s="652">
        <f>ROUND((G610+G611+G612)*0.1,2)</f>
        <v>451.15</v>
      </c>
      <c r="G617" s="652">
        <f>ROUND((G610+G611+G612)*0.2,2)</f>
        <v>902.3</v>
      </c>
      <c r="H617" s="12" t="s">
        <v>2322</v>
      </c>
    </row>
    <row r="618" spans="1:8">
      <c r="A618" s="673"/>
      <c r="B618" s="673"/>
      <c r="C618" s="573" t="s">
        <v>88</v>
      </c>
      <c r="D618" s="673"/>
      <c r="E618" s="659">
        <f>SUM(E616:E617)</f>
        <v>29054.25</v>
      </c>
      <c r="F618" s="659">
        <f>SUM(F616:F617)</f>
        <v>29505.4</v>
      </c>
      <c r="G618" s="652">
        <f>SUM(G616:G617)</f>
        <v>29956.55</v>
      </c>
      <c r="H618" s="12" t="s">
        <v>2322</v>
      </c>
    </row>
    <row r="619" spans="1:8">
      <c r="A619" s="673"/>
      <c r="B619" s="673"/>
      <c r="C619" s="573" t="s">
        <v>121</v>
      </c>
      <c r="D619" s="673"/>
      <c r="E619" s="660">
        <f>ROUND(E618/10,2)</f>
        <v>2905.43</v>
      </c>
      <c r="F619" s="660">
        <f>ROUND(F618/10,2)</f>
        <v>2950.54</v>
      </c>
      <c r="G619" s="661">
        <f>ROUND(G618/10,2)</f>
        <v>2995.66</v>
      </c>
      <c r="H619" s="12" t="s">
        <v>2322</v>
      </c>
    </row>
    <row r="620" spans="1:8" ht="38.25">
      <c r="A620" s="16">
        <v>42</v>
      </c>
      <c r="B620" s="650"/>
      <c r="C620" s="700" t="s">
        <v>937</v>
      </c>
      <c r="D620" s="673"/>
      <c r="E620" s="673"/>
      <c r="F620" s="673"/>
      <c r="G620" s="39"/>
      <c r="H620" s="12" t="s">
        <v>2322</v>
      </c>
    </row>
    <row r="621" spans="1:8">
      <c r="A621" s="39"/>
      <c r="B621" s="39"/>
      <c r="C621" s="700" t="s">
        <v>938</v>
      </c>
      <c r="D621" s="16" t="s">
        <v>277</v>
      </c>
      <c r="E621" s="541">
        <v>1</v>
      </c>
      <c r="F621" s="10">
        <f>'MINI SSR 2022-23 (2)'!C46</f>
        <v>453</v>
      </c>
      <c r="G621" s="53">
        <f>ROUND(E621*F621,2)</f>
        <v>453</v>
      </c>
      <c r="H621" s="12" t="s">
        <v>2322</v>
      </c>
    </row>
    <row r="622" spans="1:8">
      <c r="A622" s="39"/>
      <c r="B622" s="39"/>
      <c r="C622" s="573" t="s">
        <v>377</v>
      </c>
      <c r="D622" s="16"/>
      <c r="E622" s="10"/>
      <c r="F622" s="10"/>
      <c r="G622" s="675">
        <f>SUM(G621:G621)</f>
        <v>453</v>
      </c>
      <c r="H622" s="12" t="s">
        <v>2322</v>
      </c>
    </row>
    <row r="623" spans="1:8" ht="140.25">
      <c r="A623" s="16">
        <v>43</v>
      </c>
      <c r="B623" s="650" t="s">
        <v>674</v>
      </c>
      <c r="C623" s="700" t="s">
        <v>673</v>
      </c>
      <c r="D623" s="673"/>
      <c r="E623" s="673"/>
      <c r="F623" s="673"/>
      <c r="G623" s="650"/>
      <c r="H623" s="12" t="s">
        <v>2322</v>
      </c>
    </row>
    <row r="624" spans="1:8">
      <c r="A624" s="16"/>
      <c r="B624" s="650"/>
      <c r="C624" s="573" t="s">
        <v>42</v>
      </c>
      <c r="D624" s="673"/>
      <c r="E624" s="673"/>
      <c r="F624" s="673"/>
      <c r="G624" s="652"/>
      <c r="H624" s="12" t="s">
        <v>2322</v>
      </c>
    </row>
    <row r="625" spans="1:8">
      <c r="A625" s="16"/>
      <c r="B625" s="650"/>
      <c r="C625" s="573" t="s">
        <v>60</v>
      </c>
      <c r="D625" s="673"/>
      <c r="E625" s="673"/>
      <c r="F625" s="673"/>
      <c r="G625" s="652"/>
      <c r="H625" s="12" t="s">
        <v>2322</v>
      </c>
    </row>
    <row r="626" spans="1:8" ht="25.5">
      <c r="A626" s="16"/>
      <c r="B626" s="650"/>
      <c r="C626" s="700" t="s">
        <v>677</v>
      </c>
      <c r="D626" s="673" t="s">
        <v>77</v>
      </c>
      <c r="E626" s="659">
        <v>10.5</v>
      </c>
      <c r="F626" s="659">
        <f>'MINI SSR 2022-23 (2)'!C20</f>
        <v>315</v>
      </c>
      <c r="G626" s="53">
        <f>ROUND(E626*F626/1,2)</f>
        <v>3307.5</v>
      </c>
      <c r="H626" s="12" t="s">
        <v>2322</v>
      </c>
    </row>
    <row r="627" spans="1:8">
      <c r="A627" s="16"/>
      <c r="B627" s="650"/>
      <c r="C627" s="700" t="s">
        <v>675</v>
      </c>
      <c r="D627" s="673" t="s">
        <v>4</v>
      </c>
      <c r="E627" s="659">
        <v>28.8</v>
      </c>
      <c r="F627" s="659">
        <f>F606</f>
        <v>4700</v>
      </c>
      <c r="G627" s="53">
        <f>ROUND(E627*F627/1000,2)</f>
        <v>135.36000000000001</v>
      </c>
      <c r="H627" s="12" t="s">
        <v>2322</v>
      </c>
    </row>
    <row r="628" spans="1:8">
      <c r="A628" s="16"/>
      <c r="B628" s="650"/>
      <c r="C628" s="700" t="s">
        <v>92</v>
      </c>
      <c r="D628" s="673" t="s">
        <v>4</v>
      </c>
      <c r="E628" s="659">
        <v>33</v>
      </c>
      <c r="F628" s="659">
        <f>F627</f>
        <v>4700</v>
      </c>
      <c r="G628" s="53">
        <f>ROUND(E628*F628/1000,2)</f>
        <v>155.1</v>
      </c>
      <c r="H628" s="12" t="s">
        <v>2322</v>
      </c>
    </row>
    <row r="629" spans="1:8">
      <c r="A629" s="16"/>
      <c r="B629" s="650"/>
      <c r="C629" s="700" t="s">
        <v>93</v>
      </c>
      <c r="D629" s="673" t="s">
        <v>4</v>
      </c>
      <c r="E629" s="659">
        <v>6</v>
      </c>
      <c r="F629" s="659">
        <f>F628</f>
        <v>4700</v>
      </c>
      <c r="G629" s="53">
        <f>ROUND(E629*F629/1000,2)</f>
        <v>28.2</v>
      </c>
      <c r="H629" s="12" t="s">
        <v>2322</v>
      </c>
    </row>
    <row r="630" spans="1:8">
      <c r="A630" s="16"/>
      <c r="B630" s="650"/>
      <c r="C630" s="700" t="s">
        <v>676</v>
      </c>
      <c r="D630" s="673" t="s">
        <v>35</v>
      </c>
      <c r="E630" s="659">
        <v>0.12</v>
      </c>
      <c r="F630" s="659">
        <f>'lead 22-23 P-B'!L12</f>
        <v>1815.9999999999998</v>
      </c>
      <c r="G630" s="53">
        <f>ROUND(E630*F630,2)</f>
        <v>217.92</v>
      </c>
      <c r="H630" s="12" t="s">
        <v>2322</v>
      </c>
    </row>
    <row r="631" spans="1:8">
      <c r="A631" s="673"/>
      <c r="B631" s="673"/>
      <c r="C631" s="573" t="s">
        <v>68</v>
      </c>
      <c r="D631" s="673"/>
      <c r="E631" s="659"/>
      <c r="F631" s="659"/>
      <c r="G631" s="53"/>
      <c r="H631" s="12" t="s">
        <v>2322</v>
      </c>
    </row>
    <row r="632" spans="1:8">
      <c r="A632" s="673"/>
      <c r="B632" s="673"/>
      <c r="C632" s="700" t="s">
        <v>69</v>
      </c>
      <c r="D632" s="673" t="s">
        <v>27</v>
      </c>
      <c r="E632" s="659">
        <v>0.96</v>
      </c>
      <c r="F632" s="672">
        <f>'MINI SSR 2022-23 (2)'!$H$3</f>
        <v>630</v>
      </c>
      <c r="G632" s="53">
        <f>ROUND(E632*F632,2)</f>
        <v>604.79999999999995</v>
      </c>
      <c r="H632" s="12" t="s">
        <v>2322</v>
      </c>
    </row>
    <row r="633" spans="1:8">
      <c r="A633" s="673"/>
      <c r="B633" s="673"/>
      <c r="C633" s="700" t="s">
        <v>218</v>
      </c>
      <c r="D633" s="673" t="s">
        <v>27</v>
      </c>
      <c r="E633" s="659">
        <v>2.2400000000000002</v>
      </c>
      <c r="F633" s="672">
        <f>'MINI SSR 2022-23 (2)'!$H$4</f>
        <v>565</v>
      </c>
      <c r="G633" s="53">
        <f>ROUND(E633*F633,2)</f>
        <v>1265.5999999999999</v>
      </c>
      <c r="H633" s="12" t="s">
        <v>2322</v>
      </c>
    </row>
    <row r="634" spans="1:8">
      <c r="A634" s="673"/>
      <c r="B634" s="673"/>
      <c r="C634" s="700" t="s">
        <v>85</v>
      </c>
      <c r="D634" s="673" t="s">
        <v>27</v>
      </c>
      <c r="E634" s="659">
        <v>3.3</v>
      </c>
      <c r="F634" s="672">
        <f>'MINI SSR 2022-23 (2)'!$H$5</f>
        <v>525</v>
      </c>
      <c r="G634" s="53">
        <f>ROUND(E634*F634,2)</f>
        <v>1732.5</v>
      </c>
      <c r="H634" s="12" t="s">
        <v>2322</v>
      </c>
    </row>
    <row r="635" spans="1:8">
      <c r="A635" s="673"/>
      <c r="B635" s="673"/>
      <c r="C635" s="573" t="s">
        <v>88</v>
      </c>
      <c r="D635" s="673"/>
      <c r="E635" s="673"/>
      <c r="F635" s="673"/>
      <c r="G635" s="661">
        <f>SUM(G626:G634)</f>
        <v>7446.98</v>
      </c>
      <c r="H635" s="12" t="s">
        <v>2322</v>
      </c>
    </row>
    <row r="636" spans="1:8">
      <c r="A636" s="673"/>
      <c r="B636" s="673"/>
      <c r="C636" s="573"/>
      <c r="D636" s="673"/>
      <c r="E636" s="650" t="s">
        <v>161</v>
      </c>
      <c r="F636" s="650" t="s">
        <v>162</v>
      </c>
      <c r="G636" s="660" t="s">
        <v>163</v>
      </c>
      <c r="H636" s="12" t="s">
        <v>2322</v>
      </c>
    </row>
    <row r="637" spans="1:8">
      <c r="A637" s="673"/>
      <c r="B637" s="673"/>
      <c r="C637" s="573" t="s">
        <v>1274</v>
      </c>
      <c r="D637" s="673"/>
      <c r="E637" s="659">
        <f>G635</f>
        <v>7446.98</v>
      </c>
      <c r="F637" s="659">
        <f>G635</f>
        <v>7446.98</v>
      </c>
      <c r="G637" s="652">
        <f>G635</f>
        <v>7446.98</v>
      </c>
      <c r="H637" s="12" t="s">
        <v>2322</v>
      </c>
    </row>
    <row r="638" spans="1:8" ht="25.5">
      <c r="A638" s="673"/>
      <c r="B638" s="673"/>
      <c r="C638" s="700" t="s">
        <v>1286</v>
      </c>
      <c r="D638" s="673"/>
      <c r="E638" s="659"/>
      <c r="F638" s="652">
        <f>ROUND((G633+G632+G634)*0.1,2)</f>
        <v>360.29</v>
      </c>
      <c r="G638" s="652">
        <f>ROUND((G634+G632+G633)*0.2,2)</f>
        <v>720.58</v>
      </c>
      <c r="H638" s="12" t="s">
        <v>2322</v>
      </c>
    </row>
    <row r="639" spans="1:8">
      <c r="A639" s="673"/>
      <c r="B639" s="673"/>
      <c r="C639" s="573" t="s">
        <v>88</v>
      </c>
      <c r="D639" s="673"/>
      <c r="E639" s="659">
        <f>SUM(E637:E638)</f>
        <v>7446.98</v>
      </c>
      <c r="F639" s="659">
        <f>SUM(F637:F638)</f>
        <v>7807.2699999999995</v>
      </c>
      <c r="G639" s="652">
        <f>SUM(G637:G638)</f>
        <v>8167.5599999999995</v>
      </c>
      <c r="H639" s="12" t="s">
        <v>2322</v>
      </c>
    </row>
    <row r="640" spans="1:8">
      <c r="A640" s="673"/>
      <c r="B640" s="673"/>
      <c r="C640" s="573" t="s">
        <v>121</v>
      </c>
      <c r="D640" s="673"/>
      <c r="E640" s="660">
        <f>ROUND(E639/10,2)</f>
        <v>744.7</v>
      </c>
      <c r="F640" s="660">
        <f>ROUND(F639/10,2)</f>
        <v>780.73</v>
      </c>
      <c r="G640" s="661">
        <f>ROUND(G639/10,2)</f>
        <v>816.76</v>
      </c>
      <c r="H640" s="12" t="s">
        <v>2322</v>
      </c>
    </row>
    <row r="641" spans="1:8" ht="127.5">
      <c r="A641" s="16">
        <v>44</v>
      </c>
      <c r="B641" s="650" t="s">
        <v>199</v>
      </c>
      <c r="C641" s="700" t="s">
        <v>679</v>
      </c>
      <c r="D641" s="673"/>
      <c r="E641" s="673"/>
      <c r="F641" s="673"/>
      <c r="G641" s="650"/>
      <c r="H641" s="12" t="s">
        <v>2322</v>
      </c>
    </row>
    <row r="642" spans="1:8">
      <c r="A642" s="16"/>
      <c r="B642" s="650"/>
      <c r="C642" s="573" t="s">
        <v>42</v>
      </c>
      <c r="D642" s="673"/>
      <c r="E642" s="673"/>
      <c r="F642" s="673"/>
      <c r="G642" s="652"/>
      <c r="H642" s="12" t="s">
        <v>2322</v>
      </c>
    </row>
    <row r="643" spans="1:8">
      <c r="A643" s="16"/>
      <c r="B643" s="650"/>
      <c r="C643" s="573" t="s">
        <v>60</v>
      </c>
      <c r="D643" s="673"/>
      <c r="E643" s="673"/>
      <c r="F643" s="673"/>
      <c r="G643" s="652"/>
      <c r="H643" s="12" t="s">
        <v>2322</v>
      </c>
    </row>
    <row r="644" spans="1:8" ht="25.5">
      <c r="A644" s="16"/>
      <c r="B644" s="650"/>
      <c r="C644" s="700" t="s">
        <v>677</v>
      </c>
      <c r="D644" s="673" t="s">
        <v>77</v>
      </c>
      <c r="E644" s="659">
        <v>10.5</v>
      </c>
      <c r="F644" s="659">
        <f>'MINI SSR 2022-23 (2)'!C20</f>
        <v>315</v>
      </c>
      <c r="G644" s="53">
        <f>ROUND(E644*F644/1,2)</f>
        <v>3307.5</v>
      </c>
      <c r="H644" s="12" t="s">
        <v>2322</v>
      </c>
    </row>
    <row r="645" spans="1:8">
      <c r="A645" s="16"/>
      <c r="B645" s="650"/>
      <c r="C645" s="700" t="s">
        <v>200</v>
      </c>
      <c r="D645" s="673" t="s">
        <v>35</v>
      </c>
      <c r="E645" s="659">
        <v>0.12</v>
      </c>
      <c r="F645" s="659">
        <f>F630</f>
        <v>1815.9999999999998</v>
      </c>
      <c r="G645" s="53">
        <f>ROUND(E645*F645,2)</f>
        <v>217.92</v>
      </c>
      <c r="H645" s="12" t="s">
        <v>2322</v>
      </c>
    </row>
    <row r="646" spans="1:8">
      <c r="A646" s="16"/>
      <c r="B646" s="650"/>
      <c r="C646" s="700" t="s">
        <v>201</v>
      </c>
      <c r="D646" s="673" t="s">
        <v>4</v>
      </c>
      <c r="E646" s="659">
        <v>34.56</v>
      </c>
      <c r="F646" s="659">
        <f>F627</f>
        <v>4700</v>
      </c>
      <c r="G646" s="53">
        <f>ROUND(E646*F646/1000,2)</f>
        <v>162.43</v>
      </c>
      <c r="H646" s="12" t="s">
        <v>2322</v>
      </c>
    </row>
    <row r="647" spans="1:8">
      <c r="A647" s="16"/>
      <c r="B647" s="650"/>
      <c r="C647" s="700" t="s">
        <v>202</v>
      </c>
      <c r="D647" s="673" t="s">
        <v>4</v>
      </c>
      <c r="E647" s="659">
        <v>33</v>
      </c>
      <c r="F647" s="659">
        <f>F646</f>
        <v>4700</v>
      </c>
      <c r="G647" s="53">
        <f>ROUND(E647*F647/1000,2)</f>
        <v>155.1</v>
      </c>
      <c r="H647" s="12" t="s">
        <v>2322</v>
      </c>
    </row>
    <row r="648" spans="1:8">
      <c r="A648" s="16"/>
      <c r="B648" s="650"/>
      <c r="C648" s="700" t="s">
        <v>204</v>
      </c>
      <c r="D648" s="673" t="s">
        <v>4</v>
      </c>
      <c r="E648" s="659">
        <v>2</v>
      </c>
      <c r="F648" s="659">
        <f>'MINI SSR 2022-23 (2)'!C45</f>
        <v>27.95</v>
      </c>
      <c r="G648" s="53">
        <f>ROUND(E648*F648,2)</f>
        <v>55.9</v>
      </c>
      <c r="H648" s="12" t="s">
        <v>2322</v>
      </c>
    </row>
    <row r="649" spans="1:8">
      <c r="A649" s="673"/>
      <c r="B649" s="673"/>
      <c r="C649" s="573" t="s">
        <v>68</v>
      </c>
      <c r="D649" s="673"/>
      <c r="E649" s="659"/>
      <c r="F649" s="659"/>
      <c r="G649" s="53"/>
      <c r="H649" s="12" t="s">
        <v>2322</v>
      </c>
    </row>
    <row r="650" spans="1:8">
      <c r="A650" s="673"/>
      <c r="B650" s="673"/>
      <c r="C650" s="700" t="s">
        <v>64</v>
      </c>
      <c r="D650" s="673" t="s">
        <v>27</v>
      </c>
      <c r="E650" s="659">
        <v>0.96</v>
      </c>
      <c r="F650" s="672">
        <f>'MINI SSR 2022-23 (2)'!$H$3</f>
        <v>630</v>
      </c>
      <c r="G650" s="53">
        <f>ROUND(E650*F650,2)</f>
        <v>604.79999999999995</v>
      </c>
      <c r="H650" s="12" t="s">
        <v>2322</v>
      </c>
    </row>
    <row r="651" spans="1:8">
      <c r="A651" s="673"/>
      <c r="B651" s="673"/>
      <c r="C651" s="700" t="s">
        <v>69</v>
      </c>
      <c r="D651" s="673" t="s">
        <v>27</v>
      </c>
      <c r="E651" s="659">
        <v>2.2400000000000002</v>
      </c>
      <c r="F651" s="672">
        <f>'MINI SSR 2022-23 (2)'!$H$4</f>
        <v>565</v>
      </c>
      <c r="G651" s="53">
        <f>ROUND(E651*F651,2)</f>
        <v>1265.5999999999999</v>
      </c>
      <c r="H651" s="12" t="s">
        <v>2322</v>
      </c>
    </row>
    <row r="652" spans="1:8">
      <c r="A652" s="673"/>
      <c r="B652" s="673"/>
      <c r="C652" s="700" t="s">
        <v>85</v>
      </c>
      <c r="D652" s="673" t="s">
        <v>27</v>
      </c>
      <c r="E652" s="659">
        <v>3.3</v>
      </c>
      <c r="F652" s="672">
        <f>'MINI SSR 2022-23 (2)'!$H$5</f>
        <v>525</v>
      </c>
      <c r="G652" s="53">
        <f>ROUND(E652*F652,2)</f>
        <v>1732.5</v>
      </c>
      <c r="H652" s="12" t="s">
        <v>2322</v>
      </c>
    </row>
    <row r="653" spans="1:8">
      <c r="A653" s="673"/>
      <c r="B653" s="673"/>
      <c r="C653" s="573" t="s">
        <v>88</v>
      </c>
      <c r="D653" s="673"/>
      <c r="E653" s="673"/>
      <c r="F653" s="673"/>
      <c r="G653" s="661">
        <f>SUM(G644:G652)</f>
        <v>7501.75</v>
      </c>
      <c r="H653" s="12" t="s">
        <v>2322</v>
      </c>
    </row>
    <row r="654" spans="1:8">
      <c r="A654" s="673"/>
      <c r="B654" s="673"/>
      <c r="C654" s="573"/>
      <c r="D654" s="673"/>
      <c r="E654" s="650" t="s">
        <v>161</v>
      </c>
      <c r="F654" s="650" t="s">
        <v>162</v>
      </c>
      <c r="G654" s="660" t="s">
        <v>163</v>
      </c>
      <c r="H654" s="12" t="s">
        <v>2322</v>
      </c>
    </row>
    <row r="655" spans="1:8">
      <c r="A655" s="673"/>
      <c r="B655" s="673"/>
      <c r="C655" s="573" t="s">
        <v>1275</v>
      </c>
      <c r="D655" s="673"/>
      <c r="E655" s="659">
        <f>G653</f>
        <v>7501.75</v>
      </c>
      <c r="F655" s="659">
        <f>G653</f>
        <v>7501.75</v>
      </c>
      <c r="G655" s="652">
        <f>G653</f>
        <v>7501.75</v>
      </c>
      <c r="H655" s="12" t="s">
        <v>2322</v>
      </c>
    </row>
    <row r="656" spans="1:8" ht="25.5">
      <c r="A656" s="673"/>
      <c r="B656" s="673"/>
      <c r="C656" s="700" t="s">
        <v>170</v>
      </c>
      <c r="D656" s="673"/>
      <c r="E656" s="659"/>
      <c r="F656" s="652">
        <f>ROUND((G651+G650+G652)*0.1,2)</f>
        <v>360.29</v>
      </c>
      <c r="G656" s="652">
        <f>ROUND((G652+G650+G651)*0.2,2)</f>
        <v>720.58</v>
      </c>
      <c r="H656" s="12" t="s">
        <v>2322</v>
      </c>
    </row>
    <row r="657" spans="1:8">
      <c r="A657" s="673"/>
      <c r="B657" s="673"/>
      <c r="C657" s="573" t="s">
        <v>194</v>
      </c>
      <c r="D657" s="673"/>
      <c r="E657" s="659">
        <f>SUM(E655:E656)</f>
        <v>7501.75</v>
      </c>
      <c r="F657" s="659">
        <f>SUM(F655:F656)</f>
        <v>7862.04</v>
      </c>
      <c r="G657" s="652">
        <f>SUM(G655:G656)</f>
        <v>8222.33</v>
      </c>
      <c r="H657" s="12" t="s">
        <v>2322</v>
      </c>
    </row>
    <row r="658" spans="1:8">
      <c r="A658" s="673"/>
      <c r="B658" s="673"/>
      <c r="C658" s="573" t="s">
        <v>181</v>
      </c>
      <c r="D658" s="673"/>
      <c r="E658" s="660">
        <f>ROUND(E657/10,2)</f>
        <v>750.18</v>
      </c>
      <c r="F658" s="660">
        <f>ROUND(F657/10,2)</f>
        <v>786.2</v>
      </c>
      <c r="G658" s="661">
        <f>ROUND(G657/10,2)</f>
        <v>822.23</v>
      </c>
      <c r="H658" s="12" t="s">
        <v>2322</v>
      </c>
    </row>
    <row r="659" spans="1:8" ht="165.75">
      <c r="A659" s="16">
        <v>6</v>
      </c>
      <c r="B659" s="650" t="s">
        <v>195</v>
      </c>
      <c r="C659" s="700" t="s">
        <v>212</v>
      </c>
      <c r="D659" s="673"/>
      <c r="E659" s="673"/>
      <c r="F659" s="673"/>
      <c r="G659" s="650"/>
      <c r="H659" s="12" t="s">
        <v>2322</v>
      </c>
    </row>
    <row r="660" spans="1:8">
      <c r="A660" s="16"/>
      <c r="B660" s="650"/>
      <c r="C660" s="573" t="s">
        <v>42</v>
      </c>
      <c r="D660" s="673"/>
      <c r="E660" s="673"/>
      <c r="F660" s="673"/>
      <c r="G660" s="652"/>
      <c r="H660" s="12" t="s">
        <v>2322</v>
      </c>
    </row>
    <row r="661" spans="1:8">
      <c r="A661" s="16"/>
      <c r="B661" s="650"/>
      <c r="C661" s="573" t="s">
        <v>60</v>
      </c>
      <c r="D661" s="673"/>
      <c r="E661" s="673"/>
      <c r="F661" s="673"/>
      <c r="G661" s="652"/>
      <c r="H661" s="12" t="s">
        <v>2322</v>
      </c>
    </row>
    <row r="662" spans="1:8">
      <c r="A662" s="16"/>
      <c r="B662" s="650"/>
      <c r="C662" s="700" t="s">
        <v>203</v>
      </c>
      <c r="D662" s="673" t="s">
        <v>77</v>
      </c>
      <c r="E662" s="659">
        <v>10.5</v>
      </c>
      <c r="F662" s="659">
        <f>'MINI SSR 2022-23 (2)'!C21</f>
        <v>612</v>
      </c>
      <c r="G662" s="53">
        <f>ROUND(E662*F662,2)</f>
        <v>6426</v>
      </c>
      <c r="H662" s="12" t="s">
        <v>2322</v>
      </c>
    </row>
    <row r="663" spans="1:8">
      <c r="A663" s="16"/>
      <c r="B663" s="650"/>
      <c r="C663" s="700" t="s">
        <v>91</v>
      </c>
      <c r="D663" s="673" t="s">
        <v>4</v>
      </c>
      <c r="E663" s="659">
        <v>21.6</v>
      </c>
      <c r="F663" s="659">
        <f>'lead 22-23 P-B'!L8</f>
        <v>4700</v>
      </c>
      <c r="G663" s="53">
        <f>ROUND(E663*F663/1000,2)</f>
        <v>101.52</v>
      </c>
      <c r="H663" s="12" t="s">
        <v>2322</v>
      </c>
    </row>
    <row r="664" spans="1:8">
      <c r="A664" s="16"/>
      <c r="B664" s="650"/>
      <c r="C664" s="700" t="s">
        <v>92</v>
      </c>
      <c r="D664" s="673" t="s">
        <v>4</v>
      </c>
      <c r="E664" s="659">
        <v>33</v>
      </c>
      <c r="F664" s="659">
        <f>F663</f>
        <v>4700</v>
      </c>
      <c r="G664" s="53">
        <f>ROUND(E664*F664/1000,2)</f>
        <v>155.1</v>
      </c>
      <c r="H664" s="12" t="s">
        <v>2322</v>
      </c>
    </row>
    <row r="665" spans="1:8">
      <c r="A665" s="16"/>
      <c r="B665" s="650"/>
      <c r="C665" s="700" t="s">
        <v>196</v>
      </c>
      <c r="D665" s="673" t="s">
        <v>4</v>
      </c>
      <c r="E665" s="659">
        <v>6</v>
      </c>
      <c r="F665" s="659">
        <f>F664</f>
        <v>4700</v>
      </c>
      <c r="G665" s="53">
        <f>ROUND(E665*F665/1000,2)</f>
        <v>28.2</v>
      </c>
      <c r="H665" s="12" t="s">
        <v>2322</v>
      </c>
    </row>
    <row r="666" spans="1:8">
      <c r="A666" s="16"/>
      <c r="B666" s="650"/>
      <c r="C666" s="700" t="s">
        <v>197</v>
      </c>
      <c r="D666" s="673" t="s">
        <v>35</v>
      </c>
      <c r="E666" s="659">
        <v>0.12</v>
      </c>
      <c r="F666" s="659">
        <f>'lead 22-23 P-B'!L12</f>
        <v>1815.9999999999998</v>
      </c>
      <c r="G666" s="53">
        <f>ROUND(E666*F666,2)</f>
        <v>217.92</v>
      </c>
      <c r="H666" s="12" t="s">
        <v>2322</v>
      </c>
    </row>
    <row r="667" spans="1:8">
      <c r="A667" s="16"/>
      <c r="B667" s="650"/>
      <c r="C667" s="700" t="s">
        <v>198</v>
      </c>
      <c r="D667" s="673" t="s">
        <v>35</v>
      </c>
      <c r="E667" s="659">
        <v>0.02</v>
      </c>
      <c r="F667" s="659">
        <f>F666</f>
        <v>1815.9999999999998</v>
      </c>
      <c r="G667" s="53">
        <f>ROUND(E667*F667,2)</f>
        <v>36.32</v>
      </c>
      <c r="H667" s="12" t="s">
        <v>2322</v>
      </c>
    </row>
    <row r="668" spans="1:8">
      <c r="A668" s="673"/>
      <c r="B668" s="673"/>
      <c r="C668" s="573" t="s">
        <v>68</v>
      </c>
      <c r="D668" s="673"/>
      <c r="E668" s="659"/>
      <c r="F668" s="659"/>
      <c r="G668" s="53"/>
      <c r="H668" s="12" t="s">
        <v>2322</v>
      </c>
    </row>
    <row r="669" spans="1:8">
      <c r="A669" s="673"/>
      <c r="B669" s="673"/>
      <c r="C669" s="700" t="s">
        <v>64</v>
      </c>
      <c r="D669" s="673" t="s">
        <v>27</v>
      </c>
      <c r="E669" s="659">
        <v>0.96</v>
      </c>
      <c r="F669" s="672">
        <f>'MINI SSR 2022-23 (2)'!$H$3</f>
        <v>630</v>
      </c>
      <c r="G669" s="53">
        <f>ROUND(E669*F669,2)</f>
        <v>604.79999999999995</v>
      </c>
      <c r="H669" s="12" t="s">
        <v>2322</v>
      </c>
    </row>
    <row r="670" spans="1:8">
      <c r="A670" s="673"/>
      <c r="B670" s="673"/>
      <c r="C670" s="700" t="s">
        <v>69</v>
      </c>
      <c r="D670" s="673" t="s">
        <v>27</v>
      </c>
      <c r="E670" s="659">
        <v>2.2400000000000002</v>
      </c>
      <c r="F670" s="672">
        <f>'MINI SSR 2022-23 (2)'!$H$4</f>
        <v>565</v>
      </c>
      <c r="G670" s="53">
        <f>ROUND(E670*F670,2)</f>
        <v>1265.5999999999999</v>
      </c>
      <c r="H670" s="12" t="s">
        <v>2322</v>
      </c>
    </row>
    <row r="671" spans="1:8">
      <c r="A671" s="673"/>
      <c r="B671" s="673"/>
      <c r="C671" s="700" t="s">
        <v>85</v>
      </c>
      <c r="D671" s="673" t="s">
        <v>27</v>
      </c>
      <c r="E671" s="659">
        <v>3.3</v>
      </c>
      <c r="F671" s="672">
        <f>'MINI SSR 2022-23 (2)'!$H$5</f>
        <v>525</v>
      </c>
      <c r="G671" s="53">
        <f>ROUND(E671*F671,2)</f>
        <v>1732.5</v>
      </c>
      <c r="H671" s="12" t="s">
        <v>2322</v>
      </c>
    </row>
    <row r="672" spans="1:8">
      <c r="A672" s="673"/>
      <c r="B672" s="673"/>
      <c r="C672" s="700" t="s">
        <v>1221</v>
      </c>
      <c r="D672" s="673"/>
      <c r="E672" s="659">
        <v>0.01</v>
      </c>
      <c r="F672" s="659">
        <f>SUM(G662:G671)</f>
        <v>10567.960000000001</v>
      </c>
      <c r="G672" s="53">
        <f>ROUND(E672*F672,2)</f>
        <v>105.68</v>
      </c>
      <c r="H672" s="12" t="s">
        <v>2322</v>
      </c>
    </row>
    <row r="673" spans="1:8">
      <c r="A673" s="673"/>
      <c r="B673" s="673"/>
      <c r="C673" s="573" t="s">
        <v>88</v>
      </c>
      <c r="D673" s="673"/>
      <c r="E673" s="673"/>
      <c r="F673" s="673"/>
      <c r="G673" s="661">
        <f>SUM(G662:G672)</f>
        <v>10673.640000000001</v>
      </c>
      <c r="H673" s="12" t="s">
        <v>2322</v>
      </c>
    </row>
    <row r="674" spans="1:8">
      <c r="A674" s="673"/>
      <c r="B674" s="673"/>
      <c r="C674" s="573"/>
      <c r="D674" s="673"/>
      <c r="E674" s="650" t="s">
        <v>161</v>
      </c>
      <c r="F674" s="650" t="s">
        <v>162</v>
      </c>
      <c r="G674" s="660" t="s">
        <v>163</v>
      </c>
      <c r="H674" s="12" t="s">
        <v>2322</v>
      </c>
    </row>
    <row r="675" spans="1:8">
      <c r="A675" s="673"/>
      <c r="B675" s="673"/>
      <c r="C675" s="573" t="s">
        <v>1275</v>
      </c>
      <c r="D675" s="673"/>
      <c r="E675" s="659">
        <f>G673</f>
        <v>10673.640000000001</v>
      </c>
      <c r="F675" s="659">
        <f>G673</f>
        <v>10673.640000000001</v>
      </c>
      <c r="G675" s="652">
        <f>G673</f>
        <v>10673.640000000001</v>
      </c>
      <c r="H675" s="12" t="s">
        <v>2322</v>
      </c>
    </row>
    <row r="676" spans="1:8" ht="25.5">
      <c r="A676" s="673"/>
      <c r="B676" s="673"/>
      <c r="C676" s="700" t="s">
        <v>170</v>
      </c>
      <c r="D676" s="673"/>
      <c r="E676" s="673"/>
      <c r="F676" s="659">
        <f>ROUND((G669+G670+G671)*0.1,2)</f>
        <v>360.29</v>
      </c>
      <c r="G676" s="676">
        <f>ROUND((G669+G670+G671)*0.2,2)</f>
        <v>720.58</v>
      </c>
      <c r="H676" s="12" t="s">
        <v>2322</v>
      </c>
    </row>
    <row r="677" spans="1:8">
      <c r="A677" s="673"/>
      <c r="B677" s="673"/>
      <c r="C677" s="573" t="s">
        <v>194</v>
      </c>
      <c r="D677" s="673"/>
      <c r="E677" s="660">
        <f>SUM(E675:E676)</f>
        <v>10673.640000000001</v>
      </c>
      <c r="F677" s="660">
        <f>SUM(F675:F676)</f>
        <v>11033.930000000002</v>
      </c>
      <c r="G677" s="661">
        <f>SUM(G675:G676)</f>
        <v>11394.220000000001</v>
      </c>
      <c r="H677" s="12" t="s">
        <v>2322</v>
      </c>
    </row>
    <row r="678" spans="1:8">
      <c r="A678" s="673"/>
      <c r="B678" s="673"/>
      <c r="C678" s="573" t="s">
        <v>181</v>
      </c>
      <c r="D678" s="673"/>
      <c r="E678" s="660">
        <f>ROUND(E677/10,2)</f>
        <v>1067.3599999999999</v>
      </c>
      <c r="F678" s="660">
        <f>ROUND(F677/10,2)</f>
        <v>1103.3900000000001</v>
      </c>
      <c r="G678" s="661">
        <f>ROUND(G677/10,2)</f>
        <v>1139.42</v>
      </c>
      <c r="H678" s="12" t="s">
        <v>2322</v>
      </c>
    </row>
    <row r="679" spans="1:8" ht="127.5">
      <c r="A679" s="16">
        <v>7</v>
      </c>
      <c r="B679" s="650" t="s">
        <v>199</v>
      </c>
      <c r="C679" s="700" t="s">
        <v>213</v>
      </c>
      <c r="D679" s="673"/>
      <c r="E679" s="673"/>
      <c r="F679" s="673"/>
      <c r="G679" s="650"/>
      <c r="H679" s="12" t="s">
        <v>2322</v>
      </c>
    </row>
    <row r="680" spans="1:8">
      <c r="A680" s="16"/>
      <c r="B680" s="650"/>
      <c r="C680" s="573" t="s">
        <v>42</v>
      </c>
      <c r="D680" s="673"/>
      <c r="E680" s="673"/>
      <c r="F680" s="673"/>
      <c r="G680" s="652"/>
      <c r="H680" s="12" t="s">
        <v>2322</v>
      </c>
    </row>
    <row r="681" spans="1:8">
      <c r="A681" s="16"/>
      <c r="B681" s="650"/>
      <c r="C681" s="573" t="s">
        <v>60</v>
      </c>
      <c r="D681" s="673"/>
      <c r="E681" s="673"/>
      <c r="F681" s="673"/>
      <c r="G681" s="652"/>
      <c r="H681" s="12" t="s">
        <v>2322</v>
      </c>
    </row>
    <row r="682" spans="1:8">
      <c r="A682" s="16"/>
      <c r="B682" s="650"/>
      <c r="C682" s="700" t="s">
        <v>203</v>
      </c>
      <c r="D682" s="673" t="s">
        <v>77</v>
      </c>
      <c r="E682" s="659">
        <v>10.5</v>
      </c>
      <c r="F682" s="659">
        <f>'MINI SSR 2022-23 (2)'!C21</f>
        <v>612</v>
      </c>
      <c r="G682" s="53">
        <f>ROUND(E682*F682,2)</f>
        <v>6426</v>
      </c>
      <c r="H682" s="12" t="s">
        <v>2322</v>
      </c>
    </row>
    <row r="683" spans="1:8">
      <c r="A683" s="16"/>
      <c r="B683" s="650"/>
      <c r="C683" s="700" t="s">
        <v>200</v>
      </c>
      <c r="D683" s="673" t="s">
        <v>35</v>
      </c>
      <c r="E683" s="659">
        <v>0.12</v>
      </c>
      <c r="F683" s="659">
        <f>'lead 22-23 P-B'!L12</f>
        <v>1815.9999999999998</v>
      </c>
      <c r="G683" s="53">
        <f>ROUND(E683*F683,2)</f>
        <v>217.92</v>
      </c>
      <c r="H683" s="12" t="s">
        <v>2322</v>
      </c>
    </row>
    <row r="684" spans="1:8">
      <c r="A684" s="16"/>
      <c r="B684" s="650"/>
      <c r="C684" s="700" t="s">
        <v>201</v>
      </c>
      <c r="D684" s="673" t="s">
        <v>4</v>
      </c>
      <c r="E684" s="659">
        <v>34.56</v>
      </c>
      <c r="F684" s="659">
        <f>'lead 22-23 P-B'!L8</f>
        <v>4700</v>
      </c>
      <c r="G684" s="53">
        <f>ROUND(E684*F684/1000,2)</f>
        <v>162.43</v>
      </c>
      <c r="H684" s="12" t="s">
        <v>2322</v>
      </c>
    </row>
    <row r="685" spans="1:8">
      <c r="A685" s="16"/>
      <c r="B685" s="650"/>
      <c r="C685" s="700" t="s">
        <v>202</v>
      </c>
      <c r="D685" s="673" t="s">
        <v>4</v>
      </c>
      <c r="E685" s="659">
        <v>33</v>
      </c>
      <c r="F685" s="659">
        <f>F684</f>
        <v>4700</v>
      </c>
      <c r="G685" s="53">
        <f>ROUND(E685*F685/1000,2)</f>
        <v>155.1</v>
      </c>
      <c r="H685" s="12" t="s">
        <v>2322</v>
      </c>
    </row>
    <row r="686" spans="1:8">
      <c r="A686" s="16"/>
      <c r="B686" s="650"/>
      <c r="C686" s="700" t="s">
        <v>204</v>
      </c>
      <c r="D686" s="673" t="s">
        <v>4</v>
      </c>
      <c r="E686" s="659">
        <v>2</v>
      </c>
      <c r="F686" s="659">
        <f>'MINI SSR 2022-23 (2)'!C45</f>
        <v>27.95</v>
      </c>
      <c r="G686" s="53">
        <f>ROUND(E686*F686,2)</f>
        <v>55.9</v>
      </c>
      <c r="H686" s="12" t="s">
        <v>2322</v>
      </c>
    </row>
    <row r="687" spans="1:8">
      <c r="A687" s="673"/>
      <c r="B687" s="673"/>
      <c r="C687" s="573" t="s">
        <v>68</v>
      </c>
      <c r="D687" s="673"/>
      <c r="E687" s="659"/>
      <c r="F687" s="659"/>
      <c r="G687" s="53"/>
      <c r="H687" s="12" t="s">
        <v>2322</v>
      </c>
    </row>
    <row r="688" spans="1:8">
      <c r="A688" s="673"/>
      <c r="B688" s="673"/>
      <c r="C688" s="700" t="s">
        <v>64</v>
      </c>
      <c r="D688" s="673" t="s">
        <v>27</v>
      </c>
      <c r="E688" s="659">
        <v>0.96</v>
      </c>
      <c r="F688" s="672">
        <f>'MINI SSR 2022-23 (2)'!$H$3</f>
        <v>630</v>
      </c>
      <c r="G688" s="53">
        <f>ROUND(E688*F688,2)</f>
        <v>604.79999999999995</v>
      </c>
      <c r="H688" s="12" t="s">
        <v>2322</v>
      </c>
    </row>
    <row r="689" spans="1:8">
      <c r="A689" s="673"/>
      <c r="B689" s="673"/>
      <c r="C689" s="700" t="s">
        <v>69</v>
      </c>
      <c r="D689" s="673" t="s">
        <v>27</v>
      </c>
      <c r="E689" s="659">
        <v>2.2400000000000002</v>
      </c>
      <c r="F689" s="672">
        <f>'MINI SSR 2022-23 (2)'!$H$4</f>
        <v>565</v>
      </c>
      <c r="G689" s="53">
        <f>ROUND(E689*F689,2)</f>
        <v>1265.5999999999999</v>
      </c>
      <c r="H689" s="12" t="s">
        <v>2322</v>
      </c>
    </row>
    <row r="690" spans="1:8">
      <c r="A690" s="673"/>
      <c r="B690" s="673"/>
      <c r="C690" s="700" t="s">
        <v>85</v>
      </c>
      <c r="D690" s="673" t="s">
        <v>27</v>
      </c>
      <c r="E690" s="659">
        <v>3.3</v>
      </c>
      <c r="F690" s="672">
        <f>'MINI SSR 2022-23 (2)'!$H$5</f>
        <v>525</v>
      </c>
      <c r="G690" s="53">
        <f>ROUND(E690*F690,2)</f>
        <v>1732.5</v>
      </c>
      <c r="H690" s="12" t="s">
        <v>2322</v>
      </c>
    </row>
    <row r="691" spans="1:8">
      <c r="A691" s="673"/>
      <c r="B691" s="673"/>
      <c r="C691" s="573" t="s">
        <v>88</v>
      </c>
      <c r="D691" s="673"/>
      <c r="E691" s="673"/>
      <c r="F691" s="673"/>
      <c r="G691" s="661">
        <f>SUM(G682:G690)</f>
        <v>10620.25</v>
      </c>
      <c r="H691" s="12" t="s">
        <v>2322</v>
      </c>
    </row>
    <row r="692" spans="1:8">
      <c r="A692" s="673"/>
      <c r="B692" s="673"/>
      <c r="C692" s="573"/>
      <c r="D692" s="673"/>
      <c r="E692" s="650" t="s">
        <v>161</v>
      </c>
      <c r="F692" s="650" t="s">
        <v>162</v>
      </c>
      <c r="G692" s="660" t="s">
        <v>163</v>
      </c>
      <c r="H692" s="12" t="s">
        <v>2322</v>
      </c>
    </row>
    <row r="693" spans="1:8">
      <c r="A693" s="673"/>
      <c r="B693" s="673"/>
      <c r="C693" s="573" t="s">
        <v>1275</v>
      </c>
      <c r="D693" s="673"/>
      <c r="E693" s="659">
        <f>G691</f>
        <v>10620.25</v>
      </c>
      <c r="F693" s="659">
        <f>G691</f>
        <v>10620.25</v>
      </c>
      <c r="G693" s="652">
        <f>G691</f>
        <v>10620.25</v>
      </c>
      <c r="H693" s="12" t="s">
        <v>2322</v>
      </c>
    </row>
    <row r="694" spans="1:8" ht="25.5">
      <c r="A694" s="673"/>
      <c r="B694" s="673"/>
      <c r="C694" s="700" t="s">
        <v>170</v>
      </c>
      <c r="D694" s="673"/>
      <c r="E694" s="673"/>
      <c r="F694" s="659">
        <f>ROUND((G688+G689+G690)*0.1,2)</f>
        <v>360.29</v>
      </c>
      <c r="G694" s="676">
        <f>ROUND((G688+G689+G690)*0.2,2)</f>
        <v>720.58</v>
      </c>
      <c r="H694" s="12" t="s">
        <v>2322</v>
      </c>
    </row>
    <row r="695" spans="1:8">
      <c r="A695" s="673"/>
      <c r="B695" s="673"/>
      <c r="C695" s="573" t="s">
        <v>194</v>
      </c>
      <c r="D695" s="673"/>
      <c r="E695" s="660">
        <f>SUM(E693:E694)</f>
        <v>10620.25</v>
      </c>
      <c r="F695" s="660">
        <f>SUM(F693:F694)</f>
        <v>10980.54</v>
      </c>
      <c r="G695" s="661">
        <f>SUM(G693:G694)</f>
        <v>11340.83</v>
      </c>
      <c r="H695" s="12" t="s">
        <v>2322</v>
      </c>
    </row>
    <row r="696" spans="1:8">
      <c r="A696" s="673"/>
      <c r="B696" s="673"/>
      <c r="C696" s="573" t="s">
        <v>181</v>
      </c>
      <c r="D696" s="673"/>
      <c r="E696" s="660">
        <f>ROUND(E695/10,2)</f>
        <v>1062.03</v>
      </c>
      <c r="F696" s="660">
        <f>ROUND(F695/10,2)</f>
        <v>1098.05</v>
      </c>
      <c r="G696" s="661">
        <f>ROUND(G695/10,2)</f>
        <v>1134.08</v>
      </c>
      <c r="H696" s="12" t="s">
        <v>2322</v>
      </c>
    </row>
    <row r="697" spans="1:8" ht="140.25">
      <c r="A697" s="16">
        <v>8</v>
      </c>
      <c r="B697" s="650" t="s">
        <v>205</v>
      </c>
      <c r="C697" s="700" t="s">
        <v>211</v>
      </c>
      <c r="D697" s="673"/>
      <c r="E697" s="673"/>
      <c r="F697" s="673"/>
      <c r="G697" s="650"/>
      <c r="H697" s="12" t="s">
        <v>2322</v>
      </c>
    </row>
    <row r="698" spans="1:8">
      <c r="A698" s="16"/>
      <c r="B698" s="650"/>
      <c r="C698" s="573" t="s">
        <v>42</v>
      </c>
      <c r="D698" s="673"/>
      <c r="E698" s="673"/>
      <c r="F698" s="673"/>
      <c r="G698" s="652"/>
      <c r="H698" s="12" t="s">
        <v>2322</v>
      </c>
    </row>
    <row r="699" spans="1:8">
      <c r="A699" s="16"/>
      <c r="B699" s="650"/>
      <c r="C699" s="573" t="s">
        <v>60</v>
      </c>
      <c r="D699" s="673"/>
      <c r="E699" s="673"/>
      <c r="F699" s="673"/>
      <c r="G699" s="652"/>
      <c r="H699" s="12" t="s">
        <v>2322</v>
      </c>
    </row>
    <row r="700" spans="1:8">
      <c r="A700" s="16"/>
      <c r="B700" s="650"/>
      <c r="C700" s="700" t="s">
        <v>206</v>
      </c>
      <c r="D700" s="673" t="s">
        <v>77</v>
      </c>
      <c r="E700" s="659">
        <v>10.5</v>
      </c>
      <c r="F700" s="659">
        <f>'MINI SSR 2022-23 (2)'!C22</f>
        <v>370</v>
      </c>
      <c r="G700" s="53">
        <f>ROUND(E700*F700,2)</f>
        <v>3885</v>
      </c>
      <c r="H700" s="12" t="s">
        <v>2322</v>
      </c>
    </row>
    <row r="701" spans="1:8">
      <c r="A701" s="16"/>
      <c r="B701" s="650"/>
      <c r="C701" s="700" t="s">
        <v>91</v>
      </c>
      <c r="D701" s="673" t="s">
        <v>4</v>
      </c>
      <c r="E701" s="659">
        <v>21.6</v>
      </c>
      <c r="F701" s="659">
        <f>'lead 22-23 P-B'!L8</f>
        <v>4700</v>
      </c>
      <c r="G701" s="53">
        <f>ROUND(E701*F701/1000,2)</f>
        <v>101.52</v>
      </c>
      <c r="H701" s="12" t="s">
        <v>2322</v>
      </c>
    </row>
    <row r="702" spans="1:8">
      <c r="A702" s="16"/>
      <c r="B702" s="650"/>
      <c r="C702" s="700" t="s">
        <v>92</v>
      </c>
      <c r="D702" s="673" t="s">
        <v>4</v>
      </c>
      <c r="E702" s="659">
        <v>33</v>
      </c>
      <c r="F702" s="659">
        <f>F701</f>
        <v>4700</v>
      </c>
      <c r="G702" s="53">
        <f>ROUND(E702*F702/1000,2)</f>
        <v>155.1</v>
      </c>
      <c r="H702" s="12" t="s">
        <v>2322</v>
      </c>
    </row>
    <row r="703" spans="1:8">
      <c r="A703" s="16"/>
      <c r="B703" s="650"/>
      <c r="C703" s="700" t="s">
        <v>204</v>
      </c>
      <c r="D703" s="673" t="s">
        <v>4</v>
      </c>
      <c r="E703" s="659">
        <v>2</v>
      </c>
      <c r="F703" s="659">
        <f>F686</f>
        <v>27.95</v>
      </c>
      <c r="G703" s="53">
        <f>ROUND(E703*F703,2)</f>
        <v>55.9</v>
      </c>
      <c r="H703" s="12" t="s">
        <v>2322</v>
      </c>
    </row>
    <row r="704" spans="1:8">
      <c r="A704" s="16"/>
      <c r="B704" s="650"/>
      <c r="C704" s="700" t="s">
        <v>114</v>
      </c>
      <c r="D704" s="673" t="s">
        <v>35</v>
      </c>
      <c r="E704" s="659">
        <v>0.12</v>
      </c>
      <c r="F704" s="659">
        <f>'lead 22-23 P-B'!L12</f>
        <v>1815.9999999999998</v>
      </c>
      <c r="G704" s="53">
        <f>ROUND(E704*F704,2)</f>
        <v>217.92</v>
      </c>
      <c r="H704" s="12" t="s">
        <v>2322</v>
      </c>
    </row>
    <row r="705" spans="1:8">
      <c r="A705" s="673"/>
      <c r="B705" s="673"/>
      <c r="C705" s="573" t="s">
        <v>68</v>
      </c>
      <c r="D705" s="673"/>
      <c r="E705" s="659"/>
      <c r="F705" s="659"/>
      <c r="G705" s="53"/>
      <c r="H705" s="12" t="s">
        <v>2322</v>
      </c>
    </row>
    <row r="706" spans="1:8">
      <c r="A706" s="673"/>
      <c r="B706" s="673"/>
      <c r="C706" s="700" t="s">
        <v>64</v>
      </c>
      <c r="D706" s="673" t="s">
        <v>27</v>
      </c>
      <c r="E706" s="659">
        <v>0.96</v>
      </c>
      <c r="F706" s="672">
        <f>'MINI SSR 2022-23 (2)'!$H$3</f>
        <v>630</v>
      </c>
      <c r="G706" s="53">
        <f>ROUND(E706*F706,2)</f>
        <v>604.79999999999995</v>
      </c>
      <c r="H706" s="12" t="s">
        <v>2322</v>
      </c>
    </row>
    <row r="707" spans="1:8">
      <c r="A707" s="673"/>
      <c r="B707" s="673"/>
      <c r="C707" s="700" t="s">
        <v>69</v>
      </c>
      <c r="D707" s="673" t="s">
        <v>27</v>
      </c>
      <c r="E707" s="659">
        <v>2.2400000000000002</v>
      </c>
      <c r="F707" s="672">
        <f>'MINI SSR 2022-23 (2)'!$H$4</f>
        <v>565</v>
      </c>
      <c r="G707" s="53">
        <f>ROUND(E707*F707,2)</f>
        <v>1265.5999999999999</v>
      </c>
      <c r="H707" s="12" t="s">
        <v>2322</v>
      </c>
    </row>
    <row r="708" spans="1:8">
      <c r="A708" s="673"/>
      <c r="B708" s="673"/>
      <c r="C708" s="700" t="s">
        <v>85</v>
      </c>
      <c r="D708" s="673" t="s">
        <v>27</v>
      </c>
      <c r="E708" s="659">
        <v>3.3</v>
      </c>
      <c r="F708" s="672">
        <f>'MINI SSR 2022-23 (2)'!$H$5</f>
        <v>525</v>
      </c>
      <c r="G708" s="53">
        <f>ROUND(E708*F708,2)</f>
        <v>1732.5</v>
      </c>
      <c r="H708" s="12" t="s">
        <v>2322</v>
      </c>
    </row>
    <row r="709" spans="1:8">
      <c r="A709" s="673"/>
      <c r="B709" s="673"/>
      <c r="C709" s="573" t="s">
        <v>88</v>
      </c>
      <c r="D709" s="673"/>
      <c r="E709" s="673"/>
      <c r="F709" s="673"/>
      <c r="G709" s="661">
        <f>SUM(G700:G708)</f>
        <v>8018.34</v>
      </c>
      <c r="H709" s="12" t="s">
        <v>2322</v>
      </c>
    </row>
    <row r="710" spans="1:8">
      <c r="A710" s="673"/>
      <c r="B710" s="673"/>
      <c r="C710" s="573"/>
      <c r="D710" s="673"/>
      <c r="E710" s="650" t="s">
        <v>161</v>
      </c>
      <c r="F710" s="650" t="s">
        <v>162</v>
      </c>
      <c r="G710" s="660" t="s">
        <v>163</v>
      </c>
      <c r="H710" s="12" t="s">
        <v>2322</v>
      </c>
    </row>
    <row r="711" spans="1:8">
      <c r="A711" s="673"/>
      <c r="B711" s="673"/>
      <c r="C711" s="573" t="s">
        <v>1275</v>
      </c>
      <c r="D711" s="673"/>
      <c r="E711" s="659">
        <f>G709</f>
        <v>8018.34</v>
      </c>
      <c r="F711" s="659">
        <f>G709</f>
        <v>8018.34</v>
      </c>
      <c r="G711" s="652">
        <f>G709</f>
        <v>8018.34</v>
      </c>
      <c r="H711" s="12" t="s">
        <v>2322</v>
      </c>
    </row>
    <row r="712" spans="1:8" ht="25.5">
      <c r="A712" s="673"/>
      <c r="B712" s="673"/>
      <c r="C712" s="700" t="s">
        <v>170</v>
      </c>
      <c r="D712" s="673"/>
      <c r="E712" s="673"/>
      <c r="F712" s="659">
        <f>ROUND((G706+G707+G708)*0.1,2)</f>
        <v>360.29</v>
      </c>
      <c r="G712" s="676">
        <f>ROUND((G706+G707+G708)*0.2,2)</f>
        <v>720.58</v>
      </c>
      <c r="H712" s="12" t="s">
        <v>2322</v>
      </c>
    </row>
    <row r="713" spans="1:8">
      <c r="A713" s="673"/>
      <c r="B713" s="673"/>
      <c r="C713" s="573" t="s">
        <v>194</v>
      </c>
      <c r="D713" s="673"/>
      <c r="E713" s="660">
        <f>SUM(E711:E712)</f>
        <v>8018.34</v>
      </c>
      <c r="F713" s="660">
        <f>SUM(F711:F712)</f>
        <v>8378.630000000001</v>
      </c>
      <c r="G713" s="661">
        <f>SUM(G711:G712)</f>
        <v>8738.92</v>
      </c>
      <c r="H713" s="12" t="s">
        <v>2322</v>
      </c>
    </row>
    <row r="714" spans="1:8">
      <c r="A714" s="673"/>
      <c r="B714" s="673"/>
      <c r="C714" s="573" t="s">
        <v>181</v>
      </c>
      <c r="D714" s="673"/>
      <c r="E714" s="660">
        <f>ROUND(E713/10,2)</f>
        <v>801.83</v>
      </c>
      <c r="F714" s="660">
        <f>ROUND(F713/10,2)</f>
        <v>837.86</v>
      </c>
      <c r="G714" s="661">
        <f>ROUND(G713/10,2)</f>
        <v>873.89</v>
      </c>
      <c r="H714" s="12" t="s">
        <v>2322</v>
      </c>
    </row>
    <row r="715" spans="1:8" ht="127.5">
      <c r="A715" s="16">
        <v>9</v>
      </c>
      <c r="B715" s="650" t="s">
        <v>207</v>
      </c>
      <c r="C715" s="700" t="s">
        <v>214</v>
      </c>
      <c r="D715" s="673"/>
      <c r="E715" s="673"/>
      <c r="F715" s="673"/>
      <c r="G715" s="650"/>
      <c r="H715" s="12" t="s">
        <v>2322</v>
      </c>
    </row>
    <row r="716" spans="1:8">
      <c r="A716" s="16"/>
      <c r="B716" s="650"/>
      <c r="C716" s="573" t="s">
        <v>42</v>
      </c>
      <c r="D716" s="673"/>
      <c r="E716" s="673"/>
      <c r="F716" s="673"/>
      <c r="G716" s="652"/>
      <c r="H716" s="12" t="s">
        <v>2322</v>
      </c>
    </row>
    <row r="717" spans="1:8">
      <c r="A717" s="16"/>
      <c r="B717" s="650"/>
      <c r="C717" s="573" t="s">
        <v>60</v>
      </c>
      <c r="D717" s="650"/>
      <c r="E717" s="650"/>
      <c r="F717" s="650"/>
      <c r="G717" s="652"/>
      <c r="H717" s="12" t="s">
        <v>2322</v>
      </c>
    </row>
    <row r="718" spans="1:8">
      <c r="A718" s="16"/>
      <c r="B718" s="650"/>
      <c r="C718" s="700" t="s">
        <v>208</v>
      </c>
      <c r="D718" s="673" t="s">
        <v>77</v>
      </c>
      <c r="E718" s="659">
        <v>10.5</v>
      </c>
      <c r="F718" s="659">
        <f>'MINI SSR 2022-23 (2)'!C23</f>
        <v>330</v>
      </c>
      <c r="G718" s="53">
        <f>ROUND(E718*F718,2)</f>
        <v>3465</v>
      </c>
      <c r="H718" s="12" t="s">
        <v>2322</v>
      </c>
    </row>
    <row r="719" spans="1:8">
      <c r="A719" s="16"/>
      <c r="B719" s="650"/>
      <c r="C719" s="700" t="s">
        <v>209</v>
      </c>
      <c r="D719" s="673" t="s">
        <v>35</v>
      </c>
      <c r="E719" s="659">
        <v>0.12</v>
      </c>
      <c r="F719" s="659">
        <f>'lead 22-23 P-B'!L12</f>
        <v>1815.9999999999998</v>
      </c>
      <c r="G719" s="9">
        <f>ROUND(E719*F719,2)</f>
        <v>217.92</v>
      </c>
      <c r="H719" s="12" t="s">
        <v>2322</v>
      </c>
    </row>
    <row r="720" spans="1:8">
      <c r="A720" s="16"/>
      <c r="B720" s="650"/>
      <c r="C720" s="700" t="s">
        <v>210</v>
      </c>
      <c r="D720" s="673" t="s">
        <v>4</v>
      </c>
      <c r="E720" s="659">
        <v>57.6</v>
      </c>
      <c r="F720" s="659">
        <f>'lead 22-23 P-B'!L8</f>
        <v>4700</v>
      </c>
      <c r="G720" s="9">
        <f>ROUND(E720*F720/1000,2)</f>
        <v>270.72000000000003</v>
      </c>
      <c r="H720" s="12" t="s">
        <v>2322</v>
      </c>
    </row>
    <row r="721" spans="1:8">
      <c r="A721" s="16"/>
      <c r="B721" s="650"/>
      <c r="C721" s="700" t="s">
        <v>202</v>
      </c>
      <c r="D721" s="673" t="s">
        <v>4</v>
      </c>
      <c r="E721" s="659">
        <v>33</v>
      </c>
      <c r="F721" s="659">
        <f>F720</f>
        <v>4700</v>
      </c>
      <c r="G721" s="9">
        <f>ROUND(E721*F721/1000,2)</f>
        <v>155.1</v>
      </c>
      <c r="H721" s="12" t="s">
        <v>2322</v>
      </c>
    </row>
    <row r="722" spans="1:8">
      <c r="A722" s="16"/>
      <c r="B722" s="650"/>
      <c r="C722" s="700" t="s">
        <v>215</v>
      </c>
      <c r="D722" s="673" t="s">
        <v>4</v>
      </c>
      <c r="E722" s="659">
        <v>6</v>
      </c>
      <c r="F722" s="659">
        <f>F686</f>
        <v>27.95</v>
      </c>
      <c r="G722" s="9">
        <f>ROUND(E722*F722,2)</f>
        <v>167.7</v>
      </c>
      <c r="H722" s="12" t="s">
        <v>2322</v>
      </c>
    </row>
    <row r="723" spans="1:8">
      <c r="A723" s="673"/>
      <c r="B723" s="673"/>
      <c r="C723" s="573" t="s">
        <v>68</v>
      </c>
      <c r="D723" s="673"/>
      <c r="E723" s="659"/>
      <c r="F723" s="659"/>
      <c r="G723" s="9"/>
      <c r="H723" s="12" t="s">
        <v>2322</v>
      </c>
    </row>
    <row r="724" spans="1:8">
      <c r="A724" s="673"/>
      <c r="B724" s="673"/>
      <c r="C724" s="700" t="s">
        <v>64</v>
      </c>
      <c r="D724" s="673" t="s">
        <v>27</v>
      </c>
      <c r="E724" s="659">
        <v>0.77</v>
      </c>
      <c r="F724" s="672">
        <f>'MINI SSR 2022-23 (2)'!$H$3</f>
        <v>630</v>
      </c>
      <c r="G724" s="9">
        <f>ROUND(E724*F724,2)</f>
        <v>485.1</v>
      </c>
      <c r="H724" s="12" t="s">
        <v>2322</v>
      </c>
    </row>
    <row r="725" spans="1:8">
      <c r="A725" s="673"/>
      <c r="B725" s="673"/>
      <c r="C725" s="700" t="s">
        <v>85</v>
      </c>
      <c r="D725" s="673" t="s">
        <v>27</v>
      </c>
      <c r="E725" s="659">
        <v>0.8</v>
      </c>
      <c r="F725" s="672">
        <f>'MINI SSR 2022-23 (2)'!$H$5</f>
        <v>525</v>
      </c>
      <c r="G725" s="9">
        <f>ROUND(E725*F725,2)</f>
        <v>420</v>
      </c>
      <c r="H725" s="12" t="s">
        <v>2322</v>
      </c>
    </row>
    <row r="726" spans="1:8">
      <c r="A726" s="673"/>
      <c r="B726" s="673"/>
      <c r="C726" s="573" t="s">
        <v>88</v>
      </c>
      <c r="D726" s="673"/>
      <c r="E726" s="673"/>
      <c r="F726" s="673"/>
      <c r="G726" s="661">
        <f>SUM(G718:G725)</f>
        <v>5181.5400000000009</v>
      </c>
      <c r="H726" s="12" t="s">
        <v>2322</v>
      </c>
    </row>
    <row r="727" spans="1:8">
      <c r="A727" s="673"/>
      <c r="B727" s="673"/>
      <c r="C727" s="573"/>
      <c r="D727" s="673"/>
      <c r="E727" s="650" t="s">
        <v>161</v>
      </c>
      <c r="F727" s="650" t="s">
        <v>162</v>
      </c>
      <c r="G727" s="660" t="s">
        <v>163</v>
      </c>
      <c r="H727" s="12" t="s">
        <v>2322</v>
      </c>
    </row>
    <row r="728" spans="1:8">
      <c r="A728" s="673"/>
      <c r="B728" s="673"/>
      <c r="C728" s="573" t="s">
        <v>1275</v>
      </c>
      <c r="D728" s="673"/>
      <c r="E728" s="659">
        <f>G726</f>
        <v>5181.5400000000009</v>
      </c>
      <c r="F728" s="659">
        <f>G726</f>
        <v>5181.5400000000009</v>
      </c>
      <c r="G728" s="652">
        <f>G726</f>
        <v>5181.5400000000009</v>
      </c>
      <c r="H728" s="12" t="s">
        <v>2322</v>
      </c>
    </row>
    <row r="729" spans="1:8" ht="25.5">
      <c r="A729" s="673"/>
      <c r="B729" s="673"/>
      <c r="C729" s="700" t="s">
        <v>170</v>
      </c>
      <c r="D729" s="673"/>
      <c r="E729" s="673"/>
      <c r="F729" s="659">
        <f>ROUND((G724+G725)*0.1,2)</f>
        <v>90.51</v>
      </c>
      <c r="G729" s="652">
        <f>ROUND((G724+G725)*0.2,2)</f>
        <v>181.02</v>
      </c>
      <c r="H729" s="12" t="s">
        <v>2322</v>
      </c>
    </row>
    <row r="730" spans="1:8">
      <c r="A730" s="673"/>
      <c r="B730" s="673"/>
      <c r="C730" s="573" t="s">
        <v>194</v>
      </c>
      <c r="D730" s="673"/>
      <c r="E730" s="660">
        <f>SUM(E728:E729)</f>
        <v>5181.5400000000009</v>
      </c>
      <c r="F730" s="660">
        <f>SUM(F728:F729)</f>
        <v>5272.0500000000011</v>
      </c>
      <c r="G730" s="661">
        <f>SUM(G728:G729)</f>
        <v>5362.5600000000013</v>
      </c>
      <c r="H730" s="12" t="s">
        <v>2322</v>
      </c>
    </row>
    <row r="731" spans="1:8">
      <c r="A731" s="673"/>
      <c r="B731" s="673"/>
      <c r="C731" s="573" t="s">
        <v>181</v>
      </c>
      <c r="D731" s="673"/>
      <c r="E731" s="660">
        <f>ROUND(E730/10,2)</f>
        <v>518.15</v>
      </c>
      <c r="F731" s="660">
        <f>ROUND(F730/10,2)</f>
        <v>527.21</v>
      </c>
      <c r="G731" s="661">
        <f>ROUND(G730/10,2)</f>
        <v>536.26</v>
      </c>
      <c r="H731" s="12" t="s">
        <v>2322</v>
      </c>
    </row>
    <row r="732" spans="1:8" ht="25.5">
      <c r="A732" s="16">
        <v>49</v>
      </c>
      <c r="B732" s="650" t="s">
        <v>1351</v>
      </c>
      <c r="C732" s="700" t="s">
        <v>1202</v>
      </c>
      <c r="D732" s="673"/>
      <c r="E732" s="673"/>
      <c r="F732" s="673"/>
      <c r="G732" s="650"/>
      <c r="H732" s="12" t="s">
        <v>2322</v>
      </c>
    </row>
    <row r="733" spans="1:8">
      <c r="A733" s="16"/>
      <c r="B733" s="650"/>
      <c r="C733" s="573" t="s">
        <v>868</v>
      </c>
      <c r="D733" s="673"/>
      <c r="E733" s="673"/>
      <c r="F733" s="673"/>
      <c r="G733" s="652"/>
      <c r="H733" s="12" t="s">
        <v>2322</v>
      </c>
    </row>
    <row r="734" spans="1:8">
      <c r="A734" s="16"/>
      <c r="B734" s="650"/>
      <c r="C734" s="573" t="s">
        <v>60</v>
      </c>
      <c r="D734" s="673"/>
      <c r="E734" s="673"/>
      <c r="F734" s="673"/>
      <c r="G734" s="652"/>
      <c r="H734" s="12" t="s">
        <v>2322</v>
      </c>
    </row>
    <row r="735" spans="1:8">
      <c r="A735" s="16"/>
      <c r="B735" s="650"/>
      <c r="C735" s="700" t="s">
        <v>33</v>
      </c>
      <c r="D735" s="673" t="s">
        <v>4</v>
      </c>
      <c r="E735" s="659">
        <v>14.4</v>
      </c>
      <c r="F735" s="659">
        <f>'lead 22-23 P-B'!L8</f>
        <v>4700</v>
      </c>
      <c r="G735" s="53">
        <f>ROUND(E735*F735/1000,2)</f>
        <v>67.680000000000007</v>
      </c>
      <c r="H735" s="12" t="s">
        <v>2322</v>
      </c>
    </row>
    <row r="736" spans="1:8">
      <c r="A736" s="16"/>
      <c r="B736" s="650"/>
      <c r="C736" s="700" t="s">
        <v>113</v>
      </c>
      <c r="D736" s="673" t="s">
        <v>35</v>
      </c>
      <c r="E736" s="659">
        <v>0.03</v>
      </c>
      <c r="F736" s="659">
        <f>'lead 22-23 P-B'!L12</f>
        <v>1815.9999999999998</v>
      </c>
      <c r="G736" s="53">
        <f>ROUND(E736*F736,2)</f>
        <v>54.48</v>
      </c>
      <c r="H736" s="12" t="s">
        <v>2322</v>
      </c>
    </row>
    <row r="737" spans="1:8">
      <c r="A737" s="673"/>
      <c r="B737" s="673"/>
      <c r="C737" s="573" t="s">
        <v>68</v>
      </c>
      <c r="D737" s="673"/>
      <c r="E737" s="659"/>
      <c r="F737" s="659"/>
      <c r="G737" s="53"/>
      <c r="H737" s="12" t="s">
        <v>2322</v>
      </c>
    </row>
    <row r="738" spans="1:8">
      <c r="A738" s="673"/>
      <c r="B738" s="673"/>
      <c r="C738" s="700" t="s">
        <v>69</v>
      </c>
      <c r="D738" s="673" t="s">
        <v>27</v>
      </c>
      <c r="E738" s="659">
        <v>0.5</v>
      </c>
      <c r="F738" s="672">
        <f>'MINI SSR 2022-23 (2)'!$H$4</f>
        <v>565</v>
      </c>
      <c r="G738" s="53">
        <f>ROUND(E738*F738,2)</f>
        <v>282.5</v>
      </c>
      <c r="H738" s="12" t="s">
        <v>2322</v>
      </c>
    </row>
    <row r="739" spans="1:8">
      <c r="A739" s="673"/>
      <c r="B739" s="673"/>
      <c r="C739" s="700" t="s">
        <v>85</v>
      </c>
      <c r="D739" s="673" t="s">
        <v>27</v>
      </c>
      <c r="E739" s="659">
        <v>0.74</v>
      </c>
      <c r="F739" s="672">
        <f>'MINI SSR 2022-23 (2)'!$H$5</f>
        <v>525</v>
      </c>
      <c r="G739" s="53">
        <f>ROUND(E739*F739,2)</f>
        <v>388.5</v>
      </c>
      <c r="H739" s="12" t="s">
        <v>2322</v>
      </c>
    </row>
    <row r="740" spans="1:8">
      <c r="A740" s="673"/>
      <c r="B740" s="673"/>
      <c r="C740" s="573" t="s">
        <v>88</v>
      </c>
      <c r="D740" s="673"/>
      <c r="E740" s="659"/>
      <c r="F740" s="659"/>
      <c r="G740" s="53">
        <f>SUM(G735:G739)</f>
        <v>793.16</v>
      </c>
      <c r="H740" s="12" t="s">
        <v>2322</v>
      </c>
    </row>
    <row r="741" spans="1:8" ht="114.75">
      <c r="A741" s="16">
        <v>50</v>
      </c>
      <c r="B741" s="650" t="s">
        <v>1352</v>
      </c>
      <c r="C741" s="700" t="s">
        <v>1203</v>
      </c>
      <c r="D741" s="673"/>
      <c r="E741" s="673"/>
      <c r="F741" s="673"/>
      <c r="G741" s="650"/>
      <c r="H741" s="12" t="s">
        <v>2322</v>
      </c>
    </row>
    <row r="742" spans="1:8">
      <c r="A742" s="16"/>
      <c r="B742" s="650"/>
      <c r="C742" s="573" t="s">
        <v>868</v>
      </c>
      <c r="D742" s="673"/>
      <c r="E742" s="673"/>
      <c r="F742" s="673"/>
      <c r="G742" s="652"/>
      <c r="H742" s="12" t="s">
        <v>2322</v>
      </c>
    </row>
    <row r="743" spans="1:8">
      <c r="A743" s="16"/>
      <c r="B743" s="650"/>
      <c r="C743" s="573" t="s">
        <v>60</v>
      </c>
      <c r="D743" s="673"/>
      <c r="E743" s="673"/>
      <c r="F743" s="673"/>
      <c r="G743" s="652"/>
      <c r="H743" s="12" t="s">
        <v>2322</v>
      </c>
    </row>
    <row r="744" spans="1:8">
      <c r="A744" s="16"/>
      <c r="B744" s="650"/>
      <c r="C744" s="700" t="s">
        <v>3249</v>
      </c>
      <c r="D744" s="673" t="s">
        <v>11</v>
      </c>
      <c r="E744" s="532">
        <v>0.255</v>
      </c>
      <c r="F744" s="659">
        <f>'lead 22-23 P-B'!L23</f>
        <v>19542.199999999997</v>
      </c>
      <c r="G744" s="53">
        <f>ROUND(E744*F744/1,2)</f>
        <v>4983.26</v>
      </c>
      <c r="H744" s="12" t="s">
        <v>2322</v>
      </c>
    </row>
    <row r="745" spans="1:8">
      <c r="A745" s="16"/>
      <c r="B745" s="650"/>
      <c r="C745" s="700" t="s">
        <v>873</v>
      </c>
      <c r="D745" s="673" t="s">
        <v>141</v>
      </c>
      <c r="E745" s="659">
        <v>21.6</v>
      </c>
      <c r="F745" s="659">
        <f>'lead 22-23 P-B'!L8</f>
        <v>4700</v>
      </c>
      <c r="G745" s="53">
        <f>ROUND(E745*F745/1000,2)</f>
        <v>101.52</v>
      </c>
      <c r="H745" s="12" t="s">
        <v>2322</v>
      </c>
    </row>
    <row r="746" spans="1:8">
      <c r="A746" s="16"/>
      <c r="B746" s="650"/>
      <c r="C746" s="700" t="s">
        <v>1205</v>
      </c>
      <c r="D746" s="673" t="s">
        <v>141</v>
      </c>
      <c r="E746" s="659">
        <v>6</v>
      </c>
      <c r="F746" s="659">
        <f>F745</f>
        <v>4700</v>
      </c>
      <c r="G746" s="53">
        <f>ROUND(E746*F746/1000,2)</f>
        <v>28.2</v>
      </c>
      <c r="H746" s="12" t="s">
        <v>2322</v>
      </c>
    </row>
    <row r="747" spans="1:8">
      <c r="A747" s="16"/>
      <c r="B747" s="650"/>
      <c r="C747" s="700" t="s">
        <v>1206</v>
      </c>
      <c r="D747" s="673" t="s">
        <v>102</v>
      </c>
      <c r="E747" s="659">
        <v>1</v>
      </c>
      <c r="F747" s="659">
        <f>G740</f>
        <v>793.16</v>
      </c>
      <c r="G747" s="53">
        <f>ROUND(E747*F747/1,2)</f>
        <v>793.16</v>
      </c>
      <c r="H747" s="12" t="s">
        <v>2322</v>
      </c>
    </row>
    <row r="748" spans="1:8">
      <c r="A748" s="16"/>
      <c r="B748" s="650"/>
      <c r="C748" s="700" t="s">
        <v>1207</v>
      </c>
      <c r="D748" s="673" t="s">
        <v>35</v>
      </c>
      <c r="E748" s="659">
        <v>0.04</v>
      </c>
      <c r="F748" s="659">
        <f>'lead 22-23 P-B'!L12</f>
        <v>1815.9999999999998</v>
      </c>
      <c r="G748" s="53">
        <f>-ROUND(E748*F748,2)</f>
        <v>-72.64</v>
      </c>
      <c r="H748" s="12" t="s">
        <v>2322</v>
      </c>
    </row>
    <row r="749" spans="1:8">
      <c r="A749" s="16"/>
      <c r="B749" s="650"/>
      <c r="C749" s="700" t="s">
        <v>1208</v>
      </c>
      <c r="D749" s="673" t="s">
        <v>35</v>
      </c>
      <c r="E749" s="659">
        <v>0.12</v>
      </c>
      <c r="F749" s="659">
        <f>F748</f>
        <v>1815.9999999999998</v>
      </c>
      <c r="G749" s="53">
        <f>ROUND(E749*F749,2)</f>
        <v>217.92</v>
      </c>
      <c r="H749" s="12" t="s">
        <v>2322</v>
      </c>
    </row>
    <row r="750" spans="1:8">
      <c r="A750" s="673"/>
      <c r="B750" s="673"/>
      <c r="C750" s="573" t="s">
        <v>68</v>
      </c>
      <c r="D750" s="673"/>
      <c r="E750" s="659"/>
      <c r="F750" s="659"/>
      <c r="G750" s="53"/>
      <c r="H750" s="12" t="s">
        <v>2322</v>
      </c>
    </row>
    <row r="751" spans="1:8">
      <c r="A751" s="673"/>
      <c r="B751" s="673"/>
      <c r="C751" s="700" t="s">
        <v>64</v>
      </c>
      <c r="D751" s="673" t="s">
        <v>27</v>
      </c>
      <c r="E751" s="659">
        <v>0.96</v>
      </c>
      <c r="F751" s="672">
        <f>'MINI SSR 2022-23 (2)'!$H$3</f>
        <v>630</v>
      </c>
      <c r="G751" s="53">
        <f>ROUND(E751*F751,2)</f>
        <v>604.79999999999995</v>
      </c>
      <c r="H751" s="12" t="s">
        <v>2322</v>
      </c>
    </row>
    <row r="752" spans="1:8">
      <c r="A752" s="673"/>
      <c r="B752" s="673"/>
      <c r="C752" s="700" t="s">
        <v>69</v>
      </c>
      <c r="D752" s="673" t="s">
        <v>27</v>
      </c>
      <c r="E752" s="659">
        <v>2.2400000000000002</v>
      </c>
      <c r="F752" s="672">
        <f>'MINI SSR 2022-23 (2)'!$H$4</f>
        <v>565</v>
      </c>
      <c r="G752" s="53">
        <f>ROUND(E752*F752,2)</f>
        <v>1265.5999999999999</v>
      </c>
      <c r="H752" s="12" t="s">
        <v>2322</v>
      </c>
    </row>
    <row r="753" spans="1:8">
      <c r="A753" s="673"/>
      <c r="B753" s="673"/>
      <c r="C753" s="700" t="s">
        <v>85</v>
      </c>
      <c r="D753" s="673" t="s">
        <v>27</v>
      </c>
      <c r="E753" s="659">
        <v>4.3</v>
      </c>
      <c r="F753" s="672">
        <f>'MINI SSR 2022-23 (2)'!$H$5</f>
        <v>525</v>
      </c>
      <c r="G753" s="53">
        <f>ROUND(E753*F753,2)</f>
        <v>2257.5</v>
      </c>
      <c r="H753" s="12" t="s">
        <v>2322</v>
      </c>
    </row>
    <row r="754" spans="1:8">
      <c r="A754" s="673"/>
      <c r="B754" s="673"/>
      <c r="C754" s="573" t="s">
        <v>88</v>
      </c>
      <c r="D754" s="673"/>
      <c r="E754" s="659"/>
      <c r="F754" s="659"/>
      <c r="G754" s="53">
        <f>SUM(G744:G753)</f>
        <v>10179.32</v>
      </c>
      <c r="H754" s="12" t="s">
        <v>2322</v>
      </c>
    </row>
    <row r="755" spans="1:8">
      <c r="A755" s="673"/>
      <c r="B755" s="673"/>
      <c r="C755" s="573"/>
      <c r="D755" s="673"/>
      <c r="E755" s="659" t="s">
        <v>161</v>
      </c>
      <c r="F755" s="659" t="s">
        <v>162</v>
      </c>
      <c r="G755" s="10" t="s">
        <v>163</v>
      </c>
      <c r="H755" s="12" t="s">
        <v>2322</v>
      </c>
    </row>
    <row r="756" spans="1:8">
      <c r="A756" s="673"/>
      <c r="B756" s="673"/>
      <c r="C756" s="573" t="s">
        <v>1275</v>
      </c>
      <c r="D756" s="673"/>
      <c r="E756" s="659">
        <f>G754</f>
        <v>10179.32</v>
      </c>
      <c r="F756" s="659">
        <f>G754</f>
        <v>10179.32</v>
      </c>
      <c r="G756" s="652">
        <f>G754</f>
        <v>10179.32</v>
      </c>
      <c r="H756" s="12" t="s">
        <v>2322</v>
      </c>
    </row>
    <row r="757" spans="1:8" ht="25.5">
      <c r="A757" s="673"/>
      <c r="B757" s="673"/>
      <c r="C757" s="700" t="s">
        <v>170</v>
      </c>
      <c r="D757" s="673"/>
      <c r="E757" s="673"/>
      <c r="F757" s="659">
        <f>ROUND((G752+G753+G751)*0.1,2)</f>
        <v>412.79</v>
      </c>
      <c r="G757" s="652">
        <f>ROUND((G752+G753+G751)*0.2,2)</f>
        <v>825.58</v>
      </c>
      <c r="H757" s="12" t="s">
        <v>2322</v>
      </c>
    </row>
    <row r="758" spans="1:8">
      <c r="A758" s="673"/>
      <c r="B758" s="673"/>
      <c r="C758" s="573" t="s">
        <v>194</v>
      </c>
      <c r="D758" s="673"/>
      <c r="E758" s="660">
        <f>SUM(E756:E757)</f>
        <v>10179.32</v>
      </c>
      <c r="F758" s="660">
        <f>SUM(F756:F757)</f>
        <v>10592.11</v>
      </c>
      <c r="G758" s="661">
        <f>SUM(G756:G757)</f>
        <v>11004.9</v>
      </c>
      <c r="H758" s="12" t="s">
        <v>2322</v>
      </c>
    </row>
    <row r="759" spans="1:8">
      <c r="A759" s="673"/>
      <c r="B759" s="673"/>
      <c r="C759" s="573" t="s">
        <v>181</v>
      </c>
      <c r="D759" s="673"/>
      <c r="E759" s="660">
        <f>ROUND(E758/10,2)</f>
        <v>1017.93</v>
      </c>
      <c r="F759" s="660">
        <f>ROUND(F758/10,2)</f>
        <v>1059.21</v>
      </c>
      <c r="G759" s="661">
        <f>ROUND(G758/10,2)</f>
        <v>1100.49</v>
      </c>
      <c r="H759" s="12" t="s">
        <v>2322</v>
      </c>
    </row>
    <row r="760" spans="1:8" ht="114.75">
      <c r="A760" s="16">
        <v>26</v>
      </c>
      <c r="B760" s="650"/>
      <c r="C760" s="700" t="s">
        <v>2255</v>
      </c>
      <c r="D760" s="673"/>
      <c r="E760" s="673"/>
      <c r="F760" s="673"/>
      <c r="G760" s="650"/>
      <c r="H760" s="12" t="s">
        <v>2322</v>
      </c>
    </row>
    <row r="761" spans="1:8">
      <c r="A761" s="16"/>
      <c r="B761" s="650"/>
      <c r="C761" s="573" t="s">
        <v>60</v>
      </c>
      <c r="D761" s="673"/>
      <c r="E761" s="673"/>
      <c r="F761" s="673"/>
      <c r="G761" s="652"/>
      <c r="H761" s="12" t="s">
        <v>2322</v>
      </c>
    </row>
    <row r="762" spans="1:8">
      <c r="A762" s="16"/>
      <c r="B762" s="650"/>
      <c r="C762" s="700" t="s">
        <v>2256</v>
      </c>
      <c r="D762" s="673" t="s">
        <v>102</v>
      </c>
      <c r="E762" s="532">
        <v>1</v>
      </c>
      <c r="F762" s="659">
        <f>'MINI SSR 2022-23 (2)'!H79</f>
        <v>390</v>
      </c>
      <c r="G762" s="53">
        <f>ROUND(E762*F762/1,2)</f>
        <v>390</v>
      </c>
      <c r="H762" s="12" t="s">
        <v>2322</v>
      </c>
    </row>
    <row r="763" spans="1:8">
      <c r="A763" s="16"/>
      <c r="B763" s="650"/>
      <c r="C763" s="700" t="s">
        <v>2257</v>
      </c>
      <c r="D763" s="673" t="s">
        <v>102</v>
      </c>
      <c r="E763" s="532">
        <v>1</v>
      </c>
      <c r="F763" s="659">
        <f>'MINI SSR 2022-23 (2)'!H80</f>
        <v>220</v>
      </c>
      <c r="G763" s="53">
        <f>ROUND(E763*F763/1,2)</f>
        <v>220</v>
      </c>
      <c r="H763" s="12" t="s">
        <v>2322</v>
      </c>
    </row>
    <row r="764" spans="1:8">
      <c r="A764" s="673"/>
      <c r="B764" s="673"/>
      <c r="C764" s="573" t="s">
        <v>181</v>
      </c>
      <c r="D764" s="673"/>
      <c r="E764" s="660"/>
      <c r="F764" s="660"/>
      <c r="G764" s="661">
        <f>SUM(G762:G763)</f>
        <v>610</v>
      </c>
      <c r="H764" s="12" t="s">
        <v>2322</v>
      </c>
    </row>
    <row r="765" spans="1:8" ht="140.25">
      <c r="A765" s="16">
        <v>28</v>
      </c>
      <c r="B765" s="650" t="s">
        <v>2258</v>
      </c>
      <c r="C765" s="700" t="s">
        <v>2259</v>
      </c>
      <c r="D765" s="673"/>
      <c r="E765" s="673"/>
      <c r="F765" s="673"/>
      <c r="G765" s="650"/>
      <c r="H765" s="12" t="s">
        <v>2322</v>
      </c>
    </row>
    <row r="766" spans="1:8">
      <c r="A766" s="16"/>
      <c r="B766" s="650"/>
      <c r="C766" s="573" t="s">
        <v>42</v>
      </c>
      <c r="D766" s="673"/>
      <c r="E766" s="673"/>
      <c r="F766" s="673"/>
      <c r="G766" s="652"/>
      <c r="H766" s="12" t="s">
        <v>2322</v>
      </c>
    </row>
    <row r="767" spans="1:8">
      <c r="A767" s="16"/>
      <c r="B767" s="650"/>
      <c r="C767" s="573" t="s">
        <v>60</v>
      </c>
      <c r="D767" s="673"/>
      <c r="E767" s="673"/>
      <c r="F767" s="673"/>
      <c r="G767" s="652"/>
      <c r="H767" s="12" t="s">
        <v>2322</v>
      </c>
    </row>
    <row r="768" spans="1:8">
      <c r="A768" s="16"/>
      <c r="B768" s="650"/>
      <c r="C768" s="700" t="s">
        <v>2260</v>
      </c>
      <c r="D768" s="673" t="s">
        <v>35</v>
      </c>
      <c r="E768" s="659">
        <v>0.17</v>
      </c>
      <c r="F768" s="659">
        <f>F35</f>
        <v>2046.91</v>
      </c>
      <c r="G768" s="53">
        <f>ROUND(E768*F768,2)</f>
        <v>347.97</v>
      </c>
      <c r="H768" s="12" t="s">
        <v>2322</v>
      </c>
    </row>
    <row r="769" spans="1:8">
      <c r="A769" s="16"/>
      <c r="B769" s="650"/>
      <c r="C769" s="700" t="s">
        <v>847</v>
      </c>
      <c r="D769" s="673" t="s">
        <v>4</v>
      </c>
      <c r="E769" s="659">
        <v>120</v>
      </c>
      <c r="F769" s="659">
        <f>'lead 22-23 P-B'!L8</f>
        <v>4700</v>
      </c>
      <c r="G769" s="53">
        <f>ROUND(E769*F769/1000,2)</f>
        <v>564</v>
      </c>
      <c r="H769" s="12" t="s">
        <v>2322</v>
      </c>
    </row>
    <row r="770" spans="1:8">
      <c r="A770" s="16"/>
      <c r="B770" s="650"/>
      <c r="C770" s="700" t="s">
        <v>837</v>
      </c>
      <c r="D770" s="673" t="s">
        <v>35</v>
      </c>
      <c r="E770" s="659">
        <v>8.5000000000000006E-2</v>
      </c>
      <c r="F770" s="659">
        <f>'lead 22-23 P-B'!L13</f>
        <v>1720.9999999999998</v>
      </c>
      <c r="G770" s="53">
        <f>ROUND(E770*F770,2)</f>
        <v>146.29</v>
      </c>
      <c r="H770" s="12" t="s">
        <v>2322</v>
      </c>
    </row>
    <row r="771" spans="1:8">
      <c r="A771" s="673"/>
      <c r="B771" s="673"/>
      <c r="C771" s="573" t="s">
        <v>68</v>
      </c>
      <c r="D771" s="673"/>
      <c r="E771" s="659"/>
      <c r="F771" s="659"/>
      <c r="G771" s="53"/>
      <c r="H771" s="12" t="s">
        <v>2322</v>
      </c>
    </row>
    <row r="772" spans="1:8">
      <c r="A772" s="673"/>
      <c r="B772" s="673"/>
      <c r="C772" s="700" t="s">
        <v>64</v>
      </c>
      <c r="D772" s="673" t="s">
        <v>27</v>
      </c>
      <c r="E772" s="659">
        <v>1.25</v>
      </c>
      <c r="F772" s="672">
        <f>'MINI SSR 2022-23 (2)'!H3</f>
        <v>630</v>
      </c>
      <c r="G772" s="53">
        <f>ROUND(E772*F772,2)</f>
        <v>787.5</v>
      </c>
      <c r="H772" s="12" t="s">
        <v>2322</v>
      </c>
    </row>
    <row r="773" spans="1:8">
      <c r="A773" s="673"/>
      <c r="B773" s="673"/>
      <c r="C773" s="700" t="s">
        <v>69</v>
      </c>
      <c r="D773" s="673" t="s">
        <v>27</v>
      </c>
      <c r="E773" s="659">
        <v>0.06</v>
      </c>
      <c r="F773" s="672">
        <f>'MINI SSR 2022-23 (2)'!H4</f>
        <v>565</v>
      </c>
      <c r="G773" s="53">
        <f>ROUND(E773*F773,2)</f>
        <v>33.9</v>
      </c>
      <c r="H773" s="12" t="s">
        <v>2322</v>
      </c>
    </row>
    <row r="774" spans="1:8">
      <c r="A774" s="673"/>
      <c r="B774" s="673"/>
      <c r="C774" s="700" t="s">
        <v>85</v>
      </c>
      <c r="D774" s="673" t="s">
        <v>27</v>
      </c>
      <c r="E774" s="659">
        <v>3</v>
      </c>
      <c r="F774" s="672">
        <f>'MINI SSR 2022-23 (2)'!H5</f>
        <v>525</v>
      </c>
      <c r="G774" s="53">
        <f>ROUND(E774*F774,2)</f>
        <v>1575</v>
      </c>
      <c r="H774" s="12" t="s">
        <v>2322</v>
      </c>
    </row>
    <row r="775" spans="1:8">
      <c r="A775" s="673"/>
      <c r="B775" s="673"/>
      <c r="C775" s="573" t="s">
        <v>88</v>
      </c>
      <c r="D775" s="673"/>
      <c r="E775" s="673"/>
      <c r="F775" s="673"/>
      <c r="G775" s="661">
        <f>SUM(G768:G774)</f>
        <v>3454.66</v>
      </c>
      <c r="H775" s="12" t="s">
        <v>2322</v>
      </c>
    </row>
    <row r="776" spans="1:8">
      <c r="A776" s="673"/>
      <c r="B776" s="673"/>
      <c r="C776" s="573"/>
      <c r="D776" s="673"/>
      <c r="E776" s="650" t="s">
        <v>161</v>
      </c>
      <c r="F776" s="650" t="s">
        <v>162</v>
      </c>
      <c r="G776" s="660" t="s">
        <v>163</v>
      </c>
      <c r="H776" s="12" t="s">
        <v>2322</v>
      </c>
    </row>
    <row r="777" spans="1:8">
      <c r="A777" s="673"/>
      <c r="B777" s="673"/>
      <c r="C777" s="573" t="s">
        <v>1275</v>
      </c>
      <c r="D777" s="673"/>
      <c r="E777" s="659">
        <f>G775</f>
        <v>3454.66</v>
      </c>
      <c r="F777" s="659">
        <f>G775</f>
        <v>3454.66</v>
      </c>
      <c r="G777" s="652">
        <f>G775</f>
        <v>3454.66</v>
      </c>
      <c r="H777" s="12" t="s">
        <v>2322</v>
      </c>
    </row>
    <row r="778" spans="1:8" ht="25.5">
      <c r="A778" s="673"/>
      <c r="B778" s="673"/>
      <c r="C778" s="700" t="s">
        <v>170</v>
      </c>
      <c r="D778" s="673"/>
      <c r="E778" s="673"/>
      <c r="F778" s="659">
        <f>ROUND((G772+G773+G774)*0.1,2)</f>
        <v>239.64</v>
      </c>
      <c r="G778" s="676">
        <f>ROUND((G772+G773+G774)*0.2,2)</f>
        <v>479.28</v>
      </c>
      <c r="H778" s="12" t="s">
        <v>2322</v>
      </c>
    </row>
    <row r="779" spans="1:8">
      <c r="A779" s="673"/>
      <c r="B779" s="673"/>
      <c r="C779" s="573" t="s">
        <v>194</v>
      </c>
      <c r="D779" s="673"/>
      <c r="E779" s="660">
        <f>SUM(E777:E778)</f>
        <v>3454.66</v>
      </c>
      <c r="F779" s="660">
        <f>SUM(F777:F778)</f>
        <v>3694.2999999999997</v>
      </c>
      <c r="G779" s="661">
        <f>SUM(G777:G778)</f>
        <v>3933.9399999999996</v>
      </c>
      <c r="H779" s="12" t="s">
        <v>2322</v>
      </c>
    </row>
    <row r="780" spans="1:8">
      <c r="A780" s="673"/>
      <c r="B780" s="673"/>
      <c r="C780" s="573" t="s">
        <v>181</v>
      </c>
      <c r="D780" s="673"/>
      <c r="E780" s="660">
        <f>ROUND(E779/10,2)</f>
        <v>345.47</v>
      </c>
      <c r="F780" s="660">
        <f>ROUND(F779/10,2)</f>
        <v>369.43</v>
      </c>
      <c r="G780" s="661">
        <f>ROUND(G779/10,2)</f>
        <v>393.39</v>
      </c>
      <c r="H780" s="12" t="s">
        <v>2322</v>
      </c>
    </row>
    <row r="781" spans="1:8" ht="102">
      <c r="A781" s="16">
        <v>51</v>
      </c>
      <c r="B781" s="650" t="s">
        <v>878</v>
      </c>
      <c r="C781" s="700" t="s">
        <v>879</v>
      </c>
      <c r="D781" s="673"/>
      <c r="E781" s="673"/>
      <c r="F781" s="673"/>
      <c r="G781" s="650"/>
      <c r="H781" s="12" t="s">
        <v>2322</v>
      </c>
    </row>
    <row r="782" spans="1:8">
      <c r="A782" s="16"/>
      <c r="B782" s="650"/>
      <c r="C782" s="573" t="s">
        <v>42</v>
      </c>
      <c r="D782" s="673"/>
      <c r="E782" s="673"/>
      <c r="F782" s="673"/>
      <c r="G782" s="652"/>
      <c r="H782" s="12" t="s">
        <v>2322</v>
      </c>
    </row>
    <row r="783" spans="1:8">
      <c r="A783" s="16"/>
      <c r="B783" s="650"/>
      <c r="C783" s="573" t="s">
        <v>60</v>
      </c>
      <c r="D783" s="673"/>
      <c r="E783" s="673"/>
      <c r="F783" s="673"/>
      <c r="G783" s="652"/>
      <c r="H783" s="12" t="s">
        <v>2322</v>
      </c>
    </row>
    <row r="784" spans="1:8">
      <c r="A784" s="16"/>
      <c r="B784" s="650"/>
      <c r="C784" s="700" t="s">
        <v>1276</v>
      </c>
      <c r="D784" s="673" t="s">
        <v>1353</v>
      </c>
      <c r="E784" s="659">
        <v>1.2</v>
      </c>
      <c r="F784" s="659">
        <f>'MINI SSR 2022-23 (2)'!$G$40</f>
        <v>600</v>
      </c>
      <c r="G784" s="53">
        <f>ROUND(F784/20*E784,2)</f>
        <v>36</v>
      </c>
      <c r="H784" s="12" t="s">
        <v>2322</v>
      </c>
    </row>
    <row r="785" spans="1:8">
      <c r="A785" s="673"/>
      <c r="B785" s="673"/>
      <c r="C785" s="573" t="s">
        <v>68</v>
      </c>
      <c r="D785" s="673"/>
      <c r="E785" s="659"/>
      <c r="F785" s="659"/>
      <c r="G785" s="53"/>
      <c r="H785" s="12" t="s">
        <v>2322</v>
      </c>
    </row>
    <row r="786" spans="1:8">
      <c r="A786" s="673"/>
      <c r="B786" s="673"/>
      <c r="C786" s="700" t="s">
        <v>150</v>
      </c>
      <c r="D786" s="673" t="s">
        <v>27</v>
      </c>
      <c r="E786" s="659">
        <v>0.11</v>
      </c>
      <c r="F786" s="659">
        <f>'MINI SSR 2022-23 (2)'!$H$8</f>
        <v>705</v>
      </c>
      <c r="G786" s="53">
        <f>ROUND(E786*F786,2)</f>
        <v>77.55</v>
      </c>
      <c r="H786" s="12" t="s">
        <v>2322</v>
      </c>
    </row>
    <row r="787" spans="1:8">
      <c r="A787" s="673"/>
      <c r="B787" s="673"/>
      <c r="C787" s="700" t="s">
        <v>85</v>
      </c>
      <c r="D787" s="673" t="s">
        <v>27</v>
      </c>
      <c r="E787" s="659">
        <v>0.22</v>
      </c>
      <c r="F787" s="659">
        <f>'MINI SSR 2022-23 (2)'!$H$5</f>
        <v>525</v>
      </c>
      <c r="G787" s="53">
        <f>ROUND(E787*F787,2)</f>
        <v>115.5</v>
      </c>
      <c r="H787" s="12" t="s">
        <v>2322</v>
      </c>
    </row>
    <row r="788" spans="1:8">
      <c r="A788" s="673"/>
      <c r="B788" s="673"/>
      <c r="C788" s="700" t="s">
        <v>880</v>
      </c>
      <c r="D788" s="673"/>
      <c r="E788" s="659">
        <v>0.05</v>
      </c>
      <c r="F788" s="659">
        <f>SUM(G784:G787)</f>
        <v>229.05</v>
      </c>
      <c r="G788" s="53">
        <f>ROUND(E788*F788,2)</f>
        <v>11.45</v>
      </c>
      <c r="H788" s="12" t="s">
        <v>2322</v>
      </c>
    </row>
    <row r="789" spans="1:8">
      <c r="A789" s="673"/>
      <c r="B789" s="673"/>
      <c r="C789" s="573" t="s">
        <v>88</v>
      </c>
      <c r="D789" s="673"/>
      <c r="E789" s="673"/>
      <c r="F789" s="673"/>
      <c r="G789" s="661">
        <f>SUM(G784:G788)</f>
        <v>240.5</v>
      </c>
      <c r="H789" s="12" t="s">
        <v>2322</v>
      </c>
    </row>
    <row r="790" spans="1:8">
      <c r="A790" s="673"/>
      <c r="B790" s="673"/>
      <c r="C790" s="573"/>
      <c r="D790" s="673"/>
      <c r="E790" s="650" t="s">
        <v>161</v>
      </c>
      <c r="F790" s="650" t="s">
        <v>162</v>
      </c>
      <c r="G790" s="660" t="s">
        <v>163</v>
      </c>
      <c r="H790" s="12" t="s">
        <v>2322</v>
      </c>
    </row>
    <row r="791" spans="1:8">
      <c r="A791" s="673"/>
      <c r="B791" s="673"/>
      <c r="C791" s="573" t="s">
        <v>1277</v>
      </c>
      <c r="D791" s="673"/>
      <c r="E791" s="659">
        <f>G789</f>
        <v>240.5</v>
      </c>
      <c r="F791" s="659">
        <f>E791</f>
        <v>240.5</v>
      </c>
      <c r="G791" s="652">
        <f>F791</f>
        <v>240.5</v>
      </c>
      <c r="H791" s="12" t="s">
        <v>2322</v>
      </c>
    </row>
    <row r="792" spans="1:8" ht="25.5">
      <c r="A792" s="673"/>
      <c r="B792" s="673"/>
      <c r="C792" s="700" t="s">
        <v>170</v>
      </c>
      <c r="D792" s="673"/>
      <c r="E792" s="673"/>
      <c r="F792" s="659">
        <f>ROUND((G786+G787)*0.1,2)</f>
        <v>19.309999999999999</v>
      </c>
      <c r="G792" s="652">
        <f>ROUND((G786+G787)*0.2,2)</f>
        <v>38.61</v>
      </c>
      <c r="H792" s="12" t="s">
        <v>2322</v>
      </c>
    </row>
    <row r="793" spans="1:8">
      <c r="A793" s="673"/>
      <c r="B793" s="673"/>
      <c r="C793" s="573" t="s">
        <v>194</v>
      </c>
      <c r="D793" s="673"/>
      <c r="E793" s="660">
        <f>SUM(E791:E792)</f>
        <v>240.5</v>
      </c>
      <c r="F793" s="660">
        <f>SUM(F791:F792)</f>
        <v>259.81</v>
      </c>
      <c r="G793" s="661">
        <f>SUM(G791:G792)</f>
        <v>279.11</v>
      </c>
      <c r="H793" s="12" t="s">
        <v>2322</v>
      </c>
    </row>
    <row r="794" spans="1:8">
      <c r="A794" s="673"/>
      <c r="B794" s="673"/>
      <c r="C794" s="573" t="s">
        <v>181</v>
      </c>
      <c r="D794" s="673"/>
      <c r="E794" s="660">
        <f>ROUND(E793/10,2)</f>
        <v>24.05</v>
      </c>
      <c r="F794" s="660">
        <f>ROUND(F793/10,2)</f>
        <v>25.98</v>
      </c>
      <c r="G794" s="661">
        <f>ROUND(G793/10,2)</f>
        <v>27.91</v>
      </c>
      <c r="H794" s="12" t="s">
        <v>2322</v>
      </c>
    </row>
    <row r="795" spans="1:8" ht="191.25">
      <c r="A795" s="16">
        <v>19</v>
      </c>
      <c r="B795" s="650" t="s">
        <v>1330</v>
      </c>
      <c r="C795" s="700" t="s">
        <v>891</v>
      </c>
      <c r="D795" s="673"/>
      <c r="E795" s="673"/>
      <c r="F795" s="673"/>
      <c r="G795" s="650"/>
      <c r="H795" s="12" t="s">
        <v>2322</v>
      </c>
    </row>
    <row r="796" spans="1:8">
      <c r="A796" s="16"/>
      <c r="B796" s="650"/>
      <c r="C796" s="573" t="s">
        <v>42</v>
      </c>
      <c r="D796" s="673"/>
      <c r="E796" s="673"/>
      <c r="F796" s="673"/>
      <c r="G796" s="652"/>
      <c r="H796" s="12" t="s">
        <v>2322</v>
      </c>
    </row>
    <row r="797" spans="1:8">
      <c r="A797" s="16"/>
      <c r="B797" s="650"/>
      <c r="C797" s="573" t="s">
        <v>60</v>
      </c>
      <c r="D797" s="673"/>
      <c r="E797" s="673"/>
      <c r="F797" s="673"/>
      <c r="G797" s="652"/>
      <c r="H797" s="12" t="s">
        <v>2322</v>
      </c>
    </row>
    <row r="798" spans="1:8">
      <c r="A798" s="16"/>
      <c r="B798" s="650"/>
      <c r="C798" s="700" t="s">
        <v>892</v>
      </c>
      <c r="D798" s="673" t="s">
        <v>1353</v>
      </c>
      <c r="E798" s="659">
        <v>23</v>
      </c>
      <c r="F798" s="659">
        <f>'MINI SSR 2022-23 (2)'!$G$40</f>
        <v>600</v>
      </c>
      <c r="G798" s="53">
        <f>ROUND(F798/20*E798,2)</f>
        <v>690</v>
      </c>
      <c r="H798" s="12" t="s">
        <v>2322</v>
      </c>
    </row>
    <row r="799" spans="1:8">
      <c r="A799" s="673"/>
      <c r="B799" s="673"/>
      <c r="C799" s="573" t="s">
        <v>68</v>
      </c>
      <c r="D799" s="673"/>
      <c r="E799" s="659"/>
      <c r="F799" s="659"/>
      <c r="G799" s="53"/>
      <c r="H799" s="12" t="s">
        <v>2322</v>
      </c>
    </row>
    <row r="800" spans="1:8">
      <c r="A800" s="673"/>
      <c r="B800" s="673"/>
      <c r="C800" s="700" t="s">
        <v>94</v>
      </c>
      <c r="D800" s="673" t="s">
        <v>27</v>
      </c>
      <c r="E800" s="532">
        <v>0.27300000000000002</v>
      </c>
      <c r="F800" s="659">
        <f>'MINI SSR 2022-23 (2)'!$H$8</f>
        <v>705</v>
      </c>
      <c r="G800" s="53">
        <f>ROUND(E800*F800,2)</f>
        <v>192.47</v>
      </c>
      <c r="H800" s="12" t="s">
        <v>2322</v>
      </c>
    </row>
    <row r="801" spans="1:8">
      <c r="A801" s="673"/>
      <c r="B801" s="673"/>
      <c r="C801" s="700" t="s">
        <v>874</v>
      </c>
      <c r="D801" s="673" t="s">
        <v>27</v>
      </c>
      <c r="E801" s="532">
        <v>0.63700000000000001</v>
      </c>
      <c r="F801" s="659">
        <f>'MINI SSR 2022-23 (2)'!$H$9</f>
        <v>565</v>
      </c>
      <c r="G801" s="53">
        <f>ROUND(E801*F801,2)</f>
        <v>359.91</v>
      </c>
      <c r="H801" s="12" t="s">
        <v>2322</v>
      </c>
    </row>
    <row r="802" spans="1:8">
      <c r="A802" s="673"/>
      <c r="B802" s="673"/>
      <c r="C802" s="700" t="s">
        <v>85</v>
      </c>
      <c r="D802" s="673" t="s">
        <v>27</v>
      </c>
      <c r="E802" s="532">
        <v>0.91</v>
      </c>
      <c r="F802" s="659">
        <f>'MINI SSR 2022-23 (2)'!$H$5</f>
        <v>525</v>
      </c>
      <c r="G802" s="53">
        <f>ROUND(E802*F802,2)</f>
        <v>477.75</v>
      </c>
      <c r="H802" s="12" t="s">
        <v>2322</v>
      </c>
    </row>
    <row r="803" spans="1:8">
      <c r="A803" s="673"/>
      <c r="B803" s="673"/>
      <c r="C803" s="700" t="s">
        <v>893</v>
      </c>
      <c r="D803" s="673"/>
      <c r="E803" s="659">
        <v>0.01</v>
      </c>
      <c r="F803" s="659">
        <f>SUM(G798:G802)</f>
        <v>1720.13</v>
      </c>
      <c r="G803" s="53">
        <f>ROUND(E803*F803,2)</f>
        <v>17.2</v>
      </c>
      <c r="H803" s="12" t="s">
        <v>2322</v>
      </c>
    </row>
    <row r="804" spans="1:8">
      <c r="A804" s="673"/>
      <c r="B804" s="673"/>
      <c r="C804" s="573" t="s">
        <v>88</v>
      </c>
      <c r="D804" s="673"/>
      <c r="E804" s="673"/>
      <c r="F804" s="673"/>
      <c r="G804" s="661">
        <f>SUM(G798:G803)</f>
        <v>1737.3300000000002</v>
      </c>
      <c r="H804" s="12" t="s">
        <v>2322</v>
      </c>
    </row>
    <row r="805" spans="1:8">
      <c r="A805" s="673"/>
      <c r="B805" s="673"/>
      <c r="C805" s="573"/>
      <c r="D805" s="673"/>
      <c r="E805" s="650" t="s">
        <v>161</v>
      </c>
      <c r="F805" s="650" t="s">
        <v>162</v>
      </c>
      <c r="G805" s="660" t="s">
        <v>163</v>
      </c>
      <c r="H805" s="12" t="s">
        <v>2322</v>
      </c>
    </row>
    <row r="806" spans="1:8">
      <c r="A806" s="673"/>
      <c r="B806" s="673"/>
      <c r="C806" s="573" t="s">
        <v>1277</v>
      </c>
      <c r="D806" s="673"/>
      <c r="E806" s="659">
        <f>G804</f>
        <v>1737.3300000000002</v>
      </c>
      <c r="F806" s="659">
        <f>E806</f>
        <v>1737.3300000000002</v>
      </c>
      <c r="G806" s="652">
        <f>F806</f>
        <v>1737.3300000000002</v>
      </c>
      <c r="H806" s="12" t="s">
        <v>2322</v>
      </c>
    </row>
    <row r="807" spans="1:8" ht="25.5">
      <c r="A807" s="673"/>
      <c r="B807" s="673"/>
      <c r="C807" s="700" t="s">
        <v>170</v>
      </c>
      <c r="D807" s="673"/>
      <c r="E807" s="673"/>
      <c r="F807" s="659">
        <f>ROUND((G800+G801+G802)*0.1,2)</f>
        <v>103.01</v>
      </c>
      <c r="G807" s="676">
        <f>ROUND(F807*2,2)</f>
        <v>206.02</v>
      </c>
      <c r="H807" s="12" t="s">
        <v>2322</v>
      </c>
    </row>
    <row r="808" spans="1:8">
      <c r="A808" s="673"/>
      <c r="B808" s="673"/>
      <c r="C808" s="573" t="s">
        <v>194</v>
      </c>
      <c r="D808" s="673"/>
      <c r="E808" s="660">
        <f>SUM(E806:E807)</f>
        <v>1737.3300000000002</v>
      </c>
      <c r="F808" s="660">
        <f>SUM(F806:F807)</f>
        <v>1840.3400000000001</v>
      </c>
      <c r="G808" s="661">
        <f>SUM(G806:G807)</f>
        <v>1943.3500000000001</v>
      </c>
      <c r="H808" s="12" t="s">
        <v>2322</v>
      </c>
    </row>
    <row r="809" spans="1:8">
      <c r="A809" s="673"/>
      <c r="B809" s="673"/>
      <c r="C809" s="573" t="s">
        <v>181</v>
      </c>
      <c r="D809" s="673"/>
      <c r="E809" s="660">
        <f>ROUND(E808/10,2)</f>
        <v>173.73</v>
      </c>
      <c r="F809" s="660">
        <f>ROUND(F808/10,2)</f>
        <v>184.03</v>
      </c>
      <c r="G809" s="661">
        <f>ROUND(G808/10,2)</f>
        <v>194.34</v>
      </c>
      <c r="H809" s="12" t="s">
        <v>2322</v>
      </c>
    </row>
    <row r="810" spans="1:8" s="692" customFormat="1" ht="25.5">
      <c r="A810" s="650">
        <v>20</v>
      </c>
      <c r="B810" s="690" t="s">
        <v>1354</v>
      </c>
      <c r="C810" s="700" t="s">
        <v>1355</v>
      </c>
      <c r="D810" s="673"/>
      <c r="E810" s="673"/>
      <c r="F810" s="691"/>
      <c r="G810" s="691"/>
      <c r="H810" s="12" t="s">
        <v>2322</v>
      </c>
    </row>
    <row r="811" spans="1:8">
      <c r="A811" s="673"/>
      <c r="B811" s="650"/>
      <c r="C811" s="700" t="s">
        <v>1356</v>
      </c>
      <c r="D811" s="672"/>
      <c r="E811" s="672"/>
      <c r="F811" s="672"/>
      <c r="G811" s="685"/>
      <c r="H811" s="12" t="s">
        <v>2322</v>
      </c>
    </row>
    <row r="812" spans="1:8">
      <c r="A812" s="673"/>
      <c r="B812" s="650"/>
      <c r="C812" s="700" t="s">
        <v>1357</v>
      </c>
      <c r="D812" s="672"/>
      <c r="E812" s="672"/>
      <c r="F812" s="672"/>
      <c r="G812" s="685"/>
      <c r="H812" s="12" t="s">
        <v>2322</v>
      </c>
    </row>
    <row r="813" spans="1:8">
      <c r="A813" s="673"/>
      <c r="B813" s="650"/>
      <c r="C813" s="700" t="s">
        <v>3223</v>
      </c>
      <c r="D813" s="672" t="s">
        <v>90</v>
      </c>
      <c r="E813" s="672">
        <v>1</v>
      </c>
      <c r="F813" s="672">
        <f>'MINI SSR 2022-23 (2)'!G41</f>
        <v>160</v>
      </c>
      <c r="G813" s="685">
        <f>ROUND(E813*F813,2)</f>
        <v>160</v>
      </c>
      <c r="H813" s="12" t="s">
        <v>2322</v>
      </c>
    </row>
    <row r="814" spans="1:8">
      <c r="A814" s="673"/>
      <c r="B814" s="650"/>
      <c r="C814" s="700" t="s">
        <v>1358</v>
      </c>
      <c r="D814" s="672"/>
      <c r="E814" s="672"/>
      <c r="F814" s="672"/>
      <c r="G814" s="685"/>
      <c r="H814" s="12" t="s">
        <v>2322</v>
      </c>
    </row>
    <row r="815" spans="1:8">
      <c r="A815" s="673"/>
      <c r="B815" s="650"/>
      <c r="C815" s="700" t="s">
        <v>94</v>
      </c>
      <c r="D815" s="672" t="s">
        <v>27</v>
      </c>
      <c r="E815" s="672">
        <v>0.21</v>
      </c>
      <c r="F815" s="659">
        <f>'MINI SSR 2022-23 (2)'!$H$8</f>
        <v>705</v>
      </c>
      <c r="G815" s="685">
        <f>ROUND(E815*F815,2)</f>
        <v>148.05000000000001</v>
      </c>
      <c r="H815" s="12" t="s">
        <v>2322</v>
      </c>
    </row>
    <row r="816" spans="1:8">
      <c r="A816" s="673"/>
      <c r="B816" s="650"/>
      <c r="C816" s="700" t="s">
        <v>874</v>
      </c>
      <c r="D816" s="672" t="s">
        <v>27</v>
      </c>
      <c r="E816" s="672">
        <v>0.49</v>
      </c>
      <c r="F816" s="659">
        <f>'MINI SSR 2022-23 (2)'!$H$9</f>
        <v>565</v>
      </c>
      <c r="G816" s="685">
        <f>ROUND(E816*F816,2)</f>
        <v>276.85000000000002</v>
      </c>
      <c r="H816" s="12" t="s">
        <v>2322</v>
      </c>
    </row>
    <row r="817" spans="1:8">
      <c r="A817" s="673"/>
      <c r="B817" s="650"/>
      <c r="C817" s="700" t="s">
        <v>875</v>
      </c>
      <c r="D817" s="672"/>
      <c r="E817" s="693">
        <v>5.0000000000000001E-3</v>
      </c>
      <c r="F817" s="672">
        <f>SUM(G813:G816)</f>
        <v>584.90000000000009</v>
      </c>
      <c r="G817" s="685">
        <f>ROUND(E817*F817,2)</f>
        <v>2.92</v>
      </c>
      <c r="H817" s="12" t="s">
        <v>2322</v>
      </c>
    </row>
    <row r="818" spans="1:8">
      <c r="A818" s="673"/>
      <c r="B818" s="650"/>
      <c r="C818" s="700" t="s">
        <v>1359</v>
      </c>
      <c r="D818" s="672"/>
      <c r="E818" s="672"/>
      <c r="F818" s="672"/>
      <c r="G818" s="685">
        <f>SUM(G813:G817)</f>
        <v>587.82000000000005</v>
      </c>
      <c r="H818" s="12" t="s">
        <v>2322</v>
      </c>
    </row>
    <row r="819" spans="1:8" s="695" customFormat="1">
      <c r="A819" s="690"/>
      <c r="B819" s="690"/>
      <c r="C819" s="573" t="s">
        <v>869</v>
      </c>
      <c r="D819" s="686"/>
      <c r="E819" s="686"/>
      <c r="F819" s="686"/>
      <c r="G819" s="694">
        <f>ROUND(SUM(G818:G818),2)</f>
        <v>587.82000000000005</v>
      </c>
      <c r="H819" s="12" t="s">
        <v>2322</v>
      </c>
    </row>
    <row r="820" spans="1:8" s="692" customFormat="1" ht="25.5">
      <c r="A820" s="650">
        <v>21</v>
      </c>
      <c r="B820" s="650" t="s">
        <v>1354</v>
      </c>
      <c r="C820" s="700" t="s">
        <v>1360</v>
      </c>
      <c r="D820" s="673"/>
      <c r="E820" s="673"/>
      <c r="F820" s="691"/>
      <c r="G820" s="691"/>
      <c r="H820" s="12" t="s">
        <v>2322</v>
      </c>
    </row>
    <row r="821" spans="1:8">
      <c r="A821" s="673"/>
      <c r="B821" s="650"/>
      <c r="C821" s="700" t="s">
        <v>1356</v>
      </c>
      <c r="D821" s="672"/>
      <c r="E821" s="672"/>
      <c r="F821" s="672"/>
      <c r="G821" s="685"/>
      <c r="H821" s="12" t="s">
        <v>2322</v>
      </c>
    </row>
    <row r="822" spans="1:8">
      <c r="A822" s="673"/>
      <c r="B822" s="650"/>
      <c r="C822" s="700" t="s">
        <v>1357</v>
      </c>
      <c r="D822" s="672"/>
      <c r="E822" s="672"/>
      <c r="F822" s="672"/>
      <c r="G822" s="685"/>
      <c r="H822" s="12" t="s">
        <v>2322</v>
      </c>
    </row>
    <row r="823" spans="1:8">
      <c r="A823" s="673"/>
      <c r="B823" s="650"/>
      <c r="C823" s="700" t="s">
        <v>3250</v>
      </c>
      <c r="D823" s="672" t="s">
        <v>90</v>
      </c>
      <c r="E823" s="672">
        <v>1</v>
      </c>
      <c r="F823" s="672">
        <f>'MINI SSR 2022-23 (2)'!G42</f>
        <v>200</v>
      </c>
      <c r="G823" s="685">
        <f>ROUND(E823*F823,2)</f>
        <v>200</v>
      </c>
      <c r="H823" s="12" t="s">
        <v>2322</v>
      </c>
    </row>
    <row r="824" spans="1:8">
      <c r="A824" s="673"/>
      <c r="B824" s="650"/>
      <c r="C824" s="700" t="s">
        <v>1358</v>
      </c>
      <c r="D824" s="672"/>
      <c r="E824" s="672"/>
      <c r="F824" s="672"/>
      <c r="G824" s="685"/>
      <c r="H824" s="12" t="s">
        <v>2322</v>
      </c>
    </row>
    <row r="825" spans="1:8">
      <c r="A825" s="673"/>
      <c r="B825" s="650"/>
      <c r="C825" s="700" t="s">
        <v>94</v>
      </c>
      <c r="D825" s="672" t="s">
        <v>27</v>
      </c>
      <c r="E825" s="672">
        <v>0.21</v>
      </c>
      <c r="F825" s="659">
        <f>'MINI SSR 2022-23 (2)'!$H$8</f>
        <v>705</v>
      </c>
      <c r="G825" s="685">
        <f>ROUND(E825*F825,2)</f>
        <v>148.05000000000001</v>
      </c>
      <c r="H825" s="12" t="s">
        <v>2322</v>
      </c>
    </row>
    <row r="826" spans="1:8">
      <c r="A826" s="673"/>
      <c r="B826" s="650"/>
      <c r="C826" s="700" t="s">
        <v>874</v>
      </c>
      <c r="D826" s="672" t="s">
        <v>27</v>
      </c>
      <c r="E826" s="672">
        <v>0.49</v>
      </c>
      <c r="F826" s="659">
        <f>'MINI SSR 2022-23 (2)'!$H$9</f>
        <v>565</v>
      </c>
      <c r="G826" s="685">
        <f>ROUND(E826*F826,2)</f>
        <v>276.85000000000002</v>
      </c>
      <c r="H826" s="12" t="s">
        <v>2322</v>
      </c>
    </row>
    <row r="827" spans="1:8">
      <c r="A827" s="673"/>
      <c r="B827" s="650"/>
      <c r="C827" s="700" t="s">
        <v>875</v>
      </c>
      <c r="D827" s="672"/>
      <c r="E827" s="693">
        <v>5.0000000000000001E-3</v>
      </c>
      <c r="F827" s="672">
        <f>SUM(G823:G826)</f>
        <v>624.90000000000009</v>
      </c>
      <c r="G827" s="685">
        <f>ROUND(E827*F827,2)</f>
        <v>3.12</v>
      </c>
      <c r="H827" s="12" t="s">
        <v>2322</v>
      </c>
    </row>
    <row r="828" spans="1:8">
      <c r="A828" s="673"/>
      <c r="B828" s="650"/>
      <c r="C828" s="700" t="s">
        <v>1359</v>
      </c>
      <c r="D828" s="672"/>
      <c r="E828" s="672"/>
      <c r="F828" s="672"/>
      <c r="G828" s="685">
        <f>SUM(G823:G827)</f>
        <v>628.0200000000001</v>
      </c>
      <c r="H828" s="12" t="s">
        <v>2322</v>
      </c>
    </row>
    <row r="829" spans="1:8" s="695" customFormat="1">
      <c r="A829" s="690"/>
      <c r="B829" s="690"/>
      <c r="C829" s="573" t="s">
        <v>869</v>
      </c>
      <c r="D829" s="686"/>
      <c r="E829" s="686"/>
      <c r="F829" s="686"/>
      <c r="G829" s="694">
        <f>ROUND(SUM(G828:G828),2)</f>
        <v>628.02</v>
      </c>
      <c r="H829" s="12" t="s">
        <v>2322</v>
      </c>
    </row>
    <row r="830" spans="1:8" s="692" customFormat="1" ht="140.25">
      <c r="A830" s="650"/>
      <c r="B830" s="650" t="s">
        <v>1330</v>
      </c>
      <c r="C830" s="700" t="s">
        <v>1167</v>
      </c>
      <c r="D830" s="673"/>
      <c r="E830" s="673"/>
      <c r="F830" s="691"/>
      <c r="G830" s="691"/>
      <c r="H830" s="12" t="s">
        <v>2322</v>
      </c>
    </row>
    <row r="831" spans="1:8">
      <c r="A831" s="673"/>
      <c r="B831" s="650"/>
      <c r="C831" s="573" t="s">
        <v>1361</v>
      </c>
      <c r="D831" s="672"/>
      <c r="E831" s="672"/>
      <c r="F831" s="672"/>
      <c r="G831" s="685"/>
      <c r="H831" s="12" t="s">
        <v>2322</v>
      </c>
    </row>
    <row r="832" spans="1:8">
      <c r="A832" s="673"/>
      <c r="B832" s="650"/>
      <c r="C832" s="700" t="s">
        <v>1371</v>
      </c>
      <c r="D832" s="672" t="s">
        <v>1362</v>
      </c>
      <c r="E832" s="672">
        <v>1</v>
      </c>
      <c r="F832" s="672">
        <f>G819</f>
        <v>587.82000000000005</v>
      </c>
      <c r="G832" s="685">
        <f>ROUND(E832*F832,2)</f>
        <v>587.82000000000005</v>
      </c>
      <c r="H832" s="12" t="s">
        <v>2322</v>
      </c>
    </row>
    <row r="833" spans="1:8">
      <c r="A833" s="673"/>
      <c r="B833" s="650"/>
      <c r="C833" s="700"/>
      <c r="D833" s="672"/>
      <c r="E833" s="672"/>
      <c r="F833" s="672"/>
      <c r="G833" s="685"/>
      <c r="H833" s="12" t="s">
        <v>2322</v>
      </c>
    </row>
    <row r="834" spans="1:8">
      <c r="A834" s="673"/>
      <c r="B834" s="650"/>
      <c r="C834" s="696" t="s">
        <v>1363</v>
      </c>
      <c r="D834" s="672"/>
      <c r="E834" s="672"/>
      <c r="F834" s="672"/>
      <c r="G834" s="685"/>
      <c r="H834" s="12" t="s">
        <v>2322</v>
      </c>
    </row>
    <row r="835" spans="1:8">
      <c r="A835" s="673">
        <v>22</v>
      </c>
      <c r="B835" s="650"/>
      <c r="C835" s="700" t="s">
        <v>3225</v>
      </c>
      <c r="D835" s="16" t="s">
        <v>291</v>
      </c>
      <c r="E835" s="10">
        <v>0.8</v>
      </c>
      <c r="F835" s="672">
        <f>'MINI SSR 2022-23 (2)'!G43</f>
        <v>190</v>
      </c>
      <c r="G835" s="685">
        <f>ROUND(E835*F835,2)</f>
        <v>152</v>
      </c>
      <c r="H835" s="12" t="s">
        <v>2322</v>
      </c>
    </row>
    <row r="836" spans="1:8">
      <c r="A836" s="673"/>
      <c r="B836" s="650"/>
      <c r="C836" s="696" t="s">
        <v>1365</v>
      </c>
      <c r="D836" s="16"/>
      <c r="E836" s="10"/>
      <c r="F836" s="672"/>
      <c r="G836" s="685"/>
      <c r="H836" s="12" t="s">
        <v>2322</v>
      </c>
    </row>
    <row r="837" spans="1:8">
      <c r="A837" s="673"/>
      <c r="B837" s="650"/>
      <c r="C837" s="700" t="s">
        <v>1366</v>
      </c>
      <c r="D837" s="16" t="s">
        <v>27</v>
      </c>
      <c r="E837" s="659">
        <v>0.36</v>
      </c>
      <c r="F837" s="659">
        <f>'MINI SSR 2022-23 (2)'!$H$8</f>
        <v>705</v>
      </c>
      <c r="G837" s="685">
        <f>ROUND(E837*F837,2)</f>
        <v>253.8</v>
      </c>
      <c r="H837" s="12" t="s">
        <v>2322</v>
      </c>
    </row>
    <row r="838" spans="1:8">
      <c r="A838" s="673"/>
      <c r="B838" s="650"/>
      <c r="C838" s="700" t="s">
        <v>1367</v>
      </c>
      <c r="D838" s="16" t="s">
        <v>27</v>
      </c>
      <c r="E838" s="659">
        <v>0.84</v>
      </c>
      <c r="F838" s="659">
        <f>'MINI SSR 2022-23 (2)'!$H$9</f>
        <v>565</v>
      </c>
      <c r="G838" s="685">
        <f>ROUND(E838*F838,2)</f>
        <v>474.6</v>
      </c>
      <c r="H838" s="12" t="s">
        <v>2322</v>
      </c>
    </row>
    <row r="839" spans="1:8">
      <c r="A839" s="673"/>
      <c r="B839" s="650"/>
      <c r="C839" s="700" t="s">
        <v>0</v>
      </c>
      <c r="D839" s="672"/>
      <c r="E839" s="672"/>
      <c r="F839" s="672"/>
      <c r="G839" s="685">
        <f>SUM(G832:G838)</f>
        <v>1468.2200000000003</v>
      </c>
      <c r="H839" s="12" t="s">
        <v>2322</v>
      </c>
    </row>
    <row r="840" spans="1:8">
      <c r="A840" s="673"/>
      <c r="B840" s="650"/>
      <c r="C840" s="700"/>
      <c r="D840" s="672"/>
      <c r="E840" s="686" t="s">
        <v>161</v>
      </c>
      <c r="F840" s="686" t="s">
        <v>162</v>
      </c>
      <c r="G840" s="686" t="s">
        <v>163</v>
      </c>
      <c r="H840" s="12" t="s">
        <v>2322</v>
      </c>
    </row>
    <row r="841" spans="1:8">
      <c r="A841" s="673"/>
      <c r="B841" s="650"/>
      <c r="C841" s="700" t="s">
        <v>867</v>
      </c>
      <c r="D841" s="672"/>
      <c r="E841" s="672">
        <f>G839</f>
        <v>1468.2200000000003</v>
      </c>
      <c r="F841" s="697">
        <f>G839</f>
        <v>1468.2200000000003</v>
      </c>
      <c r="G841" s="697">
        <f>G839</f>
        <v>1468.2200000000003</v>
      </c>
      <c r="H841" s="12" t="s">
        <v>2322</v>
      </c>
    </row>
    <row r="842" spans="1:8">
      <c r="A842" s="673"/>
      <c r="B842" s="650"/>
      <c r="C842" s="700" t="s">
        <v>1368</v>
      </c>
      <c r="D842" s="672"/>
      <c r="E842" s="672"/>
      <c r="F842" s="685">
        <f>SUM(G815+G816+G837+G838)*10%</f>
        <v>115.33000000000003</v>
      </c>
      <c r="G842" s="685">
        <f>SUM(G815+G816+G837+G838)*20%</f>
        <v>230.66000000000005</v>
      </c>
      <c r="H842" s="12" t="s">
        <v>2322</v>
      </c>
    </row>
    <row r="843" spans="1:8" s="695" customFormat="1">
      <c r="A843" s="690"/>
      <c r="B843" s="690"/>
      <c r="C843" s="573" t="s">
        <v>869</v>
      </c>
      <c r="D843" s="686"/>
      <c r="E843" s="686">
        <f>SUM(E841:E842)</f>
        <v>1468.2200000000003</v>
      </c>
      <c r="F843" s="694">
        <f>SUM(F841:F842)</f>
        <v>1583.5500000000002</v>
      </c>
      <c r="G843" s="694">
        <f>SUM(G841:G842)</f>
        <v>1698.8800000000003</v>
      </c>
      <c r="H843" s="12" t="s">
        <v>2322</v>
      </c>
    </row>
    <row r="844" spans="1:8" s="695" customFormat="1">
      <c r="A844" s="690"/>
      <c r="B844" s="690"/>
      <c r="C844" s="573" t="s">
        <v>1369</v>
      </c>
      <c r="D844" s="686"/>
      <c r="E844" s="686">
        <f>ROUND(E843/10,2)</f>
        <v>146.82</v>
      </c>
      <c r="F844" s="694">
        <f>ROUND(F843/10,2)</f>
        <v>158.36000000000001</v>
      </c>
      <c r="G844" s="694">
        <f>ROUND(G843/10,2)</f>
        <v>169.89</v>
      </c>
      <c r="H844" s="12" t="s">
        <v>2322</v>
      </c>
    </row>
    <row r="845" spans="1:8" s="692" customFormat="1" ht="140.25">
      <c r="A845" s="650">
        <v>23</v>
      </c>
      <c r="B845" s="650" t="s">
        <v>1330</v>
      </c>
      <c r="C845" s="700" t="s">
        <v>1370</v>
      </c>
      <c r="D845" s="673"/>
      <c r="E845" s="673"/>
      <c r="F845" s="691"/>
      <c r="G845" s="691"/>
      <c r="H845" s="12" t="s">
        <v>2322</v>
      </c>
    </row>
    <row r="846" spans="1:8">
      <c r="A846" s="673"/>
      <c r="B846" s="650"/>
      <c r="C846" s="700" t="s">
        <v>1371</v>
      </c>
      <c r="D846" s="672" t="s">
        <v>1362</v>
      </c>
      <c r="E846" s="672">
        <v>1</v>
      </c>
      <c r="F846" s="672">
        <f>G829</f>
        <v>628.02</v>
      </c>
      <c r="G846" s="685">
        <f>ROUND(E846*F846,2)</f>
        <v>628.02</v>
      </c>
      <c r="H846" s="12" t="s">
        <v>2322</v>
      </c>
    </row>
    <row r="847" spans="1:8">
      <c r="A847" s="673"/>
      <c r="B847" s="650"/>
      <c r="C847" s="696" t="s">
        <v>1363</v>
      </c>
      <c r="D847" s="672"/>
      <c r="E847" s="672"/>
      <c r="F847" s="672"/>
      <c r="G847" s="685"/>
      <c r="H847" s="12" t="s">
        <v>2322</v>
      </c>
    </row>
    <row r="848" spans="1:8">
      <c r="A848" s="673"/>
      <c r="B848" s="650"/>
      <c r="C848" s="700" t="s">
        <v>3251</v>
      </c>
      <c r="D848" s="16" t="s">
        <v>291</v>
      </c>
      <c r="E848" s="10">
        <v>0.8</v>
      </c>
      <c r="F848" s="672">
        <f>'MINI SSR 2022-23 (2)'!G44</f>
        <v>210</v>
      </c>
      <c r="G848" s="685">
        <f>ROUND(E848*F848,2)</f>
        <v>168</v>
      </c>
      <c r="H848" s="12" t="s">
        <v>2322</v>
      </c>
    </row>
    <row r="849" spans="1:8">
      <c r="A849" s="673"/>
      <c r="B849" s="650"/>
      <c r="C849" s="696" t="s">
        <v>1365</v>
      </c>
      <c r="D849" s="16"/>
      <c r="E849" s="10"/>
      <c r="F849" s="672"/>
      <c r="G849" s="685"/>
      <c r="H849" s="12" t="s">
        <v>2322</v>
      </c>
    </row>
    <row r="850" spans="1:8">
      <c r="A850" s="673"/>
      <c r="B850" s="650"/>
      <c r="C850" s="700" t="s">
        <v>1366</v>
      </c>
      <c r="D850" s="16" t="s">
        <v>27</v>
      </c>
      <c r="E850" s="659">
        <v>0.21</v>
      </c>
      <c r="F850" s="659">
        <f>'MINI SSR 2022-23 (2)'!$H$8</f>
        <v>705</v>
      </c>
      <c r="G850" s="685">
        <f>ROUND(E850*F850,2)</f>
        <v>148.05000000000001</v>
      </c>
      <c r="H850" s="12" t="s">
        <v>2322</v>
      </c>
    </row>
    <row r="851" spans="1:8">
      <c r="A851" s="673"/>
      <c r="B851" s="650"/>
      <c r="C851" s="700" t="s">
        <v>1367</v>
      </c>
      <c r="D851" s="16" t="s">
        <v>27</v>
      </c>
      <c r="E851" s="659">
        <v>0.49</v>
      </c>
      <c r="F851" s="659">
        <f>'MINI SSR 2022-23 (2)'!$H$9</f>
        <v>565</v>
      </c>
      <c r="G851" s="685">
        <f>ROUND(E851*F851,2)</f>
        <v>276.85000000000002</v>
      </c>
      <c r="H851" s="12" t="s">
        <v>2322</v>
      </c>
    </row>
    <row r="852" spans="1:8">
      <c r="A852" s="673"/>
      <c r="B852" s="650"/>
      <c r="C852" s="700" t="s">
        <v>311</v>
      </c>
      <c r="D852" s="16" t="s">
        <v>27</v>
      </c>
      <c r="E852" s="659">
        <v>1.5</v>
      </c>
      <c r="F852" s="659">
        <f>'MINI SSR 2022-23 (2)'!$H$5</f>
        <v>525</v>
      </c>
      <c r="G852" s="685">
        <f>ROUND(E852*F852,2)</f>
        <v>787.5</v>
      </c>
      <c r="H852" s="12" t="s">
        <v>2322</v>
      </c>
    </row>
    <row r="853" spans="1:8">
      <c r="A853" s="673"/>
      <c r="B853" s="650"/>
      <c r="C853" s="700" t="s">
        <v>0</v>
      </c>
      <c r="D853" s="672"/>
      <c r="E853" s="672"/>
      <c r="F853" s="672"/>
      <c r="G853" s="685">
        <f>SUM(G846:G852)</f>
        <v>2008.42</v>
      </c>
      <c r="H853" s="12" t="s">
        <v>2322</v>
      </c>
    </row>
    <row r="854" spans="1:8">
      <c r="A854" s="673"/>
      <c r="B854" s="650"/>
      <c r="C854" s="700"/>
      <c r="D854" s="672"/>
      <c r="E854" s="686" t="s">
        <v>161</v>
      </c>
      <c r="F854" s="686" t="s">
        <v>162</v>
      </c>
      <c r="G854" s="686" t="s">
        <v>163</v>
      </c>
      <c r="H854" s="12" t="s">
        <v>2322</v>
      </c>
    </row>
    <row r="855" spans="1:8">
      <c r="A855" s="673"/>
      <c r="B855" s="650"/>
      <c r="C855" s="700" t="s">
        <v>867</v>
      </c>
      <c r="D855" s="672"/>
      <c r="E855" s="672">
        <f>G853</f>
        <v>2008.42</v>
      </c>
      <c r="F855" s="697">
        <f>G853</f>
        <v>2008.42</v>
      </c>
      <c r="G855" s="697">
        <f>G853</f>
        <v>2008.42</v>
      </c>
      <c r="H855" s="12" t="s">
        <v>2322</v>
      </c>
    </row>
    <row r="856" spans="1:8">
      <c r="A856" s="673"/>
      <c r="B856" s="650"/>
      <c r="C856" s="700" t="s">
        <v>870</v>
      </c>
      <c r="D856" s="672"/>
      <c r="E856" s="672"/>
      <c r="F856" s="685">
        <f>SUM(G825+G826+G850+G851+G852)*10%</f>
        <v>163.73000000000002</v>
      </c>
      <c r="G856" s="685">
        <f>SUM(G825+G826+G850+G851+G852)*20%</f>
        <v>327.46000000000004</v>
      </c>
      <c r="H856" s="12" t="s">
        <v>2322</v>
      </c>
    </row>
    <row r="857" spans="1:8" s="695" customFormat="1">
      <c r="A857" s="690"/>
      <c r="B857" s="690"/>
      <c r="C857" s="573" t="s">
        <v>869</v>
      </c>
      <c r="D857" s="686"/>
      <c r="E857" s="686">
        <f>SUM(E855:E856)</f>
        <v>2008.42</v>
      </c>
      <c r="F857" s="694">
        <f>SUM(F855:F856)</f>
        <v>2172.15</v>
      </c>
      <c r="G857" s="694">
        <f>SUM(G855:G856)</f>
        <v>2335.88</v>
      </c>
      <c r="H857" s="12" t="s">
        <v>2322</v>
      </c>
    </row>
    <row r="858" spans="1:8" s="695" customFormat="1">
      <c r="A858" s="690"/>
      <c r="B858" s="690"/>
      <c r="C858" s="573" t="s">
        <v>1369</v>
      </c>
      <c r="D858" s="686"/>
      <c r="E858" s="686">
        <f>ROUND(E857/10,2)</f>
        <v>200.84</v>
      </c>
      <c r="F858" s="694">
        <f>ROUND(F857/10,2)</f>
        <v>217.22</v>
      </c>
      <c r="G858" s="694">
        <f>ROUND(G857/10,2)</f>
        <v>233.59</v>
      </c>
      <c r="H858" s="12" t="s">
        <v>2322</v>
      </c>
    </row>
    <row r="859" spans="1:8" s="601" customFormat="1" ht="140.25">
      <c r="A859" s="16">
        <v>58</v>
      </c>
      <c r="B859" s="650" t="s">
        <v>96</v>
      </c>
      <c r="C859" s="700" t="s">
        <v>1308</v>
      </c>
      <c r="D859" s="673"/>
      <c r="E859" s="673"/>
      <c r="F859" s="673"/>
      <c r="G859" s="650"/>
      <c r="H859" s="12" t="s">
        <v>2322</v>
      </c>
    </row>
    <row r="860" spans="1:8" s="601" customFormat="1">
      <c r="A860" s="16"/>
      <c r="B860" s="650"/>
      <c r="C860" s="573" t="s">
        <v>42</v>
      </c>
      <c r="D860" s="673"/>
      <c r="E860" s="673"/>
      <c r="F860" s="673"/>
      <c r="G860" s="652"/>
      <c r="H860" s="12" t="s">
        <v>2322</v>
      </c>
    </row>
    <row r="861" spans="1:8" s="601" customFormat="1">
      <c r="A861" s="16"/>
      <c r="B861" s="650"/>
      <c r="C861" s="573" t="s">
        <v>97</v>
      </c>
      <c r="D861" s="673"/>
      <c r="E861" s="673"/>
      <c r="F861" s="673"/>
      <c r="G861" s="652"/>
      <c r="H861" s="12" t="s">
        <v>2322</v>
      </c>
    </row>
    <row r="862" spans="1:8" s="601" customFormat="1">
      <c r="A862" s="16"/>
      <c r="B862" s="650"/>
      <c r="C862" s="573" t="s">
        <v>60</v>
      </c>
      <c r="D862" s="673"/>
      <c r="E862" s="673"/>
      <c r="F862" s="673"/>
      <c r="G862" s="652"/>
      <c r="H862" s="12" t="s">
        <v>2322</v>
      </c>
    </row>
    <row r="863" spans="1:8" s="601" customFormat="1">
      <c r="A863" s="16"/>
      <c r="B863" s="650"/>
      <c r="C863" s="700" t="s">
        <v>216</v>
      </c>
      <c r="D863" s="673" t="s">
        <v>30</v>
      </c>
      <c r="E863" s="659">
        <v>0.7</v>
      </c>
      <c r="F863" s="659">
        <f>'MINI SSR 2022-23 (2)'!G45</f>
        <v>160</v>
      </c>
      <c r="G863" s="53">
        <f>ROUND(E863*F863,2)</f>
        <v>112</v>
      </c>
      <c r="H863" s="12" t="s">
        <v>2322</v>
      </c>
    </row>
    <row r="864" spans="1:8" s="601" customFormat="1">
      <c r="A864" s="673"/>
      <c r="B864" s="650"/>
      <c r="C864" s="573" t="s">
        <v>68</v>
      </c>
      <c r="D864" s="673"/>
      <c r="E864" s="659"/>
      <c r="F864" s="659"/>
      <c r="G864" s="53"/>
      <c r="H864" s="12" t="s">
        <v>2322</v>
      </c>
    </row>
    <row r="865" spans="1:8" s="601" customFormat="1">
      <c r="A865" s="673"/>
      <c r="B865" s="673"/>
      <c r="C865" s="700" t="s">
        <v>94</v>
      </c>
      <c r="D865" s="673" t="s">
        <v>27</v>
      </c>
      <c r="E865" s="659">
        <v>0.21</v>
      </c>
      <c r="F865" s="659">
        <f>'MINI SSR 2022-23 (2)'!$H$8</f>
        <v>705</v>
      </c>
      <c r="G865" s="53">
        <f>ROUND(E865*F865,2)</f>
        <v>148.05000000000001</v>
      </c>
      <c r="H865" s="12" t="s">
        <v>2322</v>
      </c>
    </row>
    <row r="866" spans="1:8" s="601" customFormat="1">
      <c r="A866" s="673"/>
      <c r="B866" s="673"/>
      <c r="C866" s="700" t="s">
        <v>876</v>
      </c>
      <c r="D866" s="673" t="s">
        <v>27</v>
      </c>
      <c r="E866" s="659">
        <v>0.48</v>
      </c>
      <c r="F866" s="659">
        <f>'MINI SSR 2022-23 (2)'!$H$9</f>
        <v>565</v>
      </c>
      <c r="G866" s="53">
        <f>ROUND(E866*F866,2)</f>
        <v>271.2</v>
      </c>
      <c r="H866" s="12" t="s">
        <v>2322</v>
      </c>
    </row>
    <row r="867" spans="1:8" s="601" customFormat="1">
      <c r="A867" s="673"/>
      <c r="B867" s="673"/>
      <c r="C867" s="700" t="s">
        <v>95</v>
      </c>
      <c r="D867" s="673"/>
      <c r="E867" s="659"/>
      <c r="F867" s="660">
        <f>SUM(G863:G865)</f>
        <v>260.05</v>
      </c>
      <c r="G867" s="53">
        <f>ROUND(F867*0.01,2)</f>
        <v>2.6</v>
      </c>
      <c r="H867" s="12" t="s">
        <v>2322</v>
      </c>
    </row>
    <row r="868" spans="1:8" s="601" customFormat="1">
      <c r="A868" s="673"/>
      <c r="B868" s="673"/>
      <c r="C868" s="573" t="s">
        <v>98</v>
      </c>
      <c r="D868" s="673"/>
      <c r="E868" s="673"/>
      <c r="F868" s="673"/>
      <c r="G868" s="661"/>
      <c r="H868" s="12" t="s">
        <v>2322</v>
      </c>
    </row>
    <row r="869" spans="1:8" s="601" customFormat="1">
      <c r="A869" s="673"/>
      <c r="B869" s="673"/>
      <c r="C869" s="573" t="s">
        <v>60</v>
      </c>
      <c r="D869" s="673"/>
      <c r="E869" s="673"/>
      <c r="F869" s="673"/>
      <c r="G869" s="652"/>
      <c r="H869" s="12" t="s">
        <v>2322</v>
      </c>
    </row>
    <row r="870" spans="1:8" s="601" customFormat="1">
      <c r="A870" s="673"/>
      <c r="B870" s="673"/>
      <c r="C870" s="700" t="s">
        <v>217</v>
      </c>
      <c r="D870" s="673" t="s">
        <v>30</v>
      </c>
      <c r="E870" s="659">
        <v>1.1000000000000001</v>
      </c>
      <c r="F870" s="659">
        <f>'MINI SSR 2022-23 (2)'!G46</f>
        <v>270</v>
      </c>
      <c r="G870" s="53">
        <f>ROUND(E870*F870,2)</f>
        <v>297</v>
      </c>
      <c r="H870" s="12" t="s">
        <v>2322</v>
      </c>
    </row>
    <row r="871" spans="1:8" s="601" customFormat="1">
      <c r="A871" s="673"/>
      <c r="B871" s="673"/>
      <c r="C871" s="573" t="s">
        <v>68</v>
      </c>
      <c r="D871" s="673"/>
      <c r="E871" s="659"/>
      <c r="F871" s="659"/>
      <c r="G871" s="53"/>
      <c r="H871" s="12" t="s">
        <v>2322</v>
      </c>
    </row>
    <row r="872" spans="1:8">
      <c r="A872" s="673"/>
      <c r="B872" s="673"/>
      <c r="C872" s="700" t="s">
        <v>94</v>
      </c>
      <c r="D872" s="673" t="s">
        <v>27</v>
      </c>
      <c r="E872" s="659">
        <v>0.33</v>
      </c>
      <c r="F872" s="659">
        <f>'MINI SSR 2022-23 (2)'!$H$8</f>
        <v>705</v>
      </c>
      <c r="G872" s="53">
        <f>ROUND(E872*F872,2)</f>
        <v>232.65</v>
      </c>
      <c r="H872" s="12" t="s">
        <v>2322</v>
      </c>
    </row>
    <row r="873" spans="1:8">
      <c r="A873" s="673"/>
      <c r="B873" s="673"/>
      <c r="C873" s="700" t="s">
        <v>876</v>
      </c>
      <c r="D873" s="673" t="s">
        <v>27</v>
      </c>
      <c r="E873" s="659">
        <v>0.77</v>
      </c>
      <c r="F873" s="659">
        <f>'MINI SSR 2022-23 (2)'!$H$9</f>
        <v>565</v>
      </c>
      <c r="G873" s="53">
        <f>ROUND(E873*F873,2)</f>
        <v>435.05</v>
      </c>
      <c r="H873" s="12" t="s">
        <v>2322</v>
      </c>
    </row>
    <row r="874" spans="1:8">
      <c r="A874" s="673"/>
      <c r="B874" s="673"/>
      <c r="C874" s="573" t="s">
        <v>99</v>
      </c>
      <c r="D874" s="673"/>
      <c r="E874" s="673"/>
      <c r="F874" s="673"/>
      <c r="G874" s="661">
        <f>SUM(G863:G873)</f>
        <v>1498.55</v>
      </c>
      <c r="H874" s="12" t="s">
        <v>2322</v>
      </c>
    </row>
    <row r="875" spans="1:8">
      <c r="A875" s="673"/>
      <c r="B875" s="673"/>
      <c r="C875" s="573" t="s">
        <v>121</v>
      </c>
      <c r="D875" s="673"/>
      <c r="E875" s="673"/>
      <c r="F875" s="673"/>
      <c r="G875" s="661">
        <f>ROUND(G874/10,2)</f>
        <v>149.86000000000001</v>
      </c>
      <c r="H875" s="12" t="s">
        <v>2322</v>
      </c>
    </row>
    <row r="876" spans="1:8" ht="63.75">
      <c r="A876" s="16">
        <v>59</v>
      </c>
      <c r="B876" s="650"/>
      <c r="C876" s="700" t="s">
        <v>1181</v>
      </c>
      <c r="D876" s="673"/>
      <c r="E876" s="673"/>
      <c r="F876" s="673"/>
      <c r="G876" s="652"/>
      <c r="H876" s="12" t="s">
        <v>2322</v>
      </c>
    </row>
    <row r="877" spans="1:8">
      <c r="A877" s="673"/>
      <c r="B877" s="673" t="s">
        <v>1422</v>
      </c>
      <c r="C877" s="700" t="s">
        <v>1421</v>
      </c>
      <c r="D877" s="673" t="s">
        <v>102</v>
      </c>
      <c r="E877" s="659">
        <v>1</v>
      </c>
      <c r="F877" s="659">
        <v>205</v>
      </c>
      <c r="G877" s="53">
        <f>ROUND(E877*F877,2)</f>
        <v>205</v>
      </c>
      <c r="H877" s="12" t="s">
        <v>2322</v>
      </c>
    </row>
    <row r="878" spans="1:8">
      <c r="A878" s="673"/>
      <c r="B878" s="673"/>
      <c r="C878" s="573"/>
      <c r="D878" s="673"/>
      <c r="E878" s="673"/>
      <c r="F878" s="673"/>
      <c r="G878" s="661">
        <f>SUM(G877:G877)</f>
        <v>205</v>
      </c>
      <c r="H878" s="12" t="s">
        <v>2322</v>
      </c>
    </row>
    <row r="879" spans="1:8" ht="293.25">
      <c r="A879" s="16">
        <v>60</v>
      </c>
      <c r="B879" s="650"/>
      <c r="C879" s="700" t="s">
        <v>1183</v>
      </c>
      <c r="D879" s="673"/>
      <c r="E879" s="673"/>
      <c r="F879" s="673"/>
      <c r="G879" s="652"/>
      <c r="H879" s="12" t="s">
        <v>2322</v>
      </c>
    </row>
    <row r="880" spans="1:8">
      <c r="A880" s="673"/>
      <c r="B880" s="673"/>
      <c r="C880" s="700" t="s">
        <v>222</v>
      </c>
      <c r="D880" s="673"/>
      <c r="E880" s="659"/>
      <c r="F880" s="659"/>
      <c r="G880" s="53"/>
      <c r="H880" s="12" t="s">
        <v>2322</v>
      </c>
    </row>
    <row r="881" spans="1:8">
      <c r="A881" s="673"/>
      <c r="B881" s="673" t="s">
        <v>1424</v>
      </c>
      <c r="C881" s="700" t="s">
        <v>1423</v>
      </c>
      <c r="D881" s="659" t="s">
        <v>291</v>
      </c>
      <c r="E881" s="532">
        <v>6.5000000000000002E-2</v>
      </c>
      <c r="F881" s="672">
        <f>'MINI SSR 2022-23 (2)'!G47</f>
        <v>843</v>
      </c>
      <c r="G881" s="53">
        <f>ROUND(E881*F881,2)</f>
        <v>54.8</v>
      </c>
      <c r="H881" s="12" t="s">
        <v>2322</v>
      </c>
    </row>
    <row r="882" spans="1:8">
      <c r="A882" s="673"/>
      <c r="B882" s="673" t="s">
        <v>1424</v>
      </c>
      <c r="C882" s="700" t="s">
        <v>1425</v>
      </c>
      <c r="D882" s="659" t="s">
        <v>291</v>
      </c>
      <c r="E882" s="532">
        <v>3.3000000000000002E-2</v>
      </c>
      <c r="F882" s="672">
        <f>'MINI SSR 2022-23 (2)'!G48</f>
        <v>254</v>
      </c>
      <c r="G882" s="53">
        <f>ROUND(E882*F882,2)</f>
        <v>8.3800000000000008</v>
      </c>
      <c r="H882" s="12" t="s">
        <v>2322</v>
      </c>
    </row>
    <row r="883" spans="1:8">
      <c r="A883" s="16"/>
      <c r="B883" s="650"/>
      <c r="C883" s="700" t="s">
        <v>94</v>
      </c>
      <c r="D883" s="659" t="s">
        <v>27</v>
      </c>
      <c r="E883" s="659">
        <v>0.24</v>
      </c>
      <c r="F883" s="659">
        <f>'MINI SSR 2022-23 (2)'!$H$8</f>
        <v>705</v>
      </c>
      <c r="G883" s="53">
        <f>ROUND(E883*F883,2)</f>
        <v>169.2</v>
      </c>
      <c r="H883" s="12" t="s">
        <v>2322</v>
      </c>
    </row>
    <row r="884" spans="1:8">
      <c r="A884" s="16"/>
      <c r="B884" s="650"/>
      <c r="C884" s="700" t="s">
        <v>874</v>
      </c>
      <c r="D884" s="659" t="s">
        <v>27</v>
      </c>
      <c r="E884" s="659">
        <v>0.56000000000000005</v>
      </c>
      <c r="F884" s="659">
        <f>'MINI SSR 2022-23 (2)'!$H$9</f>
        <v>565</v>
      </c>
      <c r="G884" s="53">
        <f>ROUND(E884*F884,2)</f>
        <v>316.39999999999998</v>
      </c>
      <c r="H884" s="12" t="s">
        <v>2322</v>
      </c>
    </row>
    <row r="885" spans="1:8">
      <c r="A885" s="16"/>
      <c r="B885" s="650"/>
      <c r="C885" s="700" t="s">
        <v>157</v>
      </c>
      <c r="D885" s="659" t="s">
        <v>27</v>
      </c>
      <c r="E885" s="659">
        <v>0.8</v>
      </c>
      <c r="F885" s="659">
        <f>'MINI SSR 2022-23 (2)'!$H$5</f>
        <v>525</v>
      </c>
      <c r="G885" s="53">
        <f>ROUND(E885*F885,2)</f>
        <v>420</v>
      </c>
      <c r="H885" s="12" t="s">
        <v>2322</v>
      </c>
    </row>
    <row r="886" spans="1:8">
      <c r="A886" s="16"/>
      <c r="B886" s="650"/>
      <c r="C886" s="573" t="s">
        <v>1182</v>
      </c>
      <c r="D886" s="659"/>
      <c r="E886" s="686"/>
      <c r="F886" s="686"/>
      <c r="G886" s="53">
        <f>SUM(G881:G885)</f>
        <v>968.78</v>
      </c>
      <c r="H886" s="12" t="s">
        <v>2322</v>
      </c>
    </row>
    <row r="887" spans="1:8" ht="89.25">
      <c r="A887" s="16">
        <v>61</v>
      </c>
      <c r="B887" s="650"/>
      <c r="C887" s="700" t="s">
        <v>1184</v>
      </c>
      <c r="D887" s="673"/>
      <c r="E887" s="673"/>
      <c r="F887" s="673"/>
      <c r="G887" s="652"/>
      <c r="H887" s="12" t="s">
        <v>2322</v>
      </c>
    </row>
    <row r="888" spans="1:8">
      <c r="A888" s="673"/>
      <c r="B888" s="673"/>
      <c r="C888" s="700" t="s">
        <v>1185</v>
      </c>
      <c r="D888" s="673" t="s">
        <v>102</v>
      </c>
      <c r="E888" s="659">
        <v>1</v>
      </c>
      <c r="F888" s="659">
        <v>630</v>
      </c>
      <c r="G888" s="53">
        <f>ROUND(E888*F888,2)</f>
        <v>630</v>
      </c>
      <c r="H888" s="12" t="s">
        <v>2322</v>
      </c>
    </row>
    <row r="889" spans="1:8">
      <c r="A889" s="673"/>
      <c r="B889" s="673"/>
      <c r="C889" s="573"/>
      <c r="D889" s="673"/>
      <c r="E889" s="673"/>
      <c r="F889" s="673"/>
      <c r="G889" s="661">
        <f>SUM(G888:G888)</f>
        <v>630</v>
      </c>
      <c r="H889" s="12" t="s">
        <v>2322</v>
      </c>
    </row>
    <row r="890" spans="1:8" ht="165.75">
      <c r="A890" s="16">
        <v>24</v>
      </c>
      <c r="B890" s="650"/>
      <c r="C890" s="700" t="s">
        <v>680</v>
      </c>
      <c r="D890" s="673"/>
      <c r="E890" s="673"/>
      <c r="F890" s="673"/>
      <c r="G890" s="652"/>
      <c r="H890" s="12" t="s">
        <v>2322</v>
      </c>
    </row>
    <row r="891" spans="1:8">
      <c r="A891" s="673"/>
      <c r="B891" s="673" t="s">
        <v>1373</v>
      </c>
      <c r="C891" s="700" t="s">
        <v>379</v>
      </c>
      <c r="D891" s="673" t="s">
        <v>102</v>
      </c>
      <c r="E891" s="659">
        <v>1</v>
      </c>
      <c r="F891" s="659">
        <f>'MINI SSR 2022-23 (2)'!C47</f>
        <v>4025</v>
      </c>
      <c r="G891" s="53">
        <f>ROUND(E891*F891,2)</f>
        <v>4025</v>
      </c>
      <c r="H891" s="12" t="s">
        <v>2322</v>
      </c>
    </row>
    <row r="892" spans="1:8">
      <c r="A892" s="673"/>
      <c r="B892" s="673"/>
      <c r="C892" s="573"/>
      <c r="D892" s="673"/>
      <c r="E892" s="673"/>
      <c r="F892" s="673"/>
      <c r="G892" s="661">
        <f>SUM(G891:G891)</f>
        <v>4025</v>
      </c>
      <c r="H892" s="12" t="s">
        <v>2322</v>
      </c>
    </row>
    <row r="893" spans="1:8" ht="51">
      <c r="A893" s="16">
        <v>63</v>
      </c>
      <c r="B893" s="650"/>
      <c r="C893" s="700" t="s">
        <v>951</v>
      </c>
      <c r="D893" s="673"/>
      <c r="E893" s="673"/>
      <c r="F893" s="673"/>
      <c r="G893" s="652"/>
      <c r="H893" s="12" t="s">
        <v>2322</v>
      </c>
    </row>
    <row r="894" spans="1:8">
      <c r="A894" s="673"/>
      <c r="B894" s="673" t="s">
        <v>1427</v>
      </c>
      <c r="C894" s="700" t="s">
        <v>1426</v>
      </c>
      <c r="D894" s="673" t="s">
        <v>275</v>
      </c>
      <c r="E894" s="541">
        <v>1</v>
      </c>
      <c r="F894" s="10">
        <v>250</v>
      </c>
      <c r="G894" s="53">
        <f>ROUND(E894*F894,2)</f>
        <v>250</v>
      </c>
      <c r="H894" s="12" t="s">
        <v>2322</v>
      </c>
    </row>
    <row r="895" spans="1:8">
      <c r="A895" s="673"/>
      <c r="B895" s="673"/>
      <c r="C895" s="700" t="s">
        <v>953</v>
      </c>
      <c r="D895" s="673"/>
      <c r="E895" s="541"/>
      <c r="F895" s="10"/>
      <c r="G895" s="53"/>
      <c r="H895" s="12" t="s">
        <v>2322</v>
      </c>
    </row>
    <row r="896" spans="1:8">
      <c r="A896" s="673"/>
      <c r="B896" s="673"/>
      <c r="C896" s="700" t="s">
        <v>954</v>
      </c>
      <c r="D896" s="673"/>
      <c r="E896" s="541"/>
      <c r="F896" s="10"/>
      <c r="G896" s="53"/>
      <c r="H896" s="12" t="s">
        <v>2322</v>
      </c>
    </row>
    <row r="897" spans="1:8">
      <c r="A897" s="673"/>
      <c r="B897" s="673"/>
      <c r="C897" s="700" t="s">
        <v>955</v>
      </c>
      <c r="D897" s="673"/>
      <c r="E897" s="541"/>
      <c r="F897" s="10"/>
      <c r="G897" s="53"/>
      <c r="H897" s="12" t="s">
        <v>2322</v>
      </c>
    </row>
    <row r="898" spans="1:8">
      <c r="A898" s="673"/>
      <c r="B898" s="673"/>
      <c r="C898" s="700" t="s">
        <v>956</v>
      </c>
      <c r="D898" s="673"/>
      <c r="E898" s="541"/>
      <c r="F898" s="10"/>
      <c r="G898" s="53"/>
      <c r="H898" s="12" t="s">
        <v>2322</v>
      </c>
    </row>
    <row r="899" spans="1:8">
      <c r="A899" s="673"/>
      <c r="B899" s="673"/>
      <c r="C899" s="700" t="s">
        <v>957</v>
      </c>
      <c r="D899" s="673" t="s">
        <v>275</v>
      </c>
      <c r="E899" s="541">
        <v>1</v>
      </c>
      <c r="F899" s="10">
        <v>666.66</v>
      </c>
      <c r="G899" s="53">
        <f>ROUND(E899*F899,2)</f>
        <v>666.66</v>
      </c>
      <c r="H899" s="12" t="s">
        <v>2322</v>
      </c>
    </row>
    <row r="900" spans="1:8">
      <c r="A900" s="673"/>
      <c r="B900" s="673"/>
      <c r="C900" s="357"/>
      <c r="D900" s="16"/>
      <c r="E900" s="541"/>
      <c r="F900" s="10"/>
      <c r="G900" s="9"/>
      <c r="H900" s="12" t="s">
        <v>2322</v>
      </c>
    </row>
    <row r="901" spans="1:8">
      <c r="A901" s="673"/>
      <c r="B901" s="673"/>
      <c r="C901" s="573"/>
      <c r="D901" s="673"/>
      <c r="E901" s="673"/>
      <c r="F901" s="673"/>
      <c r="G901" s="661">
        <f>SUM(G899:G900)</f>
        <v>666.66</v>
      </c>
      <c r="H901" s="12" t="s">
        <v>2322</v>
      </c>
    </row>
    <row r="902" spans="1:8" ht="51">
      <c r="A902" s="16">
        <v>10</v>
      </c>
      <c r="B902" s="650"/>
      <c r="C902" s="700" t="s">
        <v>1232</v>
      </c>
      <c r="D902" s="673"/>
      <c r="E902" s="673"/>
      <c r="F902" s="673"/>
      <c r="G902" s="652"/>
      <c r="H902" s="12" t="s">
        <v>2322</v>
      </c>
    </row>
    <row r="903" spans="1:8">
      <c r="A903" s="673"/>
      <c r="B903" s="673" t="s">
        <v>1427</v>
      </c>
      <c r="C903" s="700" t="s">
        <v>1426</v>
      </c>
      <c r="D903" s="673" t="s">
        <v>275</v>
      </c>
      <c r="E903" s="541">
        <v>1</v>
      </c>
      <c r="F903" s="10">
        <v>250</v>
      </c>
      <c r="G903" s="53">
        <f>ROUND(E903*F903,2)</f>
        <v>250</v>
      </c>
      <c r="H903" s="12" t="s">
        <v>2322</v>
      </c>
    </row>
    <row r="904" spans="1:8">
      <c r="A904" s="673"/>
      <c r="B904" s="673"/>
      <c r="C904" s="700" t="s">
        <v>1236</v>
      </c>
      <c r="D904" s="673"/>
      <c r="E904" s="541"/>
      <c r="F904" s="10"/>
      <c r="G904" s="53"/>
      <c r="H904" s="12" t="s">
        <v>2322</v>
      </c>
    </row>
    <row r="905" spans="1:8">
      <c r="A905" s="673"/>
      <c r="B905" s="673"/>
      <c r="C905" s="700" t="s">
        <v>1233</v>
      </c>
      <c r="D905" s="673"/>
      <c r="E905" s="541"/>
      <c r="F905" s="10"/>
      <c r="G905" s="53"/>
      <c r="H905" s="12" t="s">
        <v>2322</v>
      </c>
    </row>
    <row r="906" spans="1:8">
      <c r="A906" s="673"/>
      <c r="B906" s="673"/>
      <c r="C906" s="700" t="s">
        <v>1234</v>
      </c>
      <c r="D906" s="673"/>
      <c r="E906" s="541"/>
      <c r="F906" s="10"/>
      <c r="G906" s="53"/>
      <c r="H906" s="12" t="s">
        <v>2322</v>
      </c>
    </row>
    <row r="907" spans="1:8">
      <c r="A907" s="673"/>
      <c r="B907" s="673"/>
      <c r="C907" s="700" t="s">
        <v>1235</v>
      </c>
      <c r="D907" s="673"/>
      <c r="E907" s="541"/>
      <c r="F907" s="10"/>
      <c r="G907" s="53"/>
      <c r="H907" s="12" t="s">
        <v>2322</v>
      </c>
    </row>
    <row r="908" spans="1:8">
      <c r="A908" s="673"/>
      <c r="B908" s="673"/>
      <c r="C908" s="700" t="s">
        <v>1236</v>
      </c>
      <c r="D908" s="673" t="s">
        <v>275</v>
      </c>
      <c r="E908" s="541">
        <v>1</v>
      </c>
      <c r="F908" s="10">
        <v>500</v>
      </c>
      <c r="G908" s="53">
        <f>ROUND(E908*F908,2)</f>
        <v>500</v>
      </c>
      <c r="H908" s="12" t="s">
        <v>2322</v>
      </c>
    </row>
    <row r="909" spans="1:8">
      <c r="A909" s="673"/>
      <c r="B909" s="673"/>
      <c r="C909" s="357"/>
      <c r="D909" s="16"/>
      <c r="E909" s="541"/>
      <c r="F909" s="10"/>
      <c r="G909" s="9"/>
      <c r="H909" s="12" t="s">
        <v>2322</v>
      </c>
    </row>
    <row r="910" spans="1:8">
      <c r="A910" s="673"/>
      <c r="B910" s="673"/>
      <c r="C910" s="573"/>
      <c r="D910" s="673"/>
      <c r="E910" s="673"/>
      <c r="F910" s="673"/>
      <c r="G910" s="661">
        <f>SUM(G908:G909)</f>
        <v>500</v>
      </c>
      <c r="H910" s="12" t="s">
        <v>2322</v>
      </c>
    </row>
    <row r="911" spans="1:8" ht="51">
      <c r="A911" s="16">
        <v>11</v>
      </c>
      <c r="B911" s="650"/>
      <c r="C911" s="700" t="s">
        <v>952</v>
      </c>
      <c r="D911" s="673"/>
      <c r="E911" s="673"/>
      <c r="F911" s="673"/>
      <c r="G911" s="652"/>
      <c r="H911" s="12" t="s">
        <v>2322</v>
      </c>
    </row>
    <row r="912" spans="1:8">
      <c r="A912" s="673"/>
      <c r="B912" s="673" t="s">
        <v>1429</v>
      </c>
      <c r="C912" s="700" t="s">
        <v>1428</v>
      </c>
      <c r="D912" s="673" t="s">
        <v>275</v>
      </c>
      <c r="E912" s="541">
        <v>1</v>
      </c>
      <c r="F912" s="10">
        <v>130</v>
      </c>
      <c r="G912" s="53">
        <f>ROUND(E912*F912,2)</f>
        <v>130</v>
      </c>
      <c r="H912" s="12" t="s">
        <v>2322</v>
      </c>
    </row>
    <row r="913" spans="1:8">
      <c r="A913" s="673"/>
      <c r="B913" s="673"/>
      <c r="C913" s="357"/>
      <c r="D913" s="16"/>
      <c r="E913" s="541"/>
      <c r="F913" s="10"/>
      <c r="G913" s="9"/>
      <c r="H913" s="12" t="s">
        <v>2322</v>
      </c>
    </row>
    <row r="914" spans="1:8">
      <c r="A914" s="673"/>
      <c r="B914" s="673"/>
      <c r="C914" s="573"/>
      <c r="D914" s="673"/>
      <c r="E914" s="673"/>
      <c r="F914" s="673"/>
      <c r="G914" s="661">
        <f>SUM(G912:G913)</f>
        <v>130</v>
      </c>
      <c r="H914" s="12" t="s">
        <v>2322</v>
      </c>
    </row>
    <row r="915" spans="1:8">
      <c r="A915" s="16">
        <v>25</v>
      </c>
      <c r="B915" s="650"/>
      <c r="C915" s="651" t="s">
        <v>932</v>
      </c>
      <c r="D915" s="673"/>
      <c r="E915" s="673"/>
      <c r="F915" s="673"/>
      <c r="G915" s="673"/>
      <c r="H915" s="12" t="s">
        <v>2322</v>
      </c>
    </row>
    <row r="916" spans="1:8">
      <c r="A916" s="673"/>
      <c r="B916" s="673" t="s">
        <v>1408</v>
      </c>
      <c r="C916" s="651" t="s">
        <v>379</v>
      </c>
      <c r="D916" s="673" t="s">
        <v>102</v>
      </c>
      <c r="E916" s="659">
        <v>1</v>
      </c>
      <c r="F916" s="659">
        <f>'door 2022-23'!F201</f>
        <v>388</v>
      </c>
      <c r="G916" s="53">
        <f>ROUND(E916*F916,2)</f>
        <v>388</v>
      </c>
      <c r="H916" s="12" t="s">
        <v>2322</v>
      </c>
    </row>
    <row r="917" spans="1:8">
      <c r="A917" s="673"/>
      <c r="B917" s="673"/>
      <c r="C917" s="651" t="s">
        <v>929</v>
      </c>
      <c r="D917" s="16" t="s">
        <v>108</v>
      </c>
      <c r="E917" s="10">
        <v>0.06</v>
      </c>
      <c r="F917" s="659">
        <f>'door 2022-23'!F202</f>
        <v>630</v>
      </c>
      <c r="G917" s="9">
        <f>ROUND(E917*F917,2)</f>
        <v>37.799999999999997</v>
      </c>
      <c r="H917" s="12" t="s">
        <v>2322</v>
      </c>
    </row>
    <row r="918" spans="1:8">
      <c r="A918" s="673"/>
      <c r="B918" s="673"/>
      <c r="C918" s="651" t="s">
        <v>930</v>
      </c>
      <c r="D918" s="16" t="s">
        <v>108</v>
      </c>
      <c r="E918" s="10">
        <v>0.06</v>
      </c>
      <c r="F918" s="659">
        <f>'door 2022-23'!F203</f>
        <v>565</v>
      </c>
      <c r="G918" s="9">
        <f>ROUND(E918*F918,2)</f>
        <v>33.9</v>
      </c>
      <c r="H918" s="12" t="s">
        <v>2322</v>
      </c>
    </row>
    <row r="919" spans="1:8">
      <c r="A919" s="673"/>
      <c r="B919" s="673"/>
      <c r="C919" s="664" t="s">
        <v>931</v>
      </c>
      <c r="D919" s="16" t="s">
        <v>108</v>
      </c>
      <c r="E919" s="541">
        <v>0.27500000000000002</v>
      </c>
      <c r="F919" s="659">
        <f>'door 2022-23'!F204</f>
        <v>525</v>
      </c>
      <c r="G919" s="9">
        <f>ROUND(E919*F919,2)</f>
        <v>144.38</v>
      </c>
      <c r="H919" s="12" t="s">
        <v>2322</v>
      </c>
    </row>
    <row r="920" spans="1:8">
      <c r="A920" s="673"/>
      <c r="B920" s="673"/>
      <c r="C920" s="572" t="s">
        <v>1404</v>
      </c>
      <c r="D920" s="673"/>
      <c r="E920" s="673"/>
      <c r="F920" s="673"/>
      <c r="G920" s="661">
        <f>SUM(G916:G919)</f>
        <v>604.07999999999993</v>
      </c>
      <c r="H920" s="12" t="s">
        <v>2322</v>
      </c>
    </row>
    <row r="921" spans="1:8" ht="15.95" customHeight="1"/>
    <row r="922" spans="1:8" ht="15.95" customHeight="1"/>
    <row r="923" spans="1:8" ht="15.95" customHeight="1">
      <c r="C923" s="12" t="str">
        <f>'lead 22-23 P-B'!H31</f>
        <v>Deputy Executive Engineer</v>
      </c>
      <c r="E923" s="12" t="str">
        <f>'lead 22-23 P-B'!K31</f>
        <v>Assistant  Engineer</v>
      </c>
    </row>
    <row r="924" spans="1:8">
      <c r="C924" s="12" t="str">
        <f>'lead 22-23 P-B'!H32</f>
        <v>PRI Sub Division</v>
      </c>
      <c r="E924" s="12" t="str">
        <f>'lead 22-23 P-B'!K32</f>
        <v>Mandal Praja parishad</v>
      </c>
    </row>
    <row r="925" spans="1:8">
      <c r="C925" s="12" t="str">
        <f>'lead 22-23 P-B'!H33</f>
        <v>Kanigiri</v>
      </c>
      <c r="E925" s="12" t="str">
        <f>'lead 22-23 P-B'!K33</f>
        <v>Kanigiri</v>
      </c>
    </row>
  </sheetData>
  <autoFilter ref="A4:H920"/>
  <mergeCells count="2">
    <mergeCell ref="A1:G1"/>
    <mergeCell ref="A2:G2"/>
  </mergeCells>
  <pageMargins left="0.74" right="0.23" top="0.52" bottom="0.45" header="0.34" footer="0.17"/>
  <pageSetup paperSize="9" orientation="portrait" verticalDpi="0" r:id="rId1"/>
  <headerFooter alignWithMargins="0"/>
</worksheet>
</file>

<file path=xl/worksheets/sheet29.xml><?xml version="1.0" encoding="utf-8"?>
<worksheet xmlns="http://schemas.openxmlformats.org/spreadsheetml/2006/main" xmlns:r="http://schemas.openxmlformats.org/officeDocument/2006/relationships">
  <sheetPr>
    <tabColor rgb="FF00B050"/>
  </sheetPr>
  <dimension ref="A1:H151"/>
  <sheetViews>
    <sheetView view="pageBreakPreview" zoomScale="115" zoomScaleNormal="70" zoomScaleSheetLayoutView="115" workbookViewId="0">
      <pane ySplit="3" topLeftCell="A100" activePane="bottomLeft" state="frozen"/>
      <selection activeCell="I53" sqref="I53"/>
      <selection pane="bottomLeft" activeCell="C110" sqref="C110"/>
    </sheetView>
  </sheetViews>
  <sheetFormatPr defaultColWidth="13.85546875" defaultRowHeight="12.75"/>
  <cols>
    <col min="1" max="1" width="8.7109375" style="786" customWidth="1"/>
    <col min="2" max="2" width="4.7109375" style="994" customWidth="1"/>
    <col min="3" max="3" width="48" style="844" customWidth="1"/>
    <col min="4" max="4" width="6.85546875" style="845" customWidth="1"/>
    <col min="5" max="5" width="9.28515625" style="846" customWidth="1"/>
    <col min="6" max="6" width="8.7109375" style="846" customWidth="1"/>
    <col min="7" max="7" width="9.140625" style="847" bestFit="1" customWidth="1"/>
    <col min="8" max="8" width="7.7109375" style="745" customWidth="1"/>
    <col min="9" max="16384" width="13.85546875" style="745"/>
  </cols>
  <sheetData>
    <row r="1" spans="1:8" ht="15" customHeight="1">
      <c r="B1" s="1893" t="s">
        <v>2486</v>
      </c>
      <c r="C1" s="1893"/>
      <c r="D1" s="1893"/>
      <c r="E1" s="1893"/>
      <c r="F1" s="1893"/>
      <c r="G1" s="787"/>
    </row>
    <row r="2" spans="1:8" s="788" customFormat="1" ht="29.25" customHeight="1">
      <c r="A2" s="887" t="s">
        <v>321</v>
      </c>
      <c r="B2" s="888" t="s">
        <v>23</v>
      </c>
      <c r="C2" s="887" t="s">
        <v>322</v>
      </c>
      <c r="D2" s="887" t="s">
        <v>16</v>
      </c>
      <c r="E2" s="889" t="s">
        <v>138</v>
      </c>
      <c r="F2" s="889" t="s">
        <v>323</v>
      </c>
      <c r="G2" s="890" t="s">
        <v>324</v>
      </c>
    </row>
    <row r="3" spans="1:8" s="788" customFormat="1" ht="15" customHeight="1">
      <c r="A3" s="887"/>
      <c r="B3" s="887">
        <v>1</v>
      </c>
      <c r="C3" s="887">
        <v>2</v>
      </c>
      <c r="D3" s="887">
        <v>3</v>
      </c>
      <c r="E3" s="891">
        <v>4</v>
      </c>
      <c r="F3" s="891">
        <v>5</v>
      </c>
      <c r="G3" s="891">
        <v>6</v>
      </c>
    </row>
    <row r="4" spans="1:8" s="1076" customFormat="1" ht="72">
      <c r="A4" s="1072"/>
      <c r="B4" s="1073">
        <v>1</v>
      </c>
      <c r="C4" s="1074" t="s">
        <v>328</v>
      </c>
      <c r="D4" s="1074"/>
      <c r="E4" s="1074"/>
      <c r="F4" s="1074"/>
      <c r="G4" s="1075"/>
      <c r="H4" s="1018" t="s">
        <v>2322</v>
      </c>
    </row>
    <row r="5" spans="1:8" s="1076" customFormat="1">
      <c r="A5" s="1052"/>
      <c r="B5" s="1059"/>
      <c r="C5" s="1053" t="s">
        <v>329</v>
      </c>
      <c r="D5" s="1077" t="s">
        <v>115</v>
      </c>
      <c r="E5" s="1077">
        <v>1</v>
      </c>
      <c r="F5" s="1078">
        <f>'MINI SSR 2022-23 (2)'!C66</f>
        <v>1979</v>
      </c>
      <c r="G5" s="1058">
        <f>ROUND(E5*F5,2)</f>
        <v>1979</v>
      </c>
      <c r="H5" s="1018" t="s">
        <v>2322</v>
      </c>
    </row>
    <row r="6" spans="1:8" s="1076" customFormat="1">
      <c r="A6" s="1052"/>
      <c r="B6" s="1059"/>
      <c r="C6" s="1053" t="s">
        <v>330</v>
      </c>
      <c r="D6" s="1077" t="s">
        <v>115</v>
      </c>
      <c r="E6" s="1077">
        <v>1</v>
      </c>
      <c r="F6" s="1078">
        <f>'MINI SSR 2022-23 (2)'!C67</f>
        <v>2468</v>
      </c>
      <c r="G6" s="1058">
        <f>ROUND(E6*F6,2)</f>
        <v>2468</v>
      </c>
      <c r="H6" s="1018" t="s">
        <v>2322</v>
      </c>
    </row>
    <row r="7" spans="1:8" s="1076" customFormat="1">
      <c r="A7" s="1052"/>
      <c r="B7" s="1059"/>
      <c r="C7" s="1053" t="s">
        <v>331</v>
      </c>
      <c r="D7" s="1077" t="s">
        <v>115</v>
      </c>
      <c r="E7" s="1077">
        <v>1</v>
      </c>
      <c r="F7" s="1078">
        <f>'MINI SSR 2022-23 (2)'!C68</f>
        <v>850</v>
      </c>
      <c r="G7" s="1058">
        <f>ROUND(E7*F7,2)</f>
        <v>850</v>
      </c>
      <c r="H7" s="1018" t="s">
        <v>2322</v>
      </c>
    </row>
    <row r="8" spans="1:8" s="1028" customFormat="1">
      <c r="A8" s="1052"/>
      <c r="B8" s="1059"/>
      <c r="C8" s="1053"/>
      <c r="D8" s="1077"/>
      <c r="E8" s="1077"/>
      <c r="F8" s="1078"/>
      <c r="G8" s="1058">
        <f>SUM(G5:G7)</f>
        <v>5297</v>
      </c>
      <c r="H8" s="1018" t="s">
        <v>2322</v>
      </c>
    </row>
    <row r="9" spans="1:8" s="1028" customFormat="1">
      <c r="A9" s="1052"/>
      <c r="B9" s="1059"/>
      <c r="C9" s="1060" t="s">
        <v>332</v>
      </c>
      <c r="D9" s="1061"/>
      <c r="E9" s="1062"/>
      <c r="F9" s="1062"/>
      <c r="G9" s="1063">
        <v>0</v>
      </c>
      <c r="H9" s="1018" t="s">
        <v>2322</v>
      </c>
    </row>
    <row r="10" spans="1:8" s="1028" customFormat="1">
      <c r="A10" s="1052"/>
      <c r="B10" s="1059"/>
      <c r="C10" s="1053"/>
      <c r="D10" s="1077"/>
      <c r="E10" s="1077"/>
      <c r="F10" s="1078"/>
      <c r="G10" s="1058">
        <f>SUM(G8:G9)</f>
        <v>5297</v>
      </c>
      <c r="H10" s="1018" t="s">
        <v>2322</v>
      </c>
    </row>
    <row r="11" spans="1:8" s="366" customFormat="1" ht="36">
      <c r="A11" s="793"/>
      <c r="B11" s="799">
        <v>2</v>
      </c>
      <c r="C11" s="800" t="s">
        <v>608</v>
      </c>
      <c r="D11" s="800"/>
      <c r="E11" s="800"/>
      <c r="F11" s="800"/>
      <c r="G11" s="801"/>
      <c r="H11" s="601" t="s">
        <v>2322</v>
      </c>
    </row>
    <row r="12" spans="1:8" s="366" customFormat="1">
      <c r="A12" s="793"/>
      <c r="B12" s="799"/>
      <c r="C12" s="421" t="s">
        <v>609</v>
      </c>
      <c r="D12" s="802" t="s">
        <v>115</v>
      </c>
      <c r="E12" s="802">
        <v>1</v>
      </c>
      <c r="F12" s="803">
        <f>'MINI SSR 2022-23 (2)'!C69</f>
        <v>1036</v>
      </c>
      <c r="G12" s="801">
        <f>ROUND(E12*F12,2)</f>
        <v>1036</v>
      </c>
      <c r="H12" s="601" t="s">
        <v>2322</v>
      </c>
    </row>
    <row r="13" spans="1:8">
      <c r="A13" s="793"/>
      <c r="B13" s="799"/>
      <c r="C13" s="421"/>
      <c r="D13" s="802"/>
      <c r="E13" s="802"/>
      <c r="F13" s="803"/>
      <c r="G13" s="801">
        <f>SUM(G12)</f>
        <v>1036</v>
      </c>
      <c r="H13" s="601" t="s">
        <v>2322</v>
      </c>
    </row>
    <row r="14" spans="1:8" s="366" customFormat="1" ht="60">
      <c r="A14" s="793"/>
      <c r="B14" s="799">
        <v>2</v>
      </c>
      <c r="C14" s="800" t="s">
        <v>1254</v>
      </c>
      <c r="D14" s="800"/>
      <c r="E14" s="800"/>
      <c r="F14" s="800"/>
      <c r="G14" s="801"/>
      <c r="H14" s="601" t="s">
        <v>2322</v>
      </c>
    </row>
    <row r="15" spans="1:8" s="366" customFormat="1">
      <c r="A15" s="793"/>
      <c r="B15" s="799"/>
      <c r="C15" s="421" t="s">
        <v>1255</v>
      </c>
      <c r="D15" s="802" t="s">
        <v>115</v>
      </c>
      <c r="E15" s="802">
        <v>1</v>
      </c>
      <c r="F15" s="803">
        <f>'MINI SSR 2022-23 (2)'!C70</f>
        <v>2644</v>
      </c>
      <c r="G15" s="801">
        <f>ROUND(E15*F15,2)</f>
        <v>2644</v>
      </c>
      <c r="H15" s="601" t="s">
        <v>2322</v>
      </c>
    </row>
    <row r="16" spans="1:8">
      <c r="A16" s="793"/>
      <c r="B16" s="799"/>
      <c r="C16" s="421"/>
      <c r="D16" s="802"/>
      <c r="E16" s="802"/>
      <c r="F16" s="803"/>
      <c r="G16" s="801">
        <f>SUM(G15)</f>
        <v>2644</v>
      </c>
      <c r="H16" s="601" t="s">
        <v>2322</v>
      </c>
    </row>
    <row r="17" spans="1:8" s="1084" customFormat="1" ht="152.25" customHeight="1">
      <c r="A17" s="1079"/>
      <c r="B17" s="1079">
        <v>2</v>
      </c>
      <c r="C17" s="1080" t="s">
        <v>333</v>
      </c>
      <c r="D17" s="1081"/>
      <c r="E17" s="1080"/>
      <c r="F17" s="1082"/>
      <c r="G17" s="1083"/>
      <c r="H17" s="1018" t="s">
        <v>2322</v>
      </c>
    </row>
    <row r="18" spans="1:8" s="1084" customFormat="1">
      <c r="A18" s="1079"/>
      <c r="B18" s="1079"/>
      <c r="C18" s="1085" t="s">
        <v>334</v>
      </c>
      <c r="D18" s="1077" t="s">
        <v>115</v>
      </c>
      <c r="E18" s="1077">
        <v>1</v>
      </c>
      <c r="F18" s="1078">
        <f>'MINI SSR 2022-23 (2)'!C71</f>
        <v>1519</v>
      </c>
      <c r="G18" s="1058">
        <f>ROUND(E18*F18,2)</f>
        <v>1519</v>
      </c>
      <c r="H18" s="1018" t="s">
        <v>2322</v>
      </c>
    </row>
    <row r="19" spans="1:8" s="1084" customFormat="1">
      <c r="A19" s="1079"/>
      <c r="B19" s="1079"/>
      <c r="C19" s="1085" t="s">
        <v>335</v>
      </c>
      <c r="D19" s="1077" t="s">
        <v>115</v>
      </c>
      <c r="E19" s="1077">
        <v>1</v>
      </c>
      <c r="F19" s="1078">
        <f>'MINI SSR 2022-23 (2)'!C72</f>
        <v>387</v>
      </c>
      <c r="G19" s="1058">
        <f>ROUND(E19*F19,2)</f>
        <v>387</v>
      </c>
      <c r="H19" s="1018" t="s">
        <v>2322</v>
      </c>
    </row>
    <row r="20" spans="1:8" s="1084" customFormat="1" ht="24">
      <c r="A20" s="1079"/>
      <c r="B20" s="1079"/>
      <c r="C20" s="1085" t="s">
        <v>336</v>
      </c>
      <c r="D20" s="1077" t="s">
        <v>115</v>
      </c>
      <c r="E20" s="1077">
        <v>1</v>
      </c>
      <c r="F20" s="1078">
        <f>'MINI SSR 2022-23 (2)'!C73</f>
        <v>95</v>
      </c>
      <c r="G20" s="1058">
        <f>ROUND(E20*F20,2)</f>
        <v>95</v>
      </c>
      <c r="H20" s="1018" t="s">
        <v>2322</v>
      </c>
    </row>
    <row r="21" spans="1:8" s="1084" customFormat="1">
      <c r="A21" s="1079"/>
      <c r="B21" s="1079"/>
      <c r="C21" s="1085" t="s">
        <v>337</v>
      </c>
      <c r="D21" s="1077" t="s">
        <v>115</v>
      </c>
      <c r="E21" s="1077">
        <v>1</v>
      </c>
      <c r="F21" s="1078">
        <f>'MINI SSR 2022-23 (2)'!C74</f>
        <v>24</v>
      </c>
      <c r="G21" s="1058">
        <f>ROUND(E21*F21,2)</f>
        <v>24</v>
      </c>
      <c r="H21" s="1018" t="s">
        <v>2322</v>
      </c>
    </row>
    <row r="22" spans="1:8" s="1084" customFormat="1">
      <c r="A22" s="1079"/>
      <c r="B22" s="1079"/>
      <c r="C22" s="1086"/>
      <c r="D22" s="1077"/>
      <c r="E22" s="1077"/>
      <c r="F22" s="1078"/>
      <c r="G22" s="1058">
        <f>SUM(G18:G21)</f>
        <v>2025</v>
      </c>
      <c r="H22" s="1018" t="s">
        <v>2322</v>
      </c>
    </row>
    <row r="23" spans="1:8">
      <c r="A23" s="793"/>
      <c r="B23" s="799"/>
      <c r="C23" s="804" t="s">
        <v>332</v>
      </c>
      <c r="D23" s="805"/>
      <c r="E23" s="806"/>
      <c r="F23" s="806"/>
      <c r="G23" s="807">
        <v>0</v>
      </c>
      <c r="H23" s="601" t="s">
        <v>2322</v>
      </c>
    </row>
    <row r="24" spans="1:8">
      <c r="A24" s="793"/>
      <c r="B24" s="799"/>
      <c r="C24" s="421"/>
      <c r="D24" s="802"/>
      <c r="E24" s="802"/>
      <c r="F24" s="803"/>
      <c r="G24" s="801">
        <f>SUM(G22:G23)</f>
        <v>2025</v>
      </c>
      <c r="H24" s="601" t="s">
        <v>2322</v>
      </c>
    </row>
    <row r="25" spans="1:8" s="813" customFormat="1" ht="68.25" customHeight="1">
      <c r="A25" s="808"/>
      <c r="B25" s="808">
        <v>6</v>
      </c>
      <c r="C25" s="809" t="s">
        <v>339</v>
      </c>
      <c r="D25" s="810"/>
      <c r="E25" s="809"/>
      <c r="F25" s="811"/>
      <c r="G25" s="812"/>
      <c r="H25" s="601" t="s">
        <v>2322</v>
      </c>
    </row>
    <row r="26" spans="1:8" s="813" customFormat="1">
      <c r="A26" s="808"/>
      <c r="B26" s="808"/>
      <c r="C26" s="814" t="s">
        <v>340</v>
      </c>
      <c r="D26" s="802" t="s">
        <v>115</v>
      </c>
      <c r="E26" s="802">
        <v>1</v>
      </c>
      <c r="F26" s="803">
        <f>'MINI SSR 2022-23 (2)'!C77</f>
        <v>128</v>
      </c>
      <c r="G26" s="801">
        <f>ROUND(E26*F26,2)</f>
        <v>128</v>
      </c>
      <c r="H26" s="601" t="s">
        <v>2322</v>
      </c>
    </row>
    <row r="27" spans="1:8">
      <c r="A27" s="793"/>
      <c r="B27" s="799"/>
      <c r="C27" s="804" t="s">
        <v>332</v>
      </c>
      <c r="D27" s="805"/>
      <c r="E27" s="806"/>
      <c r="F27" s="806"/>
      <c r="G27" s="807">
        <v>0</v>
      </c>
      <c r="H27" s="601" t="s">
        <v>2322</v>
      </c>
    </row>
    <row r="28" spans="1:8">
      <c r="A28" s="793"/>
      <c r="B28" s="799"/>
      <c r="C28" s="421"/>
      <c r="D28" s="802"/>
      <c r="E28" s="802"/>
      <c r="F28" s="803"/>
      <c r="G28" s="801">
        <f>SUM(G26:G27)</f>
        <v>128</v>
      </c>
      <c r="H28" s="601" t="s">
        <v>2322</v>
      </c>
    </row>
    <row r="29" spans="1:8" s="1019" customFormat="1" ht="36">
      <c r="A29" s="1052"/>
      <c r="B29" s="1052">
        <v>3</v>
      </c>
      <c r="C29" s="1069" t="s">
        <v>341</v>
      </c>
      <c r="D29" s="1069"/>
      <c r="E29" s="1069"/>
      <c r="F29" s="1069"/>
      <c r="G29" s="1069"/>
      <c r="H29" s="1018" t="s">
        <v>2322</v>
      </c>
    </row>
    <row r="30" spans="1:8" s="1019" customFormat="1" ht="15">
      <c r="A30" s="1052"/>
      <c r="B30" s="1052"/>
      <c r="C30" s="1055" t="s">
        <v>342</v>
      </c>
      <c r="D30" s="1055"/>
      <c r="E30" s="1056"/>
      <c r="F30" s="1056"/>
      <c r="G30" s="1067"/>
      <c r="H30" s="1018" t="s">
        <v>2322</v>
      </c>
    </row>
    <row r="31" spans="1:8" s="1019" customFormat="1" ht="15">
      <c r="A31" s="1052"/>
      <c r="B31" s="1052"/>
      <c r="C31" s="1055" t="s">
        <v>343</v>
      </c>
      <c r="D31" s="1055" t="s">
        <v>277</v>
      </c>
      <c r="E31" s="1056">
        <v>1</v>
      </c>
      <c r="F31" s="1056">
        <f>'MINI SSR 2022-23 (2)'!C78</f>
        <v>447</v>
      </c>
      <c r="G31" s="1058">
        <f>ROUND(E31*F31,2)</f>
        <v>447</v>
      </c>
      <c r="H31" s="1018" t="s">
        <v>2322</v>
      </c>
    </row>
    <row r="32" spans="1:8" s="1028" customFormat="1">
      <c r="A32" s="1052"/>
      <c r="B32" s="1059"/>
      <c r="C32" s="1060" t="s">
        <v>332</v>
      </c>
      <c r="D32" s="1061"/>
      <c r="E32" s="1062"/>
      <c r="F32" s="1062"/>
      <c r="G32" s="1063">
        <v>0</v>
      </c>
      <c r="H32" s="1018" t="s">
        <v>2322</v>
      </c>
    </row>
    <row r="33" spans="1:8" s="1019" customFormat="1" ht="15">
      <c r="A33" s="1052"/>
      <c r="B33" s="1052"/>
      <c r="C33" s="1055" t="s">
        <v>344</v>
      </c>
      <c r="D33" s="1055"/>
      <c r="E33" s="1055"/>
      <c r="F33" s="1055"/>
      <c r="G33" s="1071">
        <f>SUM(G31:G32)</f>
        <v>447</v>
      </c>
      <c r="H33" s="1018" t="s">
        <v>2322</v>
      </c>
    </row>
    <row r="34" spans="1:8" s="1019" customFormat="1" ht="15">
      <c r="A34" s="1052"/>
      <c r="B34" s="1052"/>
      <c r="C34" s="1055" t="s">
        <v>345</v>
      </c>
      <c r="D34" s="1055"/>
      <c r="E34" s="1055"/>
      <c r="F34" s="1055"/>
      <c r="G34" s="1071">
        <f>G33/3</f>
        <v>149</v>
      </c>
      <c r="H34" s="1018" t="s">
        <v>2322</v>
      </c>
    </row>
    <row r="35" spans="1:8" s="1019" customFormat="1" ht="36">
      <c r="A35" s="1052"/>
      <c r="B35" s="1052">
        <v>4</v>
      </c>
      <c r="C35" s="1069" t="s">
        <v>346</v>
      </c>
      <c r="D35" s="1069"/>
      <c r="E35" s="1069"/>
      <c r="F35" s="1069"/>
      <c r="G35" s="1069"/>
      <c r="H35" s="1018" t="s">
        <v>2322</v>
      </c>
    </row>
    <row r="36" spans="1:8" s="1019" customFormat="1" ht="15">
      <c r="A36" s="1052"/>
      <c r="B36" s="1052"/>
      <c r="C36" s="1055" t="s">
        <v>342</v>
      </c>
      <c r="D36" s="1055"/>
      <c r="E36" s="1056"/>
      <c r="F36" s="1056"/>
      <c r="G36" s="1067"/>
      <c r="H36" s="1018" t="s">
        <v>2322</v>
      </c>
    </row>
    <row r="37" spans="1:8" s="1019" customFormat="1" ht="15">
      <c r="A37" s="1052"/>
      <c r="B37" s="1052"/>
      <c r="C37" s="1055" t="s">
        <v>347</v>
      </c>
      <c r="D37" s="1055" t="s">
        <v>277</v>
      </c>
      <c r="E37" s="1056">
        <v>1</v>
      </c>
      <c r="F37" s="1056">
        <f>'MINI SSR 2022-23 (2)'!C79</f>
        <v>425</v>
      </c>
      <c r="G37" s="1058">
        <f>ROUND(E37*F37,2)</f>
        <v>425</v>
      </c>
      <c r="H37" s="1018" t="s">
        <v>2322</v>
      </c>
    </row>
    <row r="38" spans="1:8" s="1028" customFormat="1">
      <c r="A38" s="1052"/>
      <c r="B38" s="1059"/>
      <c r="C38" s="1060" t="s">
        <v>332</v>
      </c>
      <c r="D38" s="1061"/>
      <c r="E38" s="1062"/>
      <c r="F38" s="1062"/>
      <c r="G38" s="1063">
        <v>0</v>
      </c>
      <c r="H38" s="1018" t="s">
        <v>2322</v>
      </c>
    </row>
    <row r="39" spans="1:8" s="1019" customFormat="1" ht="15">
      <c r="A39" s="1052"/>
      <c r="B39" s="1052"/>
      <c r="C39" s="1055" t="s">
        <v>344</v>
      </c>
      <c r="D39" s="1055"/>
      <c r="E39" s="1055"/>
      <c r="F39" s="1055"/>
      <c r="G39" s="1071">
        <f>SUM(G37:G38)</f>
        <v>425</v>
      </c>
      <c r="H39" s="1018" t="s">
        <v>2322</v>
      </c>
    </row>
    <row r="40" spans="1:8" s="1019" customFormat="1" ht="16.5" customHeight="1">
      <c r="A40" s="1052"/>
      <c r="B40" s="1052"/>
      <c r="C40" s="1055" t="s">
        <v>345</v>
      </c>
      <c r="D40" s="1055"/>
      <c r="E40" s="1055"/>
      <c r="F40" s="1055"/>
      <c r="G40" s="1071">
        <f>G39/3</f>
        <v>141.66666666666666</v>
      </c>
      <c r="H40" s="1018" t="s">
        <v>2322</v>
      </c>
    </row>
    <row r="41" spans="1:8" s="1019" customFormat="1" ht="36">
      <c r="A41" s="1052"/>
      <c r="B41" s="1052">
        <v>5</v>
      </c>
      <c r="C41" s="1069" t="s">
        <v>348</v>
      </c>
      <c r="D41" s="1069"/>
      <c r="E41" s="1069"/>
      <c r="F41" s="1069"/>
      <c r="G41" s="1069"/>
      <c r="H41" s="1018" t="s">
        <v>2322</v>
      </c>
    </row>
    <row r="42" spans="1:8" s="1019" customFormat="1" ht="15">
      <c r="A42" s="1052"/>
      <c r="B42" s="1052"/>
      <c r="C42" s="1055" t="s">
        <v>342</v>
      </c>
      <c r="D42" s="1055"/>
      <c r="E42" s="1056"/>
      <c r="F42" s="1056"/>
      <c r="G42" s="1067"/>
      <c r="H42" s="1018" t="s">
        <v>2322</v>
      </c>
    </row>
    <row r="43" spans="1:8" s="1019" customFormat="1" ht="15">
      <c r="A43" s="1052"/>
      <c r="B43" s="1052"/>
      <c r="C43" s="1055" t="s">
        <v>349</v>
      </c>
      <c r="D43" s="1055" t="s">
        <v>277</v>
      </c>
      <c r="E43" s="1056">
        <v>1</v>
      </c>
      <c r="F43" s="1056">
        <f>'MINI SSR 2022-23 (2)'!C80</f>
        <v>267</v>
      </c>
      <c r="G43" s="1058">
        <f>ROUND(E43*F43,2)</f>
        <v>267</v>
      </c>
      <c r="H43" s="1018" t="s">
        <v>2322</v>
      </c>
    </row>
    <row r="44" spans="1:8" s="1028" customFormat="1">
      <c r="A44" s="1052"/>
      <c r="B44" s="1059"/>
      <c r="C44" s="1060" t="s">
        <v>332</v>
      </c>
      <c r="D44" s="1061"/>
      <c r="E44" s="1062"/>
      <c r="F44" s="1062"/>
      <c r="G44" s="1063">
        <v>0</v>
      </c>
      <c r="H44" s="1018" t="s">
        <v>2322</v>
      </c>
    </row>
    <row r="45" spans="1:8" s="1019" customFormat="1" ht="15">
      <c r="A45" s="1052"/>
      <c r="B45" s="1052"/>
      <c r="C45" s="1055" t="s">
        <v>344</v>
      </c>
      <c r="D45" s="1055"/>
      <c r="E45" s="1055"/>
      <c r="F45" s="1055"/>
      <c r="G45" s="1071">
        <f>SUM(G43:G44)</f>
        <v>267</v>
      </c>
      <c r="H45" s="1018" t="s">
        <v>2322</v>
      </c>
    </row>
    <row r="46" spans="1:8" s="1019" customFormat="1" ht="15">
      <c r="A46" s="1052"/>
      <c r="B46" s="1052"/>
      <c r="C46" s="1055" t="s">
        <v>345</v>
      </c>
      <c r="D46" s="1055"/>
      <c r="E46" s="1055"/>
      <c r="F46" s="1055"/>
      <c r="G46" s="1071">
        <f>G45/3</f>
        <v>89</v>
      </c>
      <c r="H46" s="1018" t="s">
        <v>2322</v>
      </c>
    </row>
    <row r="47" spans="1:8" s="1068" customFormat="1" ht="60">
      <c r="A47" s="1052"/>
      <c r="B47" s="1052">
        <v>6</v>
      </c>
      <c r="C47" s="1053" t="s">
        <v>350</v>
      </c>
      <c r="D47" s="1053"/>
      <c r="E47" s="1052"/>
      <c r="F47" s="1052"/>
      <c r="G47" s="1054"/>
      <c r="H47" s="1018" t="s">
        <v>2322</v>
      </c>
    </row>
    <row r="48" spans="1:8" s="1068" customFormat="1">
      <c r="A48" s="1069"/>
      <c r="B48" s="1052"/>
      <c r="C48" s="1065" t="s">
        <v>351</v>
      </c>
      <c r="D48" s="1066" t="s">
        <v>279</v>
      </c>
      <c r="E48" s="1070">
        <v>1</v>
      </c>
      <c r="F48" s="1057">
        <f>'MINI SSR 2022-23 (2)'!C81</f>
        <v>79</v>
      </c>
      <c r="G48" s="1058">
        <f>ROUND(E48*F48,2)</f>
        <v>79</v>
      </c>
      <c r="H48" s="1018" t="s">
        <v>2322</v>
      </c>
    </row>
    <row r="49" spans="1:8" s="1028" customFormat="1">
      <c r="A49" s="1052"/>
      <c r="B49" s="1059"/>
      <c r="C49" s="1060" t="s">
        <v>332</v>
      </c>
      <c r="D49" s="1061"/>
      <c r="E49" s="1062"/>
      <c r="F49" s="1062"/>
      <c r="G49" s="1063">
        <v>0</v>
      </c>
      <c r="H49" s="1018" t="s">
        <v>2322</v>
      </c>
    </row>
    <row r="50" spans="1:8" s="1068" customFormat="1">
      <c r="A50" s="1069"/>
      <c r="B50" s="1052"/>
      <c r="C50" s="1065"/>
      <c r="D50" s="1066"/>
      <c r="E50" s="1070"/>
      <c r="F50" s="1057"/>
      <c r="G50" s="1071">
        <f>SUM(G48:G49)</f>
        <v>79</v>
      </c>
      <c r="H50" s="1018" t="s">
        <v>2322</v>
      </c>
    </row>
    <row r="51" spans="1:8" s="620" customFormat="1" ht="24">
      <c r="A51" s="793"/>
      <c r="B51" s="793">
        <v>11</v>
      </c>
      <c r="C51" s="421" t="s">
        <v>685</v>
      </c>
      <c r="D51" s="816"/>
      <c r="E51" s="795"/>
      <c r="F51" s="795"/>
      <c r="G51" s="816"/>
      <c r="H51" s="601" t="s">
        <v>2322</v>
      </c>
    </row>
    <row r="52" spans="1:8" s="620" customFormat="1" ht="15">
      <c r="A52" s="793"/>
      <c r="B52" s="793"/>
      <c r="C52" s="794" t="s">
        <v>686</v>
      </c>
      <c r="D52" s="795" t="s">
        <v>115</v>
      </c>
      <c r="E52" s="796">
        <v>1</v>
      </c>
      <c r="F52" s="797">
        <f>'MINI SSR 2022-23 (2)'!C82</f>
        <v>1644</v>
      </c>
      <c r="G52" s="801">
        <f>ROUND(E52*F52,2)</f>
        <v>1644</v>
      </c>
      <c r="H52" s="601" t="s">
        <v>2322</v>
      </c>
    </row>
    <row r="53" spans="1:8">
      <c r="A53" s="793"/>
      <c r="B53" s="799"/>
      <c r="C53" s="804" t="s">
        <v>332</v>
      </c>
      <c r="D53" s="805"/>
      <c r="E53" s="806"/>
      <c r="F53" s="806"/>
      <c r="G53" s="807">
        <v>0</v>
      </c>
      <c r="H53" s="601" t="s">
        <v>2322</v>
      </c>
    </row>
    <row r="54" spans="1:8" s="620" customFormat="1" ht="15">
      <c r="A54" s="793"/>
      <c r="B54" s="793"/>
      <c r="C54" s="794"/>
      <c r="D54" s="795"/>
      <c r="E54" s="796"/>
      <c r="F54" s="797"/>
      <c r="G54" s="798">
        <f>SUM(G52:G53)</f>
        <v>1644</v>
      </c>
      <c r="H54" s="601" t="s">
        <v>2322</v>
      </c>
    </row>
    <row r="55" spans="1:8" s="620" customFormat="1" ht="48">
      <c r="A55" s="793"/>
      <c r="B55" s="793">
        <v>6</v>
      </c>
      <c r="C55" s="421" t="s">
        <v>352</v>
      </c>
      <c r="D55" s="816"/>
      <c r="E55" s="795"/>
      <c r="F55" s="795"/>
      <c r="G55" s="816"/>
      <c r="H55" s="601" t="s">
        <v>2322</v>
      </c>
    </row>
    <row r="56" spans="1:8" s="620" customFormat="1" ht="15">
      <c r="A56" s="793"/>
      <c r="B56" s="793"/>
      <c r="C56" s="794" t="s">
        <v>353</v>
      </c>
      <c r="D56" s="795" t="s">
        <v>115</v>
      </c>
      <c r="E56" s="796">
        <v>1</v>
      </c>
      <c r="F56" s="797">
        <f>'MINI SSR 2022-23 (2)'!C72</f>
        <v>387</v>
      </c>
      <c r="G56" s="801">
        <f>ROUND(E56*F56,2)</f>
        <v>387</v>
      </c>
      <c r="H56" s="601" t="s">
        <v>2322</v>
      </c>
    </row>
    <row r="57" spans="1:8">
      <c r="A57" s="793"/>
      <c r="B57" s="799"/>
      <c r="C57" s="804" t="s">
        <v>332</v>
      </c>
      <c r="D57" s="805"/>
      <c r="E57" s="806"/>
      <c r="F57" s="806"/>
      <c r="G57" s="807">
        <v>0</v>
      </c>
      <c r="H57" s="601" t="s">
        <v>2322</v>
      </c>
    </row>
    <row r="58" spans="1:8" s="620" customFormat="1" ht="15">
      <c r="A58" s="793"/>
      <c r="B58" s="793"/>
      <c r="C58" s="794"/>
      <c r="D58" s="795"/>
      <c r="E58" s="796"/>
      <c r="F58" s="797"/>
      <c r="G58" s="798">
        <f>SUM(G56:G57)</f>
        <v>387</v>
      </c>
      <c r="H58" s="601" t="s">
        <v>2322</v>
      </c>
    </row>
    <row r="59" spans="1:8" s="620" customFormat="1" ht="72">
      <c r="A59" s="793"/>
      <c r="B59" s="793">
        <v>13</v>
      </c>
      <c r="C59" s="421" t="s">
        <v>354</v>
      </c>
      <c r="D59" s="816"/>
      <c r="E59" s="795"/>
      <c r="F59" s="795"/>
      <c r="G59" s="816"/>
      <c r="H59" s="601" t="s">
        <v>2322</v>
      </c>
    </row>
    <row r="60" spans="1:8" s="620" customFormat="1" ht="15">
      <c r="A60" s="793"/>
      <c r="B60" s="793"/>
      <c r="C60" s="794" t="s">
        <v>355</v>
      </c>
      <c r="D60" s="795" t="s">
        <v>115</v>
      </c>
      <c r="E60" s="796">
        <v>1</v>
      </c>
      <c r="F60" s="797">
        <f>'MINI SSR 2022-23 (2)'!C83</f>
        <v>4166</v>
      </c>
      <c r="G60" s="801">
        <f>ROUND(E60*F60,2)</f>
        <v>4166</v>
      </c>
      <c r="H60" s="601" t="s">
        <v>2322</v>
      </c>
    </row>
    <row r="61" spans="1:8">
      <c r="A61" s="793"/>
      <c r="B61" s="799"/>
      <c r="C61" s="804" t="s">
        <v>332</v>
      </c>
      <c r="D61" s="805"/>
      <c r="E61" s="806"/>
      <c r="F61" s="806"/>
      <c r="G61" s="807">
        <v>0</v>
      </c>
      <c r="H61" s="601" t="s">
        <v>2322</v>
      </c>
    </row>
    <row r="62" spans="1:8" s="620" customFormat="1" ht="15">
      <c r="A62" s="793"/>
      <c r="B62" s="793"/>
      <c r="C62" s="794"/>
      <c r="D62" s="795"/>
      <c r="E62" s="796"/>
      <c r="F62" s="797"/>
      <c r="G62" s="798">
        <f>SUM(G60:G61)</f>
        <v>4166</v>
      </c>
      <c r="H62" s="601" t="s">
        <v>2322</v>
      </c>
    </row>
    <row r="63" spans="1:8" s="1019" customFormat="1" ht="60">
      <c r="A63" s="1052"/>
      <c r="B63" s="1052">
        <v>7</v>
      </c>
      <c r="C63" s="1053" t="s">
        <v>290</v>
      </c>
      <c r="D63" s="1069"/>
      <c r="E63" s="1052"/>
      <c r="F63" s="1052"/>
      <c r="G63" s="1054"/>
      <c r="H63" s="1018" t="s">
        <v>2322</v>
      </c>
    </row>
    <row r="64" spans="1:8" s="1019" customFormat="1" ht="15">
      <c r="A64" s="1052"/>
      <c r="B64" s="1052"/>
      <c r="C64" s="1065" t="s">
        <v>356</v>
      </c>
      <c r="D64" s="1066" t="s">
        <v>357</v>
      </c>
      <c r="E64" s="1057">
        <v>1</v>
      </c>
      <c r="F64" s="1057">
        <f>'MINI SSR 2022-23 (2)'!H66</f>
        <v>8.5</v>
      </c>
      <c r="G64" s="1058">
        <f>ROUND(E64*F64,2)</f>
        <v>8.5</v>
      </c>
      <c r="H64" s="1018" t="s">
        <v>2322</v>
      </c>
    </row>
    <row r="65" spans="1:8" s="1019" customFormat="1" ht="15">
      <c r="A65" s="1052"/>
      <c r="B65" s="1064"/>
      <c r="C65" s="1065" t="s">
        <v>358</v>
      </c>
      <c r="D65" s="1066" t="s">
        <v>357</v>
      </c>
      <c r="E65" s="1057">
        <v>1</v>
      </c>
      <c r="F65" s="1057">
        <f>'MINI SSR 2022-23 (2)'!H67</f>
        <v>1</v>
      </c>
      <c r="G65" s="1058">
        <f>ROUND(E65*F65,2)</f>
        <v>1</v>
      </c>
      <c r="H65" s="1018" t="s">
        <v>2322</v>
      </c>
    </row>
    <row r="66" spans="1:8" s="1019" customFormat="1" ht="15">
      <c r="A66" s="1052"/>
      <c r="B66" s="1064"/>
      <c r="C66" s="1065"/>
      <c r="D66" s="1066"/>
      <c r="E66" s="1057"/>
      <c r="F66" s="1057"/>
      <c r="G66" s="1071">
        <f>SUM(G64:G65)</f>
        <v>9.5</v>
      </c>
      <c r="H66" s="1018" t="s">
        <v>2322</v>
      </c>
    </row>
    <row r="67" spans="1:8" s="1028" customFormat="1">
      <c r="A67" s="1052"/>
      <c r="B67" s="1059"/>
      <c r="C67" s="1060" t="s">
        <v>332</v>
      </c>
      <c r="D67" s="1061"/>
      <c r="E67" s="1062"/>
      <c r="F67" s="1062"/>
      <c r="G67" s="1063">
        <v>0</v>
      </c>
      <c r="H67" s="1018" t="s">
        <v>2322</v>
      </c>
    </row>
    <row r="68" spans="1:8" s="1019" customFormat="1" ht="15">
      <c r="A68" s="1052"/>
      <c r="B68" s="1064"/>
      <c r="C68" s="1065"/>
      <c r="D68" s="1066"/>
      <c r="E68" s="1057"/>
      <c r="F68" s="1057"/>
      <c r="G68" s="1071">
        <f>SUM(G66:G67)</f>
        <v>9.5</v>
      </c>
      <c r="H68" s="1018" t="s">
        <v>2322</v>
      </c>
    </row>
    <row r="69" spans="1:8" s="1019" customFormat="1" ht="72">
      <c r="A69" s="1052"/>
      <c r="B69" s="1052">
        <v>8</v>
      </c>
      <c r="C69" s="1053" t="s">
        <v>276</v>
      </c>
      <c r="D69" s="1053"/>
      <c r="E69" s="1053"/>
      <c r="F69" s="1052"/>
      <c r="G69" s="1054"/>
      <c r="H69" s="1018" t="s">
        <v>2322</v>
      </c>
    </row>
    <row r="70" spans="1:8" s="1019" customFormat="1" ht="15">
      <c r="A70" s="1052"/>
      <c r="B70" s="1052"/>
      <c r="C70" s="1053" t="s">
        <v>359</v>
      </c>
      <c r="D70" s="1055" t="s">
        <v>277</v>
      </c>
      <c r="E70" s="1056">
        <v>1</v>
      </c>
      <c r="F70" s="1057">
        <f>'MINI SSR 2022-23 (2)'!H68</f>
        <v>59</v>
      </c>
      <c r="G70" s="1058">
        <f>ROUND(E70*F70,2)</f>
        <v>59</v>
      </c>
      <c r="H70" s="1018" t="s">
        <v>2322</v>
      </c>
    </row>
    <row r="71" spans="1:8" s="1028" customFormat="1">
      <c r="A71" s="1052"/>
      <c r="B71" s="1059"/>
      <c r="C71" s="1060" t="s">
        <v>332</v>
      </c>
      <c r="D71" s="1061"/>
      <c r="E71" s="1062"/>
      <c r="F71" s="1062"/>
      <c r="G71" s="1063">
        <v>0</v>
      </c>
      <c r="H71" s="1018" t="s">
        <v>2322</v>
      </c>
    </row>
    <row r="72" spans="1:8" s="1019" customFormat="1" ht="15">
      <c r="A72" s="1052"/>
      <c r="B72" s="1064"/>
      <c r="C72" s="1065"/>
      <c r="D72" s="1066"/>
      <c r="E72" s="1057"/>
      <c r="F72" s="1057"/>
      <c r="G72" s="1067">
        <f>SUM(G70:G71)</f>
        <v>59</v>
      </c>
      <c r="H72" s="1018" t="s">
        <v>2322</v>
      </c>
    </row>
    <row r="73" spans="1:8" s="1019" customFormat="1" ht="15">
      <c r="A73" s="1052"/>
      <c r="B73" s="1052"/>
      <c r="C73" s="1053" t="s">
        <v>360</v>
      </c>
      <c r="D73" s="1055" t="s">
        <v>277</v>
      </c>
      <c r="E73" s="1056">
        <v>1</v>
      </c>
      <c r="F73" s="1057">
        <f>'MINI SSR 2022-23 (2)'!H69</f>
        <v>94</v>
      </c>
      <c r="G73" s="1058">
        <f>ROUND(E73*F73,2)</f>
        <v>94</v>
      </c>
      <c r="H73" s="1018" t="s">
        <v>2322</v>
      </c>
    </row>
    <row r="74" spans="1:8" s="1028" customFormat="1">
      <c r="A74" s="1052"/>
      <c r="B74" s="1059"/>
      <c r="C74" s="1060" t="s">
        <v>332</v>
      </c>
      <c r="D74" s="1061"/>
      <c r="E74" s="1062"/>
      <c r="F74" s="1062"/>
      <c r="G74" s="1063">
        <v>0</v>
      </c>
      <c r="H74" s="1018" t="s">
        <v>2322</v>
      </c>
    </row>
    <row r="75" spans="1:8" s="1019" customFormat="1" ht="15">
      <c r="A75" s="1052"/>
      <c r="B75" s="1064"/>
      <c r="C75" s="1065"/>
      <c r="D75" s="1066"/>
      <c r="E75" s="1057"/>
      <c r="F75" s="1057"/>
      <c r="G75" s="1067">
        <f>SUM(G73:G74)</f>
        <v>94</v>
      </c>
      <c r="H75" s="1018" t="s">
        <v>2322</v>
      </c>
    </row>
    <row r="76" spans="1:8" s="1019" customFormat="1" ht="15">
      <c r="A76" s="1052"/>
      <c r="B76" s="1052"/>
      <c r="C76" s="1053" t="s">
        <v>3242</v>
      </c>
      <c r="D76" s="1055" t="s">
        <v>277</v>
      </c>
      <c r="E76" s="1056">
        <v>1</v>
      </c>
      <c r="F76" s="1057">
        <f>'MINI SSR 2022-23 (2)'!H70</f>
        <v>136</v>
      </c>
      <c r="G76" s="1058">
        <f>ROUND(E76*F76,2)</f>
        <v>136</v>
      </c>
      <c r="H76" s="1018" t="s">
        <v>2322</v>
      </c>
    </row>
    <row r="77" spans="1:8" s="1028" customFormat="1">
      <c r="A77" s="1052"/>
      <c r="B77" s="1059"/>
      <c r="C77" s="1060" t="s">
        <v>332</v>
      </c>
      <c r="D77" s="1061"/>
      <c r="E77" s="1062"/>
      <c r="F77" s="1062"/>
      <c r="G77" s="1063">
        <v>0</v>
      </c>
      <c r="H77" s="1018" t="s">
        <v>2322</v>
      </c>
    </row>
    <row r="78" spans="1:8" s="1019" customFormat="1" ht="15">
      <c r="A78" s="1052"/>
      <c r="B78" s="1064"/>
      <c r="C78" s="1065"/>
      <c r="D78" s="1066"/>
      <c r="E78" s="1057"/>
      <c r="F78" s="1057"/>
      <c r="G78" s="1067">
        <f>SUM(G76:G77)</f>
        <v>136</v>
      </c>
      <c r="H78" s="1018" t="s">
        <v>2322</v>
      </c>
    </row>
    <row r="79" spans="1:8" s="1019" customFormat="1" ht="15">
      <c r="A79" s="1052"/>
      <c r="B79" s="1052"/>
      <c r="C79" s="1053" t="s">
        <v>362</v>
      </c>
      <c r="D79" s="1055" t="s">
        <v>277</v>
      </c>
      <c r="E79" s="1056">
        <v>1</v>
      </c>
      <c r="F79" s="1057">
        <f>'MINI SSR 2022-23 (2)'!H71</f>
        <v>214</v>
      </c>
      <c r="G79" s="1058">
        <f>ROUND(E79*F79,2)</f>
        <v>214</v>
      </c>
      <c r="H79" s="1018" t="s">
        <v>2322</v>
      </c>
    </row>
    <row r="80" spans="1:8" s="1028" customFormat="1">
      <c r="A80" s="1052"/>
      <c r="B80" s="1059"/>
      <c r="C80" s="1060" t="s">
        <v>332</v>
      </c>
      <c r="D80" s="1061"/>
      <c r="E80" s="1062"/>
      <c r="F80" s="1062"/>
      <c r="G80" s="1063">
        <v>0</v>
      </c>
      <c r="H80" s="1018" t="s">
        <v>2322</v>
      </c>
    </row>
    <row r="81" spans="1:8" s="1019" customFormat="1" ht="15">
      <c r="A81" s="1052"/>
      <c r="B81" s="1064"/>
      <c r="C81" s="1065"/>
      <c r="D81" s="1066"/>
      <c r="E81" s="1057"/>
      <c r="F81" s="1057"/>
      <c r="G81" s="1067">
        <f>SUM(G79:G80)</f>
        <v>214</v>
      </c>
      <c r="H81" s="1018" t="s">
        <v>2322</v>
      </c>
    </row>
    <row r="82" spans="1:8" s="820" customFormat="1" ht="48">
      <c r="A82" s="793"/>
      <c r="B82" s="793">
        <v>16</v>
      </c>
      <c r="C82" s="421" t="s">
        <v>1262</v>
      </c>
      <c r="D82" s="421"/>
      <c r="E82" s="793"/>
      <c r="F82" s="793"/>
      <c r="G82" s="819"/>
      <c r="H82" s="601" t="s">
        <v>2322</v>
      </c>
    </row>
    <row r="83" spans="1:8" s="820" customFormat="1">
      <c r="A83" s="800"/>
      <c r="B83" s="793"/>
      <c r="C83" s="794" t="s">
        <v>380</v>
      </c>
      <c r="D83" s="795" t="s">
        <v>279</v>
      </c>
      <c r="E83" s="796">
        <v>1</v>
      </c>
      <c r="F83" s="797">
        <f>'MINI SSR 2022-23 (2)'!H72</f>
        <v>35</v>
      </c>
      <c r="G83" s="801">
        <f>ROUND(E83*F83,2)</f>
        <v>35</v>
      </c>
      <c r="H83" s="601" t="s">
        <v>2322</v>
      </c>
    </row>
    <row r="84" spans="1:8">
      <c r="A84" s="793"/>
      <c r="B84" s="799"/>
      <c r="C84" s="804" t="s">
        <v>332</v>
      </c>
      <c r="D84" s="805"/>
      <c r="E84" s="806"/>
      <c r="F84" s="806"/>
      <c r="G84" s="807">
        <v>0</v>
      </c>
      <c r="H84" s="601" t="s">
        <v>2322</v>
      </c>
    </row>
    <row r="85" spans="1:8" s="820" customFormat="1">
      <c r="A85" s="800"/>
      <c r="B85" s="793"/>
      <c r="C85" s="794"/>
      <c r="D85" s="795"/>
      <c r="E85" s="796"/>
      <c r="F85" s="797"/>
      <c r="G85" s="798">
        <f>SUM(G83:G84)</f>
        <v>35</v>
      </c>
      <c r="H85" s="601" t="s">
        <v>2322</v>
      </c>
    </row>
    <row r="86" spans="1:8" s="1068" customFormat="1" ht="72">
      <c r="A86" s="1052"/>
      <c r="B86" s="1052">
        <v>9</v>
      </c>
      <c r="C86" s="1053" t="s">
        <v>363</v>
      </c>
      <c r="D86" s="1053"/>
      <c r="E86" s="1052"/>
      <c r="F86" s="1052"/>
      <c r="G86" s="1054"/>
      <c r="H86" s="1018" t="s">
        <v>2322</v>
      </c>
    </row>
    <row r="87" spans="1:8" s="1068" customFormat="1">
      <c r="A87" s="1069"/>
      <c r="B87" s="1052"/>
      <c r="C87" s="1065" t="s">
        <v>364</v>
      </c>
      <c r="D87" s="1066" t="s">
        <v>279</v>
      </c>
      <c r="E87" s="1070">
        <v>1</v>
      </c>
      <c r="F87" s="1057">
        <f>'MINI SSR 2022-23 (2)'!H73</f>
        <v>33</v>
      </c>
      <c r="G87" s="1058">
        <f>ROUND(E87*F87,2)</f>
        <v>33</v>
      </c>
      <c r="H87" s="1018" t="s">
        <v>2322</v>
      </c>
    </row>
    <row r="88" spans="1:8" s="1028" customFormat="1">
      <c r="A88" s="1052"/>
      <c r="B88" s="1059"/>
      <c r="C88" s="1060" t="s">
        <v>332</v>
      </c>
      <c r="D88" s="1061"/>
      <c r="E88" s="1062"/>
      <c r="F88" s="1062"/>
      <c r="G88" s="1063">
        <v>0</v>
      </c>
      <c r="H88" s="1018" t="s">
        <v>2322</v>
      </c>
    </row>
    <row r="89" spans="1:8" s="1068" customFormat="1">
      <c r="A89" s="1069"/>
      <c r="B89" s="1052"/>
      <c r="C89" s="1065"/>
      <c r="D89" s="1066"/>
      <c r="E89" s="1070"/>
      <c r="F89" s="1057"/>
      <c r="G89" s="1071">
        <f>SUM(G87:G88)</f>
        <v>33</v>
      </c>
      <c r="H89" s="1018" t="s">
        <v>2322</v>
      </c>
    </row>
    <row r="90" spans="1:8" s="620" customFormat="1" ht="48">
      <c r="A90" s="793"/>
      <c r="B90" s="793">
        <v>18</v>
      </c>
      <c r="C90" s="421" t="s">
        <v>365</v>
      </c>
      <c r="D90" s="800"/>
      <c r="E90" s="793"/>
      <c r="F90" s="793"/>
      <c r="G90" s="819"/>
      <c r="H90" s="601" t="s">
        <v>2322</v>
      </c>
    </row>
    <row r="91" spans="1:8" s="620" customFormat="1" ht="15">
      <c r="A91" s="793"/>
      <c r="B91" s="793"/>
      <c r="C91" s="794" t="s">
        <v>366</v>
      </c>
      <c r="D91" s="795" t="s">
        <v>115</v>
      </c>
      <c r="E91" s="797">
        <v>1</v>
      </c>
      <c r="F91" s="797">
        <f>'MINI SSR 2022-23 (2)'!H74</f>
        <v>1165</v>
      </c>
      <c r="G91" s="801">
        <f>ROUND(E91*F91,2)</f>
        <v>1165</v>
      </c>
      <c r="H91" s="601" t="s">
        <v>2322</v>
      </c>
    </row>
    <row r="92" spans="1:8">
      <c r="A92" s="793"/>
      <c r="B92" s="799"/>
      <c r="C92" s="804" t="s">
        <v>332</v>
      </c>
      <c r="D92" s="805"/>
      <c r="E92" s="806"/>
      <c r="F92" s="806"/>
      <c r="G92" s="807">
        <v>0</v>
      </c>
      <c r="H92" s="601" t="s">
        <v>2322</v>
      </c>
    </row>
    <row r="93" spans="1:8" s="620" customFormat="1" ht="15">
      <c r="A93" s="793"/>
      <c r="B93" s="821"/>
      <c r="C93" s="794"/>
      <c r="D93" s="795"/>
      <c r="E93" s="797"/>
      <c r="F93" s="797"/>
      <c r="G93" s="798">
        <f>SUM(G91:G92)</f>
        <v>1165</v>
      </c>
      <c r="H93" s="601" t="s">
        <v>2322</v>
      </c>
    </row>
    <row r="94" spans="1:8" s="820" customFormat="1" ht="108">
      <c r="A94" s="822"/>
      <c r="B94" s="793">
        <v>19</v>
      </c>
      <c r="C94" s="800" t="s">
        <v>367</v>
      </c>
      <c r="D94" s="800"/>
      <c r="E94" s="800"/>
      <c r="F94" s="800"/>
      <c r="G94" s="823"/>
      <c r="H94" s="601" t="s">
        <v>2322</v>
      </c>
    </row>
    <row r="95" spans="1:8" s="820" customFormat="1">
      <c r="A95" s="824"/>
      <c r="B95" s="821"/>
      <c r="C95" s="825" t="s">
        <v>368</v>
      </c>
      <c r="D95" s="826"/>
      <c r="E95" s="826"/>
      <c r="F95" s="827"/>
      <c r="G95" s="828"/>
      <c r="H95" s="601" t="s">
        <v>2322</v>
      </c>
    </row>
    <row r="96" spans="1:8" s="820" customFormat="1">
      <c r="A96" s="824"/>
      <c r="B96" s="793"/>
      <c r="C96" s="824" t="s">
        <v>369</v>
      </c>
      <c r="D96" s="827" t="s">
        <v>370</v>
      </c>
      <c r="E96" s="826">
        <v>1</v>
      </c>
      <c r="F96" s="826">
        <f>'MINI SSR 2022-23 (2)'!C78</f>
        <v>447</v>
      </c>
      <c r="G96" s="801">
        <f t="shared" ref="G96:G101" si="0">ROUND(E96*F96,2)</f>
        <v>447</v>
      </c>
      <c r="H96" s="601" t="s">
        <v>2322</v>
      </c>
    </row>
    <row r="97" spans="1:8" s="820" customFormat="1">
      <c r="A97" s="824"/>
      <c r="B97" s="793"/>
      <c r="C97" s="829" t="s">
        <v>371</v>
      </c>
      <c r="D97" s="827" t="s">
        <v>115</v>
      </c>
      <c r="E97" s="826">
        <v>1</v>
      </c>
      <c r="F97" s="826">
        <f>'MINI SSR 2022-23 (2)'!H75</f>
        <v>77</v>
      </c>
      <c r="G97" s="801">
        <f t="shared" si="0"/>
        <v>77</v>
      </c>
      <c r="H97" s="601" t="s">
        <v>2322</v>
      </c>
    </row>
    <row r="98" spans="1:8" s="820" customFormat="1">
      <c r="A98" s="824"/>
      <c r="B98" s="793"/>
      <c r="C98" s="829" t="s">
        <v>372</v>
      </c>
      <c r="D98" s="827" t="s">
        <v>115</v>
      </c>
      <c r="E98" s="826">
        <v>3</v>
      </c>
      <c r="F98" s="826">
        <f>'MINI SSR 2022-23 (2)'!H76</f>
        <v>17</v>
      </c>
      <c r="G98" s="801">
        <f t="shared" si="0"/>
        <v>51</v>
      </c>
      <c r="H98" s="601" t="s">
        <v>2322</v>
      </c>
    </row>
    <row r="99" spans="1:8" s="820" customFormat="1">
      <c r="A99" s="824"/>
      <c r="B99" s="793"/>
      <c r="C99" s="830" t="s">
        <v>373</v>
      </c>
      <c r="D99" s="827" t="s">
        <v>108</v>
      </c>
      <c r="E99" s="826">
        <v>0.3</v>
      </c>
      <c r="F99" s="826">
        <f>'MINI SSR 2022-23 (2)'!H8</f>
        <v>705</v>
      </c>
      <c r="G99" s="801">
        <f t="shared" si="0"/>
        <v>211.5</v>
      </c>
      <c r="H99" s="601" t="s">
        <v>2322</v>
      </c>
    </row>
    <row r="100" spans="1:8" s="820" customFormat="1">
      <c r="A100" s="824"/>
      <c r="B100" s="793"/>
      <c r="C100" s="830" t="s">
        <v>374</v>
      </c>
      <c r="D100" s="827" t="s">
        <v>108</v>
      </c>
      <c r="E100" s="826">
        <v>0.7</v>
      </c>
      <c r="F100" s="826">
        <f>'MINI SSR 2022-23 (2)'!H9</f>
        <v>565</v>
      </c>
      <c r="G100" s="801">
        <f t="shared" si="0"/>
        <v>395.5</v>
      </c>
      <c r="H100" s="601" t="s">
        <v>2322</v>
      </c>
    </row>
    <row r="101" spans="1:8" s="820" customFormat="1">
      <c r="A101" s="824"/>
      <c r="B101" s="793"/>
      <c r="C101" s="830" t="s">
        <v>375</v>
      </c>
      <c r="D101" s="827" t="s">
        <v>108</v>
      </c>
      <c r="E101" s="826">
        <v>1</v>
      </c>
      <c r="F101" s="826">
        <f>'MINI SSR 2022-23 (2)'!H5</f>
        <v>525</v>
      </c>
      <c r="G101" s="801">
        <f t="shared" si="0"/>
        <v>525</v>
      </c>
      <c r="H101" s="601" t="s">
        <v>2322</v>
      </c>
    </row>
    <row r="102" spans="1:8" s="820" customFormat="1">
      <c r="A102" s="824"/>
      <c r="B102" s="793"/>
      <c r="C102" s="830"/>
      <c r="D102" s="827"/>
      <c r="E102" s="826"/>
      <c r="F102" s="826"/>
      <c r="G102" s="828">
        <f>SUM(G96:G101)</f>
        <v>1707</v>
      </c>
      <c r="H102" s="601" t="s">
        <v>2322</v>
      </c>
    </row>
    <row r="103" spans="1:8">
      <c r="A103" s="793"/>
      <c r="B103" s="799"/>
      <c r="C103" s="804" t="s">
        <v>332</v>
      </c>
      <c r="D103" s="805"/>
      <c r="E103" s="806"/>
      <c r="F103" s="806"/>
      <c r="G103" s="807">
        <v>0</v>
      </c>
      <c r="H103" s="601" t="s">
        <v>2322</v>
      </c>
    </row>
    <row r="104" spans="1:8" s="820" customFormat="1">
      <c r="A104" s="824"/>
      <c r="B104" s="821"/>
      <c r="C104" s="830" t="s">
        <v>376</v>
      </c>
      <c r="D104" s="827"/>
      <c r="E104" s="826"/>
      <c r="F104" s="826"/>
      <c r="G104" s="828">
        <f>SUM(G102:G103)</f>
        <v>1707</v>
      </c>
      <c r="H104" s="601" t="s">
        <v>2322</v>
      </c>
    </row>
    <row r="105" spans="1:8" s="820" customFormat="1">
      <c r="A105" s="824"/>
      <c r="B105" s="821"/>
      <c r="C105" s="830" t="s">
        <v>377</v>
      </c>
      <c r="D105" s="827"/>
      <c r="E105" s="826"/>
      <c r="F105" s="826"/>
      <c r="G105" s="831">
        <f>G104/3</f>
        <v>569</v>
      </c>
      <c r="H105" s="601" t="s">
        <v>2322</v>
      </c>
    </row>
    <row r="106" spans="1:8" s="670" customFormat="1" ht="113.25" customHeight="1">
      <c r="A106" s="832"/>
      <c r="B106" s="832">
        <v>11</v>
      </c>
      <c r="C106" s="700" t="s">
        <v>595</v>
      </c>
      <c r="D106" s="700"/>
      <c r="E106" s="673"/>
      <c r="F106" s="673"/>
      <c r="G106" s="38"/>
      <c r="H106" s="601" t="s">
        <v>2322</v>
      </c>
    </row>
    <row r="107" spans="1:8" s="670" customFormat="1">
      <c r="A107" s="691"/>
      <c r="B107" s="673"/>
      <c r="C107" s="696" t="s">
        <v>596</v>
      </c>
      <c r="D107" s="16" t="s">
        <v>279</v>
      </c>
      <c r="E107" s="833">
        <v>1</v>
      </c>
      <c r="F107" s="10">
        <f>'MINI SSR 2022-23 (2)'!C86</f>
        <v>446.4</v>
      </c>
      <c r="G107" s="9">
        <f>(E107*F107)/1</f>
        <v>446.4</v>
      </c>
      <c r="H107" s="601" t="s">
        <v>2322</v>
      </c>
    </row>
    <row r="108" spans="1:8" s="670" customFormat="1">
      <c r="A108" s="691"/>
      <c r="B108" s="673"/>
      <c r="C108" s="696"/>
      <c r="D108" s="16"/>
      <c r="E108" s="833"/>
      <c r="F108" s="10"/>
      <c r="G108" s="9"/>
      <c r="H108" s="601" t="s">
        <v>2322</v>
      </c>
    </row>
    <row r="109" spans="1:8" s="670" customFormat="1">
      <c r="A109" s="691"/>
      <c r="B109" s="673"/>
      <c r="C109" s="696" t="s">
        <v>597</v>
      </c>
      <c r="D109" s="16" t="s">
        <v>279</v>
      </c>
      <c r="E109" s="833">
        <v>1</v>
      </c>
      <c r="F109" s="10">
        <f>'MINI SSR 2022-23 (2)'!C87</f>
        <v>477.6</v>
      </c>
      <c r="G109" s="9">
        <f>(E109*F109)/1</f>
        <v>477.6</v>
      </c>
      <c r="H109" s="601" t="s">
        <v>2322</v>
      </c>
    </row>
    <row r="110" spans="1:8" s="670" customFormat="1">
      <c r="A110" s="691"/>
      <c r="B110" s="673"/>
      <c r="C110" s="696"/>
      <c r="D110" s="16"/>
      <c r="E110" s="833"/>
      <c r="F110" s="10"/>
      <c r="G110" s="9"/>
      <c r="H110" s="601" t="s">
        <v>2322</v>
      </c>
    </row>
    <row r="111" spans="1:8" s="670" customFormat="1">
      <c r="A111" s="691"/>
      <c r="B111" s="673"/>
      <c r="C111" s="696" t="s">
        <v>598</v>
      </c>
      <c r="D111" s="16" t="s">
        <v>279</v>
      </c>
      <c r="E111" s="833">
        <v>1</v>
      </c>
      <c r="F111" s="10">
        <f>'MINI SSR 2022-23 (2)'!C88</f>
        <v>535.70000000000005</v>
      </c>
      <c r="G111" s="9">
        <f>(E111*F111)/1</f>
        <v>535.70000000000005</v>
      </c>
      <c r="H111" s="601" t="s">
        <v>2322</v>
      </c>
    </row>
    <row r="112" spans="1:8" s="670" customFormat="1">
      <c r="A112" s="691"/>
      <c r="B112" s="673"/>
      <c r="C112" s="696"/>
      <c r="D112" s="16"/>
      <c r="E112" s="833"/>
      <c r="F112" s="10"/>
      <c r="G112" s="9"/>
      <c r="H112" s="601" t="s">
        <v>2322</v>
      </c>
    </row>
    <row r="113" spans="1:8" s="670" customFormat="1" ht="51">
      <c r="A113" s="673"/>
      <c r="B113" s="673">
        <v>12</v>
      </c>
      <c r="C113" s="700" t="s">
        <v>592</v>
      </c>
      <c r="D113" s="700"/>
      <c r="E113" s="673"/>
      <c r="F113" s="673"/>
      <c r="G113" s="38"/>
      <c r="H113" s="601" t="s">
        <v>2322</v>
      </c>
    </row>
    <row r="114" spans="1:8" s="670" customFormat="1">
      <c r="A114" s="691"/>
      <c r="B114" s="673"/>
      <c r="C114" s="696" t="s">
        <v>599</v>
      </c>
      <c r="D114" s="16" t="s">
        <v>275</v>
      </c>
      <c r="E114" s="833">
        <v>1</v>
      </c>
      <c r="F114" s="10">
        <f>'MINI SSR 2022-23 (2)'!C89</f>
        <v>26730</v>
      </c>
      <c r="G114" s="9">
        <f>(E114*F114)/1</f>
        <v>26730</v>
      </c>
      <c r="H114" s="601" t="s">
        <v>2322</v>
      </c>
    </row>
    <row r="115" spans="1:8" s="670" customFormat="1">
      <c r="A115" s="691"/>
      <c r="B115" s="673"/>
      <c r="C115" s="696"/>
      <c r="D115" s="16"/>
      <c r="E115" s="833"/>
      <c r="F115" s="10"/>
      <c r="G115" s="9">
        <f>SUM(G114:G114)</f>
        <v>26730</v>
      </c>
      <c r="H115" s="601" t="s">
        <v>2322</v>
      </c>
    </row>
    <row r="116" spans="1:8" s="670" customFormat="1" ht="51">
      <c r="A116" s="673"/>
      <c r="B116" s="673">
        <v>13</v>
      </c>
      <c r="C116" s="700" t="s">
        <v>1536</v>
      </c>
      <c r="D116" s="700"/>
      <c r="E116" s="673"/>
      <c r="F116" s="673"/>
      <c r="G116" s="38"/>
      <c r="H116" s="601" t="s">
        <v>2322</v>
      </c>
    </row>
    <row r="117" spans="1:8" s="670" customFormat="1">
      <c r="A117" s="691"/>
      <c r="B117" s="673"/>
      <c r="C117" s="696" t="s">
        <v>1571</v>
      </c>
      <c r="D117" s="16" t="s">
        <v>275</v>
      </c>
      <c r="E117" s="833">
        <v>1</v>
      </c>
      <c r="F117" s="10">
        <f>'MINI SSR 2022-23 (2)'!C90</f>
        <v>18370</v>
      </c>
      <c r="G117" s="9">
        <f>(E117*F117)/1</f>
        <v>18370</v>
      </c>
      <c r="H117" s="601" t="s">
        <v>2322</v>
      </c>
    </row>
    <row r="118" spans="1:8" s="670" customFormat="1">
      <c r="A118" s="691"/>
      <c r="B118" s="673"/>
      <c r="C118" s="696"/>
      <c r="D118" s="16"/>
      <c r="E118" s="833"/>
      <c r="F118" s="10"/>
      <c r="G118" s="9">
        <f>SUM(G117:G117)</f>
        <v>18370</v>
      </c>
      <c r="H118" s="601" t="s">
        <v>2322</v>
      </c>
    </row>
    <row r="119" spans="1:8" s="670" customFormat="1" ht="51">
      <c r="A119" s="673"/>
      <c r="B119" s="673">
        <v>14</v>
      </c>
      <c r="C119" s="700" t="s">
        <v>600</v>
      </c>
      <c r="D119" s="700"/>
      <c r="E119" s="673"/>
      <c r="F119" s="673"/>
      <c r="G119" s="38"/>
      <c r="H119" s="601" t="s">
        <v>2322</v>
      </c>
    </row>
    <row r="120" spans="1:8" s="670" customFormat="1">
      <c r="A120" s="691"/>
      <c r="B120" s="673"/>
      <c r="C120" s="700" t="s">
        <v>378</v>
      </c>
      <c r="D120" s="16" t="s">
        <v>289</v>
      </c>
      <c r="E120" s="833">
        <v>1</v>
      </c>
      <c r="F120" s="10">
        <f>'MINI SSR 2022-23 (2)'!C91</f>
        <v>325</v>
      </c>
      <c r="G120" s="9">
        <f>(E120*F120)/1</f>
        <v>325</v>
      </c>
      <c r="H120" s="601" t="s">
        <v>2322</v>
      </c>
    </row>
    <row r="121" spans="1:8" s="670" customFormat="1">
      <c r="A121" s="691"/>
      <c r="B121" s="673"/>
      <c r="C121" s="696"/>
      <c r="D121" s="16"/>
      <c r="E121" s="833"/>
      <c r="F121" s="10"/>
      <c r="G121" s="9">
        <f>SUM(G120:G120)</f>
        <v>325</v>
      </c>
      <c r="H121" s="601" t="s">
        <v>2322</v>
      </c>
    </row>
    <row r="122" spans="1:8" s="670" customFormat="1" ht="38.25">
      <c r="A122" s="673"/>
      <c r="B122" s="673">
        <v>15</v>
      </c>
      <c r="C122" s="357" t="s">
        <v>283</v>
      </c>
      <c r="D122" s="357"/>
      <c r="E122" s="832"/>
      <c r="F122" s="832"/>
      <c r="G122" s="834"/>
      <c r="H122" s="601" t="s">
        <v>2322</v>
      </c>
    </row>
    <row r="123" spans="1:8" s="670" customFormat="1">
      <c r="A123" s="691"/>
      <c r="B123" s="673"/>
      <c r="C123" s="624" t="s">
        <v>379</v>
      </c>
      <c r="D123" s="617" t="s">
        <v>279</v>
      </c>
      <c r="E123" s="631">
        <v>1</v>
      </c>
      <c r="F123" s="622">
        <f>'MINI SSR 2022-23 (2)'!C92</f>
        <v>85</v>
      </c>
      <c r="G123" s="630">
        <f>(E123*F123)/1</f>
        <v>85</v>
      </c>
      <c r="H123" s="601" t="s">
        <v>2322</v>
      </c>
    </row>
    <row r="124" spans="1:8" s="670" customFormat="1">
      <c r="A124" s="691"/>
      <c r="B124" s="673"/>
      <c r="C124" s="624"/>
      <c r="D124" s="617"/>
      <c r="E124" s="631"/>
      <c r="F124" s="622"/>
      <c r="G124" s="630">
        <f>SUM(G123:G123)</f>
        <v>85</v>
      </c>
      <c r="H124" s="601" t="s">
        <v>2322</v>
      </c>
    </row>
    <row r="125" spans="1:8" s="670" customFormat="1">
      <c r="A125" s="673"/>
      <c r="B125" s="673">
        <v>16</v>
      </c>
      <c r="C125" s="700" t="s">
        <v>287</v>
      </c>
      <c r="D125" s="700"/>
      <c r="E125" s="673"/>
      <c r="F125" s="673"/>
      <c r="G125" s="38"/>
      <c r="H125" s="601" t="s">
        <v>2322</v>
      </c>
    </row>
    <row r="126" spans="1:8" s="670" customFormat="1">
      <c r="A126" s="691"/>
      <c r="B126" s="673"/>
      <c r="C126" s="696" t="s">
        <v>380</v>
      </c>
      <c r="D126" s="16" t="s">
        <v>275</v>
      </c>
      <c r="E126" s="833">
        <v>1</v>
      </c>
      <c r="F126" s="10">
        <f>'MINI SSR 2022-23 (2)'!C93</f>
        <v>194</v>
      </c>
      <c r="G126" s="9">
        <f>(E126*F126)/1</f>
        <v>194</v>
      </c>
      <c r="H126" s="601" t="s">
        <v>2322</v>
      </c>
    </row>
    <row r="127" spans="1:8" s="670" customFormat="1">
      <c r="A127" s="691"/>
      <c r="B127" s="673"/>
      <c r="C127" s="696"/>
      <c r="D127" s="16"/>
      <c r="E127" s="833"/>
      <c r="F127" s="10"/>
      <c r="G127" s="9">
        <f>SUM(G126:G126)</f>
        <v>194</v>
      </c>
      <c r="H127" s="601" t="s">
        <v>2322</v>
      </c>
    </row>
    <row r="128" spans="1:8" s="670" customFormat="1">
      <c r="A128" s="673"/>
      <c r="B128" s="673">
        <v>17</v>
      </c>
      <c r="C128" s="700" t="s">
        <v>284</v>
      </c>
      <c r="D128" s="700"/>
      <c r="E128" s="673"/>
      <c r="F128" s="673"/>
      <c r="G128" s="38"/>
      <c r="H128" s="601" t="s">
        <v>2322</v>
      </c>
    </row>
    <row r="129" spans="1:8" s="670" customFormat="1">
      <c r="A129" s="691"/>
      <c r="B129" s="673"/>
      <c r="C129" s="696" t="s">
        <v>380</v>
      </c>
      <c r="D129" s="16" t="s">
        <v>275</v>
      </c>
      <c r="E129" s="833">
        <v>1</v>
      </c>
      <c r="F129" s="10">
        <f>'MINI SSR 2022-23 (2)'!C94</f>
        <v>300</v>
      </c>
      <c r="G129" s="9">
        <f>(E129*F129)/1</f>
        <v>300</v>
      </c>
      <c r="H129" s="601" t="s">
        <v>2322</v>
      </c>
    </row>
    <row r="130" spans="1:8" s="670" customFormat="1">
      <c r="A130" s="691"/>
      <c r="B130" s="673"/>
      <c r="C130" s="696"/>
      <c r="D130" s="16"/>
      <c r="E130" s="833"/>
      <c r="F130" s="10"/>
      <c r="G130" s="9">
        <f>SUM(G129:G129)</f>
        <v>300</v>
      </c>
      <c r="H130" s="601" t="s">
        <v>2322</v>
      </c>
    </row>
    <row r="131" spans="1:8" s="670" customFormat="1">
      <c r="A131" s="673"/>
      <c r="B131" s="673">
        <v>18</v>
      </c>
      <c r="C131" s="700" t="s">
        <v>2002</v>
      </c>
      <c r="D131" s="700"/>
      <c r="E131" s="673"/>
      <c r="F131" s="673"/>
      <c r="G131" s="38"/>
      <c r="H131" s="601" t="s">
        <v>2322</v>
      </c>
    </row>
    <row r="132" spans="1:8" s="670" customFormat="1">
      <c r="A132" s="691"/>
      <c r="B132" s="673"/>
      <c r="C132" s="696" t="s">
        <v>379</v>
      </c>
      <c r="D132" s="16" t="s">
        <v>279</v>
      </c>
      <c r="E132" s="833">
        <v>1</v>
      </c>
      <c r="F132" s="10">
        <f>'MINI SSR 2022-23 (2)'!C95</f>
        <v>400</v>
      </c>
      <c r="G132" s="9">
        <f>(E132*F132)/1</f>
        <v>400</v>
      </c>
      <c r="H132" s="601" t="s">
        <v>2322</v>
      </c>
    </row>
    <row r="133" spans="1:8" s="670" customFormat="1">
      <c r="A133" s="691"/>
      <c r="B133" s="673"/>
      <c r="C133" s="696"/>
      <c r="D133" s="16"/>
      <c r="E133" s="833"/>
      <c r="F133" s="10"/>
      <c r="G133" s="9">
        <f>SUM(G132:G132)</f>
        <v>400</v>
      </c>
      <c r="H133" s="601" t="s">
        <v>2322</v>
      </c>
    </row>
    <row r="134" spans="1:8" s="670" customFormat="1">
      <c r="A134" s="673"/>
      <c r="B134" s="673">
        <v>19</v>
      </c>
      <c r="C134" s="700" t="s">
        <v>2003</v>
      </c>
      <c r="D134" s="700"/>
      <c r="E134" s="673"/>
      <c r="F134" s="673"/>
      <c r="G134" s="38"/>
      <c r="H134" s="601" t="s">
        <v>2322</v>
      </c>
    </row>
    <row r="135" spans="1:8" s="670" customFormat="1">
      <c r="A135" s="691"/>
      <c r="B135" s="673"/>
      <c r="C135" s="696" t="s">
        <v>380</v>
      </c>
      <c r="D135" s="16" t="s">
        <v>275</v>
      </c>
      <c r="E135" s="833">
        <v>1</v>
      </c>
      <c r="F135" s="10">
        <f>'MINI SSR 2022-23 (2)'!C96</f>
        <v>77</v>
      </c>
      <c r="G135" s="9">
        <f>(E135*F135)/1</f>
        <v>77</v>
      </c>
      <c r="H135" s="601" t="s">
        <v>2322</v>
      </c>
    </row>
    <row r="136" spans="1:8" s="670" customFormat="1">
      <c r="A136" s="691"/>
      <c r="B136" s="673"/>
      <c r="C136" s="696"/>
      <c r="D136" s="16"/>
      <c r="E136" s="833"/>
      <c r="F136" s="10"/>
      <c r="G136" s="9">
        <f>SUM(G135:G135)</f>
        <v>77</v>
      </c>
      <c r="H136" s="601" t="s">
        <v>2322</v>
      </c>
    </row>
    <row r="137" spans="1:8" s="670" customFormat="1" ht="51">
      <c r="A137" s="673"/>
      <c r="B137" s="673">
        <v>20</v>
      </c>
      <c r="C137" s="700" t="s">
        <v>601</v>
      </c>
      <c r="D137" s="700"/>
      <c r="E137" s="673"/>
      <c r="F137" s="673"/>
      <c r="G137" s="38"/>
      <c r="H137" s="601" t="s">
        <v>2322</v>
      </c>
    </row>
    <row r="138" spans="1:8" s="670" customFormat="1">
      <c r="A138" s="691"/>
      <c r="B138" s="673"/>
      <c r="C138" s="696" t="s">
        <v>602</v>
      </c>
      <c r="D138" s="16" t="s">
        <v>279</v>
      </c>
      <c r="E138" s="833">
        <v>1</v>
      </c>
      <c r="F138" s="10">
        <f>'MINI SSR 2022-23 (2)'!C97</f>
        <v>105</v>
      </c>
      <c r="G138" s="9">
        <f>(E138*F138)/1</f>
        <v>105</v>
      </c>
      <c r="H138" s="601" t="s">
        <v>2322</v>
      </c>
    </row>
    <row r="139" spans="1:8" s="670" customFormat="1">
      <c r="A139" s="691"/>
      <c r="B139" s="673"/>
      <c r="C139" s="696"/>
      <c r="D139" s="16"/>
      <c r="E139" s="833"/>
      <c r="F139" s="10"/>
      <c r="G139" s="9">
        <f>SUM(G138:G138)</f>
        <v>105</v>
      </c>
      <c r="H139" s="601" t="s">
        <v>2322</v>
      </c>
    </row>
    <row r="140" spans="1:8" s="670" customFormat="1" ht="102">
      <c r="A140" s="673"/>
      <c r="B140" s="673">
        <v>21</v>
      </c>
      <c r="C140" s="700" t="s">
        <v>381</v>
      </c>
      <c r="D140" s="700"/>
      <c r="E140" s="673"/>
      <c r="F140" s="673"/>
      <c r="G140" s="38"/>
      <c r="H140" s="601" t="s">
        <v>2322</v>
      </c>
    </row>
    <row r="141" spans="1:8" s="670" customFormat="1">
      <c r="A141" s="691"/>
      <c r="B141" s="673"/>
      <c r="C141" s="624" t="s">
        <v>382</v>
      </c>
      <c r="D141" s="16" t="s">
        <v>115</v>
      </c>
      <c r="E141" s="833">
        <v>1</v>
      </c>
      <c r="F141" s="10">
        <f>'MINI SSR 2022-23 (2)'!C98</f>
        <v>5445</v>
      </c>
      <c r="G141" s="9">
        <f>(E141*F141)/1</f>
        <v>5445</v>
      </c>
      <c r="H141" s="601" t="s">
        <v>2322</v>
      </c>
    </row>
    <row r="142" spans="1:8" s="670" customFormat="1">
      <c r="A142" s="691"/>
      <c r="B142" s="673"/>
      <c r="C142" s="696"/>
      <c r="D142" s="16"/>
      <c r="E142" s="833"/>
      <c r="F142" s="10"/>
      <c r="G142" s="9">
        <f>SUM(G141:G141)</f>
        <v>5445</v>
      </c>
      <c r="H142" s="601" t="s">
        <v>2322</v>
      </c>
    </row>
    <row r="143" spans="1:8" s="620" customFormat="1" ht="15">
      <c r="A143" s="832"/>
      <c r="B143" s="832"/>
      <c r="C143" s="624"/>
      <c r="D143" s="617"/>
      <c r="E143" s="631"/>
      <c r="F143" s="622"/>
      <c r="G143" s="630"/>
      <c r="H143" s="601" t="s">
        <v>2322</v>
      </c>
    </row>
    <row r="144" spans="1:8" s="1019" customFormat="1" ht="24">
      <c r="A144" s="1052"/>
      <c r="B144" s="1052">
        <v>10</v>
      </c>
      <c r="C144" s="1053" t="s">
        <v>718</v>
      </c>
      <c r="D144" s="1055"/>
      <c r="E144" s="1066"/>
      <c r="F144" s="1066"/>
      <c r="G144" s="1055"/>
      <c r="H144" s="1018" t="s">
        <v>2322</v>
      </c>
    </row>
    <row r="145" spans="1:8" s="1019" customFormat="1" ht="15">
      <c r="A145" s="1052"/>
      <c r="B145" s="1052"/>
      <c r="C145" s="1065" t="s">
        <v>338</v>
      </c>
      <c r="D145" s="1066" t="s">
        <v>115</v>
      </c>
      <c r="E145" s="1070">
        <v>1</v>
      </c>
      <c r="F145" s="1057">
        <f>'MINI SSR 2022-23 (2)'!C75</f>
        <v>93</v>
      </c>
      <c r="G145" s="1058">
        <f>ROUND(E145*F145,2)</f>
        <v>93</v>
      </c>
      <c r="H145" s="1018" t="s">
        <v>2322</v>
      </c>
    </row>
    <row r="146" spans="1:8" s="1019" customFormat="1" ht="15">
      <c r="A146" s="1052"/>
      <c r="B146" s="1052"/>
      <c r="C146" s="1065"/>
      <c r="D146" s="1066"/>
      <c r="E146" s="1070"/>
      <c r="F146" s="1057"/>
      <c r="G146" s="1071">
        <f>SUM(G145:G145)</f>
        <v>93</v>
      </c>
      <c r="H146" s="1018" t="s">
        <v>2322</v>
      </c>
    </row>
    <row r="147" spans="1:8" s="841" customFormat="1" ht="11.25">
      <c r="A147" s="835"/>
      <c r="B147" s="836"/>
      <c r="C147" s="837"/>
      <c r="D147" s="838"/>
      <c r="E147" s="839"/>
      <c r="F147" s="838"/>
      <c r="G147" s="840"/>
    </row>
    <row r="148" spans="1:8" s="841" customFormat="1" ht="11.25">
      <c r="A148" s="835"/>
      <c r="B148" s="836"/>
      <c r="C148" s="837"/>
      <c r="D148" s="838"/>
      <c r="E148" s="839"/>
      <c r="F148" s="838"/>
      <c r="G148" s="840"/>
    </row>
    <row r="149" spans="1:8" s="841" customFormat="1" ht="11.25">
      <c r="A149" s="835"/>
      <c r="B149" s="836"/>
      <c r="C149" s="842" t="str">
        <f>'lead 22-23 P-B'!H31</f>
        <v>Deputy Executive Engineer</v>
      </c>
      <c r="D149" s="838"/>
      <c r="E149" s="839"/>
      <c r="F149" s="838" t="str">
        <f>'lead 22-23 P-B'!K31</f>
        <v>Assistant  Engineer</v>
      </c>
      <c r="G149" s="840"/>
    </row>
    <row r="150" spans="1:8">
      <c r="A150" s="745"/>
      <c r="C150" s="842" t="str">
        <f>'lead 22-23 P-B'!H32</f>
        <v>PRI Sub Division</v>
      </c>
      <c r="D150" s="843"/>
      <c r="E150" s="843"/>
      <c r="F150" s="838" t="str">
        <f>'lead 22-23 P-B'!K32</f>
        <v>Mandal Praja parishad</v>
      </c>
      <c r="G150" s="843"/>
    </row>
    <row r="151" spans="1:8">
      <c r="A151" s="745"/>
      <c r="C151" s="842" t="str">
        <f>'lead 22-23 P-B'!H33</f>
        <v>Kanigiri</v>
      </c>
      <c r="D151" s="843"/>
      <c r="E151" s="843"/>
      <c r="F151" s="838" t="str">
        <f>'lead 22-23 P-B'!K33</f>
        <v>Kanigiri</v>
      </c>
      <c r="G151" s="843"/>
    </row>
  </sheetData>
  <autoFilter ref="A3:G146"/>
  <mergeCells count="1">
    <mergeCell ref="B1:F1"/>
  </mergeCells>
  <printOptions horizontalCentered="1"/>
  <pageMargins left="0.2" right="0.2" top="0.25" bottom="0.25" header="0.3" footer="0.3"/>
  <pageSetup paperSize="9" orientation="portrait" verticalDpi="300" r:id="rId1"/>
</worksheet>
</file>

<file path=xl/worksheets/sheet30.xml><?xml version="1.0" encoding="utf-8"?>
<worksheet xmlns="http://schemas.openxmlformats.org/spreadsheetml/2006/main" xmlns:r="http://schemas.openxmlformats.org/officeDocument/2006/relationships">
  <sheetPr>
    <tabColor rgb="FF00B050"/>
  </sheetPr>
  <dimension ref="A1:J292"/>
  <sheetViews>
    <sheetView view="pageBreakPreview" topLeftCell="A280" zoomScaleSheetLayoutView="100" workbookViewId="0">
      <selection activeCell="H236" sqref="H236"/>
    </sheetView>
  </sheetViews>
  <sheetFormatPr defaultColWidth="9.140625" defaultRowHeight="12.75"/>
  <cols>
    <col min="1" max="1" width="9.140625" style="745"/>
    <col min="2" max="2" width="5.140625" style="143" customWidth="1"/>
    <col min="3" max="3" width="45.5703125" style="745" customWidth="1"/>
    <col min="4" max="4" width="9.140625" style="745"/>
    <col min="5" max="5" width="4.7109375" style="745" customWidth="1"/>
    <col min="6" max="6" width="3.28515625" style="745" customWidth="1"/>
    <col min="7" max="7" width="5" style="745" customWidth="1"/>
    <col min="8" max="8" width="9.5703125" style="745" bestFit="1" customWidth="1"/>
    <col min="9" max="9" width="9.140625" style="745"/>
    <col min="10" max="10" width="9.140625" style="744"/>
    <col min="11" max="16384" width="9.140625" style="745"/>
  </cols>
  <sheetData>
    <row r="1" spans="1:10" ht="18.75">
      <c r="A1" s="1905" t="s">
        <v>2304</v>
      </c>
      <c r="B1" s="1905"/>
      <c r="C1" s="1905"/>
      <c r="D1" s="1905"/>
      <c r="E1" s="1905"/>
      <c r="F1" s="1905"/>
      <c r="G1" s="1905"/>
      <c r="H1" s="1905"/>
      <c r="I1" s="1905"/>
    </row>
    <row r="2" spans="1:10" ht="32.25" customHeight="1">
      <c r="A2" s="995" t="s">
        <v>321</v>
      </c>
      <c r="B2" s="995" t="s">
        <v>23</v>
      </c>
      <c r="C2" s="995" t="s">
        <v>322</v>
      </c>
      <c r="D2" s="1906" t="s">
        <v>6</v>
      </c>
      <c r="E2" s="1906"/>
      <c r="F2" s="1907" t="s">
        <v>383</v>
      </c>
      <c r="G2" s="1907"/>
      <c r="H2" s="996" t="s">
        <v>323</v>
      </c>
      <c r="I2" s="996" t="s">
        <v>324</v>
      </c>
    </row>
    <row r="3" spans="1:10" s="744" customFormat="1" ht="18" customHeight="1">
      <c r="A3" s="995">
        <v>1</v>
      </c>
      <c r="B3" s="995">
        <v>2</v>
      </c>
      <c r="C3" s="995">
        <v>3</v>
      </c>
      <c r="D3" s="1906">
        <v>4</v>
      </c>
      <c r="E3" s="1906"/>
      <c r="F3" s="1908">
        <v>5</v>
      </c>
      <c r="G3" s="1908"/>
      <c r="H3" s="997">
        <v>6</v>
      </c>
      <c r="I3" s="997">
        <v>7</v>
      </c>
    </row>
    <row r="4" spans="1:10" ht="33.75">
      <c r="A4" s="751" t="s">
        <v>1497</v>
      </c>
      <c r="B4" s="671">
        <v>1</v>
      </c>
      <c r="C4" s="753" t="s">
        <v>1506</v>
      </c>
      <c r="D4" s="754"/>
      <c r="E4" s="755"/>
      <c r="F4" s="754"/>
      <c r="G4" s="755"/>
      <c r="H4" s="756"/>
      <c r="I4" s="756"/>
      <c r="J4" s="12" t="s">
        <v>2322</v>
      </c>
    </row>
    <row r="5" spans="1:10">
      <c r="A5" s="746"/>
      <c r="B5" s="671"/>
      <c r="C5" s="753" t="s">
        <v>1498</v>
      </c>
      <c r="D5" s="757"/>
      <c r="E5" s="748"/>
      <c r="F5" s="757"/>
      <c r="G5" s="748"/>
      <c r="H5" s="753"/>
      <c r="I5" s="753"/>
      <c r="J5" s="12" t="s">
        <v>2322</v>
      </c>
    </row>
    <row r="6" spans="1:10">
      <c r="A6" s="746"/>
      <c r="B6" s="671"/>
      <c r="C6" s="758" t="s">
        <v>384</v>
      </c>
      <c r="D6" s="759"/>
      <c r="E6" s="760"/>
      <c r="F6" s="761"/>
      <c r="G6" s="762"/>
      <c r="H6" s="751"/>
      <c r="I6" s="763"/>
      <c r="J6" s="12" t="s">
        <v>2322</v>
      </c>
    </row>
    <row r="7" spans="1:10">
      <c r="A7" s="746"/>
      <c r="B7" s="671"/>
      <c r="C7" s="764" t="s">
        <v>156</v>
      </c>
      <c r="D7" s="747">
        <v>2</v>
      </c>
      <c r="E7" s="765" t="s">
        <v>27</v>
      </c>
      <c r="F7" s="749">
        <v>1</v>
      </c>
      <c r="G7" s="765" t="s">
        <v>27</v>
      </c>
      <c r="H7" s="751">
        <f>'MINI SSR 2022-23 (2)'!$H$16</f>
        <v>700</v>
      </c>
      <c r="I7" s="763">
        <f>SUM(D7*H7/F7)</f>
        <v>1400</v>
      </c>
      <c r="J7" s="12" t="s">
        <v>2322</v>
      </c>
    </row>
    <row r="8" spans="1:10">
      <c r="A8" s="746"/>
      <c r="B8" s="671"/>
      <c r="C8" s="766" t="s">
        <v>1501</v>
      </c>
      <c r="D8" s="747">
        <v>2</v>
      </c>
      <c r="E8" s="765" t="s">
        <v>27</v>
      </c>
      <c r="F8" s="749">
        <v>1</v>
      </c>
      <c r="G8" s="765" t="s">
        <v>27</v>
      </c>
      <c r="H8" s="751">
        <f>'MINI SSR 2022-23 (2)'!$H$17</f>
        <v>570</v>
      </c>
      <c r="I8" s="763">
        <f>SUM(D8*H8/F8)</f>
        <v>1140</v>
      </c>
      <c r="J8" s="12" t="s">
        <v>2322</v>
      </c>
    </row>
    <row r="9" spans="1:10">
      <c r="A9" s="746"/>
      <c r="B9" s="671"/>
      <c r="C9" s="764" t="s">
        <v>1502</v>
      </c>
      <c r="D9" s="747">
        <v>2</v>
      </c>
      <c r="E9" s="765" t="s">
        <v>27</v>
      </c>
      <c r="F9" s="749">
        <v>1</v>
      </c>
      <c r="G9" s="765" t="s">
        <v>27</v>
      </c>
      <c r="H9" s="1026">
        <f>'MINI SSR 2022-23 (2)'!$H$18</f>
        <v>505</v>
      </c>
      <c r="I9" s="763">
        <f>SUM(D9*H9/F9)</f>
        <v>1010</v>
      </c>
      <c r="J9" s="12" t="s">
        <v>2322</v>
      </c>
    </row>
    <row r="10" spans="1:10">
      <c r="A10" s="746"/>
      <c r="B10" s="671"/>
      <c r="C10" s="758" t="s">
        <v>327</v>
      </c>
      <c r="D10" s="747"/>
      <c r="E10" s="750"/>
      <c r="F10" s="767"/>
      <c r="G10" s="750"/>
      <c r="H10" s="751"/>
      <c r="I10" s="768"/>
      <c r="J10" s="12" t="s">
        <v>2322</v>
      </c>
    </row>
    <row r="11" spans="1:10">
      <c r="A11" s="746" t="s">
        <v>1503</v>
      </c>
      <c r="B11" s="671"/>
      <c r="C11" s="753" t="s">
        <v>1499</v>
      </c>
      <c r="D11" s="747">
        <v>12</v>
      </c>
      <c r="E11" s="765" t="s">
        <v>325</v>
      </c>
      <c r="F11" s="749">
        <v>1</v>
      </c>
      <c r="G11" s="765" t="s">
        <v>115</v>
      </c>
      <c r="H11" s="751">
        <f>'MINI SSR 2022-23 (2)'!C100</f>
        <v>26</v>
      </c>
      <c r="I11" s="763">
        <f>SUM(D11*H11/F11)</f>
        <v>312</v>
      </c>
      <c r="J11" s="12" t="s">
        <v>2322</v>
      </c>
    </row>
    <row r="12" spans="1:10">
      <c r="A12" s="746" t="s">
        <v>1504</v>
      </c>
      <c r="B12" s="671"/>
      <c r="C12" s="753" t="s">
        <v>1500</v>
      </c>
      <c r="D12" s="747">
        <v>12</v>
      </c>
      <c r="E12" s="765" t="s">
        <v>325</v>
      </c>
      <c r="F12" s="749">
        <v>1</v>
      </c>
      <c r="G12" s="765" t="s">
        <v>115</v>
      </c>
      <c r="H12" s="751">
        <f>'MINI SSR 2022-23 (2)'!C101</f>
        <v>11</v>
      </c>
      <c r="I12" s="763">
        <f>SUM(D12*H12/F12)</f>
        <v>132</v>
      </c>
      <c r="J12" s="12" t="s">
        <v>2322</v>
      </c>
    </row>
    <row r="13" spans="1:10">
      <c r="A13" s="746" t="s">
        <v>1505</v>
      </c>
      <c r="B13" s="671"/>
      <c r="C13" s="753" t="s">
        <v>1509</v>
      </c>
      <c r="D13" s="747">
        <v>100</v>
      </c>
      <c r="E13" s="765" t="s">
        <v>385</v>
      </c>
      <c r="F13" s="749">
        <v>1</v>
      </c>
      <c r="G13" s="765" t="s">
        <v>385</v>
      </c>
      <c r="H13" s="751">
        <f>'MINI SSR 2022-23 (2)'!C102</f>
        <v>34</v>
      </c>
      <c r="I13" s="763">
        <f>SUM(D13*H13/F13)</f>
        <v>3400</v>
      </c>
      <c r="J13" s="12" t="s">
        <v>2322</v>
      </c>
    </row>
    <row r="14" spans="1:10">
      <c r="A14" s="769"/>
      <c r="B14" s="770"/>
      <c r="C14" s="756" t="s">
        <v>386</v>
      </c>
      <c r="D14" s="747"/>
      <c r="E14" s="765"/>
      <c r="F14" s="749"/>
      <c r="G14" s="765"/>
      <c r="H14" s="751"/>
      <c r="I14" s="768">
        <f>SUM(I7:I13)</f>
        <v>7394</v>
      </c>
      <c r="J14" s="12" t="s">
        <v>2322</v>
      </c>
    </row>
    <row r="15" spans="1:10">
      <c r="A15" s="769"/>
      <c r="B15" s="770"/>
      <c r="C15" s="756" t="s">
        <v>387</v>
      </c>
      <c r="D15" s="771"/>
      <c r="E15" s="765"/>
      <c r="F15" s="749"/>
      <c r="G15" s="765"/>
      <c r="H15" s="772"/>
      <c r="I15" s="768">
        <f>ROUND(I14/100,2)</f>
        <v>73.94</v>
      </c>
      <c r="J15" s="12" t="s">
        <v>2322</v>
      </c>
    </row>
    <row r="16" spans="1:10" s="1028" customFormat="1" ht="33.75">
      <c r="A16" s="1026" t="s">
        <v>1660</v>
      </c>
      <c r="B16" s="1021">
        <v>1</v>
      </c>
      <c r="C16" s="1029" t="s">
        <v>1510</v>
      </c>
      <c r="D16" s="1030"/>
      <c r="E16" s="1031"/>
      <c r="F16" s="1030"/>
      <c r="G16" s="1031"/>
      <c r="H16" s="1032"/>
      <c r="I16" s="1032"/>
      <c r="J16" s="1010" t="s">
        <v>2322</v>
      </c>
    </row>
    <row r="17" spans="1:10" s="1028" customFormat="1">
      <c r="A17" s="1020"/>
      <c r="B17" s="1021"/>
      <c r="C17" s="1029" t="s">
        <v>1498</v>
      </c>
      <c r="D17" s="1033"/>
      <c r="E17" s="1023"/>
      <c r="F17" s="1033"/>
      <c r="G17" s="1023"/>
      <c r="H17" s="1029"/>
      <c r="I17" s="1029"/>
      <c r="J17" s="1010" t="s">
        <v>2322</v>
      </c>
    </row>
    <row r="18" spans="1:10" s="1028" customFormat="1">
      <c r="A18" s="1020"/>
      <c r="B18" s="1021"/>
      <c r="C18" s="1034" t="s">
        <v>384</v>
      </c>
      <c r="D18" s="1035"/>
      <c r="E18" s="1036"/>
      <c r="F18" s="1037"/>
      <c r="G18" s="1038"/>
      <c r="H18" s="1026"/>
      <c r="I18" s="1039"/>
      <c r="J18" s="1010" t="s">
        <v>2322</v>
      </c>
    </row>
    <row r="19" spans="1:10" s="1028" customFormat="1">
      <c r="A19" s="1020"/>
      <c r="B19" s="1021"/>
      <c r="C19" s="1040" t="s">
        <v>156</v>
      </c>
      <c r="D19" s="1022">
        <v>2</v>
      </c>
      <c r="E19" s="1041" t="s">
        <v>27</v>
      </c>
      <c r="F19" s="1024">
        <v>1</v>
      </c>
      <c r="G19" s="1041" t="s">
        <v>27</v>
      </c>
      <c r="H19" s="1026">
        <f>'MINI SSR 2022-23 (2)'!$H$16</f>
        <v>700</v>
      </c>
      <c r="I19" s="1039">
        <f>SUM(D19*H19/F19)</f>
        <v>1400</v>
      </c>
      <c r="J19" s="1010" t="s">
        <v>2322</v>
      </c>
    </row>
    <row r="20" spans="1:10" s="1028" customFormat="1">
      <c r="A20" s="1020"/>
      <c r="B20" s="1021"/>
      <c r="C20" s="1042" t="s">
        <v>1501</v>
      </c>
      <c r="D20" s="1022">
        <v>2</v>
      </c>
      <c r="E20" s="1041" t="s">
        <v>27</v>
      </c>
      <c r="F20" s="1024">
        <v>1</v>
      </c>
      <c r="G20" s="1041" t="s">
        <v>27</v>
      </c>
      <c r="H20" s="1026">
        <f>'MINI SSR 2022-23 (2)'!$H$17</f>
        <v>570</v>
      </c>
      <c r="I20" s="1039">
        <f>SUM(D20*H20/F20)</f>
        <v>1140</v>
      </c>
      <c r="J20" s="1010" t="s">
        <v>2322</v>
      </c>
    </row>
    <row r="21" spans="1:10" s="1028" customFormat="1">
      <c r="A21" s="1020"/>
      <c r="B21" s="1021"/>
      <c r="C21" s="1040" t="s">
        <v>1502</v>
      </c>
      <c r="D21" s="1022">
        <v>2</v>
      </c>
      <c r="E21" s="1041" t="s">
        <v>27</v>
      </c>
      <c r="F21" s="1024">
        <v>1</v>
      </c>
      <c r="G21" s="1041" t="s">
        <v>27</v>
      </c>
      <c r="H21" s="1026">
        <f>'MINI SSR 2022-23 (2)'!$H$18</f>
        <v>505</v>
      </c>
      <c r="I21" s="1039">
        <f>SUM(D21*H21/F21)</f>
        <v>1010</v>
      </c>
      <c r="J21" s="1010" t="s">
        <v>2322</v>
      </c>
    </row>
    <row r="22" spans="1:10" s="1028" customFormat="1">
      <c r="A22" s="1020"/>
      <c r="B22" s="1021"/>
      <c r="C22" s="1040" t="s">
        <v>1508</v>
      </c>
      <c r="D22" s="1022">
        <v>2</v>
      </c>
      <c r="E22" s="1041" t="s">
        <v>27</v>
      </c>
      <c r="F22" s="1024">
        <v>1</v>
      </c>
      <c r="G22" s="1041" t="s">
        <v>27</v>
      </c>
      <c r="H22" s="1026">
        <f>'MINI SSR 2022-23 (2)'!$H$3</f>
        <v>630</v>
      </c>
      <c r="I22" s="1039">
        <f>SUM(D22*H22/F22)</f>
        <v>1260</v>
      </c>
      <c r="J22" s="1010" t="s">
        <v>2322</v>
      </c>
    </row>
    <row r="23" spans="1:10" s="1028" customFormat="1">
      <c r="A23" s="1020"/>
      <c r="B23" s="1021"/>
      <c r="C23" s="1034" t="s">
        <v>327</v>
      </c>
      <c r="D23" s="1022"/>
      <c r="E23" s="1025"/>
      <c r="F23" s="1043"/>
      <c r="G23" s="1025"/>
      <c r="H23" s="1026"/>
      <c r="I23" s="1044"/>
      <c r="J23" s="1010" t="s">
        <v>2322</v>
      </c>
    </row>
    <row r="24" spans="1:10" s="1028" customFormat="1">
      <c r="A24" s="1020" t="s">
        <v>1505</v>
      </c>
      <c r="B24" s="1021"/>
      <c r="C24" s="1087" t="s">
        <v>1509</v>
      </c>
      <c r="D24" s="1022">
        <v>100</v>
      </c>
      <c r="E24" s="1041" t="s">
        <v>325</v>
      </c>
      <c r="F24" s="1024">
        <v>1</v>
      </c>
      <c r="G24" s="1041" t="s">
        <v>115</v>
      </c>
      <c r="H24" s="1026">
        <f>'MINI SSR 2022-23 (2)'!C102</f>
        <v>34</v>
      </c>
      <c r="I24" s="1039">
        <f>SUM(D24*H24/F24)</f>
        <v>3400</v>
      </c>
      <c r="J24" s="1010" t="s">
        <v>2322</v>
      </c>
    </row>
    <row r="25" spans="1:10" s="1028" customFormat="1">
      <c r="A25" s="1020" t="s">
        <v>1511</v>
      </c>
      <c r="B25" s="1021"/>
      <c r="C25" s="1088" t="s">
        <v>1507</v>
      </c>
      <c r="D25" s="1022">
        <v>200</v>
      </c>
      <c r="E25" s="1041" t="s">
        <v>325</v>
      </c>
      <c r="F25" s="1024">
        <v>100</v>
      </c>
      <c r="G25" s="1041" t="s">
        <v>115</v>
      </c>
      <c r="H25" s="1026">
        <f>'MINI SSR 2022-23 (2)'!C103</f>
        <v>36</v>
      </c>
      <c r="I25" s="1039">
        <f>SUM(D25*H25/F25)</f>
        <v>72</v>
      </c>
      <c r="J25" s="1010" t="s">
        <v>2322</v>
      </c>
    </row>
    <row r="26" spans="1:10" s="1028" customFormat="1">
      <c r="A26" s="1020" t="s">
        <v>1503</v>
      </c>
      <c r="B26" s="1021"/>
      <c r="C26" s="1029" t="s">
        <v>1499</v>
      </c>
      <c r="D26" s="1022">
        <v>12</v>
      </c>
      <c r="E26" s="1041" t="s">
        <v>325</v>
      </c>
      <c r="F26" s="1024">
        <v>1</v>
      </c>
      <c r="G26" s="1041" t="s">
        <v>115</v>
      </c>
      <c r="H26" s="1026">
        <f>'MINI SSR 2022-23 (2)'!C100</f>
        <v>26</v>
      </c>
      <c r="I26" s="1039">
        <f>SUM(D26*H26/F26)</f>
        <v>312</v>
      </c>
      <c r="J26" s="1010" t="s">
        <v>2322</v>
      </c>
    </row>
    <row r="27" spans="1:10" s="1028" customFormat="1">
      <c r="A27" s="1020" t="s">
        <v>1504</v>
      </c>
      <c r="B27" s="1021"/>
      <c r="C27" s="1029" t="s">
        <v>1500</v>
      </c>
      <c r="D27" s="1022">
        <v>12</v>
      </c>
      <c r="E27" s="1041" t="s">
        <v>325</v>
      </c>
      <c r="F27" s="1024">
        <v>1</v>
      </c>
      <c r="G27" s="1041" t="s">
        <v>115</v>
      </c>
      <c r="H27" s="1026">
        <f>'MINI SSR 2022-23 (2)'!C101</f>
        <v>11</v>
      </c>
      <c r="I27" s="1039">
        <f>SUM(D27*H27/F27)</f>
        <v>132</v>
      </c>
      <c r="J27" s="1010" t="s">
        <v>2322</v>
      </c>
    </row>
    <row r="28" spans="1:10" s="1028" customFormat="1">
      <c r="A28" s="1020"/>
      <c r="B28" s="1021"/>
      <c r="C28" s="1087" t="s">
        <v>847</v>
      </c>
      <c r="D28" s="1022">
        <v>50</v>
      </c>
      <c r="E28" s="1041" t="s">
        <v>4</v>
      </c>
      <c r="F28" s="1024">
        <v>1</v>
      </c>
      <c r="G28" s="1041" t="s">
        <v>4</v>
      </c>
      <c r="H28" s="1026">
        <f>'lead 22-23 P-B'!L8/1000</f>
        <v>4.7</v>
      </c>
      <c r="I28" s="1039">
        <f>SUM(D28*H28/F28)</f>
        <v>235</v>
      </c>
      <c r="J28" s="1010" t="s">
        <v>2322</v>
      </c>
    </row>
    <row r="29" spans="1:10" s="1028" customFormat="1">
      <c r="A29" s="1045"/>
      <c r="B29" s="1046"/>
      <c r="C29" s="1032" t="s">
        <v>386</v>
      </c>
      <c r="D29" s="1022"/>
      <c r="E29" s="1041"/>
      <c r="F29" s="1024"/>
      <c r="G29" s="1041"/>
      <c r="H29" s="1026"/>
      <c r="I29" s="1044">
        <f>SUM(I19:I28)</f>
        <v>8961</v>
      </c>
      <c r="J29" s="1010" t="s">
        <v>2322</v>
      </c>
    </row>
    <row r="30" spans="1:10" s="1028" customFormat="1">
      <c r="A30" s="1045"/>
      <c r="B30" s="1046"/>
      <c r="C30" s="1032" t="s">
        <v>387</v>
      </c>
      <c r="D30" s="1047"/>
      <c r="E30" s="1041"/>
      <c r="F30" s="1024"/>
      <c r="G30" s="1041"/>
      <c r="H30" s="1048"/>
      <c r="I30" s="1044">
        <f>ROUND(I29/100,2)</f>
        <v>89.61</v>
      </c>
      <c r="J30" s="1010" t="s">
        <v>2322</v>
      </c>
    </row>
    <row r="31" spans="1:10">
      <c r="A31" s="769"/>
      <c r="B31" s="770"/>
      <c r="C31" s="758"/>
      <c r="D31" s="773"/>
      <c r="E31" s="774"/>
      <c r="F31" s="773"/>
      <c r="G31" s="774"/>
      <c r="H31" s="775"/>
      <c r="I31" s="775"/>
      <c r="J31" s="12" t="s">
        <v>2322</v>
      </c>
    </row>
    <row r="32" spans="1:10">
      <c r="A32" s="769"/>
      <c r="B32" s="770">
        <v>3</v>
      </c>
      <c r="C32" s="753" t="s">
        <v>389</v>
      </c>
      <c r="D32" s="754"/>
      <c r="E32" s="755"/>
      <c r="F32" s="754"/>
      <c r="G32" s="755"/>
      <c r="H32" s="756"/>
      <c r="I32" s="756"/>
      <c r="J32" s="12" t="s">
        <v>2322</v>
      </c>
    </row>
    <row r="33" spans="1:10">
      <c r="A33" s="769"/>
      <c r="B33" s="770"/>
      <c r="C33" s="764" t="s">
        <v>390</v>
      </c>
      <c r="D33" s="747">
        <v>1</v>
      </c>
      <c r="E33" s="765" t="s">
        <v>277</v>
      </c>
      <c r="F33" s="749">
        <v>1</v>
      </c>
      <c r="G33" s="765" t="s">
        <v>277</v>
      </c>
      <c r="H33" s="751">
        <f>'MINI SSR 2022-23 (2)'!C104</f>
        <v>64</v>
      </c>
      <c r="I33" s="763">
        <f>SUM(D33*H33/F33)</f>
        <v>64</v>
      </c>
      <c r="J33" s="12" t="s">
        <v>2322</v>
      </c>
    </row>
    <row r="34" spans="1:10">
      <c r="A34" s="769"/>
      <c r="B34" s="770"/>
      <c r="C34" s="766"/>
      <c r="D34" s="747"/>
      <c r="E34" s="765"/>
      <c r="F34" s="749"/>
      <c r="G34" s="765"/>
      <c r="H34" s="751"/>
      <c r="I34" s="763">
        <f>SUM(I33)</f>
        <v>64</v>
      </c>
      <c r="J34" s="12" t="s">
        <v>2322</v>
      </c>
    </row>
    <row r="35" spans="1:10" s="1028" customFormat="1" ht="22.5">
      <c r="A35" s="1045"/>
      <c r="B35" s="1046">
        <v>2</v>
      </c>
      <c r="C35" s="1029" t="s">
        <v>427</v>
      </c>
      <c r="D35" s="1030"/>
      <c r="E35" s="1031"/>
      <c r="F35" s="1030"/>
      <c r="G35" s="1031"/>
      <c r="H35" s="1032"/>
      <c r="I35" s="1032"/>
      <c r="J35" s="1010" t="s">
        <v>2322</v>
      </c>
    </row>
    <row r="36" spans="1:10" s="1028" customFormat="1">
      <c r="A36" s="1045"/>
      <c r="B36" s="1046"/>
      <c r="C36" s="1040" t="s">
        <v>433</v>
      </c>
      <c r="D36" s="1022">
        <v>1</v>
      </c>
      <c r="E36" s="1041" t="s">
        <v>325</v>
      </c>
      <c r="F36" s="1024">
        <v>1</v>
      </c>
      <c r="G36" s="1041" t="s">
        <v>325</v>
      </c>
      <c r="H36" s="1026">
        <f>'MINI SSR 2022-23 (2)'!C106</f>
        <v>245</v>
      </c>
      <c r="I36" s="1039">
        <f>SUM(D36*H36/F36)</f>
        <v>245</v>
      </c>
      <c r="J36" s="1010" t="s">
        <v>2322</v>
      </c>
    </row>
    <row r="37" spans="1:10" s="1028" customFormat="1">
      <c r="A37" s="1045"/>
      <c r="B37" s="1046"/>
      <c r="C37" s="1042"/>
      <c r="D37" s="1022"/>
      <c r="E37" s="1041"/>
      <c r="F37" s="1024"/>
      <c r="G37" s="1041"/>
      <c r="H37" s="1026"/>
      <c r="I37" s="1039">
        <f>SUM(I36)</f>
        <v>245</v>
      </c>
      <c r="J37" s="1010" t="s">
        <v>2322</v>
      </c>
    </row>
    <row r="38" spans="1:10" s="1028" customFormat="1" ht="22.5">
      <c r="A38" s="1045"/>
      <c r="B38" s="1046">
        <v>3</v>
      </c>
      <c r="C38" s="1029" t="s">
        <v>610</v>
      </c>
      <c r="D38" s="1030"/>
      <c r="E38" s="1031"/>
      <c r="F38" s="1030"/>
      <c r="G38" s="1031"/>
      <c r="H38" s="1032"/>
      <c r="I38" s="1032"/>
      <c r="J38" s="1010" t="s">
        <v>2322</v>
      </c>
    </row>
    <row r="39" spans="1:10" s="1028" customFormat="1">
      <c r="A39" s="1045"/>
      <c r="B39" s="1046"/>
      <c r="C39" s="1040" t="s">
        <v>611</v>
      </c>
      <c r="D39" s="1022">
        <v>1</v>
      </c>
      <c r="E39" s="1041" t="s">
        <v>325</v>
      </c>
      <c r="F39" s="1024">
        <v>1</v>
      </c>
      <c r="G39" s="1041" t="s">
        <v>325</v>
      </c>
      <c r="H39" s="1026">
        <f>'MINI SSR 2022-23 (2)'!C107</f>
        <v>203</v>
      </c>
      <c r="I39" s="1039">
        <f>SUM(D39*H39/F39)</f>
        <v>203</v>
      </c>
      <c r="J39" s="1010" t="s">
        <v>2322</v>
      </c>
    </row>
    <row r="40" spans="1:10" s="1028" customFormat="1">
      <c r="A40" s="1045"/>
      <c r="B40" s="1046"/>
      <c r="C40" s="1042"/>
      <c r="D40" s="1022"/>
      <c r="E40" s="1041"/>
      <c r="F40" s="1024"/>
      <c r="G40" s="1041"/>
      <c r="H40" s="1026"/>
      <c r="I40" s="1039">
        <f>SUM(I39)</f>
        <v>203</v>
      </c>
      <c r="J40" s="1010" t="s">
        <v>2322</v>
      </c>
    </row>
    <row r="41" spans="1:10" ht="22.5">
      <c r="A41" s="769"/>
      <c r="B41" s="770">
        <v>3</v>
      </c>
      <c r="C41" s="753" t="s">
        <v>690</v>
      </c>
      <c r="D41" s="754"/>
      <c r="E41" s="755"/>
      <c r="F41" s="754"/>
      <c r="G41" s="755"/>
      <c r="H41" s="756"/>
      <c r="I41" s="756"/>
      <c r="J41" s="12" t="s">
        <v>2322</v>
      </c>
    </row>
    <row r="42" spans="1:10">
      <c r="A42" s="769"/>
      <c r="B42" s="770"/>
      <c r="C42" s="764" t="s">
        <v>691</v>
      </c>
      <c r="D42" s="747">
        <v>1</v>
      </c>
      <c r="E42" s="765" t="s">
        <v>325</v>
      </c>
      <c r="F42" s="749">
        <v>1</v>
      </c>
      <c r="G42" s="765" t="s">
        <v>325</v>
      </c>
      <c r="H42" s="751">
        <f>'MINI SSR 2022-23 (2)'!C108</f>
        <v>155</v>
      </c>
      <c r="I42" s="763">
        <f>SUM(D42*H42/F42)</f>
        <v>155</v>
      </c>
      <c r="J42" s="12" t="s">
        <v>2322</v>
      </c>
    </row>
    <row r="43" spans="1:10">
      <c r="A43" s="769"/>
      <c r="B43" s="770"/>
      <c r="C43" s="766"/>
      <c r="D43" s="747"/>
      <c r="E43" s="765"/>
      <c r="F43" s="749"/>
      <c r="G43" s="765"/>
      <c r="H43" s="751"/>
      <c r="I43" s="763">
        <f>SUM(I42)</f>
        <v>155</v>
      </c>
      <c r="J43" s="12" t="s">
        <v>2322</v>
      </c>
    </row>
    <row r="44" spans="1:10" ht="22.5">
      <c r="A44" s="769"/>
      <c r="B44" s="770">
        <v>4</v>
      </c>
      <c r="C44" s="753" t="s">
        <v>790</v>
      </c>
      <c r="D44" s="754"/>
      <c r="E44" s="755"/>
      <c r="F44" s="754"/>
      <c r="G44" s="755"/>
      <c r="H44" s="756"/>
      <c r="I44" s="756"/>
      <c r="J44" s="12" t="s">
        <v>2322</v>
      </c>
    </row>
    <row r="45" spans="1:10">
      <c r="A45" s="769"/>
      <c r="B45" s="770"/>
      <c r="C45" s="764" t="s">
        <v>791</v>
      </c>
      <c r="D45" s="747">
        <v>1</v>
      </c>
      <c r="E45" s="765" t="s">
        <v>325</v>
      </c>
      <c r="F45" s="749">
        <v>1</v>
      </c>
      <c r="G45" s="765" t="s">
        <v>325</v>
      </c>
      <c r="H45" s="751">
        <f>'MINI SSR 2022-23 (2)'!C109</f>
        <v>114</v>
      </c>
      <c r="I45" s="763">
        <f>SUM(D45*H45/F45)</f>
        <v>114</v>
      </c>
      <c r="J45" s="12" t="s">
        <v>2322</v>
      </c>
    </row>
    <row r="46" spans="1:10">
      <c r="A46" s="769"/>
      <c r="B46" s="770"/>
      <c r="C46" s="766"/>
      <c r="D46" s="747"/>
      <c r="E46" s="765"/>
      <c r="F46" s="749"/>
      <c r="G46" s="765"/>
      <c r="H46" s="751"/>
      <c r="I46" s="763">
        <f>SUM(I45)</f>
        <v>114</v>
      </c>
      <c r="J46" s="12" t="s">
        <v>2322</v>
      </c>
    </row>
    <row r="47" spans="1:10" ht="22.5">
      <c r="A47" s="769"/>
      <c r="B47" s="770">
        <v>8</v>
      </c>
      <c r="C47" s="753" t="s">
        <v>612</v>
      </c>
      <c r="D47" s="754"/>
      <c r="E47" s="755"/>
      <c r="F47" s="754"/>
      <c r="G47" s="755"/>
      <c r="H47" s="756"/>
      <c r="I47" s="756"/>
      <c r="J47" s="12" t="s">
        <v>2322</v>
      </c>
    </row>
    <row r="48" spans="1:10">
      <c r="A48" s="769"/>
      <c r="B48" s="770"/>
      <c r="C48" s="764" t="s">
        <v>614</v>
      </c>
      <c r="D48" s="747">
        <v>1</v>
      </c>
      <c r="E48" s="765" t="s">
        <v>325</v>
      </c>
      <c r="F48" s="749">
        <v>1</v>
      </c>
      <c r="G48" s="765" t="s">
        <v>325</v>
      </c>
      <c r="H48" s="751">
        <f>H36</f>
        <v>245</v>
      </c>
      <c r="I48" s="763">
        <f>SUM(D48*H48/F48)</f>
        <v>245</v>
      </c>
      <c r="J48" s="12" t="s">
        <v>2322</v>
      </c>
    </row>
    <row r="49" spans="1:10">
      <c r="A49" s="769"/>
      <c r="B49" s="770"/>
      <c r="C49" s="764" t="s">
        <v>613</v>
      </c>
      <c r="D49" s="747">
        <v>1</v>
      </c>
      <c r="E49" s="765" t="s">
        <v>325</v>
      </c>
      <c r="F49" s="749">
        <v>1</v>
      </c>
      <c r="G49" s="765" t="s">
        <v>325</v>
      </c>
      <c r="H49" s="751">
        <f>H42</f>
        <v>155</v>
      </c>
      <c r="I49" s="763">
        <f>SUM(D49*H49/F49)</f>
        <v>155</v>
      </c>
      <c r="J49" s="12" t="s">
        <v>2322</v>
      </c>
    </row>
    <row r="50" spans="1:10">
      <c r="A50" s="769"/>
      <c r="B50" s="770"/>
      <c r="C50" s="766"/>
      <c r="D50" s="747"/>
      <c r="E50" s="765"/>
      <c r="F50" s="749"/>
      <c r="G50" s="765"/>
      <c r="H50" s="751"/>
      <c r="I50" s="763">
        <f>SUM(I48:I49)</f>
        <v>400</v>
      </c>
      <c r="J50" s="12" t="s">
        <v>2322</v>
      </c>
    </row>
    <row r="51" spans="1:10" ht="22.5">
      <c r="A51" s="769"/>
      <c r="B51" s="770">
        <v>9</v>
      </c>
      <c r="C51" s="753" t="s">
        <v>1512</v>
      </c>
      <c r="D51" s="754"/>
      <c r="E51" s="755"/>
      <c r="F51" s="754"/>
      <c r="G51" s="755"/>
      <c r="H51" s="756"/>
      <c r="I51" s="756"/>
      <c r="J51" s="12" t="s">
        <v>2322</v>
      </c>
    </row>
    <row r="52" spans="1:10">
      <c r="A52" s="769"/>
      <c r="B52" s="770"/>
      <c r="C52" s="764" t="s">
        <v>614</v>
      </c>
      <c r="D52" s="747">
        <v>1</v>
      </c>
      <c r="E52" s="765" t="s">
        <v>325</v>
      </c>
      <c r="F52" s="749">
        <v>1</v>
      </c>
      <c r="G52" s="765" t="s">
        <v>325</v>
      </c>
      <c r="H52" s="751">
        <f>H36</f>
        <v>245</v>
      </c>
      <c r="I52" s="763">
        <f>SUM(D52*H52/F52)</f>
        <v>245</v>
      </c>
      <c r="J52" s="12" t="s">
        <v>2322</v>
      </c>
    </row>
    <row r="53" spans="1:10">
      <c r="A53" s="769"/>
      <c r="B53" s="770"/>
      <c r="C53" s="764" t="s">
        <v>1513</v>
      </c>
      <c r="D53" s="747">
        <v>1</v>
      </c>
      <c r="E53" s="765" t="s">
        <v>325</v>
      </c>
      <c r="F53" s="749">
        <v>1</v>
      </c>
      <c r="G53" s="765" t="s">
        <v>325</v>
      </c>
      <c r="H53" s="751">
        <f>'MINI SSR 2022-23 (2)'!C109</f>
        <v>114</v>
      </c>
      <c r="I53" s="763">
        <f>SUM(D53*H53/F53)</f>
        <v>114</v>
      </c>
      <c r="J53" s="12" t="s">
        <v>2322</v>
      </c>
    </row>
    <row r="54" spans="1:10">
      <c r="A54" s="769"/>
      <c r="B54" s="770"/>
      <c r="C54" s="766"/>
      <c r="D54" s="747"/>
      <c r="E54" s="765"/>
      <c r="F54" s="749"/>
      <c r="G54" s="765"/>
      <c r="H54" s="751"/>
      <c r="I54" s="763">
        <f>SUM(I52:I53)</f>
        <v>359</v>
      </c>
      <c r="J54" s="12" t="s">
        <v>2322</v>
      </c>
    </row>
    <row r="55" spans="1:10" ht="22.5">
      <c r="A55" s="769"/>
      <c r="B55" s="770">
        <v>5</v>
      </c>
      <c r="C55" s="753" t="s">
        <v>428</v>
      </c>
      <c r="D55" s="754"/>
      <c r="E55" s="755"/>
      <c r="F55" s="754"/>
      <c r="G55" s="755"/>
      <c r="H55" s="756"/>
      <c r="I55" s="756"/>
      <c r="J55" s="12" t="s">
        <v>2322</v>
      </c>
    </row>
    <row r="56" spans="1:10">
      <c r="A56" s="769"/>
      <c r="B56" s="770"/>
      <c r="C56" s="764" t="s">
        <v>434</v>
      </c>
      <c r="D56" s="747">
        <v>1</v>
      </c>
      <c r="E56" s="765" t="s">
        <v>325</v>
      </c>
      <c r="F56" s="749">
        <v>1</v>
      </c>
      <c r="G56" s="765" t="s">
        <v>325</v>
      </c>
      <c r="H56" s="751">
        <f>'MINI SSR 2022-23 (2)'!C112</f>
        <v>68</v>
      </c>
      <c r="I56" s="763">
        <f>SUM(D56*H56/F56)</f>
        <v>68</v>
      </c>
      <c r="J56" s="12" t="s">
        <v>2322</v>
      </c>
    </row>
    <row r="57" spans="1:10">
      <c r="A57" s="769"/>
      <c r="B57" s="770"/>
      <c r="C57" s="766"/>
      <c r="D57" s="747"/>
      <c r="E57" s="765"/>
      <c r="F57" s="749"/>
      <c r="G57" s="765"/>
      <c r="H57" s="751"/>
      <c r="I57" s="763">
        <f>SUM(I56)</f>
        <v>68</v>
      </c>
      <c r="J57" s="12" t="s">
        <v>2322</v>
      </c>
    </row>
    <row r="58" spans="1:10" s="1028" customFormat="1">
      <c r="A58" s="1045"/>
      <c r="B58" s="1046">
        <v>4</v>
      </c>
      <c r="C58" s="1029" t="s">
        <v>437</v>
      </c>
      <c r="D58" s="1030"/>
      <c r="E58" s="1031"/>
      <c r="F58" s="1030"/>
      <c r="G58" s="1031"/>
      <c r="H58" s="1032"/>
      <c r="I58" s="1032"/>
      <c r="J58" s="1010" t="s">
        <v>2322</v>
      </c>
    </row>
    <row r="59" spans="1:10" s="1028" customFormat="1">
      <c r="A59" s="1045"/>
      <c r="B59" s="1046"/>
      <c r="C59" s="1040" t="s">
        <v>438</v>
      </c>
      <c r="D59" s="1022">
        <v>1</v>
      </c>
      <c r="E59" s="1041" t="s">
        <v>325</v>
      </c>
      <c r="F59" s="1024">
        <v>1</v>
      </c>
      <c r="G59" s="1041" t="s">
        <v>325</v>
      </c>
      <c r="H59" s="1026">
        <f>'MINI SSR 2022-23 (2)'!E106</f>
        <v>209</v>
      </c>
      <c r="I59" s="1039">
        <f>SUM(D59*H59/F59)</f>
        <v>209</v>
      </c>
      <c r="J59" s="1010" t="s">
        <v>2322</v>
      </c>
    </row>
    <row r="60" spans="1:10" s="1028" customFormat="1">
      <c r="A60" s="1045"/>
      <c r="B60" s="1046"/>
      <c r="C60" s="1042"/>
      <c r="D60" s="1022"/>
      <c r="E60" s="1041"/>
      <c r="F60" s="1024"/>
      <c r="G60" s="1041"/>
      <c r="H60" s="1026"/>
      <c r="I60" s="1039">
        <f>SUM(I59)</f>
        <v>209</v>
      </c>
      <c r="J60" s="1010" t="s">
        <v>2322</v>
      </c>
    </row>
    <row r="61" spans="1:10" s="1028" customFormat="1">
      <c r="A61" s="1045"/>
      <c r="B61" s="1046">
        <v>5</v>
      </c>
      <c r="C61" s="1029" t="s">
        <v>615</v>
      </c>
      <c r="D61" s="1030"/>
      <c r="E61" s="1031"/>
      <c r="F61" s="1030"/>
      <c r="G61" s="1031"/>
      <c r="H61" s="1032"/>
      <c r="I61" s="1032"/>
      <c r="J61" s="1010" t="s">
        <v>2322</v>
      </c>
    </row>
    <row r="62" spans="1:10" s="1028" customFormat="1">
      <c r="A62" s="1045"/>
      <c r="B62" s="1046"/>
      <c r="C62" s="1040" t="s">
        <v>616</v>
      </c>
      <c r="D62" s="1022">
        <v>1</v>
      </c>
      <c r="E62" s="1041" t="s">
        <v>325</v>
      </c>
      <c r="F62" s="1024">
        <v>1</v>
      </c>
      <c r="G62" s="1041" t="s">
        <v>325</v>
      </c>
      <c r="H62" s="1026">
        <f>'MINI SSR 2022-23 (2)'!E107</f>
        <v>171</v>
      </c>
      <c r="I62" s="1039">
        <f>SUM(D62*H62/F62)</f>
        <v>171</v>
      </c>
      <c r="J62" s="1010" t="s">
        <v>2322</v>
      </c>
    </row>
    <row r="63" spans="1:10" s="1028" customFormat="1">
      <c r="A63" s="1045"/>
      <c r="B63" s="1046"/>
      <c r="C63" s="1042"/>
      <c r="D63" s="1022"/>
      <c r="E63" s="1041"/>
      <c r="F63" s="1024"/>
      <c r="G63" s="1041"/>
      <c r="H63" s="1026"/>
      <c r="I63" s="1039">
        <f>SUM(I62)</f>
        <v>171</v>
      </c>
      <c r="J63" s="1010" t="s">
        <v>2322</v>
      </c>
    </row>
    <row r="64" spans="1:10">
      <c r="A64" s="769"/>
      <c r="B64" s="770">
        <v>8</v>
      </c>
      <c r="C64" s="753" t="s">
        <v>694</v>
      </c>
      <c r="D64" s="754"/>
      <c r="E64" s="755"/>
      <c r="F64" s="754"/>
      <c r="G64" s="755"/>
      <c r="H64" s="756"/>
      <c r="I64" s="756"/>
      <c r="J64" s="12" t="s">
        <v>2322</v>
      </c>
    </row>
    <row r="65" spans="1:10">
      <c r="A65" s="769"/>
      <c r="B65" s="770"/>
      <c r="C65" s="764" t="s">
        <v>619</v>
      </c>
      <c r="D65" s="747">
        <v>1</v>
      </c>
      <c r="E65" s="765" t="s">
        <v>325</v>
      </c>
      <c r="F65" s="749">
        <v>1</v>
      </c>
      <c r="G65" s="765" t="s">
        <v>325</v>
      </c>
      <c r="H65" s="751">
        <f>'MINI SSR 2022-23 (2)'!E108</f>
        <v>132</v>
      </c>
      <c r="I65" s="763">
        <f>SUM(D65*H65/F65)</f>
        <v>132</v>
      </c>
      <c r="J65" s="12" t="s">
        <v>2322</v>
      </c>
    </row>
    <row r="66" spans="1:10">
      <c r="A66" s="769"/>
      <c r="B66" s="770"/>
      <c r="C66" s="766"/>
      <c r="D66" s="747"/>
      <c r="E66" s="765"/>
      <c r="F66" s="749"/>
      <c r="G66" s="765"/>
      <c r="H66" s="751"/>
      <c r="I66" s="763">
        <f>SUM(I65)</f>
        <v>132</v>
      </c>
      <c r="J66" s="12" t="s">
        <v>2322</v>
      </c>
    </row>
    <row r="67" spans="1:10">
      <c r="A67" s="769"/>
      <c r="B67" s="770">
        <v>9</v>
      </c>
      <c r="C67" s="753" t="s">
        <v>792</v>
      </c>
      <c r="D67" s="754"/>
      <c r="E67" s="755"/>
      <c r="F67" s="754"/>
      <c r="G67" s="755"/>
      <c r="H67" s="756"/>
      <c r="I67" s="756"/>
      <c r="J67" s="12" t="s">
        <v>2322</v>
      </c>
    </row>
    <row r="68" spans="1:10">
      <c r="A68" s="769"/>
      <c r="B68" s="770"/>
      <c r="C68" s="764" t="s">
        <v>793</v>
      </c>
      <c r="D68" s="747">
        <v>1</v>
      </c>
      <c r="E68" s="765" t="s">
        <v>325</v>
      </c>
      <c r="F68" s="749">
        <v>1</v>
      </c>
      <c r="G68" s="765" t="s">
        <v>325</v>
      </c>
      <c r="H68" s="751">
        <f>'MINI SSR 2022-23 (2)'!E109</f>
        <v>88</v>
      </c>
      <c r="I68" s="763">
        <f>SUM(D68*H68/F68)</f>
        <v>88</v>
      </c>
      <c r="J68" s="12" t="s">
        <v>2322</v>
      </c>
    </row>
    <row r="69" spans="1:10">
      <c r="A69" s="769"/>
      <c r="B69" s="770"/>
      <c r="C69" s="766"/>
      <c r="D69" s="747"/>
      <c r="E69" s="765"/>
      <c r="F69" s="749"/>
      <c r="G69" s="765"/>
      <c r="H69" s="751"/>
      <c r="I69" s="763">
        <f>SUM(I68)</f>
        <v>88</v>
      </c>
      <c r="J69" s="12" t="s">
        <v>2322</v>
      </c>
    </row>
    <row r="70" spans="1:10">
      <c r="A70" s="769"/>
      <c r="B70" s="770">
        <v>15</v>
      </c>
      <c r="C70" s="753" t="s">
        <v>617</v>
      </c>
      <c r="D70" s="754"/>
      <c r="E70" s="755"/>
      <c r="F70" s="754"/>
      <c r="G70" s="755"/>
      <c r="H70" s="756"/>
      <c r="I70" s="756"/>
      <c r="J70" s="12" t="s">
        <v>2322</v>
      </c>
    </row>
    <row r="71" spans="1:10">
      <c r="A71" s="769"/>
      <c r="B71" s="770"/>
      <c r="C71" s="764" t="s">
        <v>618</v>
      </c>
      <c r="D71" s="747">
        <v>1</v>
      </c>
      <c r="E71" s="765" t="s">
        <v>325</v>
      </c>
      <c r="F71" s="749">
        <v>1</v>
      </c>
      <c r="G71" s="765" t="s">
        <v>325</v>
      </c>
      <c r="H71" s="751">
        <f>'MINI SSR 2022-23 (2)'!E106</f>
        <v>209</v>
      </c>
      <c r="I71" s="763">
        <f>SUM(D71*H71/F71)</f>
        <v>209</v>
      </c>
      <c r="J71" s="12" t="s">
        <v>2322</v>
      </c>
    </row>
    <row r="72" spans="1:10">
      <c r="A72" s="769"/>
      <c r="B72" s="770"/>
      <c r="C72" s="764" t="s">
        <v>619</v>
      </c>
      <c r="D72" s="747">
        <v>1</v>
      </c>
      <c r="E72" s="765" t="s">
        <v>325</v>
      </c>
      <c r="F72" s="749">
        <v>1</v>
      </c>
      <c r="G72" s="765" t="s">
        <v>325</v>
      </c>
      <c r="H72" s="751">
        <f>'MINI SSR 2022-23 (2)'!E108</f>
        <v>132</v>
      </c>
      <c r="I72" s="763">
        <f>SUM(D72*H72/F72)</f>
        <v>132</v>
      </c>
      <c r="J72" s="12" t="s">
        <v>2322</v>
      </c>
    </row>
    <row r="73" spans="1:10">
      <c r="A73" s="769"/>
      <c r="B73" s="770"/>
      <c r="C73" s="766"/>
      <c r="D73" s="747"/>
      <c r="E73" s="765"/>
      <c r="F73" s="749"/>
      <c r="G73" s="765"/>
      <c r="H73" s="751"/>
      <c r="I73" s="763">
        <f>SUM(I71:I72)</f>
        <v>341</v>
      </c>
      <c r="J73" s="12" t="s">
        <v>2322</v>
      </c>
    </row>
    <row r="74" spans="1:10">
      <c r="A74" s="769"/>
      <c r="B74" s="770">
        <v>10</v>
      </c>
      <c r="C74" s="753" t="s">
        <v>439</v>
      </c>
      <c r="D74" s="754"/>
      <c r="E74" s="755"/>
      <c r="F74" s="754"/>
      <c r="G74" s="755"/>
      <c r="H74" s="756"/>
      <c r="I74" s="756"/>
      <c r="J74" s="12" t="s">
        <v>2322</v>
      </c>
    </row>
    <row r="75" spans="1:10">
      <c r="A75" s="769"/>
      <c r="B75" s="770"/>
      <c r="C75" s="764" t="s">
        <v>440</v>
      </c>
      <c r="D75" s="747">
        <v>1</v>
      </c>
      <c r="E75" s="765" t="s">
        <v>325</v>
      </c>
      <c r="F75" s="749">
        <v>1</v>
      </c>
      <c r="G75" s="765" t="s">
        <v>325</v>
      </c>
      <c r="H75" s="751">
        <f>'MINI SSR 2022-23 (2)'!E112</f>
        <v>66</v>
      </c>
      <c r="I75" s="763">
        <f>SUM(D75*H75/F75)</f>
        <v>66</v>
      </c>
      <c r="J75" s="12" t="s">
        <v>2322</v>
      </c>
    </row>
    <row r="76" spans="1:10">
      <c r="A76" s="769"/>
      <c r="B76" s="770"/>
      <c r="C76" s="766"/>
      <c r="D76" s="747"/>
      <c r="E76" s="765"/>
      <c r="F76" s="749"/>
      <c r="G76" s="765"/>
      <c r="H76" s="751"/>
      <c r="I76" s="763">
        <f>SUM(I75)</f>
        <v>66</v>
      </c>
      <c r="J76" s="12" t="s">
        <v>2322</v>
      </c>
    </row>
    <row r="77" spans="1:10">
      <c r="A77" s="769"/>
      <c r="B77" s="770"/>
      <c r="C77" s="769"/>
      <c r="D77" s="773"/>
      <c r="E77" s="774"/>
      <c r="F77" s="773"/>
      <c r="G77" s="774"/>
      <c r="H77" s="769"/>
      <c r="I77" s="769"/>
      <c r="J77" s="12" t="s">
        <v>2322</v>
      </c>
    </row>
    <row r="78" spans="1:10">
      <c r="A78" s="769"/>
      <c r="B78" s="770">
        <v>5</v>
      </c>
      <c r="C78" s="753" t="s">
        <v>624</v>
      </c>
      <c r="D78" s="754"/>
      <c r="E78" s="755"/>
      <c r="F78" s="754"/>
      <c r="G78" s="755"/>
      <c r="H78" s="756"/>
      <c r="I78" s="756"/>
      <c r="J78" s="12" t="s">
        <v>2322</v>
      </c>
    </row>
    <row r="79" spans="1:10">
      <c r="A79" s="769"/>
      <c r="B79" s="770"/>
      <c r="C79" s="764" t="s">
        <v>625</v>
      </c>
      <c r="D79" s="747">
        <v>1</v>
      </c>
      <c r="E79" s="765" t="s">
        <v>325</v>
      </c>
      <c r="F79" s="749">
        <v>1</v>
      </c>
      <c r="G79" s="765" t="s">
        <v>325</v>
      </c>
      <c r="H79" s="751">
        <f>'MINI SSR 2022-23 (2)'!C114</f>
        <v>21</v>
      </c>
      <c r="I79" s="763">
        <f>SUM(D79*H79/F79)</f>
        <v>21</v>
      </c>
      <c r="J79" s="12" t="s">
        <v>2322</v>
      </c>
    </row>
    <row r="80" spans="1:10">
      <c r="A80" s="769"/>
      <c r="B80" s="770"/>
      <c r="C80" s="766"/>
      <c r="D80" s="747"/>
      <c r="E80" s="765"/>
      <c r="F80" s="749"/>
      <c r="G80" s="765"/>
      <c r="H80" s="751"/>
      <c r="I80" s="763">
        <f>SUM(I79)</f>
        <v>21</v>
      </c>
      <c r="J80" s="12" t="s">
        <v>2322</v>
      </c>
    </row>
    <row r="81" spans="1:10" ht="22.5">
      <c r="A81" s="769"/>
      <c r="B81" s="770">
        <v>18</v>
      </c>
      <c r="C81" s="753" t="s">
        <v>794</v>
      </c>
      <c r="D81" s="754"/>
      <c r="E81" s="755"/>
      <c r="F81" s="754"/>
      <c r="G81" s="755"/>
      <c r="H81" s="756"/>
      <c r="I81" s="756"/>
      <c r="J81" s="12" t="s">
        <v>2322</v>
      </c>
    </row>
    <row r="82" spans="1:10">
      <c r="A82" s="769"/>
      <c r="B82" s="770"/>
      <c r="C82" s="764" t="s">
        <v>795</v>
      </c>
      <c r="D82" s="747">
        <v>1</v>
      </c>
      <c r="E82" s="765" t="s">
        <v>325</v>
      </c>
      <c r="F82" s="749">
        <v>1</v>
      </c>
      <c r="G82" s="765" t="s">
        <v>325</v>
      </c>
      <c r="H82" s="751">
        <f>'MINI SSR 2022-23 (2)'!C115</f>
        <v>1634</v>
      </c>
      <c r="I82" s="763">
        <f>SUM(D82*H82/F82)</f>
        <v>1634</v>
      </c>
      <c r="J82" s="12" t="s">
        <v>2322</v>
      </c>
    </row>
    <row r="83" spans="1:10">
      <c r="A83" s="769"/>
      <c r="B83" s="770"/>
      <c r="C83" s="766"/>
      <c r="D83" s="747"/>
      <c r="E83" s="765"/>
      <c r="F83" s="749"/>
      <c r="G83" s="765"/>
      <c r="H83" s="751"/>
      <c r="I83" s="763">
        <f>SUM(I82)</f>
        <v>1634</v>
      </c>
      <c r="J83" s="12" t="s">
        <v>2322</v>
      </c>
    </row>
    <row r="84" spans="1:10" s="1028" customFormat="1" ht="67.5">
      <c r="A84" s="1089" t="s">
        <v>721</v>
      </c>
      <c r="B84" s="1020">
        <v>6</v>
      </c>
      <c r="C84" s="1029" t="s">
        <v>436</v>
      </c>
      <c r="D84" s="1033"/>
      <c r="E84" s="1023"/>
      <c r="F84" s="1033"/>
      <c r="G84" s="1023"/>
      <c r="H84" s="1029"/>
      <c r="I84" s="1029"/>
      <c r="J84" s="1010" t="s">
        <v>2322</v>
      </c>
    </row>
    <row r="85" spans="1:10" s="1028" customFormat="1" ht="22.5">
      <c r="A85" s="1026"/>
      <c r="B85" s="1021"/>
      <c r="C85" s="1029" t="s">
        <v>391</v>
      </c>
      <c r="D85" s="1022"/>
      <c r="E85" s="1025"/>
      <c r="F85" s="1024"/>
      <c r="G85" s="1025"/>
      <c r="H85" s="1026"/>
      <c r="I85" s="1027"/>
      <c r="J85" s="1010" t="s">
        <v>2322</v>
      </c>
    </row>
    <row r="86" spans="1:10" s="1028" customFormat="1" ht="33.75">
      <c r="A86" s="1026"/>
      <c r="B86" s="1021"/>
      <c r="C86" s="1029" t="s">
        <v>392</v>
      </c>
      <c r="D86" s="1033"/>
      <c r="E86" s="1023"/>
      <c r="F86" s="1033"/>
      <c r="G86" s="1023"/>
      <c r="H86" s="1029"/>
      <c r="I86" s="1029"/>
      <c r="J86" s="1010" t="s">
        <v>2322</v>
      </c>
    </row>
    <row r="87" spans="1:10" s="1028" customFormat="1">
      <c r="A87" s="1026"/>
      <c r="B87" s="1021"/>
      <c r="C87" s="1029" t="s">
        <v>384</v>
      </c>
      <c r="D87" s="1022"/>
      <c r="E87" s="1025"/>
      <c r="F87" s="1024"/>
      <c r="G87" s="1025"/>
      <c r="H87" s="1026"/>
      <c r="I87" s="1027"/>
      <c r="J87" s="1010" t="s">
        <v>2322</v>
      </c>
    </row>
    <row r="88" spans="1:10" s="1028" customFormat="1">
      <c r="A88" s="1026"/>
      <c r="B88" s="1021"/>
      <c r="C88" s="1029" t="s">
        <v>1661</v>
      </c>
      <c r="D88" s="1022">
        <v>0.6</v>
      </c>
      <c r="E88" s="1041" t="s">
        <v>27</v>
      </c>
      <c r="F88" s="1024">
        <v>1</v>
      </c>
      <c r="G88" s="1041" t="s">
        <v>27</v>
      </c>
      <c r="H88" s="1026">
        <f>'MINI SSR 2022-23 (2)'!$H$16</f>
        <v>700</v>
      </c>
      <c r="I88" s="1027">
        <f>SUM(D88*H88/F88)</f>
        <v>420</v>
      </c>
      <c r="J88" s="1010" t="s">
        <v>2322</v>
      </c>
    </row>
    <row r="89" spans="1:10" s="1028" customFormat="1">
      <c r="A89" s="1026"/>
      <c r="B89" s="1021"/>
      <c r="C89" s="1029" t="s">
        <v>1662</v>
      </c>
      <c r="D89" s="1022">
        <v>1.2</v>
      </c>
      <c r="E89" s="1041" t="s">
        <v>27</v>
      </c>
      <c r="F89" s="1024">
        <v>1</v>
      </c>
      <c r="G89" s="1041" t="s">
        <v>27</v>
      </c>
      <c r="H89" s="1026">
        <f>'MINI SSR 2022-23 (2)'!$H$17</f>
        <v>570</v>
      </c>
      <c r="I89" s="1039">
        <f>SUM(D89*H89/F89)</f>
        <v>684</v>
      </c>
      <c r="J89" s="1010" t="s">
        <v>2322</v>
      </c>
    </row>
    <row r="90" spans="1:10" s="1028" customFormat="1">
      <c r="A90" s="1026"/>
      <c r="B90" s="1021"/>
      <c r="C90" s="1029" t="s">
        <v>700</v>
      </c>
      <c r="D90" s="1022">
        <v>0.6</v>
      </c>
      <c r="E90" s="1041" t="s">
        <v>27</v>
      </c>
      <c r="F90" s="1024">
        <v>1</v>
      </c>
      <c r="G90" s="1041" t="s">
        <v>27</v>
      </c>
      <c r="H90" s="1026">
        <f>'MINI SSR 2022-23 (2)'!$H$18</f>
        <v>505</v>
      </c>
      <c r="I90" s="1039">
        <f>SUM(D90*H90/F90)</f>
        <v>303</v>
      </c>
      <c r="J90" s="1010" t="s">
        <v>2322</v>
      </c>
    </row>
    <row r="91" spans="1:10" s="1028" customFormat="1">
      <c r="A91" s="1026"/>
      <c r="B91" s="1021"/>
      <c r="C91" s="1029" t="s">
        <v>327</v>
      </c>
      <c r="D91" s="1022"/>
      <c r="E91" s="1041"/>
      <c r="F91" s="1024"/>
      <c r="G91" s="1041"/>
      <c r="H91" s="1026"/>
      <c r="I91" s="1027"/>
      <c r="J91" s="1010" t="s">
        <v>2322</v>
      </c>
    </row>
    <row r="92" spans="1:10" s="1028" customFormat="1">
      <c r="A92" s="1026"/>
      <c r="B92" s="1021"/>
      <c r="C92" s="1090" t="s">
        <v>621</v>
      </c>
      <c r="D92" s="1091">
        <v>6</v>
      </c>
      <c r="E92" s="1025" t="s">
        <v>325</v>
      </c>
      <c r="F92" s="1024">
        <v>1</v>
      </c>
      <c r="G92" s="1025" t="s">
        <v>115</v>
      </c>
      <c r="H92" s="1026">
        <f>'MINI SSR 2022-23 (2)'!C116</f>
        <v>18</v>
      </c>
      <c r="I92" s="1027">
        <f>SUM(D92*H92/F92)</f>
        <v>108</v>
      </c>
      <c r="J92" s="1010" t="s">
        <v>2322</v>
      </c>
    </row>
    <row r="93" spans="1:10" s="1028" customFormat="1" ht="45">
      <c r="A93" s="1026"/>
      <c r="B93" s="1021"/>
      <c r="C93" s="1090" t="s">
        <v>394</v>
      </c>
      <c r="D93" s="1022">
        <v>100</v>
      </c>
      <c r="E93" s="1041" t="s">
        <v>395</v>
      </c>
      <c r="F93" s="1024">
        <v>100</v>
      </c>
      <c r="G93" s="1041" t="s">
        <v>395</v>
      </c>
      <c r="H93" s="1026">
        <f>'MINI SSR 2022-23 (2)'!C119</f>
        <v>1375</v>
      </c>
      <c r="I93" s="1027">
        <f>SUM(D93*H93/F93)</f>
        <v>1375</v>
      </c>
      <c r="J93" s="1010" t="s">
        <v>2322</v>
      </c>
    </row>
    <row r="94" spans="1:10" s="1028" customFormat="1">
      <c r="A94" s="1026"/>
      <c r="B94" s="1021"/>
      <c r="C94" s="1029" t="s">
        <v>396</v>
      </c>
      <c r="D94" s="1022"/>
      <c r="E94" s="1025"/>
      <c r="F94" s="1024"/>
      <c r="G94" s="1025"/>
      <c r="H94" s="1026"/>
      <c r="I94" s="1027">
        <f>SUM(I88:I93)</f>
        <v>2890</v>
      </c>
      <c r="J94" s="1010" t="s">
        <v>2322</v>
      </c>
    </row>
    <row r="95" spans="1:10" s="1028" customFormat="1">
      <c r="A95" s="1026"/>
      <c r="B95" s="1021"/>
      <c r="C95" s="1029" t="s">
        <v>397</v>
      </c>
      <c r="D95" s="1022"/>
      <c r="E95" s="1025"/>
      <c r="F95" s="1024"/>
      <c r="G95" s="1025"/>
      <c r="H95" s="1026"/>
      <c r="I95" s="1027">
        <f>ROUND(I94/6,2)</f>
        <v>481.67</v>
      </c>
      <c r="J95" s="1010" t="s">
        <v>2322</v>
      </c>
    </row>
    <row r="96" spans="1:10" s="1028" customFormat="1" ht="67.5">
      <c r="A96" s="1089" t="s">
        <v>721</v>
      </c>
      <c r="B96" s="1020">
        <v>7</v>
      </c>
      <c r="C96" s="1029" t="s">
        <v>435</v>
      </c>
      <c r="D96" s="1033"/>
      <c r="E96" s="1023"/>
      <c r="F96" s="1033"/>
      <c r="G96" s="1023"/>
      <c r="H96" s="1029"/>
      <c r="I96" s="1029"/>
      <c r="J96" s="1010" t="s">
        <v>2322</v>
      </c>
    </row>
    <row r="97" spans="1:10" s="1028" customFormat="1" ht="22.5">
      <c r="A97" s="1026"/>
      <c r="B97" s="1021"/>
      <c r="C97" s="1029" t="s">
        <v>391</v>
      </c>
      <c r="D97" s="1022"/>
      <c r="E97" s="1025"/>
      <c r="F97" s="1024"/>
      <c r="G97" s="1025"/>
      <c r="H97" s="1026"/>
      <c r="I97" s="1027"/>
      <c r="J97" s="1010" t="s">
        <v>2322</v>
      </c>
    </row>
    <row r="98" spans="1:10" s="1028" customFormat="1" ht="33.75">
      <c r="A98" s="1026"/>
      <c r="B98" s="1021"/>
      <c r="C98" s="1029" t="s">
        <v>392</v>
      </c>
      <c r="D98" s="1033"/>
      <c r="E98" s="1023"/>
      <c r="F98" s="1033"/>
      <c r="G98" s="1023"/>
      <c r="H98" s="1029"/>
      <c r="I98" s="1029"/>
      <c r="J98" s="1010" t="s">
        <v>2322</v>
      </c>
    </row>
    <row r="99" spans="1:10" s="1028" customFormat="1">
      <c r="A99" s="1026"/>
      <c r="B99" s="1021"/>
      <c r="C99" s="1029" t="s">
        <v>384</v>
      </c>
      <c r="D99" s="1022"/>
      <c r="E99" s="1025"/>
      <c r="F99" s="1024"/>
      <c r="G99" s="1025"/>
      <c r="H99" s="1026"/>
      <c r="I99" s="1027"/>
      <c r="J99" s="1010" t="s">
        <v>2322</v>
      </c>
    </row>
    <row r="100" spans="1:10" s="1028" customFormat="1">
      <c r="A100" s="1026"/>
      <c r="B100" s="1021"/>
      <c r="C100" s="1029" t="s">
        <v>1661</v>
      </c>
      <c r="D100" s="1022">
        <v>0.6</v>
      </c>
      <c r="E100" s="1041" t="s">
        <v>27</v>
      </c>
      <c r="F100" s="1024">
        <v>1</v>
      </c>
      <c r="G100" s="1041" t="s">
        <v>27</v>
      </c>
      <c r="H100" s="1026">
        <f>'MINI SSR 2022-23 (2)'!$H$16</f>
        <v>700</v>
      </c>
      <c r="I100" s="1027">
        <f>SUM(D100*H100/F100)</f>
        <v>420</v>
      </c>
      <c r="J100" s="1010" t="s">
        <v>2322</v>
      </c>
    </row>
    <row r="101" spans="1:10" s="1028" customFormat="1">
      <c r="A101" s="1026"/>
      <c r="B101" s="1021"/>
      <c r="C101" s="1029" t="s">
        <v>1662</v>
      </c>
      <c r="D101" s="1022">
        <v>1.2</v>
      </c>
      <c r="E101" s="1041" t="s">
        <v>27</v>
      </c>
      <c r="F101" s="1024">
        <v>1</v>
      </c>
      <c r="G101" s="1041" t="s">
        <v>27</v>
      </c>
      <c r="H101" s="1026">
        <f>'MINI SSR 2022-23 (2)'!$H$17</f>
        <v>570</v>
      </c>
      <c r="I101" s="1039">
        <f>SUM(D101*H101/F101)</f>
        <v>684</v>
      </c>
      <c r="J101" s="1010" t="s">
        <v>2322</v>
      </c>
    </row>
    <row r="102" spans="1:10" s="1028" customFormat="1">
      <c r="A102" s="1026"/>
      <c r="B102" s="1021"/>
      <c r="C102" s="1029" t="s">
        <v>700</v>
      </c>
      <c r="D102" s="1022">
        <v>0.6</v>
      </c>
      <c r="E102" s="1041" t="s">
        <v>27</v>
      </c>
      <c r="F102" s="1024">
        <v>1</v>
      </c>
      <c r="G102" s="1041" t="s">
        <v>27</v>
      </c>
      <c r="H102" s="1026">
        <f>'MINI SSR 2022-23 (2)'!$H$18</f>
        <v>505</v>
      </c>
      <c r="I102" s="1039">
        <f>SUM(D102*H102/F102)</f>
        <v>303</v>
      </c>
      <c r="J102" s="1010" t="s">
        <v>2322</v>
      </c>
    </row>
    <row r="103" spans="1:10" s="1028" customFormat="1">
      <c r="A103" s="1026"/>
      <c r="B103" s="1021"/>
      <c r="C103" s="1029" t="s">
        <v>327</v>
      </c>
      <c r="D103" s="1022"/>
      <c r="E103" s="1041"/>
      <c r="F103" s="1024"/>
      <c r="G103" s="1041"/>
      <c r="H103" s="1026"/>
      <c r="I103" s="1027"/>
      <c r="J103" s="1010" t="s">
        <v>2322</v>
      </c>
    </row>
    <row r="104" spans="1:10" s="1028" customFormat="1">
      <c r="A104" s="1026"/>
      <c r="B104" s="1021"/>
      <c r="C104" s="1090" t="s">
        <v>621</v>
      </c>
      <c r="D104" s="1091">
        <v>6</v>
      </c>
      <c r="E104" s="1025" t="s">
        <v>325</v>
      </c>
      <c r="F104" s="1024">
        <v>1</v>
      </c>
      <c r="G104" s="1025" t="s">
        <v>115</v>
      </c>
      <c r="H104" s="1026">
        <f>'MINI SSR 2022-23 (2)'!C116</f>
        <v>18</v>
      </c>
      <c r="I104" s="1027">
        <f>SUM(D104*H104/F104)</f>
        <v>108</v>
      </c>
      <c r="J104" s="1010" t="s">
        <v>2322</v>
      </c>
    </row>
    <row r="105" spans="1:10" s="1028" customFormat="1" ht="22.5">
      <c r="A105" s="1026"/>
      <c r="B105" s="1021"/>
      <c r="C105" s="1092" t="s">
        <v>393</v>
      </c>
      <c r="D105" s="1091">
        <v>6</v>
      </c>
      <c r="E105" s="1025" t="s">
        <v>325</v>
      </c>
      <c r="F105" s="1024">
        <v>1</v>
      </c>
      <c r="G105" s="1025" t="s">
        <v>115</v>
      </c>
      <c r="H105" s="1026">
        <f>'MINI SSR 2022-23 (2)'!C120</f>
        <v>22</v>
      </c>
      <c r="I105" s="1027">
        <f>SUM(D105*H105/F105)</f>
        <v>132</v>
      </c>
      <c r="J105" s="1010" t="s">
        <v>2322</v>
      </c>
    </row>
    <row r="106" spans="1:10" s="1028" customFormat="1" ht="45">
      <c r="A106" s="1026"/>
      <c r="B106" s="1021"/>
      <c r="C106" s="1090" t="s">
        <v>394</v>
      </c>
      <c r="D106" s="1022">
        <v>100</v>
      </c>
      <c r="E106" s="1041" t="s">
        <v>395</v>
      </c>
      <c r="F106" s="1024">
        <v>100</v>
      </c>
      <c r="G106" s="1041" t="s">
        <v>395</v>
      </c>
      <c r="H106" s="1026">
        <f>'MINI SSR 2022-23 (2)'!C119</f>
        <v>1375</v>
      </c>
      <c r="I106" s="1027">
        <f>SUM(D106*H106/F106)</f>
        <v>1375</v>
      </c>
      <c r="J106" s="1010" t="s">
        <v>2322</v>
      </c>
    </row>
    <row r="107" spans="1:10" s="1028" customFormat="1">
      <c r="A107" s="1026"/>
      <c r="B107" s="1021"/>
      <c r="C107" s="1029" t="s">
        <v>396</v>
      </c>
      <c r="D107" s="1022"/>
      <c r="E107" s="1025"/>
      <c r="F107" s="1024"/>
      <c r="G107" s="1025"/>
      <c r="H107" s="1026"/>
      <c r="I107" s="1027">
        <f>SUM(I100:I106)</f>
        <v>3022</v>
      </c>
      <c r="J107" s="1010" t="s">
        <v>2322</v>
      </c>
    </row>
    <row r="108" spans="1:10" s="1028" customFormat="1">
      <c r="A108" s="1026"/>
      <c r="B108" s="1021"/>
      <c r="C108" s="1029" t="s">
        <v>397</v>
      </c>
      <c r="D108" s="1022"/>
      <c r="E108" s="1025"/>
      <c r="F108" s="1024"/>
      <c r="G108" s="1025"/>
      <c r="H108" s="1026"/>
      <c r="I108" s="1027">
        <f>ROUND(I107/6,2)</f>
        <v>503.67</v>
      </c>
      <c r="J108" s="1010" t="s">
        <v>2322</v>
      </c>
    </row>
    <row r="109" spans="1:10" s="1028" customFormat="1" ht="45">
      <c r="A109" s="1089" t="s">
        <v>722</v>
      </c>
      <c r="B109" s="1020">
        <v>8</v>
      </c>
      <c r="C109" s="1029" t="s">
        <v>432</v>
      </c>
      <c r="D109" s="1033"/>
      <c r="E109" s="1023"/>
      <c r="F109" s="1033"/>
      <c r="G109" s="1023"/>
      <c r="H109" s="1029"/>
      <c r="I109" s="1029"/>
      <c r="J109" s="1010" t="s">
        <v>2322</v>
      </c>
    </row>
    <row r="110" spans="1:10" s="1028" customFormat="1">
      <c r="A110" s="1026"/>
      <c r="B110" s="1021"/>
      <c r="C110" s="1029" t="s">
        <v>384</v>
      </c>
      <c r="D110" s="1022"/>
      <c r="E110" s="1025"/>
      <c r="F110" s="1024"/>
      <c r="G110" s="1025"/>
      <c r="H110" s="1026"/>
      <c r="I110" s="1027"/>
      <c r="J110" s="1010" t="s">
        <v>2322</v>
      </c>
    </row>
    <row r="111" spans="1:10" s="1028" customFormat="1">
      <c r="A111" s="1026"/>
      <c r="B111" s="1021"/>
      <c r="C111" s="1029" t="s">
        <v>1661</v>
      </c>
      <c r="D111" s="1093">
        <v>6.7000000000000004E-2</v>
      </c>
      <c r="E111" s="1041" t="s">
        <v>27</v>
      </c>
      <c r="F111" s="1024">
        <v>1</v>
      </c>
      <c r="G111" s="1041" t="s">
        <v>27</v>
      </c>
      <c r="H111" s="1026">
        <f>'MINI SSR 2022-23 (2)'!$H$16</f>
        <v>700</v>
      </c>
      <c r="I111" s="1027">
        <f>SUM(D111*H111/F111)</f>
        <v>46.900000000000006</v>
      </c>
      <c r="J111" s="1010" t="s">
        <v>2322</v>
      </c>
    </row>
    <row r="112" spans="1:10" s="1028" customFormat="1">
      <c r="A112" s="1026"/>
      <c r="B112" s="1021"/>
      <c r="C112" s="1029" t="s">
        <v>700</v>
      </c>
      <c r="D112" s="1093">
        <v>6.7000000000000004E-2</v>
      </c>
      <c r="E112" s="1041" t="s">
        <v>27</v>
      </c>
      <c r="F112" s="1024">
        <v>1</v>
      </c>
      <c r="G112" s="1041" t="s">
        <v>27</v>
      </c>
      <c r="H112" s="1026">
        <f>'MINI SSR 2022-23 (2)'!$H$18</f>
        <v>505</v>
      </c>
      <c r="I112" s="1039">
        <f>SUM(D112*H112/F112)</f>
        <v>33.835000000000001</v>
      </c>
      <c r="J112" s="1010" t="s">
        <v>2322</v>
      </c>
    </row>
    <row r="113" spans="1:10" s="1028" customFormat="1">
      <c r="A113" s="1026"/>
      <c r="B113" s="1021"/>
      <c r="C113" s="1029" t="s">
        <v>327</v>
      </c>
      <c r="D113" s="1022"/>
      <c r="E113" s="1041"/>
      <c r="F113" s="1024"/>
      <c r="G113" s="1041"/>
      <c r="H113" s="1026"/>
      <c r="I113" s="1027"/>
      <c r="J113" s="1010" t="s">
        <v>2322</v>
      </c>
    </row>
    <row r="114" spans="1:10" s="1028" customFormat="1">
      <c r="A114" s="1026"/>
      <c r="B114" s="1021"/>
      <c r="C114" s="1090" t="s">
        <v>621</v>
      </c>
      <c r="D114" s="1091">
        <v>1</v>
      </c>
      <c r="E114" s="1025" t="s">
        <v>325</v>
      </c>
      <c r="F114" s="1024">
        <v>1</v>
      </c>
      <c r="G114" s="1025" t="s">
        <v>115</v>
      </c>
      <c r="H114" s="1026">
        <f>'MINI SSR 2022-23 (2)'!C116</f>
        <v>18</v>
      </c>
      <c r="I114" s="1027">
        <f>SUM(D114*H114/F114)</f>
        <v>18</v>
      </c>
      <c r="J114" s="1010" t="s">
        <v>2322</v>
      </c>
    </row>
    <row r="115" spans="1:10" s="1028" customFormat="1">
      <c r="A115" s="1026"/>
      <c r="B115" s="1021"/>
      <c r="C115" s="1090" t="s">
        <v>622</v>
      </c>
      <c r="D115" s="1091">
        <v>1</v>
      </c>
      <c r="E115" s="1025" t="s">
        <v>115</v>
      </c>
      <c r="F115" s="1024">
        <v>1</v>
      </c>
      <c r="G115" s="1025" t="s">
        <v>115</v>
      </c>
      <c r="H115" s="1026">
        <f>'MINI SSR 2022-23 (2)'!C118</f>
        <v>27</v>
      </c>
      <c r="I115" s="1027">
        <f>SUM(D115*H115/F115)</f>
        <v>27</v>
      </c>
      <c r="J115" s="1010" t="s">
        <v>2322</v>
      </c>
    </row>
    <row r="116" spans="1:10" s="1028" customFormat="1">
      <c r="A116" s="1026"/>
      <c r="B116" s="1021"/>
      <c r="C116" s="1034" t="s">
        <v>388</v>
      </c>
      <c r="D116" s="1047"/>
      <c r="E116" s="1025"/>
      <c r="F116" s="1094"/>
      <c r="G116" s="1095"/>
      <c r="H116" s="1096"/>
      <c r="I116" s="1027">
        <f>SUM(I111:I115)</f>
        <v>125.73500000000001</v>
      </c>
      <c r="J116" s="1010" t="s">
        <v>2322</v>
      </c>
    </row>
    <row r="117" spans="1:10" ht="45">
      <c r="A117" s="776" t="s">
        <v>1263</v>
      </c>
      <c r="B117" s="746">
        <v>14</v>
      </c>
      <c r="C117" s="753" t="s">
        <v>1238</v>
      </c>
      <c r="D117" s="757"/>
      <c r="E117" s="748"/>
      <c r="F117" s="757"/>
      <c r="G117" s="748"/>
      <c r="H117" s="753"/>
      <c r="I117" s="753"/>
      <c r="J117" s="12" t="s">
        <v>2322</v>
      </c>
    </row>
    <row r="118" spans="1:10">
      <c r="A118" s="751"/>
      <c r="B118" s="671"/>
      <c r="C118" s="753" t="s">
        <v>384</v>
      </c>
      <c r="D118" s="747"/>
      <c r="E118" s="750"/>
      <c r="F118" s="749"/>
      <c r="G118" s="750"/>
      <c r="H118" s="751"/>
      <c r="I118" s="752"/>
      <c r="J118" s="12" t="s">
        <v>2322</v>
      </c>
    </row>
    <row r="119" spans="1:10">
      <c r="A119" s="751"/>
      <c r="B119" s="671"/>
      <c r="C119" s="753" t="s">
        <v>1661</v>
      </c>
      <c r="D119" s="779">
        <v>0.1</v>
      </c>
      <c r="E119" s="765" t="s">
        <v>27</v>
      </c>
      <c r="F119" s="749">
        <v>1</v>
      </c>
      <c r="G119" s="765" t="s">
        <v>27</v>
      </c>
      <c r="H119" s="751">
        <f>'MINI SSR 2022-23 (2)'!$H$16</f>
        <v>700</v>
      </c>
      <c r="I119" s="752">
        <f>SUM(D119*H119/F119)</f>
        <v>70</v>
      </c>
      <c r="J119" s="12" t="s">
        <v>2322</v>
      </c>
    </row>
    <row r="120" spans="1:10">
      <c r="A120" s="751"/>
      <c r="B120" s="671"/>
      <c r="C120" s="753" t="s">
        <v>700</v>
      </c>
      <c r="D120" s="779">
        <v>0.1</v>
      </c>
      <c r="E120" s="765" t="s">
        <v>27</v>
      </c>
      <c r="F120" s="749">
        <v>1</v>
      </c>
      <c r="G120" s="765" t="s">
        <v>27</v>
      </c>
      <c r="H120" s="1026">
        <f>'MINI SSR 2022-23 (2)'!$H$18</f>
        <v>505</v>
      </c>
      <c r="I120" s="763">
        <f>SUM(D120*H120/F120)</f>
        <v>50.5</v>
      </c>
      <c r="J120" s="12" t="s">
        <v>2322</v>
      </c>
    </row>
    <row r="121" spans="1:10">
      <c r="A121" s="751"/>
      <c r="B121" s="671"/>
      <c r="C121" s="753" t="s">
        <v>327</v>
      </c>
      <c r="D121" s="747"/>
      <c r="E121" s="765"/>
      <c r="F121" s="749"/>
      <c r="G121" s="765"/>
      <c r="H121" s="751"/>
      <c r="I121" s="752"/>
      <c r="J121" s="12" t="s">
        <v>2322</v>
      </c>
    </row>
    <row r="122" spans="1:10">
      <c r="A122" s="751"/>
      <c r="B122" s="671"/>
      <c r="C122" s="777" t="s">
        <v>1264</v>
      </c>
      <c r="D122" s="778">
        <v>1</v>
      </c>
      <c r="E122" s="750" t="s">
        <v>325</v>
      </c>
      <c r="F122" s="749">
        <v>1</v>
      </c>
      <c r="G122" s="750" t="s">
        <v>115</v>
      </c>
      <c r="H122" s="751">
        <f>'MINI SSR 2022-23 (2)'!C121</f>
        <v>48</v>
      </c>
      <c r="I122" s="752">
        <f>SUM(D122*H122/F122)</f>
        <v>48</v>
      </c>
      <c r="J122" s="12" t="s">
        <v>2322</v>
      </c>
    </row>
    <row r="123" spans="1:10">
      <c r="A123" s="751"/>
      <c r="B123" s="671"/>
      <c r="C123" s="777" t="s">
        <v>1266</v>
      </c>
      <c r="D123" s="778">
        <v>1</v>
      </c>
      <c r="E123" s="750" t="s">
        <v>115</v>
      </c>
      <c r="F123" s="749">
        <v>1</v>
      </c>
      <c r="G123" s="750" t="s">
        <v>115</v>
      </c>
      <c r="H123" s="751">
        <f>'MINI SSR 2022-23 (2)'!C122</f>
        <v>127</v>
      </c>
      <c r="I123" s="752">
        <f>SUM(D123*H123/F123)</f>
        <v>127</v>
      </c>
      <c r="J123" s="12" t="s">
        <v>2322</v>
      </c>
    </row>
    <row r="124" spans="1:10" ht="22.5">
      <c r="A124" s="751"/>
      <c r="B124" s="671"/>
      <c r="C124" s="777" t="s">
        <v>1265</v>
      </c>
      <c r="D124" s="778">
        <v>1</v>
      </c>
      <c r="E124" s="750" t="s">
        <v>115</v>
      </c>
      <c r="F124" s="749">
        <v>1</v>
      </c>
      <c r="G124" s="750" t="s">
        <v>115</v>
      </c>
      <c r="H124" s="751">
        <f>'MINI SSR 2022-23 (2)'!C123</f>
        <v>127</v>
      </c>
      <c r="I124" s="752">
        <f>SUM(D124*H124/F124)</f>
        <v>127</v>
      </c>
      <c r="J124" s="12" t="s">
        <v>2322</v>
      </c>
    </row>
    <row r="125" spans="1:10">
      <c r="A125" s="751"/>
      <c r="B125" s="671"/>
      <c r="C125" s="758" t="s">
        <v>388</v>
      </c>
      <c r="D125" s="771"/>
      <c r="E125" s="750"/>
      <c r="F125" s="780"/>
      <c r="G125" s="781"/>
      <c r="H125" s="782"/>
      <c r="I125" s="752">
        <f>SUM(I119:I124)</f>
        <v>422.5</v>
      </c>
      <c r="J125" s="12" t="s">
        <v>2322</v>
      </c>
    </row>
    <row r="126" spans="1:10" ht="45">
      <c r="A126" s="751" t="s">
        <v>441</v>
      </c>
      <c r="B126" s="746">
        <v>15</v>
      </c>
      <c r="C126" s="753" t="s">
        <v>620</v>
      </c>
      <c r="D126" s="757"/>
      <c r="E126" s="748"/>
      <c r="F126" s="757"/>
      <c r="G126" s="748"/>
      <c r="H126" s="753"/>
      <c r="I126" s="753"/>
      <c r="J126" s="12" t="s">
        <v>2322</v>
      </c>
    </row>
    <row r="127" spans="1:10">
      <c r="A127" s="751"/>
      <c r="B127" s="671"/>
      <c r="C127" s="753" t="s">
        <v>384</v>
      </c>
      <c r="D127" s="747"/>
      <c r="E127" s="750"/>
      <c r="F127" s="749"/>
      <c r="G127" s="750"/>
      <c r="H127" s="751"/>
      <c r="I127" s="752"/>
      <c r="J127" s="12" t="s">
        <v>2322</v>
      </c>
    </row>
    <row r="128" spans="1:10">
      <c r="A128" s="751"/>
      <c r="B128" s="671"/>
      <c r="C128" s="753" t="s">
        <v>1661</v>
      </c>
      <c r="D128" s="779">
        <v>6.7000000000000004E-2</v>
      </c>
      <c r="E128" s="765" t="s">
        <v>27</v>
      </c>
      <c r="F128" s="749">
        <v>1</v>
      </c>
      <c r="G128" s="765" t="s">
        <v>27</v>
      </c>
      <c r="H128" s="751">
        <f>'MINI SSR 2022-23 (2)'!$H$16</f>
        <v>700</v>
      </c>
      <c r="I128" s="752">
        <f>SUM(D128*H128/F128)</f>
        <v>46.900000000000006</v>
      </c>
      <c r="J128" s="12" t="s">
        <v>2322</v>
      </c>
    </row>
    <row r="129" spans="1:10">
      <c r="A129" s="751"/>
      <c r="B129" s="671"/>
      <c r="C129" s="753" t="s">
        <v>700</v>
      </c>
      <c r="D129" s="779">
        <v>6.7000000000000004E-2</v>
      </c>
      <c r="E129" s="765" t="s">
        <v>27</v>
      </c>
      <c r="F129" s="749">
        <v>1</v>
      </c>
      <c r="G129" s="765" t="s">
        <v>27</v>
      </c>
      <c r="H129" s="1026">
        <f>'MINI SSR 2022-23 (2)'!$H$18</f>
        <v>505</v>
      </c>
      <c r="I129" s="763">
        <f>SUM(D129*H129/F129)</f>
        <v>33.835000000000001</v>
      </c>
      <c r="J129" s="12" t="s">
        <v>2322</v>
      </c>
    </row>
    <row r="130" spans="1:10">
      <c r="A130" s="751"/>
      <c r="B130" s="671"/>
      <c r="C130" s="753" t="s">
        <v>327</v>
      </c>
      <c r="D130" s="747"/>
      <c r="E130" s="765"/>
      <c r="F130" s="749"/>
      <c r="G130" s="765"/>
      <c r="H130" s="751"/>
      <c r="I130" s="752"/>
      <c r="J130" s="12" t="s">
        <v>2322</v>
      </c>
    </row>
    <row r="131" spans="1:10">
      <c r="A131" s="751"/>
      <c r="B131" s="671"/>
      <c r="C131" s="777" t="s">
        <v>621</v>
      </c>
      <c r="D131" s="778">
        <v>1</v>
      </c>
      <c r="E131" s="750" t="s">
        <v>325</v>
      </c>
      <c r="F131" s="749">
        <v>1</v>
      </c>
      <c r="G131" s="750" t="s">
        <v>115</v>
      </c>
      <c r="H131" s="751">
        <f>'MINI SSR 2022-23 (2)'!C116</f>
        <v>18</v>
      </c>
      <c r="I131" s="752">
        <f>SUM(D131*H131/F131)</f>
        <v>18</v>
      </c>
      <c r="J131" s="12" t="s">
        <v>2322</v>
      </c>
    </row>
    <row r="132" spans="1:10">
      <c r="A132" s="751"/>
      <c r="B132" s="671"/>
      <c r="C132" s="777" t="s">
        <v>623</v>
      </c>
      <c r="D132" s="778">
        <v>1</v>
      </c>
      <c r="E132" s="750" t="s">
        <v>115</v>
      </c>
      <c r="F132" s="749">
        <v>1</v>
      </c>
      <c r="G132" s="750" t="s">
        <v>115</v>
      </c>
      <c r="H132" s="751">
        <f>'MINI SSR 2022-23 (2)'!C117</f>
        <v>21</v>
      </c>
      <c r="I132" s="752">
        <f>SUM(D132*H132/F132)</f>
        <v>21</v>
      </c>
      <c r="J132" s="12" t="s">
        <v>2322</v>
      </c>
    </row>
    <row r="133" spans="1:10">
      <c r="A133" s="751"/>
      <c r="B133" s="671"/>
      <c r="C133" s="753" t="s">
        <v>945</v>
      </c>
      <c r="D133" s="771"/>
      <c r="E133" s="750"/>
      <c r="F133" s="780"/>
      <c r="G133" s="781"/>
      <c r="H133" s="782"/>
      <c r="I133" s="752">
        <f>SUM(I128:I132)</f>
        <v>119.73500000000001</v>
      </c>
      <c r="J133" s="12" t="s">
        <v>2322</v>
      </c>
    </row>
    <row r="134" spans="1:10" ht="33.75">
      <c r="A134" s="751" t="s">
        <v>1664</v>
      </c>
      <c r="B134" s="746">
        <v>29</v>
      </c>
      <c r="C134" s="753" t="s">
        <v>1665</v>
      </c>
      <c r="D134" s="754"/>
      <c r="E134" s="755"/>
      <c r="F134" s="754"/>
      <c r="G134" s="755"/>
      <c r="H134" s="671"/>
      <c r="I134" s="756"/>
      <c r="J134" s="12" t="s">
        <v>2322</v>
      </c>
    </row>
    <row r="135" spans="1:10" ht="22.5">
      <c r="A135" s="746"/>
      <c r="B135" s="671"/>
      <c r="C135" s="753" t="s">
        <v>391</v>
      </c>
      <c r="D135" s="747"/>
      <c r="E135" s="750"/>
      <c r="F135" s="749"/>
      <c r="G135" s="750"/>
      <c r="H135" s="751"/>
      <c r="I135" s="752"/>
      <c r="J135" s="12" t="s">
        <v>2322</v>
      </c>
    </row>
    <row r="136" spans="1:10">
      <c r="A136" s="746"/>
      <c r="B136" s="671"/>
      <c r="C136" s="753" t="s">
        <v>384</v>
      </c>
      <c r="D136" s="747"/>
      <c r="E136" s="750"/>
      <c r="F136" s="749"/>
      <c r="G136" s="750"/>
      <c r="H136" s="751"/>
      <c r="I136" s="752"/>
      <c r="J136" s="12" t="s">
        <v>2322</v>
      </c>
    </row>
    <row r="137" spans="1:10">
      <c r="A137" s="746"/>
      <c r="B137" s="671"/>
      <c r="C137" s="764" t="s">
        <v>1661</v>
      </c>
      <c r="D137" s="747">
        <v>0.67</v>
      </c>
      <c r="E137" s="765" t="s">
        <v>27</v>
      </c>
      <c r="F137" s="749">
        <v>1</v>
      </c>
      <c r="G137" s="765" t="s">
        <v>27</v>
      </c>
      <c r="H137" s="751">
        <f>'MINI SSR 2022-23 (2)'!$H$16</f>
        <v>700</v>
      </c>
      <c r="I137" s="752">
        <f>SUM(D137*H137/F137)</f>
        <v>469</v>
      </c>
      <c r="J137" s="12" t="s">
        <v>2322</v>
      </c>
    </row>
    <row r="138" spans="1:10">
      <c r="A138" s="746"/>
      <c r="B138" s="671"/>
      <c r="C138" s="764" t="s">
        <v>1662</v>
      </c>
      <c r="D138" s="747">
        <v>2</v>
      </c>
      <c r="E138" s="765" t="s">
        <v>27</v>
      </c>
      <c r="F138" s="749">
        <v>1</v>
      </c>
      <c r="G138" s="765" t="s">
        <v>27</v>
      </c>
      <c r="H138" s="751">
        <f>'MINI SSR 2022-23 (2)'!$H$17</f>
        <v>570</v>
      </c>
      <c r="I138" s="752">
        <f>SUM(D138*H138/F138)</f>
        <v>1140</v>
      </c>
      <c r="J138" s="12" t="s">
        <v>2322</v>
      </c>
    </row>
    <row r="139" spans="1:10">
      <c r="A139" s="746"/>
      <c r="B139" s="671"/>
      <c r="C139" s="764" t="s">
        <v>700</v>
      </c>
      <c r="D139" s="747">
        <v>0.67</v>
      </c>
      <c r="E139" s="765" t="s">
        <v>27</v>
      </c>
      <c r="F139" s="749">
        <v>1</v>
      </c>
      <c r="G139" s="765" t="s">
        <v>27</v>
      </c>
      <c r="H139" s="1026">
        <f>'MINI SSR 2022-23 (2)'!$H$18</f>
        <v>505</v>
      </c>
      <c r="I139" s="752">
        <f>SUM(D139*H139/F139)</f>
        <v>338.35</v>
      </c>
      <c r="J139" s="12" t="s">
        <v>2322</v>
      </c>
    </row>
    <row r="140" spans="1:10">
      <c r="A140" s="746"/>
      <c r="B140" s="671"/>
      <c r="C140" s="753" t="s">
        <v>327</v>
      </c>
      <c r="D140" s="747"/>
      <c r="E140" s="765"/>
      <c r="F140" s="749"/>
      <c r="G140" s="765"/>
      <c r="H140" s="751"/>
      <c r="I140" s="752"/>
      <c r="J140" s="12" t="s">
        <v>2322</v>
      </c>
    </row>
    <row r="141" spans="1:10" ht="33.75">
      <c r="A141" s="746"/>
      <c r="B141" s="671">
        <v>30</v>
      </c>
      <c r="C141" s="777" t="s">
        <v>398</v>
      </c>
      <c r="D141" s="747">
        <v>200</v>
      </c>
      <c r="E141" s="750" t="s">
        <v>395</v>
      </c>
      <c r="F141" s="749">
        <v>100</v>
      </c>
      <c r="G141" s="750" t="s">
        <v>395</v>
      </c>
      <c r="H141" s="751">
        <f>'MINI SSR 2022-23 (2)'!C128</f>
        <v>1977</v>
      </c>
      <c r="I141" s="752">
        <f>SUM(D141*H141/F141)</f>
        <v>3954</v>
      </c>
      <c r="J141" s="12" t="s">
        <v>2322</v>
      </c>
    </row>
    <row r="142" spans="1:10">
      <c r="A142" s="746"/>
      <c r="B142" s="671"/>
      <c r="C142" s="753" t="s">
        <v>399</v>
      </c>
      <c r="D142" s="747"/>
      <c r="E142" s="750"/>
      <c r="F142" s="749"/>
      <c r="G142" s="750"/>
      <c r="H142" s="751"/>
      <c r="I142" s="752">
        <f>SUM(I141:I141)</f>
        <v>3954</v>
      </c>
      <c r="J142" s="12" t="s">
        <v>2322</v>
      </c>
    </row>
    <row r="143" spans="1:10">
      <c r="A143" s="746"/>
      <c r="B143" s="671"/>
      <c r="C143" s="753" t="s">
        <v>400</v>
      </c>
      <c r="D143" s="747"/>
      <c r="E143" s="750"/>
      <c r="F143" s="749"/>
      <c r="G143" s="750"/>
      <c r="H143" s="751"/>
      <c r="I143" s="752">
        <f>SUM(I142/100)</f>
        <v>39.54</v>
      </c>
      <c r="J143" s="12" t="s">
        <v>2322</v>
      </c>
    </row>
    <row r="144" spans="1:10">
      <c r="A144" s="746"/>
      <c r="B144" s="671"/>
      <c r="C144" s="753" t="s">
        <v>399</v>
      </c>
      <c r="D144" s="747"/>
      <c r="E144" s="750"/>
      <c r="F144" s="749"/>
      <c r="G144" s="750"/>
      <c r="H144" s="782"/>
      <c r="I144" s="752">
        <f>SUM(I141:I143)</f>
        <v>7947.54</v>
      </c>
      <c r="J144" s="12" t="s">
        <v>2322</v>
      </c>
    </row>
    <row r="145" spans="1:10">
      <c r="A145" s="746"/>
      <c r="B145" s="671"/>
      <c r="C145" s="753" t="s">
        <v>400</v>
      </c>
      <c r="D145" s="747"/>
      <c r="E145" s="750"/>
      <c r="F145" s="749"/>
      <c r="G145" s="750"/>
      <c r="H145" s="782"/>
      <c r="I145" s="752">
        <f>ROUND(I144/100,2)</f>
        <v>79.48</v>
      </c>
      <c r="J145" s="12" t="s">
        <v>2322</v>
      </c>
    </row>
    <row r="146" spans="1:10" ht="33.75">
      <c r="A146" s="751" t="s">
        <v>2088</v>
      </c>
      <c r="B146" s="746">
        <v>8</v>
      </c>
      <c r="C146" s="753" t="s">
        <v>2093</v>
      </c>
      <c r="D146" s="754"/>
      <c r="E146" s="755"/>
      <c r="F146" s="754"/>
      <c r="G146" s="755"/>
      <c r="H146" s="671"/>
      <c r="I146" s="756"/>
      <c r="J146" s="12" t="s">
        <v>2322</v>
      </c>
    </row>
    <row r="147" spans="1:10">
      <c r="A147" s="746"/>
      <c r="B147" s="671"/>
      <c r="C147" s="753" t="s">
        <v>384</v>
      </c>
      <c r="D147" s="747"/>
      <c r="E147" s="750"/>
      <c r="F147" s="749"/>
      <c r="G147" s="750"/>
      <c r="H147" s="751"/>
      <c r="I147" s="752"/>
      <c r="J147" s="12" t="s">
        <v>2322</v>
      </c>
    </row>
    <row r="148" spans="1:10">
      <c r="A148" s="746"/>
      <c r="B148" s="671"/>
      <c r="C148" s="764" t="s">
        <v>1661</v>
      </c>
      <c r="D148" s="747">
        <v>0.34</v>
      </c>
      <c r="E148" s="765" t="s">
        <v>27</v>
      </c>
      <c r="F148" s="749">
        <v>1</v>
      </c>
      <c r="G148" s="765" t="s">
        <v>27</v>
      </c>
      <c r="H148" s="751">
        <f>'MINI SSR 2022-23 (2)'!$H$16</f>
        <v>700</v>
      </c>
      <c r="I148" s="752">
        <f>SUM(D148*H148/F148)</f>
        <v>238.00000000000003</v>
      </c>
      <c r="J148" s="12" t="s">
        <v>2322</v>
      </c>
    </row>
    <row r="149" spans="1:10">
      <c r="A149" s="746"/>
      <c r="B149" s="671"/>
      <c r="C149" s="764" t="s">
        <v>1662</v>
      </c>
      <c r="D149" s="747">
        <v>1</v>
      </c>
      <c r="E149" s="765" t="s">
        <v>27</v>
      </c>
      <c r="F149" s="749">
        <v>1</v>
      </c>
      <c r="G149" s="765" t="s">
        <v>27</v>
      </c>
      <c r="H149" s="751">
        <f>'MINI SSR 2022-23 (2)'!$H$17</f>
        <v>570</v>
      </c>
      <c r="I149" s="752">
        <f>SUM(D149*H149/F149)</f>
        <v>570</v>
      </c>
      <c r="J149" s="12" t="s">
        <v>2322</v>
      </c>
    </row>
    <row r="150" spans="1:10">
      <c r="A150" s="746"/>
      <c r="B150" s="671"/>
      <c r="C150" s="764" t="s">
        <v>700</v>
      </c>
      <c r="D150" s="747">
        <v>0.34</v>
      </c>
      <c r="E150" s="765" t="s">
        <v>27</v>
      </c>
      <c r="F150" s="749">
        <v>1</v>
      </c>
      <c r="G150" s="765" t="s">
        <v>27</v>
      </c>
      <c r="H150" s="1026">
        <f>'MINI SSR 2022-23 (2)'!$H$18</f>
        <v>505</v>
      </c>
      <c r="I150" s="752">
        <f>SUM(D150*H150/F150)</f>
        <v>171.70000000000002</v>
      </c>
      <c r="J150" s="12" t="s">
        <v>2322</v>
      </c>
    </row>
    <row r="151" spans="1:10">
      <c r="A151" s="746"/>
      <c r="B151" s="671"/>
      <c r="C151" s="777" t="s">
        <v>2089</v>
      </c>
      <c r="D151" s="747">
        <v>100</v>
      </c>
      <c r="E151" s="750" t="s">
        <v>395</v>
      </c>
      <c r="F151" s="749">
        <v>100</v>
      </c>
      <c r="G151" s="750" t="s">
        <v>395</v>
      </c>
      <c r="H151" s="751">
        <f>'MINI SSR 2022-23 (2)'!C134</f>
        <v>1375</v>
      </c>
      <c r="I151" s="752">
        <f>SUM(D151*H151/F151)</f>
        <v>1375</v>
      </c>
      <c r="J151" s="12" t="s">
        <v>2322</v>
      </c>
    </row>
    <row r="152" spans="1:10">
      <c r="A152" s="746"/>
      <c r="B152" s="671"/>
      <c r="C152" s="753" t="s">
        <v>399</v>
      </c>
      <c r="D152" s="747"/>
      <c r="E152" s="750"/>
      <c r="F152" s="749"/>
      <c r="G152" s="750"/>
      <c r="H152" s="751"/>
      <c r="I152" s="752">
        <f>SUM(I148:I151)</f>
        <v>2354.6999999999998</v>
      </c>
      <c r="J152" s="12" t="s">
        <v>2322</v>
      </c>
    </row>
    <row r="153" spans="1:10">
      <c r="A153" s="746"/>
      <c r="B153" s="671"/>
      <c r="C153" s="753" t="s">
        <v>400</v>
      </c>
      <c r="D153" s="747"/>
      <c r="E153" s="750"/>
      <c r="F153" s="749"/>
      <c r="G153" s="750"/>
      <c r="H153" s="751"/>
      <c r="I153" s="752">
        <f>ROUND(I152/100,2)</f>
        <v>23.55</v>
      </c>
      <c r="J153" s="12" t="s">
        <v>2322</v>
      </c>
    </row>
    <row r="154" spans="1:10" s="1028" customFormat="1" ht="46.5" customHeight="1">
      <c r="A154" s="1089" t="s">
        <v>723</v>
      </c>
      <c r="B154" s="1020">
        <v>9</v>
      </c>
      <c r="C154" s="1029" t="s">
        <v>401</v>
      </c>
      <c r="D154" s="1030"/>
      <c r="E154" s="1031"/>
      <c r="F154" s="1030"/>
      <c r="G154" s="1031"/>
      <c r="H154" s="1021"/>
      <c r="I154" s="1027"/>
      <c r="J154" s="1010" t="s">
        <v>2322</v>
      </c>
    </row>
    <row r="155" spans="1:10" s="1028" customFormat="1" ht="22.5">
      <c r="A155" s="1020"/>
      <c r="B155" s="1021"/>
      <c r="C155" s="1029" t="s">
        <v>391</v>
      </c>
      <c r="D155" s="1022"/>
      <c r="E155" s="1025"/>
      <c r="F155" s="1024"/>
      <c r="G155" s="1025"/>
      <c r="H155" s="1026"/>
      <c r="I155" s="1027"/>
      <c r="J155" s="1010" t="s">
        <v>2322</v>
      </c>
    </row>
    <row r="156" spans="1:10" s="1028" customFormat="1">
      <c r="A156" s="1020"/>
      <c r="B156" s="1021"/>
      <c r="C156" s="1029" t="s">
        <v>384</v>
      </c>
      <c r="D156" s="1022"/>
      <c r="E156" s="1025"/>
      <c r="F156" s="1024"/>
      <c r="G156" s="1025"/>
      <c r="H156" s="1026"/>
      <c r="I156" s="1027"/>
      <c r="J156" s="1010" t="s">
        <v>2322</v>
      </c>
    </row>
    <row r="157" spans="1:10" s="1028" customFormat="1">
      <c r="A157" s="1020"/>
      <c r="B157" s="1021"/>
      <c r="C157" s="1040" t="s">
        <v>1661</v>
      </c>
      <c r="D157" s="1022">
        <v>0.67</v>
      </c>
      <c r="E157" s="1041" t="s">
        <v>27</v>
      </c>
      <c r="F157" s="1024">
        <v>1</v>
      </c>
      <c r="G157" s="1041" t="s">
        <v>27</v>
      </c>
      <c r="H157" s="1026">
        <f>'MINI SSR 2022-23 (2)'!$H$16</f>
        <v>700</v>
      </c>
      <c r="I157" s="1027">
        <f>SUM(D157*H157/F157)</f>
        <v>469</v>
      </c>
      <c r="J157" s="1010" t="s">
        <v>2322</v>
      </c>
    </row>
    <row r="158" spans="1:10" s="1028" customFormat="1">
      <c r="A158" s="1020"/>
      <c r="B158" s="1021"/>
      <c r="C158" s="1040" t="s">
        <v>1662</v>
      </c>
      <c r="D158" s="1022">
        <v>2</v>
      </c>
      <c r="E158" s="1041" t="s">
        <v>27</v>
      </c>
      <c r="F158" s="1024">
        <v>1</v>
      </c>
      <c r="G158" s="1041" t="s">
        <v>27</v>
      </c>
      <c r="H158" s="1026">
        <f>'MINI SSR 2022-23 (2)'!$H$17</f>
        <v>570</v>
      </c>
      <c r="I158" s="1027">
        <f>SUM(D158*H158/F158)</f>
        <v>1140</v>
      </c>
      <c r="J158" s="1010" t="s">
        <v>2322</v>
      </c>
    </row>
    <row r="159" spans="1:10" s="1028" customFormat="1">
      <c r="A159" s="1020"/>
      <c r="B159" s="1021"/>
      <c r="C159" s="1040" t="s">
        <v>700</v>
      </c>
      <c r="D159" s="1022">
        <v>0.67</v>
      </c>
      <c r="E159" s="1041" t="s">
        <v>27</v>
      </c>
      <c r="F159" s="1024">
        <v>1</v>
      </c>
      <c r="G159" s="1041" t="s">
        <v>27</v>
      </c>
      <c r="H159" s="1026">
        <f>'MINI SSR 2022-23 (2)'!$H$18</f>
        <v>505</v>
      </c>
      <c r="I159" s="1027">
        <f>SUM(D159*H159/F159)</f>
        <v>338.35</v>
      </c>
      <c r="J159" s="1010" t="s">
        <v>2322</v>
      </c>
    </row>
    <row r="160" spans="1:10" s="1028" customFormat="1">
      <c r="A160" s="1020"/>
      <c r="B160" s="1021"/>
      <c r="C160" s="1029" t="s">
        <v>327</v>
      </c>
      <c r="D160" s="1022"/>
      <c r="E160" s="1041"/>
      <c r="F160" s="1024"/>
      <c r="G160" s="1041"/>
      <c r="H160" s="1026"/>
      <c r="I160" s="1027"/>
      <c r="J160" s="1010" t="s">
        <v>2322</v>
      </c>
    </row>
    <row r="161" spans="1:10" s="1028" customFormat="1" ht="33.75">
      <c r="A161" s="1020"/>
      <c r="B161" s="1021"/>
      <c r="C161" s="1090" t="s">
        <v>1666</v>
      </c>
      <c r="D161" s="1022">
        <v>200</v>
      </c>
      <c r="E161" s="1025" t="s">
        <v>395</v>
      </c>
      <c r="F161" s="1024">
        <v>100</v>
      </c>
      <c r="G161" s="1025" t="s">
        <v>395</v>
      </c>
      <c r="H161" s="1026">
        <f>'MINI SSR 2022-23 (2)'!C129</f>
        <v>3193</v>
      </c>
      <c r="I161" s="1027">
        <f>SUM(D161*H161/F161)</f>
        <v>6386</v>
      </c>
      <c r="J161" s="1010" t="s">
        <v>2322</v>
      </c>
    </row>
    <row r="162" spans="1:10" s="1028" customFormat="1">
      <c r="A162" s="1020"/>
      <c r="B162" s="1021"/>
      <c r="C162" s="1029" t="s">
        <v>399</v>
      </c>
      <c r="D162" s="1022"/>
      <c r="E162" s="1025"/>
      <c r="F162" s="1024"/>
      <c r="G162" s="1025"/>
      <c r="H162" s="1026"/>
      <c r="I162" s="1027">
        <f>SUM(I157:I161)</f>
        <v>8333.35</v>
      </c>
      <c r="J162" s="1010" t="s">
        <v>2322</v>
      </c>
    </row>
    <row r="163" spans="1:10" s="1028" customFormat="1">
      <c r="A163" s="1020"/>
      <c r="B163" s="1021"/>
      <c r="C163" s="1029" t="s">
        <v>400</v>
      </c>
      <c r="D163" s="1022"/>
      <c r="E163" s="1025"/>
      <c r="F163" s="1024"/>
      <c r="G163" s="1025"/>
      <c r="H163" s="1026"/>
      <c r="I163" s="1027">
        <f>SUM(I162/100)</f>
        <v>83.333500000000001</v>
      </c>
      <c r="J163" s="1010" t="s">
        <v>2322</v>
      </c>
    </row>
    <row r="164" spans="1:10" ht="45">
      <c r="A164" s="776" t="s">
        <v>724</v>
      </c>
      <c r="B164" s="746">
        <v>11</v>
      </c>
      <c r="C164" s="753" t="s">
        <v>402</v>
      </c>
      <c r="D164" s="754"/>
      <c r="E164" s="755"/>
      <c r="F164" s="754"/>
      <c r="G164" s="755"/>
      <c r="H164" s="671"/>
      <c r="I164" s="752"/>
      <c r="J164" s="12" t="s">
        <v>2322</v>
      </c>
    </row>
    <row r="165" spans="1:10" ht="22.5">
      <c r="A165" s="751"/>
      <c r="B165" s="671"/>
      <c r="C165" s="753" t="s">
        <v>403</v>
      </c>
      <c r="D165" s="747"/>
      <c r="E165" s="750"/>
      <c r="F165" s="749"/>
      <c r="G165" s="750"/>
      <c r="H165" s="751"/>
      <c r="I165" s="752"/>
      <c r="J165" s="12" t="s">
        <v>2322</v>
      </c>
    </row>
    <row r="166" spans="1:10">
      <c r="A166" s="751"/>
      <c r="B166" s="671"/>
      <c r="C166" s="753" t="s">
        <v>384</v>
      </c>
      <c r="D166" s="747"/>
      <c r="E166" s="750"/>
      <c r="F166" s="749"/>
      <c r="G166" s="750"/>
      <c r="H166" s="751"/>
      <c r="I166" s="752"/>
      <c r="J166" s="12" t="s">
        <v>2322</v>
      </c>
    </row>
    <row r="167" spans="1:10">
      <c r="A167" s="751"/>
      <c r="B167" s="671"/>
      <c r="C167" s="764" t="s">
        <v>1661</v>
      </c>
      <c r="D167" s="747">
        <v>1</v>
      </c>
      <c r="E167" s="765" t="s">
        <v>27</v>
      </c>
      <c r="F167" s="749">
        <v>1</v>
      </c>
      <c r="G167" s="765" t="s">
        <v>27</v>
      </c>
      <c r="H167" s="751">
        <f>'MINI SSR 2022-23 (2)'!$H$16</f>
        <v>700</v>
      </c>
      <c r="I167" s="752">
        <f>SUM(D167*H167/F167)</f>
        <v>700</v>
      </c>
      <c r="J167" s="12" t="s">
        <v>2322</v>
      </c>
    </row>
    <row r="168" spans="1:10">
      <c r="A168" s="751"/>
      <c r="B168" s="671"/>
      <c r="C168" s="764" t="s">
        <v>1662</v>
      </c>
      <c r="D168" s="747">
        <v>3</v>
      </c>
      <c r="E168" s="765" t="s">
        <v>27</v>
      </c>
      <c r="F168" s="749">
        <v>1</v>
      </c>
      <c r="G168" s="765" t="s">
        <v>27</v>
      </c>
      <c r="H168" s="751">
        <f>'MINI SSR 2022-23 (2)'!$H$17</f>
        <v>570</v>
      </c>
      <c r="I168" s="752">
        <f>SUM(D168*H168/F168)</f>
        <v>1710</v>
      </c>
      <c r="J168" s="12" t="s">
        <v>2322</v>
      </c>
    </row>
    <row r="169" spans="1:10">
      <c r="A169" s="751"/>
      <c r="B169" s="671"/>
      <c r="C169" s="764" t="s">
        <v>700</v>
      </c>
      <c r="D169" s="747">
        <v>1</v>
      </c>
      <c r="E169" s="765" t="s">
        <v>27</v>
      </c>
      <c r="F169" s="749">
        <v>1</v>
      </c>
      <c r="G169" s="765" t="s">
        <v>27</v>
      </c>
      <c r="H169" s="1026">
        <f>'MINI SSR 2022-23 (2)'!$H$18</f>
        <v>505</v>
      </c>
      <c r="I169" s="752">
        <f>SUM(D169*H169/F169)</f>
        <v>505</v>
      </c>
      <c r="J169" s="12" t="s">
        <v>2322</v>
      </c>
    </row>
    <row r="170" spans="1:10">
      <c r="A170" s="751"/>
      <c r="B170" s="671"/>
      <c r="C170" s="753" t="s">
        <v>327</v>
      </c>
      <c r="D170" s="747"/>
      <c r="E170" s="765"/>
      <c r="F170" s="749"/>
      <c r="G170" s="765"/>
      <c r="H170" s="751"/>
      <c r="I170" s="752"/>
      <c r="J170" s="12" t="s">
        <v>2322</v>
      </c>
    </row>
    <row r="171" spans="1:10" ht="33.75">
      <c r="A171" s="751"/>
      <c r="B171" s="671"/>
      <c r="C171" s="777" t="s">
        <v>1667</v>
      </c>
      <c r="D171" s="747">
        <v>200</v>
      </c>
      <c r="E171" s="750" t="s">
        <v>395</v>
      </c>
      <c r="F171" s="749">
        <v>100</v>
      </c>
      <c r="G171" s="750" t="s">
        <v>395</v>
      </c>
      <c r="H171" s="751">
        <f>'MINI SSR 2022-23 (2)'!C130</f>
        <v>4875</v>
      </c>
      <c r="I171" s="752">
        <f>SUM(D171*H171/F171)</f>
        <v>9750</v>
      </c>
      <c r="J171" s="12" t="s">
        <v>2322</v>
      </c>
    </row>
    <row r="172" spans="1:10">
      <c r="A172" s="751"/>
      <c r="B172" s="671"/>
      <c r="C172" s="753" t="s">
        <v>399</v>
      </c>
      <c r="D172" s="747"/>
      <c r="E172" s="750"/>
      <c r="F172" s="749"/>
      <c r="G172" s="750"/>
      <c r="H172" s="751"/>
      <c r="I172" s="752">
        <f>SUM(I167:I171)</f>
        <v>12665</v>
      </c>
      <c r="J172" s="12" t="s">
        <v>2322</v>
      </c>
    </row>
    <row r="173" spans="1:10">
      <c r="A173" s="751"/>
      <c r="B173" s="671"/>
      <c r="C173" s="753" t="s">
        <v>400</v>
      </c>
      <c r="D173" s="747"/>
      <c r="E173" s="750"/>
      <c r="F173" s="749"/>
      <c r="G173" s="750"/>
      <c r="H173" s="751"/>
      <c r="I173" s="752">
        <f>SUM(I172/100)</f>
        <v>126.65</v>
      </c>
      <c r="J173" s="12" t="s">
        <v>2322</v>
      </c>
    </row>
    <row r="174" spans="1:10" ht="45">
      <c r="A174" s="776" t="s">
        <v>881</v>
      </c>
      <c r="B174" s="746">
        <v>10</v>
      </c>
      <c r="C174" s="753" t="s">
        <v>882</v>
      </c>
      <c r="D174" s="754"/>
      <c r="E174" s="755"/>
      <c r="F174" s="754"/>
      <c r="G174" s="755"/>
      <c r="H174" s="671"/>
      <c r="I174" s="752"/>
      <c r="J174" s="12" t="s">
        <v>2322</v>
      </c>
    </row>
    <row r="175" spans="1:10">
      <c r="A175" s="751"/>
      <c r="B175" s="671"/>
      <c r="C175" s="753" t="s">
        <v>384</v>
      </c>
      <c r="D175" s="747"/>
      <c r="E175" s="750"/>
      <c r="F175" s="749"/>
      <c r="G175" s="750"/>
      <c r="H175" s="751"/>
      <c r="I175" s="752"/>
      <c r="J175" s="12" t="s">
        <v>2322</v>
      </c>
    </row>
    <row r="176" spans="1:10">
      <c r="A176" s="751"/>
      <c r="B176" s="671"/>
      <c r="C176" s="764" t="s">
        <v>156</v>
      </c>
      <c r="D176" s="747">
        <v>1</v>
      </c>
      <c r="E176" s="765" t="s">
        <v>27</v>
      </c>
      <c r="F176" s="749">
        <v>1</v>
      </c>
      <c r="G176" s="765" t="s">
        <v>27</v>
      </c>
      <c r="H176" s="751">
        <f>'MINI SSR 2022-23 (2)'!$H$16</f>
        <v>700</v>
      </c>
      <c r="I176" s="752">
        <f>SUM(D176*H176/F176)</f>
        <v>700</v>
      </c>
      <c r="J176" s="12" t="s">
        <v>2322</v>
      </c>
    </row>
    <row r="177" spans="1:10">
      <c r="A177" s="751"/>
      <c r="B177" s="671"/>
      <c r="C177" s="764" t="s">
        <v>886</v>
      </c>
      <c r="D177" s="747">
        <v>1</v>
      </c>
      <c r="E177" s="765" t="s">
        <v>27</v>
      </c>
      <c r="F177" s="749">
        <v>1</v>
      </c>
      <c r="G177" s="765" t="s">
        <v>27</v>
      </c>
      <c r="H177" s="751">
        <f>'MINI SSR 2022-23 (2)'!$H$17</f>
        <v>570</v>
      </c>
      <c r="I177" s="752">
        <f>SUM(D177*H177/F177)</f>
        <v>570</v>
      </c>
      <c r="J177" s="12" t="s">
        <v>2322</v>
      </c>
    </row>
    <row r="178" spans="1:10">
      <c r="A178" s="751"/>
      <c r="B178" s="671"/>
      <c r="C178" s="764" t="s">
        <v>700</v>
      </c>
      <c r="D178" s="747">
        <v>1</v>
      </c>
      <c r="E178" s="765" t="s">
        <v>27</v>
      </c>
      <c r="F178" s="749">
        <v>1</v>
      </c>
      <c r="G178" s="765" t="s">
        <v>27</v>
      </c>
      <c r="H178" s="1026">
        <f>'MINI SSR 2022-23 (2)'!$H$18</f>
        <v>505</v>
      </c>
      <c r="I178" s="752">
        <f>SUM(D178*H178/F178)</f>
        <v>505</v>
      </c>
      <c r="J178" s="12" t="s">
        <v>2322</v>
      </c>
    </row>
    <row r="179" spans="1:10">
      <c r="A179" s="751"/>
      <c r="B179" s="671"/>
      <c r="C179" s="753" t="s">
        <v>327</v>
      </c>
      <c r="D179" s="747"/>
      <c r="E179" s="765"/>
      <c r="F179" s="749"/>
      <c r="G179" s="765"/>
      <c r="H179" s="751"/>
      <c r="I179" s="752"/>
      <c r="J179" s="12" t="s">
        <v>2322</v>
      </c>
    </row>
    <row r="180" spans="1:10">
      <c r="A180" s="751"/>
      <c r="B180" s="671"/>
      <c r="C180" s="777" t="s">
        <v>883</v>
      </c>
      <c r="D180" s="747">
        <v>200</v>
      </c>
      <c r="E180" s="750" t="s">
        <v>395</v>
      </c>
      <c r="F180" s="749">
        <v>100</v>
      </c>
      <c r="G180" s="750" t="s">
        <v>395</v>
      </c>
      <c r="H180" s="751">
        <f>'MINI SSR 2022-23 (2)'!C131</f>
        <v>1816</v>
      </c>
      <c r="I180" s="752">
        <f>SUM(D180*H180/F180)</f>
        <v>3632</v>
      </c>
      <c r="J180" s="12" t="s">
        <v>2322</v>
      </c>
    </row>
    <row r="181" spans="1:10">
      <c r="A181" s="751"/>
      <c r="B181" s="671"/>
      <c r="C181" s="777" t="s">
        <v>884</v>
      </c>
      <c r="D181" s="747">
        <v>6.7</v>
      </c>
      <c r="E181" s="750" t="s">
        <v>4</v>
      </c>
      <c r="F181" s="749">
        <v>1</v>
      </c>
      <c r="G181" s="750" t="s">
        <v>4</v>
      </c>
      <c r="H181" s="751">
        <f>'MINI SSR 2022-23 (2)'!C132</f>
        <v>79</v>
      </c>
      <c r="I181" s="752">
        <f>SUM(D181*H181/F181)</f>
        <v>529.30000000000007</v>
      </c>
      <c r="J181" s="12" t="s">
        <v>2322</v>
      </c>
    </row>
    <row r="182" spans="1:10">
      <c r="A182" s="751"/>
      <c r="B182" s="671"/>
      <c r="C182" s="777" t="s">
        <v>885</v>
      </c>
      <c r="D182" s="747">
        <v>100</v>
      </c>
      <c r="E182" s="750" t="s">
        <v>325</v>
      </c>
      <c r="F182" s="749">
        <v>100</v>
      </c>
      <c r="G182" s="750" t="s">
        <v>115</v>
      </c>
      <c r="H182" s="751">
        <f>'MINI SSR 2022-23 (2)'!C133</f>
        <v>520</v>
      </c>
      <c r="I182" s="752">
        <f>SUM(D182*H182/F182)</f>
        <v>520</v>
      </c>
      <c r="J182" s="12" t="s">
        <v>2322</v>
      </c>
    </row>
    <row r="183" spans="1:10">
      <c r="A183" s="751"/>
      <c r="B183" s="671"/>
      <c r="C183" s="753" t="s">
        <v>399</v>
      </c>
      <c r="D183" s="747"/>
      <c r="E183" s="750"/>
      <c r="F183" s="749"/>
      <c r="G183" s="750"/>
      <c r="H183" s="751"/>
      <c r="I183" s="752">
        <f>SUM(I176:I182)</f>
        <v>6456.3</v>
      </c>
      <c r="J183" s="12" t="s">
        <v>2322</v>
      </c>
    </row>
    <row r="184" spans="1:10">
      <c r="A184" s="751"/>
      <c r="B184" s="671"/>
      <c r="C184" s="753" t="s">
        <v>400</v>
      </c>
      <c r="D184" s="747"/>
      <c r="E184" s="750"/>
      <c r="F184" s="749"/>
      <c r="G184" s="750"/>
      <c r="H184" s="751"/>
      <c r="I184" s="752">
        <f>SUM(I183/100)</f>
        <v>64.563000000000002</v>
      </c>
      <c r="J184" s="12" t="s">
        <v>2322</v>
      </c>
    </row>
    <row r="185" spans="1:10" s="1028" customFormat="1" ht="33.75">
      <c r="A185" s="1089" t="s">
        <v>725</v>
      </c>
      <c r="B185" s="1020">
        <v>10</v>
      </c>
      <c r="C185" s="1029" t="s">
        <v>1268</v>
      </c>
      <c r="D185" s="1033"/>
      <c r="E185" s="1023"/>
      <c r="F185" s="1033"/>
      <c r="G185" s="1023"/>
      <c r="H185" s="1029"/>
      <c r="I185" s="1029"/>
      <c r="J185" s="1010" t="s">
        <v>2322</v>
      </c>
    </row>
    <row r="186" spans="1:10" s="1028" customFormat="1" ht="22.5">
      <c r="A186" s="1020"/>
      <c r="B186" s="1021"/>
      <c r="C186" s="1029" t="s">
        <v>404</v>
      </c>
      <c r="D186" s="1033"/>
      <c r="E186" s="1023"/>
      <c r="F186" s="1033"/>
      <c r="G186" s="1023"/>
      <c r="H186" s="1029"/>
      <c r="I186" s="1029"/>
      <c r="J186" s="1010" t="s">
        <v>2322</v>
      </c>
    </row>
    <row r="187" spans="1:10" s="1028" customFormat="1">
      <c r="A187" s="1020"/>
      <c r="B187" s="1021"/>
      <c r="C187" s="1029" t="s">
        <v>384</v>
      </c>
      <c r="D187" s="1022"/>
      <c r="E187" s="1025"/>
      <c r="F187" s="1024"/>
      <c r="G187" s="1025"/>
      <c r="H187" s="1026"/>
      <c r="I187" s="1027"/>
      <c r="J187" s="1010" t="s">
        <v>2322</v>
      </c>
    </row>
    <row r="188" spans="1:10" s="1028" customFormat="1">
      <c r="A188" s="1020"/>
      <c r="B188" s="1021"/>
      <c r="C188" s="1040" t="s">
        <v>1661</v>
      </c>
      <c r="D188" s="1022">
        <v>0.05</v>
      </c>
      <c r="E188" s="1041" t="s">
        <v>27</v>
      </c>
      <c r="F188" s="1024">
        <v>1</v>
      </c>
      <c r="G188" s="1041" t="s">
        <v>27</v>
      </c>
      <c r="H188" s="1026">
        <f>'MINI SSR 2022-23 (2)'!$H$16</f>
        <v>700</v>
      </c>
      <c r="I188" s="1027">
        <f>SUM(D188*H188/F188)</f>
        <v>35</v>
      </c>
      <c r="J188" s="1010" t="s">
        <v>2322</v>
      </c>
    </row>
    <row r="189" spans="1:10" s="1028" customFormat="1">
      <c r="A189" s="1020"/>
      <c r="B189" s="1021"/>
      <c r="C189" s="1040" t="s">
        <v>700</v>
      </c>
      <c r="D189" s="1022">
        <v>0.05</v>
      </c>
      <c r="E189" s="1041" t="s">
        <v>27</v>
      </c>
      <c r="F189" s="1024">
        <v>1</v>
      </c>
      <c r="G189" s="1041" t="s">
        <v>27</v>
      </c>
      <c r="H189" s="1026">
        <f>'MINI SSR 2022-23 (2)'!$H$18</f>
        <v>505</v>
      </c>
      <c r="I189" s="1039">
        <f>SUM(D189*H189/F189)</f>
        <v>25.25</v>
      </c>
      <c r="J189" s="1010" t="s">
        <v>2322</v>
      </c>
    </row>
    <row r="190" spans="1:10" s="1028" customFormat="1">
      <c r="A190" s="1020"/>
      <c r="B190" s="1021"/>
      <c r="C190" s="1029" t="s">
        <v>327</v>
      </c>
      <c r="D190" s="1022"/>
      <c r="E190" s="1041"/>
      <c r="F190" s="1024"/>
      <c r="G190" s="1041"/>
      <c r="H190" s="1026"/>
      <c r="I190" s="1027"/>
      <c r="J190" s="1010" t="s">
        <v>2322</v>
      </c>
    </row>
    <row r="191" spans="1:10" s="1028" customFormat="1" ht="33.75">
      <c r="A191" s="1020"/>
      <c r="B191" s="1021"/>
      <c r="C191" s="1029" t="s">
        <v>1668</v>
      </c>
      <c r="D191" s="1091">
        <v>1</v>
      </c>
      <c r="E191" s="1025" t="s">
        <v>325</v>
      </c>
      <c r="F191" s="1024">
        <v>1</v>
      </c>
      <c r="G191" s="1025" t="s">
        <v>115</v>
      </c>
      <c r="H191" s="1026">
        <f>'MINI SSR 2022-23 (2)'!G114</f>
        <v>21</v>
      </c>
      <c r="I191" s="1027">
        <f>SUM(D191*H191/F191)</f>
        <v>21</v>
      </c>
      <c r="J191" s="1010" t="s">
        <v>2322</v>
      </c>
    </row>
    <row r="192" spans="1:10" s="1028" customFormat="1">
      <c r="A192" s="1020"/>
      <c r="B192" s="1021"/>
      <c r="C192" s="1029" t="s">
        <v>1267</v>
      </c>
      <c r="D192" s="1091">
        <v>1</v>
      </c>
      <c r="E192" s="1025" t="s">
        <v>325</v>
      </c>
      <c r="F192" s="1024">
        <v>1</v>
      </c>
      <c r="G192" s="1025" t="s">
        <v>115</v>
      </c>
      <c r="H192" s="1026">
        <f>'MINI SSR 2022-23 (2)'!G115</f>
        <v>46</v>
      </c>
      <c r="I192" s="1027">
        <f>SUM(D192*H192/F192)</f>
        <v>46</v>
      </c>
      <c r="J192" s="1010" t="s">
        <v>2322</v>
      </c>
    </row>
    <row r="193" spans="1:10" s="1028" customFormat="1">
      <c r="A193" s="1020"/>
      <c r="B193" s="1021"/>
      <c r="C193" s="1029" t="s">
        <v>405</v>
      </c>
      <c r="D193" s="1022"/>
      <c r="E193" s="1041"/>
      <c r="F193" s="1024"/>
      <c r="G193" s="1041"/>
      <c r="H193" s="1026"/>
      <c r="I193" s="1027">
        <f>SUM(I188:I192)</f>
        <v>127.25</v>
      </c>
      <c r="J193" s="1010" t="s">
        <v>2322</v>
      </c>
    </row>
    <row r="194" spans="1:10" s="1028" customFormat="1" ht="45">
      <c r="A194" s="1026" t="s">
        <v>1669</v>
      </c>
      <c r="B194" s="1020">
        <v>11</v>
      </c>
      <c r="C194" s="1029" t="s">
        <v>406</v>
      </c>
      <c r="D194" s="1033"/>
      <c r="E194" s="1023"/>
      <c r="F194" s="1033"/>
      <c r="G194" s="1023"/>
      <c r="H194" s="1029"/>
      <c r="I194" s="1029"/>
      <c r="J194" s="1010" t="s">
        <v>2322</v>
      </c>
    </row>
    <row r="195" spans="1:10" s="1028" customFormat="1" ht="33.75">
      <c r="A195" s="1020"/>
      <c r="B195" s="1020"/>
      <c r="C195" s="1029" t="s">
        <v>407</v>
      </c>
      <c r="D195" s="1097"/>
      <c r="E195" s="1023"/>
      <c r="F195" s="1033"/>
      <c r="G195" s="1023"/>
      <c r="H195" s="1029"/>
      <c r="I195" s="1029"/>
      <c r="J195" s="1010" t="s">
        <v>2322</v>
      </c>
    </row>
    <row r="196" spans="1:10" s="1028" customFormat="1" ht="33.75">
      <c r="A196" s="1020"/>
      <c r="B196" s="1020"/>
      <c r="C196" s="1029" t="s">
        <v>408</v>
      </c>
      <c r="D196" s="1097"/>
      <c r="E196" s="1023"/>
      <c r="F196" s="1033"/>
      <c r="G196" s="1023"/>
      <c r="H196" s="1029"/>
      <c r="I196" s="1029"/>
      <c r="J196" s="1010" t="s">
        <v>2322</v>
      </c>
    </row>
    <row r="197" spans="1:10" s="1028" customFormat="1">
      <c r="A197" s="1020"/>
      <c r="B197" s="1021"/>
      <c r="C197" s="1098" t="s">
        <v>409</v>
      </c>
      <c r="D197" s="1022"/>
      <c r="E197" s="1025"/>
      <c r="F197" s="1024"/>
      <c r="G197" s="1025"/>
      <c r="H197" s="1026"/>
      <c r="I197" s="1027"/>
      <c r="J197" s="1010" t="s">
        <v>2322</v>
      </c>
    </row>
    <row r="198" spans="1:10" s="1028" customFormat="1">
      <c r="A198" s="1020"/>
      <c r="B198" s="1021"/>
      <c r="C198" s="1040" t="s">
        <v>1661</v>
      </c>
      <c r="D198" s="1093">
        <v>0.125</v>
      </c>
      <c r="E198" s="1041" t="s">
        <v>27</v>
      </c>
      <c r="F198" s="1024">
        <v>1</v>
      </c>
      <c r="G198" s="1041" t="s">
        <v>27</v>
      </c>
      <c r="H198" s="1026">
        <f>'MINI SSR 2022-23 (2)'!$H$16</f>
        <v>700</v>
      </c>
      <c r="I198" s="1027">
        <f>SUM(D198*H198/F198)</f>
        <v>87.5</v>
      </c>
      <c r="J198" s="1010" t="s">
        <v>2322</v>
      </c>
    </row>
    <row r="199" spans="1:10" s="1028" customFormat="1">
      <c r="A199" s="1020"/>
      <c r="B199" s="1021"/>
      <c r="C199" s="1040" t="s">
        <v>700</v>
      </c>
      <c r="D199" s="1093">
        <v>0.125</v>
      </c>
      <c r="E199" s="1041" t="s">
        <v>27</v>
      </c>
      <c r="F199" s="1024">
        <v>1</v>
      </c>
      <c r="G199" s="1041" t="s">
        <v>27</v>
      </c>
      <c r="H199" s="1026">
        <f>'MINI SSR 2022-23 (2)'!$H$18</f>
        <v>505</v>
      </c>
      <c r="I199" s="1039">
        <f>SUM(D199*H199/F199)</f>
        <v>63.125</v>
      </c>
      <c r="J199" s="1010" t="s">
        <v>2322</v>
      </c>
    </row>
    <row r="200" spans="1:10" s="1028" customFormat="1">
      <c r="A200" s="1020"/>
      <c r="B200" s="1021"/>
      <c r="C200" s="1029" t="s">
        <v>410</v>
      </c>
      <c r="D200" s="1022"/>
      <c r="E200" s="1041"/>
      <c r="F200" s="1024"/>
      <c r="G200" s="1041"/>
      <c r="H200" s="1026"/>
      <c r="I200" s="1027"/>
      <c r="J200" s="1010" t="s">
        <v>2322</v>
      </c>
    </row>
    <row r="201" spans="1:10" s="1028" customFormat="1">
      <c r="A201" s="1020"/>
      <c r="B201" s="1021"/>
      <c r="C201" s="1090" t="s">
        <v>1670</v>
      </c>
      <c r="D201" s="1022">
        <v>1</v>
      </c>
      <c r="E201" s="1025" t="s">
        <v>385</v>
      </c>
      <c r="F201" s="1024">
        <v>100</v>
      </c>
      <c r="G201" s="1025" t="s">
        <v>395</v>
      </c>
      <c r="H201" s="1026">
        <f>'MINI SSR 2022-23 (2)'!G116</f>
        <v>1244</v>
      </c>
      <c r="I201" s="1027">
        <f>SUM(D201*H201/F201)</f>
        <v>12.44</v>
      </c>
      <c r="J201" s="1010" t="s">
        <v>2322</v>
      </c>
    </row>
    <row r="202" spans="1:10" s="1028" customFormat="1">
      <c r="A202" s="1020"/>
      <c r="B202" s="1021"/>
      <c r="C202" s="1090" t="s">
        <v>1671</v>
      </c>
      <c r="D202" s="1022">
        <v>1</v>
      </c>
      <c r="E202" s="1025" t="s">
        <v>115</v>
      </c>
      <c r="F202" s="1024">
        <v>1</v>
      </c>
      <c r="G202" s="1025" t="s">
        <v>115</v>
      </c>
      <c r="H202" s="1026">
        <f>'MINI SSR 2022-23 (2)'!G117</f>
        <v>208</v>
      </c>
      <c r="I202" s="1027">
        <f>SUM(D202*H202/F202)</f>
        <v>208</v>
      </c>
      <c r="J202" s="1010" t="s">
        <v>2322</v>
      </c>
    </row>
    <row r="203" spans="1:10" s="1028" customFormat="1">
      <c r="A203" s="1020"/>
      <c r="B203" s="1021"/>
      <c r="C203" s="1090" t="s">
        <v>1672</v>
      </c>
      <c r="D203" s="1022">
        <v>1</v>
      </c>
      <c r="E203" s="1025" t="s">
        <v>325</v>
      </c>
      <c r="F203" s="1024">
        <v>1</v>
      </c>
      <c r="G203" s="1025" t="s">
        <v>325</v>
      </c>
      <c r="H203" s="1026">
        <f>'MINI SSR 2022-23 (2)'!G118</f>
        <v>2912</v>
      </c>
      <c r="I203" s="1027">
        <f>SUM(D203*H203/F203)</f>
        <v>2912</v>
      </c>
      <c r="J203" s="1010" t="s">
        <v>2322</v>
      </c>
    </row>
    <row r="204" spans="1:10" s="1028" customFormat="1">
      <c r="A204" s="1020"/>
      <c r="B204" s="1021"/>
      <c r="C204" s="1029" t="s">
        <v>411</v>
      </c>
      <c r="D204" s="1022"/>
      <c r="E204" s="1025"/>
      <c r="F204" s="1024"/>
      <c r="G204" s="1025"/>
      <c r="H204" s="1099">
        <v>0.01</v>
      </c>
      <c r="I204" s="1027">
        <f>SUM(I203*H204)</f>
        <v>29.12</v>
      </c>
      <c r="J204" s="1010" t="s">
        <v>2322</v>
      </c>
    </row>
    <row r="205" spans="1:10" s="1028" customFormat="1">
      <c r="A205" s="1020"/>
      <c r="B205" s="1021"/>
      <c r="C205" s="1034" t="s">
        <v>388</v>
      </c>
      <c r="D205" s="1030"/>
      <c r="E205" s="1031"/>
      <c r="F205" s="1030"/>
      <c r="G205" s="1100"/>
      <c r="H205" s="1096"/>
      <c r="I205" s="1027">
        <f>SUM(I198:I204)</f>
        <v>3312.1849999999999</v>
      </c>
      <c r="J205" s="1010" t="s">
        <v>2322</v>
      </c>
    </row>
    <row r="206" spans="1:10" ht="33.75">
      <c r="A206" s="751" t="s">
        <v>1673</v>
      </c>
      <c r="B206" s="746">
        <v>12</v>
      </c>
      <c r="C206" s="753" t="s">
        <v>946</v>
      </c>
      <c r="D206" s="757"/>
      <c r="E206" s="748"/>
      <c r="F206" s="757"/>
      <c r="G206" s="748"/>
      <c r="H206" s="753"/>
      <c r="I206" s="753"/>
      <c r="J206" s="12" t="s">
        <v>2322</v>
      </c>
    </row>
    <row r="207" spans="1:10">
      <c r="A207" s="746"/>
      <c r="B207" s="671"/>
      <c r="C207" s="777" t="s">
        <v>970</v>
      </c>
      <c r="D207" s="747">
        <v>1</v>
      </c>
      <c r="E207" s="750" t="s">
        <v>325</v>
      </c>
      <c r="F207" s="749">
        <v>1</v>
      </c>
      <c r="G207" s="750" t="s">
        <v>325</v>
      </c>
      <c r="H207" s="751">
        <f>'MINI SSR 2022-23 (2)'!G118</f>
        <v>2912</v>
      </c>
      <c r="I207" s="752">
        <f>SUM(D207*H207/F207)</f>
        <v>2912</v>
      </c>
      <c r="J207" s="12" t="s">
        <v>2322</v>
      </c>
    </row>
    <row r="208" spans="1:10">
      <c r="A208" s="746"/>
      <c r="B208" s="671"/>
      <c r="C208" s="753" t="s">
        <v>411</v>
      </c>
      <c r="D208" s="747"/>
      <c r="E208" s="750"/>
      <c r="F208" s="749"/>
      <c r="G208" s="750"/>
      <c r="H208" s="784">
        <v>0.01</v>
      </c>
      <c r="I208" s="752">
        <f>SUM(I207*H208)</f>
        <v>29.12</v>
      </c>
      <c r="J208" s="12" t="s">
        <v>2322</v>
      </c>
    </row>
    <row r="209" spans="1:10">
      <c r="A209" s="746"/>
      <c r="B209" s="671"/>
      <c r="C209" s="758" t="s">
        <v>388</v>
      </c>
      <c r="D209" s="754"/>
      <c r="E209" s="755"/>
      <c r="F209" s="754"/>
      <c r="G209" s="785"/>
      <c r="H209" s="782"/>
      <c r="I209" s="752">
        <f>SUM(I207:I208)</f>
        <v>2941.12</v>
      </c>
      <c r="J209" s="12" t="s">
        <v>2322</v>
      </c>
    </row>
    <row r="210" spans="1:10" ht="22.5">
      <c r="A210" s="751" t="s">
        <v>1674</v>
      </c>
      <c r="B210" s="746">
        <v>13</v>
      </c>
      <c r="C210" s="753" t="s">
        <v>1675</v>
      </c>
      <c r="D210" s="757"/>
      <c r="E210" s="748"/>
      <c r="F210" s="757"/>
      <c r="G210" s="748"/>
      <c r="H210" s="753"/>
      <c r="I210" s="753"/>
      <c r="J210" s="12" t="s">
        <v>2322</v>
      </c>
    </row>
    <row r="211" spans="1:10">
      <c r="A211" s="746"/>
      <c r="B211" s="671"/>
      <c r="C211" s="777" t="s">
        <v>1671</v>
      </c>
      <c r="D211" s="747">
        <v>1</v>
      </c>
      <c r="E211" s="750" t="s">
        <v>325</v>
      </c>
      <c r="F211" s="749">
        <v>1</v>
      </c>
      <c r="G211" s="750" t="s">
        <v>325</v>
      </c>
      <c r="H211" s="751">
        <f>'MINI SSR 2022-23 (2)'!G117</f>
        <v>208</v>
      </c>
      <c r="I211" s="752">
        <f>SUM(D211*H211/F211)</f>
        <v>208</v>
      </c>
      <c r="J211" s="12" t="s">
        <v>2322</v>
      </c>
    </row>
    <row r="212" spans="1:10">
      <c r="A212" s="746"/>
      <c r="B212" s="671"/>
      <c r="C212" s="764" t="s">
        <v>1661</v>
      </c>
      <c r="D212" s="779">
        <v>0.1</v>
      </c>
      <c r="E212" s="765" t="s">
        <v>27</v>
      </c>
      <c r="F212" s="749">
        <v>1</v>
      </c>
      <c r="G212" s="765" t="s">
        <v>27</v>
      </c>
      <c r="H212" s="751">
        <f>'MINI SSR 2022-23 (2)'!$H$16</f>
        <v>700</v>
      </c>
      <c r="I212" s="752">
        <f>SUM(D212*H212/F212)</f>
        <v>70</v>
      </c>
      <c r="J212" s="12" t="s">
        <v>2322</v>
      </c>
    </row>
    <row r="213" spans="1:10">
      <c r="A213" s="746"/>
      <c r="B213" s="671"/>
      <c r="C213" s="753"/>
      <c r="D213" s="747"/>
      <c r="E213" s="750"/>
      <c r="F213" s="749"/>
      <c r="G213" s="750"/>
      <c r="H213" s="784"/>
      <c r="I213" s="752"/>
      <c r="J213" s="12" t="s">
        <v>2322</v>
      </c>
    </row>
    <row r="214" spans="1:10">
      <c r="A214" s="746"/>
      <c r="B214" s="671"/>
      <c r="C214" s="758" t="s">
        <v>388</v>
      </c>
      <c r="D214" s="754"/>
      <c r="E214" s="755"/>
      <c r="F214" s="754"/>
      <c r="G214" s="785"/>
      <c r="H214" s="782"/>
      <c r="I214" s="752">
        <f>SUM(I211:I213)</f>
        <v>278</v>
      </c>
      <c r="J214" s="12" t="s">
        <v>2322</v>
      </c>
    </row>
    <row r="215" spans="1:10" ht="22.5">
      <c r="A215" s="751" t="s">
        <v>1669</v>
      </c>
      <c r="B215" s="746">
        <v>14</v>
      </c>
      <c r="C215" s="753" t="s">
        <v>948</v>
      </c>
      <c r="D215" s="757"/>
      <c r="E215" s="748"/>
      <c r="F215" s="757"/>
      <c r="G215" s="748"/>
      <c r="H215" s="753"/>
      <c r="I215" s="753"/>
      <c r="J215" s="12" t="s">
        <v>2322</v>
      </c>
    </row>
    <row r="216" spans="1:10">
      <c r="A216" s="746"/>
      <c r="B216" s="671"/>
      <c r="C216" s="783" t="s">
        <v>409</v>
      </c>
      <c r="D216" s="747"/>
      <c r="E216" s="750"/>
      <c r="F216" s="749"/>
      <c r="G216" s="750"/>
      <c r="H216" s="751"/>
      <c r="I216" s="752"/>
      <c r="J216" s="12" t="s">
        <v>2322</v>
      </c>
    </row>
    <row r="217" spans="1:10">
      <c r="A217" s="746"/>
      <c r="B217" s="671"/>
      <c r="C217" s="764" t="s">
        <v>1661</v>
      </c>
      <c r="D217" s="779">
        <v>0.125</v>
      </c>
      <c r="E217" s="765" t="s">
        <v>27</v>
      </c>
      <c r="F217" s="749">
        <v>1</v>
      </c>
      <c r="G217" s="765" t="s">
        <v>27</v>
      </c>
      <c r="H217" s="751">
        <f>'MINI SSR 2022-23 (2)'!$H$16</f>
        <v>700</v>
      </c>
      <c r="I217" s="752">
        <f>SUM(D217*H217/F217)</f>
        <v>87.5</v>
      </c>
      <c r="J217" s="12" t="s">
        <v>2322</v>
      </c>
    </row>
    <row r="218" spans="1:10">
      <c r="A218" s="746"/>
      <c r="B218" s="671"/>
      <c r="C218" s="764" t="s">
        <v>700</v>
      </c>
      <c r="D218" s="779">
        <v>0.125</v>
      </c>
      <c r="E218" s="765" t="s">
        <v>27</v>
      </c>
      <c r="F218" s="749">
        <v>1</v>
      </c>
      <c r="G218" s="765" t="s">
        <v>27</v>
      </c>
      <c r="H218" s="1026">
        <f>'MINI SSR 2022-23 (2)'!$H$18</f>
        <v>505</v>
      </c>
      <c r="I218" s="763">
        <f>SUM(D218*H218/F218)</f>
        <v>63.125</v>
      </c>
      <c r="J218" s="12" t="s">
        <v>2322</v>
      </c>
    </row>
    <row r="219" spans="1:10">
      <c r="A219" s="746"/>
      <c r="B219" s="671"/>
      <c r="C219" s="753" t="s">
        <v>410</v>
      </c>
      <c r="D219" s="747"/>
      <c r="E219" s="765"/>
      <c r="F219" s="749"/>
      <c r="G219" s="765"/>
      <c r="H219" s="751"/>
      <c r="I219" s="752"/>
      <c r="J219" s="12" t="s">
        <v>2322</v>
      </c>
    </row>
    <row r="220" spans="1:10">
      <c r="A220" s="746"/>
      <c r="B220" s="671"/>
      <c r="C220" s="777" t="s">
        <v>949</v>
      </c>
      <c r="D220" s="747">
        <v>1</v>
      </c>
      <c r="E220" s="750" t="s">
        <v>385</v>
      </c>
      <c r="F220" s="749">
        <v>100</v>
      </c>
      <c r="G220" s="750" t="s">
        <v>395</v>
      </c>
      <c r="H220" s="751">
        <f>'MINI SSR 2022-23 (2)'!G116</f>
        <v>1244</v>
      </c>
      <c r="I220" s="752">
        <f>SUM(D220*H220/F220)</f>
        <v>12.44</v>
      </c>
      <c r="J220" s="12" t="s">
        <v>2322</v>
      </c>
    </row>
    <row r="221" spans="1:10">
      <c r="A221" s="746"/>
      <c r="B221" s="671"/>
      <c r="C221" s="758" t="s">
        <v>388</v>
      </c>
      <c r="D221" s="754"/>
      <c r="E221" s="755"/>
      <c r="F221" s="754"/>
      <c r="G221" s="785"/>
      <c r="H221" s="782"/>
      <c r="I221" s="752">
        <f>SUM(I217:I220)</f>
        <v>163.065</v>
      </c>
      <c r="J221" s="12" t="s">
        <v>2322</v>
      </c>
    </row>
    <row r="222" spans="1:10" ht="33.75">
      <c r="A222" s="751" t="s">
        <v>1676</v>
      </c>
      <c r="B222" s="746">
        <v>39</v>
      </c>
      <c r="C222" s="753" t="s">
        <v>950</v>
      </c>
      <c r="D222" s="757"/>
      <c r="E222" s="748"/>
      <c r="F222" s="757"/>
      <c r="G222" s="748"/>
      <c r="H222" s="753"/>
      <c r="I222" s="753"/>
      <c r="J222" s="12" t="s">
        <v>2322</v>
      </c>
    </row>
    <row r="223" spans="1:10">
      <c r="A223" s="746"/>
      <c r="B223" s="671"/>
      <c r="C223" s="783" t="s">
        <v>409</v>
      </c>
      <c r="D223" s="747"/>
      <c r="E223" s="750"/>
      <c r="F223" s="749"/>
      <c r="G223" s="750"/>
      <c r="H223" s="751"/>
      <c r="I223" s="752"/>
      <c r="J223" s="12" t="s">
        <v>2322</v>
      </c>
    </row>
    <row r="224" spans="1:10">
      <c r="A224" s="746"/>
      <c r="B224" s="671"/>
      <c r="C224" s="764" t="s">
        <v>700</v>
      </c>
      <c r="D224" s="779">
        <v>0.1</v>
      </c>
      <c r="E224" s="765" t="s">
        <v>27</v>
      </c>
      <c r="F224" s="749">
        <v>1</v>
      </c>
      <c r="G224" s="765" t="s">
        <v>27</v>
      </c>
      <c r="H224" s="1026">
        <f>'MINI SSR 2022-23 (2)'!$H$18</f>
        <v>505</v>
      </c>
      <c r="I224" s="763">
        <f>SUM(D224*H224/F224)</f>
        <v>50.5</v>
      </c>
      <c r="J224" s="12" t="s">
        <v>2322</v>
      </c>
    </row>
    <row r="225" spans="1:10">
      <c r="A225" s="746"/>
      <c r="B225" s="671"/>
      <c r="C225" s="753" t="s">
        <v>410</v>
      </c>
      <c r="D225" s="747"/>
      <c r="E225" s="765"/>
      <c r="F225" s="749"/>
      <c r="G225" s="765"/>
      <c r="H225" s="751"/>
      <c r="I225" s="752"/>
      <c r="J225" s="12" t="s">
        <v>2322</v>
      </c>
    </row>
    <row r="226" spans="1:10" ht="22.5">
      <c r="A226" s="746"/>
      <c r="B226" s="671"/>
      <c r="C226" s="777" t="s">
        <v>1677</v>
      </c>
      <c r="D226" s="747">
        <v>1</v>
      </c>
      <c r="E226" s="750" t="s">
        <v>115</v>
      </c>
      <c r="F226" s="749">
        <v>1</v>
      </c>
      <c r="G226" s="750" t="s">
        <v>115</v>
      </c>
      <c r="H226" s="751">
        <f>'MINI SSR 2022-23 (2)'!G119</f>
        <v>111</v>
      </c>
      <c r="I226" s="752">
        <f>SUM(D226*H226/F226)</f>
        <v>111</v>
      </c>
      <c r="J226" s="12" t="s">
        <v>2322</v>
      </c>
    </row>
    <row r="227" spans="1:10">
      <c r="A227" s="746"/>
      <c r="B227" s="671"/>
      <c r="C227" s="758" t="s">
        <v>388</v>
      </c>
      <c r="D227" s="754"/>
      <c r="E227" s="755"/>
      <c r="F227" s="754"/>
      <c r="G227" s="785"/>
      <c r="H227" s="782"/>
      <c r="I227" s="752">
        <f>SUM(I224:I226)</f>
        <v>161.5</v>
      </c>
      <c r="J227" s="12" t="s">
        <v>2322</v>
      </c>
    </row>
    <row r="228" spans="1:10" ht="22.5">
      <c r="A228" s="751" t="s">
        <v>1678</v>
      </c>
      <c r="B228" s="770">
        <v>15</v>
      </c>
      <c r="C228" s="753" t="s">
        <v>1679</v>
      </c>
      <c r="D228" s="754"/>
      <c r="E228" s="755"/>
      <c r="F228" s="754"/>
      <c r="G228" s="755"/>
      <c r="H228" s="756"/>
      <c r="I228" s="756"/>
      <c r="J228" s="12" t="s">
        <v>2322</v>
      </c>
    </row>
    <row r="229" spans="1:10">
      <c r="A229" s="769"/>
      <c r="B229" s="770"/>
      <c r="C229" s="764" t="s">
        <v>1575</v>
      </c>
      <c r="D229" s="747">
        <v>1</v>
      </c>
      <c r="E229" s="765" t="s">
        <v>325</v>
      </c>
      <c r="F229" s="749">
        <v>1</v>
      </c>
      <c r="G229" s="765" t="s">
        <v>325</v>
      </c>
      <c r="H229" s="751">
        <f>'MINI SSR 2022-23 (2)'!G120</f>
        <v>39</v>
      </c>
      <c r="I229" s="763">
        <f>SUM(D229*H229/F229)</f>
        <v>39</v>
      </c>
      <c r="J229" s="12" t="s">
        <v>2322</v>
      </c>
    </row>
    <row r="230" spans="1:10">
      <c r="A230" s="746"/>
      <c r="B230" s="671"/>
      <c r="C230" s="764" t="s">
        <v>1680</v>
      </c>
      <c r="D230" s="779">
        <v>0.16600000000000001</v>
      </c>
      <c r="E230" s="765" t="s">
        <v>27</v>
      </c>
      <c r="F230" s="749">
        <v>1</v>
      </c>
      <c r="G230" s="765" t="s">
        <v>27</v>
      </c>
      <c r="H230" s="751">
        <f>'MINI SSR 2022-23 (2)'!H3</f>
        <v>630</v>
      </c>
      <c r="I230" s="763">
        <f>SUM(D230*H230/F230)</f>
        <v>104.58000000000001</v>
      </c>
      <c r="J230" s="12" t="s">
        <v>2322</v>
      </c>
    </row>
    <row r="231" spans="1:10">
      <c r="A231" s="746"/>
      <c r="B231" s="671"/>
      <c r="C231" s="764" t="s">
        <v>1681</v>
      </c>
      <c r="D231" s="779">
        <v>0.16600000000000001</v>
      </c>
      <c r="E231" s="765" t="s">
        <v>27</v>
      </c>
      <c r="F231" s="749">
        <v>1</v>
      </c>
      <c r="G231" s="765" t="s">
        <v>27</v>
      </c>
      <c r="H231" s="1026">
        <f>'MINI SSR 2022-23 (2)'!$H$18</f>
        <v>505</v>
      </c>
      <c r="I231" s="763">
        <f>SUM(D231*H231/F231)</f>
        <v>83.83</v>
      </c>
      <c r="J231" s="12" t="s">
        <v>2322</v>
      </c>
    </row>
    <row r="232" spans="1:10">
      <c r="A232" s="769"/>
      <c r="B232" s="770"/>
      <c r="C232" s="766"/>
      <c r="D232" s="747"/>
      <c r="E232" s="765"/>
      <c r="F232" s="749"/>
      <c r="G232" s="765"/>
      <c r="H232" s="751"/>
      <c r="I232" s="763">
        <f>SUM(I229:I231)</f>
        <v>227.41000000000003</v>
      </c>
      <c r="J232" s="12" t="s">
        <v>2322</v>
      </c>
    </row>
    <row r="233" spans="1:10" s="1028" customFormat="1" ht="56.25">
      <c r="A233" s="1089" t="s">
        <v>726</v>
      </c>
      <c r="B233" s="1020">
        <v>12</v>
      </c>
      <c r="C233" s="1029" t="s">
        <v>412</v>
      </c>
      <c r="D233" s="1033"/>
      <c r="E233" s="1023"/>
      <c r="F233" s="1033"/>
      <c r="G233" s="1023"/>
      <c r="H233" s="1029"/>
      <c r="I233" s="1029"/>
      <c r="J233" s="1010" t="s">
        <v>2322</v>
      </c>
    </row>
    <row r="234" spans="1:10" s="1028" customFormat="1">
      <c r="A234" s="1020"/>
      <c r="B234" s="1021"/>
      <c r="C234" s="1029" t="s">
        <v>409</v>
      </c>
      <c r="D234" s="1022"/>
      <c r="E234" s="1025"/>
      <c r="F234" s="1024"/>
      <c r="G234" s="1025"/>
      <c r="H234" s="1026"/>
      <c r="I234" s="1027"/>
      <c r="J234" s="1010" t="s">
        <v>2322</v>
      </c>
    </row>
    <row r="235" spans="1:10" s="1028" customFormat="1">
      <c r="A235" s="1020"/>
      <c r="B235" s="1021"/>
      <c r="C235" s="1040" t="s">
        <v>1661</v>
      </c>
      <c r="D235" s="1022">
        <v>0.1</v>
      </c>
      <c r="E235" s="1041" t="s">
        <v>27</v>
      </c>
      <c r="F235" s="1024">
        <v>1</v>
      </c>
      <c r="G235" s="1041" t="s">
        <v>27</v>
      </c>
      <c r="H235" s="1026">
        <f>'MINI SSR 2022-23 (2)'!$H$16</f>
        <v>700</v>
      </c>
      <c r="I235" s="1027">
        <f>SUM(D235*H235/F235)</f>
        <v>70</v>
      </c>
      <c r="J235" s="1010" t="s">
        <v>2322</v>
      </c>
    </row>
    <row r="236" spans="1:10" s="1028" customFormat="1">
      <c r="A236" s="1020"/>
      <c r="B236" s="1021"/>
      <c r="C236" s="1040" t="s">
        <v>1662</v>
      </c>
      <c r="D236" s="1022">
        <v>0.1</v>
      </c>
      <c r="E236" s="1041" t="s">
        <v>27</v>
      </c>
      <c r="F236" s="1024">
        <v>1</v>
      </c>
      <c r="G236" s="1041" t="s">
        <v>27</v>
      </c>
      <c r="H236" s="1026">
        <f>'MINI SSR 2022-23 (2)'!$H$18</f>
        <v>505</v>
      </c>
      <c r="I236" s="1027">
        <f>SUM(D236*H236/F236)</f>
        <v>50.5</v>
      </c>
      <c r="J236" s="1010" t="s">
        <v>2322</v>
      </c>
    </row>
    <row r="237" spans="1:10" s="1028" customFormat="1">
      <c r="A237" s="1020"/>
      <c r="B237" s="1021"/>
      <c r="C237" s="1029" t="s">
        <v>327</v>
      </c>
      <c r="D237" s="1022"/>
      <c r="E237" s="1041"/>
      <c r="F237" s="1024"/>
      <c r="G237" s="1041"/>
      <c r="H237" s="1026"/>
      <c r="I237" s="1027"/>
      <c r="J237" s="1010" t="s">
        <v>2322</v>
      </c>
    </row>
    <row r="238" spans="1:10" s="1028" customFormat="1">
      <c r="A238" s="1020"/>
      <c r="B238" s="1021"/>
      <c r="C238" s="1090" t="s">
        <v>1682</v>
      </c>
      <c r="D238" s="1022">
        <v>1</v>
      </c>
      <c r="E238" s="1025" t="s">
        <v>385</v>
      </c>
      <c r="F238" s="1024">
        <v>100</v>
      </c>
      <c r="G238" s="1025" t="s">
        <v>395</v>
      </c>
      <c r="H238" s="1026">
        <f>'MINI SSR 2022-23 (2)'!G116</f>
        <v>1244</v>
      </c>
      <c r="I238" s="1027">
        <f>SUM(D238*H238/F238)</f>
        <v>12.44</v>
      </c>
      <c r="J238" s="1010" t="s">
        <v>2322</v>
      </c>
    </row>
    <row r="239" spans="1:10" s="1028" customFormat="1">
      <c r="A239" s="1020"/>
      <c r="B239" s="1021"/>
      <c r="C239" s="1090" t="s">
        <v>2106</v>
      </c>
      <c r="D239" s="1091">
        <v>1</v>
      </c>
      <c r="E239" s="1025" t="s">
        <v>115</v>
      </c>
      <c r="F239" s="1024">
        <v>1</v>
      </c>
      <c r="G239" s="1025" t="s">
        <v>115</v>
      </c>
      <c r="H239" s="1026">
        <f>'MINI SSR 2022-23 (2)'!G121</f>
        <v>267</v>
      </c>
      <c r="I239" s="1027">
        <f>SUM(D239*H239/F239)</f>
        <v>267</v>
      </c>
      <c r="J239" s="1010" t="s">
        <v>2322</v>
      </c>
    </row>
    <row r="240" spans="1:10" s="1028" customFormat="1">
      <c r="A240" s="1020"/>
      <c r="B240" s="1021"/>
      <c r="C240" s="1029" t="s">
        <v>405</v>
      </c>
      <c r="D240" s="1022"/>
      <c r="E240" s="1023"/>
      <c r="F240" s="1024"/>
      <c r="G240" s="1025"/>
      <c r="H240" s="1026"/>
      <c r="I240" s="1027">
        <f>SUM(I235:I239)</f>
        <v>399.94</v>
      </c>
      <c r="J240" s="1010" t="s">
        <v>2322</v>
      </c>
    </row>
    <row r="241" spans="1:10" s="1028" customFormat="1">
      <c r="A241" s="1045"/>
      <c r="B241" s="1046"/>
      <c r="C241" s="1045"/>
      <c r="D241" s="1101"/>
      <c r="E241" s="1102"/>
      <c r="F241" s="1101"/>
      <c r="G241" s="1102"/>
      <c r="H241" s="1045"/>
      <c r="I241" s="1045"/>
      <c r="J241" s="1010" t="s">
        <v>2322</v>
      </c>
    </row>
    <row r="242" spans="1:10" s="1028" customFormat="1" ht="67.5">
      <c r="A242" s="1089" t="s">
        <v>727</v>
      </c>
      <c r="B242" s="1020">
        <v>13</v>
      </c>
      <c r="C242" s="1029" t="s">
        <v>698</v>
      </c>
      <c r="D242" s="1033"/>
      <c r="E242" s="1023"/>
      <c r="F242" s="1033"/>
      <c r="G242" s="1023"/>
      <c r="H242" s="1029"/>
      <c r="I242" s="1029"/>
      <c r="J242" s="1010" t="s">
        <v>2322</v>
      </c>
    </row>
    <row r="243" spans="1:10" s="1028" customFormat="1">
      <c r="A243" s="1020"/>
      <c r="B243" s="1021"/>
      <c r="C243" s="1029" t="s">
        <v>409</v>
      </c>
      <c r="D243" s="1022"/>
      <c r="E243" s="1025"/>
      <c r="F243" s="1024"/>
      <c r="G243" s="1025"/>
      <c r="H243" s="1026"/>
      <c r="I243" s="1027"/>
      <c r="J243" s="1010" t="s">
        <v>2322</v>
      </c>
    </row>
    <row r="244" spans="1:10" s="1028" customFormat="1">
      <c r="A244" s="1020"/>
      <c r="B244" s="1021"/>
      <c r="C244" s="1040" t="s">
        <v>699</v>
      </c>
      <c r="D244" s="1022">
        <v>0.5</v>
      </c>
      <c r="E244" s="1041" t="s">
        <v>27</v>
      </c>
      <c r="F244" s="1024">
        <v>1</v>
      </c>
      <c r="G244" s="1041" t="s">
        <v>27</v>
      </c>
      <c r="H244" s="1026">
        <f>'MINI SSR 2022-23 (2)'!$H$16</f>
        <v>700</v>
      </c>
      <c r="I244" s="1027">
        <f>SUM(D244*H244/F244)</f>
        <v>350</v>
      </c>
      <c r="J244" s="1010" t="s">
        <v>2322</v>
      </c>
    </row>
    <row r="245" spans="1:10" s="1028" customFormat="1">
      <c r="A245" s="1020"/>
      <c r="B245" s="1021"/>
      <c r="C245" s="1040" t="s">
        <v>219</v>
      </c>
      <c r="D245" s="1022">
        <v>0.5</v>
      </c>
      <c r="E245" s="1041" t="s">
        <v>27</v>
      </c>
      <c r="F245" s="1024">
        <v>1</v>
      </c>
      <c r="G245" s="1041" t="s">
        <v>27</v>
      </c>
      <c r="H245" s="1026">
        <f>'MINI SSR 2022-23 (2)'!$H$17</f>
        <v>570</v>
      </c>
      <c r="I245" s="1027">
        <f>SUM(D245*H245/F245)</f>
        <v>285</v>
      </c>
      <c r="J245" s="1010" t="s">
        <v>2322</v>
      </c>
    </row>
    <row r="246" spans="1:10" s="1028" customFormat="1">
      <c r="A246" s="1020"/>
      <c r="B246" s="1021"/>
      <c r="C246" s="1040" t="s">
        <v>700</v>
      </c>
      <c r="D246" s="1022">
        <v>1</v>
      </c>
      <c r="E246" s="1041" t="s">
        <v>27</v>
      </c>
      <c r="F246" s="1024">
        <v>1</v>
      </c>
      <c r="G246" s="1041" t="s">
        <v>27</v>
      </c>
      <c r="H246" s="1026">
        <f>'MINI SSR 2022-23 (2)'!$H$18</f>
        <v>505</v>
      </c>
      <c r="I246" s="1039">
        <f>SUM(D246*H246/F246)</f>
        <v>505</v>
      </c>
      <c r="J246" s="1010" t="s">
        <v>2322</v>
      </c>
    </row>
    <row r="247" spans="1:10" s="1028" customFormat="1">
      <c r="A247" s="1020"/>
      <c r="B247" s="1021"/>
      <c r="C247" s="1029" t="s">
        <v>327</v>
      </c>
      <c r="D247" s="1022"/>
      <c r="E247" s="1041"/>
      <c r="F247" s="1024"/>
      <c r="G247" s="1041"/>
      <c r="H247" s="1026"/>
      <c r="I247" s="1027"/>
      <c r="J247" s="1010" t="s">
        <v>2322</v>
      </c>
    </row>
    <row r="248" spans="1:10" s="1028" customFormat="1" ht="22.5">
      <c r="A248" s="1020"/>
      <c r="B248" s="1020"/>
      <c r="C248" s="1029" t="s">
        <v>701</v>
      </c>
      <c r="D248" s="1103">
        <v>1</v>
      </c>
      <c r="E248" s="1023" t="s">
        <v>325</v>
      </c>
      <c r="F248" s="1103">
        <v>1</v>
      </c>
      <c r="G248" s="1023" t="s">
        <v>115</v>
      </c>
      <c r="H248" s="1089">
        <f>'MINI SSR 2022-23 (2)'!G122</f>
        <v>1107</v>
      </c>
      <c r="I248" s="1104">
        <f>SUM(D248*H248/F248)</f>
        <v>1107</v>
      </c>
      <c r="J248" s="1010" t="s">
        <v>2322</v>
      </c>
    </row>
    <row r="249" spans="1:10" s="1028" customFormat="1">
      <c r="A249" s="1020"/>
      <c r="B249" s="1021"/>
      <c r="C249" s="1090" t="s">
        <v>702</v>
      </c>
      <c r="D249" s="1091">
        <v>1</v>
      </c>
      <c r="E249" s="1025" t="s">
        <v>325</v>
      </c>
      <c r="F249" s="1024">
        <v>1</v>
      </c>
      <c r="G249" s="1025" t="s">
        <v>115</v>
      </c>
      <c r="H249" s="1089">
        <f>'MINI SSR 2022-23 (2)'!G123</f>
        <v>455</v>
      </c>
      <c r="I249" s="1027">
        <f>SUM(D249*H249/F249)</f>
        <v>455</v>
      </c>
      <c r="J249" s="1010" t="s">
        <v>2322</v>
      </c>
    </row>
    <row r="250" spans="1:10" s="1028" customFormat="1">
      <c r="A250" s="1020"/>
      <c r="B250" s="1021"/>
      <c r="C250" s="1090" t="s">
        <v>703</v>
      </c>
      <c r="D250" s="1091">
        <v>4</v>
      </c>
      <c r="E250" s="1025" t="s">
        <v>325</v>
      </c>
      <c r="F250" s="1024">
        <v>1</v>
      </c>
      <c r="G250" s="1025" t="s">
        <v>115</v>
      </c>
      <c r="H250" s="1089">
        <f>'MINI SSR 2022-23 (2)'!G124</f>
        <v>240</v>
      </c>
      <c r="I250" s="1027">
        <f>SUM(D250*H250/F250)</f>
        <v>960</v>
      </c>
      <c r="J250" s="1010" t="s">
        <v>2322</v>
      </c>
    </row>
    <row r="251" spans="1:10" s="1028" customFormat="1">
      <c r="A251" s="1020"/>
      <c r="B251" s="1105"/>
      <c r="C251" s="1034" t="s">
        <v>388</v>
      </c>
      <c r="D251" s="1106"/>
      <c r="E251" s="1107"/>
      <c r="F251" s="1043"/>
      <c r="G251" s="1095"/>
      <c r="H251" s="1096"/>
      <c r="I251" s="1108">
        <f>SUM(I244:I250)</f>
        <v>3662</v>
      </c>
      <c r="J251" s="1010" t="s">
        <v>2322</v>
      </c>
    </row>
    <row r="252" spans="1:10" s="1028" customFormat="1" ht="45">
      <c r="A252" s="1089"/>
      <c r="B252" s="1020">
        <v>14</v>
      </c>
      <c r="C252" s="1029" t="s">
        <v>941</v>
      </c>
      <c r="D252" s="1033"/>
      <c r="E252" s="1023"/>
      <c r="F252" s="1033"/>
      <c r="G252" s="1023"/>
      <c r="H252" s="1029"/>
      <c r="I252" s="1029"/>
      <c r="J252" s="1010" t="s">
        <v>2322</v>
      </c>
    </row>
    <row r="253" spans="1:10" s="1028" customFormat="1">
      <c r="A253" s="1020"/>
      <c r="B253" s="1021"/>
      <c r="C253" s="1029" t="s">
        <v>327</v>
      </c>
      <c r="D253" s="1022"/>
      <c r="E253" s="1041"/>
      <c r="F253" s="1024"/>
      <c r="G253" s="1041"/>
      <c r="H253" s="1026"/>
      <c r="I253" s="1027"/>
      <c r="J253" s="1010" t="s">
        <v>2322</v>
      </c>
    </row>
    <row r="254" spans="1:10" s="1028" customFormat="1">
      <c r="A254" s="1020"/>
      <c r="B254" s="1020"/>
      <c r="C254" s="1029" t="s">
        <v>942</v>
      </c>
      <c r="D254" s="1103">
        <v>2</v>
      </c>
      <c r="E254" s="1023" t="s">
        <v>325</v>
      </c>
      <c r="F254" s="1103">
        <v>1</v>
      </c>
      <c r="G254" s="1023" t="s">
        <v>115</v>
      </c>
      <c r="H254" s="1089">
        <f>'MINI SSR 2022-23 (2)'!G125</f>
        <v>119</v>
      </c>
      <c r="I254" s="1104">
        <f>SUM(D254*H254/F254)</f>
        <v>238</v>
      </c>
      <c r="J254" s="1010" t="s">
        <v>2322</v>
      </c>
    </row>
    <row r="255" spans="1:10" s="1028" customFormat="1">
      <c r="A255" s="1020"/>
      <c r="B255" s="1021"/>
      <c r="C255" s="1090" t="s">
        <v>943</v>
      </c>
      <c r="D255" s="1091">
        <v>4</v>
      </c>
      <c r="E255" s="1025" t="s">
        <v>277</v>
      </c>
      <c r="F255" s="1024">
        <v>1</v>
      </c>
      <c r="G255" s="1025" t="s">
        <v>115</v>
      </c>
      <c r="H255" s="1026">
        <f>'MINI SSR 2022-23 (2)'!G126/100</f>
        <v>66.739999999999995</v>
      </c>
      <c r="I255" s="1027">
        <f>SUM(D255*H255/F255)</f>
        <v>266.95999999999998</v>
      </c>
      <c r="J255" s="1010" t="s">
        <v>2322</v>
      </c>
    </row>
    <row r="256" spans="1:10" s="1028" customFormat="1">
      <c r="A256" s="1020"/>
      <c r="B256" s="1021"/>
      <c r="C256" s="1090" t="s">
        <v>944</v>
      </c>
      <c r="D256" s="1091">
        <v>1</v>
      </c>
      <c r="E256" s="1025" t="s">
        <v>325</v>
      </c>
      <c r="F256" s="1024">
        <v>1</v>
      </c>
      <c r="G256" s="1025" t="s">
        <v>115</v>
      </c>
      <c r="H256" s="1026">
        <f>'MINI SSR 2022-23 (2)'!G127</f>
        <v>230</v>
      </c>
      <c r="I256" s="1027">
        <f>SUM(D256*H256/F256)</f>
        <v>230</v>
      </c>
      <c r="J256" s="1010" t="s">
        <v>2322</v>
      </c>
    </row>
    <row r="257" spans="1:10" s="1028" customFormat="1">
      <c r="A257" s="1020"/>
      <c r="B257" s="1021"/>
      <c r="C257" s="1029" t="s">
        <v>409</v>
      </c>
      <c r="D257" s="1022"/>
      <c r="E257" s="1025"/>
      <c r="F257" s="1024"/>
      <c r="G257" s="1025"/>
      <c r="H257" s="1026"/>
      <c r="I257" s="1027"/>
      <c r="J257" s="1010" t="s">
        <v>2322</v>
      </c>
    </row>
    <row r="258" spans="1:10" s="1028" customFormat="1">
      <c r="A258" s="1020"/>
      <c r="B258" s="1021"/>
      <c r="C258" s="1040" t="s">
        <v>699</v>
      </c>
      <c r="D258" s="1022">
        <v>0.2</v>
      </c>
      <c r="E258" s="1041" t="s">
        <v>27</v>
      </c>
      <c r="F258" s="1024">
        <v>1</v>
      </c>
      <c r="G258" s="1041" t="s">
        <v>27</v>
      </c>
      <c r="H258" s="1026">
        <f>'MINI SSR 2022-23 (2)'!$H$16</f>
        <v>700</v>
      </c>
      <c r="I258" s="1027">
        <f>SUM(D258*H258/F258)</f>
        <v>140</v>
      </c>
      <c r="J258" s="1010" t="s">
        <v>2322</v>
      </c>
    </row>
    <row r="259" spans="1:10" s="1028" customFormat="1">
      <c r="A259" s="1020"/>
      <c r="B259" s="1021"/>
      <c r="C259" s="1040" t="s">
        <v>219</v>
      </c>
      <c r="D259" s="1022">
        <v>0.2</v>
      </c>
      <c r="E259" s="1041" t="s">
        <v>27</v>
      </c>
      <c r="F259" s="1024">
        <v>1</v>
      </c>
      <c r="G259" s="1041" t="s">
        <v>27</v>
      </c>
      <c r="H259" s="1026">
        <f>'MINI SSR 2022-23 (2)'!$H$17</f>
        <v>570</v>
      </c>
      <c r="I259" s="1027">
        <f>SUM(D259*H259/F259)</f>
        <v>114</v>
      </c>
      <c r="J259" s="1010" t="s">
        <v>2322</v>
      </c>
    </row>
    <row r="260" spans="1:10" s="1028" customFormat="1">
      <c r="A260" s="1020"/>
      <c r="B260" s="1021"/>
      <c r="C260" s="1040" t="s">
        <v>700</v>
      </c>
      <c r="D260" s="1022">
        <v>0.2</v>
      </c>
      <c r="E260" s="1041" t="s">
        <v>27</v>
      </c>
      <c r="F260" s="1024">
        <v>1</v>
      </c>
      <c r="G260" s="1041" t="s">
        <v>27</v>
      </c>
      <c r="H260" s="1026">
        <f>'MINI SSR 2022-23 (2)'!$H$18</f>
        <v>505</v>
      </c>
      <c r="I260" s="1039">
        <f>SUM(D260*H260/F260)</f>
        <v>101</v>
      </c>
      <c r="J260" s="1010" t="s">
        <v>2322</v>
      </c>
    </row>
    <row r="261" spans="1:10" s="1028" customFormat="1">
      <c r="A261" s="1020"/>
      <c r="B261" s="1105"/>
      <c r="C261" s="1034" t="s">
        <v>388</v>
      </c>
      <c r="D261" s="1106"/>
      <c r="E261" s="1107"/>
      <c r="F261" s="1043"/>
      <c r="G261" s="1095"/>
      <c r="H261" s="1096"/>
      <c r="I261" s="1108">
        <f>SUM(I254:I260)</f>
        <v>1089.96</v>
      </c>
      <c r="J261" s="1010" t="s">
        <v>2322</v>
      </c>
    </row>
    <row r="262" spans="1:10" s="1028" customFormat="1" ht="78.75">
      <c r="A262" s="1089" t="s">
        <v>728</v>
      </c>
      <c r="B262" s="1021">
        <v>15</v>
      </c>
      <c r="C262" s="1029" t="s">
        <v>413</v>
      </c>
      <c r="D262" s="1033"/>
      <c r="E262" s="1023"/>
      <c r="F262" s="1033"/>
      <c r="G262" s="1023"/>
      <c r="H262" s="1029"/>
      <c r="I262" s="1029"/>
      <c r="J262" s="1010" t="s">
        <v>2322</v>
      </c>
    </row>
    <row r="263" spans="1:10" s="1028" customFormat="1">
      <c r="A263" s="1021"/>
      <c r="B263" s="1021"/>
      <c r="C263" s="1098" t="s">
        <v>414</v>
      </c>
      <c r="D263" s="1109"/>
      <c r="E263" s="1110"/>
      <c r="F263" s="1024"/>
      <c r="G263" s="1110"/>
      <c r="H263" s="1026"/>
      <c r="I263" s="1027"/>
      <c r="J263" s="1010" t="s">
        <v>2322</v>
      </c>
    </row>
    <row r="264" spans="1:10" s="1028" customFormat="1">
      <c r="A264" s="1021"/>
      <c r="B264" s="1021"/>
      <c r="C264" s="1040" t="s">
        <v>1662</v>
      </c>
      <c r="D264" s="1022">
        <v>0.5</v>
      </c>
      <c r="E264" s="1025" t="s">
        <v>325</v>
      </c>
      <c r="F264" s="1024">
        <v>1</v>
      </c>
      <c r="G264" s="1025" t="s">
        <v>115</v>
      </c>
      <c r="H264" s="1026">
        <f>'MINI SSR 2022-23 (2)'!$H$17</f>
        <v>570</v>
      </c>
      <c r="I264" s="1027">
        <f>SUM(D264*H264/F264)</f>
        <v>285</v>
      </c>
      <c r="J264" s="1010" t="s">
        <v>2322</v>
      </c>
    </row>
    <row r="265" spans="1:10" s="1028" customFormat="1">
      <c r="A265" s="1021"/>
      <c r="B265" s="1021"/>
      <c r="C265" s="1040" t="s">
        <v>700</v>
      </c>
      <c r="D265" s="1022">
        <v>0.5</v>
      </c>
      <c r="E265" s="1041" t="s">
        <v>27</v>
      </c>
      <c r="F265" s="1024">
        <v>1</v>
      </c>
      <c r="G265" s="1041" t="s">
        <v>27</v>
      </c>
      <c r="H265" s="1026">
        <f>'MINI SSR 2022-23 (2)'!$H$18</f>
        <v>505</v>
      </c>
      <c r="I265" s="1039">
        <f>SUM(D265*H265/F265)</f>
        <v>252.5</v>
      </c>
      <c r="J265" s="1010" t="s">
        <v>2322</v>
      </c>
    </row>
    <row r="266" spans="1:10" s="1028" customFormat="1">
      <c r="A266" s="1021"/>
      <c r="B266" s="1021"/>
      <c r="C266" s="1029" t="s">
        <v>106</v>
      </c>
      <c r="D266" s="1022"/>
      <c r="E266" s="1025"/>
      <c r="F266" s="1024"/>
      <c r="G266" s="1025"/>
      <c r="H266" s="1026"/>
      <c r="I266" s="1027"/>
      <c r="J266" s="1010" t="s">
        <v>2322</v>
      </c>
    </row>
    <row r="267" spans="1:10" s="1028" customFormat="1">
      <c r="A267" s="1021"/>
      <c r="B267" s="1021"/>
      <c r="C267" s="1040" t="s">
        <v>729</v>
      </c>
      <c r="D267" s="1022">
        <v>2.5</v>
      </c>
      <c r="E267" s="1110" t="s">
        <v>385</v>
      </c>
      <c r="F267" s="1024">
        <v>1</v>
      </c>
      <c r="G267" s="1110" t="s">
        <v>385</v>
      </c>
      <c r="H267" s="1026">
        <f>'MINI SSR 2022-23 (2)'!G128</f>
        <v>425</v>
      </c>
      <c r="I267" s="1027">
        <f t="shared" ref="I267:I277" si="0">SUM(D267*H267/F267)</f>
        <v>1062.5</v>
      </c>
      <c r="J267" s="1010" t="s">
        <v>2322</v>
      </c>
    </row>
    <row r="268" spans="1:10" s="1028" customFormat="1">
      <c r="A268" s="1021"/>
      <c r="B268" s="1021"/>
      <c r="C268" s="1029" t="s">
        <v>730</v>
      </c>
      <c r="D268" s="1022">
        <v>0.24</v>
      </c>
      <c r="E268" s="1110" t="s">
        <v>141</v>
      </c>
      <c r="F268" s="1024">
        <v>1</v>
      </c>
      <c r="G268" s="1110" t="s">
        <v>4</v>
      </c>
      <c r="H268" s="1026">
        <f>'MINI SSR 2022-23 (2)'!G129</f>
        <v>79</v>
      </c>
      <c r="I268" s="1027">
        <f t="shared" si="0"/>
        <v>18.96</v>
      </c>
      <c r="J268" s="1010" t="s">
        <v>2322</v>
      </c>
    </row>
    <row r="269" spans="1:10" s="1028" customFormat="1">
      <c r="A269" s="1021"/>
      <c r="B269" s="1021"/>
      <c r="C269" s="1029" t="s">
        <v>731</v>
      </c>
      <c r="D269" s="1022">
        <v>0.83</v>
      </c>
      <c r="E269" s="1110" t="s">
        <v>141</v>
      </c>
      <c r="F269" s="1024">
        <v>1</v>
      </c>
      <c r="G269" s="1110" t="s">
        <v>90</v>
      </c>
      <c r="H269" s="1026">
        <f>'MINI SSR 2022-23 (2)'!G130</f>
        <v>79</v>
      </c>
      <c r="I269" s="1027">
        <f t="shared" si="0"/>
        <v>65.569999999999993</v>
      </c>
      <c r="J269" s="1010" t="s">
        <v>2322</v>
      </c>
    </row>
    <row r="270" spans="1:10" s="1028" customFormat="1">
      <c r="A270" s="1021"/>
      <c r="B270" s="1021"/>
      <c r="C270" s="1040" t="s">
        <v>732</v>
      </c>
      <c r="D270" s="1022">
        <v>16</v>
      </c>
      <c r="E270" s="1110" t="s">
        <v>325</v>
      </c>
      <c r="F270" s="1024">
        <v>1</v>
      </c>
      <c r="G270" s="1025" t="s">
        <v>115</v>
      </c>
      <c r="H270" s="1026">
        <f>'MINI SSR 2022-23 (2)'!G131</f>
        <v>8</v>
      </c>
      <c r="I270" s="1027">
        <f t="shared" si="0"/>
        <v>128</v>
      </c>
      <c r="J270" s="1010" t="s">
        <v>2322</v>
      </c>
    </row>
    <row r="271" spans="1:10" s="1028" customFormat="1">
      <c r="A271" s="1021"/>
      <c r="B271" s="1021"/>
      <c r="C271" s="1040" t="s">
        <v>733</v>
      </c>
      <c r="D271" s="1022">
        <v>2</v>
      </c>
      <c r="E271" s="1110" t="s">
        <v>415</v>
      </c>
      <c r="F271" s="1024">
        <v>1</v>
      </c>
      <c r="G271" s="1110" t="s">
        <v>416</v>
      </c>
      <c r="H271" s="1026">
        <f>'MINI SSR 2022-23 (2)'!G132</f>
        <v>14</v>
      </c>
      <c r="I271" s="1027">
        <f t="shared" si="0"/>
        <v>28</v>
      </c>
      <c r="J271" s="1010" t="s">
        <v>2322</v>
      </c>
    </row>
    <row r="272" spans="1:10" s="1028" customFormat="1">
      <c r="A272" s="1021"/>
      <c r="B272" s="1021"/>
      <c r="C272" s="1040" t="s">
        <v>734</v>
      </c>
      <c r="D272" s="1022">
        <v>1</v>
      </c>
      <c r="E272" s="1025" t="s">
        <v>115</v>
      </c>
      <c r="F272" s="1024">
        <v>1</v>
      </c>
      <c r="G272" s="1025" t="s">
        <v>115</v>
      </c>
      <c r="H272" s="1026">
        <f>'MINI SSR 2022-23 (2)'!G133</f>
        <v>303</v>
      </c>
      <c r="I272" s="1027">
        <f t="shared" si="0"/>
        <v>303</v>
      </c>
      <c r="J272" s="1010" t="s">
        <v>2322</v>
      </c>
    </row>
    <row r="273" spans="1:10" s="1028" customFormat="1">
      <c r="A273" s="1021"/>
      <c r="B273" s="1021"/>
      <c r="C273" s="1040" t="s">
        <v>735</v>
      </c>
      <c r="D273" s="1022">
        <v>1</v>
      </c>
      <c r="E273" s="1110" t="s">
        <v>115</v>
      </c>
      <c r="F273" s="1024">
        <v>1</v>
      </c>
      <c r="G273" s="1110" t="s">
        <v>115</v>
      </c>
      <c r="H273" s="1026">
        <f>'MINI SSR 2022-23 (2)'!G134</f>
        <v>157</v>
      </c>
      <c r="I273" s="1027">
        <f t="shared" si="0"/>
        <v>157</v>
      </c>
      <c r="J273" s="1010" t="s">
        <v>2322</v>
      </c>
    </row>
    <row r="274" spans="1:10" s="1028" customFormat="1">
      <c r="A274" s="1021"/>
      <c r="B274" s="1021"/>
      <c r="C274" s="1040" t="s">
        <v>736</v>
      </c>
      <c r="D274" s="1022">
        <v>40</v>
      </c>
      <c r="E274" s="1110" t="s">
        <v>4</v>
      </c>
      <c r="F274" s="1024">
        <v>1</v>
      </c>
      <c r="G274" s="1110" t="s">
        <v>4</v>
      </c>
      <c r="H274" s="1026">
        <f>'MINI SSR 2022-23 (2)'!G135</f>
        <v>24</v>
      </c>
      <c r="I274" s="1027">
        <f t="shared" si="0"/>
        <v>960</v>
      </c>
      <c r="J274" s="1010" t="s">
        <v>2322</v>
      </c>
    </row>
    <row r="275" spans="1:10" s="1028" customFormat="1">
      <c r="A275" s="1021"/>
      <c r="B275" s="1021"/>
      <c r="C275" s="1040" t="s">
        <v>737</v>
      </c>
      <c r="D275" s="1022">
        <v>20</v>
      </c>
      <c r="E275" s="1110" t="s">
        <v>4</v>
      </c>
      <c r="F275" s="1024">
        <v>1</v>
      </c>
      <c r="G275" s="1110" t="s">
        <v>4</v>
      </c>
      <c r="H275" s="1026">
        <f>'MINI SSR 2022-23 (2)'!G136</f>
        <v>19</v>
      </c>
      <c r="I275" s="1027">
        <f t="shared" si="0"/>
        <v>380</v>
      </c>
      <c r="J275" s="1010" t="s">
        <v>2322</v>
      </c>
    </row>
    <row r="276" spans="1:10" s="1028" customFormat="1" ht="22.5">
      <c r="A276" s="1021"/>
      <c r="B276" s="1021"/>
      <c r="C276" s="1029" t="s">
        <v>738</v>
      </c>
      <c r="D276" s="1022">
        <v>0.65</v>
      </c>
      <c r="E276" s="1025" t="s">
        <v>35</v>
      </c>
      <c r="F276" s="1024">
        <v>1</v>
      </c>
      <c r="G276" s="1025" t="s">
        <v>35</v>
      </c>
      <c r="H276" s="1026">
        <f>'MINI SSR 2022-23 (2)'!G137</f>
        <v>303</v>
      </c>
      <c r="I276" s="1027">
        <f t="shared" si="0"/>
        <v>196.95000000000002</v>
      </c>
      <c r="J276" s="1010" t="s">
        <v>2322</v>
      </c>
    </row>
    <row r="277" spans="1:10" s="1028" customFormat="1" ht="22.5">
      <c r="A277" s="1021"/>
      <c r="B277" s="1021"/>
      <c r="C277" s="1029" t="s">
        <v>739</v>
      </c>
      <c r="D277" s="1022">
        <v>0.65</v>
      </c>
      <c r="E277" s="1025" t="s">
        <v>35</v>
      </c>
      <c r="F277" s="1024">
        <v>1</v>
      </c>
      <c r="G277" s="1025" t="s">
        <v>35</v>
      </c>
      <c r="H277" s="1026">
        <f>'MINI SSR 2022-23 (2)'!G138</f>
        <v>303</v>
      </c>
      <c r="I277" s="1027">
        <f t="shared" si="0"/>
        <v>196.95000000000002</v>
      </c>
      <c r="J277" s="1010" t="s">
        <v>2322</v>
      </c>
    </row>
    <row r="278" spans="1:10" s="1028" customFormat="1" ht="22.5">
      <c r="A278" s="1021"/>
      <c r="B278" s="1021"/>
      <c r="C278" s="1029" t="s">
        <v>417</v>
      </c>
      <c r="D278" s="1111">
        <v>0.25</v>
      </c>
      <c r="E278" s="1110"/>
      <c r="F278" s="1024"/>
      <c r="G278" s="1110"/>
      <c r="H278" s="1026">
        <f>I276+I277</f>
        <v>393.90000000000003</v>
      </c>
      <c r="I278" s="1027">
        <f>SUM(H278*D278)</f>
        <v>98.475000000000009</v>
      </c>
      <c r="J278" s="1010" t="s">
        <v>2322</v>
      </c>
    </row>
    <row r="279" spans="1:10" s="1028" customFormat="1">
      <c r="A279" s="1021"/>
      <c r="B279" s="1021"/>
      <c r="C279" s="1029" t="s">
        <v>418</v>
      </c>
      <c r="D279" s="1022"/>
      <c r="E279" s="1025"/>
      <c r="F279" s="1024"/>
      <c r="G279" s="1025"/>
      <c r="H279" s="1026"/>
      <c r="I279" s="1027">
        <v>9.52</v>
      </c>
      <c r="J279" s="1010" t="s">
        <v>2322</v>
      </c>
    </row>
    <row r="280" spans="1:10" s="1028" customFormat="1">
      <c r="A280" s="1021"/>
      <c r="B280" s="1021"/>
      <c r="C280" s="1029" t="s">
        <v>405</v>
      </c>
      <c r="D280" s="1022"/>
      <c r="E280" s="1025"/>
      <c r="F280" s="1024"/>
      <c r="G280" s="1025"/>
      <c r="H280" s="1026"/>
      <c r="I280" s="1027">
        <f>SUM(I264:I279)</f>
        <v>4142.4250000000002</v>
      </c>
      <c r="J280" s="1010" t="s">
        <v>2322</v>
      </c>
    </row>
    <row r="281" spans="1:10" ht="106.5" customHeight="1">
      <c r="A281" s="776"/>
      <c r="B281" s="746">
        <v>28</v>
      </c>
      <c r="C281" s="753" t="s">
        <v>2261</v>
      </c>
      <c r="D281" s="757"/>
      <c r="E281" s="748"/>
      <c r="F281" s="757"/>
      <c r="G281" s="748"/>
      <c r="H281" s="753"/>
      <c r="I281" s="753"/>
      <c r="J281" s="12" t="s">
        <v>2322</v>
      </c>
    </row>
    <row r="282" spans="1:10">
      <c r="A282" s="746"/>
      <c r="B282" s="671"/>
      <c r="C282" s="764" t="s">
        <v>2096</v>
      </c>
      <c r="D282" s="747">
        <v>1</v>
      </c>
      <c r="E282" s="765" t="s">
        <v>115</v>
      </c>
      <c r="F282" s="749">
        <v>1</v>
      </c>
      <c r="G282" s="765" t="s">
        <v>115</v>
      </c>
      <c r="H282" s="751">
        <f>'MINI SSR 2022-23 (2)'!G139</f>
        <v>1822</v>
      </c>
      <c r="I282" s="752">
        <f>SUM(D282*H282/F282)</f>
        <v>1822</v>
      </c>
      <c r="J282" s="12" t="s">
        <v>2322</v>
      </c>
    </row>
    <row r="283" spans="1:10">
      <c r="A283" s="746"/>
      <c r="B283" s="671"/>
      <c r="C283" s="753" t="s">
        <v>405</v>
      </c>
      <c r="D283" s="747"/>
      <c r="E283" s="748"/>
      <c r="F283" s="749"/>
      <c r="G283" s="750"/>
      <c r="H283" s="751"/>
      <c r="I283" s="752">
        <f>SUM(I282:I282)</f>
        <v>1822</v>
      </c>
      <c r="J283" s="12" t="s">
        <v>2322</v>
      </c>
    </row>
    <row r="284" spans="1:10" ht="106.5" customHeight="1">
      <c r="A284" s="776"/>
      <c r="B284" s="746">
        <v>28</v>
      </c>
      <c r="C284" s="753" t="s">
        <v>2262</v>
      </c>
      <c r="D284" s="757"/>
      <c r="E284" s="748"/>
      <c r="F284" s="757"/>
      <c r="G284" s="748"/>
      <c r="H284" s="753"/>
      <c r="I284" s="753"/>
      <c r="J284" s="12" t="s">
        <v>2322</v>
      </c>
    </row>
    <row r="285" spans="1:10">
      <c r="A285" s="746"/>
      <c r="B285" s="671"/>
      <c r="C285" s="764" t="s">
        <v>2269</v>
      </c>
      <c r="D285" s="747">
        <v>1</v>
      </c>
      <c r="E285" s="765" t="s">
        <v>115</v>
      </c>
      <c r="F285" s="749">
        <v>1</v>
      </c>
      <c r="G285" s="765" t="s">
        <v>115</v>
      </c>
      <c r="H285" s="751">
        <f>'MINI SSR 2022-23 (2)'!G140</f>
        <v>5428</v>
      </c>
      <c r="I285" s="752">
        <f>SUM(D285*H285/F285)</f>
        <v>5428</v>
      </c>
      <c r="J285" s="12" t="s">
        <v>2322</v>
      </c>
    </row>
    <row r="286" spans="1:10">
      <c r="A286" s="746"/>
      <c r="B286" s="671"/>
      <c r="C286" s="753" t="s">
        <v>405</v>
      </c>
      <c r="D286" s="747"/>
      <c r="E286" s="748"/>
      <c r="F286" s="749"/>
      <c r="G286" s="750"/>
      <c r="H286" s="751"/>
      <c r="I286" s="752">
        <f>SUM(I285:I285)</f>
        <v>5428</v>
      </c>
      <c r="J286" s="12" t="s">
        <v>2322</v>
      </c>
    </row>
    <row r="290" spans="3:7">
      <c r="C290" s="744" t="str">
        <f>'lead 22-23 P-B'!H31</f>
        <v>Deputy Executive Engineer</v>
      </c>
      <c r="G290" s="744" t="str">
        <f>'lead 22-23 P-B'!K31</f>
        <v>Assistant  Engineer</v>
      </c>
    </row>
    <row r="291" spans="3:7">
      <c r="C291" s="744" t="str">
        <f>'lead 22-23 P-B'!H32</f>
        <v>PRI Sub Division</v>
      </c>
      <c r="G291" s="744" t="str">
        <f>'lead 22-23 P-B'!K32</f>
        <v>Mandal Praja parishad</v>
      </c>
    </row>
    <row r="292" spans="3:7">
      <c r="C292" s="744" t="str">
        <f>'lead 22-23 P-B'!H33</f>
        <v>Kanigiri</v>
      </c>
      <c r="G292" s="744" t="str">
        <f>'lead 22-23 P-B'!K33</f>
        <v>Kanigiri</v>
      </c>
    </row>
  </sheetData>
  <autoFilter ref="A3:I286">
    <filterColumn colId="3" showButton="0"/>
    <filterColumn colId="5" showButton="0"/>
  </autoFilter>
  <mergeCells count="5">
    <mergeCell ref="A1:I1"/>
    <mergeCell ref="D2:E2"/>
    <mergeCell ref="F2:G2"/>
    <mergeCell ref="D3:E3"/>
    <mergeCell ref="F3:G3"/>
  </mergeCells>
  <pageMargins left="0.7" right="0.4" top="0.49" bottom="0.27" header="0.3" footer="0.3"/>
  <pageSetup paperSize="9" scale="90" orientation="portrait" r:id="rId1"/>
</worksheet>
</file>

<file path=xl/worksheets/sheet31.xml><?xml version="1.0" encoding="utf-8"?>
<worksheet xmlns="http://schemas.openxmlformats.org/spreadsheetml/2006/main" xmlns:r="http://schemas.openxmlformats.org/officeDocument/2006/relationships">
  <sheetPr filterMode="1">
    <tabColor rgb="FF00B050"/>
  </sheetPr>
  <dimension ref="A1:L254"/>
  <sheetViews>
    <sheetView view="pageBreakPreview" topLeftCell="A4" zoomScale="115" zoomScaleSheetLayoutView="115" workbookViewId="0">
      <selection activeCell="A250" sqref="A250"/>
    </sheetView>
  </sheetViews>
  <sheetFormatPr defaultColWidth="9.140625" defaultRowHeight="12.75"/>
  <cols>
    <col min="1" max="1" width="4.5703125" style="58" customWidth="1"/>
    <col min="2" max="2" width="10.42578125" style="58" customWidth="1"/>
    <col min="3" max="3" width="35.7109375" style="648" customWidth="1"/>
    <col min="4" max="4" width="6.5703125" style="12" bestFit="1" customWidth="1"/>
    <col min="5" max="5" width="6.28515625" style="12" customWidth="1"/>
    <col min="6" max="6" width="9.5703125" style="12" bestFit="1" customWidth="1"/>
    <col min="7" max="7" width="9.5703125" style="12" customWidth="1"/>
    <col min="8" max="8" width="10.5703125" style="58" customWidth="1"/>
    <col min="9" max="9" width="7.5703125" style="12" customWidth="1"/>
    <col min="10" max="10" width="3" style="58" bestFit="1" customWidth="1"/>
    <col min="11" max="11" width="9.140625" style="58"/>
    <col min="12" max="12" width="8.5703125" style="58" bestFit="1" customWidth="1"/>
    <col min="13" max="13" width="55.5703125" style="58" customWidth="1"/>
    <col min="14" max="14" width="10.42578125" style="58" customWidth="1"/>
    <col min="15" max="15" width="5.42578125" style="58" bestFit="1" customWidth="1"/>
    <col min="16" max="16384" width="9.140625" style="58"/>
  </cols>
  <sheetData>
    <row r="1" spans="1:10">
      <c r="A1" s="1903" t="s">
        <v>2435</v>
      </c>
      <c r="B1" s="1903"/>
      <c r="C1" s="1903"/>
      <c r="D1" s="1903"/>
      <c r="E1" s="1903"/>
      <c r="F1" s="1903"/>
      <c r="G1" s="1903"/>
      <c r="H1" s="1903"/>
    </row>
    <row r="2" spans="1:10" ht="21" customHeight="1">
      <c r="A2" s="1904" t="str">
        <f>'lead 19-20'!B2&amp;'lead 19-20'!C2</f>
        <v>Name of the Work: Providing Additional Space for Agriculture Staff in  Baduguleru GP of Kanigiri Mandal</v>
      </c>
      <c r="B2" s="1904"/>
      <c r="C2" s="1904"/>
      <c r="D2" s="1904"/>
      <c r="E2" s="1904"/>
      <c r="F2" s="1904"/>
      <c r="G2" s="1904"/>
      <c r="H2" s="1904"/>
    </row>
    <row r="3" spans="1:10">
      <c r="A3" s="59"/>
      <c r="E3" s="12" t="s">
        <v>270</v>
      </c>
      <c r="F3" s="217" t="str">
        <f>'lead 22-23 P-B'!K4</f>
        <v>3.30 lakhs</v>
      </c>
      <c r="G3" s="217"/>
    </row>
    <row r="4" spans="1:10" ht="3" customHeight="1"/>
    <row r="5" spans="1:10" s="634" customFormat="1" ht="19.5" customHeight="1">
      <c r="A5" s="667" t="s">
        <v>23</v>
      </c>
      <c r="B5" s="667" t="s">
        <v>24</v>
      </c>
      <c r="C5" s="649" t="s">
        <v>25</v>
      </c>
      <c r="D5" s="667" t="s">
        <v>16</v>
      </c>
      <c r="E5" s="667" t="s">
        <v>6</v>
      </c>
      <c r="F5" s="667" t="s">
        <v>8</v>
      </c>
      <c r="G5" s="667"/>
      <c r="H5" s="667" t="s">
        <v>10</v>
      </c>
    </row>
    <row r="6" spans="1:10" ht="127.5" hidden="1">
      <c r="A6" s="16">
        <v>1</v>
      </c>
      <c r="B6" s="650"/>
      <c r="C6" s="651" t="s">
        <v>1309</v>
      </c>
      <c r="D6" s="673"/>
      <c r="E6" s="673"/>
      <c r="F6" s="673"/>
      <c r="G6" s="673"/>
      <c r="H6" s="652"/>
      <c r="I6" s="12" t="s">
        <v>2322</v>
      </c>
    </row>
    <row r="7" spans="1:10" hidden="1">
      <c r="A7" s="16"/>
      <c r="B7" s="650"/>
      <c r="C7" s="572" t="s">
        <v>100</v>
      </c>
      <c r="D7" s="673"/>
      <c r="E7" s="673"/>
      <c r="F7" s="673"/>
      <c r="G7" s="673"/>
      <c r="H7" s="652"/>
      <c r="I7" s="12" t="s">
        <v>2322</v>
      </c>
    </row>
    <row r="8" spans="1:10" s="601" customFormat="1" hidden="1">
      <c r="A8" s="16"/>
      <c r="B8" s="650"/>
      <c r="C8" s="572" t="s">
        <v>594</v>
      </c>
      <c r="D8" s="673"/>
      <c r="E8" s="673"/>
      <c r="F8" s="673"/>
      <c r="G8" s="673"/>
      <c r="H8" s="652"/>
      <c r="I8" s="12" t="s">
        <v>2322</v>
      </c>
      <c r="J8" s="58"/>
    </row>
    <row r="9" spans="1:10" s="601" customFormat="1" hidden="1">
      <c r="A9" s="16"/>
      <c r="B9" s="650"/>
      <c r="C9" s="651" t="s">
        <v>2</v>
      </c>
      <c r="D9" s="653">
        <v>2</v>
      </c>
      <c r="E9" s="654">
        <v>1.9</v>
      </c>
      <c r="F9" s="655">
        <v>0.1</v>
      </c>
      <c r="G9" s="655">
        <v>7.4999999999999997E-2</v>
      </c>
      <c r="H9" s="656">
        <f>ROUND(D9*E9*F9*G9,4)</f>
        <v>2.8500000000000001E-2</v>
      </c>
      <c r="I9" s="12" t="s">
        <v>2322</v>
      </c>
      <c r="J9" s="58"/>
    </row>
    <row r="10" spans="1:10" s="601" customFormat="1" hidden="1">
      <c r="A10" s="16"/>
      <c r="B10" s="650"/>
      <c r="C10" s="651" t="s">
        <v>741</v>
      </c>
      <c r="D10" s="653">
        <v>2</v>
      </c>
      <c r="E10" s="654">
        <v>1.2</v>
      </c>
      <c r="F10" s="655">
        <v>0.1</v>
      </c>
      <c r="G10" s="655">
        <v>7.4999999999999997E-2</v>
      </c>
      <c r="H10" s="656">
        <f>ROUND(D10*E10*F10*G10,4)</f>
        <v>1.7999999999999999E-2</v>
      </c>
      <c r="I10" s="12" t="s">
        <v>2322</v>
      </c>
      <c r="J10" s="58"/>
    </row>
    <row r="11" spans="1:10" s="601" customFormat="1" hidden="1">
      <c r="A11" s="16"/>
      <c r="B11" s="650"/>
      <c r="C11" s="572"/>
      <c r="D11" s="673"/>
      <c r="E11" s="673"/>
      <c r="F11" s="673"/>
      <c r="G11" s="673"/>
      <c r="H11" s="657">
        <f>SUM(H9:H10)</f>
        <v>4.65E-2</v>
      </c>
      <c r="I11" s="12" t="s">
        <v>2322</v>
      </c>
      <c r="J11" s="58"/>
    </row>
    <row r="12" spans="1:10" s="601" customFormat="1" hidden="1">
      <c r="A12" s="16"/>
      <c r="B12" s="650"/>
      <c r="C12" s="572" t="s">
        <v>320</v>
      </c>
      <c r="D12" s="653">
        <v>2</v>
      </c>
      <c r="E12" s="654">
        <v>1.95</v>
      </c>
      <c r="F12" s="655">
        <v>0.52</v>
      </c>
      <c r="G12" s="655">
        <v>0.03</v>
      </c>
      <c r="H12" s="656">
        <f>ROUND(D12*E12*F12*G12,4)</f>
        <v>6.08E-2</v>
      </c>
      <c r="I12" s="12" t="s">
        <v>2322</v>
      </c>
      <c r="J12" s="58"/>
    </row>
    <row r="13" spans="1:10" s="601" customFormat="1" hidden="1">
      <c r="A13" s="16"/>
      <c r="B13" s="650"/>
      <c r="C13" s="572"/>
      <c r="D13" s="673"/>
      <c r="E13" s="673"/>
      <c r="F13" s="673"/>
      <c r="G13" s="673"/>
      <c r="H13" s="657">
        <f>SUM(H12)</f>
        <v>6.08E-2</v>
      </c>
      <c r="I13" s="12" t="s">
        <v>2322</v>
      </c>
      <c r="J13" s="58"/>
    </row>
    <row r="14" spans="1:10" s="601" customFormat="1" hidden="1">
      <c r="A14" s="16"/>
      <c r="B14" s="650" t="s">
        <v>1375</v>
      </c>
      <c r="C14" s="651" t="s">
        <v>1374</v>
      </c>
      <c r="D14" s="673"/>
      <c r="E14" s="673" t="s">
        <v>35</v>
      </c>
      <c r="F14" s="658">
        <f>H11</f>
        <v>4.65E-2</v>
      </c>
      <c r="G14" s="659">
        <f>'MINI SSR 2022-23 (2)'!C142</f>
        <v>81950</v>
      </c>
      <c r="H14" s="53">
        <f t="shared" ref="H14:H21" si="0">ROUND(F14*G14,2)</f>
        <v>3810.68</v>
      </c>
      <c r="I14" s="12" t="s">
        <v>2322</v>
      </c>
      <c r="J14" s="58"/>
    </row>
    <row r="15" spans="1:10" s="601" customFormat="1" hidden="1">
      <c r="A15" s="16"/>
      <c r="B15" s="650" t="s">
        <v>1377</v>
      </c>
      <c r="C15" s="651" t="s">
        <v>1376</v>
      </c>
      <c r="D15" s="673"/>
      <c r="E15" s="673" t="s">
        <v>35</v>
      </c>
      <c r="F15" s="658">
        <f>H13</f>
        <v>6.08E-2</v>
      </c>
      <c r="G15" s="659">
        <f>'MINI SSR 2022-23 (2)'!C143</f>
        <v>160920</v>
      </c>
      <c r="H15" s="53">
        <f t="shared" si="0"/>
        <v>9783.94</v>
      </c>
      <c r="I15" s="12" t="s">
        <v>2322</v>
      </c>
      <c r="J15" s="58"/>
    </row>
    <row r="16" spans="1:10" s="601" customFormat="1" hidden="1">
      <c r="A16" s="16"/>
      <c r="B16" s="650" t="s">
        <v>1379</v>
      </c>
      <c r="C16" s="651" t="s">
        <v>1378</v>
      </c>
      <c r="D16" s="673"/>
      <c r="E16" s="673" t="s">
        <v>11</v>
      </c>
      <c r="F16" s="535">
        <v>2</v>
      </c>
      <c r="G16" s="659">
        <f>'MINI SSR 2022-23 (2)'!G142</f>
        <v>255</v>
      </c>
      <c r="H16" s="53">
        <f t="shared" si="0"/>
        <v>510</v>
      </c>
      <c r="I16" s="12" t="s">
        <v>2322</v>
      </c>
      <c r="J16" s="58"/>
    </row>
    <row r="17" spans="1:12" hidden="1">
      <c r="A17" s="16"/>
      <c r="B17" s="650" t="s">
        <v>1381</v>
      </c>
      <c r="C17" s="651" t="s">
        <v>1380</v>
      </c>
      <c r="D17" s="673"/>
      <c r="E17" s="673" t="s">
        <v>11</v>
      </c>
      <c r="F17" s="535">
        <v>6</v>
      </c>
      <c r="G17" s="659">
        <f>'MINI SSR 2022-23 (2)'!G145</f>
        <v>273</v>
      </c>
      <c r="H17" s="53">
        <f t="shared" si="0"/>
        <v>1638</v>
      </c>
      <c r="I17" s="12" t="s">
        <v>2322</v>
      </c>
    </row>
    <row r="18" spans="1:12" hidden="1">
      <c r="A18" s="16"/>
      <c r="B18" s="650" t="s">
        <v>1383</v>
      </c>
      <c r="C18" s="651" t="s">
        <v>1382</v>
      </c>
      <c r="D18" s="673"/>
      <c r="E18" s="673" t="s">
        <v>11</v>
      </c>
      <c r="F18" s="535"/>
      <c r="G18" s="659">
        <f>'MINI SSR 2022-23 (2)'!G144</f>
        <v>108</v>
      </c>
      <c r="H18" s="53">
        <f t="shared" si="0"/>
        <v>0</v>
      </c>
      <c r="I18" s="12" t="s">
        <v>2322</v>
      </c>
    </row>
    <row r="19" spans="1:12" hidden="1">
      <c r="A19" s="16"/>
      <c r="B19" s="650" t="s">
        <v>1385</v>
      </c>
      <c r="C19" s="651" t="s">
        <v>1384</v>
      </c>
      <c r="D19" s="673"/>
      <c r="E19" s="673" t="s">
        <v>11</v>
      </c>
      <c r="F19" s="535">
        <v>2</v>
      </c>
      <c r="G19" s="659">
        <f>'MINI SSR 2022-23 (2)'!G148</f>
        <v>1195</v>
      </c>
      <c r="H19" s="53">
        <f t="shared" si="0"/>
        <v>2390</v>
      </c>
      <c r="I19" s="12" t="s">
        <v>2322</v>
      </c>
    </row>
    <row r="20" spans="1:12" hidden="1">
      <c r="A20" s="16"/>
      <c r="B20" s="650" t="s">
        <v>1387</v>
      </c>
      <c r="C20" s="651" t="s">
        <v>1386</v>
      </c>
      <c r="D20" s="673"/>
      <c r="E20" s="673" t="s">
        <v>11</v>
      </c>
      <c r="F20" s="535">
        <v>1</v>
      </c>
      <c r="G20" s="659">
        <f>'MINI SSR 2022-23 (2)'!G150</f>
        <v>185</v>
      </c>
      <c r="H20" s="53">
        <f t="shared" si="0"/>
        <v>185</v>
      </c>
      <c r="I20" s="12" t="s">
        <v>2322</v>
      </c>
    </row>
    <row r="21" spans="1:12" hidden="1">
      <c r="A21" s="16"/>
      <c r="B21" s="650" t="s">
        <v>1389</v>
      </c>
      <c r="C21" s="651" t="s">
        <v>1388</v>
      </c>
      <c r="D21" s="673"/>
      <c r="E21" s="673" t="s">
        <v>11</v>
      </c>
      <c r="F21" s="535">
        <v>6</v>
      </c>
      <c r="G21" s="659">
        <f>'MINI SSR 2022-23 (2)'!G152</f>
        <v>39</v>
      </c>
      <c r="H21" s="53">
        <f t="shared" si="0"/>
        <v>234</v>
      </c>
      <c r="I21" s="12" t="s">
        <v>2322</v>
      </c>
    </row>
    <row r="22" spans="1:12" hidden="1">
      <c r="A22" s="673"/>
      <c r="B22" s="673"/>
      <c r="C22" s="572" t="s">
        <v>68</v>
      </c>
      <c r="D22" s="673"/>
      <c r="E22" s="673"/>
      <c r="F22" s="659"/>
      <c r="G22" s="660"/>
      <c r="H22" s="53"/>
      <c r="I22" s="12" t="s">
        <v>2322</v>
      </c>
    </row>
    <row r="23" spans="1:12" hidden="1">
      <c r="A23" s="673"/>
      <c r="B23" s="673" t="s">
        <v>1391</v>
      </c>
      <c r="C23" s="651" t="s">
        <v>1390</v>
      </c>
      <c r="D23" s="673"/>
      <c r="E23" s="673" t="s">
        <v>102</v>
      </c>
      <c r="F23" s="659">
        <v>2.52</v>
      </c>
      <c r="G23" s="659">
        <f>'MINI SSR 2022-23 (2)'!C149</f>
        <v>1727</v>
      </c>
      <c r="H23" s="53">
        <f>ROUND(F23*G23,2)</f>
        <v>4352.04</v>
      </c>
      <c r="I23" s="12" t="s">
        <v>2322</v>
      </c>
      <c r="L23" s="597">
        <f>H23</f>
        <v>4352.04</v>
      </c>
    </row>
    <row r="24" spans="1:12" ht="13.5" hidden="1" thickBot="1">
      <c r="A24" s="673"/>
      <c r="B24" s="673"/>
      <c r="C24" s="572"/>
      <c r="D24" s="673"/>
      <c r="E24" s="673"/>
      <c r="F24" s="673"/>
      <c r="G24" s="673"/>
      <c r="H24" s="661">
        <f>SUM(H14:H23)</f>
        <v>22903.660000000003</v>
      </c>
      <c r="I24" s="12" t="s">
        <v>2322</v>
      </c>
      <c r="L24" s="662">
        <f>SUM(L23)</f>
        <v>4352.04</v>
      </c>
    </row>
    <row r="25" spans="1:12" ht="102" hidden="1">
      <c r="A25" s="16">
        <v>1</v>
      </c>
      <c r="B25" s="650"/>
      <c r="C25" s="651" t="s">
        <v>2795</v>
      </c>
      <c r="D25" s="673"/>
      <c r="E25" s="673"/>
      <c r="F25" s="673"/>
      <c r="G25" s="673"/>
      <c r="H25" s="652"/>
      <c r="I25" s="12" t="s">
        <v>2322</v>
      </c>
    </row>
    <row r="26" spans="1:12" hidden="1">
      <c r="A26" s="16"/>
      <c r="B26" s="650"/>
      <c r="C26" s="572" t="s">
        <v>100</v>
      </c>
      <c r="D26" s="673"/>
      <c r="E26" s="673"/>
      <c r="F26" s="673"/>
      <c r="G26" s="673"/>
      <c r="H26" s="652"/>
      <c r="I26" s="12" t="s">
        <v>2322</v>
      </c>
    </row>
    <row r="27" spans="1:12" s="601" customFormat="1" hidden="1">
      <c r="A27" s="16"/>
      <c r="B27" s="650"/>
      <c r="C27" s="572" t="s">
        <v>1</v>
      </c>
      <c r="D27" s="673"/>
      <c r="E27" s="673"/>
      <c r="F27" s="673"/>
      <c r="G27" s="673"/>
      <c r="H27" s="652"/>
      <c r="I27" s="12" t="s">
        <v>2322</v>
      </c>
      <c r="J27" s="58"/>
    </row>
    <row r="28" spans="1:12" s="601" customFormat="1" hidden="1">
      <c r="A28" s="16"/>
      <c r="B28" s="650"/>
      <c r="C28" s="651" t="s">
        <v>2</v>
      </c>
      <c r="D28" s="653">
        <v>2</v>
      </c>
      <c r="E28" s="654">
        <v>1.9</v>
      </c>
      <c r="F28" s="655">
        <v>0.1</v>
      </c>
      <c r="G28" s="655">
        <v>7.4999999999999997E-2</v>
      </c>
      <c r="H28" s="656">
        <f>ROUND(D28*E28*F28*G28,4)</f>
        <v>2.8500000000000001E-2</v>
      </c>
      <c r="I28" s="12" t="s">
        <v>2322</v>
      </c>
      <c r="J28" s="58"/>
    </row>
    <row r="29" spans="1:12" s="601" customFormat="1" hidden="1">
      <c r="A29" s="16"/>
      <c r="B29" s="650"/>
      <c r="C29" s="651" t="s">
        <v>741</v>
      </c>
      <c r="D29" s="653">
        <v>1</v>
      </c>
      <c r="E29" s="654">
        <v>1.2</v>
      </c>
      <c r="F29" s="655">
        <v>0.1</v>
      </c>
      <c r="G29" s="655">
        <v>7.4999999999999997E-2</v>
      </c>
      <c r="H29" s="656">
        <f>ROUND(D29*E29*F29*G29,4)</f>
        <v>8.9999999999999993E-3</v>
      </c>
      <c r="I29" s="12" t="s">
        <v>2322</v>
      </c>
      <c r="J29" s="58"/>
    </row>
    <row r="30" spans="1:12" s="601" customFormat="1" hidden="1">
      <c r="A30" s="16"/>
      <c r="B30" s="650"/>
      <c r="C30" s="572"/>
      <c r="D30" s="673"/>
      <c r="E30" s="673"/>
      <c r="F30" s="673"/>
      <c r="G30" s="673"/>
      <c r="H30" s="657">
        <f>SUM(H28:H29)</f>
        <v>3.7499999999999999E-2</v>
      </c>
      <c r="I30" s="12" t="s">
        <v>2322</v>
      </c>
      <c r="J30" s="58"/>
    </row>
    <row r="31" spans="1:12" s="601" customFormat="1" hidden="1">
      <c r="A31" s="16"/>
      <c r="B31" s="673" t="s">
        <v>1375</v>
      </c>
      <c r="C31" s="651" t="s">
        <v>1374</v>
      </c>
      <c r="D31" s="673"/>
      <c r="E31" s="673" t="s">
        <v>35</v>
      </c>
      <c r="F31" s="658">
        <f>H30</f>
        <v>3.7499999999999999E-2</v>
      </c>
      <c r="G31" s="659">
        <f>'MINI SSR 2022-23 (2)'!C142</f>
        <v>81950</v>
      </c>
      <c r="H31" s="53"/>
      <c r="I31" s="12" t="s">
        <v>2322</v>
      </c>
      <c r="J31" s="58"/>
    </row>
    <row r="32" spans="1:12" s="601" customFormat="1" hidden="1">
      <c r="A32" s="16"/>
      <c r="B32" s="673" t="s">
        <v>2099</v>
      </c>
      <c r="C32" s="651" t="s">
        <v>2100</v>
      </c>
      <c r="D32" s="673"/>
      <c r="E32" s="673" t="s">
        <v>102</v>
      </c>
      <c r="F32" s="658">
        <f>ROUND((1.2-0.15+0.02)*(2.1-0.15+0.02),2)</f>
        <v>2.11</v>
      </c>
      <c r="G32" s="659">
        <f>'MINI SSR 2022-23 (2)'!$C$148</f>
        <v>2000</v>
      </c>
      <c r="H32" s="53">
        <f t="shared" ref="H32:H38" si="1">ROUND(F32*G32,2)</f>
        <v>4220</v>
      </c>
      <c r="I32" s="12" t="s">
        <v>2322</v>
      </c>
      <c r="J32" s="58"/>
    </row>
    <row r="33" spans="1:12" s="601" customFormat="1" hidden="1">
      <c r="A33" s="16"/>
      <c r="B33" s="673" t="s">
        <v>2101</v>
      </c>
      <c r="C33" s="651" t="s">
        <v>2102</v>
      </c>
      <c r="D33" s="673"/>
      <c r="E33" s="673" t="s">
        <v>102</v>
      </c>
      <c r="F33" s="658">
        <f>F32</f>
        <v>2.11</v>
      </c>
      <c r="G33" s="659">
        <f>'MINI SSR 2022-23 (2)'!$C$151</f>
        <v>1036</v>
      </c>
      <c r="H33" s="53">
        <f t="shared" si="1"/>
        <v>2185.96</v>
      </c>
      <c r="I33" s="12" t="s">
        <v>2322</v>
      </c>
      <c r="J33" s="58"/>
    </row>
    <row r="34" spans="1:12" hidden="1">
      <c r="A34" s="16"/>
      <c r="B34" s="673" t="s">
        <v>1396</v>
      </c>
      <c r="C34" s="651" t="s">
        <v>1395</v>
      </c>
      <c r="D34" s="673"/>
      <c r="E34" s="673" t="s">
        <v>11</v>
      </c>
      <c r="F34" s="535">
        <v>2</v>
      </c>
      <c r="G34" s="659">
        <f>'MINI SSR 2022-23 (2)'!$G$143</f>
        <v>86.5</v>
      </c>
      <c r="H34" s="53">
        <f t="shared" si="1"/>
        <v>173</v>
      </c>
      <c r="I34" s="12" t="s">
        <v>2322</v>
      </c>
    </row>
    <row r="35" spans="1:12" hidden="1">
      <c r="A35" s="16"/>
      <c r="B35" s="673" t="s">
        <v>1398</v>
      </c>
      <c r="C35" s="651" t="s">
        <v>1397</v>
      </c>
      <c r="D35" s="673"/>
      <c r="E35" s="673" t="s">
        <v>11</v>
      </c>
      <c r="F35" s="535">
        <v>3</v>
      </c>
      <c r="G35" s="659">
        <f>'MINI SSR 2022-23 (2)'!$G$146</f>
        <v>129</v>
      </c>
      <c r="H35" s="53">
        <f t="shared" si="1"/>
        <v>387</v>
      </c>
      <c r="I35" s="12" t="s">
        <v>2322</v>
      </c>
    </row>
    <row r="36" spans="1:12" hidden="1">
      <c r="A36" s="16"/>
      <c r="B36" s="673" t="s">
        <v>1383</v>
      </c>
      <c r="C36" s="651" t="s">
        <v>1382</v>
      </c>
      <c r="D36" s="673"/>
      <c r="E36" s="673" t="s">
        <v>11</v>
      </c>
      <c r="F36" s="535">
        <v>2</v>
      </c>
      <c r="G36" s="659">
        <f>'MINI SSR 2022-23 (2)'!$G$147</f>
        <v>114</v>
      </c>
      <c r="H36" s="53">
        <f t="shared" si="1"/>
        <v>228</v>
      </c>
      <c r="I36" s="12" t="s">
        <v>2322</v>
      </c>
    </row>
    <row r="37" spans="1:12" hidden="1">
      <c r="A37" s="16"/>
      <c r="B37" s="673" t="s">
        <v>1400</v>
      </c>
      <c r="C37" s="651" t="s">
        <v>1399</v>
      </c>
      <c r="D37" s="673"/>
      <c r="E37" s="673" t="s">
        <v>11</v>
      </c>
      <c r="F37" s="535">
        <v>2</v>
      </c>
      <c r="G37" s="659">
        <f>'MINI SSR 2022-23 (2)'!$G$149</f>
        <v>338</v>
      </c>
      <c r="H37" s="53">
        <f t="shared" si="1"/>
        <v>676</v>
      </c>
      <c r="I37" s="12" t="s">
        <v>2322</v>
      </c>
    </row>
    <row r="38" spans="1:12" hidden="1">
      <c r="A38" s="16"/>
      <c r="B38" s="673" t="s">
        <v>1402</v>
      </c>
      <c r="C38" s="651" t="s">
        <v>1401</v>
      </c>
      <c r="D38" s="673"/>
      <c r="E38" s="673" t="s">
        <v>11</v>
      </c>
      <c r="F38" s="535">
        <v>1</v>
      </c>
      <c r="G38" s="659">
        <f>'MINI SSR 2022-23 (2)'!$G$155</f>
        <v>58</v>
      </c>
      <c r="H38" s="53">
        <f t="shared" si="1"/>
        <v>58</v>
      </c>
      <c r="I38" s="12" t="s">
        <v>2322</v>
      </c>
    </row>
    <row r="39" spans="1:12" hidden="1">
      <c r="A39" s="16"/>
      <c r="B39" s="673" t="s">
        <v>1389</v>
      </c>
      <c r="C39" s="651" t="s">
        <v>1388</v>
      </c>
      <c r="D39" s="673"/>
      <c r="E39" s="673" t="s">
        <v>11</v>
      </c>
      <c r="F39" s="535">
        <v>6</v>
      </c>
      <c r="G39" s="659">
        <f>'MINI SSR 2022-23 (2)'!$G$152</f>
        <v>39</v>
      </c>
      <c r="H39" s="53"/>
      <c r="I39" s="12" t="s">
        <v>2322</v>
      </c>
    </row>
    <row r="40" spans="1:12" hidden="1">
      <c r="A40" s="673"/>
      <c r="B40" s="673"/>
      <c r="C40" s="572" t="s">
        <v>68</v>
      </c>
      <c r="D40" s="673"/>
      <c r="E40" s="673"/>
      <c r="F40" s="659"/>
      <c r="G40" s="660"/>
      <c r="H40" s="53"/>
      <c r="I40" s="12" t="s">
        <v>2322</v>
      </c>
    </row>
    <row r="41" spans="1:12" ht="25.5" hidden="1">
      <c r="A41" s="673"/>
      <c r="B41" s="673" t="s">
        <v>1391</v>
      </c>
      <c r="C41" s="651" t="s">
        <v>1403</v>
      </c>
      <c r="D41" s="673"/>
      <c r="E41" s="673" t="s">
        <v>102</v>
      </c>
      <c r="F41" s="659">
        <f>ROUND(1.2*2.1,2)</f>
        <v>2.52</v>
      </c>
      <c r="G41" s="659">
        <f>'MINI SSR 2022-23 (2)'!C149</f>
        <v>1727</v>
      </c>
      <c r="H41" s="53"/>
      <c r="I41" s="12" t="s">
        <v>2322</v>
      </c>
      <c r="L41" s="597"/>
    </row>
    <row r="42" spans="1:12" ht="13.5" hidden="1" thickBot="1">
      <c r="A42" s="673"/>
      <c r="B42" s="673"/>
      <c r="C42" s="572"/>
      <c r="D42" s="673"/>
      <c r="E42" s="673"/>
      <c r="F42" s="673"/>
      <c r="G42" s="673"/>
      <c r="H42" s="661">
        <f>SUM(H31:H41)</f>
        <v>7927.96</v>
      </c>
      <c r="I42" s="12" t="s">
        <v>2322</v>
      </c>
      <c r="L42" s="662"/>
    </row>
    <row r="43" spans="1:12" ht="127.5" hidden="1">
      <c r="A43" s="16">
        <v>3</v>
      </c>
      <c r="B43" s="650"/>
      <c r="C43" s="651" t="s">
        <v>1310</v>
      </c>
      <c r="D43" s="673"/>
      <c r="E43" s="673"/>
      <c r="F43" s="673"/>
      <c r="G43" s="673"/>
      <c r="H43" s="652"/>
      <c r="I43" s="12" t="s">
        <v>2322</v>
      </c>
    </row>
    <row r="44" spans="1:12" hidden="1">
      <c r="A44" s="16"/>
      <c r="B44" s="650"/>
      <c r="C44" s="572" t="s">
        <v>100</v>
      </c>
      <c r="D44" s="673"/>
      <c r="E44" s="673"/>
      <c r="F44" s="673"/>
      <c r="G44" s="673"/>
      <c r="H44" s="652"/>
      <c r="I44" s="12" t="s">
        <v>2322</v>
      </c>
    </row>
    <row r="45" spans="1:12" s="601" customFormat="1" hidden="1">
      <c r="A45" s="16"/>
      <c r="B45" s="650"/>
      <c r="C45" s="572" t="s">
        <v>1</v>
      </c>
      <c r="D45" s="673"/>
      <c r="E45" s="673"/>
      <c r="F45" s="673"/>
      <c r="G45" s="673"/>
      <c r="H45" s="652"/>
      <c r="I45" s="12" t="s">
        <v>2322</v>
      </c>
      <c r="J45" s="58"/>
    </row>
    <row r="46" spans="1:12" s="601" customFormat="1" hidden="1">
      <c r="A46" s="16"/>
      <c r="B46" s="650"/>
      <c r="C46" s="651" t="s">
        <v>2</v>
      </c>
      <c r="D46" s="653">
        <v>2</v>
      </c>
      <c r="E46" s="654">
        <v>1.9</v>
      </c>
      <c r="F46" s="655">
        <v>0.1</v>
      </c>
      <c r="G46" s="655">
        <v>7.4999999999999997E-2</v>
      </c>
      <c r="H46" s="656">
        <f>ROUND(D46*E46*F46*G46,4)</f>
        <v>2.8500000000000001E-2</v>
      </c>
      <c r="I46" s="12" t="s">
        <v>2322</v>
      </c>
      <c r="J46" s="58"/>
    </row>
    <row r="47" spans="1:12" s="601" customFormat="1" hidden="1">
      <c r="A47" s="16"/>
      <c r="B47" s="650"/>
      <c r="C47" s="651" t="s">
        <v>741</v>
      </c>
      <c r="D47" s="653">
        <v>1</v>
      </c>
      <c r="E47" s="654">
        <v>1.2</v>
      </c>
      <c r="F47" s="655">
        <v>0.1</v>
      </c>
      <c r="G47" s="655">
        <v>7.4999999999999997E-2</v>
      </c>
      <c r="H47" s="656">
        <f>ROUND(D47*E47*F47*G47,4)</f>
        <v>8.9999999999999993E-3</v>
      </c>
      <c r="I47" s="12" t="s">
        <v>2322</v>
      </c>
      <c r="J47" s="58"/>
    </row>
    <row r="48" spans="1:12" s="601" customFormat="1" hidden="1">
      <c r="A48" s="16"/>
      <c r="B48" s="650"/>
      <c r="C48" s="572"/>
      <c r="D48" s="673"/>
      <c r="E48" s="673"/>
      <c r="F48" s="673"/>
      <c r="G48" s="673"/>
      <c r="H48" s="657">
        <f>SUM(H46:H47)</f>
        <v>3.7499999999999999E-2</v>
      </c>
      <c r="I48" s="12" t="s">
        <v>2322</v>
      </c>
      <c r="J48" s="58"/>
    </row>
    <row r="49" spans="1:12" s="601" customFormat="1" hidden="1">
      <c r="A49" s="16"/>
      <c r="B49" s="650" t="s">
        <v>1687</v>
      </c>
      <c r="C49" s="651" t="s">
        <v>1688</v>
      </c>
      <c r="E49" s="673" t="s">
        <v>35</v>
      </c>
      <c r="F49" s="658">
        <f>H48</f>
        <v>3.7499999999999999E-2</v>
      </c>
      <c r="G49" s="659">
        <f>'MINI SSR 2022-23 (2)'!$C$144</f>
        <v>51000</v>
      </c>
      <c r="H49" s="53">
        <f t="shared" ref="H49:H57" si="2">ROUND(F49*G49,2)</f>
        <v>1912.5</v>
      </c>
      <c r="I49" s="12" t="s">
        <v>2322</v>
      </c>
      <c r="J49" s="58"/>
    </row>
    <row r="50" spans="1:12" s="601" customFormat="1" hidden="1">
      <c r="A50" s="16"/>
      <c r="B50" s="673" t="s">
        <v>2099</v>
      </c>
      <c r="C50" s="651" t="s">
        <v>2100</v>
      </c>
      <c r="D50" s="673"/>
      <c r="E50" s="673" t="s">
        <v>102</v>
      </c>
      <c r="F50" s="658">
        <f>ROUND(1.05*1.995,2)</f>
        <v>2.09</v>
      </c>
      <c r="G50" s="659">
        <f>'MINI SSR 2022-23 (2)'!$C$148</f>
        <v>2000</v>
      </c>
      <c r="H50" s="53">
        <f t="shared" si="2"/>
        <v>4180</v>
      </c>
      <c r="I50" s="12" t="s">
        <v>2322</v>
      </c>
      <c r="J50" s="58"/>
    </row>
    <row r="51" spans="1:12" s="601" customFormat="1" hidden="1">
      <c r="A51" s="16"/>
      <c r="B51" s="673" t="s">
        <v>2101</v>
      </c>
      <c r="C51" s="651" t="s">
        <v>2102</v>
      </c>
      <c r="D51" s="673"/>
      <c r="E51" s="673" t="s">
        <v>102</v>
      </c>
      <c r="F51" s="658">
        <f>ROUND(1.05*1.995,2)</f>
        <v>2.09</v>
      </c>
      <c r="G51" s="659">
        <f>'MINI SSR 2022-23 (2)'!$C$151</f>
        <v>1036</v>
      </c>
      <c r="H51" s="53">
        <f t="shared" si="2"/>
        <v>2165.2399999999998</v>
      </c>
      <c r="I51" s="12" t="s">
        <v>2322</v>
      </c>
      <c r="J51" s="58"/>
    </row>
    <row r="52" spans="1:12" hidden="1">
      <c r="A52" s="16"/>
      <c r="B52" s="673" t="s">
        <v>1396</v>
      </c>
      <c r="C52" s="651" t="s">
        <v>1395</v>
      </c>
      <c r="D52" s="673"/>
      <c r="E52" s="673" t="s">
        <v>11</v>
      </c>
      <c r="F52" s="535">
        <v>2</v>
      </c>
      <c r="G52" s="659">
        <f>'MINI SSR 2022-23 (2)'!$G$143</f>
        <v>86.5</v>
      </c>
      <c r="H52" s="53">
        <f t="shared" si="2"/>
        <v>173</v>
      </c>
      <c r="I52" s="12" t="s">
        <v>2322</v>
      </c>
    </row>
    <row r="53" spans="1:12" hidden="1">
      <c r="A53" s="16"/>
      <c r="B53" s="673" t="s">
        <v>1398</v>
      </c>
      <c r="C53" s="651" t="s">
        <v>1397</v>
      </c>
      <c r="D53" s="673"/>
      <c r="E53" s="673" t="s">
        <v>11</v>
      </c>
      <c r="F53" s="535">
        <v>3</v>
      </c>
      <c r="G53" s="659">
        <f>'MINI SSR 2022-23 (2)'!$G$146</f>
        <v>129</v>
      </c>
      <c r="H53" s="53">
        <f t="shared" si="2"/>
        <v>387</v>
      </c>
      <c r="I53" s="12" t="s">
        <v>2322</v>
      </c>
    </row>
    <row r="54" spans="1:12" hidden="1">
      <c r="A54" s="16"/>
      <c r="B54" s="673" t="s">
        <v>1383</v>
      </c>
      <c r="C54" s="651" t="s">
        <v>1382</v>
      </c>
      <c r="D54" s="673"/>
      <c r="E54" s="673" t="s">
        <v>11</v>
      </c>
      <c r="F54" s="535">
        <v>2</v>
      </c>
      <c r="G54" s="659">
        <f>'MINI SSR 2022-23 (2)'!$G$147</f>
        <v>114</v>
      </c>
      <c r="H54" s="53">
        <f t="shared" si="2"/>
        <v>228</v>
      </c>
      <c r="I54" s="12" t="s">
        <v>2322</v>
      </c>
    </row>
    <row r="55" spans="1:12" hidden="1">
      <c r="A55" s="16"/>
      <c r="B55" s="673" t="s">
        <v>1400</v>
      </c>
      <c r="C55" s="651" t="s">
        <v>1399</v>
      </c>
      <c r="D55" s="673"/>
      <c r="E55" s="673" t="s">
        <v>11</v>
      </c>
      <c r="F55" s="535">
        <v>2</v>
      </c>
      <c r="G55" s="659">
        <f>'MINI SSR 2022-23 (2)'!$G$149</f>
        <v>338</v>
      </c>
      <c r="H55" s="53">
        <f t="shared" si="2"/>
        <v>676</v>
      </c>
      <c r="I55" s="12" t="s">
        <v>2322</v>
      </c>
    </row>
    <row r="56" spans="1:12" hidden="1">
      <c r="A56" s="16"/>
      <c r="B56" s="673" t="s">
        <v>1402</v>
      </c>
      <c r="C56" s="651" t="s">
        <v>1401</v>
      </c>
      <c r="D56" s="673"/>
      <c r="E56" s="673" t="s">
        <v>11</v>
      </c>
      <c r="F56" s="535">
        <v>1</v>
      </c>
      <c r="G56" s="659">
        <f>'MINI SSR 2022-23 (2)'!$G$155</f>
        <v>58</v>
      </c>
      <c r="H56" s="53">
        <f t="shared" si="2"/>
        <v>58</v>
      </c>
      <c r="I56" s="12" t="s">
        <v>2322</v>
      </c>
    </row>
    <row r="57" spans="1:12" hidden="1">
      <c r="A57" s="16"/>
      <c r="B57" s="673" t="s">
        <v>1389</v>
      </c>
      <c r="C57" s="651" t="s">
        <v>1388</v>
      </c>
      <c r="D57" s="673"/>
      <c r="E57" s="673" t="s">
        <v>11</v>
      </c>
      <c r="F57" s="535">
        <v>6</v>
      </c>
      <c r="G57" s="659">
        <f>'MINI SSR 2022-23 (2)'!$G$152</f>
        <v>39</v>
      </c>
      <c r="H57" s="53">
        <f t="shared" si="2"/>
        <v>234</v>
      </c>
      <c r="I57" s="12" t="s">
        <v>2322</v>
      </c>
    </row>
    <row r="58" spans="1:12" hidden="1">
      <c r="A58" s="673"/>
      <c r="B58" s="673"/>
      <c r="C58" s="572" t="s">
        <v>68</v>
      </c>
      <c r="D58" s="673"/>
      <c r="E58" s="673"/>
      <c r="F58" s="659"/>
      <c r="G58" s="660"/>
      <c r="H58" s="53"/>
      <c r="I58" s="12" t="s">
        <v>2322</v>
      </c>
    </row>
    <row r="59" spans="1:12" hidden="1">
      <c r="A59" s="673"/>
      <c r="B59" s="673" t="s">
        <v>1695</v>
      </c>
      <c r="C59" s="651" t="s">
        <v>1390</v>
      </c>
      <c r="D59" s="58"/>
      <c r="E59" s="673" t="s">
        <v>102</v>
      </c>
      <c r="F59" s="659">
        <f>ROUND(1.2*2.1,2)</f>
        <v>2.52</v>
      </c>
      <c r="G59" s="659">
        <f>'MINI SSR 2022-23 (2)'!$C$150</f>
        <v>1701</v>
      </c>
      <c r="H59" s="53">
        <f>ROUND(F59*G59*1/3,2)</f>
        <v>1428.84</v>
      </c>
      <c r="I59" s="12" t="s">
        <v>2322</v>
      </c>
      <c r="L59" s="597"/>
    </row>
    <row r="60" spans="1:12" ht="13.5" hidden="1" thickBot="1">
      <c r="A60" s="673"/>
      <c r="B60" s="673"/>
      <c r="C60" s="572"/>
      <c r="D60" s="673"/>
      <c r="E60" s="673"/>
      <c r="F60" s="673"/>
      <c r="G60" s="673"/>
      <c r="H60" s="661">
        <f>SUM(H49:H59)</f>
        <v>11442.58</v>
      </c>
      <c r="I60" s="12" t="s">
        <v>2322</v>
      </c>
      <c r="L60" s="662"/>
    </row>
    <row r="61" spans="1:12" ht="127.5" hidden="1">
      <c r="A61" s="16">
        <v>3</v>
      </c>
      <c r="B61" s="650"/>
      <c r="C61" s="651" t="s">
        <v>1683</v>
      </c>
      <c r="D61" s="673"/>
      <c r="E61" s="673"/>
      <c r="F61" s="673"/>
      <c r="G61" s="673"/>
      <c r="H61" s="652"/>
      <c r="I61" s="12" t="s">
        <v>2322</v>
      </c>
    </row>
    <row r="62" spans="1:12" hidden="1">
      <c r="A62" s="16"/>
      <c r="B62" s="650"/>
      <c r="C62" s="572" t="s">
        <v>100</v>
      </c>
      <c r="D62" s="673"/>
      <c r="E62" s="673"/>
      <c r="F62" s="673"/>
      <c r="G62" s="673"/>
      <c r="H62" s="652"/>
      <c r="I62" s="12" t="s">
        <v>2322</v>
      </c>
    </row>
    <row r="63" spans="1:12" s="601" customFormat="1" hidden="1">
      <c r="A63" s="16"/>
      <c r="B63" s="650"/>
      <c r="C63" s="572" t="s">
        <v>594</v>
      </c>
      <c r="D63" s="673"/>
      <c r="E63" s="673"/>
      <c r="F63" s="673"/>
      <c r="G63" s="673"/>
      <c r="H63" s="652"/>
      <c r="I63" s="12" t="s">
        <v>2322</v>
      </c>
      <c r="J63" s="58"/>
    </row>
    <row r="64" spans="1:12" s="601" customFormat="1" hidden="1">
      <c r="A64" s="16"/>
      <c r="B64" s="650"/>
      <c r="C64" s="651" t="s">
        <v>2</v>
      </c>
      <c r="D64" s="653">
        <v>2</v>
      </c>
      <c r="E64" s="654">
        <v>1.9</v>
      </c>
      <c r="F64" s="655">
        <v>0.1</v>
      </c>
      <c r="G64" s="655">
        <v>7.4999999999999997E-2</v>
      </c>
      <c r="H64" s="656">
        <f>ROUND(D64*E64*F64*G64,4)</f>
        <v>2.8500000000000001E-2</v>
      </c>
      <c r="I64" s="12" t="s">
        <v>2322</v>
      </c>
      <c r="J64" s="58"/>
    </row>
    <row r="65" spans="1:10" s="601" customFormat="1" hidden="1">
      <c r="A65" s="16"/>
      <c r="B65" s="650"/>
      <c r="C65" s="651" t="s">
        <v>741</v>
      </c>
      <c r="D65" s="653">
        <v>1</v>
      </c>
      <c r="E65" s="654">
        <v>0.9</v>
      </c>
      <c r="F65" s="655">
        <v>0.1</v>
      </c>
      <c r="G65" s="655">
        <v>7.4999999999999997E-2</v>
      </c>
      <c r="H65" s="656">
        <f>ROUND(D65*E65*F65*G65,4)</f>
        <v>6.7999999999999996E-3</v>
      </c>
      <c r="I65" s="12" t="s">
        <v>2322</v>
      </c>
      <c r="J65" s="58"/>
    </row>
    <row r="66" spans="1:10" s="601" customFormat="1" hidden="1">
      <c r="A66" s="16"/>
      <c r="B66" s="650"/>
      <c r="C66" s="572"/>
      <c r="D66" s="653"/>
      <c r="E66" s="653"/>
      <c r="F66" s="653"/>
      <c r="G66" s="653"/>
      <c r="H66" s="663">
        <f>SUM(H64:H65)</f>
        <v>3.5299999999999998E-2</v>
      </c>
      <c r="I66" s="12" t="s">
        <v>2322</v>
      </c>
      <c r="J66" s="58"/>
    </row>
    <row r="67" spans="1:10" s="601" customFormat="1" hidden="1">
      <c r="A67" s="16"/>
      <c r="B67" s="650"/>
      <c r="C67" s="572" t="s">
        <v>320</v>
      </c>
      <c r="D67" s="653">
        <v>1</v>
      </c>
      <c r="E67" s="654">
        <v>2.0099999999999998</v>
      </c>
      <c r="F67" s="655">
        <v>0.8</v>
      </c>
      <c r="G67" s="655">
        <v>0.03</v>
      </c>
      <c r="H67" s="656">
        <f>ROUND(D67*E67*F67*G67,4)</f>
        <v>4.82E-2</v>
      </c>
      <c r="I67" s="12" t="s">
        <v>2322</v>
      </c>
      <c r="J67" s="58"/>
    </row>
    <row r="68" spans="1:10" s="601" customFormat="1" hidden="1">
      <c r="A68" s="16"/>
      <c r="B68" s="650"/>
      <c r="C68" s="651"/>
      <c r="D68" s="653"/>
      <c r="E68" s="653"/>
      <c r="F68" s="653"/>
      <c r="G68" s="653"/>
      <c r="H68" s="663">
        <f>SUM(H67:H67)</f>
        <v>4.82E-2</v>
      </c>
      <c r="I68" s="12" t="s">
        <v>2322</v>
      </c>
      <c r="J68" s="58"/>
    </row>
    <row r="69" spans="1:10" s="601" customFormat="1" hidden="1">
      <c r="A69" s="16"/>
      <c r="B69" s="650" t="s">
        <v>1375</v>
      </c>
      <c r="C69" s="651" t="s">
        <v>1374</v>
      </c>
      <c r="E69" s="673" t="s">
        <v>35</v>
      </c>
      <c r="F69" s="658">
        <f>H66</f>
        <v>3.5299999999999998E-2</v>
      </c>
      <c r="G69" s="659">
        <f>'MINI SSR 2022-23 (2)'!C142</f>
        <v>81950</v>
      </c>
      <c r="H69" s="53">
        <f t="shared" ref="H69:H76" si="3">ROUND(F69*G69,2)</f>
        <v>2892.84</v>
      </c>
      <c r="I69" s="12" t="s">
        <v>2322</v>
      </c>
      <c r="J69" s="58"/>
    </row>
    <row r="70" spans="1:10" s="601" customFormat="1" hidden="1">
      <c r="A70" s="16"/>
      <c r="B70" s="650" t="s">
        <v>1377</v>
      </c>
      <c r="C70" s="651" t="s">
        <v>1376</v>
      </c>
      <c r="E70" s="673" t="s">
        <v>35</v>
      </c>
      <c r="F70" s="658">
        <f>H68</f>
        <v>4.82E-2</v>
      </c>
      <c r="G70" s="659">
        <f>'MINI SSR 2022-23 (2)'!C143</f>
        <v>160920</v>
      </c>
      <c r="H70" s="53">
        <f t="shared" si="3"/>
        <v>7756.34</v>
      </c>
      <c r="I70" s="12" t="s">
        <v>2322</v>
      </c>
      <c r="J70" s="58"/>
    </row>
    <row r="71" spans="1:10" s="601" customFormat="1" hidden="1">
      <c r="A71" s="16"/>
      <c r="B71" s="650" t="s">
        <v>1379</v>
      </c>
      <c r="C71" s="651" t="s">
        <v>1378</v>
      </c>
      <c r="D71" s="673"/>
      <c r="E71" s="673" t="s">
        <v>11</v>
      </c>
      <c r="F71" s="535">
        <v>2</v>
      </c>
      <c r="G71" s="659">
        <f t="shared" ref="G71:G76" si="4">G16</f>
        <v>255</v>
      </c>
      <c r="H71" s="53">
        <f t="shared" si="3"/>
        <v>510</v>
      </c>
      <c r="I71" s="12" t="s">
        <v>2322</v>
      </c>
      <c r="J71" s="58"/>
    </row>
    <row r="72" spans="1:10" s="601" customFormat="1" hidden="1">
      <c r="A72" s="16"/>
      <c r="B72" s="650" t="s">
        <v>1381</v>
      </c>
      <c r="C72" s="651" t="s">
        <v>1380</v>
      </c>
      <c r="D72" s="673"/>
      <c r="E72" s="673" t="s">
        <v>11</v>
      </c>
      <c r="F72" s="535">
        <v>3</v>
      </c>
      <c r="G72" s="659">
        <f t="shared" si="4"/>
        <v>273</v>
      </c>
      <c r="H72" s="53">
        <f t="shared" si="3"/>
        <v>819</v>
      </c>
      <c r="I72" s="12" t="s">
        <v>2322</v>
      </c>
      <c r="J72" s="58"/>
    </row>
    <row r="73" spans="1:10" s="601" customFormat="1" hidden="1">
      <c r="A73" s="16"/>
      <c r="B73" s="650" t="s">
        <v>1383</v>
      </c>
      <c r="C73" s="651" t="s">
        <v>1382</v>
      </c>
      <c r="D73" s="673"/>
      <c r="E73" s="673" t="s">
        <v>11</v>
      </c>
      <c r="F73" s="535"/>
      <c r="G73" s="659">
        <f t="shared" si="4"/>
        <v>108</v>
      </c>
      <c r="H73" s="53">
        <f t="shared" si="3"/>
        <v>0</v>
      </c>
      <c r="I73" s="12" t="s">
        <v>2322</v>
      </c>
      <c r="J73" s="58"/>
    </row>
    <row r="74" spans="1:10" s="601" customFormat="1" hidden="1">
      <c r="A74" s="16"/>
      <c r="B74" s="650" t="s">
        <v>1385</v>
      </c>
      <c r="C74" s="651" t="s">
        <v>1384</v>
      </c>
      <c r="D74" s="673"/>
      <c r="E74" s="673" t="s">
        <v>11</v>
      </c>
      <c r="F74" s="535">
        <v>2</v>
      </c>
      <c r="G74" s="659">
        <f t="shared" si="4"/>
        <v>1195</v>
      </c>
      <c r="H74" s="53">
        <f t="shared" si="3"/>
        <v>2390</v>
      </c>
      <c r="I74" s="12" t="s">
        <v>2322</v>
      </c>
      <c r="J74" s="58"/>
    </row>
    <row r="75" spans="1:10" hidden="1">
      <c r="A75" s="16"/>
      <c r="B75" s="650" t="s">
        <v>1387</v>
      </c>
      <c r="C75" s="651" t="s">
        <v>1386</v>
      </c>
      <c r="D75" s="673"/>
      <c r="E75" s="673" t="s">
        <v>11</v>
      </c>
      <c r="F75" s="535">
        <v>1</v>
      </c>
      <c r="G75" s="659">
        <f t="shared" si="4"/>
        <v>185</v>
      </c>
      <c r="H75" s="53">
        <f t="shared" si="3"/>
        <v>185</v>
      </c>
      <c r="I75" s="12" t="s">
        <v>2322</v>
      </c>
    </row>
    <row r="76" spans="1:10" hidden="1">
      <c r="A76" s="16"/>
      <c r="B76" s="650" t="s">
        <v>1389</v>
      </c>
      <c r="C76" s="651" t="s">
        <v>1388</v>
      </c>
      <c r="D76" s="673"/>
      <c r="E76" s="673" t="s">
        <v>11</v>
      </c>
      <c r="F76" s="535">
        <v>6</v>
      </c>
      <c r="G76" s="659">
        <f t="shared" si="4"/>
        <v>39</v>
      </c>
      <c r="H76" s="53">
        <f t="shared" si="3"/>
        <v>234</v>
      </c>
      <c r="I76" s="12" t="s">
        <v>2322</v>
      </c>
    </row>
    <row r="77" spans="1:10" hidden="1">
      <c r="A77" s="16"/>
      <c r="B77" s="650"/>
      <c r="C77" s="572" t="s">
        <v>68</v>
      </c>
      <c r="D77" s="58"/>
      <c r="E77" s="673"/>
      <c r="F77" s="659"/>
      <c r="G77" s="659"/>
      <c r="H77" s="53"/>
      <c r="I77" s="12" t="s">
        <v>2322</v>
      </c>
    </row>
    <row r="78" spans="1:10" hidden="1">
      <c r="A78" s="16"/>
      <c r="B78" s="673" t="s">
        <v>1391</v>
      </c>
      <c r="C78" s="651" t="s">
        <v>1390</v>
      </c>
      <c r="D78" s="58"/>
      <c r="E78" s="673" t="s">
        <v>102</v>
      </c>
      <c r="F78" s="659">
        <f>ROUND(0.9*2.1,2)</f>
        <v>1.89</v>
      </c>
      <c r="G78" s="659">
        <f>G23</f>
        <v>1727</v>
      </c>
      <c r="H78" s="53">
        <f>ROUND(F78*G78*1/3,2)</f>
        <v>1088.01</v>
      </c>
      <c r="I78" s="12" t="s">
        <v>2322</v>
      </c>
    </row>
    <row r="79" spans="1:10" hidden="1">
      <c r="A79" s="16"/>
      <c r="B79" s="650"/>
      <c r="C79" s="572"/>
      <c r="D79" s="673"/>
      <c r="E79" s="673"/>
      <c r="F79" s="673"/>
      <c r="G79" s="673"/>
      <c r="H79" s="661">
        <f>SUM(H69:H78)</f>
        <v>15875.19</v>
      </c>
      <c r="I79" s="12" t="s">
        <v>2322</v>
      </c>
    </row>
    <row r="80" spans="1:10" ht="127.5" hidden="1">
      <c r="A80" s="16">
        <v>4</v>
      </c>
      <c r="B80" s="650"/>
      <c r="C80" s="651" t="s">
        <v>1684</v>
      </c>
      <c r="D80" s="673"/>
      <c r="E80" s="673"/>
      <c r="F80" s="673"/>
      <c r="G80" s="673"/>
      <c r="H80" s="652"/>
      <c r="I80" s="12" t="s">
        <v>2322</v>
      </c>
    </row>
    <row r="81" spans="1:10" hidden="1">
      <c r="A81" s="16"/>
      <c r="B81" s="650"/>
      <c r="C81" s="572" t="s">
        <v>100</v>
      </c>
      <c r="D81" s="673"/>
      <c r="E81" s="673"/>
      <c r="F81" s="673"/>
      <c r="G81" s="673"/>
      <c r="H81" s="652"/>
      <c r="I81" s="12" t="s">
        <v>2322</v>
      </c>
    </row>
    <row r="82" spans="1:10" s="601" customFormat="1" hidden="1">
      <c r="A82" s="16"/>
      <c r="B82" s="650"/>
      <c r="C82" s="572" t="s">
        <v>594</v>
      </c>
      <c r="D82" s="673"/>
      <c r="E82" s="673"/>
      <c r="F82" s="673"/>
      <c r="G82" s="673"/>
      <c r="H82" s="652"/>
      <c r="I82" s="12" t="s">
        <v>2322</v>
      </c>
      <c r="J82" s="58"/>
    </row>
    <row r="83" spans="1:10" s="601" customFormat="1" hidden="1">
      <c r="A83" s="16"/>
      <c r="B83" s="650"/>
      <c r="C83" s="651" t="s">
        <v>2</v>
      </c>
      <c r="D83" s="653">
        <v>2</v>
      </c>
      <c r="E83" s="654">
        <v>1.9</v>
      </c>
      <c r="F83" s="655">
        <v>0.1</v>
      </c>
      <c r="G83" s="655">
        <v>7.4999999999999997E-2</v>
      </c>
      <c r="H83" s="656">
        <f>ROUND(D83*E83*F83*G83,4)</f>
        <v>2.8500000000000001E-2</v>
      </c>
      <c r="I83" s="12" t="s">
        <v>2322</v>
      </c>
      <c r="J83" s="58"/>
    </row>
    <row r="84" spans="1:10" s="601" customFormat="1" hidden="1">
      <c r="A84" s="16"/>
      <c r="B84" s="650"/>
      <c r="C84" s="651" t="s">
        <v>741</v>
      </c>
      <c r="D84" s="653">
        <v>1</v>
      </c>
      <c r="E84" s="654">
        <v>0.8</v>
      </c>
      <c r="F84" s="655">
        <v>0.1</v>
      </c>
      <c r="G84" s="655">
        <v>7.4999999999999997E-2</v>
      </c>
      <c r="H84" s="656">
        <f>ROUND(D84*E84*F84*G84,4)</f>
        <v>6.0000000000000001E-3</v>
      </c>
      <c r="I84" s="12" t="s">
        <v>2322</v>
      </c>
      <c r="J84" s="58"/>
    </row>
    <row r="85" spans="1:10" s="601" customFormat="1" hidden="1">
      <c r="A85" s="16"/>
      <c r="B85" s="650"/>
      <c r="C85" s="572"/>
      <c r="D85" s="653"/>
      <c r="E85" s="653"/>
      <c r="F85" s="653"/>
      <c r="G85" s="653"/>
      <c r="H85" s="663">
        <f>SUM(H83:H84)</f>
        <v>3.4500000000000003E-2</v>
      </c>
      <c r="I85" s="12" t="s">
        <v>2322</v>
      </c>
      <c r="J85" s="58"/>
    </row>
    <row r="86" spans="1:10" s="601" customFormat="1" hidden="1">
      <c r="A86" s="16"/>
      <c r="B86" s="650"/>
      <c r="C86" s="572" t="s">
        <v>320</v>
      </c>
      <c r="D86" s="653">
        <v>1</v>
      </c>
      <c r="E86" s="654">
        <v>2.0099999999999998</v>
      </c>
      <c r="F86" s="655">
        <v>0.72</v>
      </c>
      <c r="G86" s="655">
        <v>0.03</v>
      </c>
      <c r="H86" s="656">
        <f>ROUND(D86*E86*F86*G86,4)</f>
        <v>4.3400000000000001E-2</v>
      </c>
      <c r="I86" s="12" t="s">
        <v>2322</v>
      </c>
      <c r="J86" s="58"/>
    </row>
    <row r="87" spans="1:10" s="601" customFormat="1" hidden="1">
      <c r="A87" s="16"/>
      <c r="B87" s="650"/>
      <c r="C87" s="651"/>
      <c r="D87" s="653"/>
      <c r="E87" s="653"/>
      <c r="F87" s="653"/>
      <c r="G87" s="653"/>
      <c r="H87" s="663">
        <f>SUM(H86:H86)</f>
        <v>4.3400000000000001E-2</v>
      </c>
      <c r="I87" s="12" t="s">
        <v>2322</v>
      </c>
      <c r="J87" s="58"/>
    </row>
    <row r="88" spans="1:10" s="601" customFormat="1" hidden="1">
      <c r="A88" s="16"/>
      <c r="B88" s="650" t="s">
        <v>1375</v>
      </c>
      <c r="C88" s="651" t="s">
        <v>1374</v>
      </c>
      <c r="E88" s="673" t="s">
        <v>35</v>
      </c>
      <c r="F88" s="658">
        <f>H85</f>
        <v>3.4500000000000003E-2</v>
      </c>
      <c r="G88" s="659">
        <f t="shared" ref="G88:G95" si="5">G69</f>
        <v>81950</v>
      </c>
      <c r="H88" s="53">
        <f t="shared" ref="H88:H95" si="6">ROUND(F88*G88,2)</f>
        <v>2827.28</v>
      </c>
      <c r="I88" s="12" t="s">
        <v>2322</v>
      </c>
      <c r="J88" s="58"/>
    </row>
    <row r="89" spans="1:10" s="601" customFormat="1" hidden="1">
      <c r="A89" s="16"/>
      <c r="B89" s="650" t="s">
        <v>1377</v>
      </c>
      <c r="C89" s="651" t="s">
        <v>1376</v>
      </c>
      <c r="E89" s="673" t="s">
        <v>35</v>
      </c>
      <c r="F89" s="658">
        <f>H87</f>
        <v>4.3400000000000001E-2</v>
      </c>
      <c r="G89" s="659">
        <f t="shared" si="5"/>
        <v>160920</v>
      </c>
      <c r="H89" s="53">
        <f t="shared" si="6"/>
        <v>6983.93</v>
      </c>
      <c r="I89" s="12" t="s">
        <v>2322</v>
      </c>
      <c r="J89" s="58"/>
    </row>
    <row r="90" spans="1:10" s="601" customFormat="1" hidden="1">
      <c r="A90" s="16"/>
      <c r="B90" s="650" t="s">
        <v>1379</v>
      </c>
      <c r="C90" s="651" t="s">
        <v>1378</v>
      </c>
      <c r="D90" s="673"/>
      <c r="E90" s="673" t="s">
        <v>11</v>
      </c>
      <c r="F90" s="535">
        <v>2</v>
      </c>
      <c r="G90" s="659">
        <f t="shared" si="5"/>
        <v>255</v>
      </c>
      <c r="H90" s="53">
        <f t="shared" si="6"/>
        <v>510</v>
      </c>
      <c r="I90" s="12" t="s">
        <v>2322</v>
      </c>
      <c r="J90" s="58"/>
    </row>
    <row r="91" spans="1:10" s="601" customFormat="1" hidden="1">
      <c r="A91" s="16"/>
      <c r="B91" s="650" t="s">
        <v>1381</v>
      </c>
      <c r="C91" s="651" t="s">
        <v>1380</v>
      </c>
      <c r="D91" s="673"/>
      <c r="E91" s="673" t="s">
        <v>11</v>
      </c>
      <c r="F91" s="535">
        <v>3</v>
      </c>
      <c r="G91" s="659">
        <f t="shared" si="5"/>
        <v>273</v>
      </c>
      <c r="H91" s="53">
        <f t="shared" si="6"/>
        <v>819</v>
      </c>
      <c r="I91" s="12" t="s">
        <v>2322</v>
      </c>
      <c r="J91" s="58"/>
    </row>
    <row r="92" spans="1:10" s="601" customFormat="1" hidden="1">
      <c r="A92" s="16"/>
      <c r="B92" s="650" t="s">
        <v>1383</v>
      </c>
      <c r="C92" s="651" t="s">
        <v>1382</v>
      </c>
      <c r="D92" s="673"/>
      <c r="E92" s="673" t="s">
        <v>11</v>
      </c>
      <c r="F92" s="535"/>
      <c r="G92" s="659">
        <f t="shared" si="5"/>
        <v>108</v>
      </c>
      <c r="H92" s="53">
        <f t="shared" si="6"/>
        <v>0</v>
      </c>
      <c r="I92" s="12" t="s">
        <v>2322</v>
      </c>
      <c r="J92" s="58"/>
    </row>
    <row r="93" spans="1:10" s="601" customFormat="1" hidden="1">
      <c r="A93" s="16"/>
      <c r="B93" s="650" t="s">
        <v>1385</v>
      </c>
      <c r="C93" s="651" t="s">
        <v>1384</v>
      </c>
      <c r="D93" s="673"/>
      <c r="E93" s="673" t="s">
        <v>11</v>
      </c>
      <c r="F93" s="535">
        <v>2</v>
      </c>
      <c r="G93" s="659">
        <f t="shared" si="5"/>
        <v>1195</v>
      </c>
      <c r="H93" s="53">
        <f t="shared" si="6"/>
        <v>2390</v>
      </c>
      <c r="I93" s="12" t="s">
        <v>2322</v>
      </c>
      <c r="J93" s="58"/>
    </row>
    <row r="94" spans="1:10" hidden="1">
      <c r="A94" s="16"/>
      <c r="B94" s="650" t="s">
        <v>1387</v>
      </c>
      <c r="C94" s="651" t="s">
        <v>1386</v>
      </c>
      <c r="D94" s="673"/>
      <c r="E94" s="673" t="s">
        <v>11</v>
      </c>
      <c r="F94" s="535">
        <v>1</v>
      </c>
      <c r="G94" s="659">
        <f t="shared" si="5"/>
        <v>185</v>
      </c>
      <c r="H94" s="53">
        <f t="shared" si="6"/>
        <v>185</v>
      </c>
      <c r="I94" s="12" t="s">
        <v>2322</v>
      </c>
    </row>
    <row r="95" spans="1:10" hidden="1">
      <c r="A95" s="16"/>
      <c r="B95" s="650" t="s">
        <v>1389</v>
      </c>
      <c r="C95" s="651" t="s">
        <v>1388</v>
      </c>
      <c r="D95" s="673"/>
      <c r="E95" s="673" t="s">
        <v>11</v>
      </c>
      <c r="F95" s="535">
        <v>6</v>
      </c>
      <c r="G95" s="659">
        <f t="shared" si="5"/>
        <v>39</v>
      </c>
      <c r="H95" s="53">
        <f t="shared" si="6"/>
        <v>234</v>
      </c>
      <c r="I95" s="12" t="s">
        <v>2322</v>
      </c>
    </row>
    <row r="96" spans="1:10" hidden="1">
      <c r="A96" s="16"/>
      <c r="B96" s="650"/>
      <c r="C96" s="572" t="s">
        <v>68</v>
      </c>
      <c r="D96" s="58"/>
      <c r="E96" s="673"/>
      <c r="F96" s="659"/>
      <c r="G96" s="659"/>
      <c r="H96" s="53"/>
      <c r="I96" s="12" t="s">
        <v>2322</v>
      </c>
    </row>
    <row r="97" spans="1:10" hidden="1">
      <c r="A97" s="16"/>
      <c r="B97" s="673" t="s">
        <v>1391</v>
      </c>
      <c r="C97" s="651" t="s">
        <v>1390</v>
      </c>
      <c r="D97" s="58"/>
      <c r="E97" s="673" t="s">
        <v>102</v>
      </c>
      <c r="F97" s="659">
        <f>ROUND(0.9*2.1,2)</f>
        <v>1.89</v>
      </c>
      <c r="G97" s="659">
        <f>G78</f>
        <v>1727</v>
      </c>
      <c r="H97" s="53">
        <f>ROUND(F97*G97*1/3,2)</f>
        <v>1088.01</v>
      </c>
      <c r="I97" s="12" t="s">
        <v>2322</v>
      </c>
    </row>
    <row r="98" spans="1:10" hidden="1">
      <c r="A98" s="16"/>
      <c r="B98" s="650"/>
      <c r="C98" s="572"/>
      <c r="D98" s="673"/>
      <c r="E98" s="673"/>
      <c r="F98" s="673"/>
      <c r="G98" s="673"/>
      <c r="H98" s="661">
        <f>SUM(H88:H97)</f>
        <v>15037.220000000001</v>
      </c>
      <c r="I98" s="12" t="s">
        <v>2322</v>
      </c>
    </row>
    <row r="99" spans="1:10" ht="114.75" hidden="1">
      <c r="A99" s="16">
        <v>2</v>
      </c>
      <c r="B99" s="650"/>
      <c r="C99" s="651" t="s">
        <v>1685</v>
      </c>
      <c r="D99" s="673"/>
      <c r="E99" s="673"/>
      <c r="F99" s="673"/>
      <c r="G99" s="673"/>
      <c r="H99" s="652"/>
      <c r="I99" s="12" t="s">
        <v>2322</v>
      </c>
    </row>
    <row r="100" spans="1:10" hidden="1">
      <c r="A100" s="16"/>
      <c r="B100" s="650"/>
      <c r="C100" s="572" t="s">
        <v>100</v>
      </c>
      <c r="D100" s="673"/>
      <c r="E100" s="673"/>
      <c r="F100" s="673"/>
      <c r="G100" s="673"/>
      <c r="H100" s="652"/>
      <c r="I100" s="12" t="s">
        <v>2322</v>
      </c>
    </row>
    <row r="101" spans="1:10" s="601" customFormat="1" hidden="1">
      <c r="A101" s="16"/>
      <c r="B101" s="650"/>
      <c r="C101" s="572" t="s">
        <v>1</v>
      </c>
      <c r="D101" s="673"/>
      <c r="E101" s="673"/>
      <c r="F101" s="673"/>
      <c r="G101" s="673"/>
      <c r="H101" s="652"/>
      <c r="I101" s="12" t="s">
        <v>2322</v>
      </c>
      <c r="J101" s="58"/>
    </row>
    <row r="102" spans="1:10" s="601" customFormat="1" hidden="1">
      <c r="A102" s="16"/>
      <c r="B102" s="650"/>
      <c r="C102" s="651" t="s">
        <v>2</v>
      </c>
      <c r="D102" s="653">
        <v>2</v>
      </c>
      <c r="E102" s="654">
        <v>1.9</v>
      </c>
      <c r="F102" s="655">
        <v>0.1</v>
      </c>
      <c r="G102" s="655">
        <v>7.4999999999999997E-2</v>
      </c>
      <c r="H102" s="656">
        <f>ROUND(D102*E102*F102*G102,4)</f>
        <v>2.8500000000000001E-2</v>
      </c>
      <c r="I102" s="12" t="s">
        <v>2322</v>
      </c>
      <c r="J102" s="58"/>
    </row>
    <row r="103" spans="1:10" s="601" customFormat="1" hidden="1">
      <c r="A103" s="16"/>
      <c r="B103" s="650"/>
      <c r="C103" s="651" t="s">
        <v>741</v>
      </c>
      <c r="D103" s="653">
        <v>1</v>
      </c>
      <c r="E103" s="654">
        <v>0.9</v>
      </c>
      <c r="F103" s="655">
        <v>0.1</v>
      </c>
      <c r="G103" s="655">
        <v>7.4999999999999997E-2</v>
      </c>
      <c r="H103" s="656">
        <f>ROUND(D103*E103*F103*G103,4)</f>
        <v>6.7999999999999996E-3</v>
      </c>
      <c r="I103" s="12" t="s">
        <v>2322</v>
      </c>
      <c r="J103" s="58"/>
    </row>
    <row r="104" spans="1:10" s="601" customFormat="1" hidden="1">
      <c r="A104" s="16"/>
      <c r="B104" s="650"/>
      <c r="C104" s="572"/>
      <c r="D104" s="653"/>
      <c r="E104" s="653"/>
      <c r="F104" s="653"/>
      <c r="G104" s="653"/>
      <c r="H104" s="663">
        <f>SUM(H102:H103)</f>
        <v>3.5299999999999998E-2</v>
      </c>
      <c r="I104" s="12" t="s">
        <v>2322</v>
      </c>
      <c r="J104" s="58"/>
    </row>
    <row r="105" spans="1:10" s="601" customFormat="1" hidden="1">
      <c r="A105" s="16"/>
      <c r="B105" s="650"/>
      <c r="C105" s="572" t="s">
        <v>1686</v>
      </c>
      <c r="D105" s="653">
        <v>2</v>
      </c>
      <c r="E105" s="654">
        <v>2.0099999999999998</v>
      </c>
      <c r="F105" s="655">
        <v>0.4</v>
      </c>
      <c r="G105" s="655">
        <v>0.03</v>
      </c>
      <c r="H105" s="656">
        <f>ROUND(D105*E105*F105*G105,4)</f>
        <v>4.82E-2</v>
      </c>
      <c r="I105" s="12" t="s">
        <v>2322</v>
      </c>
      <c r="J105" s="58"/>
    </row>
    <row r="106" spans="1:10" s="601" customFormat="1" hidden="1">
      <c r="A106" s="16"/>
      <c r="B106" s="650"/>
      <c r="C106" s="651"/>
      <c r="D106" s="653"/>
      <c r="E106" s="653"/>
      <c r="F106" s="653"/>
      <c r="G106" s="653"/>
      <c r="H106" s="663">
        <f>SUM(H105:H105)</f>
        <v>4.82E-2</v>
      </c>
      <c r="I106" s="12" t="s">
        <v>2322</v>
      </c>
      <c r="J106" s="58"/>
    </row>
    <row r="107" spans="1:10" s="601" customFormat="1" hidden="1">
      <c r="A107" s="16"/>
      <c r="B107" s="650" t="s">
        <v>1687</v>
      </c>
      <c r="C107" s="651" t="s">
        <v>1688</v>
      </c>
      <c r="E107" s="673" t="s">
        <v>35</v>
      </c>
      <c r="F107" s="658">
        <f>H104</f>
        <v>3.5299999999999998E-2</v>
      </c>
      <c r="G107" s="659">
        <f>'MINI SSR 2022-23 (2)'!$C$144</f>
        <v>51000</v>
      </c>
      <c r="H107" s="53">
        <f t="shared" ref="H107:H114" si="7">ROUND(F107*G107,2)</f>
        <v>1800.3</v>
      </c>
      <c r="I107" s="12" t="s">
        <v>2322</v>
      </c>
      <c r="J107" s="58"/>
    </row>
    <row r="108" spans="1:10" s="601" customFormat="1" hidden="1">
      <c r="A108" s="16"/>
      <c r="B108" s="650" t="s">
        <v>1689</v>
      </c>
      <c r="C108" s="651" t="s">
        <v>1690</v>
      </c>
      <c r="E108" s="673" t="s">
        <v>35</v>
      </c>
      <c r="F108" s="658">
        <f>H106</f>
        <v>4.82E-2</v>
      </c>
      <c r="G108" s="659">
        <f>'MINI SSR 2022-23 (2)'!C145</f>
        <v>63950</v>
      </c>
      <c r="H108" s="53">
        <f t="shared" si="7"/>
        <v>3082.39</v>
      </c>
      <c r="I108" s="12" t="s">
        <v>2322</v>
      </c>
      <c r="J108" s="58"/>
    </row>
    <row r="109" spans="1:10" s="601" customFormat="1" hidden="1">
      <c r="A109" s="16"/>
      <c r="B109" s="650" t="s">
        <v>1396</v>
      </c>
      <c r="C109" s="651" t="s">
        <v>1691</v>
      </c>
      <c r="D109" s="673"/>
      <c r="E109" s="673" t="s">
        <v>11</v>
      </c>
      <c r="F109" s="535">
        <v>2</v>
      </c>
      <c r="G109" s="659">
        <f>'MINI SSR 2022-23 (2)'!G143</f>
        <v>86.5</v>
      </c>
      <c r="H109" s="53">
        <f t="shared" si="7"/>
        <v>173</v>
      </c>
      <c r="I109" s="12" t="s">
        <v>2322</v>
      </c>
      <c r="J109" s="58"/>
    </row>
    <row r="110" spans="1:10" s="601" customFormat="1" hidden="1">
      <c r="A110" s="16"/>
      <c r="B110" s="650" t="s">
        <v>1398</v>
      </c>
      <c r="C110" s="651" t="s">
        <v>1380</v>
      </c>
      <c r="D110" s="673"/>
      <c r="E110" s="673" t="s">
        <v>11</v>
      </c>
      <c r="F110" s="535">
        <v>6</v>
      </c>
      <c r="G110" s="659">
        <f>'MINI SSR 2022-23 (2)'!G146</f>
        <v>129</v>
      </c>
      <c r="H110" s="53">
        <f t="shared" si="7"/>
        <v>774</v>
      </c>
      <c r="I110" s="12" t="s">
        <v>2322</v>
      </c>
      <c r="J110" s="58"/>
    </row>
    <row r="111" spans="1:10" s="601" customFormat="1" hidden="1">
      <c r="A111" s="16"/>
      <c r="B111" s="650" t="s">
        <v>1383</v>
      </c>
      <c r="C111" s="651" t="s">
        <v>1382</v>
      </c>
      <c r="D111" s="673"/>
      <c r="E111" s="673" t="s">
        <v>11</v>
      </c>
      <c r="F111" s="535"/>
      <c r="G111" s="659">
        <f>'MINI SSR 2022-23 (2)'!G147</f>
        <v>114</v>
      </c>
      <c r="H111" s="53">
        <f t="shared" si="7"/>
        <v>0</v>
      </c>
      <c r="I111" s="12" t="s">
        <v>2322</v>
      </c>
      <c r="J111" s="58"/>
    </row>
    <row r="112" spans="1:10" s="601" customFormat="1" hidden="1">
      <c r="A112" s="16"/>
      <c r="B112" s="650" t="s">
        <v>1400</v>
      </c>
      <c r="C112" s="651" t="s">
        <v>1692</v>
      </c>
      <c r="D112" s="673"/>
      <c r="E112" s="673" t="s">
        <v>11</v>
      </c>
      <c r="F112" s="535">
        <v>2</v>
      </c>
      <c r="G112" s="659">
        <f>'MINI SSR 2022-23 (2)'!G149</f>
        <v>338</v>
      </c>
      <c r="H112" s="53">
        <f t="shared" si="7"/>
        <v>676</v>
      </c>
      <c r="I112" s="12" t="s">
        <v>2322</v>
      </c>
      <c r="J112" s="58"/>
    </row>
    <row r="113" spans="1:10" hidden="1">
      <c r="A113" s="16"/>
      <c r="B113" s="650" t="s">
        <v>1693</v>
      </c>
      <c r="C113" s="651" t="s">
        <v>1694</v>
      </c>
      <c r="D113" s="673"/>
      <c r="E113" s="673" t="s">
        <v>11</v>
      </c>
      <c r="F113" s="535">
        <v>1</v>
      </c>
      <c r="G113" s="659">
        <f>'MINI SSR 2022-23 (2)'!G155</f>
        <v>58</v>
      </c>
      <c r="H113" s="53">
        <f t="shared" si="7"/>
        <v>58</v>
      </c>
      <c r="I113" s="12" t="s">
        <v>2322</v>
      </c>
    </row>
    <row r="114" spans="1:10" hidden="1">
      <c r="A114" s="16"/>
      <c r="B114" s="650" t="s">
        <v>1389</v>
      </c>
      <c r="C114" s="651" t="s">
        <v>1388</v>
      </c>
      <c r="D114" s="673"/>
      <c r="E114" s="673" t="s">
        <v>11</v>
      </c>
      <c r="F114" s="535">
        <v>6</v>
      </c>
      <c r="G114" s="659">
        <f>'MINI SSR 2022-23 (2)'!G152</f>
        <v>39</v>
      </c>
      <c r="H114" s="53">
        <f t="shared" si="7"/>
        <v>234</v>
      </c>
      <c r="I114" s="12" t="s">
        <v>2322</v>
      </c>
    </row>
    <row r="115" spans="1:10" hidden="1">
      <c r="A115" s="16"/>
      <c r="B115" s="650"/>
      <c r="C115" s="572" t="s">
        <v>68</v>
      </c>
      <c r="D115" s="58"/>
      <c r="E115" s="673"/>
      <c r="F115" s="659"/>
      <c r="G115" s="660"/>
      <c r="H115" s="53"/>
      <c r="I115" s="12" t="s">
        <v>2322</v>
      </c>
    </row>
    <row r="116" spans="1:10" hidden="1">
      <c r="A116" s="16"/>
      <c r="B116" s="673" t="s">
        <v>1695</v>
      </c>
      <c r="C116" s="651" t="s">
        <v>1390</v>
      </c>
      <c r="D116" s="58"/>
      <c r="E116" s="673" t="s">
        <v>102</v>
      </c>
      <c r="F116" s="659">
        <f>ROUND(0.9*2.1,2)</f>
        <v>1.89</v>
      </c>
      <c r="G116" s="659">
        <f>'MINI SSR 2022-23 (2)'!$C$150</f>
        <v>1701</v>
      </c>
      <c r="H116" s="53">
        <f>ROUND(F116*G116*1/3,2)</f>
        <v>1071.6300000000001</v>
      </c>
      <c r="I116" s="12" t="s">
        <v>2322</v>
      </c>
    </row>
    <row r="117" spans="1:10" hidden="1">
      <c r="A117" s="16"/>
      <c r="B117" s="650"/>
      <c r="C117" s="572"/>
      <c r="D117" s="673"/>
      <c r="E117" s="673"/>
      <c r="F117" s="673"/>
      <c r="G117" s="673"/>
      <c r="H117" s="661">
        <f>SUM(H107:H116)</f>
        <v>7869.32</v>
      </c>
      <c r="I117" s="12" t="s">
        <v>2322</v>
      </c>
    </row>
    <row r="118" spans="1:10" ht="114.75" hidden="1">
      <c r="A118" s="16">
        <v>3</v>
      </c>
      <c r="B118" s="650"/>
      <c r="C118" s="651" t="s">
        <v>1696</v>
      </c>
      <c r="D118" s="673"/>
      <c r="E118" s="673"/>
      <c r="F118" s="673"/>
      <c r="G118" s="673"/>
      <c r="H118" s="652"/>
      <c r="I118" s="12" t="s">
        <v>2322</v>
      </c>
    </row>
    <row r="119" spans="1:10" hidden="1">
      <c r="A119" s="16"/>
      <c r="B119" s="650"/>
      <c r="C119" s="572" t="s">
        <v>100</v>
      </c>
      <c r="D119" s="673"/>
      <c r="E119" s="673"/>
      <c r="F119" s="673"/>
      <c r="G119" s="673"/>
      <c r="H119" s="652"/>
      <c r="I119" s="12" t="s">
        <v>2322</v>
      </c>
    </row>
    <row r="120" spans="1:10" s="601" customFormat="1" hidden="1">
      <c r="A120" s="16"/>
      <c r="B120" s="650"/>
      <c r="C120" s="572" t="s">
        <v>1</v>
      </c>
      <c r="D120" s="673"/>
      <c r="E120" s="673"/>
      <c r="F120" s="673"/>
      <c r="G120" s="673"/>
      <c r="H120" s="652"/>
      <c r="I120" s="12" t="s">
        <v>2322</v>
      </c>
      <c r="J120" s="58"/>
    </row>
    <row r="121" spans="1:10" s="601" customFormat="1" hidden="1">
      <c r="A121" s="16"/>
      <c r="B121" s="650"/>
      <c r="C121" s="651" t="s">
        <v>2</v>
      </c>
      <c r="D121" s="653">
        <v>2</v>
      </c>
      <c r="E121" s="654">
        <v>1.9</v>
      </c>
      <c r="F121" s="655">
        <v>0.1</v>
      </c>
      <c r="G121" s="655">
        <v>7.4999999999999997E-2</v>
      </c>
      <c r="H121" s="656">
        <f>ROUND(D121*E121*F121*G121,4)</f>
        <v>2.8500000000000001E-2</v>
      </c>
      <c r="I121" s="12" t="s">
        <v>2322</v>
      </c>
      <c r="J121" s="58"/>
    </row>
    <row r="122" spans="1:10" s="601" customFormat="1" hidden="1">
      <c r="A122" s="16"/>
      <c r="B122" s="650"/>
      <c r="C122" s="651" t="s">
        <v>741</v>
      </c>
      <c r="D122" s="653">
        <v>1</v>
      </c>
      <c r="E122" s="654">
        <v>0.8</v>
      </c>
      <c r="F122" s="655">
        <v>0.1</v>
      </c>
      <c r="G122" s="655">
        <v>7.4999999999999997E-2</v>
      </c>
      <c r="H122" s="656">
        <f>ROUND(D122*E122*F122*G122,4)</f>
        <v>6.0000000000000001E-3</v>
      </c>
      <c r="I122" s="12" t="s">
        <v>2322</v>
      </c>
      <c r="J122" s="58"/>
    </row>
    <row r="123" spans="1:10" s="601" customFormat="1" hidden="1">
      <c r="A123" s="16"/>
      <c r="B123" s="650"/>
      <c r="C123" s="572"/>
      <c r="D123" s="653"/>
      <c r="E123" s="653"/>
      <c r="F123" s="653"/>
      <c r="G123" s="653"/>
      <c r="H123" s="663">
        <f>SUM(H121:H122)</f>
        <v>3.4500000000000003E-2</v>
      </c>
      <c r="I123" s="12" t="s">
        <v>2322</v>
      </c>
      <c r="J123" s="58"/>
    </row>
    <row r="124" spans="1:10" s="601" customFormat="1" hidden="1">
      <c r="A124" s="16"/>
      <c r="B124" s="650"/>
      <c r="C124" s="572" t="s">
        <v>1686</v>
      </c>
      <c r="D124" s="653">
        <v>1</v>
      </c>
      <c r="E124" s="654">
        <v>2.0099999999999998</v>
      </c>
      <c r="F124" s="655">
        <v>0.72</v>
      </c>
      <c r="G124" s="655">
        <v>0.03</v>
      </c>
      <c r="H124" s="656">
        <f>ROUND(D124*E124*F124*G124,4)</f>
        <v>4.3400000000000001E-2</v>
      </c>
      <c r="I124" s="12" t="s">
        <v>2322</v>
      </c>
      <c r="J124" s="58"/>
    </row>
    <row r="125" spans="1:10" s="601" customFormat="1" hidden="1">
      <c r="A125" s="16"/>
      <c r="B125" s="650"/>
      <c r="C125" s="651"/>
      <c r="D125" s="653"/>
      <c r="E125" s="653"/>
      <c r="F125" s="653"/>
      <c r="G125" s="653"/>
      <c r="H125" s="663">
        <f>SUM(H124:H124)</f>
        <v>4.3400000000000001E-2</v>
      </c>
      <c r="I125" s="12" t="s">
        <v>2322</v>
      </c>
      <c r="J125" s="58"/>
    </row>
    <row r="126" spans="1:10" s="601" customFormat="1" hidden="1">
      <c r="A126" s="16"/>
      <c r="B126" s="650" t="s">
        <v>1687</v>
      </c>
      <c r="C126" s="651" t="s">
        <v>1688</v>
      </c>
      <c r="E126" s="673" t="s">
        <v>35</v>
      </c>
      <c r="F126" s="658">
        <f>H123</f>
        <v>3.4500000000000003E-2</v>
      </c>
      <c r="G126" s="659">
        <f>'MINI SSR 2022-23 (2)'!C144</f>
        <v>51000</v>
      </c>
      <c r="H126" s="53">
        <f t="shared" ref="H126:H133" si="8">ROUND(F126*G126,2)</f>
        <v>1759.5</v>
      </c>
      <c r="I126" s="12" t="s">
        <v>2322</v>
      </c>
      <c r="J126" s="58"/>
    </row>
    <row r="127" spans="1:10" s="601" customFormat="1" hidden="1">
      <c r="A127" s="16"/>
      <c r="B127" s="650" t="s">
        <v>1689</v>
      </c>
      <c r="C127" s="651" t="s">
        <v>1690</v>
      </c>
      <c r="E127" s="673" t="s">
        <v>35</v>
      </c>
      <c r="F127" s="658">
        <f>H125</f>
        <v>4.3400000000000001E-2</v>
      </c>
      <c r="G127" s="659">
        <f>'MINI SSR 2022-23 (2)'!C145</f>
        <v>63950</v>
      </c>
      <c r="H127" s="53">
        <f t="shared" si="8"/>
        <v>2775.43</v>
      </c>
      <c r="I127" s="12" t="s">
        <v>2322</v>
      </c>
      <c r="J127" s="58"/>
    </row>
    <row r="128" spans="1:10" s="601" customFormat="1" hidden="1">
      <c r="A128" s="16"/>
      <c r="B128" s="650" t="s">
        <v>1396</v>
      </c>
      <c r="C128" s="651" t="s">
        <v>1691</v>
      </c>
      <c r="D128" s="673"/>
      <c r="E128" s="673" t="s">
        <v>11</v>
      </c>
      <c r="F128" s="535">
        <v>2</v>
      </c>
      <c r="G128" s="659">
        <f t="shared" ref="G128:G133" si="9">G109</f>
        <v>86.5</v>
      </c>
      <c r="H128" s="53">
        <f t="shared" si="8"/>
        <v>173</v>
      </c>
      <c r="I128" s="12" t="s">
        <v>2322</v>
      </c>
      <c r="J128" s="58"/>
    </row>
    <row r="129" spans="1:10" s="601" customFormat="1" hidden="1">
      <c r="A129" s="16"/>
      <c r="B129" s="650" t="s">
        <v>1398</v>
      </c>
      <c r="C129" s="651" t="s">
        <v>1380</v>
      </c>
      <c r="D129" s="673"/>
      <c r="E129" s="673" t="s">
        <v>11</v>
      </c>
      <c r="F129" s="535">
        <v>3</v>
      </c>
      <c r="G129" s="659">
        <f t="shared" si="9"/>
        <v>129</v>
      </c>
      <c r="H129" s="53">
        <f t="shared" si="8"/>
        <v>387</v>
      </c>
      <c r="I129" s="12" t="s">
        <v>2322</v>
      </c>
      <c r="J129" s="58"/>
    </row>
    <row r="130" spans="1:10" s="601" customFormat="1" hidden="1">
      <c r="A130" s="16"/>
      <c r="B130" s="650" t="s">
        <v>1383</v>
      </c>
      <c r="C130" s="651" t="s">
        <v>1382</v>
      </c>
      <c r="D130" s="673"/>
      <c r="E130" s="673" t="s">
        <v>11</v>
      </c>
      <c r="F130" s="535"/>
      <c r="G130" s="659">
        <f t="shared" si="9"/>
        <v>114</v>
      </c>
      <c r="H130" s="53">
        <f t="shared" si="8"/>
        <v>0</v>
      </c>
      <c r="I130" s="12" t="s">
        <v>2322</v>
      </c>
      <c r="J130" s="58"/>
    </row>
    <row r="131" spans="1:10" s="601" customFormat="1" hidden="1">
      <c r="A131" s="16"/>
      <c r="B131" s="650" t="s">
        <v>1400</v>
      </c>
      <c r="C131" s="651" t="s">
        <v>1692</v>
      </c>
      <c r="D131" s="673"/>
      <c r="E131" s="673" t="s">
        <v>11</v>
      </c>
      <c r="F131" s="535">
        <v>2</v>
      </c>
      <c r="G131" s="659">
        <f t="shared" si="9"/>
        <v>338</v>
      </c>
      <c r="H131" s="53">
        <f t="shared" si="8"/>
        <v>676</v>
      </c>
      <c r="I131" s="12" t="s">
        <v>2322</v>
      </c>
      <c r="J131" s="58"/>
    </row>
    <row r="132" spans="1:10" hidden="1">
      <c r="A132" s="16"/>
      <c r="B132" s="650" t="s">
        <v>1693</v>
      </c>
      <c r="C132" s="651" t="s">
        <v>1694</v>
      </c>
      <c r="D132" s="673"/>
      <c r="E132" s="673" t="s">
        <v>11</v>
      </c>
      <c r="F132" s="535">
        <v>1</v>
      </c>
      <c r="G132" s="659">
        <f t="shared" si="9"/>
        <v>58</v>
      </c>
      <c r="H132" s="53">
        <f t="shared" si="8"/>
        <v>58</v>
      </c>
      <c r="I132" s="12" t="s">
        <v>2322</v>
      </c>
    </row>
    <row r="133" spans="1:10" hidden="1">
      <c r="A133" s="16"/>
      <c r="B133" s="650" t="s">
        <v>1389</v>
      </c>
      <c r="C133" s="651" t="s">
        <v>1388</v>
      </c>
      <c r="D133" s="673"/>
      <c r="E133" s="673" t="s">
        <v>11</v>
      </c>
      <c r="F133" s="535">
        <v>6</v>
      </c>
      <c r="G133" s="659">
        <f t="shared" si="9"/>
        <v>39</v>
      </c>
      <c r="H133" s="53">
        <f t="shared" si="8"/>
        <v>234</v>
      </c>
      <c r="I133" s="12" t="s">
        <v>2322</v>
      </c>
    </row>
    <row r="134" spans="1:10" hidden="1">
      <c r="A134" s="16"/>
      <c r="B134" s="650"/>
      <c r="C134" s="572" t="s">
        <v>68</v>
      </c>
      <c r="D134" s="58"/>
      <c r="E134" s="673"/>
      <c r="F134" s="659"/>
      <c r="G134" s="659"/>
      <c r="H134" s="53"/>
      <c r="I134" s="12" t="s">
        <v>2322</v>
      </c>
    </row>
    <row r="135" spans="1:10" hidden="1">
      <c r="A135" s="16"/>
      <c r="B135" s="673" t="s">
        <v>1695</v>
      </c>
      <c r="C135" s="651" t="s">
        <v>1390</v>
      </c>
      <c r="D135" s="58"/>
      <c r="E135" s="673" t="s">
        <v>102</v>
      </c>
      <c r="F135" s="659">
        <f>ROUND(0.8*2.1,2)</f>
        <v>1.68</v>
      </c>
      <c r="G135" s="659">
        <f>G116</f>
        <v>1701</v>
      </c>
      <c r="H135" s="53">
        <f>ROUND(F135*G135*1/3,2)</f>
        <v>952.56</v>
      </c>
      <c r="I135" s="12" t="s">
        <v>2322</v>
      </c>
    </row>
    <row r="136" spans="1:10" hidden="1">
      <c r="A136" s="16"/>
      <c r="B136" s="650"/>
      <c r="C136" s="572"/>
      <c r="D136" s="673"/>
      <c r="E136" s="673"/>
      <c r="F136" s="673"/>
      <c r="G136" s="673"/>
      <c r="H136" s="661">
        <f>SUM(H126:H135)</f>
        <v>7015.49</v>
      </c>
      <c r="I136" s="12" t="s">
        <v>2322</v>
      </c>
    </row>
    <row r="137" spans="1:10" ht="127.5" hidden="1">
      <c r="A137" s="16">
        <v>5</v>
      </c>
      <c r="B137" s="650"/>
      <c r="C137" s="651" t="s">
        <v>1311</v>
      </c>
      <c r="D137" s="673"/>
      <c r="E137" s="673"/>
      <c r="F137" s="673"/>
      <c r="G137" s="673"/>
      <c r="H137" s="652"/>
      <c r="I137" s="12" t="s">
        <v>2322</v>
      </c>
    </row>
    <row r="138" spans="1:10" hidden="1">
      <c r="A138" s="16"/>
      <c r="B138" s="650"/>
      <c r="C138" s="572" t="s">
        <v>100</v>
      </c>
      <c r="D138" s="673"/>
      <c r="E138" s="673"/>
      <c r="F138" s="673"/>
      <c r="G138" s="673"/>
      <c r="H138" s="652"/>
      <c r="I138" s="12" t="s">
        <v>2322</v>
      </c>
    </row>
    <row r="139" spans="1:10" s="601" customFormat="1" hidden="1">
      <c r="A139" s="16"/>
      <c r="B139" s="650"/>
      <c r="C139" s="572" t="s">
        <v>594</v>
      </c>
      <c r="D139" s="673"/>
      <c r="E139" s="673"/>
      <c r="F139" s="673"/>
      <c r="G139" s="673"/>
      <c r="H139" s="652"/>
      <c r="I139" s="12" t="s">
        <v>2322</v>
      </c>
      <c r="J139" s="58"/>
    </row>
    <row r="140" spans="1:10" s="601" customFormat="1" hidden="1">
      <c r="A140" s="16"/>
      <c r="B140" s="650"/>
      <c r="C140" s="651" t="s">
        <v>2</v>
      </c>
      <c r="D140" s="653">
        <v>2</v>
      </c>
      <c r="E140" s="654">
        <v>1.9</v>
      </c>
      <c r="F140" s="655">
        <v>0.1</v>
      </c>
      <c r="G140" s="655">
        <v>7.4999999999999997E-2</v>
      </c>
      <c r="H140" s="656">
        <f>ROUND(D140*E140*F140*G140,4)</f>
        <v>2.8500000000000001E-2</v>
      </c>
      <c r="I140" s="12" t="s">
        <v>2322</v>
      </c>
      <c r="J140" s="58"/>
    </row>
    <row r="141" spans="1:10" s="601" customFormat="1" hidden="1">
      <c r="A141" s="16"/>
      <c r="B141" s="650"/>
      <c r="C141" s="651" t="s">
        <v>741</v>
      </c>
      <c r="D141" s="653">
        <v>1</v>
      </c>
      <c r="E141" s="654">
        <v>1.05</v>
      </c>
      <c r="F141" s="655">
        <v>0.1</v>
      </c>
      <c r="G141" s="655">
        <v>7.4999999999999997E-2</v>
      </c>
      <c r="H141" s="656">
        <f>ROUND(D141*E141*F141*G141,4)</f>
        <v>7.9000000000000008E-3</v>
      </c>
      <c r="I141" s="12" t="s">
        <v>2322</v>
      </c>
      <c r="J141" s="58"/>
    </row>
    <row r="142" spans="1:10" s="601" customFormat="1" hidden="1">
      <c r="A142" s="16"/>
      <c r="B142" s="650"/>
      <c r="C142" s="572"/>
      <c r="D142" s="653"/>
      <c r="E142" s="653"/>
      <c r="F142" s="653"/>
      <c r="G142" s="653"/>
      <c r="H142" s="663">
        <f>SUM(H140:H141)</f>
        <v>3.6400000000000002E-2</v>
      </c>
      <c r="I142" s="12" t="s">
        <v>2322</v>
      </c>
      <c r="J142" s="58"/>
    </row>
    <row r="143" spans="1:10" s="601" customFormat="1" hidden="1">
      <c r="A143" s="16"/>
      <c r="B143" s="650"/>
      <c r="C143" s="572" t="s">
        <v>320</v>
      </c>
      <c r="D143" s="653">
        <v>1</v>
      </c>
      <c r="E143" s="654">
        <v>2.0099999999999998</v>
      </c>
      <c r="F143" s="655">
        <v>0.94</v>
      </c>
      <c r="G143" s="655">
        <v>0.03</v>
      </c>
      <c r="H143" s="656">
        <f>ROUND(D143*E143*F143*G143,4)</f>
        <v>5.67E-2</v>
      </c>
      <c r="I143" s="12" t="s">
        <v>2322</v>
      </c>
      <c r="J143" s="58"/>
    </row>
    <row r="144" spans="1:10" s="601" customFormat="1" hidden="1">
      <c r="A144" s="16"/>
      <c r="B144" s="650"/>
      <c r="C144" s="651"/>
      <c r="D144" s="653"/>
      <c r="E144" s="653"/>
      <c r="F144" s="653"/>
      <c r="G144" s="653"/>
      <c r="H144" s="663">
        <f>SUM(H143:H143)</f>
        <v>5.67E-2</v>
      </c>
      <c r="I144" s="12" t="s">
        <v>2322</v>
      </c>
      <c r="J144" s="58"/>
    </row>
    <row r="145" spans="1:10" s="601" customFormat="1" hidden="1">
      <c r="A145" s="16"/>
      <c r="B145" s="650" t="s">
        <v>1375</v>
      </c>
      <c r="C145" s="651" t="s">
        <v>1374</v>
      </c>
      <c r="E145" s="673" t="s">
        <v>35</v>
      </c>
      <c r="F145" s="658">
        <f>H142</f>
        <v>3.6400000000000002E-2</v>
      </c>
      <c r="G145" s="659">
        <f>'MINI SSR 2022-23 (2)'!$C$142</f>
        <v>81950</v>
      </c>
      <c r="H145" s="53">
        <f t="shared" ref="H145:H152" si="10">ROUND(F145*G145,2)</f>
        <v>2982.98</v>
      </c>
      <c r="I145" s="12" t="s">
        <v>2322</v>
      </c>
      <c r="J145" s="58"/>
    </row>
    <row r="146" spans="1:10" s="601" customFormat="1" hidden="1">
      <c r="A146" s="16"/>
      <c r="B146" s="650" t="s">
        <v>1377</v>
      </c>
      <c r="C146" s="651" t="s">
        <v>1376</v>
      </c>
      <c r="E146" s="673" t="s">
        <v>35</v>
      </c>
      <c r="F146" s="658">
        <f>H144</f>
        <v>5.67E-2</v>
      </c>
      <c r="G146" s="659">
        <f>'MINI SSR 2022-23 (2)'!C143</f>
        <v>160920</v>
      </c>
      <c r="H146" s="53">
        <f t="shared" si="10"/>
        <v>9124.16</v>
      </c>
      <c r="I146" s="12" t="s">
        <v>2322</v>
      </c>
      <c r="J146" s="58"/>
    </row>
    <row r="147" spans="1:10" s="601" customFormat="1" hidden="1">
      <c r="A147" s="16"/>
      <c r="B147" s="650" t="s">
        <v>1379</v>
      </c>
      <c r="C147" s="651" t="s">
        <v>1378</v>
      </c>
      <c r="D147" s="673"/>
      <c r="E147" s="673" t="s">
        <v>11</v>
      </c>
      <c r="F147" s="535">
        <v>2</v>
      </c>
      <c r="G147" s="659">
        <f t="shared" ref="G147:G152" si="11">G16</f>
        <v>255</v>
      </c>
      <c r="H147" s="53">
        <f t="shared" si="10"/>
        <v>510</v>
      </c>
      <c r="I147" s="12" t="s">
        <v>2322</v>
      </c>
      <c r="J147" s="58"/>
    </row>
    <row r="148" spans="1:10" s="601" customFormat="1" hidden="1">
      <c r="A148" s="16"/>
      <c r="B148" s="650" t="s">
        <v>1381</v>
      </c>
      <c r="C148" s="651" t="s">
        <v>1380</v>
      </c>
      <c r="D148" s="673"/>
      <c r="E148" s="673" t="s">
        <v>11</v>
      </c>
      <c r="F148" s="535">
        <v>3</v>
      </c>
      <c r="G148" s="659">
        <f t="shared" si="11"/>
        <v>273</v>
      </c>
      <c r="H148" s="53">
        <f t="shared" si="10"/>
        <v>819</v>
      </c>
      <c r="I148" s="12" t="s">
        <v>2322</v>
      </c>
      <c r="J148" s="58"/>
    </row>
    <row r="149" spans="1:10" s="601" customFormat="1" hidden="1">
      <c r="A149" s="16"/>
      <c r="B149" s="650" t="s">
        <v>1383</v>
      </c>
      <c r="C149" s="651" t="s">
        <v>1382</v>
      </c>
      <c r="D149" s="673"/>
      <c r="E149" s="673" t="s">
        <v>11</v>
      </c>
      <c r="F149" s="535"/>
      <c r="G149" s="659">
        <f t="shared" si="11"/>
        <v>108</v>
      </c>
      <c r="H149" s="53">
        <f t="shared" si="10"/>
        <v>0</v>
      </c>
      <c r="I149" s="12" t="s">
        <v>2322</v>
      </c>
      <c r="J149" s="58"/>
    </row>
    <row r="150" spans="1:10" s="601" customFormat="1" hidden="1">
      <c r="A150" s="16"/>
      <c r="B150" s="650" t="s">
        <v>1385</v>
      </c>
      <c r="C150" s="651" t="s">
        <v>1384</v>
      </c>
      <c r="D150" s="673"/>
      <c r="E150" s="673" t="s">
        <v>11</v>
      </c>
      <c r="F150" s="535">
        <v>2</v>
      </c>
      <c r="G150" s="659">
        <f t="shared" si="11"/>
        <v>1195</v>
      </c>
      <c r="H150" s="53">
        <f t="shared" si="10"/>
        <v>2390</v>
      </c>
      <c r="I150" s="12" t="s">
        <v>2322</v>
      </c>
      <c r="J150" s="58"/>
    </row>
    <row r="151" spans="1:10" hidden="1">
      <c r="A151" s="16"/>
      <c r="B151" s="650" t="s">
        <v>1387</v>
      </c>
      <c r="C151" s="651" t="s">
        <v>1386</v>
      </c>
      <c r="D151" s="673"/>
      <c r="E151" s="673" t="s">
        <v>11</v>
      </c>
      <c r="F151" s="535">
        <v>1</v>
      </c>
      <c r="G151" s="659">
        <f t="shared" si="11"/>
        <v>185</v>
      </c>
      <c r="H151" s="53">
        <f t="shared" si="10"/>
        <v>185</v>
      </c>
      <c r="I151" s="12" t="s">
        <v>2322</v>
      </c>
    </row>
    <row r="152" spans="1:10" hidden="1">
      <c r="A152" s="16"/>
      <c r="B152" s="650" t="s">
        <v>1389</v>
      </c>
      <c r="C152" s="651" t="s">
        <v>1388</v>
      </c>
      <c r="D152" s="673"/>
      <c r="E152" s="673" t="s">
        <v>11</v>
      </c>
      <c r="F152" s="535">
        <v>6</v>
      </c>
      <c r="G152" s="659">
        <f t="shared" si="11"/>
        <v>39</v>
      </c>
      <c r="H152" s="53">
        <f t="shared" si="10"/>
        <v>234</v>
      </c>
      <c r="I152" s="12" t="s">
        <v>2322</v>
      </c>
    </row>
    <row r="153" spans="1:10" hidden="1">
      <c r="A153" s="16"/>
      <c r="B153" s="650"/>
      <c r="C153" s="572" t="s">
        <v>68</v>
      </c>
      <c r="D153" s="58"/>
      <c r="E153" s="673"/>
      <c r="F153" s="659"/>
      <c r="G153" s="659"/>
      <c r="H153" s="53"/>
      <c r="I153" s="12" t="s">
        <v>2322</v>
      </c>
    </row>
    <row r="154" spans="1:10" hidden="1">
      <c r="A154" s="16"/>
      <c r="B154" s="673" t="s">
        <v>1391</v>
      </c>
      <c r="C154" s="651" t="s">
        <v>1390</v>
      </c>
      <c r="D154" s="58"/>
      <c r="E154" s="673" t="s">
        <v>102</v>
      </c>
      <c r="F154" s="659">
        <f>ROUND(1.05*2.1,2)</f>
        <v>2.21</v>
      </c>
      <c r="G154" s="659">
        <f>G23</f>
        <v>1727</v>
      </c>
      <c r="H154" s="53">
        <f>ROUND(F154*G154*1/3,2)</f>
        <v>1272.22</v>
      </c>
      <c r="I154" s="12" t="s">
        <v>2322</v>
      </c>
    </row>
    <row r="155" spans="1:10" hidden="1">
      <c r="A155" s="16"/>
      <c r="B155" s="650"/>
      <c r="C155" s="572"/>
      <c r="D155" s="673"/>
      <c r="E155" s="673"/>
      <c r="F155" s="673"/>
      <c r="G155" s="673"/>
      <c r="H155" s="661">
        <f>SUM(H145:H154)</f>
        <v>17517.36</v>
      </c>
      <c r="I155" s="12" t="s">
        <v>2322</v>
      </c>
    </row>
    <row r="156" spans="1:10" ht="127.5" hidden="1">
      <c r="A156" s="16">
        <v>2</v>
      </c>
      <c r="B156" s="650"/>
      <c r="C156" s="651" t="s">
        <v>2213</v>
      </c>
      <c r="D156" s="673"/>
      <c r="E156" s="673"/>
      <c r="F156" s="673"/>
      <c r="G156" s="673"/>
      <c r="H156" s="652"/>
      <c r="I156" s="12" t="s">
        <v>2322</v>
      </c>
    </row>
    <row r="157" spans="1:10" hidden="1">
      <c r="A157" s="16"/>
      <c r="B157" s="650"/>
      <c r="C157" s="572" t="s">
        <v>100</v>
      </c>
      <c r="D157" s="673"/>
      <c r="E157" s="673"/>
      <c r="F157" s="673"/>
      <c r="G157" s="673"/>
      <c r="H157" s="652"/>
      <c r="I157" s="12" t="s">
        <v>2322</v>
      </c>
    </row>
    <row r="158" spans="1:10" s="601" customFormat="1" hidden="1">
      <c r="A158" s="16"/>
      <c r="B158" s="650"/>
      <c r="C158" s="572" t="s">
        <v>60</v>
      </c>
      <c r="D158" s="673"/>
      <c r="E158" s="673"/>
      <c r="F158" s="673"/>
      <c r="G158" s="673"/>
      <c r="H158" s="652"/>
      <c r="I158" s="12" t="s">
        <v>2322</v>
      </c>
      <c r="J158" s="58"/>
    </row>
    <row r="159" spans="1:10" s="601" customFormat="1" hidden="1">
      <c r="A159" s="16"/>
      <c r="B159" s="650"/>
      <c r="C159" s="572" t="s">
        <v>1</v>
      </c>
      <c r="D159" s="673"/>
      <c r="E159" s="673"/>
      <c r="F159" s="673"/>
      <c r="G159" s="673"/>
      <c r="H159" s="652"/>
      <c r="I159" s="12" t="s">
        <v>2322</v>
      </c>
      <c r="J159" s="58"/>
    </row>
    <row r="160" spans="1:10" s="601" customFormat="1" hidden="1">
      <c r="A160" s="16"/>
      <c r="B160" s="650"/>
      <c r="C160" s="651" t="s">
        <v>2</v>
      </c>
      <c r="D160" s="653">
        <v>2</v>
      </c>
      <c r="E160" s="654">
        <v>1.95</v>
      </c>
      <c r="F160" s="655">
        <v>0.1</v>
      </c>
      <c r="G160" s="655">
        <v>7.4999999999999997E-2</v>
      </c>
      <c r="H160" s="656">
        <f>ROUND(D160*E160*F160*G160,4)</f>
        <v>2.93E-2</v>
      </c>
      <c r="I160" s="12" t="s">
        <v>2322</v>
      </c>
      <c r="J160" s="58"/>
    </row>
    <row r="161" spans="1:12" s="601" customFormat="1" hidden="1">
      <c r="A161" s="16"/>
      <c r="B161" s="650"/>
      <c r="C161" s="651" t="s">
        <v>741</v>
      </c>
      <c r="D161" s="653">
        <v>2</v>
      </c>
      <c r="E161" s="654">
        <v>1.05</v>
      </c>
      <c r="F161" s="655">
        <v>0.1</v>
      </c>
      <c r="G161" s="655">
        <v>7.4999999999999997E-2</v>
      </c>
      <c r="H161" s="656">
        <f>ROUND(D161*E161*F161*G161,4)</f>
        <v>1.5800000000000002E-2</v>
      </c>
      <c r="I161" s="12" t="s">
        <v>2322</v>
      </c>
      <c r="J161" s="58"/>
    </row>
    <row r="162" spans="1:12" s="601" customFormat="1" hidden="1">
      <c r="A162" s="16"/>
      <c r="B162" s="650"/>
      <c r="C162" s="572"/>
      <c r="D162" s="673"/>
      <c r="E162" s="673"/>
      <c r="F162" s="673"/>
      <c r="G162" s="673"/>
      <c r="H162" s="657">
        <f>SUM(H160:H161)</f>
        <v>4.5100000000000001E-2</v>
      </c>
      <c r="I162" s="12" t="s">
        <v>2322</v>
      </c>
      <c r="J162" s="58"/>
    </row>
    <row r="163" spans="1:12" s="601" customFormat="1" hidden="1">
      <c r="A163" s="16"/>
      <c r="B163" s="650" t="s">
        <v>1375</v>
      </c>
      <c r="C163" s="651" t="s">
        <v>1374</v>
      </c>
      <c r="D163" s="673"/>
      <c r="E163" s="673" t="s">
        <v>35</v>
      </c>
      <c r="F163" s="658">
        <f>H162</f>
        <v>4.5100000000000001E-2</v>
      </c>
      <c r="G163" s="659">
        <f>'MINI SSR 2022-23 (2)'!$C$142</f>
        <v>81950</v>
      </c>
      <c r="H163" s="53"/>
      <c r="I163" s="12" t="s">
        <v>2322</v>
      </c>
      <c r="J163" s="58"/>
    </row>
    <row r="164" spans="1:12" s="601" customFormat="1" hidden="1">
      <c r="A164" s="16"/>
      <c r="B164" s="673" t="s">
        <v>2099</v>
      </c>
      <c r="C164" s="651" t="s">
        <v>2100</v>
      </c>
      <c r="D164" s="673"/>
      <c r="E164" s="673" t="s">
        <v>102</v>
      </c>
      <c r="F164" s="658">
        <f>ROUND((1.05-0.15+0.02)*(2.1-0.15+0.02),2)</f>
        <v>1.81</v>
      </c>
      <c r="G164" s="659">
        <f>'MINI SSR 2022-23 (2)'!$C$148</f>
        <v>2000</v>
      </c>
      <c r="H164" s="53">
        <f t="shared" ref="H164:H170" si="12">ROUND(F164*G164,2)</f>
        <v>3620</v>
      </c>
      <c r="I164" s="12" t="s">
        <v>2322</v>
      </c>
      <c r="J164" s="58"/>
      <c r="K164" s="601">
        <f>(1*0.775)/1.05</f>
        <v>0.73809523809523814</v>
      </c>
    </row>
    <row r="165" spans="1:12" s="601" customFormat="1" hidden="1">
      <c r="A165" s="16"/>
      <c r="B165" s="673" t="s">
        <v>2101</v>
      </c>
      <c r="C165" s="651" t="s">
        <v>2105</v>
      </c>
      <c r="D165" s="673"/>
      <c r="E165" s="673" t="s">
        <v>102</v>
      </c>
      <c r="F165" s="658">
        <f>F164</f>
        <v>1.81</v>
      </c>
      <c r="G165" s="659">
        <f>'MINI SSR 2022-23 (2)'!$C$151</f>
        <v>1036</v>
      </c>
      <c r="H165" s="53">
        <f t="shared" si="12"/>
        <v>1875.16</v>
      </c>
      <c r="I165" s="12" t="s">
        <v>2322</v>
      </c>
      <c r="J165" s="58"/>
    </row>
    <row r="166" spans="1:12" hidden="1">
      <c r="A166" s="16"/>
      <c r="B166" s="673" t="s">
        <v>1396</v>
      </c>
      <c r="C166" s="651" t="s">
        <v>1395</v>
      </c>
      <c r="D166" s="673"/>
      <c r="E166" s="673" t="s">
        <v>11</v>
      </c>
      <c r="F166" s="535">
        <v>2</v>
      </c>
      <c r="G166" s="659">
        <f>'MINI SSR 2022-23 (2)'!$G$143</f>
        <v>86.5</v>
      </c>
      <c r="H166" s="53">
        <f t="shared" si="12"/>
        <v>173</v>
      </c>
      <c r="I166" s="12" t="s">
        <v>2322</v>
      </c>
    </row>
    <row r="167" spans="1:12" hidden="1">
      <c r="A167" s="16"/>
      <c r="B167" s="673" t="s">
        <v>1398</v>
      </c>
      <c r="C167" s="651" t="s">
        <v>1397</v>
      </c>
      <c r="D167" s="673"/>
      <c r="E167" s="673" t="s">
        <v>11</v>
      </c>
      <c r="F167" s="535">
        <v>3</v>
      </c>
      <c r="G167" s="659">
        <f>'MINI SSR 2022-23 (2)'!$G$146</f>
        <v>129</v>
      </c>
      <c r="H167" s="53">
        <f t="shared" si="12"/>
        <v>387</v>
      </c>
      <c r="I167" s="12" t="s">
        <v>2322</v>
      </c>
    </row>
    <row r="168" spans="1:12" hidden="1">
      <c r="A168" s="16"/>
      <c r="B168" s="673" t="s">
        <v>1383</v>
      </c>
      <c r="C168" s="651" t="s">
        <v>1382</v>
      </c>
      <c r="D168" s="673"/>
      <c r="E168" s="673" t="s">
        <v>11</v>
      </c>
      <c r="F168" s="535">
        <v>2</v>
      </c>
      <c r="G168" s="659">
        <f>'MINI SSR 2022-23 (2)'!$G$144</f>
        <v>108</v>
      </c>
      <c r="H168" s="53">
        <f t="shared" si="12"/>
        <v>216</v>
      </c>
      <c r="I168" s="12" t="s">
        <v>2322</v>
      </c>
    </row>
    <row r="169" spans="1:12" hidden="1">
      <c r="A169" s="16"/>
      <c r="B169" s="673" t="s">
        <v>1400</v>
      </c>
      <c r="C169" s="651" t="s">
        <v>1399</v>
      </c>
      <c r="D169" s="673"/>
      <c r="E169" s="673" t="s">
        <v>11</v>
      </c>
      <c r="F169" s="535">
        <v>2</v>
      </c>
      <c r="G169" s="659">
        <f>'MINI SSR 2022-23 (2)'!$G$149</f>
        <v>338</v>
      </c>
      <c r="H169" s="53">
        <f t="shared" si="12"/>
        <v>676</v>
      </c>
      <c r="I169" s="12" t="s">
        <v>2322</v>
      </c>
    </row>
    <row r="170" spans="1:12" hidden="1">
      <c r="A170" s="16"/>
      <c r="B170" s="673" t="s">
        <v>1402</v>
      </c>
      <c r="C170" s="651" t="s">
        <v>1401</v>
      </c>
      <c r="D170" s="673"/>
      <c r="E170" s="673" t="s">
        <v>11</v>
      </c>
      <c r="F170" s="535">
        <v>1</v>
      </c>
      <c r="G170" s="659">
        <f>'MINI SSR 2022-23 (2)'!$G$155</f>
        <v>58</v>
      </c>
      <c r="H170" s="53">
        <f t="shared" si="12"/>
        <v>58</v>
      </c>
      <c r="I170" s="12" t="s">
        <v>2322</v>
      </c>
    </row>
    <row r="171" spans="1:12" hidden="1">
      <c r="A171" s="16"/>
      <c r="B171" s="673" t="s">
        <v>1389</v>
      </c>
      <c r="C171" s="651" t="s">
        <v>1388</v>
      </c>
      <c r="D171" s="673"/>
      <c r="E171" s="673" t="s">
        <v>11</v>
      </c>
      <c r="F171" s="535">
        <v>6</v>
      </c>
      <c r="G171" s="659">
        <f>'MINI SSR 2022-23 (2)'!$G$152</f>
        <v>39</v>
      </c>
      <c r="H171" s="53"/>
      <c r="I171" s="12" t="s">
        <v>2322</v>
      </c>
    </row>
    <row r="172" spans="1:12" hidden="1">
      <c r="A172" s="673"/>
      <c r="B172" s="673"/>
      <c r="C172" s="572" t="s">
        <v>68</v>
      </c>
      <c r="D172" s="673"/>
      <c r="E172" s="673"/>
      <c r="F172" s="659"/>
      <c r="G172" s="660"/>
      <c r="H172" s="53"/>
      <c r="I172" s="12" t="s">
        <v>2322</v>
      </c>
    </row>
    <row r="173" spans="1:12" ht="25.5" hidden="1">
      <c r="A173" s="673"/>
      <c r="B173" s="673" t="s">
        <v>1391</v>
      </c>
      <c r="C173" s="651" t="s">
        <v>1403</v>
      </c>
      <c r="D173" s="673"/>
      <c r="E173" s="673" t="s">
        <v>102</v>
      </c>
      <c r="F173" s="659">
        <f>ROUND(1.05*2.1,2)</f>
        <v>2.21</v>
      </c>
      <c r="G173" s="659">
        <f>'MINI SSR 2022-23 (2)'!$C$150</f>
        <v>1701</v>
      </c>
      <c r="H173" s="53"/>
      <c r="I173" s="12" t="s">
        <v>2322</v>
      </c>
      <c r="L173" s="597"/>
    </row>
    <row r="174" spans="1:12" ht="13.5" hidden="1" thickBot="1">
      <c r="A174" s="673"/>
      <c r="B174" s="673"/>
      <c r="C174" s="572"/>
      <c r="D174" s="673"/>
      <c r="E174" s="673"/>
      <c r="F174" s="673"/>
      <c r="G174" s="673"/>
      <c r="H174" s="661">
        <f>SUM(H163:H173)</f>
        <v>7005.16</v>
      </c>
      <c r="I174" s="12" t="s">
        <v>2322</v>
      </c>
      <c r="L174" s="662">
        <f>SUM(L173)</f>
        <v>0</v>
      </c>
    </row>
    <row r="175" spans="1:12" ht="127.5" hidden="1">
      <c r="A175" s="16">
        <v>5</v>
      </c>
      <c r="B175" s="650"/>
      <c r="C175" s="651" t="s">
        <v>2145</v>
      </c>
      <c r="D175" s="673"/>
      <c r="E175" s="673"/>
      <c r="F175" s="673"/>
      <c r="G175" s="673"/>
      <c r="H175" s="652"/>
      <c r="I175" s="12" t="s">
        <v>2322</v>
      </c>
    </row>
    <row r="176" spans="1:12" hidden="1">
      <c r="A176" s="16"/>
      <c r="B176" s="650"/>
      <c r="C176" s="572" t="s">
        <v>100</v>
      </c>
      <c r="D176" s="673"/>
      <c r="E176" s="673"/>
      <c r="F176" s="673"/>
      <c r="G176" s="673"/>
      <c r="H176" s="652"/>
      <c r="I176" s="12" t="s">
        <v>2322</v>
      </c>
    </row>
    <row r="177" spans="1:12" s="601" customFormat="1" hidden="1">
      <c r="A177" s="16"/>
      <c r="B177" s="650"/>
      <c r="C177" s="572" t="s">
        <v>60</v>
      </c>
      <c r="D177" s="673"/>
      <c r="E177" s="673"/>
      <c r="F177" s="673"/>
      <c r="G177" s="673"/>
      <c r="H177" s="652"/>
      <c r="I177" s="12" t="s">
        <v>2322</v>
      </c>
      <c r="J177" s="58"/>
    </row>
    <row r="178" spans="1:12" s="601" customFormat="1" hidden="1">
      <c r="A178" s="16"/>
      <c r="B178" s="650"/>
      <c r="C178" s="572" t="s">
        <v>1</v>
      </c>
      <c r="D178" s="673"/>
      <c r="E178" s="673"/>
      <c r="F178" s="673"/>
      <c r="G178" s="673"/>
      <c r="H178" s="652"/>
      <c r="I178" s="12" t="s">
        <v>2322</v>
      </c>
      <c r="J178" s="58"/>
    </row>
    <row r="179" spans="1:12" s="601" customFormat="1" hidden="1">
      <c r="A179" s="16"/>
      <c r="B179" s="650"/>
      <c r="C179" s="651" t="s">
        <v>2</v>
      </c>
      <c r="D179" s="653">
        <v>2</v>
      </c>
      <c r="E179" s="654">
        <v>1.95</v>
      </c>
      <c r="F179" s="655">
        <v>0.1</v>
      </c>
      <c r="G179" s="655">
        <v>7.4999999999999997E-2</v>
      </c>
      <c r="H179" s="656">
        <f>ROUND(D179*E179*F179*G179,4)</f>
        <v>2.93E-2</v>
      </c>
      <c r="I179" s="12" t="s">
        <v>2322</v>
      </c>
      <c r="J179" s="58"/>
    </row>
    <row r="180" spans="1:12" s="601" customFormat="1" hidden="1">
      <c r="A180" s="16"/>
      <c r="B180" s="650"/>
      <c r="C180" s="651" t="s">
        <v>741</v>
      </c>
      <c r="D180" s="653">
        <v>2</v>
      </c>
      <c r="E180" s="654">
        <v>0.9</v>
      </c>
      <c r="F180" s="655">
        <v>0.1</v>
      </c>
      <c r="G180" s="655">
        <v>7.4999999999999997E-2</v>
      </c>
      <c r="H180" s="656">
        <f>ROUND(D180*E180*F180*G180,4)</f>
        <v>1.35E-2</v>
      </c>
      <c r="I180" s="12" t="s">
        <v>2322</v>
      </c>
      <c r="J180" s="58"/>
    </row>
    <row r="181" spans="1:12" s="601" customFormat="1" hidden="1">
      <c r="A181" s="16"/>
      <c r="B181" s="650"/>
      <c r="C181" s="572"/>
      <c r="D181" s="673"/>
      <c r="E181" s="673"/>
      <c r="F181" s="673"/>
      <c r="G181" s="673"/>
      <c r="H181" s="657">
        <f>SUM(H179:H180)</f>
        <v>4.2799999999999998E-2</v>
      </c>
      <c r="I181" s="12" t="s">
        <v>2322</v>
      </c>
      <c r="J181" s="58"/>
    </row>
    <row r="182" spans="1:12" s="601" customFormat="1" hidden="1">
      <c r="A182" s="16"/>
      <c r="B182" s="650" t="s">
        <v>1375</v>
      </c>
      <c r="C182" s="651" t="s">
        <v>1374</v>
      </c>
      <c r="D182" s="673"/>
      <c r="E182" s="673" t="s">
        <v>35</v>
      </c>
      <c r="F182" s="658">
        <f>H181</f>
        <v>4.2799999999999998E-2</v>
      </c>
      <c r="G182" s="659">
        <f>'MINI SSR 2022-23 (2)'!$C$142</f>
        <v>81950</v>
      </c>
      <c r="H182" s="53">
        <f t="shared" ref="H182:H190" si="13">ROUND(F182*G182,2)</f>
        <v>3507.46</v>
      </c>
      <c r="I182" s="12" t="s">
        <v>2322</v>
      </c>
      <c r="J182" s="58"/>
    </row>
    <row r="183" spans="1:12" s="601" customFormat="1" hidden="1">
      <c r="A183" s="16"/>
      <c r="B183" s="673" t="s">
        <v>2099</v>
      </c>
      <c r="C183" s="651" t="s">
        <v>2100</v>
      </c>
      <c r="D183" s="673"/>
      <c r="E183" s="673" t="s">
        <v>102</v>
      </c>
      <c r="F183" s="658">
        <f>ROUND(0.66*1.995,2)</f>
        <v>1.32</v>
      </c>
      <c r="G183" s="659">
        <f>'MINI SSR 2022-23 (2)'!$C$148</f>
        <v>2000</v>
      </c>
      <c r="H183" s="53">
        <f t="shared" si="13"/>
        <v>2640</v>
      </c>
      <c r="I183" s="12" t="s">
        <v>2322</v>
      </c>
      <c r="J183" s="58"/>
    </row>
    <row r="184" spans="1:12" s="601" customFormat="1" hidden="1">
      <c r="A184" s="16"/>
      <c r="B184" s="673" t="s">
        <v>2101</v>
      </c>
      <c r="C184" s="651" t="s">
        <v>2105</v>
      </c>
      <c r="D184" s="673"/>
      <c r="E184" s="673" t="s">
        <v>102</v>
      </c>
      <c r="F184" s="658">
        <f>F183</f>
        <v>1.32</v>
      </c>
      <c r="G184" s="659">
        <f>'MINI SSR 2022-23 (2)'!$C$151</f>
        <v>1036</v>
      </c>
      <c r="H184" s="53">
        <f t="shared" si="13"/>
        <v>1367.52</v>
      </c>
      <c r="I184" s="12" t="s">
        <v>2322</v>
      </c>
      <c r="J184" s="58"/>
    </row>
    <row r="185" spans="1:12" hidden="1">
      <c r="A185" s="16"/>
      <c r="B185" s="673" t="s">
        <v>1396</v>
      </c>
      <c r="C185" s="651" t="s">
        <v>1395</v>
      </c>
      <c r="D185" s="673"/>
      <c r="E185" s="673" t="s">
        <v>11</v>
      </c>
      <c r="F185" s="535">
        <v>2</v>
      </c>
      <c r="G185" s="659">
        <f>'MINI SSR 2022-23 (2)'!$G$143</f>
        <v>86.5</v>
      </c>
      <c r="H185" s="53">
        <f t="shared" si="13"/>
        <v>173</v>
      </c>
      <c r="I185" s="12" t="s">
        <v>2322</v>
      </c>
    </row>
    <row r="186" spans="1:12" hidden="1">
      <c r="A186" s="16"/>
      <c r="B186" s="673" t="s">
        <v>1398</v>
      </c>
      <c r="C186" s="651" t="s">
        <v>1397</v>
      </c>
      <c r="D186" s="673"/>
      <c r="E186" s="673" t="s">
        <v>11</v>
      </c>
      <c r="F186" s="535">
        <v>3</v>
      </c>
      <c r="G186" s="659">
        <f>'MINI SSR 2022-23 (2)'!$G$146</f>
        <v>129</v>
      </c>
      <c r="H186" s="53">
        <f t="shared" si="13"/>
        <v>387</v>
      </c>
      <c r="I186" s="12" t="s">
        <v>2322</v>
      </c>
    </row>
    <row r="187" spans="1:12" hidden="1">
      <c r="A187" s="16"/>
      <c r="B187" s="673" t="s">
        <v>1383</v>
      </c>
      <c r="C187" s="651" t="s">
        <v>1382</v>
      </c>
      <c r="D187" s="673"/>
      <c r="E187" s="673" t="s">
        <v>11</v>
      </c>
      <c r="F187" s="535">
        <v>2</v>
      </c>
      <c r="G187" s="659">
        <f>'MINI SSR 2022-23 (2)'!$G$144</f>
        <v>108</v>
      </c>
      <c r="H187" s="53">
        <f t="shared" si="13"/>
        <v>216</v>
      </c>
      <c r="I187" s="12" t="s">
        <v>2322</v>
      </c>
    </row>
    <row r="188" spans="1:12" hidden="1">
      <c r="A188" s="16"/>
      <c r="B188" s="673" t="s">
        <v>1400</v>
      </c>
      <c r="C188" s="651" t="s">
        <v>1399</v>
      </c>
      <c r="D188" s="673"/>
      <c r="E188" s="673" t="s">
        <v>11</v>
      </c>
      <c r="F188" s="535">
        <v>2</v>
      </c>
      <c r="G188" s="659">
        <f>'MINI SSR 2022-23 (2)'!$G$149</f>
        <v>338</v>
      </c>
      <c r="H188" s="53">
        <f t="shared" si="13"/>
        <v>676</v>
      </c>
      <c r="I188" s="12" t="s">
        <v>2322</v>
      </c>
    </row>
    <row r="189" spans="1:12" hidden="1">
      <c r="A189" s="16"/>
      <c r="B189" s="673" t="s">
        <v>1402</v>
      </c>
      <c r="C189" s="651" t="s">
        <v>1401</v>
      </c>
      <c r="D189" s="673"/>
      <c r="E189" s="673" t="s">
        <v>11</v>
      </c>
      <c r="F189" s="535">
        <v>1</v>
      </c>
      <c r="G189" s="659">
        <f>'MINI SSR 2022-23 (2)'!$G$155</f>
        <v>58</v>
      </c>
      <c r="H189" s="53">
        <f t="shared" si="13"/>
        <v>58</v>
      </c>
      <c r="I189" s="12" t="s">
        <v>2322</v>
      </c>
    </row>
    <row r="190" spans="1:12" hidden="1">
      <c r="A190" s="16"/>
      <c r="B190" s="673" t="s">
        <v>1389</v>
      </c>
      <c r="C190" s="651" t="s">
        <v>1388</v>
      </c>
      <c r="D190" s="673"/>
      <c r="E190" s="673" t="s">
        <v>11</v>
      </c>
      <c r="F190" s="535">
        <v>6</v>
      </c>
      <c r="G190" s="659">
        <f>'MINI SSR 2022-23 (2)'!$G$152</f>
        <v>39</v>
      </c>
      <c r="H190" s="53">
        <f t="shared" si="13"/>
        <v>234</v>
      </c>
      <c r="I190" s="12" t="s">
        <v>2322</v>
      </c>
    </row>
    <row r="191" spans="1:12" hidden="1">
      <c r="A191" s="673"/>
      <c r="B191" s="673"/>
      <c r="C191" s="572" t="s">
        <v>68</v>
      </c>
      <c r="D191" s="673"/>
      <c r="E191" s="673"/>
      <c r="F191" s="659"/>
      <c r="G191" s="660"/>
      <c r="H191" s="53"/>
      <c r="I191" s="12" t="s">
        <v>2322</v>
      </c>
    </row>
    <row r="192" spans="1:12" ht="25.5" hidden="1">
      <c r="A192" s="673"/>
      <c r="B192" s="673" t="s">
        <v>1391</v>
      </c>
      <c r="C192" s="651" t="s">
        <v>1403</v>
      </c>
      <c r="D192" s="673"/>
      <c r="E192" s="673" t="s">
        <v>102</v>
      </c>
      <c r="F192" s="659">
        <f>ROUND(0.9*2.1,2)</f>
        <v>1.89</v>
      </c>
      <c r="G192" s="659">
        <f>'MINI SSR 2022-23 (2)'!$C$150</f>
        <v>1701</v>
      </c>
      <c r="H192" s="53">
        <f>ROUND(F192*G192*1/3,2)</f>
        <v>1071.6300000000001</v>
      </c>
      <c r="I192" s="12" t="s">
        <v>2322</v>
      </c>
      <c r="L192" s="597"/>
    </row>
    <row r="193" spans="1:12" ht="13.5" hidden="1" thickBot="1">
      <c r="A193" s="673"/>
      <c r="B193" s="673"/>
      <c r="C193" s="572"/>
      <c r="D193" s="673"/>
      <c r="E193" s="673"/>
      <c r="F193" s="673"/>
      <c r="G193" s="673"/>
      <c r="H193" s="661">
        <f>SUM(H182:H192)</f>
        <v>10330.61</v>
      </c>
      <c r="I193" s="12" t="s">
        <v>2322</v>
      </c>
      <c r="L193" s="662">
        <f>SUM(L192)</f>
        <v>0</v>
      </c>
    </row>
    <row r="194" spans="1:12" ht="51" hidden="1">
      <c r="A194" s="16">
        <v>7</v>
      </c>
      <c r="B194" s="650"/>
      <c r="C194" s="651" t="s">
        <v>1200</v>
      </c>
      <c r="D194" s="673"/>
      <c r="E194" s="673"/>
      <c r="F194" s="673"/>
      <c r="G194" s="673"/>
      <c r="H194" s="652"/>
      <c r="I194" s="12" t="s">
        <v>2322</v>
      </c>
    </row>
    <row r="195" spans="1:12" s="601" customFormat="1" hidden="1">
      <c r="A195" s="16"/>
      <c r="B195" s="650"/>
      <c r="C195" s="651" t="s">
        <v>695</v>
      </c>
      <c r="E195" s="673" t="s">
        <v>35</v>
      </c>
      <c r="F195" s="532">
        <v>8.0000000000000002E-3</v>
      </c>
      <c r="G195" s="659">
        <f>'MINI SSR 2022-23 (2)'!C144</f>
        <v>51000</v>
      </c>
      <c r="H195" s="53">
        <f>ROUND(F195*G195,2)</f>
        <v>408</v>
      </c>
      <c r="I195" s="12" t="s">
        <v>2322</v>
      </c>
      <c r="J195" s="58"/>
    </row>
    <row r="196" spans="1:12" s="601" customFormat="1" hidden="1">
      <c r="A196" s="16"/>
      <c r="B196" s="650"/>
      <c r="C196" s="651" t="s">
        <v>1199</v>
      </c>
      <c r="E196" s="673" t="s">
        <v>4</v>
      </c>
      <c r="F196" s="532">
        <v>0.5</v>
      </c>
      <c r="G196" s="659">
        <f>'lead 22-23 P-B'!L9/1000</f>
        <v>76.11</v>
      </c>
      <c r="H196" s="53">
        <f>ROUND(F196*G196,2)</f>
        <v>38.06</v>
      </c>
      <c r="I196" s="12" t="s">
        <v>2322</v>
      </c>
      <c r="J196" s="58"/>
    </row>
    <row r="197" spans="1:12" s="601" customFormat="1" hidden="1">
      <c r="A197" s="16"/>
      <c r="B197" s="650" t="s">
        <v>1407</v>
      </c>
      <c r="C197" s="651" t="s">
        <v>1406</v>
      </c>
      <c r="E197" s="673" t="s">
        <v>102</v>
      </c>
      <c r="F197" s="532">
        <v>0.27</v>
      </c>
      <c r="G197" s="659">
        <f>'MINI SSR 2022-23 (2)'!G153</f>
        <v>486</v>
      </c>
      <c r="H197" s="53">
        <f>ROUND(F197*G197,2)</f>
        <v>131.22</v>
      </c>
      <c r="I197" s="12" t="s">
        <v>2322</v>
      </c>
      <c r="J197" s="58"/>
    </row>
    <row r="198" spans="1:12" hidden="1">
      <c r="A198" s="673"/>
      <c r="B198" s="673"/>
      <c r="C198" s="651"/>
      <c r="D198" s="673"/>
      <c r="E198" s="659"/>
      <c r="F198" s="659"/>
      <c r="G198" s="659"/>
      <c r="H198" s="53"/>
      <c r="I198" s="12" t="s">
        <v>2322</v>
      </c>
      <c r="L198" s="597"/>
    </row>
    <row r="199" spans="1:12" ht="13.5" hidden="1" thickBot="1">
      <c r="A199" s="673"/>
      <c r="B199" s="673"/>
      <c r="C199" s="572" t="s">
        <v>1405</v>
      </c>
      <c r="D199" s="673"/>
      <c r="E199" s="673"/>
      <c r="F199" s="673"/>
      <c r="G199" s="673"/>
      <c r="H199" s="661">
        <f>SUM(H195:H198)</f>
        <v>577.28</v>
      </c>
      <c r="I199" s="12" t="s">
        <v>2322</v>
      </c>
      <c r="L199" s="662">
        <f>SUM(L198)</f>
        <v>0</v>
      </c>
    </row>
    <row r="200" spans="1:12" hidden="1">
      <c r="A200" s="16">
        <v>2</v>
      </c>
      <c r="B200" s="650"/>
      <c r="C200" s="651" t="s">
        <v>932</v>
      </c>
      <c r="D200" s="673"/>
      <c r="E200" s="673"/>
      <c r="F200" s="673"/>
      <c r="G200" s="673"/>
      <c r="H200" s="652"/>
      <c r="I200" s="12" t="s">
        <v>2322</v>
      </c>
    </row>
    <row r="201" spans="1:12" hidden="1">
      <c r="A201" s="673"/>
      <c r="B201" s="673" t="s">
        <v>1408</v>
      </c>
      <c r="C201" s="651" t="s">
        <v>379</v>
      </c>
      <c r="D201" s="673" t="s">
        <v>102</v>
      </c>
      <c r="E201" s="659">
        <v>1</v>
      </c>
      <c r="F201" s="659">
        <f>'MINI SSR 2022-23 (2)'!G154</f>
        <v>388</v>
      </c>
      <c r="G201" s="659"/>
      <c r="H201" s="53">
        <f>ROUND(E201*F201,2)</f>
        <v>388</v>
      </c>
      <c r="I201" s="12" t="s">
        <v>2322</v>
      </c>
    </row>
    <row r="202" spans="1:12" hidden="1">
      <c r="A202" s="673"/>
      <c r="B202" s="673"/>
      <c r="C202" s="651" t="s">
        <v>929</v>
      </c>
      <c r="D202" s="16" t="s">
        <v>108</v>
      </c>
      <c r="E202" s="10">
        <v>0.06</v>
      </c>
      <c r="F202" s="10">
        <f>'MINI SSR 2022-23 (2)'!H3</f>
        <v>630</v>
      </c>
      <c r="G202" s="10"/>
      <c r="H202" s="9">
        <f>ROUND(E202*F202,2)</f>
        <v>37.799999999999997</v>
      </c>
      <c r="I202" s="12" t="s">
        <v>2322</v>
      </c>
    </row>
    <row r="203" spans="1:12" hidden="1">
      <c r="A203" s="673"/>
      <c r="B203" s="673"/>
      <c r="C203" s="651" t="s">
        <v>930</v>
      </c>
      <c r="D203" s="16" t="s">
        <v>108</v>
      </c>
      <c r="E203" s="10">
        <v>0.06</v>
      </c>
      <c r="F203" s="10">
        <f>'MINI SSR 2022-23 (2)'!H4</f>
        <v>565</v>
      </c>
      <c r="G203" s="10"/>
      <c r="H203" s="9">
        <f>ROUND(E203*F203,2)</f>
        <v>33.9</v>
      </c>
      <c r="I203" s="12" t="s">
        <v>2322</v>
      </c>
    </row>
    <row r="204" spans="1:12" hidden="1">
      <c r="A204" s="673"/>
      <c r="B204" s="673"/>
      <c r="C204" s="664" t="s">
        <v>931</v>
      </c>
      <c r="D204" s="16" t="s">
        <v>108</v>
      </c>
      <c r="E204" s="541">
        <v>0.27500000000000002</v>
      </c>
      <c r="F204" s="10">
        <f>'MINI SSR 2022-23 (2)'!H5</f>
        <v>525</v>
      </c>
      <c r="G204" s="10"/>
      <c r="H204" s="9">
        <f>ROUND(E204*F204,2)</f>
        <v>144.38</v>
      </c>
      <c r="I204" s="12" t="s">
        <v>2322</v>
      </c>
    </row>
    <row r="205" spans="1:12" hidden="1">
      <c r="A205" s="673"/>
      <c r="B205" s="673"/>
      <c r="C205" s="572" t="s">
        <v>1404</v>
      </c>
      <c r="D205" s="673"/>
      <c r="E205" s="673"/>
      <c r="F205" s="673"/>
      <c r="G205" s="673"/>
      <c r="H205" s="661">
        <f>SUM(H201:H204)</f>
        <v>604.07999999999993</v>
      </c>
      <c r="I205" s="12" t="s">
        <v>2322</v>
      </c>
    </row>
    <row r="206" spans="1:12" ht="191.25" hidden="1">
      <c r="A206" s="16">
        <v>3</v>
      </c>
      <c r="B206" s="650"/>
      <c r="C206" s="1049" t="s">
        <v>910</v>
      </c>
      <c r="D206" s="673"/>
      <c r="E206" s="673"/>
      <c r="F206" s="673"/>
      <c r="G206" s="673"/>
      <c r="H206" s="652"/>
      <c r="I206" s="12" t="s">
        <v>2322</v>
      </c>
    </row>
    <row r="207" spans="1:12" hidden="1">
      <c r="A207" s="673"/>
      <c r="B207" s="673"/>
      <c r="C207" s="651" t="s">
        <v>911</v>
      </c>
      <c r="D207" s="673"/>
      <c r="E207" s="532"/>
      <c r="F207" s="659"/>
      <c r="G207" s="659"/>
      <c r="H207" s="53"/>
      <c r="I207" s="12" t="s">
        <v>2322</v>
      </c>
    </row>
    <row r="208" spans="1:12" hidden="1">
      <c r="A208" s="673"/>
      <c r="B208" s="673" t="s">
        <v>1410</v>
      </c>
      <c r="C208" s="651" t="s">
        <v>1409</v>
      </c>
      <c r="D208" s="673"/>
      <c r="E208" s="673" t="s">
        <v>277</v>
      </c>
      <c r="F208" s="532">
        <v>6.7</v>
      </c>
      <c r="G208" s="659">
        <f>'MINI SSR 2022-23 (2)'!C147</f>
        <v>920</v>
      </c>
      <c r="H208" s="53"/>
      <c r="I208" s="12" t="s">
        <v>2322</v>
      </c>
    </row>
    <row r="209" spans="1:12" hidden="1">
      <c r="A209" s="673"/>
      <c r="B209" s="673" t="s">
        <v>1412</v>
      </c>
      <c r="C209" s="651" t="s">
        <v>1411</v>
      </c>
      <c r="D209" s="673"/>
      <c r="E209" s="673" t="s">
        <v>102</v>
      </c>
      <c r="F209" s="532">
        <v>0.86899999999999999</v>
      </c>
      <c r="G209" s="659">
        <f>'MINI SSR 2022-23 (2)'!C151</f>
        <v>1036</v>
      </c>
      <c r="H209" s="53"/>
      <c r="I209" s="12" t="s">
        <v>2322</v>
      </c>
    </row>
    <row r="210" spans="1:12" hidden="1">
      <c r="A210" s="673"/>
      <c r="B210" s="673" t="s">
        <v>1393</v>
      </c>
      <c r="C210" s="651" t="s">
        <v>379</v>
      </c>
      <c r="D210" s="673"/>
      <c r="E210" s="673" t="s">
        <v>102</v>
      </c>
      <c r="F210" s="532">
        <f>ROUND(1.1*2.03,2)</f>
        <v>2.23</v>
      </c>
      <c r="G210" s="659">
        <f>'MINI SSR 2022-23 (2)'!C146</f>
        <v>3394</v>
      </c>
      <c r="H210" s="53">
        <f t="shared" ref="H210:H214" si="14">ROUND(F210*G210,2)</f>
        <v>7568.62</v>
      </c>
      <c r="I210" s="12" t="s">
        <v>2322</v>
      </c>
    </row>
    <row r="211" spans="1:12" hidden="1">
      <c r="A211" s="673"/>
      <c r="B211" s="673" t="s">
        <v>1394</v>
      </c>
      <c r="C211" s="651" t="s">
        <v>1413</v>
      </c>
      <c r="D211" s="673"/>
      <c r="E211" s="673" t="s">
        <v>102</v>
      </c>
      <c r="F211" s="532">
        <v>1.6870000000000001</v>
      </c>
      <c r="G211" s="659">
        <f>'MINI SSR 2022-23 (2)'!C151</f>
        <v>1036</v>
      </c>
      <c r="H211" s="53">
        <f t="shared" si="14"/>
        <v>1747.73</v>
      </c>
      <c r="I211" s="12" t="s">
        <v>2322</v>
      </c>
      <c r="L211" s="597"/>
    </row>
    <row r="212" spans="1:12" hidden="1">
      <c r="A212" s="16"/>
      <c r="B212" s="650" t="s">
        <v>1415</v>
      </c>
      <c r="C212" s="651" t="s">
        <v>1414</v>
      </c>
      <c r="D212" s="673"/>
      <c r="E212" s="673" t="s">
        <v>11</v>
      </c>
      <c r="F212" s="535">
        <v>2</v>
      </c>
      <c r="G212" s="659">
        <f>'MINI SSR 2022-23 (2)'!G144</f>
        <v>108</v>
      </c>
      <c r="H212" s="53">
        <f t="shared" si="14"/>
        <v>216</v>
      </c>
      <c r="I212" s="12" t="s">
        <v>2322</v>
      </c>
    </row>
    <row r="213" spans="1:12" hidden="1">
      <c r="A213" s="16"/>
      <c r="B213" s="650" t="s">
        <v>1383</v>
      </c>
      <c r="C213" s="651" t="s">
        <v>1382</v>
      </c>
      <c r="D213" s="673"/>
      <c r="E213" s="673" t="s">
        <v>11</v>
      </c>
      <c r="F213" s="535">
        <v>2</v>
      </c>
      <c r="G213" s="659">
        <f>'MINI SSR 2022-23 (2)'!G147</f>
        <v>114</v>
      </c>
      <c r="H213" s="53">
        <f t="shared" si="14"/>
        <v>228</v>
      </c>
      <c r="I213" s="12" t="s">
        <v>2322</v>
      </c>
    </row>
    <row r="214" spans="1:12" hidden="1">
      <c r="A214" s="16"/>
      <c r="B214" s="650" t="s">
        <v>1400</v>
      </c>
      <c r="C214" s="651" t="s">
        <v>1399</v>
      </c>
      <c r="D214" s="673"/>
      <c r="E214" s="673" t="s">
        <v>11</v>
      </c>
      <c r="F214" s="535">
        <v>2</v>
      </c>
      <c r="G214" s="659">
        <f>'MINI SSR 2022-23 (2)'!G149</f>
        <v>338</v>
      </c>
      <c r="H214" s="53">
        <f t="shared" si="14"/>
        <v>676</v>
      </c>
      <c r="I214" s="12" t="s">
        <v>2322</v>
      </c>
    </row>
    <row r="215" spans="1:12" hidden="1">
      <c r="A215" s="16"/>
      <c r="B215" s="650"/>
      <c r="C215" s="651" t="s">
        <v>912</v>
      </c>
      <c r="D215" s="673"/>
      <c r="E215" s="673" t="s">
        <v>11</v>
      </c>
      <c r="F215" s="535">
        <v>1</v>
      </c>
      <c r="G215" s="659">
        <f>'MINI SSR 2022-23 (2)'!G155</f>
        <v>58</v>
      </c>
      <c r="H215" s="53"/>
      <c r="I215" s="12" t="s">
        <v>2322</v>
      </c>
    </row>
    <row r="216" spans="1:12" hidden="1">
      <c r="A216" s="673"/>
      <c r="B216" s="673"/>
      <c r="C216" s="651" t="s">
        <v>909</v>
      </c>
      <c r="D216" s="673"/>
      <c r="E216" s="659"/>
      <c r="F216" s="659"/>
      <c r="G216" s="659"/>
      <c r="H216" s="661">
        <f>SUM(H208:H215)</f>
        <v>10436.35</v>
      </c>
      <c r="I216" s="12" t="s">
        <v>2322</v>
      </c>
    </row>
    <row r="217" spans="1:12" hidden="1">
      <c r="A217" s="673"/>
      <c r="B217" s="673"/>
      <c r="C217" s="651" t="s">
        <v>121</v>
      </c>
      <c r="D217" s="673"/>
      <c r="E217" s="673"/>
      <c r="F217" s="673"/>
      <c r="G217" s="673"/>
      <c r="H217" s="661">
        <f>ROUND(H216/2.556,2)</f>
        <v>4083.08</v>
      </c>
      <c r="I217" s="12" t="s">
        <v>2322</v>
      </c>
    </row>
    <row r="218" spans="1:12" ht="255" hidden="1">
      <c r="A218" s="16">
        <v>1</v>
      </c>
      <c r="B218" s="650"/>
      <c r="C218" s="651" t="s">
        <v>910</v>
      </c>
      <c r="D218" s="673"/>
      <c r="E218" s="673"/>
      <c r="F218" s="673"/>
      <c r="G218" s="673"/>
      <c r="H218" s="652"/>
      <c r="I218" s="12" t="s">
        <v>2322</v>
      </c>
    </row>
    <row r="219" spans="1:12" hidden="1">
      <c r="A219" s="673"/>
      <c r="B219" s="673"/>
      <c r="C219" s="651" t="s">
        <v>911</v>
      </c>
      <c r="D219" s="673"/>
      <c r="E219" s="532"/>
      <c r="F219" s="659"/>
      <c r="G219" s="659"/>
      <c r="H219" s="53"/>
      <c r="I219" s="12" t="s">
        <v>2322</v>
      </c>
    </row>
    <row r="220" spans="1:12" hidden="1">
      <c r="A220" s="673"/>
      <c r="B220" s="673" t="s">
        <v>1410</v>
      </c>
      <c r="C220" s="651" t="s">
        <v>1409</v>
      </c>
      <c r="D220" s="673"/>
      <c r="E220" s="673" t="s">
        <v>277</v>
      </c>
      <c r="F220" s="532">
        <v>5.45</v>
      </c>
      <c r="G220" s="659">
        <f t="shared" ref="G220:G227" si="15">G208</f>
        <v>920</v>
      </c>
      <c r="H220" s="53">
        <f t="shared" ref="H220:H225" si="16">ROUND(F220*G220,2)</f>
        <v>5014</v>
      </c>
      <c r="I220" s="12" t="s">
        <v>2322</v>
      </c>
    </row>
    <row r="221" spans="1:12" hidden="1">
      <c r="A221" s="673"/>
      <c r="B221" s="673" t="s">
        <v>1412</v>
      </c>
      <c r="C221" s="651" t="s">
        <v>1411</v>
      </c>
      <c r="D221" s="673"/>
      <c r="E221" s="673" t="s">
        <v>102</v>
      </c>
      <c r="F221" s="532">
        <v>0.86899999999999999</v>
      </c>
      <c r="G221" s="659">
        <f t="shared" si="15"/>
        <v>1036</v>
      </c>
      <c r="H221" s="53">
        <f t="shared" si="16"/>
        <v>900.28</v>
      </c>
      <c r="I221" s="12" t="s">
        <v>2322</v>
      </c>
    </row>
    <row r="222" spans="1:12" hidden="1">
      <c r="A222" s="673"/>
      <c r="B222" s="673" t="s">
        <v>1393</v>
      </c>
      <c r="C222" s="651" t="s">
        <v>379</v>
      </c>
      <c r="D222" s="673"/>
      <c r="E222" s="673" t="s">
        <v>102</v>
      </c>
      <c r="F222" s="532">
        <f>ROUND(1.1*2.03,2)</f>
        <v>2.23</v>
      </c>
      <c r="G222" s="659">
        <f t="shared" si="15"/>
        <v>3394</v>
      </c>
      <c r="H222" s="53">
        <f t="shared" si="16"/>
        <v>7568.62</v>
      </c>
      <c r="I222" s="12" t="s">
        <v>2322</v>
      </c>
    </row>
    <row r="223" spans="1:12" hidden="1">
      <c r="A223" s="673"/>
      <c r="B223" s="673" t="s">
        <v>1394</v>
      </c>
      <c r="C223" s="651" t="s">
        <v>1413</v>
      </c>
      <c r="D223" s="673"/>
      <c r="E223" s="673" t="s">
        <v>102</v>
      </c>
      <c r="F223" s="532">
        <v>1.6870000000000001</v>
      </c>
      <c r="G223" s="659">
        <f t="shared" si="15"/>
        <v>1036</v>
      </c>
      <c r="H223" s="53">
        <f t="shared" si="16"/>
        <v>1747.73</v>
      </c>
      <c r="I223" s="12" t="s">
        <v>2322</v>
      </c>
      <c r="L223" s="597"/>
    </row>
    <row r="224" spans="1:12" hidden="1">
      <c r="A224" s="16"/>
      <c r="B224" s="650" t="s">
        <v>1415</v>
      </c>
      <c r="C224" s="651" t="s">
        <v>1414</v>
      </c>
      <c r="D224" s="673"/>
      <c r="E224" s="673" t="s">
        <v>11</v>
      </c>
      <c r="F224" s="535">
        <v>2</v>
      </c>
      <c r="G224" s="659">
        <f t="shared" si="15"/>
        <v>108</v>
      </c>
      <c r="H224" s="53">
        <f t="shared" si="16"/>
        <v>216</v>
      </c>
      <c r="I224" s="12" t="s">
        <v>2322</v>
      </c>
    </row>
    <row r="225" spans="1:12" hidden="1">
      <c r="A225" s="16"/>
      <c r="B225" s="650" t="s">
        <v>1383</v>
      </c>
      <c r="C225" s="651" t="s">
        <v>1382</v>
      </c>
      <c r="D225" s="673"/>
      <c r="E225" s="673" t="s">
        <v>11</v>
      </c>
      <c r="F225" s="535">
        <v>2</v>
      </c>
      <c r="G225" s="659">
        <f t="shared" si="15"/>
        <v>114</v>
      </c>
      <c r="H225" s="53">
        <f t="shared" si="16"/>
        <v>228</v>
      </c>
      <c r="I225" s="12" t="s">
        <v>2322</v>
      </c>
    </row>
    <row r="226" spans="1:12" hidden="1">
      <c r="A226" s="16"/>
      <c r="B226" s="650" t="s">
        <v>1400</v>
      </c>
      <c r="C226" s="651" t="s">
        <v>1399</v>
      </c>
      <c r="D226" s="673"/>
      <c r="E226" s="673" t="s">
        <v>11</v>
      </c>
      <c r="F226" s="535">
        <v>2</v>
      </c>
      <c r="G226" s="659">
        <f t="shared" si="15"/>
        <v>338</v>
      </c>
      <c r="H226" s="53">
        <v>0</v>
      </c>
      <c r="I226" s="12" t="s">
        <v>2322</v>
      </c>
    </row>
    <row r="227" spans="1:12" hidden="1">
      <c r="A227" s="16"/>
      <c r="B227" s="650"/>
      <c r="C227" s="651" t="s">
        <v>912</v>
      </c>
      <c r="D227" s="673"/>
      <c r="E227" s="673" t="s">
        <v>11</v>
      </c>
      <c r="F227" s="535">
        <v>1</v>
      </c>
      <c r="G227" s="659">
        <f t="shared" si="15"/>
        <v>58</v>
      </c>
      <c r="H227" s="53">
        <v>0</v>
      </c>
      <c r="I227" s="12" t="s">
        <v>2322</v>
      </c>
    </row>
    <row r="228" spans="1:12" hidden="1">
      <c r="A228" s="673"/>
      <c r="B228" s="673"/>
      <c r="C228" s="651" t="s">
        <v>909</v>
      </c>
      <c r="D228" s="673"/>
      <c r="E228" s="659"/>
      <c r="F228" s="659"/>
      <c r="G228" s="659"/>
      <c r="H228" s="661">
        <f>SUM(H220:H227)</f>
        <v>15674.63</v>
      </c>
      <c r="I228" s="12" t="s">
        <v>2322</v>
      </c>
    </row>
    <row r="229" spans="1:12" hidden="1">
      <c r="A229" s="673"/>
      <c r="B229" s="673"/>
      <c r="C229" s="651" t="s">
        <v>121</v>
      </c>
      <c r="D229" s="673"/>
      <c r="E229" s="673"/>
      <c r="F229" s="673"/>
      <c r="G229" s="673"/>
      <c r="H229" s="661">
        <f>ROUND(H228/2.556,2)</f>
        <v>6132.48</v>
      </c>
      <c r="I229" s="12" t="s">
        <v>2322</v>
      </c>
    </row>
    <row r="230" spans="1:12" ht="127.5" hidden="1">
      <c r="A230" s="16">
        <v>2</v>
      </c>
      <c r="B230" s="650"/>
      <c r="C230" s="651" t="s">
        <v>2473</v>
      </c>
      <c r="D230" s="673"/>
      <c r="E230" s="673"/>
      <c r="F230" s="673"/>
      <c r="G230" s="673"/>
      <c r="H230" s="652"/>
      <c r="I230" s="12" t="s">
        <v>2322</v>
      </c>
    </row>
    <row r="231" spans="1:12" hidden="1">
      <c r="A231" s="673"/>
      <c r="B231" s="673"/>
      <c r="C231" s="651" t="s">
        <v>911</v>
      </c>
      <c r="D231" s="673"/>
      <c r="E231" s="532"/>
      <c r="F231" s="659"/>
      <c r="G231" s="659"/>
      <c r="H231" s="53"/>
      <c r="I231" s="12" t="s">
        <v>2322</v>
      </c>
    </row>
    <row r="232" spans="1:12" hidden="1">
      <c r="A232" s="673"/>
      <c r="B232" s="673" t="s">
        <v>1393</v>
      </c>
      <c r="C232" s="651" t="s">
        <v>379</v>
      </c>
      <c r="D232" s="673"/>
      <c r="E232" s="673" t="s">
        <v>102</v>
      </c>
      <c r="F232" s="532">
        <f>ROUND(1.1*2.03,2)</f>
        <v>2.23</v>
      </c>
      <c r="G232" s="659">
        <f t="shared" ref="G232:G237" si="17">G222</f>
        <v>3394</v>
      </c>
      <c r="H232" s="53">
        <f t="shared" ref="H232:H237" si="18">ROUND(F232*G232,2)</f>
        <v>7568.62</v>
      </c>
      <c r="I232" s="12" t="s">
        <v>2322</v>
      </c>
    </row>
    <row r="233" spans="1:12" hidden="1">
      <c r="A233" s="673"/>
      <c r="B233" s="673" t="s">
        <v>1394</v>
      </c>
      <c r="C233" s="651" t="s">
        <v>1413</v>
      </c>
      <c r="D233" s="673"/>
      <c r="E233" s="673" t="s">
        <v>102</v>
      </c>
      <c r="F233" s="532">
        <v>1.6870000000000001</v>
      </c>
      <c r="G233" s="659">
        <f t="shared" si="17"/>
        <v>1036</v>
      </c>
      <c r="H233" s="53">
        <f t="shared" si="18"/>
        <v>1747.73</v>
      </c>
      <c r="I233" s="12" t="s">
        <v>2322</v>
      </c>
      <c r="L233" s="597"/>
    </row>
    <row r="234" spans="1:12" hidden="1">
      <c r="A234" s="16"/>
      <c r="B234" s="650" t="s">
        <v>1415</v>
      </c>
      <c r="C234" s="651" t="s">
        <v>1414</v>
      </c>
      <c r="D234" s="673"/>
      <c r="E234" s="673" t="s">
        <v>11</v>
      </c>
      <c r="F234" s="535">
        <v>2</v>
      </c>
      <c r="G234" s="659">
        <f t="shared" si="17"/>
        <v>108</v>
      </c>
      <c r="H234" s="53">
        <f t="shared" si="18"/>
        <v>216</v>
      </c>
      <c r="I234" s="12" t="s">
        <v>2322</v>
      </c>
    </row>
    <row r="235" spans="1:12" hidden="1">
      <c r="A235" s="16"/>
      <c r="B235" s="650" t="s">
        <v>1383</v>
      </c>
      <c r="C235" s="651" t="s">
        <v>1382</v>
      </c>
      <c r="D235" s="673"/>
      <c r="E235" s="673" t="s">
        <v>11</v>
      </c>
      <c r="F235" s="535">
        <v>2</v>
      </c>
      <c r="G235" s="659">
        <f t="shared" si="17"/>
        <v>114</v>
      </c>
      <c r="H235" s="53">
        <f t="shared" si="18"/>
        <v>228</v>
      </c>
      <c r="I235" s="12" t="s">
        <v>2322</v>
      </c>
    </row>
    <row r="236" spans="1:12" hidden="1">
      <c r="A236" s="16"/>
      <c r="B236" s="650" t="s">
        <v>1400</v>
      </c>
      <c r="C236" s="651" t="s">
        <v>1399</v>
      </c>
      <c r="D236" s="673"/>
      <c r="E236" s="673" t="s">
        <v>11</v>
      </c>
      <c r="F236" s="535">
        <v>2</v>
      </c>
      <c r="G236" s="659">
        <f t="shared" si="17"/>
        <v>338</v>
      </c>
      <c r="H236" s="53">
        <f t="shared" si="18"/>
        <v>676</v>
      </c>
      <c r="I236" s="12" t="s">
        <v>2322</v>
      </c>
    </row>
    <row r="237" spans="1:12" hidden="1">
      <c r="A237" s="16"/>
      <c r="B237" s="650"/>
      <c r="C237" s="651" t="s">
        <v>912</v>
      </c>
      <c r="D237" s="673"/>
      <c r="E237" s="673" t="s">
        <v>11</v>
      </c>
      <c r="F237" s="535">
        <v>1</v>
      </c>
      <c r="G237" s="659">
        <f t="shared" si="17"/>
        <v>58</v>
      </c>
      <c r="H237" s="53">
        <f t="shared" si="18"/>
        <v>58</v>
      </c>
      <c r="I237" s="12" t="s">
        <v>2322</v>
      </c>
    </row>
    <row r="238" spans="1:12" hidden="1">
      <c r="A238" s="673"/>
      <c r="B238" s="673"/>
      <c r="C238" s="651" t="s">
        <v>909</v>
      </c>
      <c r="D238" s="673"/>
      <c r="E238" s="659"/>
      <c r="F238" s="659"/>
      <c r="G238" s="659"/>
      <c r="H238" s="661">
        <f>SUM(H232:H237)</f>
        <v>10494.35</v>
      </c>
      <c r="I238" s="12" t="s">
        <v>2322</v>
      </c>
    </row>
    <row r="239" spans="1:12" hidden="1">
      <c r="A239" s="673"/>
      <c r="B239" s="673"/>
      <c r="C239" s="651" t="s">
        <v>121</v>
      </c>
      <c r="D239" s="673"/>
      <c r="E239" s="673"/>
      <c r="F239" s="673"/>
      <c r="G239" s="673"/>
      <c r="H239" s="661">
        <f>ROUND(H238/2.556,2)</f>
        <v>4105.7700000000004</v>
      </c>
      <c r="I239" s="12" t="s">
        <v>2322</v>
      </c>
    </row>
    <row r="240" spans="1:12" s="956" customFormat="1" ht="270">
      <c r="A240" s="951">
        <v>1</v>
      </c>
      <c r="B240" s="1008"/>
      <c r="C240" s="1050" t="s">
        <v>717</v>
      </c>
      <c r="D240" s="1009"/>
      <c r="E240" s="1009"/>
      <c r="F240" s="1009"/>
      <c r="G240" s="1009"/>
      <c r="H240" s="1013"/>
      <c r="I240" s="1010" t="s">
        <v>2322</v>
      </c>
    </row>
    <row r="241" spans="1:9" s="956" customFormat="1">
      <c r="A241" s="1009"/>
      <c r="B241" s="1009" t="s">
        <v>1417</v>
      </c>
      <c r="C241" s="1016" t="s">
        <v>1416</v>
      </c>
      <c r="D241" s="1009" t="s">
        <v>102</v>
      </c>
      <c r="E241" s="1014">
        <v>1</v>
      </c>
      <c r="F241" s="1014">
        <f>'MINI SSR 2022-23 (2)'!C153</f>
        <v>6460</v>
      </c>
      <c r="G241" s="1014"/>
      <c r="H241" s="1006">
        <f>ROUND(E241*F241,2)</f>
        <v>6460</v>
      </c>
      <c r="I241" s="1010" t="s">
        <v>2322</v>
      </c>
    </row>
    <row r="242" spans="1:9" s="956" customFormat="1">
      <c r="A242" s="1009"/>
      <c r="B242" s="1009"/>
      <c r="C242" s="1017"/>
      <c r="D242" s="1009"/>
      <c r="E242" s="1009"/>
      <c r="F242" s="1009"/>
      <c r="G242" s="1009"/>
      <c r="H242" s="1015">
        <f>SUM(H241:H241)</f>
        <v>6460</v>
      </c>
      <c r="I242" s="1010" t="s">
        <v>2322</v>
      </c>
    </row>
    <row r="243" spans="1:9" s="956" customFormat="1">
      <c r="A243" s="1009"/>
      <c r="B243" s="1009" t="s">
        <v>1417</v>
      </c>
      <c r="C243" s="1016" t="s">
        <v>1418</v>
      </c>
      <c r="D243" s="1009" t="s">
        <v>102</v>
      </c>
      <c r="E243" s="1014">
        <v>1</v>
      </c>
      <c r="F243" s="1014">
        <f>'MINI SSR 2022-23 (2)'!C152</f>
        <v>8622</v>
      </c>
      <c r="G243" s="1014"/>
      <c r="H243" s="1006">
        <f>ROUND(E243*F243,2)</f>
        <v>8622</v>
      </c>
      <c r="I243" s="1010" t="s">
        <v>2322</v>
      </c>
    </row>
    <row r="244" spans="1:9" s="956" customFormat="1">
      <c r="A244" s="1009"/>
      <c r="B244" s="1009"/>
      <c r="C244" s="1017"/>
      <c r="D244" s="1009"/>
      <c r="E244" s="1009"/>
      <c r="F244" s="1009"/>
      <c r="G244" s="1009"/>
      <c r="H244" s="1015">
        <f>SUM(H243:H243)</f>
        <v>8622</v>
      </c>
      <c r="I244" s="1010" t="s">
        <v>2322</v>
      </c>
    </row>
    <row r="245" spans="1:9" hidden="1">
      <c r="A245" s="673">
        <v>8</v>
      </c>
      <c r="B245" s="673" t="s">
        <v>1420</v>
      </c>
      <c r="C245" s="651" t="s">
        <v>1419</v>
      </c>
      <c r="D245" s="673" t="s">
        <v>102</v>
      </c>
      <c r="E245" s="659">
        <v>1</v>
      </c>
      <c r="F245" s="659">
        <f>'MINI SSR 2022-23 (2)'!C154</f>
        <v>6238</v>
      </c>
      <c r="G245" s="659"/>
      <c r="H245" s="53">
        <f>ROUND(E245*F245,2)</f>
        <v>6238</v>
      </c>
      <c r="I245" s="12" t="s">
        <v>2322</v>
      </c>
    </row>
    <row r="246" spans="1:9" hidden="1">
      <c r="A246" s="673"/>
      <c r="B246" s="673"/>
      <c r="C246" s="572"/>
      <c r="D246" s="673"/>
      <c r="E246" s="673"/>
      <c r="F246" s="673"/>
      <c r="G246" s="673"/>
      <c r="H246" s="661">
        <f>SUM(H245:H245)</f>
        <v>6238</v>
      </c>
      <c r="I246" s="12" t="s">
        <v>2322</v>
      </c>
    </row>
    <row r="247" spans="1:9" ht="38.25" hidden="1">
      <c r="A247" s="16">
        <v>3</v>
      </c>
      <c r="B247" s="650"/>
      <c r="C247" s="651" t="s">
        <v>2293</v>
      </c>
      <c r="D247" s="673"/>
      <c r="E247" s="673"/>
      <c r="F247" s="673"/>
      <c r="G247" s="673"/>
      <c r="H247" s="652"/>
      <c r="I247" s="12" t="s">
        <v>2322</v>
      </c>
    </row>
    <row r="248" spans="1:9" hidden="1">
      <c r="A248" s="673"/>
      <c r="B248" s="673" t="s">
        <v>2291</v>
      </c>
      <c r="C248" s="651" t="s">
        <v>1416</v>
      </c>
      <c r="D248" s="673" t="s">
        <v>102</v>
      </c>
      <c r="E248" s="659">
        <v>1</v>
      </c>
      <c r="F248" s="659">
        <f>'MINI SSR 2022-23 (2)'!C156</f>
        <v>4062</v>
      </c>
      <c r="G248" s="659"/>
      <c r="H248" s="53">
        <f>ROUND(E248*F248,2)</f>
        <v>4062</v>
      </c>
      <c r="I248" s="12" t="s">
        <v>2322</v>
      </c>
    </row>
    <row r="249" spans="1:9" hidden="1">
      <c r="A249" s="673"/>
      <c r="B249" s="673"/>
      <c r="C249" s="572"/>
      <c r="D249" s="673"/>
      <c r="E249" s="673"/>
      <c r="F249" s="673"/>
      <c r="G249" s="673"/>
      <c r="H249" s="661">
        <f>SUM(H248:H248)</f>
        <v>4062</v>
      </c>
      <c r="I249" s="12" t="s">
        <v>2322</v>
      </c>
    </row>
    <row r="250" spans="1:9" ht="15.95" customHeight="1"/>
    <row r="251" spans="1:9" ht="15.95" customHeight="1"/>
    <row r="252" spans="1:9" ht="15.95" customHeight="1">
      <c r="D252" s="12" t="str">
        <f>'lead 22-23 P-B'!H31</f>
        <v>Deputy Executive Engineer</v>
      </c>
      <c r="G252" s="12" t="str">
        <f>'lead 22-23 P-B'!K31</f>
        <v>Assistant  Engineer</v>
      </c>
    </row>
    <row r="253" spans="1:9">
      <c r="D253" s="12" t="str">
        <f>'lead 22-23 P-B'!H32</f>
        <v>PRI Sub Division</v>
      </c>
      <c r="G253" s="12" t="str">
        <f>'lead 22-23 P-B'!K32</f>
        <v>Mandal Praja parishad</v>
      </c>
    </row>
    <row r="254" spans="1:9">
      <c r="D254" s="12" t="str">
        <f>'lead 22-23 P-B'!H33</f>
        <v>Kanigiri</v>
      </c>
      <c r="G254" s="12" t="str">
        <f>'lead 22-23 P-B'!K33</f>
        <v>Kanigiri</v>
      </c>
    </row>
  </sheetData>
  <autoFilter ref="A5:H249">
    <filterColumn colId="0">
      <colorFilter dxfId="0"/>
    </filterColumn>
  </autoFilter>
  <mergeCells count="2">
    <mergeCell ref="A1:H1"/>
    <mergeCell ref="A2:H2"/>
  </mergeCells>
  <pageMargins left="0.74" right="0.23" top="0.52" bottom="0.45" header="0.34" footer="0.17"/>
  <pageSetup paperSize="9" scale="93" orientation="portrait" r:id="rId1"/>
  <headerFooter alignWithMargins="0"/>
</worksheet>
</file>

<file path=xl/worksheets/sheet32.xml><?xml version="1.0" encoding="utf-8"?>
<worksheet xmlns="http://schemas.openxmlformats.org/spreadsheetml/2006/main" xmlns:r="http://schemas.openxmlformats.org/officeDocument/2006/relationships">
  <sheetPr>
    <tabColor rgb="FF7030A0"/>
  </sheetPr>
  <dimension ref="A1:H156"/>
  <sheetViews>
    <sheetView view="pageBreakPreview" topLeftCell="A34" zoomScale="115" zoomScaleNormal="115" zoomScaleSheetLayoutView="115" workbookViewId="0">
      <selection activeCell="D44" sqref="D44"/>
    </sheetView>
  </sheetViews>
  <sheetFormatPr defaultColWidth="9.140625" defaultRowHeight="12.75"/>
  <cols>
    <col min="1" max="1" width="22.28515625" style="481" customWidth="1"/>
    <col min="2" max="2" width="11.5703125" style="498" customWidth="1"/>
    <col min="3" max="3" width="10.42578125" style="498" bestFit="1" customWidth="1"/>
    <col min="4" max="4" width="10.7109375" style="498" customWidth="1"/>
    <col min="5" max="5" width="11.85546875" style="499" customWidth="1"/>
    <col min="6" max="6" width="17.42578125" style="481" customWidth="1"/>
    <col min="7" max="7" width="10.140625" style="498" customWidth="1"/>
    <col min="8" max="8" width="9.28515625" style="500" bestFit="1" customWidth="1"/>
    <col min="9" max="16384" width="9.140625" style="481"/>
  </cols>
  <sheetData>
    <row r="1" spans="1:8" ht="18.75">
      <c r="A1" s="1909" t="s">
        <v>1697</v>
      </c>
      <c r="B1" s="1909"/>
      <c r="C1" s="1909"/>
      <c r="D1" s="1909"/>
      <c r="E1" s="1909"/>
      <c r="F1" s="1909"/>
      <c r="G1" s="1909"/>
      <c r="H1" s="1909"/>
    </row>
    <row r="2" spans="1:8">
      <c r="A2" s="482"/>
      <c r="B2" s="483"/>
      <c r="C2" s="483"/>
      <c r="D2" s="483"/>
      <c r="E2" s="484"/>
      <c r="F2" s="482" t="s">
        <v>1698</v>
      </c>
      <c r="G2" s="483" t="s">
        <v>1699</v>
      </c>
      <c r="H2" s="485" t="s">
        <v>8</v>
      </c>
    </row>
    <row r="3" spans="1:8">
      <c r="A3" s="482"/>
      <c r="B3" s="483" t="s">
        <v>1700</v>
      </c>
      <c r="C3" s="483" t="s">
        <v>8</v>
      </c>
      <c r="D3" s="483"/>
      <c r="E3" s="484"/>
      <c r="F3" s="482" t="s">
        <v>1701</v>
      </c>
      <c r="G3" s="483" t="s">
        <v>1702</v>
      </c>
      <c r="H3" s="485">
        <v>550</v>
      </c>
    </row>
    <row r="4" spans="1:8">
      <c r="A4" s="486" t="s">
        <v>847</v>
      </c>
      <c r="B4" s="483" t="s">
        <v>1703</v>
      </c>
      <c r="C4" s="485">
        <v>4700</v>
      </c>
      <c r="D4" s="483"/>
      <c r="E4" s="484"/>
      <c r="F4" s="482" t="s">
        <v>1704</v>
      </c>
      <c r="G4" s="483" t="s">
        <v>1705</v>
      </c>
      <c r="H4" s="485">
        <v>500</v>
      </c>
    </row>
    <row r="5" spans="1:8">
      <c r="A5" s="460" t="s">
        <v>1706</v>
      </c>
      <c r="B5" s="483"/>
      <c r="C5" s="485">
        <v>41000</v>
      </c>
      <c r="D5" s="483" t="s">
        <v>2415</v>
      </c>
      <c r="E5" s="484"/>
      <c r="F5" s="482" t="s">
        <v>1707</v>
      </c>
      <c r="G5" s="483" t="s">
        <v>1708</v>
      </c>
      <c r="H5" s="485">
        <v>460</v>
      </c>
    </row>
    <row r="6" spans="1:8">
      <c r="A6" s="460" t="s">
        <v>1709</v>
      </c>
      <c r="B6" s="483"/>
      <c r="C6" s="485">
        <v>41000</v>
      </c>
      <c r="D6" s="483" t="s">
        <v>2415</v>
      </c>
      <c r="E6" s="484"/>
      <c r="F6" s="482" t="s">
        <v>1710</v>
      </c>
      <c r="G6" s="483" t="s">
        <v>1711</v>
      </c>
      <c r="H6" s="485">
        <v>665</v>
      </c>
    </row>
    <row r="7" spans="1:8">
      <c r="A7" s="460" t="s">
        <v>848</v>
      </c>
      <c r="B7" s="483"/>
      <c r="C7" s="485">
        <v>42000</v>
      </c>
      <c r="D7" s="483" t="s">
        <v>2415</v>
      </c>
      <c r="E7" s="484"/>
      <c r="F7" s="482"/>
      <c r="G7" s="483"/>
      <c r="H7" s="485"/>
    </row>
    <row r="8" spans="1:8">
      <c r="A8" s="460" t="s">
        <v>849</v>
      </c>
      <c r="B8" s="483"/>
      <c r="C8" s="485">
        <v>39500</v>
      </c>
      <c r="D8" s="483" t="s">
        <v>2415</v>
      </c>
      <c r="E8" s="484"/>
      <c r="F8" s="482" t="s">
        <v>1712</v>
      </c>
      <c r="G8" s="483" t="s">
        <v>1713</v>
      </c>
      <c r="H8" s="485">
        <v>615</v>
      </c>
    </row>
    <row r="9" spans="1:8" ht="25.5">
      <c r="A9" s="460" t="s">
        <v>850</v>
      </c>
      <c r="B9" s="483" t="s">
        <v>1714</v>
      </c>
      <c r="C9" s="487">
        <v>605</v>
      </c>
      <c r="D9" s="483"/>
      <c r="E9" s="484"/>
      <c r="F9" s="482" t="s">
        <v>1715</v>
      </c>
      <c r="G9" s="483" t="s">
        <v>1716</v>
      </c>
      <c r="H9" s="485">
        <v>500</v>
      </c>
    </row>
    <row r="10" spans="1:8">
      <c r="A10" s="460" t="s">
        <v>851</v>
      </c>
      <c r="B10" s="483" t="s">
        <v>1717</v>
      </c>
      <c r="C10" s="487">
        <v>510</v>
      </c>
      <c r="D10" s="483"/>
      <c r="E10" s="484"/>
      <c r="F10" s="482" t="s">
        <v>1339</v>
      </c>
      <c r="G10" s="483" t="s">
        <v>1718</v>
      </c>
      <c r="H10" s="485">
        <v>540</v>
      </c>
    </row>
    <row r="11" spans="1:8">
      <c r="A11" s="460" t="s">
        <v>768</v>
      </c>
      <c r="B11" s="483" t="s">
        <v>1719</v>
      </c>
      <c r="C11" s="487">
        <v>375</v>
      </c>
      <c r="D11" s="483" t="s">
        <v>861</v>
      </c>
      <c r="E11" s="484" t="s">
        <v>862</v>
      </c>
      <c r="F11" s="482" t="s">
        <v>1340</v>
      </c>
      <c r="G11" s="483" t="s">
        <v>1720</v>
      </c>
      <c r="H11" s="485">
        <v>525</v>
      </c>
    </row>
    <row r="12" spans="1:8">
      <c r="A12" s="460" t="s">
        <v>1721</v>
      </c>
      <c r="B12" s="483" t="s">
        <v>1722</v>
      </c>
      <c r="C12" s="487">
        <v>6000</v>
      </c>
      <c r="D12" s="483">
        <v>60</v>
      </c>
      <c r="E12" s="484">
        <v>60</v>
      </c>
      <c r="F12" s="482"/>
      <c r="G12" s="483"/>
      <c r="H12" s="485"/>
    </row>
    <row r="13" spans="1:8">
      <c r="A13" s="460" t="s">
        <v>853</v>
      </c>
      <c r="B13" s="483" t="s">
        <v>1723</v>
      </c>
      <c r="C13" s="487">
        <v>640</v>
      </c>
      <c r="D13" s="483"/>
      <c r="E13" s="484"/>
      <c r="F13" s="482" t="s">
        <v>1724</v>
      </c>
      <c r="G13" s="483" t="s">
        <v>1725</v>
      </c>
      <c r="H13" s="485">
        <v>615</v>
      </c>
    </row>
    <row r="14" spans="1:8" ht="25.5">
      <c r="A14" s="460" t="s">
        <v>854</v>
      </c>
      <c r="B14" s="483" t="s">
        <v>1726</v>
      </c>
      <c r="C14" s="487">
        <v>1064</v>
      </c>
      <c r="D14" s="483"/>
      <c r="E14" s="484"/>
      <c r="F14" s="482" t="s">
        <v>1727</v>
      </c>
      <c r="G14" s="483"/>
      <c r="H14" s="485">
        <v>525</v>
      </c>
    </row>
    <row r="15" spans="1:8">
      <c r="A15" s="460" t="s">
        <v>1728</v>
      </c>
      <c r="B15" s="483" t="s">
        <v>1729</v>
      </c>
      <c r="C15" s="487">
        <v>848</v>
      </c>
      <c r="D15" s="483"/>
      <c r="E15" s="484"/>
      <c r="F15" s="482"/>
      <c r="G15" s="483"/>
      <c r="H15" s="485"/>
    </row>
    <row r="16" spans="1:8">
      <c r="A16" s="460" t="s">
        <v>1730</v>
      </c>
      <c r="B16" s="483" t="s">
        <v>1731</v>
      </c>
      <c r="C16" s="487">
        <v>716</v>
      </c>
      <c r="D16" s="483"/>
      <c r="E16" s="484"/>
      <c r="F16" s="482" t="s">
        <v>156</v>
      </c>
      <c r="G16" s="483" t="s">
        <v>1732</v>
      </c>
      <c r="H16" s="485">
        <v>610</v>
      </c>
    </row>
    <row r="17" spans="1:8" ht="25.5">
      <c r="A17" s="460" t="s">
        <v>1733</v>
      </c>
      <c r="B17" s="483" t="s">
        <v>1734</v>
      </c>
      <c r="C17" s="487">
        <v>568</v>
      </c>
      <c r="D17" s="483"/>
      <c r="E17" s="484"/>
      <c r="F17" s="482" t="s">
        <v>1501</v>
      </c>
      <c r="G17" s="483" t="s">
        <v>1735</v>
      </c>
      <c r="H17" s="485">
        <v>500</v>
      </c>
    </row>
    <row r="18" spans="1:8">
      <c r="A18" s="460" t="s">
        <v>1194</v>
      </c>
      <c r="B18" s="483" t="s">
        <v>1736</v>
      </c>
      <c r="C18" s="485">
        <v>255</v>
      </c>
      <c r="D18" s="483"/>
      <c r="E18" s="484"/>
      <c r="F18" s="513" t="s">
        <v>3239</v>
      </c>
      <c r="G18" s="483" t="s">
        <v>1708</v>
      </c>
      <c r="H18" s="485">
        <v>445</v>
      </c>
    </row>
    <row r="19" spans="1:8">
      <c r="A19" s="461" t="s">
        <v>1737</v>
      </c>
      <c r="B19" s="483" t="s">
        <v>1738</v>
      </c>
      <c r="C19" s="487">
        <v>1991</v>
      </c>
      <c r="D19" s="483"/>
      <c r="E19" s="484"/>
      <c r="F19" s="482"/>
      <c r="G19" s="483"/>
      <c r="H19" s="485"/>
    </row>
    <row r="20" spans="1:8">
      <c r="A20" s="461" t="s">
        <v>1739</v>
      </c>
      <c r="B20" s="483" t="s">
        <v>1740</v>
      </c>
      <c r="C20" s="487">
        <v>266</v>
      </c>
      <c r="D20" s="483"/>
      <c r="E20" s="484"/>
      <c r="F20" s="482"/>
      <c r="G20" s="483"/>
      <c r="H20" s="485"/>
    </row>
    <row r="21" spans="1:8">
      <c r="A21" s="461" t="s">
        <v>1741</v>
      </c>
      <c r="B21" s="483" t="s">
        <v>1742</v>
      </c>
      <c r="C21" s="487">
        <v>612</v>
      </c>
      <c r="D21" s="483"/>
      <c r="E21" s="484"/>
      <c r="F21" s="482"/>
      <c r="G21" s="483"/>
      <c r="H21" s="485"/>
    </row>
    <row r="22" spans="1:8">
      <c r="A22" s="461" t="s">
        <v>1743</v>
      </c>
      <c r="B22" s="483" t="s">
        <v>1744</v>
      </c>
      <c r="C22" s="487">
        <v>370</v>
      </c>
      <c r="D22" s="483"/>
      <c r="E22" s="484"/>
      <c r="F22" s="482"/>
      <c r="G22" s="483"/>
      <c r="H22" s="485"/>
    </row>
    <row r="23" spans="1:8">
      <c r="A23" s="461" t="s">
        <v>1745</v>
      </c>
      <c r="B23" s="483" t="s">
        <v>1746</v>
      </c>
      <c r="C23" s="487">
        <v>323</v>
      </c>
      <c r="D23" s="483"/>
      <c r="E23" s="484"/>
      <c r="F23" s="482"/>
      <c r="G23" s="483"/>
      <c r="H23" s="485"/>
    </row>
    <row r="24" spans="1:8">
      <c r="A24" s="460" t="s">
        <v>1209</v>
      </c>
      <c r="B24" s="483" t="s">
        <v>3244</v>
      </c>
      <c r="C24" s="485">
        <v>18000</v>
      </c>
      <c r="D24" s="483"/>
      <c r="E24" s="484"/>
      <c r="F24" s="482" t="s">
        <v>1748</v>
      </c>
      <c r="G24" s="483"/>
      <c r="H24" s="485"/>
    </row>
    <row r="25" spans="1:8">
      <c r="A25" s="460" t="s">
        <v>860</v>
      </c>
      <c r="B25" s="483" t="s">
        <v>1749</v>
      </c>
      <c r="C25" s="485">
        <v>101</v>
      </c>
      <c r="D25" s="483"/>
      <c r="E25" s="484"/>
      <c r="F25" s="482" t="s">
        <v>1430</v>
      </c>
      <c r="G25" s="483"/>
      <c r="H25" s="485">
        <v>5.86</v>
      </c>
    </row>
    <row r="26" spans="1:8">
      <c r="A26" s="460" t="s">
        <v>664</v>
      </c>
      <c r="B26" s="483" t="s">
        <v>1750</v>
      </c>
      <c r="C26" s="485">
        <v>130</v>
      </c>
      <c r="D26" s="483"/>
      <c r="E26" s="484"/>
      <c r="F26" s="482" t="s">
        <v>1432</v>
      </c>
      <c r="G26" s="483"/>
      <c r="H26" s="485">
        <v>139.55000000000001</v>
      </c>
    </row>
    <row r="27" spans="1:8">
      <c r="A27" s="460" t="s">
        <v>1751</v>
      </c>
      <c r="B27" s="483" t="s">
        <v>1752</v>
      </c>
      <c r="C27" s="485">
        <v>25</v>
      </c>
      <c r="D27" s="483"/>
      <c r="E27" s="484"/>
      <c r="F27" s="482"/>
      <c r="G27" s="483"/>
      <c r="H27" s="485"/>
    </row>
    <row r="28" spans="1:8">
      <c r="A28" s="482"/>
      <c r="B28" s="483"/>
      <c r="C28" s="483"/>
      <c r="D28" s="483"/>
      <c r="E28" s="1910" t="s">
        <v>1753</v>
      </c>
      <c r="F28" s="1910"/>
      <c r="G28" s="1910"/>
      <c r="H28" s="1910"/>
    </row>
    <row r="29" spans="1:8">
      <c r="A29" s="460" t="s">
        <v>1754</v>
      </c>
      <c r="B29" s="483" t="s">
        <v>1755</v>
      </c>
      <c r="C29" s="485">
        <v>83</v>
      </c>
      <c r="D29" s="483"/>
      <c r="E29" s="488" t="s">
        <v>1756</v>
      </c>
      <c r="F29" s="489" t="s">
        <v>1757</v>
      </c>
      <c r="G29" s="490" t="s">
        <v>1758</v>
      </c>
      <c r="H29" s="490" t="s">
        <v>1759</v>
      </c>
    </row>
    <row r="30" spans="1:8">
      <c r="A30" s="460" t="s">
        <v>1760</v>
      </c>
      <c r="B30" s="483" t="s">
        <v>1761</v>
      </c>
      <c r="C30" s="485">
        <v>566.1</v>
      </c>
      <c r="D30" s="483"/>
      <c r="E30" s="488">
        <v>10.32</v>
      </c>
      <c r="F30" s="490">
        <v>79.459999999999994</v>
      </c>
      <c r="G30" s="490">
        <v>113.78</v>
      </c>
      <c r="H30" s="491">
        <v>148.09</v>
      </c>
    </row>
    <row r="31" spans="1:8" ht="25.5">
      <c r="A31" s="460" t="s">
        <v>1762</v>
      </c>
      <c r="B31" s="483" t="s">
        <v>1763</v>
      </c>
      <c r="C31" s="485">
        <v>223</v>
      </c>
      <c r="D31" s="483"/>
      <c r="E31" s="1910" t="s">
        <v>1764</v>
      </c>
      <c r="F31" s="1910"/>
      <c r="G31" s="1910"/>
      <c r="H31" s="1910"/>
    </row>
    <row r="32" spans="1:8">
      <c r="A32" s="460" t="s">
        <v>38</v>
      </c>
      <c r="B32" s="483" t="s">
        <v>1765</v>
      </c>
      <c r="C32" s="485">
        <v>56</v>
      </c>
      <c r="D32" s="483"/>
      <c r="E32" s="488" t="s">
        <v>1756</v>
      </c>
      <c r="F32" s="489" t="s">
        <v>1757</v>
      </c>
      <c r="G32" s="490" t="s">
        <v>1758</v>
      </c>
      <c r="H32" s="490" t="s">
        <v>1759</v>
      </c>
    </row>
    <row r="33" spans="1:8">
      <c r="A33" s="460" t="s">
        <v>1766</v>
      </c>
      <c r="B33" s="483" t="s">
        <v>1767</v>
      </c>
      <c r="C33" s="485">
        <v>13</v>
      </c>
      <c r="D33" s="483"/>
      <c r="E33" s="488">
        <v>2.46</v>
      </c>
      <c r="F33" s="490">
        <v>15.91</v>
      </c>
      <c r="G33" s="490">
        <v>22.57</v>
      </c>
      <c r="H33" s="491">
        <v>29.23</v>
      </c>
    </row>
    <row r="34" spans="1:8" ht="25.5">
      <c r="A34" s="460" t="s">
        <v>1768</v>
      </c>
      <c r="B34" s="483" t="s">
        <v>1769</v>
      </c>
      <c r="C34" s="485">
        <v>116.3</v>
      </c>
      <c r="D34" s="483"/>
      <c r="E34" s="1910" t="s">
        <v>1770</v>
      </c>
      <c r="F34" s="1910"/>
      <c r="G34" s="1910"/>
      <c r="H34" s="1910"/>
    </row>
    <row r="35" spans="1:8">
      <c r="A35" s="460" t="s">
        <v>1771</v>
      </c>
      <c r="B35" s="483" t="s">
        <v>1772</v>
      </c>
      <c r="C35" s="485">
        <v>27</v>
      </c>
      <c r="D35" s="483"/>
      <c r="E35" s="488" t="s">
        <v>1756</v>
      </c>
      <c r="F35" s="489" t="s">
        <v>1757</v>
      </c>
      <c r="G35" s="490" t="s">
        <v>1758</v>
      </c>
      <c r="H35" s="490" t="s">
        <v>1759</v>
      </c>
    </row>
    <row r="36" spans="1:8">
      <c r="A36" s="460" t="s">
        <v>1773</v>
      </c>
      <c r="B36" s="483" t="s">
        <v>1774</v>
      </c>
      <c r="C36" s="485">
        <v>5</v>
      </c>
      <c r="D36" s="483"/>
      <c r="E36" s="488">
        <v>1.03</v>
      </c>
      <c r="F36" s="490">
        <v>7.95</v>
      </c>
      <c r="G36" s="490">
        <v>11.38</v>
      </c>
      <c r="H36" s="491">
        <v>14.81</v>
      </c>
    </row>
    <row r="37" spans="1:8">
      <c r="A37" s="460" t="s">
        <v>1775</v>
      </c>
      <c r="B37" s="483" t="s">
        <v>1776</v>
      </c>
      <c r="C37" s="485">
        <v>60</v>
      </c>
      <c r="D37" s="483"/>
      <c r="E37" s="484"/>
      <c r="F37" s="483"/>
      <c r="G37" s="483"/>
      <c r="H37" s="485"/>
    </row>
    <row r="38" spans="1:8">
      <c r="A38" s="460" t="s">
        <v>1777</v>
      </c>
      <c r="B38" s="483" t="s">
        <v>1778</v>
      </c>
      <c r="C38" s="485">
        <v>24</v>
      </c>
      <c r="D38" s="483"/>
      <c r="E38" s="484"/>
      <c r="F38" s="483"/>
      <c r="G38" s="483"/>
      <c r="H38" s="485"/>
    </row>
    <row r="39" spans="1:8">
      <c r="A39" s="460" t="s">
        <v>1779</v>
      </c>
      <c r="B39" s="483" t="s">
        <v>1780</v>
      </c>
      <c r="C39" s="485">
        <v>21</v>
      </c>
      <c r="D39" s="483"/>
      <c r="E39" s="484"/>
      <c r="F39" s="482"/>
      <c r="G39" s="483"/>
      <c r="H39" s="485"/>
    </row>
    <row r="40" spans="1:8">
      <c r="A40" s="460" t="s">
        <v>1570</v>
      </c>
      <c r="B40" s="483" t="s">
        <v>1781</v>
      </c>
      <c r="C40" s="485">
        <v>331</v>
      </c>
      <c r="D40" s="483"/>
      <c r="E40" s="460" t="s">
        <v>1782</v>
      </c>
      <c r="F40" s="483" t="s">
        <v>1783</v>
      </c>
      <c r="G40" s="485">
        <v>550</v>
      </c>
      <c r="H40" s="485"/>
    </row>
    <row r="41" spans="1:8" ht="25.5">
      <c r="A41" s="460" t="s">
        <v>1784</v>
      </c>
      <c r="B41" s="483" t="s">
        <v>1785</v>
      </c>
      <c r="C41" s="485">
        <v>131</v>
      </c>
      <c r="D41" s="483"/>
      <c r="E41" s="484" t="s">
        <v>1786</v>
      </c>
      <c r="F41" s="483" t="s">
        <v>1787</v>
      </c>
      <c r="G41" s="485">
        <v>141</v>
      </c>
      <c r="H41" s="485"/>
    </row>
    <row r="42" spans="1:8" ht="25.5">
      <c r="A42" s="460" t="s">
        <v>1788</v>
      </c>
      <c r="B42" s="483" t="s">
        <v>1789</v>
      </c>
      <c r="C42" s="485">
        <v>187</v>
      </c>
      <c r="D42" s="483"/>
      <c r="E42" s="484" t="s">
        <v>1786</v>
      </c>
      <c r="F42" s="483" t="s">
        <v>1790</v>
      </c>
      <c r="G42" s="485">
        <v>180</v>
      </c>
      <c r="H42" s="485"/>
    </row>
    <row r="43" spans="1:8" ht="38.25">
      <c r="A43" s="460" t="s">
        <v>1791</v>
      </c>
      <c r="B43" s="483" t="s">
        <v>1792</v>
      </c>
      <c r="C43" s="485">
        <v>17</v>
      </c>
      <c r="D43" s="483"/>
      <c r="E43" s="484" t="s">
        <v>1372</v>
      </c>
      <c r="F43" s="483" t="s">
        <v>1793</v>
      </c>
      <c r="G43" s="485">
        <v>168</v>
      </c>
      <c r="H43" s="485"/>
    </row>
    <row r="44" spans="1:8" ht="38.25">
      <c r="A44" s="460" t="s">
        <v>1794</v>
      </c>
      <c r="B44" s="483" t="s">
        <v>3459</v>
      </c>
      <c r="C44" s="485">
        <v>72</v>
      </c>
      <c r="D44" s="483"/>
      <c r="E44" s="484" t="s">
        <v>1372</v>
      </c>
      <c r="F44" s="483" t="s">
        <v>1795</v>
      </c>
      <c r="G44" s="485">
        <v>194</v>
      </c>
      <c r="H44" s="485"/>
    </row>
    <row r="45" spans="1:8">
      <c r="A45" s="460" t="s">
        <v>670</v>
      </c>
      <c r="B45" s="483" t="s">
        <v>1796</v>
      </c>
      <c r="C45" s="485">
        <v>27.95</v>
      </c>
      <c r="D45" s="483"/>
      <c r="E45" s="484" t="s">
        <v>1797</v>
      </c>
      <c r="F45" s="483" t="s">
        <v>1798</v>
      </c>
      <c r="G45" s="485">
        <v>130</v>
      </c>
      <c r="H45" s="485"/>
    </row>
    <row r="46" spans="1:8">
      <c r="A46" s="460" t="s">
        <v>1799</v>
      </c>
      <c r="B46" s="483" t="s">
        <v>1800</v>
      </c>
      <c r="C46" s="485">
        <v>412</v>
      </c>
      <c r="D46" s="483"/>
      <c r="E46" s="484" t="s">
        <v>1801</v>
      </c>
      <c r="F46" s="483" t="s">
        <v>1802</v>
      </c>
      <c r="G46" s="485">
        <v>248</v>
      </c>
      <c r="H46" s="485"/>
    </row>
    <row r="47" spans="1:8" ht="38.25">
      <c r="A47" s="482" t="s">
        <v>1803</v>
      </c>
      <c r="B47" s="483" t="s">
        <v>1373</v>
      </c>
      <c r="C47" s="483">
        <v>3198</v>
      </c>
      <c r="D47" s="483"/>
      <c r="E47" s="484" t="s">
        <v>1804</v>
      </c>
      <c r="F47" s="483" t="s">
        <v>1805</v>
      </c>
      <c r="G47" s="485">
        <v>708</v>
      </c>
      <c r="H47" s="485"/>
    </row>
    <row r="48" spans="1:8" ht="38.25">
      <c r="A48" s="460" t="s">
        <v>1806</v>
      </c>
      <c r="B48" s="483" t="s">
        <v>1427</v>
      </c>
      <c r="C48" s="485">
        <v>250</v>
      </c>
      <c r="D48" s="483"/>
      <c r="E48" s="484" t="s">
        <v>1425</v>
      </c>
      <c r="F48" s="483" t="s">
        <v>1424</v>
      </c>
      <c r="G48" s="485">
        <v>244</v>
      </c>
      <c r="H48" s="485"/>
    </row>
    <row r="49" spans="1:8">
      <c r="A49" s="460" t="s">
        <v>1807</v>
      </c>
      <c r="B49" s="483" t="s">
        <v>1429</v>
      </c>
      <c r="C49" s="485">
        <v>130</v>
      </c>
      <c r="D49" s="483"/>
      <c r="E49" s="484"/>
      <c r="F49" s="482"/>
      <c r="G49" s="483"/>
      <c r="H49" s="485"/>
    </row>
    <row r="50" spans="1:8">
      <c r="A50" s="460"/>
      <c r="B50" s="483"/>
      <c r="C50" s="485"/>
      <c r="D50" s="483"/>
      <c r="E50" s="484"/>
      <c r="F50" s="482"/>
      <c r="G50" s="483"/>
      <c r="H50" s="485"/>
    </row>
    <row r="51" spans="1:8">
      <c r="A51" s="482"/>
      <c r="B51" s="483"/>
      <c r="C51" s="483" t="s">
        <v>1756</v>
      </c>
      <c r="D51" s="483" t="s">
        <v>1808</v>
      </c>
      <c r="E51" s="484"/>
      <c r="F51" s="482"/>
      <c r="G51" s="483"/>
      <c r="H51" s="485"/>
    </row>
    <row r="52" spans="1:8">
      <c r="A52" s="460" t="s">
        <v>152</v>
      </c>
      <c r="B52" s="483"/>
      <c r="C52" s="483">
        <v>288</v>
      </c>
      <c r="D52" s="483">
        <v>631</v>
      </c>
      <c r="E52" s="484"/>
      <c r="F52" s="482"/>
      <c r="G52" s="483"/>
      <c r="H52" s="485"/>
    </row>
    <row r="53" spans="1:8">
      <c r="A53" s="460" t="s">
        <v>1809</v>
      </c>
      <c r="B53" s="483"/>
      <c r="C53" s="483">
        <v>64</v>
      </c>
      <c r="D53" s="483">
        <v>341</v>
      </c>
      <c r="E53" s="484"/>
      <c r="F53" s="482"/>
      <c r="G53" s="483"/>
      <c r="H53" s="485"/>
    </row>
    <row r="54" spans="1:8">
      <c r="A54" s="460" t="s">
        <v>1810</v>
      </c>
      <c r="B54" s="483"/>
      <c r="C54" s="483">
        <v>328</v>
      </c>
      <c r="D54" s="483">
        <v>1004</v>
      </c>
      <c r="E54" s="484"/>
      <c r="F54" s="482"/>
      <c r="G54" s="483"/>
      <c r="H54" s="485"/>
    </row>
    <row r="55" spans="1:8">
      <c r="A55" s="460" t="s">
        <v>1436</v>
      </c>
      <c r="B55" s="483"/>
      <c r="C55" s="483">
        <v>1390</v>
      </c>
      <c r="D55" s="483">
        <v>1521</v>
      </c>
      <c r="E55" s="484"/>
      <c r="F55" s="482"/>
      <c r="G55" s="483"/>
      <c r="H55" s="485"/>
    </row>
    <row r="56" spans="1:8">
      <c r="A56" s="482"/>
      <c r="B56" s="483"/>
      <c r="C56" s="483"/>
      <c r="D56" s="483" t="s">
        <v>161</v>
      </c>
      <c r="E56" s="483" t="s">
        <v>162</v>
      </c>
      <c r="F56" s="483" t="s">
        <v>163</v>
      </c>
      <c r="G56" s="483"/>
      <c r="H56" s="485"/>
    </row>
    <row r="57" spans="1:8">
      <c r="A57" s="460" t="s">
        <v>1435</v>
      </c>
      <c r="B57" s="483"/>
      <c r="C57" s="483">
        <v>355</v>
      </c>
      <c r="D57" s="483">
        <v>2268</v>
      </c>
      <c r="E57" s="483">
        <v>2495</v>
      </c>
      <c r="F57" s="483">
        <v>2722</v>
      </c>
      <c r="G57" s="483"/>
      <c r="H57" s="485"/>
    </row>
    <row r="58" spans="1:8">
      <c r="A58" s="460" t="s">
        <v>866</v>
      </c>
      <c r="B58" s="483"/>
      <c r="C58" s="483">
        <v>1180</v>
      </c>
      <c r="D58" s="483">
        <v>1615</v>
      </c>
      <c r="E58" s="483">
        <v>1777</v>
      </c>
      <c r="F58" s="483">
        <v>1938</v>
      </c>
      <c r="G58" s="483"/>
      <c r="H58" s="485"/>
    </row>
    <row r="59" spans="1:8">
      <c r="A59" s="460" t="s">
        <v>1542</v>
      </c>
      <c r="B59" s="483"/>
      <c r="C59" s="483">
        <v>233</v>
      </c>
      <c r="D59" s="483">
        <v>248</v>
      </c>
      <c r="E59" s="483">
        <v>273</v>
      </c>
      <c r="F59" s="483">
        <v>298</v>
      </c>
      <c r="G59" s="483"/>
      <c r="H59" s="485"/>
    </row>
    <row r="60" spans="1:8">
      <c r="A60" s="460" t="s">
        <v>1811</v>
      </c>
      <c r="B60" s="483"/>
      <c r="C60" s="483">
        <v>2085</v>
      </c>
      <c r="D60" s="483">
        <v>1903</v>
      </c>
      <c r="E60" s="483">
        <v>2093</v>
      </c>
      <c r="F60" s="483">
        <v>2284</v>
      </c>
      <c r="G60" s="483"/>
      <c r="H60" s="485"/>
    </row>
    <row r="61" spans="1:8">
      <c r="A61" s="460" t="s">
        <v>1812</v>
      </c>
      <c r="B61" s="483"/>
      <c r="C61" s="483">
        <v>236</v>
      </c>
      <c r="D61" s="483">
        <v>226</v>
      </c>
      <c r="E61" s="483">
        <v>237</v>
      </c>
      <c r="F61" s="483">
        <v>258</v>
      </c>
      <c r="G61" s="483"/>
      <c r="H61" s="485"/>
    </row>
    <row r="62" spans="1:8">
      <c r="A62" s="460" t="s">
        <v>1813</v>
      </c>
      <c r="B62" s="483"/>
      <c r="C62" s="483">
        <v>243</v>
      </c>
      <c r="D62" s="483">
        <v>233</v>
      </c>
      <c r="E62" s="483">
        <v>244</v>
      </c>
      <c r="F62" s="483">
        <v>266</v>
      </c>
      <c r="G62" s="483"/>
      <c r="H62" s="485"/>
    </row>
    <row r="63" spans="1:8">
      <c r="A63" s="482"/>
      <c r="B63" s="483"/>
      <c r="C63" s="483"/>
      <c r="D63" s="483"/>
      <c r="E63" s="484"/>
      <c r="F63" s="483"/>
      <c r="G63" s="483"/>
      <c r="H63" s="485"/>
    </row>
    <row r="64" spans="1:8">
      <c r="A64" s="482"/>
      <c r="B64" s="483"/>
      <c r="C64" s="483"/>
      <c r="D64" s="483"/>
      <c r="E64" s="484"/>
      <c r="F64" s="483"/>
      <c r="G64" s="483"/>
      <c r="H64" s="485"/>
    </row>
    <row r="65" spans="1:8">
      <c r="A65" s="482"/>
      <c r="B65" s="483"/>
      <c r="C65" s="483"/>
      <c r="D65" s="483"/>
      <c r="E65" s="484"/>
      <c r="F65" s="482"/>
      <c r="G65" s="483"/>
      <c r="H65" s="485"/>
    </row>
    <row r="66" spans="1:8" ht="24">
      <c r="A66" s="462" t="s">
        <v>1814</v>
      </c>
      <c r="B66" s="483" t="s">
        <v>1815</v>
      </c>
      <c r="C66" s="485">
        <v>1784</v>
      </c>
      <c r="D66" s="483"/>
      <c r="E66" s="484"/>
      <c r="F66" s="482" t="s">
        <v>1816</v>
      </c>
      <c r="G66" s="483" t="s">
        <v>1817</v>
      </c>
      <c r="H66" s="485">
        <v>5</v>
      </c>
    </row>
    <row r="67" spans="1:8" ht="24">
      <c r="A67" s="462" t="s">
        <v>1818</v>
      </c>
      <c r="B67" s="483" t="s">
        <v>1819</v>
      </c>
      <c r="C67" s="485">
        <v>2226</v>
      </c>
      <c r="D67" s="483"/>
      <c r="E67" s="484"/>
      <c r="F67" s="482" t="s">
        <v>1820</v>
      </c>
      <c r="G67" s="483" t="s">
        <v>1821</v>
      </c>
      <c r="H67" s="485">
        <v>1</v>
      </c>
    </row>
    <row r="68" spans="1:8">
      <c r="A68" s="462" t="s">
        <v>1822</v>
      </c>
      <c r="B68" s="483" t="s">
        <v>1823</v>
      </c>
      <c r="C68" s="485">
        <v>766</v>
      </c>
      <c r="D68" s="483"/>
      <c r="E68" s="484"/>
      <c r="F68" s="462" t="s">
        <v>1824</v>
      </c>
      <c r="G68" s="483" t="s">
        <v>1825</v>
      </c>
      <c r="H68" s="485">
        <v>53</v>
      </c>
    </row>
    <row r="69" spans="1:8">
      <c r="A69" s="482" t="s">
        <v>1826</v>
      </c>
      <c r="B69" s="483" t="s">
        <v>1827</v>
      </c>
      <c r="C69" s="485">
        <v>934</v>
      </c>
      <c r="D69" s="483"/>
      <c r="E69" s="484"/>
      <c r="F69" s="462" t="s">
        <v>1828</v>
      </c>
      <c r="G69" s="483" t="s">
        <v>1829</v>
      </c>
      <c r="H69" s="485">
        <v>85</v>
      </c>
    </row>
    <row r="70" spans="1:8">
      <c r="A70" s="482" t="s">
        <v>1830</v>
      </c>
      <c r="B70" s="483" t="s">
        <v>1831</v>
      </c>
      <c r="C70" s="485">
        <v>2385</v>
      </c>
      <c r="D70" s="483"/>
      <c r="E70" s="484"/>
      <c r="F70" s="462" t="s">
        <v>1832</v>
      </c>
      <c r="G70" s="483" t="s">
        <v>1833</v>
      </c>
      <c r="H70" s="485">
        <v>123</v>
      </c>
    </row>
    <row r="71" spans="1:8">
      <c r="A71" s="482" t="s">
        <v>1834</v>
      </c>
      <c r="B71" s="483" t="s">
        <v>1835</v>
      </c>
      <c r="C71" s="485">
        <v>1370</v>
      </c>
      <c r="D71" s="483"/>
      <c r="E71" s="484"/>
      <c r="F71" s="462" t="s">
        <v>1836</v>
      </c>
      <c r="G71" s="483" t="s">
        <v>1837</v>
      </c>
      <c r="H71" s="485">
        <v>193</v>
      </c>
    </row>
    <row r="72" spans="1:8">
      <c r="A72" s="482" t="s">
        <v>1838</v>
      </c>
      <c r="B72" s="483" t="s">
        <v>1839</v>
      </c>
      <c r="C72" s="485">
        <v>349</v>
      </c>
      <c r="D72" s="483"/>
      <c r="E72" s="484"/>
      <c r="F72" s="462" t="s">
        <v>1840</v>
      </c>
      <c r="G72" s="483" t="s">
        <v>1841</v>
      </c>
      <c r="H72" s="485">
        <v>24</v>
      </c>
    </row>
    <row r="73" spans="1:8">
      <c r="A73" s="482" t="s">
        <v>1842</v>
      </c>
      <c r="B73" s="483" t="s">
        <v>1843</v>
      </c>
      <c r="C73" s="485">
        <v>86</v>
      </c>
      <c r="D73" s="483"/>
      <c r="E73" s="484"/>
      <c r="F73" s="482" t="s">
        <v>1844</v>
      </c>
      <c r="G73" s="483" t="s">
        <v>1845</v>
      </c>
      <c r="H73" s="485">
        <v>31</v>
      </c>
    </row>
    <row r="74" spans="1:8">
      <c r="A74" s="482" t="s">
        <v>1846</v>
      </c>
      <c r="B74" s="483" t="s">
        <v>1847</v>
      </c>
      <c r="C74" s="485">
        <v>22</v>
      </c>
      <c r="D74" s="483"/>
      <c r="E74" s="484"/>
      <c r="F74" s="482" t="s">
        <v>1848</v>
      </c>
      <c r="G74" s="483" t="s">
        <v>1849</v>
      </c>
      <c r="H74" s="485">
        <v>1051</v>
      </c>
    </row>
    <row r="75" spans="1:8">
      <c r="A75" s="482" t="s">
        <v>1446</v>
      </c>
      <c r="B75" s="483" t="s">
        <v>1850</v>
      </c>
      <c r="C75" s="485">
        <v>86</v>
      </c>
      <c r="D75" s="483"/>
      <c r="E75" s="484"/>
      <c r="F75" s="482" t="s">
        <v>1851</v>
      </c>
      <c r="G75" s="483" t="s">
        <v>1852</v>
      </c>
      <c r="H75" s="485">
        <v>70</v>
      </c>
    </row>
    <row r="76" spans="1:8" ht="25.5">
      <c r="A76" s="482" t="s">
        <v>1853</v>
      </c>
      <c r="B76" s="483" t="s">
        <v>1854</v>
      </c>
      <c r="C76" s="485">
        <v>29</v>
      </c>
      <c r="D76" s="483"/>
      <c r="E76" s="484"/>
      <c r="F76" s="482" t="s">
        <v>1855</v>
      </c>
      <c r="G76" s="483" t="s">
        <v>1856</v>
      </c>
      <c r="H76" s="485">
        <v>15</v>
      </c>
    </row>
    <row r="77" spans="1:8" ht="25.5">
      <c r="A77" s="482" t="s">
        <v>1857</v>
      </c>
      <c r="B77" s="483" t="s">
        <v>1858</v>
      </c>
      <c r="C77" s="485">
        <v>117</v>
      </c>
      <c r="D77" s="483"/>
      <c r="E77" s="484"/>
      <c r="F77" s="482"/>
      <c r="G77" s="483"/>
      <c r="H77" s="485"/>
    </row>
    <row r="78" spans="1:8">
      <c r="A78" s="482" t="s">
        <v>1443</v>
      </c>
      <c r="B78" s="483" t="s">
        <v>1859</v>
      </c>
      <c r="C78" s="485">
        <v>410</v>
      </c>
      <c r="D78" s="483"/>
      <c r="E78" s="484"/>
      <c r="F78" s="482"/>
      <c r="G78" s="483"/>
      <c r="H78" s="485"/>
    </row>
    <row r="79" spans="1:8" ht="25.5">
      <c r="A79" s="482" t="s">
        <v>1444</v>
      </c>
      <c r="B79" s="483" t="s">
        <v>1860</v>
      </c>
      <c r="C79" s="485">
        <v>389</v>
      </c>
      <c r="D79" s="483"/>
      <c r="E79" s="484"/>
      <c r="F79" s="482" t="s">
        <v>2265</v>
      </c>
      <c r="G79" s="483" t="s">
        <v>2266</v>
      </c>
      <c r="H79" s="485">
        <v>311</v>
      </c>
    </row>
    <row r="80" spans="1:8">
      <c r="A80" s="482" t="s">
        <v>1445</v>
      </c>
      <c r="B80" s="483" t="s">
        <v>1861</v>
      </c>
      <c r="C80" s="485">
        <v>244</v>
      </c>
      <c r="D80" s="483"/>
      <c r="E80" s="484"/>
      <c r="F80" s="482" t="s">
        <v>2267</v>
      </c>
      <c r="G80" s="483" t="s">
        <v>2268</v>
      </c>
      <c r="H80" s="485">
        <v>178</v>
      </c>
    </row>
    <row r="81" spans="1:8">
      <c r="A81" s="482" t="s">
        <v>1862</v>
      </c>
      <c r="B81" s="483" t="s">
        <v>1863</v>
      </c>
      <c r="C81" s="485">
        <v>70</v>
      </c>
      <c r="D81" s="483"/>
      <c r="E81" s="484"/>
      <c r="F81" s="482"/>
      <c r="G81" s="483"/>
      <c r="H81" s="485"/>
    </row>
    <row r="82" spans="1:8">
      <c r="A82" s="482" t="s">
        <v>1864</v>
      </c>
      <c r="B82" s="483" t="s">
        <v>1865</v>
      </c>
      <c r="C82" s="485">
        <v>1483</v>
      </c>
      <c r="D82" s="483"/>
      <c r="E82" s="484"/>
      <c r="F82" s="482"/>
      <c r="G82" s="483"/>
      <c r="H82" s="485"/>
    </row>
    <row r="83" spans="1:8">
      <c r="A83" s="482" t="s">
        <v>1866</v>
      </c>
      <c r="B83" s="483" t="s">
        <v>1867</v>
      </c>
      <c r="C83" s="485">
        <v>3758</v>
      </c>
      <c r="D83" s="483"/>
      <c r="E83" s="484"/>
      <c r="F83" s="482"/>
      <c r="G83" s="483"/>
      <c r="H83" s="485"/>
    </row>
    <row r="84" spans="1:8">
      <c r="A84" s="482"/>
      <c r="B84" s="483"/>
      <c r="C84" s="483"/>
      <c r="D84" s="483"/>
      <c r="E84" s="484"/>
      <c r="F84" s="482"/>
      <c r="G84" s="483"/>
      <c r="H84" s="485"/>
    </row>
    <row r="85" spans="1:8">
      <c r="A85" s="482"/>
      <c r="B85" s="483"/>
      <c r="C85" s="483"/>
      <c r="D85" s="483"/>
      <c r="E85" s="484"/>
      <c r="F85" s="482"/>
      <c r="G85" s="483"/>
      <c r="H85" s="485"/>
    </row>
    <row r="86" spans="1:8">
      <c r="A86" s="482" t="s">
        <v>1868</v>
      </c>
      <c r="B86" s="483" t="s">
        <v>1869</v>
      </c>
      <c r="C86" s="485">
        <v>446.4</v>
      </c>
      <c r="D86" s="483"/>
      <c r="E86" s="484"/>
      <c r="F86" s="482"/>
      <c r="G86" s="483"/>
      <c r="H86" s="485"/>
    </row>
    <row r="87" spans="1:8">
      <c r="A87" s="482" t="s">
        <v>1870</v>
      </c>
      <c r="B87" s="483"/>
      <c r="C87" s="485">
        <v>477.6</v>
      </c>
      <c r="D87" s="483"/>
      <c r="E87" s="484"/>
      <c r="F87" s="482"/>
      <c r="G87" s="483"/>
      <c r="H87" s="485"/>
    </row>
    <row r="88" spans="1:8">
      <c r="A88" s="482" t="s">
        <v>1871</v>
      </c>
      <c r="B88" s="483"/>
      <c r="C88" s="485">
        <v>535.70000000000005</v>
      </c>
      <c r="D88" s="483"/>
      <c r="E88" s="484"/>
      <c r="F88" s="482"/>
      <c r="G88" s="483"/>
      <c r="H88" s="485"/>
    </row>
    <row r="89" spans="1:8">
      <c r="A89" s="482" t="s">
        <v>1872</v>
      </c>
      <c r="B89" s="483" t="s">
        <v>1873</v>
      </c>
      <c r="C89" s="485">
        <v>24300</v>
      </c>
      <c r="D89" s="483"/>
      <c r="E89" s="484"/>
      <c r="F89" s="482"/>
      <c r="G89" s="483"/>
      <c r="H89" s="485"/>
    </row>
    <row r="90" spans="1:8">
      <c r="A90" s="482" t="s">
        <v>1872</v>
      </c>
      <c r="B90" s="483" t="s">
        <v>1874</v>
      </c>
      <c r="C90" s="485">
        <v>16700</v>
      </c>
      <c r="D90" s="483"/>
      <c r="E90" s="484"/>
      <c r="F90" s="482"/>
      <c r="G90" s="483"/>
      <c r="H90" s="485"/>
    </row>
    <row r="91" spans="1:8">
      <c r="A91" s="482" t="s">
        <v>1875</v>
      </c>
      <c r="B91" s="483" t="s">
        <v>1876</v>
      </c>
      <c r="C91" s="485">
        <v>325</v>
      </c>
      <c r="D91" s="483"/>
      <c r="E91" s="484"/>
      <c r="F91" s="482"/>
      <c r="G91" s="483"/>
      <c r="H91" s="485"/>
    </row>
    <row r="92" spans="1:8">
      <c r="A92" s="482" t="s">
        <v>1877</v>
      </c>
      <c r="B92" s="483" t="s">
        <v>1878</v>
      </c>
      <c r="C92" s="485">
        <v>59</v>
      </c>
      <c r="D92" s="483"/>
      <c r="E92" s="484"/>
      <c r="F92" s="482"/>
      <c r="G92" s="483"/>
      <c r="H92" s="485"/>
    </row>
    <row r="93" spans="1:8">
      <c r="A93" s="482" t="s">
        <v>1879</v>
      </c>
      <c r="B93" s="483" t="s">
        <v>1880</v>
      </c>
      <c r="C93" s="485">
        <v>175</v>
      </c>
      <c r="D93" s="483"/>
      <c r="E93" s="484"/>
      <c r="F93" s="482"/>
      <c r="G93" s="483"/>
      <c r="H93" s="485"/>
    </row>
    <row r="94" spans="1:8">
      <c r="A94" s="482" t="s">
        <v>1447</v>
      </c>
      <c r="B94" s="483" t="s">
        <v>1876</v>
      </c>
      <c r="C94" s="485">
        <v>300</v>
      </c>
      <c r="D94" s="483"/>
      <c r="E94" s="484"/>
      <c r="F94" s="482"/>
      <c r="G94" s="483"/>
      <c r="H94" s="485"/>
    </row>
    <row r="95" spans="1:8">
      <c r="A95" s="482" t="s">
        <v>1881</v>
      </c>
      <c r="B95" s="483" t="s">
        <v>1876</v>
      </c>
      <c r="C95" s="485">
        <v>400</v>
      </c>
      <c r="D95" s="483"/>
      <c r="E95" s="484"/>
      <c r="F95" s="482"/>
      <c r="G95" s="483"/>
      <c r="H95" s="485"/>
    </row>
    <row r="96" spans="1:8">
      <c r="A96" s="482" t="s">
        <v>1882</v>
      </c>
      <c r="B96" s="483" t="s">
        <v>1883</v>
      </c>
      <c r="C96" s="485">
        <v>70</v>
      </c>
      <c r="D96" s="483"/>
      <c r="E96" s="484"/>
      <c r="F96" s="482"/>
      <c r="G96" s="483"/>
      <c r="H96" s="485"/>
    </row>
    <row r="97" spans="1:8">
      <c r="A97" s="482" t="s">
        <v>1884</v>
      </c>
      <c r="B97" s="483" t="s">
        <v>1885</v>
      </c>
      <c r="C97" s="485">
        <v>80</v>
      </c>
      <c r="D97" s="483"/>
      <c r="E97" s="484"/>
      <c r="F97" s="482"/>
      <c r="G97" s="483"/>
      <c r="H97" s="485"/>
    </row>
    <row r="98" spans="1:8">
      <c r="A98" s="482" t="s">
        <v>1886</v>
      </c>
      <c r="B98" s="483" t="s">
        <v>1887</v>
      </c>
      <c r="C98" s="485">
        <v>4500</v>
      </c>
      <c r="D98" s="483"/>
      <c r="E98" s="484"/>
      <c r="F98" s="482"/>
      <c r="G98" s="483"/>
      <c r="H98" s="485"/>
    </row>
    <row r="99" spans="1:8" ht="22.5">
      <c r="A99" s="422" t="s">
        <v>1499</v>
      </c>
      <c r="B99" s="423" t="s">
        <v>3245</v>
      </c>
      <c r="C99" s="416">
        <v>65</v>
      </c>
      <c r="D99" s="483"/>
      <c r="E99" s="484"/>
      <c r="F99" s="482"/>
      <c r="G99" s="483"/>
      <c r="H99" s="485"/>
    </row>
    <row r="100" spans="1:8" ht="22.5">
      <c r="A100" s="492" t="s">
        <v>3246</v>
      </c>
      <c r="B100" s="493" t="s">
        <v>1503</v>
      </c>
      <c r="C100" s="485">
        <v>20</v>
      </c>
      <c r="D100" s="483"/>
      <c r="E100" s="484"/>
      <c r="F100" s="482"/>
      <c r="G100" s="483"/>
      <c r="H100" s="485"/>
    </row>
    <row r="101" spans="1:8">
      <c r="A101" s="492" t="s">
        <v>1500</v>
      </c>
      <c r="B101" s="493" t="s">
        <v>1504</v>
      </c>
      <c r="C101" s="485">
        <v>8</v>
      </c>
      <c r="D101" s="483"/>
      <c r="E101" s="484"/>
      <c r="F101" s="482"/>
      <c r="G101" s="483"/>
      <c r="H101" s="485"/>
    </row>
    <row r="102" spans="1:8" ht="22.5">
      <c r="A102" s="492" t="s">
        <v>1509</v>
      </c>
      <c r="B102" s="493" t="s">
        <v>1505</v>
      </c>
      <c r="C102" s="485">
        <v>25</v>
      </c>
      <c r="D102" s="483"/>
      <c r="E102" s="484"/>
      <c r="F102" s="482"/>
      <c r="G102" s="483"/>
      <c r="H102" s="485"/>
    </row>
    <row r="103" spans="1:8">
      <c r="A103" s="494" t="s">
        <v>1507</v>
      </c>
      <c r="B103" s="493" t="s">
        <v>1511</v>
      </c>
      <c r="C103" s="485">
        <v>30</v>
      </c>
      <c r="D103" s="483"/>
      <c r="E103" s="484"/>
      <c r="F103" s="482"/>
      <c r="G103" s="483"/>
      <c r="H103" s="485"/>
    </row>
    <row r="104" spans="1:8">
      <c r="A104" s="482" t="s">
        <v>1888</v>
      </c>
      <c r="B104" s="483" t="s">
        <v>1889</v>
      </c>
      <c r="C104" s="485">
        <v>55</v>
      </c>
      <c r="D104" s="483"/>
      <c r="E104" s="484"/>
      <c r="F104" s="482"/>
      <c r="G104" s="483"/>
      <c r="H104" s="485"/>
    </row>
    <row r="105" spans="1:8">
      <c r="A105" s="482"/>
      <c r="B105" s="483"/>
      <c r="C105" s="483" t="s">
        <v>1890</v>
      </c>
      <c r="D105" s="482"/>
      <c r="E105" s="483" t="s">
        <v>1891</v>
      </c>
      <c r="F105" s="482"/>
      <c r="G105" s="483"/>
      <c r="H105" s="485"/>
    </row>
    <row r="106" spans="1:8">
      <c r="A106" s="482" t="s">
        <v>1448</v>
      </c>
      <c r="B106" s="483" t="s">
        <v>1892</v>
      </c>
      <c r="C106" s="485">
        <v>205</v>
      </c>
      <c r="D106" s="483" t="s">
        <v>1893</v>
      </c>
      <c r="E106" s="485">
        <v>190</v>
      </c>
      <c r="F106" s="482"/>
      <c r="G106" s="483"/>
      <c r="H106" s="485"/>
    </row>
    <row r="107" spans="1:8">
      <c r="A107" s="482" t="s">
        <v>1449</v>
      </c>
      <c r="B107" s="483" t="s">
        <v>1894</v>
      </c>
      <c r="C107" s="485">
        <v>170</v>
      </c>
      <c r="D107" s="483" t="s">
        <v>1895</v>
      </c>
      <c r="E107" s="485">
        <v>155</v>
      </c>
      <c r="F107" s="482"/>
      <c r="G107" s="483"/>
      <c r="H107" s="485"/>
    </row>
    <row r="108" spans="1:8">
      <c r="A108" s="482" t="s">
        <v>1450</v>
      </c>
      <c r="B108" s="483" t="s">
        <v>1896</v>
      </c>
      <c r="C108" s="485">
        <v>130</v>
      </c>
      <c r="D108" s="483" t="s">
        <v>1897</v>
      </c>
      <c r="E108" s="485">
        <v>120</v>
      </c>
      <c r="F108" s="482"/>
      <c r="G108" s="483"/>
      <c r="H108" s="485"/>
    </row>
    <row r="109" spans="1:8">
      <c r="A109" s="482" t="s">
        <v>1452</v>
      </c>
      <c r="B109" s="483" t="s">
        <v>1898</v>
      </c>
      <c r="C109" s="485">
        <v>95</v>
      </c>
      <c r="D109" s="483" t="s">
        <v>1899</v>
      </c>
      <c r="E109" s="485">
        <v>80</v>
      </c>
      <c r="F109" s="482"/>
      <c r="G109" s="483"/>
      <c r="H109" s="485"/>
    </row>
    <row r="110" spans="1:8">
      <c r="A110" s="482" t="s">
        <v>1900</v>
      </c>
      <c r="B110" s="483"/>
      <c r="C110" s="485">
        <f>C106+C108</f>
        <v>335</v>
      </c>
      <c r="D110" s="483"/>
      <c r="E110" s="485">
        <f>E106+E108</f>
        <v>310</v>
      </c>
      <c r="F110" s="482"/>
      <c r="G110" s="483"/>
      <c r="H110" s="485"/>
    </row>
    <row r="111" spans="1:8">
      <c r="A111" s="482" t="s">
        <v>1901</v>
      </c>
      <c r="B111" s="483"/>
      <c r="C111" s="485">
        <f>C106+C109</f>
        <v>300</v>
      </c>
      <c r="D111" s="483"/>
      <c r="E111" s="485">
        <f>E106+E109</f>
        <v>270</v>
      </c>
      <c r="F111" s="482"/>
      <c r="G111" s="483"/>
      <c r="H111" s="485"/>
    </row>
    <row r="112" spans="1:8">
      <c r="A112" s="482" t="s">
        <v>1902</v>
      </c>
      <c r="B112" s="483" t="s">
        <v>1903</v>
      </c>
      <c r="C112" s="485">
        <v>57</v>
      </c>
      <c r="D112" s="483" t="s">
        <v>1904</v>
      </c>
      <c r="E112" s="485">
        <v>60</v>
      </c>
      <c r="F112" s="482"/>
      <c r="G112" s="483"/>
      <c r="H112" s="485"/>
    </row>
    <row r="113" spans="1:8">
      <c r="A113" s="482"/>
      <c r="B113" s="483"/>
      <c r="C113" s="483"/>
      <c r="D113" s="483"/>
      <c r="E113" s="484"/>
      <c r="F113" s="482"/>
      <c r="G113" s="483"/>
      <c r="H113" s="485"/>
    </row>
    <row r="114" spans="1:8" ht="25.5">
      <c r="A114" s="482" t="s">
        <v>1905</v>
      </c>
      <c r="B114" s="483" t="s">
        <v>1906</v>
      </c>
      <c r="C114" s="485">
        <v>18</v>
      </c>
      <c r="D114" s="483"/>
      <c r="E114" s="484" t="s">
        <v>1907</v>
      </c>
      <c r="F114" s="482" t="s">
        <v>1908</v>
      </c>
      <c r="G114" s="485">
        <v>18</v>
      </c>
      <c r="H114" s="485"/>
    </row>
    <row r="115" spans="1:8" ht="25.5">
      <c r="A115" s="482" t="s">
        <v>1455</v>
      </c>
      <c r="B115" s="483" t="s">
        <v>1909</v>
      </c>
      <c r="C115" s="485">
        <v>1290</v>
      </c>
      <c r="D115" s="483"/>
      <c r="E115" s="484" t="s">
        <v>1910</v>
      </c>
      <c r="F115" s="482" t="s">
        <v>1911</v>
      </c>
      <c r="G115" s="485">
        <v>50</v>
      </c>
      <c r="H115" s="485"/>
    </row>
    <row r="116" spans="1:8" ht="25.5">
      <c r="A116" s="482" t="s">
        <v>1912</v>
      </c>
      <c r="B116" s="483" t="s">
        <v>1913</v>
      </c>
      <c r="C116" s="485">
        <v>15</v>
      </c>
      <c r="D116" s="483"/>
      <c r="E116" s="484" t="s">
        <v>1914</v>
      </c>
      <c r="F116" s="482" t="s">
        <v>1915</v>
      </c>
      <c r="G116" s="485">
        <v>950</v>
      </c>
      <c r="H116" s="485"/>
    </row>
    <row r="117" spans="1:8" ht="25.5">
      <c r="A117" s="482" t="s">
        <v>1916</v>
      </c>
      <c r="B117" s="483" t="s">
        <v>1917</v>
      </c>
      <c r="C117" s="485">
        <v>18</v>
      </c>
      <c r="D117" s="483"/>
      <c r="E117" s="484" t="s">
        <v>1918</v>
      </c>
      <c r="F117" s="482" t="s">
        <v>1919</v>
      </c>
      <c r="G117" s="485">
        <v>180</v>
      </c>
      <c r="H117" s="485"/>
    </row>
    <row r="118" spans="1:8">
      <c r="A118" s="482" t="s">
        <v>1920</v>
      </c>
      <c r="B118" s="483" t="s">
        <v>1921</v>
      </c>
      <c r="C118" s="485">
        <v>24</v>
      </c>
      <c r="D118" s="483"/>
      <c r="E118" s="484" t="s">
        <v>1922</v>
      </c>
      <c r="F118" s="482" t="s">
        <v>1923</v>
      </c>
      <c r="G118" s="485">
        <v>2300</v>
      </c>
      <c r="H118" s="485"/>
    </row>
    <row r="119" spans="1:8" ht="38.25">
      <c r="A119" s="482" t="s">
        <v>1924</v>
      </c>
      <c r="B119" s="483" t="s">
        <v>1925</v>
      </c>
      <c r="C119" s="485">
        <v>1050</v>
      </c>
      <c r="D119" s="483"/>
      <c r="E119" s="484" t="s">
        <v>1926</v>
      </c>
      <c r="F119" s="482" t="s">
        <v>1927</v>
      </c>
      <c r="G119" s="485">
        <v>85</v>
      </c>
      <c r="H119" s="485"/>
    </row>
    <row r="120" spans="1:8">
      <c r="A120" s="482" t="s">
        <v>1928</v>
      </c>
      <c r="B120" s="483" t="s">
        <v>1929</v>
      </c>
      <c r="C120" s="485">
        <v>19</v>
      </c>
      <c r="D120" s="483"/>
      <c r="E120" s="484" t="s">
        <v>1576</v>
      </c>
      <c r="F120" s="482" t="s">
        <v>1930</v>
      </c>
      <c r="G120" s="485">
        <v>30</v>
      </c>
      <c r="H120" s="485"/>
    </row>
    <row r="121" spans="1:8" ht="51">
      <c r="A121" s="482" t="s">
        <v>1931</v>
      </c>
      <c r="B121" s="483" t="s">
        <v>1932</v>
      </c>
      <c r="C121" s="485">
        <v>40</v>
      </c>
      <c r="D121" s="483"/>
      <c r="E121" s="484" t="s">
        <v>1933</v>
      </c>
      <c r="F121" s="482" t="s">
        <v>1934</v>
      </c>
      <c r="G121" s="485">
        <v>290</v>
      </c>
      <c r="H121" s="485"/>
    </row>
    <row r="122" spans="1:8" ht="22.5">
      <c r="A122" s="482" t="s">
        <v>1935</v>
      </c>
      <c r="B122" s="483" t="s">
        <v>1936</v>
      </c>
      <c r="C122" s="485">
        <v>115</v>
      </c>
      <c r="D122" s="483"/>
      <c r="E122" s="492" t="s">
        <v>1937</v>
      </c>
      <c r="F122" s="482" t="s">
        <v>1938</v>
      </c>
      <c r="G122" s="485">
        <v>875</v>
      </c>
      <c r="H122" s="485"/>
    </row>
    <row r="123" spans="1:8" ht="38.25">
      <c r="A123" s="482" t="s">
        <v>1939</v>
      </c>
      <c r="B123" s="483" t="s">
        <v>1940</v>
      </c>
      <c r="C123" s="485">
        <v>115</v>
      </c>
      <c r="D123" s="483"/>
      <c r="E123" s="495" t="s">
        <v>1941</v>
      </c>
      <c r="F123" s="482" t="s">
        <v>1942</v>
      </c>
      <c r="G123" s="485">
        <v>360</v>
      </c>
      <c r="H123" s="485"/>
    </row>
    <row r="124" spans="1:8" ht="25.5">
      <c r="A124" s="482" t="s">
        <v>1943</v>
      </c>
      <c r="B124" s="483" t="s">
        <v>1944</v>
      </c>
      <c r="C124" s="485">
        <v>85</v>
      </c>
      <c r="D124" s="483"/>
      <c r="E124" s="495" t="s">
        <v>1945</v>
      </c>
      <c r="F124" s="482" t="s">
        <v>1946</v>
      </c>
      <c r="G124" s="485">
        <v>190</v>
      </c>
      <c r="H124" s="485"/>
    </row>
    <row r="125" spans="1:8" ht="45">
      <c r="A125" s="482" t="s">
        <v>1947</v>
      </c>
      <c r="B125" s="483" t="s">
        <v>1948</v>
      </c>
      <c r="C125" s="485">
        <v>130</v>
      </c>
      <c r="D125" s="483"/>
      <c r="E125" s="492" t="s">
        <v>1949</v>
      </c>
      <c r="F125" s="482" t="s">
        <v>1950</v>
      </c>
      <c r="G125" s="485">
        <v>100</v>
      </c>
      <c r="H125" s="485"/>
    </row>
    <row r="126" spans="1:8" ht="56.25">
      <c r="A126" s="482" t="s">
        <v>1663</v>
      </c>
      <c r="B126" s="483" t="s">
        <v>1951</v>
      </c>
      <c r="C126" s="485">
        <v>80</v>
      </c>
      <c r="D126" s="483"/>
      <c r="E126" s="495" t="s">
        <v>1952</v>
      </c>
      <c r="F126" s="482" t="s">
        <v>1953</v>
      </c>
      <c r="G126" s="485">
        <v>5100</v>
      </c>
      <c r="H126" s="485"/>
    </row>
    <row r="127" spans="1:8" ht="25.5">
      <c r="A127" s="482" t="s">
        <v>1954</v>
      </c>
      <c r="B127" s="483" t="s">
        <v>1955</v>
      </c>
      <c r="C127" s="485">
        <v>70</v>
      </c>
      <c r="D127" s="483"/>
      <c r="E127" s="495" t="s">
        <v>1956</v>
      </c>
      <c r="F127" s="482" t="s">
        <v>1957</v>
      </c>
      <c r="G127" s="485">
        <v>190</v>
      </c>
      <c r="H127" s="485"/>
    </row>
    <row r="128" spans="1:8" ht="33.75">
      <c r="A128" s="482" t="s">
        <v>1958</v>
      </c>
      <c r="B128" s="483" t="s">
        <v>2092</v>
      </c>
      <c r="C128" s="485">
        <v>1510</v>
      </c>
      <c r="D128" s="483"/>
      <c r="E128" s="496" t="s">
        <v>1959</v>
      </c>
      <c r="F128" s="482" t="s">
        <v>1960</v>
      </c>
      <c r="G128" s="485">
        <v>350</v>
      </c>
      <c r="H128" s="485"/>
    </row>
    <row r="129" spans="1:8" ht="25.5">
      <c r="A129" s="482" t="s">
        <v>1961</v>
      </c>
      <c r="B129" s="483" t="s">
        <v>1962</v>
      </c>
      <c r="C129" s="485">
        <v>2440</v>
      </c>
      <c r="D129" s="483"/>
      <c r="E129" s="492" t="s">
        <v>1963</v>
      </c>
      <c r="F129" s="482" t="s">
        <v>1964</v>
      </c>
      <c r="G129" s="485">
        <v>65</v>
      </c>
      <c r="H129" s="485"/>
    </row>
    <row r="130" spans="1:8" ht="25.5">
      <c r="A130" s="482" t="s">
        <v>1965</v>
      </c>
      <c r="B130" s="483" t="s">
        <v>1966</v>
      </c>
      <c r="C130" s="485">
        <v>3725</v>
      </c>
      <c r="D130" s="483"/>
      <c r="E130" s="492" t="s">
        <v>1967</v>
      </c>
      <c r="F130" s="482" t="s">
        <v>1968</v>
      </c>
      <c r="G130" s="485">
        <v>65</v>
      </c>
      <c r="H130" s="485"/>
    </row>
    <row r="131" spans="1:8" ht="45">
      <c r="A131" s="482" t="s">
        <v>1969</v>
      </c>
      <c r="B131" s="483" t="s">
        <v>1970</v>
      </c>
      <c r="C131" s="485">
        <v>1513</v>
      </c>
      <c r="D131" s="483"/>
      <c r="E131" s="496" t="s">
        <v>1971</v>
      </c>
      <c r="F131" s="482" t="s">
        <v>1972</v>
      </c>
      <c r="G131" s="485">
        <v>6</v>
      </c>
      <c r="H131" s="485"/>
    </row>
    <row r="132" spans="1:8" ht="33.75">
      <c r="A132" s="482" t="s">
        <v>1973</v>
      </c>
      <c r="B132" s="483" t="s">
        <v>1974</v>
      </c>
      <c r="C132" s="485">
        <v>65</v>
      </c>
      <c r="D132" s="483"/>
      <c r="E132" s="496" t="s">
        <v>1975</v>
      </c>
      <c r="F132" s="482" t="s">
        <v>1976</v>
      </c>
      <c r="G132" s="485">
        <v>12</v>
      </c>
      <c r="H132" s="485"/>
    </row>
    <row r="133" spans="1:8" ht="22.5">
      <c r="A133" s="482" t="s">
        <v>1977</v>
      </c>
      <c r="B133" s="483" t="s">
        <v>1978</v>
      </c>
      <c r="C133" s="485">
        <v>430</v>
      </c>
      <c r="D133" s="483"/>
      <c r="E133" s="496" t="s">
        <v>1979</v>
      </c>
      <c r="F133" s="482" t="s">
        <v>1427</v>
      </c>
      <c r="G133" s="485">
        <v>250</v>
      </c>
      <c r="H133" s="485"/>
    </row>
    <row r="134" spans="1:8" ht="45">
      <c r="A134" s="482" t="s">
        <v>2090</v>
      </c>
      <c r="B134" s="483" t="s">
        <v>2091</v>
      </c>
      <c r="C134" s="485">
        <v>1050</v>
      </c>
      <c r="D134" s="483"/>
      <c r="E134" s="496" t="s">
        <v>1980</v>
      </c>
      <c r="F134" s="482" t="s">
        <v>1429</v>
      </c>
      <c r="G134" s="485">
        <v>130</v>
      </c>
      <c r="H134" s="485"/>
    </row>
    <row r="135" spans="1:8">
      <c r="A135" s="482"/>
      <c r="B135" s="483"/>
      <c r="C135" s="483"/>
      <c r="D135" s="483"/>
      <c r="E135" s="496" t="s">
        <v>1981</v>
      </c>
      <c r="F135" s="482" t="s">
        <v>1982</v>
      </c>
      <c r="G135" s="485">
        <v>20</v>
      </c>
      <c r="H135" s="485"/>
    </row>
    <row r="136" spans="1:8">
      <c r="A136" s="482"/>
      <c r="B136" s="483"/>
      <c r="C136" s="483"/>
      <c r="D136" s="483"/>
      <c r="E136" s="496" t="s">
        <v>1983</v>
      </c>
      <c r="F136" s="482" t="s">
        <v>1984</v>
      </c>
      <c r="G136" s="485">
        <v>15</v>
      </c>
      <c r="H136" s="485"/>
    </row>
    <row r="137" spans="1:8" ht="22.5">
      <c r="A137" s="482"/>
      <c r="B137" s="483"/>
      <c r="C137" s="483"/>
      <c r="D137" s="483"/>
      <c r="E137" s="492" t="s">
        <v>1985</v>
      </c>
      <c r="F137" s="482" t="s">
        <v>1986</v>
      </c>
      <c r="G137" s="485">
        <v>250</v>
      </c>
      <c r="H137" s="485"/>
    </row>
    <row r="138" spans="1:8" ht="22.5">
      <c r="A138" s="482"/>
      <c r="B138" s="483"/>
      <c r="C138" s="483"/>
      <c r="D138" s="483"/>
      <c r="E138" s="492" t="s">
        <v>1985</v>
      </c>
      <c r="F138" s="482" t="s">
        <v>1986</v>
      </c>
      <c r="G138" s="485">
        <v>250</v>
      </c>
      <c r="H138" s="485"/>
    </row>
    <row r="139" spans="1:8">
      <c r="A139" s="482"/>
      <c r="B139" s="483"/>
      <c r="C139" s="483"/>
      <c r="D139" s="483"/>
      <c r="E139" s="484" t="s">
        <v>1569</v>
      </c>
      <c r="F139" s="482" t="s">
        <v>2095</v>
      </c>
      <c r="G139" s="485">
        <v>1980</v>
      </c>
      <c r="H139" s="485"/>
    </row>
    <row r="140" spans="1:8">
      <c r="A140" s="482"/>
      <c r="B140" s="483"/>
      <c r="C140" s="483"/>
      <c r="D140" s="483"/>
      <c r="E140" s="484" t="s">
        <v>1569</v>
      </c>
      <c r="F140" s="482" t="s">
        <v>2270</v>
      </c>
      <c r="G140" s="485">
        <v>5900</v>
      </c>
      <c r="H140" s="485"/>
    </row>
    <row r="141" spans="1:8">
      <c r="A141" s="482"/>
      <c r="B141" s="483"/>
      <c r="C141" s="483"/>
      <c r="D141" s="483"/>
      <c r="E141" s="484"/>
      <c r="F141" s="482"/>
      <c r="G141" s="483"/>
      <c r="H141" s="485"/>
    </row>
    <row r="142" spans="1:8" ht="25.5">
      <c r="A142" s="497" t="s">
        <v>1987</v>
      </c>
      <c r="B142" s="490" t="s">
        <v>1375</v>
      </c>
      <c r="C142" s="483">
        <v>71195</v>
      </c>
      <c r="D142" s="483"/>
      <c r="E142" s="497" t="s">
        <v>1378</v>
      </c>
      <c r="F142" s="490" t="s">
        <v>1379</v>
      </c>
      <c r="G142" s="483">
        <v>231</v>
      </c>
      <c r="H142" s="485"/>
    </row>
    <row r="143" spans="1:8" ht="38.25">
      <c r="A143" s="497" t="s">
        <v>1988</v>
      </c>
      <c r="B143" s="490" t="s">
        <v>1377</v>
      </c>
      <c r="C143" s="483">
        <v>142391</v>
      </c>
      <c r="D143" s="483"/>
      <c r="E143" s="497" t="s">
        <v>1395</v>
      </c>
      <c r="F143" s="483" t="s">
        <v>1396</v>
      </c>
      <c r="G143" s="483">
        <v>84</v>
      </c>
      <c r="H143" s="485"/>
    </row>
    <row r="144" spans="1:8" ht="38.25">
      <c r="A144" s="497" t="s">
        <v>1989</v>
      </c>
      <c r="B144" s="490" t="s">
        <v>1687</v>
      </c>
      <c r="C144" s="483">
        <v>46217</v>
      </c>
      <c r="D144" s="483"/>
      <c r="E144" s="484" t="s">
        <v>1414</v>
      </c>
      <c r="F144" s="483" t="s">
        <v>1415</v>
      </c>
      <c r="G144" s="483">
        <v>103</v>
      </c>
      <c r="H144" s="485"/>
    </row>
    <row r="145" spans="1:8" ht="38.25">
      <c r="A145" s="497" t="s">
        <v>1990</v>
      </c>
      <c r="B145" s="490" t="s">
        <v>1689</v>
      </c>
      <c r="C145" s="483">
        <v>58690</v>
      </c>
      <c r="D145" s="483"/>
      <c r="E145" s="497" t="s">
        <v>1380</v>
      </c>
      <c r="F145" s="490" t="s">
        <v>1381</v>
      </c>
      <c r="G145" s="483">
        <v>246</v>
      </c>
      <c r="H145" s="485"/>
    </row>
    <row r="146" spans="1:8" ht="38.25">
      <c r="A146" s="482" t="s">
        <v>1392</v>
      </c>
      <c r="B146" s="483" t="s">
        <v>1393</v>
      </c>
      <c r="C146" s="483">
        <v>3030</v>
      </c>
      <c r="D146" s="483"/>
      <c r="E146" s="497" t="s">
        <v>1397</v>
      </c>
      <c r="F146" s="483" t="s">
        <v>1398</v>
      </c>
      <c r="G146" s="483">
        <v>117</v>
      </c>
      <c r="H146" s="485"/>
    </row>
    <row r="147" spans="1:8" ht="38.25">
      <c r="A147" s="482" t="s">
        <v>1991</v>
      </c>
      <c r="B147" s="483" t="s">
        <v>1410</v>
      </c>
      <c r="C147" s="483">
        <v>805</v>
      </c>
      <c r="D147" s="483"/>
      <c r="E147" s="497" t="s">
        <v>1382</v>
      </c>
      <c r="F147" s="490" t="s">
        <v>1383</v>
      </c>
      <c r="G147" s="483">
        <v>103</v>
      </c>
      <c r="H147" s="485"/>
    </row>
    <row r="148" spans="1:8" ht="25.5">
      <c r="A148" s="482" t="s">
        <v>2289</v>
      </c>
      <c r="B148" s="483" t="s">
        <v>2099</v>
      </c>
      <c r="C148" s="483">
        <v>1790</v>
      </c>
      <c r="D148" s="483"/>
      <c r="E148" s="497" t="s">
        <v>1384</v>
      </c>
      <c r="F148" s="490" t="s">
        <v>1385</v>
      </c>
      <c r="G148" s="483">
        <v>1087</v>
      </c>
      <c r="H148" s="485"/>
    </row>
    <row r="149" spans="1:8" ht="38.25">
      <c r="A149" s="482" t="s">
        <v>1992</v>
      </c>
      <c r="B149" s="483" t="s">
        <v>1391</v>
      </c>
      <c r="C149" s="483">
        <v>1570</v>
      </c>
      <c r="D149" s="483"/>
      <c r="E149" s="497" t="s">
        <v>1399</v>
      </c>
      <c r="F149" s="483" t="s">
        <v>1400</v>
      </c>
      <c r="G149" s="483">
        <v>308</v>
      </c>
      <c r="H149" s="485"/>
    </row>
    <row r="150" spans="1:8" ht="25.5">
      <c r="A150" s="482" t="s">
        <v>1993</v>
      </c>
      <c r="B150" s="483" t="s">
        <v>1695</v>
      </c>
      <c r="C150" s="483">
        <v>1452</v>
      </c>
      <c r="D150" s="483"/>
      <c r="E150" s="497" t="s">
        <v>1386</v>
      </c>
      <c r="F150" s="490" t="s">
        <v>1387</v>
      </c>
      <c r="G150" s="483">
        <v>168</v>
      </c>
      <c r="H150" s="485"/>
    </row>
    <row r="151" spans="1:8" ht="38.25">
      <c r="A151" s="482" t="s">
        <v>2290</v>
      </c>
      <c r="B151" s="483" t="s">
        <v>1394</v>
      </c>
      <c r="C151" s="483">
        <v>754</v>
      </c>
      <c r="D151" s="483"/>
      <c r="E151" s="497" t="s">
        <v>1401</v>
      </c>
      <c r="F151" s="483" t="s">
        <v>1402</v>
      </c>
      <c r="G151" s="483">
        <v>45</v>
      </c>
      <c r="H151" s="485"/>
    </row>
    <row r="152" spans="1:8" ht="38.25">
      <c r="A152" s="482" t="s">
        <v>1995</v>
      </c>
      <c r="B152" s="483" t="s">
        <v>1996</v>
      </c>
      <c r="C152" s="483">
        <v>8058</v>
      </c>
      <c r="D152" s="483"/>
      <c r="E152" s="497" t="s">
        <v>1388</v>
      </c>
      <c r="F152" s="490" t="s">
        <v>1389</v>
      </c>
      <c r="G152" s="483">
        <v>32</v>
      </c>
      <c r="H152" s="485"/>
    </row>
    <row r="153" spans="1:8">
      <c r="A153" s="482" t="s">
        <v>1997</v>
      </c>
      <c r="B153" s="483" t="s">
        <v>1417</v>
      </c>
      <c r="C153" s="483">
        <v>6038</v>
      </c>
      <c r="D153" s="483"/>
      <c r="E153" s="484" t="s">
        <v>1998</v>
      </c>
      <c r="F153" s="483" t="s">
        <v>1407</v>
      </c>
      <c r="G153" s="483">
        <v>373</v>
      </c>
      <c r="H153" s="485"/>
    </row>
    <row r="154" spans="1:8" ht="38.25">
      <c r="A154" s="482" t="s">
        <v>1999</v>
      </c>
      <c r="B154" s="483" t="s">
        <v>1420</v>
      </c>
      <c r="C154" s="483">
        <v>5830</v>
      </c>
      <c r="D154" s="483"/>
      <c r="E154" s="484" t="s">
        <v>2000</v>
      </c>
      <c r="F154" s="483" t="s">
        <v>1408</v>
      </c>
      <c r="G154" s="483">
        <v>340</v>
      </c>
      <c r="H154" s="485"/>
    </row>
    <row r="155" spans="1:8" ht="25.5">
      <c r="A155" s="482" t="s">
        <v>1994</v>
      </c>
      <c r="B155" s="483" t="s">
        <v>2101</v>
      </c>
      <c r="C155" s="483">
        <v>383</v>
      </c>
      <c r="D155" s="483"/>
      <c r="E155" s="497" t="s">
        <v>2001</v>
      </c>
      <c r="F155" s="483" t="s">
        <v>1693</v>
      </c>
      <c r="G155" s="483">
        <v>53</v>
      </c>
      <c r="H155" s="485"/>
    </row>
    <row r="156" spans="1:8">
      <c r="A156" s="481" t="s">
        <v>2292</v>
      </c>
      <c r="B156" s="498" t="s">
        <v>2291</v>
      </c>
      <c r="C156" s="498">
        <v>3797</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xl/worksheets/sheet33.xml><?xml version="1.0" encoding="utf-8"?>
<worksheet xmlns="http://schemas.openxmlformats.org/spreadsheetml/2006/main" xmlns:r="http://schemas.openxmlformats.org/officeDocument/2006/relationships">
  <sheetPr>
    <tabColor rgb="FF00B050"/>
  </sheetPr>
  <dimension ref="A1:H156"/>
  <sheetViews>
    <sheetView view="pageBreakPreview" topLeftCell="A34" zoomScale="115" zoomScaleNormal="115" zoomScaleSheetLayoutView="115" workbookViewId="0">
      <selection activeCell="D44" sqref="D44"/>
    </sheetView>
  </sheetViews>
  <sheetFormatPr defaultColWidth="9.140625" defaultRowHeight="12.75"/>
  <cols>
    <col min="1" max="1" width="22.28515625" style="512" customWidth="1"/>
    <col min="2" max="2" width="11.5703125" style="516" customWidth="1"/>
    <col min="3" max="3" width="10.42578125" style="516" bestFit="1" customWidth="1"/>
    <col min="4" max="4" width="10.7109375" style="516" customWidth="1"/>
    <col min="5" max="5" width="11.85546875" style="517" customWidth="1"/>
    <col min="6" max="6" width="17.42578125" style="512" customWidth="1"/>
    <col min="7" max="7" width="10.140625" style="516" customWidth="1"/>
    <col min="8" max="8" width="9.28515625" style="518" bestFit="1" customWidth="1"/>
    <col min="9" max="16384" width="9.140625" style="512"/>
  </cols>
  <sheetData>
    <row r="1" spans="1:8" ht="18.75">
      <c r="A1" s="1901" t="s">
        <v>2314</v>
      </c>
      <c r="B1" s="1901"/>
      <c r="C1" s="1901"/>
      <c r="D1" s="1901"/>
      <c r="E1" s="1901"/>
      <c r="F1" s="1901"/>
      <c r="G1" s="1901"/>
      <c r="H1" s="1901"/>
    </row>
    <row r="2" spans="1:8">
      <c r="A2" s="513"/>
      <c r="B2" s="419"/>
      <c r="C2" s="419"/>
      <c r="D2" s="419"/>
      <c r="E2" s="420"/>
      <c r="F2" s="513" t="s">
        <v>1698</v>
      </c>
      <c r="G2" s="419" t="s">
        <v>1699</v>
      </c>
      <c r="H2" s="416" t="s">
        <v>8</v>
      </c>
    </row>
    <row r="3" spans="1:8">
      <c r="A3" s="513"/>
      <c r="B3" s="419" t="s">
        <v>1700</v>
      </c>
      <c r="C3" s="419" t="s">
        <v>8</v>
      </c>
      <c r="D3" s="419"/>
      <c r="E3" s="420"/>
      <c r="F3" s="513" t="s">
        <v>1701</v>
      </c>
      <c r="G3" s="419" t="s">
        <v>1702</v>
      </c>
      <c r="H3" s="456">
        <v>585</v>
      </c>
    </row>
    <row r="4" spans="1:8">
      <c r="A4" s="415" t="s">
        <v>847</v>
      </c>
      <c r="B4" s="419" t="s">
        <v>1703</v>
      </c>
      <c r="C4" s="514">
        <v>4700</v>
      </c>
      <c r="D4" s="419"/>
      <c r="E4" s="420"/>
      <c r="F4" s="513" t="s">
        <v>1704</v>
      </c>
      <c r="G4" s="419" t="s">
        <v>1705</v>
      </c>
      <c r="H4" s="456">
        <v>525</v>
      </c>
    </row>
    <row r="5" spans="1:8">
      <c r="A5" s="389" t="s">
        <v>1706</v>
      </c>
      <c r="B5" s="419"/>
      <c r="C5" s="505">
        <v>54500</v>
      </c>
      <c r="D5" s="419" t="s">
        <v>2417</v>
      </c>
      <c r="E5" s="420"/>
      <c r="F5" s="513" t="s">
        <v>1707</v>
      </c>
      <c r="G5" s="419" t="s">
        <v>1708</v>
      </c>
      <c r="H5" s="456">
        <v>490</v>
      </c>
    </row>
    <row r="6" spans="1:8">
      <c r="A6" s="389" t="s">
        <v>1709</v>
      </c>
      <c r="B6" s="419"/>
      <c r="C6" s="416">
        <v>51500</v>
      </c>
      <c r="D6" s="419" t="s">
        <v>2417</v>
      </c>
      <c r="E6" s="420"/>
      <c r="F6" s="513" t="s">
        <v>1710</v>
      </c>
      <c r="G6" s="419" t="s">
        <v>1711</v>
      </c>
      <c r="H6" s="456">
        <v>700</v>
      </c>
    </row>
    <row r="7" spans="1:8">
      <c r="A7" s="389" t="s">
        <v>848</v>
      </c>
      <c r="B7" s="419"/>
      <c r="C7" s="506">
        <v>52000</v>
      </c>
      <c r="D7" s="419" t="s">
        <v>2417</v>
      </c>
      <c r="E7" s="420"/>
      <c r="F7" s="513"/>
      <c r="G7" s="419"/>
      <c r="H7" s="416"/>
    </row>
    <row r="8" spans="1:8">
      <c r="A8" s="389" t="s">
        <v>849</v>
      </c>
      <c r="B8" s="419"/>
      <c r="C8" s="416">
        <v>54000</v>
      </c>
      <c r="D8" s="419" t="s">
        <v>2417</v>
      </c>
      <c r="E8" s="420"/>
      <c r="F8" s="513" t="s">
        <v>1712</v>
      </c>
      <c r="G8" s="419" t="s">
        <v>1713</v>
      </c>
      <c r="H8" s="456">
        <v>655</v>
      </c>
    </row>
    <row r="9" spans="1:8" ht="25.5">
      <c r="A9" s="389" t="s">
        <v>850</v>
      </c>
      <c r="B9" s="419" t="s">
        <v>1714</v>
      </c>
      <c r="C9" s="507">
        <v>700</v>
      </c>
      <c r="D9" s="419"/>
      <c r="E9" s="420"/>
      <c r="F9" s="513" t="s">
        <v>1715</v>
      </c>
      <c r="G9" s="419" t="s">
        <v>1716</v>
      </c>
      <c r="H9" s="456">
        <v>525</v>
      </c>
    </row>
    <row r="10" spans="1:8">
      <c r="A10" s="389" t="s">
        <v>851</v>
      </c>
      <c r="B10" s="419" t="s">
        <v>1717</v>
      </c>
      <c r="C10" s="507">
        <v>605</v>
      </c>
      <c r="D10" s="419"/>
      <c r="E10" s="420"/>
      <c r="F10" s="513" t="s">
        <v>1339</v>
      </c>
      <c r="G10" s="419" t="s">
        <v>1718</v>
      </c>
      <c r="H10" s="456">
        <v>575</v>
      </c>
    </row>
    <row r="11" spans="1:8">
      <c r="A11" s="389" t="s">
        <v>768</v>
      </c>
      <c r="B11" s="419" t="s">
        <v>1719</v>
      </c>
      <c r="C11" s="507">
        <v>460</v>
      </c>
      <c r="D11" s="419" t="s">
        <v>861</v>
      </c>
      <c r="E11" s="420" t="s">
        <v>862</v>
      </c>
      <c r="F11" s="513" t="s">
        <v>1340</v>
      </c>
      <c r="G11" s="419" t="s">
        <v>1720</v>
      </c>
      <c r="H11" s="456">
        <v>550</v>
      </c>
    </row>
    <row r="12" spans="1:8">
      <c r="A12" s="389" t="s">
        <v>1721</v>
      </c>
      <c r="B12" s="419" t="s">
        <v>1722</v>
      </c>
      <c r="C12" s="507">
        <v>6400</v>
      </c>
      <c r="D12" s="508">
        <v>63.9</v>
      </c>
      <c r="E12" s="509">
        <v>63.9</v>
      </c>
      <c r="F12" s="513"/>
      <c r="G12" s="419"/>
      <c r="H12" s="416"/>
    </row>
    <row r="13" spans="1:8">
      <c r="A13" s="389" t="s">
        <v>853</v>
      </c>
      <c r="B13" s="419" t="s">
        <v>1723</v>
      </c>
      <c r="C13" s="507">
        <v>649</v>
      </c>
      <c r="D13" s="419"/>
      <c r="E13" s="420"/>
      <c r="F13" s="513" t="s">
        <v>1724</v>
      </c>
      <c r="G13" s="419" t="s">
        <v>1725</v>
      </c>
      <c r="H13" s="456">
        <v>655</v>
      </c>
    </row>
    <row r="14" spans="1:8" ht="25.5">
      <c r="A14" s="389" t="s">
        <v>854</v>
      </c>
      <c r="B14" s="419" t="s">
        <v>1726</v>
      </c>
      <c r="C14" s="507">
        <v>1079</v>
      </c>
      <c r="D14" s="419"/>
      <c r="E14" s="420"/>
      <c r="F14" s="513" t="s">
        <v>1727</v>
      </c>
      <c r="G14" s="419"/>
      <c r="H14" s="456">
        <v>525</v>
      </c>
    </row>
    <row r="15" spans="1:8">
      <c r="A15" s="389" t="s">
        <v>1728</v>
      </c>
      <c r="B15" s="419" t="s">
        <v>1729</v>
      </c>
      <c r="C15" s="507">
        <v>860</v>
      </c>
      <c r="D15" s="419"/>
      <c r="E15" s="420"/>
      <c r="F15" s="513"/>
      <c r="G15" s="419"/>
      <c r="H15" s="506"/>
    </row>
    <row r="16" spans="1:8">
      <c r="A16" s="389" t="s">
        <v>1730</v>
      </c>
      <c r="B16" s="419" t="s">
        <v>1731</v>
      </c>
      <c r="C16" s="507">
        <v>726</v>
      </c>
      <c r="D16" s="419"/>
      <c r="E16" s="420"/>
      <c r="F16" s="513" t="s">
        <v>156</v>
      </c>
      <c r="G16" s="419" t="s">
        <v>1732</v>
      </c>
      <c r="H16" s="456">
        <v>650</v>
      </c>
    </row>
    <row r="17" spans="1:8" ht="25.5">
      <c r="A17" s="389" t="s">
        <v>1733</v>
      </c>
      <c r="B17" s="419" t="s">
        <v>1734</v>
      </c>
      <c r="C17" s="507">
        <v>576</v>
      </c>
      <c r="D17" s="419"/>
      <c r="E17" s="420"/>
      <c r="F17" s="513" t="s">
        <v>1501</v>
      </c>
      <c r="G17" s="419" t="s">
        <v>1735</v>
      </c>
      <c r="H17" s="456">
        <v>530</v>
      </c>
    </row>
    <row r="18" spans="1:8">
      <c r="A18" s="389" t="s">
        <v>1194</v>
      </c>
      <c r="B18" s="419" t="s">
        <v>1736</v>
      </c>
      <c r="C18" s="456">
        <v>283</v>
      </c>
      <c r="D18" s="419"/>
      <c r="E18" s="420"/>
      <c r="F18" s="513" t="s">
        <v>3240</v>
      </c>
      <c r="G18" s="419" t="s">
        <v>1708</v>
      </c>
      <c r="H18" s="456">
        <v>470</v>
      </c>
    </row>
    <row r="19" spans="1:8">
      <c r="A19" s="393" t="s">
        <v>1737</v>
      </c>
      <c r="B19" s="419" t="s">
        <v>1738</v>
      </c>
      <c r="C19" s="507">
        <v>1991</v>
      </c>
      <c r="D19" s="419"/>
      <c r="E19" s="420"/>
      <c r="F19" s="513"/>
      <c r="G19" s="419"/>
      <c r="H19" s="416"/>
    </row>
    <row r="20" spans="1:8">
      <c r="A20" s="393" t="s">
        <v>1739</v>
      </c>
      <c r="B20" s="419" t="s">
        <v>1740</v>
      </c>
      <c r="C20" s="507">
        <v>266</v>
      </c>
      <c r="D20" s="419"/>
      <c r="E20" s="420"/>
      <c r="F20" s="513"/>
      <c r="G20" s="419"/>
      <c r="H20" s="416"/>
    </row>
    <row r="21" spans="1:8">
      <c r="A21" s="393" t="s">
        <v>1741</v>
      </c>
      <c r="B21" s="419" t="s">
        <v>1742</v>
      </c>
      <c r="C21" s="507">
        <v>612</v>
      </c>
      <c r="D21" s="419"/>
      <c r="E21" s="420"/>
      <c r="F21" s="513"/>
      <c r="G21" s="419"/>
      <c r="H21" s="416"/>
    </row>
    <row r="22" spans="1:8">
      <c r="A22" s="393" t="s">
        <v>1743</v>
      </c>
      <c r="B22" s="419" t="s">
        <v>1744</v>
      </c>
      <c r="C22" s="507">
        <v>370</v>
      </c>
      <c r="D22" s="419"/>
      <c r="E22" s="420"/>
      <c r="F22" s="513"/>
      <c r="G22" s="419"/>
      <c r="H22" s="416"/>
    </row>
    <row r="23" spans="1:8">
      <c r="A23" s="393" t="s">
        <v>1745</v>
      </c>
      <c r="B23" s="419" t="s">
        <v>1746</v>
      </c>
      <c r="C23" s="507">
        <v>323</v>
      </c>
      <c r="D23" s="419"/>
      <c r="E23" s="420"/>
      <c r="F23" s="513"/>
      <c r="G23" s="419"/>
      <c r="H23" s="416"/>
    </row>
    <row r="24" spans="1:8">
      <c r="A24" s="389" t="s">
        <v>1209</v>
      </c>
      <c r="B24" s="419" t="s">
        <v>3244</v>
      </c>
      <c r="C24" s="456">
        <v>18000</v>
      </c>
      <c r="D24" s="419"/>
      <c r="E24" s="420"/>
      <c r="F24" s="513" t="s">
        <v>1748</v>
      </c>
      <c r="G24" s="419"/>
      <c r="H24" s="416"/>
    </row>
    <row r="25" spans="1:8">
      <c r="A25" s="389" t="s">
        <v>860</v>
      </c>
      <c r="B25" s="419" t="s">
        <v>1749</v>
      </c>
      <c r="C25" s="506">
        <v>84.75</v>
      </c>
      <c r="D25" s="419"/>
      <c r="E25" s="420"/>
      <c r="F25" s="513" t="s">
        <v>1430</v>
      </c>
      <c r="G25" s="419"/>
      <c r="H25" s="506">
        <v>6.06</v>
      </c>
    </row>
    <row r="26" spans="1:8">
      <c r="A26" s="389" t="s">
        <v>664</v>
      </c>
      <c r="B26" s="419" t="s">
        <v>1750</v>
      </c>
      <c r="C26" s="456">
        <v>138</v>
      </c>
      <c r="D26" s="419"/>
      <c r="E26" s="420"/>
      <c r="F26" s="513" t="s">
        <v>1432</v>
      </c>
      <c r="G26" s="419"/>
      <c r="H26" s="506">
        <v>144.26</v>
      </c>
    </row>
    <row r="27" spans="1:8">
      <c r="A27" s="389" t="s">
        <v>1751</v>
      </c>
      <c r="B27" s="419" t="s">
        <v>1752</v>
      </c>
      <c r="C27" s="456">
        <v>28</v>
      </c>
      <c r="D27" s="419"/>
      <c r="E27" s="420"/>
      <c r="F27" s="513"/>
      <c r="G27" s="419"/>
      <c r="H27" s="416"/>
    </row>
    <row r="28" spans="1:8">
      <c r="A28" s="513"/>
      <c r="B28" s="419"/>
      <c r="C28" s="419"/>
      <c r="D28" s="419"/>
      <c r="E28" s="1902" t="s">
        <v>1753</v>
      </c>
      <c r="F28" s="1902"/>
      <c r="G28" s="1902"/>
      <c r="H28" s="1902"/>
    </row>
    <row r="29" spans="1:8">
      <c r="A29" s="389" t="s">
        <v>1754</v>
      </c>
      <c r="B29" s="419" t="s">
        <v>1755</v>
      </c>
      <c r="C29" s="456">
        <v>88</v>
      </c>
      <c r="D29" s="419"/>
      <c r="E29" s="515" t="s">
        <v>1756</v>
      </c>
      <c r="F29" s="417" t="s">
        <v>1757</v>
      </c>
      <c r="G29" s="418" t="s">
        <v>1758</v>
      </c>
      <c r="H29" s="418" t="s">
        <v>1759</v>
      </c>
    </row>
    <row r="30" spans="1:8">
      <c r="A30" s="389" t="s">
        <v>1760</v>
      </c>
      <c r="B30" s="419" t="s">
        <v>1761</v>
      </c>
      <c r="C30" s="456">
        <v>626.20000000000005</v>
      </c>
      <c r="D30" s="419"/>
      <c r="E30" s="519">
        <v>10.78</v>
      </c>
      <c r="F30" s="458">
        <v>84.62</v>
      </c>
      <c r="G30" s="458">
        <v>121.18</v>
      </c>
      <c r="H30" s="457">
        <v>157.72</v>
      </c>
    </row>
    <row r="31" spans="1:8" ht="25.5">
      <c r="A31" s="389" t="s">
        <v>1762</v>
      </c>
      <c r="B31" s="419" t="s">
        <v>1763</v>
      </c>
      <c r="C31" s="456">
        <v>240.3</v>
      </c>
      <c r="D31" s="419"/>
      <c r="E31" s="1902" t="s">
        <v>1764</v>
      </c>
      <c r="F31" s="1902"/>
      <c r="G31" s="1902"/>
      <c r="H31" s="1902"/>
    </row>
    <row r="32" spans="1:8">
      <c r="A32" s="389" t="s">
        <v>38</v>
      </c>
      <c r="B32" s="419" t="s">
        <v>1765</v>
      </c>
      <c r="C32" s="456">
        <v>64</v>
      </c>
      <c r="D32" s="419"/>
      <c r="E32" s="515" t="s">
        <v>1756</v>
      </c>
      <c r="F32" s="417" t="s">
        <v>1757</v>
      </c>
      <c r="G32" s="418" t="s">
        <v>1758</v>
      </c>
      <c r="H32" s="418" t="s">
        <v>1759</v>
      </c>
    </row>
    <row r="33" spans="1:8">
      <c r="A33" s="389" t="s">
        <v>1766</v>
      </c>
      <c r="B33" s="419" t="s">
        <v>1767</v>
      </c>
      <c r="C33" s="456">
        <v>14</v>
      </c>
      <c r="D33" s="419"/>
      <c r="E33" s="519">
        <v>2.57</v>
      </c>
      <c r="F33" s="458">
        <v>16.940000000000001</v>
      </c>
      <c r="G33" s="458">
        <v>24.04</v>
      </c>
      <c r="H33" s="457">
        <v>31.13</v>
      </c>
    </row>
    <row r="34" spans="1:8" ht="25.5">
      <c r="A34" s="389" t="s">
        <v>1768</v>
      </c>
      <c r="B34" s="419" t="s">
        <v>1769</v>
      </c>
      <c r="C34" s="456">
        <v>116.6</v>
      </c>
      <c r="D34" s="419"/>
      <c r="E34" s="1902" t="s">
        <v>1770</v>
      </c>
      <c r="F34" s="1902"/>
      <c r="G34" s="1902"/>
      <c r="H34" s="1902"/>
    </row>
    <row r="35" spans="1:8">
      <c r="A35" s="389" t="s">
        <v>1771</v>
      </c>
      <c r="B35" s="419" t="s">
        <v>1772</v>
      </c>
      <c r="C35" s="456">
        <v>28</v>
      </c>
      <c r="D35" s="419"/>
      <c r="E35" s="515" t="s">
        <v>1756</v>
      </c>
      <c r="F35" s="417" t="s">
        <v>1757</v>
      </c>
      <c r="G35" s="418" t="s">
        <v>1758</v>
      </c>
      <c r="H35" s="418" t="s">
        <v>1759</v>
      </c>
    </row>
    <row r="36" spans="1:8">
      <c r="A36" s="389" t="s">
        <v>1773</v>
      </c>
      <c r="B36" s="419" t="s">
        <v>1774</v>
      </c>
      <c r="C36" s="456">
        <v>5</v>
      </c>
      <c r="D36" s="419"/>
      <c r="E36" s="519">
        <v>1.08</v>
      </c>
      <c r="F36" s="458">
        <v>8.4700000000000006</v>
      </c>
      <c r="G36" s="458">
        <v>12.12</v>
      </c>
      <c r="H36" s="457">
        <v>15.77</v>
      </c>
    </row>
    <row r="37" spans="1:8">
      <c r="A37" s="389" t="s">
        <v>1775</v>
      </c>
      <c r="B37" s="419" t="s">
        <v>1776</v>
      </c>
      <c r="C37" s="456">
        <v>66</v>
      </c>
      <c r="D37" s="419"/>
      <c r="E37" s="420"/>
      <c r="F37" s="419"/>
      <c r="G37" s="419"/>
      <c r="H37" s="416"/>
    </row>
    <row r="38" spans="1:8">
      <c r="A38" s="389" t="s">
        <v>1777</v>
      </c>
      <c r="B38" s="419" t="s">
        <v>1778</v>
      </c>
      <c r="C38" s="456">
        <v>25</v>
      </c>
      <c r="D38" s="419"/>
      <c r="E38" s="420"/>
      <c r="F38" s="419"/>
      <c r="G38" s="419"/>
      <c r="H38" s="416"/>
    </row>
    <row r="39" spans="1:8">
      <c r="A39" s="389" t="s">
        <v>1779</v>
      </c>
      <c r="B39" s="419" t="s">
        <v>1780</v>
      </c>
      <c r="C39" s="456">
        <v>22</v>
      </c>
      <c r="D39" s="419"/>
      <c r="E39" s="420"/>
      <c r="F39" s="513"/>
      <c r="G39" s="419"/>
      <c r="H39" s="416"/>
    </row>
    <row r="40" spans="1:8">
      <c r="A40" s="389" t="s">
        <v>1570</v>
      </c>
      <c r="B40" s="419" t="s">
        <v>1781</v>
      </c>
      <c r="C40" s="456">
        <v>360</v>
      </c>
      <c r="D40" s="419"/>
      <c r="E40" s="389" t="s">
        <v>1782</v>
      </c>
      <c r="F40" s="419" t="s">
        <v>1783</v>
      </c>
      <c r="G40" s="456">
        <v>550</v>
      </c>
      <c r="H40" s="416"/>
    </row>
    <row r="41" spans="1:8" ht="25.5">
      <c r="A41" s="389" t="s">
        <v>1784</v>
      </c>
      <c r="B41" s="419" t="s">
        <v>1785</v>
      </c>
      <c r="C41" s="456">
        <v>139</v>
      </c>
      <c r="D41" s="419"/>
      <c r="E41" s="420" t="s">
        <v>1786</v>
      </c>
      <c r="F41" s="419" t="s">
        <v>1787</v>
      </c>
      <c r="G41" s="456">
        <v>141</v>
      </c>
      <c r="H41" s="416"/>
    </row>
    <row r="42" spans="1:8" ht="25.5">
      <c r="A42" s="389" t="s">
        <v>1788</v>
      </c>
      <c r="B42" s="419" t="s">
        <v>1789</v>
      </c>
      <c r="C42" s="456">
        <v>200</v>
      </c>
      <c r="D42" s="419"/>
      <c r="E42" s="420" t="s">
        <v>1786</v>
      </c>
      <c r="F42" s="419" t="s">
        <v>1790</v>
      </c>
      <c r="G42" s="456">
        <v>180</v>
      </c>
      <c r="H42" s="416"/>
    </row>
    <row r="43" spans="1:8" ht="38.25">
      <c r="A43" s="389" t="s">
        <v>1791</v>
      </c>
      <c r="B43" s="419" t="s">
        <v>1792</v>
      </c>
      <c r="C43" s="456">
        <v>18.5</v>
      </c>
      <c r="D43" s="419"/>
      <c r="E43" s="420" t="s">
        <v>1372</v>
      </c>
      <c r="F43" s="419" t="s">
        <v>1793</v>
      </c>
      <c r="G43" s="456">
        <v>168</v>
      </c>
      <c r="H43" s="416"/>
    </row>
    <row r="44" spans="1:8" ht="38.25">
      <c r="A44" s="389" t="s">
        <v>1794</v>
      </c>
      <c r="B44" s="419" t="s">
        <v>3459</v>
      </c>
      <c r="C44" s="456">
        <v>79</v>
      </c>
      <c r="D44" s="419"/>
      <c r="E44" s="420" t="s">
        <v>1372</v>
      </c>
      <c r="F44" s="419" t="s">
        <v>1795</v>
      </c>
      <c r="G44" s="456">
        <v>194</v>
      </c>
      <c r="H44" s="416"/>
    </row>
    <row r="45" spans="1:8">
      <c r="A45" s="389" t="s">
        <v>670</v>
      </c>
      <c r="B45" s="419" t="s">
        <v>1796</v>
      </c>
      <c r="C45" s="456">
        <v>27.95</v>
      </c>
      <c r="D45" s="419"/>
      <c r="E45" s="420" t="s">
        <v>1797</v>
      </c>
      <c r="F45" s="419" t="s">
        <v>1798</v>
      </c>
      <c r="G45" s="456">
        <v>130</v>
      </c>
      <c r="H45" s="416"/>
    </row>
    <row r="46" spans="1:8">
      <c r="A46" s="389" t="s">
        <v>1799</v>
      </c>
      <c r="B46" s="419" t="s">
        <v>1800</v>
      </c>
      <c r="C46" s="456">
        <v>438</v>
      </c>
      <c r="D46" s="419"/>
      <c r="E46" s="420" t="s">
        <v>1801</v>
      </c>
      <c r="F46" s="419" t="s">
        <v>1802</v>
      </c>
      <c r="G46" s="456">
        <v>248</v>
      </c>
      <c r="H46" s="416"/>
    </row>
    <row r="47" spans="1:8" ht="38.25">
      <c r="A47" s="513" t="s">
        <v>1803</v>
      </c>
      <c r="B47" s="419" t="s">
        <v>1373</v>
      </c>
      <c r="C47" s="511">
        <v>3500</v>
      </c>
      <c r="D47" s="419"/>
      <c r="E47" s="420" t="s">
        <v>1804</v>
      </c>
      <c r="F47" s="419" t="s">
        <v>1805</v>
      </c>
      <c r="G47" s="456">
        <v>708</v>
      </c>
      <c r="H47" s="416"/>
    </row>
    <row r="48" spans="1:8" ht="38.25">
      <c r="A48" s="389" t="s">
        <v>1806</v>
      </c>
      <c r="B48" s="419" t="s">
        <v>1427</v>
      </c>
      <c r="C48" s="456">
        <v>275</v>
      </c>
      <c r="D48" s="419"/>
      <c r="E48" s="420" t="s">
        <v>1425</v>
      </c>
      <c r="F48" s="419" t="s">
        <v>1424</v>
      </c>
      <c r="G48" s="456">
        <v>244</v>
      </c>
      <c r="H48" s="416"/>
    </row>
    <row r="49" spans="1:8">
      <c r="A49" s="389" t="s">
        <v>1807</v>
      </c>
      <c r="B49" s="419" t="s">
        <v>1429</v>
      </c>
      <c r="C49" s="456">
        <v>143</v>
      </c>
      <c r="D49" s="419"/>
      <c r="E49" s="420"/>
      <c r="F49" s="513"/>
      <c r="G49" s="419"/>
      <c r="H49" s="416"/>
    </row>
    <row r="50" spans="1:8">
      <c r="A50" s="389"/>
      <c r="B50" s="419"/>
      <c r="C50" s="416"/>
      <c r="D50" s="419"/>
      <c r="E50" s="420"/>
      <c r="F50" s="513"/>
      <c r="G50" s="419"/>
      <c r="H50" s="416"/>
    </row>
    <row r="51" spans="1:8">
      <c r="A51" s="513"/>
      <c r="B51" s="419"/>
      <c r="C51" s="419" t="s">
        <v>1756</v>
      </c>
      <c r="D51" s="419" t="s">
        <v>1808</v>
      </c>
      <c r="E51" s="420"/>
      <c r="F51" s="513"/>
      <c r="G51" s="419"/>
      <c r="H51" s="416"/>
    </row>
    <row r="52" spans="1:8">
      <c r="A52" s="389" t="s">
        <v>152</v>
      </c>
      <c r="B52" s="419"/>
      <c r="C52" s="511">
        <v>301</v>
      </c>
      <c r="D52" s="511">
        <v>672</v>
      </c>
      <c r="E52" s="520"/>
      <c r="F52" s="459"/>
      <c r="G52" s="419"/>
      <c r="H52" s="416"/>
    </row>
    <row r="53" spans="1:8">
      <c r="A53" s="389" t="s">
        <v>1809</v>
      </c>
      <c r="B53" s="419"/>
      <c r="C53" s="511">
        <v>67</v>
      </c>
      <c r="D53" s="511">
        <v>363</v>
      </c>
      <c r="E53" s="520"/>
      <c r="F53" s="459"/>
      <c r="G53" s="419"/>
      <c r="H53" s="416"/>
    </row>
    <row r="54" spans="1:8">
      <c r="A54" s="389" t="s">
        <v>1810</v>
      </c>
      <c r="B54" s="419"/>
      <c r="C54" s="511">
        <v>343</v>
      </c>
      <c r="D54" s="511">
        <v>1069</v>
      </c>
      <c r="E54" s="520"/>
      <c r="F54" s="459"/>
      <c r="G54" s="419"/>
      <c r="H54" s="416"/>
    </row>
    <row r="55" spans="1:8">
      <c r="A55" s="389" t="s">
        <v>1436</v>
      </c>
      <c r="B55" s="419"/>
      <c r="C55" s="511">
        <v>1453</v>
      </c>
      <c r="D55" s="511">
        <v>1620</v>
      </c>
      <c r="E55" s="520"/>
      <c r="F55" s="459"/>
      <c r="G55" s="419"/>
      <c r="H55" s="416"/>
    </row>
    <row r="56" spans="1:8">
      <c r="A56" s="513"/>
      <c r="B56" s="419"/>
      <c r="C56" s="511"/>
      <c r="D56" s="511" t="s">
        <v>161</v>
      </c>
      <c r="E56" s="511" t="s">
        <v>162</v>
      </c>
      <c r="F56" s="511" t="s">
        <v>163</v>
      </c>
      <c r="G56" s="419"/>
      <c r="H56" s="416"/>
    </row>
    <row r="57" spans="1:8">
      <c r="A57" s="389" t="s">
        <v>1435</v>
      </c>
      <c r="B57" s="419"/>
      <c r="C57" s="511">
        <v>371</v>
      </c>
      <c r="D57" s="511">
        <v>2415</v>
      </c>
      <c r="E57" s="511">
        <v>2657</v>
      </c>
      <c r="F57" s="511">
        <v>2898</v>
      </c>
      <c r="G57" s="419"/>
      <c r="H57" s="416"/>
    </row>
    <row r="58" spans="1:8">
      <c r="A58" s="389" t="s">
        <v>866</v>
      </c>
      <c r="B58" s="419"/>
      <c r="C58" s="511">
        <v>1233</v>
      </c>
      <c r="D58" s="511">
        <v>1720</v>
      </c>
      <c r="E58" s="511">
        <v>1892</v>
      </c>
      <c r="F58" s="511">
        <v>2064</v>
      </c>
      <c r="G58" s="419"/>
      <c r="H58" s="416"/>
    </row>
    <row r="59" spans="1:8">
      <c r="A59" s="389" t="s">
        <v>1542</v>
      </c>
      <c r="B59" s="419"/>
      <c r="C59" s="511">
        <v>243</v>
      </c>
      <c r="D59" s="511">
        <v>264</v>
      </c>
      <c r="E59" s="511">
        <v>290</v>
      </c>
      <c r="F59" s="511">
        <v>317</v>
      </c>
      <c r="G59" s="419"/>
      <c r="H59" s="416"/>
    </row>
    <row r="60" spans="1:8">
      <c r="A60" s="389" t="s">
        <v>1811</v>
      </c>
      <c r="B60" s="419"/>
      <c r="C60" s="511">
        <v>2179</v>
      </c>
      <c r="D60" s="511">
        <v>2027</v>
      </c>
      <c r="E60" s="511">
        <v>2230</v>
      </c>
      <c r="F60" s="511">
        <v>2432</v>
      </c>
      <c r="G60" s="419"/>
      <c r="H60" s="416"/>
    </row>
    <row r="61" spans="1:8">
      <c r="A61" s="389" t="s">
        <v>1812</v>
      </c>
      <c r="B61" s="419"/>
      <c r="C61" s="511">
        <v>247</v>
      </c>
      <c r="D61" s="511">
        <v>241</v>
      </c>
      <c r="E61" s="511">
        <v>265</v>
      </c>
      <c r="F61" s="511">
        <v>289</v>
      </c>
      <c r="G61" s="419"/>
      <c r="H61" s="416"/>
    </row>
    <row r="62" spans="1:8">
      <c r="A62" s="389" t="s">
        <v>1813</v>
      </c>
      <c r="B62" s="419"/>
      <c r="C62" s="511">
        <v>254</v>
      </c>
      <c r="D62" s="511">
        <v>248</v>
      </c>
      <c r="E62" s="511">
        <v>273</v>
      </c>
      <c r="F62" s="511">
        <v>298</v>
      </c>
      <c r="G62" s="419"/>
      <c r="H62" s="416"/>
    </row>
    <row r="63" spans="1:8">
      <c r="A63" s="513"/>
      <c r="B63" s="419"/>
      <c r="C63" s="419"/>
      <c r="D63" s="419"/>
      <c r="E63" s="420"/>
      <c r="F63" s="419"/>
      <c r="G63" s="419"/>
      <c r="H63" s="416"/>
    </row>
    <row r="64" spans="1:8">
      <c r="A64" s="513"/>
      <c r="B64" s="419"/>
      <c r="C64" s="419"/>
      <c r="D64" s="419"/>
      <c r="E64" s="420"/>
      <c r="F64" s="419"/>
      <c r="G64" s="419"/>
      <c r="H64" s="416"/>
    </row>
    <row r="65" spans="1:8">
      <c r="A65" s="513"/>
      <c r="B65" s="419"/>
      <c r="C65" s="419"/>
      <c r="D65" s="419"/>
      <c r="E65" s="420"/>
      <c r="F65" s="513"/>
      <c r="G65" s="419"/>
      <c r="H65" s="416"/>
    </row>
    <row r="66" spans="1:8" ht="24">
      <c r="A66" s="421" t="s">
        <v>1814</v>
      </c>
      <c r="B66" s="419" t="s">
        <v>1815</v>
      </c>
      <c r="C66" s="456">
        <v>1870</v>
      </c>
      <c r="D66" s="419"/>
      <c r="E66" s="420"/>
      <c r="F66" s="513" t="s">
        <v>1816</v>
      </c>
      <c r="G66" s="419" t="s">
        <v>1817</v>
      </c>
      <c r="H66" s="456">
        <v>5</v>
      </c>
    </row>
    <row r="67" spans="1:8" ht="24">
      <c r="A67" s="421" t="s">
        <v>1818</v>
      </c>
      <c r="B67" s="419" t="s">
        <v>1819</v>
      </c>
      <c r="C67" s="456">
        <v>2333</v>
      </c>
      <c r="D67" s="419"/>
      <c r="E67" s="420"/>
      <c r="F67" s="513" t="s">
        <v>1820</v>
      </c>
      <c r="G67" s="419" t="s">
        <v>1821</v>
      </c>
      <c r="H67" s="456">
        <v>1</v>
      </c>
    </row>
    <row r="68" spans="1:8">
      <c r="A68" s="421" t="s">
        <v>1822</v>
      </c>
      <c r="B68" s="419" t="s">
        <v>1823</v>
      </c>
      <c r="C68" s="456">
        <v>803</v>
      </c>
      <c r="D68" s="419"/>
      <c r="E68" s="420"/>
      <c r="F68" s="421" t="s">
        <v>1824</v>
      </c>
      <c r="G68" s="419" t="s">
        <v>1825</v>
      </c>
      <c r="H68" s="456">
        <v>56</v>
      </c>
    </row>
    <row r="69" spans="1:8">
      <c r="A69" s="513" t="s">
        <v>1826</v>
      </c>
      <c r="B69" s="419" t="s">
        <v>1827</v>
      </c>
      <c r="C69" s="456">
        <v>979</v>
      </c>
      <c r="D69" s="419"/>
      <c r="E69" s="420"/>
      <c r="F69" s="421" t="s">
        <v>1828</v>
      </c>
      <c r="G69" s="419" t="s">
        <v>1829</v>
      </c>
      <c r="H69" s="456">
        <v>89</v>
      </c>
    </row>
    <row r="70" spans="1:8">
      <c r="A70" s="513" t="s">
        <v>1830</v>
      </c>
      <c r="B70" s="419" t="s">
        <v>1831</v>
      </c>
      <c r="C70" s="456">
        <v>2499</v>
      </c>
      <c r="D70" s="419"/>
      <c r="E70" s="420"/>
      <c r="F70" s="421" t="s">
        <v>1832</v>
      </c>
      <c r="G70" s="419" t="s">
        <v>1833</v>
      </c>
      <c r="H70" s="456">
        <v>129</v>
      </c>
    </row>
    <row r="71" spans="1:8">
      <c r="A71" s="513" t="s">
        <v>1834</v>
      </c>
      <c r="B71" s="419" t="s">
        <v>1835</v>
      </c>
      <c r="C71" s="456">
        <v>1436</v>
      </c>
      <c r="D71" s="419"/>
      <c r="E71" s="420"/>
      <c r="F71" s="421" t="s">
        <v>1836</v>
      </c>
      <c r="G71" s="419" t="s">
        <v>1837</v>
      </c>
      <c r="H71" s="456">
        <v>202</v>
      </c>
    </row>
    <row r="72" spans="1:8">
      <c r="A72" s="513" t="s">
        <v>1838</v>
      </c>
      <c r="B72" s="419" t="s">
        <v>1839</v>
      </c>
      <c r="C72" s="456">
        <v>366</v>
      </c>
      <c r="D72" s="419"/>
      <c r="E72" s="420"/>
      <c r="F72" s="421" t="s">
        <v>1840</v>
      </c>
      <c r="G72" s="419" t="s">
        <v>1841</v>
      </c>
      <c r="H72" s="456">
        <v>33</v>
      </c>
    </row>
    <row r="73" spans="1:8">
      <c r="A73" s="513" t="s">
        <v>1842</v>
      </c>
      <c r="B73" s="419" t="s">
        <v>1843</v>
      </c>
      <c r="C73" s="456">
        <v>90</v>
      </c>
      <c r="D73" s="419"/>
      <c r="E73" s="420"/>
      <c r="F73" s="513" t="s">
        <v>1844</v>
      </c>
      <c r="G73" s="419" t="s">
        <v>1845</v>
      </c>
      <c r="H73" s="456">
        <v>33</v>
      </c>
    </row>
    <row r="74" spans="1:8">
      <c r="A74" s="513" t="s">
        <v>1846</v>
      </c>
      <c r="B74" s="419" t="s">
        <v>1847</v>
      </c>
      <c r="C74" s="456">
        <v>23</v>
      </c>
      <c r="D74" s="419"/>
      <c r="E74" s="420"/>
      <c r="F74" s="513" t="s">
        <v>1848</v>
      </c>
      <c r="G74" s="419" t="s">
        <v>1849</v>
      </c>
      <c r="H74" s="456">
        <v>1101</v>
      </c>
    </row>
    <row r="75" spans="1:8">
      <c r="A75" s="513" t="s">
        <v>1446</v>
      </c>
      <c r="B75" s="419" t="s">
        <v>2301</v>
      </c>
      <c r="C75" s="456">
        <v>89</v>
      </c>
      <c r="D75" s="419"/>
      <c r="E75" s="420"/>
      <c r="F75" s="513" t="s">
        <v>1851</v>
      </c>
      <c r="G75" s="419" t="s">
        <v>1852</v>
      </c>
      <c r="H75" s="456">
        <v>73</v>
      </c>
    </row>
    <row r="76" spans="1:8" ht="25.5">
      <c r="A76" s="513" t="s">
        <v>1853</v>
      </c>
      <c r="B76" s="419" t="s">
        <v>1854</v>
      </c>
      <c r="C76" s="456">
        <v>30</v>
      </c>
      <c r="D76" s="419"/>
      <c r="E76" s="420"/>
      <c r="F76" s="513" t="s">
        <v>1855</v>
      </c>
      <c r="G76" s="419" t="s">
        <v>1856</v>
      </c>
      <c r="H76" s="456">
        <v>16</v>
      </c>
    </row>
    <row r="77" spans="1:8" ht="25.5">
      <c r="A77" s="513" t="s">
        <v>1857</v>
      </c>
      <c r="B77" s="419" t="s">
        <v>1858</v>
      </c>
      <c r="C77" s="456">
        <v>122</v>
      </c>
      <c r="D77" s="419"/>
      <c r="E77" s="420"/>
      <c r="F77" s="513"/>
      <c r="G77" s="419"/>
      <c r="H77" s="416"/>
    </row>
    <row r="78" spans="1:8">
      <c r="A78" s="513" t="s">
        <v>1443</v>
      </c>
      <c r="B78" s="419" t="s">
        <v>1859</v>
      </c>
      <c r="C78" s="456">
        <v>426</v>
      </c>
      <c r="D78" s="419"/>
      <c r="E78" s="420"/>
      <c r="F78" s="513"/>
      <c r="G78" s="419"/>
      <c r="H78" s="416"/>
    </row>
    <row r="79" spans="1:8" ht="25.5">
      <c r="A79" s="513" t="s">
        <v>1444</v>
      </c>
      <c r="B79" s="419" t="s">
        <v>1860</v>
      </c>
      <c r="C79" s="456">
        <v>405</v>
      </c>
      <c r="D79" s="419"/>
      <c r="E79" s="420"/>
      <c r="F79" s="513" t="s">
        <v>2265</v>
      </c>
      <c r="G79" s="419" t="s">
        <v>2266</v>
      </c>
      <c r="H79" s="506">
        <v>320</v>
      </c>
    </row>
    <row r="80" spans="1:8">
      <c r="A80" s="513" t="s">
        <v>1445</v>
      </c>
      <c r="B80" s="419" t="s">
        <v>1861</v>
      </c>
      <c r="C80" s="456">
        <v>254</v>
      </c>
      <c r="D80" s="419"/>
      <c r="E80" s="420"/>
      <c r="F80" s="513" t="s">
        <v>2267</v>
      </c>
      <c r="G80" s="419" t="s">
        <v>2268</v>
      </c>
      <c r="H80" s="506">
        <v>190</v>
      </c>
    </row>
    <row r="81" spans="1:8">
      <c r="A81" s="513" t="s">
        <v>1862</v>
      </c>
      <c r="B81" s="419" t="s">
        <v>1863</v>
      </c>
      <c r="C81" s="456">
        <v>74</v>
      </c>
      <c r="D81" s="419"/>
      <c r="E81" s="420"/>
      <c r="F81" s="513"/>
      <c r="G81" s="419"/>
      <c r="H81" s="416"/>
    </row>
    <row r="82" spans="1:8">
      <c r="A82" s="513" t="s">
        <v>1864</v>
      </c>
      <c r="B82" s="419" t="s">
        <v>1865</v>
      </c>
      <c r="C82" s="456">
        <v>1554</v>
      </c>
      <c r="D82" s="419"/>
      <c r="E82" s="420"/>
      <c r="F82" s="513"/>
      <c r="G82" s="419"/>
      <c r="H82" s="416"/>
    </row>
    <row r="83" spans="1:8">
      <c r="A83" s="513" t="s">
        <v>1866</v>
      </c>
      <c r="B83" s="419" t="s">
        <v>1867</v>
      </c>
      <c r="C83" s="456">
        <v>3938</v>
      </c>
      <c r="D83" s="419"/>
      <c r="E83" s="420"/>
      <c r="F83" s="513"/>
      <c r="G83" s="419"/>
      <c r="H83" s="416"/>
    </row>
    <row r="84" spans="1:8">
      <c r="A84" s="513"/>
      <c r="B84" s="419"/>
      <c r="C84" s="419"/>
      <c r="D84" s="419"/>
      <c r="E84" s="420"/>
      <c r="F84" s="513"/>
      <c r="G84" s="419"/>
      <c r="H84" s="416"/>
    </row>
    <row r="85" spans="1:8">
      <c r="A85" s="513"/>
      <c r="B85" s="419"/>
      <c r="C85" s="419"/>
      <c r="D85" s="419"/>
      <c r="E85" s="420"/>
      <c r="F85" s="513"/>
      <c r="G85" s="419"/>
      <c r="H85" s="416"/>
    </row>
    <row r="86" spans="1:8">
      <c r="A86" s="513" t="s">
        <v>1868</v>
      </c>
      <c r="B86" s="419" t="s">
        <v>1869</v>
      </c>
      <c r="C86" s="456">
        <v>470</v>
      </c>
      <c r="D86" s="419"/>
      <c r="E86" s="420"/>
      <c r="F86" s="513"/>
      <c r="G86" s="419"/>
      <c r="H86" s="416"/>
    </row>
    <row r="87" spans="1:8">
      <c r="A87" s="513" t="s">
        <v>1870</v>
      </c>
      <c r="B87" s="419"/>
      <c r="C87" s="456">
        <v>502</v>
      </c>
      <c r="D87" s="419"/>
      <c r="E87" s="420"/>
      <c r="F87" s="513"/>
      <c r="G87" s="419"/>
      <c r="H87" s="416"/>
    </row>
    <row r="88" spans="1:8">
      <c r="A88" s="513" t="s">
        <v>1871</v>
      </c>
      <c r="B88" s="419"/>
      <c r="C88" s="456">
        <v>563</v>
      </c>
      <c r="D88" s="419"/>
      <c r="E88" s="420"/>
      <c r="F88" s="513"/>
      <c r="G88" s="419"/>
      <c r="H88" s="416"/>
    </row>
    <row r="89" spans="1:8">
      <c r="A89" s="513" t="s">
        <v>1872</v>
      </c>
      <c r="B89" s="419" t="s">
        <v>1873</v>
      </c>
      <c r="C89" s="456">
        <v>26730</v>
      </c>
      <c r="D89" s="419"/>
      <c r="E89" s="420"/>
      <c r="F89" s="513"/>
      <c r="G89" s="419"/>
      <c r="H89" s="416"/>
    </row>
    <row r="90" spans="1:8">
      <c r="A90" s="513" t="s">
        <v>2302</v>
      </c>
      <c r="B90" s="419" t="s">
        <v>1874</v>
      </c>
      <c r="C90" s="456">
        <v>18370</v>
      </c>
      <c r="D90" s="419"/>
      <c r="E90" s="420"/>
      <c r="F90" s="513"/>
      <c r="G90" s="419"/>
      <c r="H90" s="416"/>
    </row>
    <row r="91" spans="1:8">
      <c r="A91" s="513" t="s">
        <v>1875</v>
      </c>
      <c r="B91" s="419" t="s">
        <v>1876</v>
      </c>
      <c r="C91" s="456">
        <v>342</v>
      </c>
      <c r="D91" s="419"/>
      <c r="E91" s="420"/>
      <c r="F91" s="513"/>
      <c r="G91" s="419"/>
      <c r="H91" s="416"/>
    </row>
    <row r="92" spans="1:8">
      <c r="A92" s="513" t="s">
        <v>1877</v>
      </c>
      <c r="B92" s="419" t="s">
        <v>1878</v>
      </c>
      <c r="C92" s="456">
        <v>73</v>
      </c>
      <c r="D92" s="419"/>
      <c r="E92" s="420"/>
      <c r="F92" s="513"/>
      <c r="G92" s="419"/>
      <c r="H92" s="416"/>
    </row>
    <row r="93" spans="1:8">
      <c r="A93" s="513" t="s">
        <v>1879</v>
      </c>
      <c r="B93" s="419" t="s">
        <v>1880</v>
      </c>
      <c r="C93" s="456">
        <v>177</v>
      </c>
      <c r="D93" s="419"/>
      <c r="E93" s="420"/>
      <c r="F93" s="513"/>
      <c r="G93" s="419"/>
      <c r="H93" s="416"/>
    </row>
    <row r="94" spans="1:8">
      <c r="A94" s="513" t="s">
        <v>1447</v>
      </c>
      <c r="B94" s="419" t="s">
        <v>1876</v>
      </c>
      <c r="C94" s="456">
        <v>315</v>
      </c>
      <c r="D94" s="419"/>
      <c r="E94" s="420"/>
      <c r="F94" s="513"/>
      <c r="G94" s="419"/>
      <c r="H94" s="416"/>
    </row>
    <row r="95" spans="1:8">
      <c r="A95" s="513" t="s">
        <v>1881</v>
      </c>
      <c r="B95" s="419" t="s">
        <v>1876</v>
      </c>
      <c r="C95" s="456">
        <v>420</v>
      </c>
      <c r="D95" s="419"/>
      <c r="E95" s="420"/>
      <c r="F95" s="513"/>
      <c r="G95" s="419"/>
      <c r="H95" s="416"/>
    </row>
    <row r="96" spans="1:8">
      <c r="A96" s="513" t="s">
        <v>1882</v>
      </c>
      <c r="B96" s="419" t="s">
        <v>1883</v>
      </c>
      <c r="C96" s="456">
        <v>73</v>
      </c>
      <c r="D96" s="419"/>
      <c r="E96" s="420"/>
      <c r="F96" s="513"/>
      <c r="G96" s="419"/>
      <c r="H96" s="416"/>
    </row>
    <row r="97" spans="1:8">
      <c r="A97" s="513" t="s">
        <v>1884</v>
      </c>
      <c r="B97" s="419" t="s">
        <v>1885</v>
      </c>
      <c r="C97" s="456">
        <v>92</v>
      </c>
      <c r="D97" s="419"/>
      <c r="E97" s="420"/>
      <c r="F97" s="513"/>
      <c r="G97" s="419"/>
      <c r="H97" s="416"/>
    </row>
    <row r="98" spans="1:8">
      <c r="A98" s="513" t="s">
        <v>1886</v>
      </c>
      <c r="B98" s="419" t="s">
        <v>1887</v>
      </c>
      <c r="C98" s="456">
        <v>4950</v>
      </c>
      <c r="D98" s="419"/>
      <c r="E98" s="420"/>
      <c r="F98" s="513"/>
      <c r="G98" s="419"/>
      <c r="H98" s="416"/>
    </row>
    <row r="99" spans="1:8" ht="22.5">
      <c r="A99" s="422" t="s">
        <v>1499</v>
      </c>
      <c r="B99" s="423" t="s">
        <v>3245</v>
      </c>
      <c r="C99" s="416">
        <v>65</v>
      </c>
      <c r="D99" s="419"/>
      <c r="E99" s="420"/>
      <c r="F99" s="513"/>
      <c r="G99" s="419"/>
      <c r="H99" s="416"/>
    </row>
    <row r="100" spans="1:8" ht="22.5">
      <c r="A100" s="422" t="s">
        <v>3246</v>
      </c>
      <c r="B100" s="423" t="s">
        <v>1503</v>
      </c>
      <c r="C100" s="456">
        <v>22</v>
      </c>
      <c r="D100" s="419"/>
      <c r="E100" s="420"/>
      <c r="F100" s="513"/>
      <c r="G100" s="419"/>
      <c r="H100" s="416"/>
    </row>
    <row r="101" spans="1:8">
      <c r="A101" s="422" t="s">
        <v>1500</v>
      </c>
      <c r="B101" s="423" t="s">
        <v>1504</v>
      </c>
      <c r="C101" s="456">
        <v>9</v>
      </c>
      <c r="D101" s="419"/>
      <c r="E101" s="420"/>
      <c r="F101" s="513"/>
      <c r="G101" s="419"/>
      <c r="H101" s="416"/>
    </row>
    <row r="102" spans="1:8" ht="22.5">
      <c r="A102" s="422" t="s">
        <v>1509</v>
      </c>
      <c r="B102" s="423" t="s">
        <v>1505</v>
      </c>
      <c r="C102" s="456">
        <v>28</v>
      </c>
      <c r="D102" s="419"/>
      <c r="E102" s="420"/>
      <c r="F102" s="513"/>
      <c r="G102" s="419"/>
      <c r="H102" s="416"/>
    </row>
    <row r="103" spans="1:8">
      <c r="A103" s="424" t="s">
        <v>1507</v>
      </c>
      <c r="B103" s="423" t="s">
        <v>1511</v>
      </c>
      <c r="C103" s="456">
        <v>33</v>
      </c>
      <c r="D103" s="419"/>
      <c r="E103" s="420"/>
      <c r="F103" s="513"/>
      <c r="G103" s="419"/>
      <c r="H103" s="416"/>
    </row>
    <row r="104" spans="1:8">
      <c r="A104" s="513" t="s">
        <v>1888</v>
      </c>
      <c r="B104" s="419" t="s">
        <v>1889</v>
      </c>
      <c r="C104" s="456">
        <v>58</v>
      </c>
      <c r="D104" s="419"/>
      <c r="E104" s="420"/>
      <c r="F104" s="513"/>
      <c r="G104" s="419"/>
      <c r="H104" s="416"/>
    </row>
    <row r="105" spans="1:8">
      <c r="A105" s="513"/>
      <c r="B105" s="419"/>
      <c r="C105" s="419" t="s">
        <v>1890</v>
      </c>
      <c r="D105" s="513"/>
      <c r="E105" s="419" t="s">
        <v>1891</v>
      </c>
      <c r="F105" s="513"/>
      <c r="G105" s="419"/>
      <c r="H105" s="416"/>
    </row>
    <row r="106" spans="1:8">
      <c r="A106" s="513" t="s">
        <v>1448</v>
      </c>
      <c r="B106" s="419" t="s">
        <v>1892</v>
      </c>
      <c r="C106" s="456">
        <v>226</v>
      </c>
      <c r="D106" s="511" t="s">
        <v>1893</v>
      </c>
      <c r="E106" s="456">
        <v>209</v>
      </c>
      <c r="F106" s="513"/>
      <c r="G106" s="419"/>
      <c r="H106" s="416"/>
    </row>
    <row r="107" spans="1:8">
      <c r="A107" s="513" t="s">
        <v>1449</v>
      </c>
      <c r="B107" s="419" t="s">
        <v>1894</v>
      </c>
      <c r="C107" s="456">
        <v>187</v>
      </c>
      <c r="D107" s="511" t="s">
        <v>1895</v>
      </c>
      <c r="E107" s="456">
        <v>171</v>
      </c>
      <c r="F107" s="513"/>
      <c r="G107" s="419"/>
      <c r="H107" s="416"/>
    </row>
    <row r="108" spans="1:8">
      <c r="A108" s="513" t="s">
        <v>1450</v>
      </c>
      <c r="B108" s="419" t="s">
        <v>1896</v>
      </c>
      <c r="C108" s="456">
        <v>143</v>
      </c>
      <c r="D108" s="511" t="s">
        <v>1897</v>
      </c>
      <c r="E108" s="456">
        <v>132</v>
      </c>
      <c r="F108" s="513"/>
      <c r="G108" s="419"/>
      <c r="H108" s="416"/>
    </row>
    <row r="109" spans="1:8">
      <c r="A109" s="513" t="s">
        <v>1452</v>
      </c>
      <c r="B109" s="419" t="s">
        <v>1898</v>
      </c>
      <c r="C109" s="456">
        <v>105</v>
      </c>
      <c r="D109" s="511" t="s">
        <v>1899</v>
      </c>
      <c r="E109" s="456">
        <v>88</v>
      </c>
      <c r="F109" s="513"/>
      <c r="G109" s="419"/>
      <c r="H109" s="416"/>
    </row>
    <row r="110" spans="1:8">
      <c r="A110" s="513" t="s">
        <v>1900</v>
      </c>
      <c r="B110" s="419"/>
      <c r="C110" s="456">
        <f>C106+C108</f>
        <v>369</v>
      </c>
      <c r="D110" s="511"/>
      <c r="E110" s="456">
        <f>E106+E108</f>
        <v>341</v>
      </c>
      <c r="F110" s="513"/>
      <c r="G110" s="419"/>
      <c r="H110" s="416"/>
    </row>
    <row r="111" spans="1:8">
      <c r="A111" s="513" t="s">
        <v>1901</v>
      </c>
      <c r="B111" s="419"/>
      <c r="C111" s="456">
        <f>C106+C109</f>
        <v>331</v>
      </c>
      <c r="D111" s="511"/>
      <c r="E111" s="456">
        <f>E106+E109</f>
        <v>297</v>
      </c>
      <c r="F111" s="513"/>
      <c r="G111" s="419"/>
      <c r="H111" s="416"/>
    </row>
    <row r="112" spans="1:8">
      <c r="A112" s="513" t="s">
        <v>1902</v>
      </c>
      <c r="B112" s="419" t="s">
        <v>1903</v>
      </c>
      <c r="C112" s="456">
        <v>63</v>
      </c>
      <c r="D112" s="511" t="s">
        <v>1904</v>
      </c>
      <c r="E112" s="456">
        <v>66</v>
      </c>
      <c r="F112" s="513"/>
      <c r="G112" s="419"/>
      <c r="H112" s="416"/>
    </row>
    <row r="113" spans="1:8">
      <c r="A113" s="513"/>
      <c r="B113" s="419"/>
      <c r="C113" s="419"/>
      <c r="D113" s="419"/>
      <c r="E113" s="420"/>
      <c r="F113" s="513"/>
      <c r="G113" s="419"/>
      <c r="H113" s="416"/>
    </row>
    <row r="114" spans="1:8" ht="25.5">
      <c r="A114" s="513" t="s">
        <v>1905</v>
      </c>
      <c r="B114" s="419" t="s">
        <v>1906</v>
      </c>
      <c r="C114" s="456">
        <v>20</v>
      </c>
      <c r="D114" s="419"/>
      <c r="E114" s="420" t="s">
        <v>1907</v>
      </c>
      <c r="F114" s="513" t="s">
        <v>1908</v>
      </c>
      <c r="G114" s="456">
        <v>20</v>
      </c>
      <c r="H114" s="416"/>
    </row>
    <row r="115" spans="1:8" ht="25.5">
      <c r="A115" s="513" t="s">
        <v>1455</v>
      </c>
      <c r="B115" s="419" t="s">
        <v>1909</v>
      </c>
      <c r="C115" s="456">
        <v>1484</v>
      </c>
      <c r="D115" s="419"/>
      <c r="E115" s="420" t="s">
        <v>1910</v>
      </c>
      <c r="F115" s="513" t="s">
        <v>1911</v>
      </c>
      <c r="G115" s="456">
        <v>46</v>
      </c>
      <c r="H115" s="416"/>
    </row>
    <row r="116" spans="1:8" ht="25.5">
      <c r="A116" s="513" t="s">
        <v>1912</v>
      </c>
      <c r="B116" s="419" t="s">
        <v>1913</v>
      </c>
      <c r="C116" s="456">
        <v>17</v>
      </c>
      <c r="D116" s="419"/>
      <c r="E116" s="420" t="s">
        <v>1914</v>
      </c>
      <c r="F116" s="513" t="s">
        <v>1915</v>
      </c>
      <c r="G116" s="456">
        <v>1093</v>
      </c>
      <c r="H116" s="416"/>
    </row>
    <row r="117" spans="1:8" ht="25.5">
      <c r="A117" s="513" t="s">
        <v>1916</v>
      </c>
      <c r="B117" s="419" t="s">
        <v>1917</v>
      </c>
      <c r="C117" s="456">
        <v>20</v>
      </c>
      <c r="D117" s="419"/>
      <c r="E117" s="420" t="s">
        <v>1918</v>
      </c>
      <c r="F117" s="513" t="s">
        <v>1919</v>
      </c>
      <c r="G117" s="456">
        <v>198</v>
      </c>
      <c r="H117" s="416"/>
    </row>
    <row r="118" spans="1:8">
      <c r="A118" s="513" t="s">
        <v>1920</v>
      </c>
      <c r="B118" s="419" t="s">
        <v>1921</v>
      </c>
      <c r="C118" s="456">
        <v>26</v>
      </c>
      <c r="D118" s="419"/>
      <c r="E118" s="420" t="s">
        <v>1922</v>
      </c>
      <c r="F118" s="513" t="s">
        <v>1923</v>
      </c>
      <c r="G118" s="456">
        <v>2645</v>
      </c>
      <c r="H118" s="416"/>
    </row>
    <row r="119" spans="1:8" ht="38.25">
      <c r="A119" s="513" t="s">
        <v>1924</v>
      </c>
      <c r="B119" s="419" t="s">
        <v>1925</v>
      </c>
      <c r="C119" s="456">
        <v>1208</v>
      </c>
      <c r="D119" s="419"/>
      <c r="E119" s="420" t="s">
        <v>1926</v>
      </c>
      <c r="F119" s="513" t="s">
        <v>1927</v>
      </c>
      <c r="G119" s="456">
        <v>94</v>
      </c>
      <c r="H119" s="416"/>
    </row>
    <row r="120" spans="1:8">
      <c r="A120" s="513" t="s">
        <v>1928</v>
      </c>
      <c r="B120" s="419" t="s">
        <v>1929</v>
      </c>
      <c r="C120" s="456">
        <v>21</v>
      </c>
      <c r="D120" s="419"/>
      <c r="E120" s="420" t="s">
        <v>1576</v>
      </c>
      <c r="F120" s="513" t="s">
        <v>1930</v>
      </c>
      <c r="G120" s="456">
        <v>33</v>
      </c>
      <c r="H120" s="416"/>
    </row>
    <row r="121" spans="1:8" ht="51">
      <c r="A121" s="513" t="s">
        <v>1931</v>
      </c>
      <c r="B121" s="419" t="s">
        <v>1932</v>
      </c>
      <c r="C121" s="456">
        <v>44</v>
      </c>
      <c r="D121" s="419"/>
      <c r="E121" s="420" t="s">
        <v>1933</v>
      </c>
      <c r="F121" s="513" t="s">
        <v>1934</v>
      </c>
      <c r="G121" s="456">
        <v>267</v>
      </c>
      <c r="H121" s="416"/>
    </row>
    <row r="122" spans="1:8" ht="22.5">
      <c r="A122" s="513" t="s">
        <v>1935</v>
      </c>
      <c r="B122" s="419" t="s">
        <v>1936</v>
      </c>
      <c r="C122" s="456">
        <v>127</v>
      </c>
      <c r="D122" s="419"/>
      <c r="E122" s="422" t="s">
        <v>1937</v>
      </c>
      <c r="F122" s="513" t="s">
        <v>1938</v>
      </c>
      <c r="G122" s="456">
        <v>963</v>
      </c>
      <c r="H122" s="416"/>
    </row>
    <row r="123" spans="1:8" ht="38.25">
      <c r="A123" s="513" t="s">
        <v>1939</v>
      </c>
      <c r="B123" s="419" t="s">
        <v>1940</v>
      </c>
      <c r="C123" s="456">
        <v>127</v>
      </c>
      <c r="D123" s="419"/>
      <c r="E123" s="425" t="s">
        <v>1941</v>
      </c>
      <c r="F123" s="513" t="s">
        <v>1942</v>
      </c>
      <c r="G123" s="456">
        <v>396</v>
      </c>
      <c r="H123" s="416"/>
    </row>
    <row r="124" spans="1:8" ht="25.5">
      <c r="A124" s="513" t="s">
        <v>1943</v>
      </c>
      <c r="B124" s="419" t="s">
        <v>1944</v>
      </c>
      <c r="C124" s="456">
        <v>94</v>
      </c>
      <c r="D124" s="419"/>
      <c r="E124" s="425" t="s">
        <v>1945</v>
      </c>
      <c r="F124" s="513" t="s">
        <v>1946</v>
      </c>
      <c r="G124" s="456">
        <v>209</v>
      </c>
      <c r="H124" s="416"/>
    </row>
    <row r="125" spans="1:8" ht="45">
      <c r="A125" s="513" t="s">
        <v>1947</v>
      </c>
      <c r="B125" s="419" t="s">
        <v>1948</v>
      </c>
      <c r="C125" s="456">
        <v>143</v>
      </c>
      <c r="D125" s="419"/>
      <c r="E125" s="422" t="s">
        <v>1949</v>
      </c>
      <c r="F125" s="513" t="s">
        <v>1950</v>
      </c>
      <c r="G125" s="456">
        <v>110</v>
      </c>
      <c r="H125" s="416"/>
    </row>
    <row r="126" spans="1:8" ht="56.25">
      <c r="A126" s="513" t="s">
        <v>1663</v>
      </c>
      <c r="B126" s="419" t="s">
        <v>1951</v>
      </c>
      <c r="C126" s="456">
        <v>88</v>
      </c>
      <c r="D126" s="419"/>
      <c r="E126" s="425" t="s">
        <v>1952</v>
      </c>
      <c r="F126" s="513" t="s">
        <v>1953</v>
      </c>
      <c r="G126" s="456">
        <v>5865</v>
      </c>
      <c r="H126" s="416"/>
    </row>
    <row r="127" spans="1:8" ht="25.5">
      <c r="A127" s="513" t="s">
        <v>1954</v>
      </c>
      <c r="B127" s="419" t="s">
        <v>1955</v>
      </c>
      <c r="C127" s="456">
        <v>77</v>
      </c>
      <c r="D127" s="419"/>
      <c r="E127" s="425" t="s">
        <v>1956</v>
      </c>
      <c r="F127" s="513" t="s">
        <v>1957</v>
      </c>
      <c r="G127" s="456">
        <v>209</v>
      </c>
      <c r="H127" s="416"/>
    </row>
    <row r="128" spans="1:8" ht="33.75">
      <c r="A128" s="513" t="s">
        <v>1958</v>
      </c>
      <c r="B128" s="419" t="s">
        <v>2092</v>
      </c>
      <c r="C128" s="456">
        <v>1737</v>
      </c>
      <c r="D128" s="419"/>
      <c r="E128" s="426" t="s">
        <v>1959</v>
      </c>
      <c r="F128" s="513" t="s">
        <v>1960</v>
      </c>
      <c r="G128" s="456">
        <v>385</v>
      </c>
      <c r="H128" s="416"/>
    </row>
    <row r="129" spans="1:8" ht="25.5">
      <c r="A129" s="513" t="s">
        <v>1961</v>
      </c>
      <c r="B129" s="419" t="s">
        <v>1962</v>
      </c>
      <c r="C129" s="456">
        <v>2806</v>
      </c>
      <c r="D129" s="419"/>
      <c r="E129" s="422" t="s">
        <v>1963</v>
      </c>
      <c r="F129" s="513" t="s">
        <v>1964</v>
      </c>
      <c r="G129" s="456">
        <v>72</v>
      </c>
      <c r="H129" s="416"/>
    </row>
    <row r="130" spans="1:8" ht="25.5">
      <c r="A130" s="513" t="s">
        <v>1965</v>
      </c>
      <c r="B130" s="419" t="s">
        <v>1966</v>
      </c>
      <c r="C130" s="456">
        <v>4284</v>
      </c>
      <c r="D130" s="419"/>
      <c r="E130" s="422" t="s">
        <v>1967</v>
      </c>
      <c r="F130" s="513" t="s">
        <v>1968</v>
      </c>
      <c r="G130" s="456">
        <v>72</v>
      </c>
      <c r="H130" s="416"/>
    </row>
    <row r="131" spans="1:8" ht="45">
      <c r="A131" s="513" t="s">
        <v>1969</v>
      </c>
      <c r="B131" s="419" t="s">
        <v>1970</v>
      </c>
      <c r="C131" s="456">
        <v>1513</v>
      </c>
      <c r="D131" s="419"/>
      <c r="E131" s="426" t="s">
        <v>1971</v>
      </c>
      <c r="F131" s="513" t="s">
        <v>1972</v>
      </c>
      <c r="G131" s="456">
        <v>7</v>
      </c>
      <c r="H131" s="416"/>
    </row>
    <row r="132" spans="1:8" ht="33.75">
      <c r="A132" s="513" t="s">
        <v>1973</v>
      </c>
      <c r="B132" s="419" t="s">
        <v>1974</v>
      </c>
      <c r="C132" s="456">
        <v>72</v>
      </c>
      <c r="D132" s="419"/>
      <c r="E132" s="426" t="s">
        <v>1975</v>
      </c>
      <c r="F132" s="513" t="s">
        <v>1976</v>
      </c>
      <c r="G132" s="456">
        <v>13</v>
      </c>
      <c r="H132" s="416"/>
    </row>
    <row r="133" spans="1:8" ht="22.5">
      <c r="A133" s="513" t="s">
        <v>1977</v>
      </c>
      <c r="B133" s="419" t="s">
        <v>1978</v>
      </c>
      <c r="C133" s="456">
        <v>473</v>
      </c>
      <c r="D133" s="419"/>
      <c r="E133" s="426" t="s">
        <v>1979</v>
      </c>
      <c r="F133" s="513" t="s">
        <v>1427</v>
      </c>
      <c r="G133" s="456">
        <v>275</v>
      </c>
      <c r="H133" s="416"/>
    </row>
    <row r="134" spans="1:8" ht="45">
      <c r="A134" s="513" t="s">
        <v>2090</v>
      </c>
      <c r="B134" s="419" t="s">
        <v>2091</v>
      </c>
      <c r="C134" s="506">
        <v>1208</v>
      </c>
      <c r="D134" s="419"/>
      <c r="E134" s="426" t="s">
        <v>1980</v>
      </c>
      <c r="F134" s="513" t="s">
        <v>1429</v>
      </c>
      <c r="G134" s="456">
        <v>143</v>
      </c>
      <c r="H134" s="416"/>
    </row>
    <row r="135" spans="1:8">
      <c r="A135" s="513"/>
      <c r="B135" s="419"/>
      <c r="C135" s="419"/>
      <c r="D135" s="419"/>
      <c r="E135" s="426" t="s">
        <v>1981</v>
      </c>
      <c r="F135" s="513" t="s">
        <v>1982</v>
      </c>
      <c r="G135" s="456">
        <v>22</v>
      </c>
      <c r="H135" s="416"/>
    </row>
    <row r="136" spans="1:8">
      <c r="A136" s="513"/>
      <c r="B136" s="419"/>
      <c r="C136" s="419"/>
      <c r="D136" s="419"/>
      <c r="E136" s="426" t="s">
        <v>1983</v>
      </c>
      <c r="F136" s="513" t="s">
        <v>1984</v>
      </c>
      <c r="G136" s="456">
        <v>17</v>
      </c>
      <c r="H136" s="416"/>
    </row>
    <row r="137" spans="1:8" ht="22.5">
      <c r="A137" s="513"/>
      <c r="B137" s="419"/>
      <c r="C137" s="419"/>
      <c r="D137" s="419"/>
      <c r="E137" s="422" t="s">
        <v>1985</v>
      </c>
      <c r="F137" s="513" t="s">
        <v>1986</v>
      </c>
      <c r="G137" s="456">
        <v>275</v>
      </c>
      <c r="H137" s="416"/>
    </row>
    <row r="138" spans="1:8" ht="22.5">
      <c r="A138" s="513"/>
      <c r="B138" s="419"/>
      <c r="C138" s="419"/>
      <c r="D138" s="419"/>
      <c r="E138" s="422" t="s">
        <v>1985</v>
      </c>
      <c r="F138" s="513" t="s">
        <v>1986</v>
      </c>
      <c r="G138" s="456">
        <v>275</v>
      </c>
      <c r="H138" s="416"/>
    </row>
    <row r="139" spans="1:8">
      <c r="A139" s="513"/>
      <c r="B139" s="419"/>
      <c r="C139" s="419"/>
      <c r="D139" s="419"/>
      <c r="E139" s="420" t="s">
        <v>1569</v>
      </c>
      <c r="F139" s="513" t="s">
        <v>2095</v>
      </c>
      <c r="G139" s="456">
        <v>1822</v>
      </c>
      <c r="H139" s="416"/>
    </row>
    <row r="140" spans="1:8">
      <c r="A140" s="513"/>
      <c r="B140" s="419"/>
      <c r="C140" s="419"/>
      <c r="D140" s="419"/>
      <c r="E140" s="420" t="s">
        <v>1569</v>
      </c>
      <c r="F140" s="513" t="s">
        <v>2270</v>
      </c>
      <c r="G140" s="508">
        <v>5428</v>
      </c>
      <c r="H140" s="416"/>
    </row>
    <row r="141" spans="1:8">
      <c r="A141" s="513"/>
      <c r="B141" s="419"/>
      <c r="C141" s="419"/>
      <c r="D141" s="419"/>
      <c r="E141" s="420"/>
      <c r="F141" s="513"/>
      <c r="G141" s="419"/>
      <c r="H141" s="416"/>
    </row>
    <row r="142" spans="1:8" ht="25.5">
      <c r="A142" s="427" t="s">
        <v>1987</v>
      </c>
      <c r="B142" s="418" t="s">
        <v>1375</v>
      </c>
      <c r="C142" s="511">
        <v>74500</v>
      </c>
      <c r="D142" s="419"/>
      <c r="E142" s="427" t="s">
        <v>1378</v>
      </c>
      <c r="F142" s="418" t="s">
        <v>1379</v>
      </c>
      <c r="G142" s="511">
        <v>231</v>
      </c>
      <c r="H142" s="416"/>
    </row>
    <row r="143" spans="1:8" ht="38.25">
      <c r="A143" s="427" t="s">
        <v>1988</v>
      </c>
      <c r="B143" s="418" t="s">
        <v>1377</v>
      </c>
      <c r="C143" s="511">
        <v>149000</v>
      </c>
      <c r="D143" s="419"/>
      <c r="E143" s="427" t="s">
        <v>1395</v>
      </c>
      <c r="F143" s="419" t="s">
        <v>1396</v>
      </c>
      <c r="G143" s="511">
        <v>84</v>
      </c>
      <c r="H143" s="416"/>
    </row>
    <row r="144" spans="1:8" ht="38.25">
      <c r="A144" s="427" t="s">
        <v>1989</v>
      </c>
      <c r="B144" s="418" t="s">
        <v>1687</v>
      </c>
      <c r="C144" s="511">
        <v>48500</v>
      </c>
      <c r="D144" s="419"/>
      <c r="E144" s="420" t="s">
        <v>1414</v>
      </c>
      <c r="F144" s="419" t="s">
        <v>1415</v>
      </c>
      <c r="G144" s="511">
        <v>103</v>
      </c>
      <c r="H144" s="416"/>
    </row>
    <row r="145" spans="1:8" ht="38.25">
      <c r="A145" s="427" t="s">
        <v>1990</v>
      </c>
      <c r="B145" s="418" t="s">
        <v>1689</v>
      </c>
      <c r="C145" s="511">
        <v>61000</v>
      </c>
      <c r="D145" s="419"/>
      <c r="E145" s="427" t="s">
        <v>1380</v>
      </c>
      <c r="F145" s="418" t="s">
        <v>1381</v>
      </c>
      <c r="G145" s="511">
        <v>246</v>
      </c>
      <c r="H145" s="416"/>
    </row>
    <row r="146" spans="1:8" ht="38.25">
      <c r="A146" s="513" t="s">
        <v>1392</v>
      </c>
      <c r="B146" s="419" t="s">
        <v>1393</v>
      </c>
      <c r="C146" s="511">
        <v>3030</v>
      </c>
      <c r="D146" s="419"/>
      <c r="E146" s="427" t="s">
        <v>1397</v>
      </c>
      <c r="F146" s="419" t="s">
        <v>1398</v>
      </c>
      <c r="G146" s="511">
        <v>117</v>
      </c>
      <c r="H146" s="416"/>
    </row>
    <row r="147" spans="1:8" ht="38.25">
      <c r="A147" s="513" t="s">
        <v>1991</v>
      </c>
      <c r="B147" s="419" t="s">
        <v>1410</v>
      </c>
      <c r="C147" s="511">
        <v>805</v>
      </c>
      <c r="D147" s="419"/>
      <c r="E147" s="427" t="s">
        <v>1382</v>
      </c>
      <c r="F147" s="418" t="s">
        <v>1383</v>
      </c>
      <c r="G147" s="511">
        <v>103</v>
      </c>
      <c r="H147" s="416"/>
    </row>
    <row r="148" spans="1:8" ht="25.5">
      <c r="A148" s="513" t="s">
        <v>2289</v>
      </c>
      <c r="B148" s="419" t="s">
        <v>2099</v>
      </c>
      <c r="C148" s="508">
        <v>1790</v>
      </c>
      <c r="D148" s="419"/>
      <c r="E148" s="427" t="s">
        <v>1384</v>
      </c>
      <c r="F148" s="418" t="s">
        <v>1385</v>
      </c>
      <c r="G148" s="511">
        <v>1087</v>
      </c>
      <c r="H148" s="416"/>
    </row>
    <row r="149" spans="1:8" ht="38.25">
      <c r="A149" s="513" t="s">
        <v>1992</v>
      </c>
      <c r="B149" s="419" t="s">
        <v>1391</v>
      </c>
      <c r="C149" s="511">
        <v>1672</v>
      </c>
      <c r="D149" s="419"/>
      <c r="E149" s="427" t="s">
        <v>1399</v>
      </c>
      <c r="F149" s="419" t="s">
        <v>1400</v>
      </c>
      <c r="G149" s="511">
        <v>308</v>
      </c>
      <c r="H149" s="416"/>
    </row>
    <row r="150" spans="1:8" ht="25.5">
      <c r="A150" s="513" t="s">
        <v>1993</v>
      </c>
      <c r="B150" s="419" t="s">
        <v>1695</v>
      </c>
      <c r="C150" s="511">
        <v>1546</v>
      </c>
      <c r="D150" s="419"/>
      <c r="E150" s="427" t="s">
        <v>1386</v>
      </c>
      <c r="F150" s="418" t="s">
        <v>1387</v>
      </c>
      <c r="G150" s="511">
        <v>168</v>
      </c>
      <c r="H150" s="416"/>
    </row>
    <row r="151" spans="1:8" ht="38.25">
      <c r="A151" s="513" t="s">
        <v>2290</v>
      </c>
      <c r="B151" s="419" t="s">
        <v>1394</v>
      </c>
      <c r="C151" s="508">
        <v>800</v>
      </c>
      <c r="D151" s="419"/>
      <c r="E151" s="427" t="s">
        <v>1401</v>
      </c>
      <c r="F151" s="419" t="s">
        <v>1402</v>
      </c>
      <c r="G151" s="511">
        <v>45</v>
      </c>
      <c r="H151" s="416"/>
    </row>
    <row r="152" spans="1:8" ht="38.25">
      <c r="A152" s="513" t="s">
        <v>1995</v>
      </c>
      <c r="B152" s="419" t="s">
        <v>1996</v>
      </c>
      <c r="C152" s="511">
        <v>8058</v>
      </c>
      <c r="D152" s="419"/>
      <c r="E152" s="427" t="s">
        <v>1388</v>
      </c>
      <c r="F152" s="418" t="s">
        <v>1389</v>
      </c>
      <c r="G152" s="511">
        <v>35</v>
      </c>
      <c r="H152" s="416"/>
    </row>
    <row r="153" spans="1:8">
      <c r="A153" s="513" t="s">
        <v>1997</v>
      </c>
      <c r="B153" s="419" t="s">
        <v>1417</v>
      </c>
      <c r="C153" s="511">
        <v>6038</v>
      </c>
      <c r="D153" s="419"/>
      <c r="E153" s="420" t="s">
        <v>1998</v>
      </c>
      <c r="F153" s="419" t="s">
        <v>1407</v>
      </c>
      <c r="G153" s="511">
        <v>373</v>
      </c>
      <c r="H153" s="416"/>
    </row>
    <row r="154" spans="1:8" ht="38.25">
      <c r="A154" s="513" t="s">
        <v>1999</v>
      </c>
      <c r="B154" s="419" t="s">
        <v>1420</v>
      </c>
      <c r="C154" s="511">
        <v>5830</v>
      </c>
      <c r="D154" s="419"/>
      <c r="E154" s="420" t="s">
        <v>2000</v>
      </c>
      <c r="F154" s="419" t="s">
        <v>1408</v>
      </c>
      <c r="G154" s="511">
        <v>353</v>
      </c>
      <c r="H154" s="416"/>
    </row>
    <row r="155" spans="1:8" ht="25.5">
      <c r="A155" s="513" t="s">
        <v>1994</v>
      </c>
      <c r="B155" s="419" t="s">
        <v>2101</v>
      </c>
      <c r="C155" s="508">
        <v>407</v>
      </c>
      <c r="D155" s="419"/>
      <c r="E155" s="427" t="s">
        <v>2001</v>
      </c>
      <c r="F155" s="419" t="s">
        <v>1693</v>
      </c>
      <c r="G155" s="511">
        <v>53</v>
      </c>
      <c r="H155" s="416"/>
    </row>
    <row r="156" spans="1:8">
      <c r="A156" s="512" t="s">
        <v>2292</v>
      </c>
      <c r="B156" s="516" t="s">
        <v>2291</v>
      </c>
      <c r="C156" s="510">
        <v>3797</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xl/worksheets/sheet34.xml><?xml version="1.0" encoding="utf-8"?>
<worksheet xmlns="http://schemas.openxmlformats.org/spreadsheetml/2006/main" xmlns:r="http://schemas.openxmlformats.org/officeDocument/2006/relationships">
  <sheetPr>
    <tabColor rgb="FF7030A0"/>
  </sheetPr>
  <dimension ref="A1:H156"/>
  <sheetViews>
    <sheetView view="pageBreakPreview" topLeftCell="A40" zoomScale="115" zoomScaleNormal="115" zoomScaleSheetLayoutView="115" workbookViewId="0">
      <selection activeCell="C45" sqref="C45"/>
    </sheetView>
  </sheetViews>
  <sheetFormatPr defaultColWidth="9.140625" defaultRowHeight="12.75"/>
  <cols>
    <col min="1" max="1" width="22.28515625" style="512" customWidth="1"/>
    <col min="2" max="2" width="11.5703125" style="516" customWidth="1"/>
    <col min="3" max="3" width="10.42578125" style="516" bestFit="1" customWidth="1"/>
    <col min="4" max="4" width="10.7109375" style="516" customWidth="1"/>
    <col min="5" max="5" width="11.85546875" style="517" customWidth="1"/>
    <col min="6" max="6" width="17.42578125" style="512" customWidth="1"/>
    <col min="7" max="7" width="10.140625" style="516" customWidth="1"/>
    <col min="8" max="8" width="9.28515625" style="518" bestFit="1" customWidth="1"/>
    <col min="9" max="16384" width="9.140625" style="512"/>
  </cols>
  <sheetData>
    <row r="1" spans="1:8" ht="18.75">
      <c r="A1" s="1901" t="s">
        <v>2316</v>
      </c>
      <c r="B1" s="1901"/>
      <c r="C1" s="1901"/>
      <c r="D1" s="1901"/>
      <c r="E1" s="1901"/>
      <c r="F1" s="1901"/>
      <c r="G1" s="1901"/>
      <c r="H1" s="1901"/>
    </row>
    <row r="2" spans="1:8">
      <c r="A2" s="513"/>
      <c r="B2" s="419"/>
      <c r="C2" s="419"/>
      <c r="D2" s="419"/>
      <c r="E2" s="420"/>
      <c r="F2" s="513" t="s">
        <v>1698</v>
      </c>
      <c r="G2" s="419" t="s">
        <v>1699</v>
      </c>
      <c r="H2" s="416" t="s">
        <v>8</v>
      </c>
    </row>
    <row r="3" spans="1:8">
      <c r="A3" s="513"/>
      <c r="B3" s="419" t="s">
        <v>1700</v>
      </c>
      <c r="C3" s="419" t="s">
        <v>8</v>
      </c>
      <c r="D3" s="419"/>
      <c r="E3" s="420"/>
      <c r="F3" s="513" t="s">
        <v>1701</v>
      </c>
      <c r="G3" s="419" t="s">
        <v>1702</v>
      </c>
      <c r="H3" s="456">
        <v>630</v>
      </c>
    </row>
    <row r="4" spans="1:8">
      <c r="A4" s="415" t="s">
        <v>847</v>
      </c>
      <c r="B4" s="419" t="s">
        <v>1703</v>
      </c>
      <c r="C4" s="416">
        <v>4700</v>
      </c>
      <c r="D4" s="419"/>
      <c r="E4" s="420"/>
      <c r="F4" s="513" t="s">
        <v>1704</v>
      </c>
      <c r="G4" s="419" t="s">
        <v>1705</v>
      </c>
      <c r="H4" s="456">
        <v>565</v>
      </c>
    </row>
    <row r="5" spans="1:8">
      <c r="A5" s="389" t="s">
        <v>1706</v>
      </c>
      <c r="B5" s="419"/>
      <c r="C5" s="416">
        <v>64000</v>
      </c>
      <c r="D5" s="419" t="s">
        <v>2418</v>
      </c>
      <c r="E5" s="420"/>
      <c r="F5" s="513" t="s">
        <v>1707</v>
      </c>
      <c r="G5" s="419" t="s">
        <v>1708</v>
      </c>
      <c r="H5" s="456">
        <v>525</v>
      </c>
    </row>
    <row r="6" spans="1:8">
      <c r="A6" s="389" t="s">
        <v>1709</v>
      </c>
      <c r="B6" s="419"/>
      <c r="C6" s="416">
        <v>62000</v>
      </c>
      <c r="D6" s="419" t="s">
        <v>2418</v>
      </c>
      <c r="E6" s="420"/>
      <c r="F6" s="513" t="s">
        <v>1710</v>
      </c>
      <c r="G6" s="419" t="s">
        <v>1711</v>
      </c>
      <c r="H6" s="456">
        <v>750</v>
      </c>
    </row>
    <row r="7" spans="1:8">
      <c r="A7" s="389" t="s">
        <v>848</v>
      </c>
      <c r="B7" s="419"/>
      <c r="C7" s="416">
        <v>62000</v>
      </c>
      <c r="D7" s="419" t="s">
        <v>2418</v>
      </c>
      <c r="E7" s="420"/>
      <c r="F7" s="513"/>
      <c r="G7" s="419"/>
      <c r="H7" s="506"/>
    </row>
    <row r="8" spans="1:8">
      <c r="A8" s="389" t="s">
        <v>849</v>
      </c>
      <c r="B8" s="419"/>
      <c r="C8" s="416">
        <v>62000</v>
      </c>
      <c r="D8" s="419" t="s">
        <v>2418</v>
      </c>
      <c r="E8" s="420"/>
      <c r="F8" s="513" t="s">
        <v>1712</v>
      </c>
      <c r="G8" s="419" t="s">
        <v>1713</v>
      </c>
      <c r="H8" s="456">
        <v>705</v>
      </c>
    </row>
    <row r="9" spans="1:8" ht="25.5">
      <c r="A9" s="389" t="s">
        <v>850</v>
      </c>
      <c r="B9" s="419" t="s">
        <v>1714</v>
      </c>
      <c r="C9" s="507">
        <v>700</v>
      </c>
      <c r="D9" s="419"/>
      <c r="E9" s="420"/>
      <c r="F9" s="513" t="s">
        <v>1715</v>
      </c>
      <c r="G9" s="419" t="s">
        <v>1716</v>
      </c>
      <c r="H9" s="456">
        <v>565</v>
      </c>
    </row>
    <row r="10" spans="1:8">
      <c r="A10" s="389" t="s">
        <v>851</v>
      </c>
      <c r="B10" s="419" t="s">
        <v>1717</v>
      </c>
      <c r="C10" s="507">
        <v>605</v>
      </c>
      <c r="D10" s="419"/>
      <c r="E10" s="420"/>
      <c r="F10" s="513" t="s">
        <v>1339</v>
      </c>
      <c r="G10" s="419" t="s">
        <v>1718</v>
      </c>
      <c r="H10" s="456">
        <v>615</v>
      </c>
    </row>
    <row r="11" spans="1:8">
      <c r="A11" s="389" t="s">
        <v>768</v>
      </c>
      <c r="B11" s="419" t="s">
        <v>1719</v>
      </c>
      <c r="C11" s="507">
        <v>460</v>
      </c>
      <c r="D11" s="419" t="s">
        <v>861</v>
      </c>
      <c r="E11" s="420" t="s">
        <v>862</v>
      </c>
      <c r="F11" s="513" t="s">
        <v>1340</v>
      </c>
      <c r="G11" s="419" t="s">
        <v>1720</v>
      </c>
      <c r="H11" s="456">
        <v>590</v>
      </c>
    </row>
    <row r="12" spans="1:8">
      <c r="A12" s="389" t="s">
        <v>1721</v>
      </c>
      <c r="B12" s="419" t="s">
        <v>1722</v>
      </c>
      <c r="C12" s="507">
        <v>7500</v>
      </c>
      <c r="D12" s="508">
        <v>68.5</v>
      </c>
      <c r="E12" s="509">
        <v>68.5</v>
      </c>
      <c r="F12" s="513"/>
      <c r="G12" s="419"/>
      <c r="H12" s="506"/>
    </row>
    <row r="13" spans="1:8">
      <c r="A13" s="389" t="s">
        <v>853</v>
      </c>
      <c r="B13" s="419" t="s">
        <v>1723</v>
      </c>
      <c r="C13" s="507">
        <v>716</v>
      </c>
      <c r="D13" s="419"/>
      <c r="E13" s="420"/>
      <c r="F13" s="513" t="s">
        <v>1724</v>
      </c>
      <c r="G13" s="419" t="s">
        <v>1725</v>
      </c>
      <c r="H13" s="456">
        <v>705</v>
      </c>
    </row>
    <row r="14" spans="1:8" ht="25.5">
      <c r="A14" s="389" t="s">
        <v>854</v>
      </c>
      <c r="B14" s="419" t="s">
        <v>1726</v>
      </c>
      <c r="C14" s="507">
        <v>1196</v>
      </c>
      <c r="D14" s="419"/>
      <c r="E14" s="420"/>
      <c r="F14" s="513" t="s">
        <v>1727</v>
      </c>
      <c r="G14" s="419"/>
      <c r="H14" s="456">
        <v>565</v>
      </c>
    </row>
    <row r="15" spans="1:8">
      <c r="A15" s="389" t="s">
        <v>1728</v>
      </c>
      <c r="B15" s="419" t="s">
        <v>1729</v>
      </c>
      <c r="C15" s="507">
        <v>952</v>
      </c>
      <c r="D15" s="419"/>
      <c r="E15" s="420"/>
      <c r="F15" s="513"/>
      <c r="G15" s="419"/>
      <c r="H15" s="506"/>
    </row>
    <row r="16" spans="1:8">
      <c r="A16" s="389" t="s">
        <v>1730</v>
      </c>
      <c r="B16" s="419" t="s">
        <v>1731</v>
      </c>
      <c r="C16" s="507">
        <v>800</v>
      </c>
      <c r="D16" s="419"/>
      <c r="E16" s="420"/>
      <c r="F16" s="513" t="s">
        <v>156</v>
      </c>
      <c r="G16" s="419" t="s">
        <v>1732</v>
      </c>
      <c r="H16" s="456">
        <v>700</v>
      </c>
    </row>
    <row r="17" spans="1:8" ht="25.5">
      <c r="A17" s="389" t="s">
        <v>1733</v>
      </c>
      <c r="B17" s="419" t="s">
        <v>1734</v>
      </c>
      <c r="C17" s="507">
        <v>636</v>
      </c>
      <c r="D17" s="419"/>
      <c r="E17" s="420"/>
      <c r="F17" s="513" t="s">
        <v>1501</v>
      </c>
      <c r="G17" s="419" t="s">
        <v>1735</v>
      </c>
      <c r="H17" s="456">
        <v>570</v>
      </c>
    </row>
    <row r="18" spans="1:8">
      <c r="A18" s="389" t="s">
        <v>1194</v>
      </c>
      <c r="B18" s="419" t="s">
        <v>1736</v>
      </c>
      <c r="C18" s="456">
        <v>298</v>
      </c>
      <c r="D18" s="419"/>
      <c r="E18" s="420"/>
      <c r="F18" s="513" t="s">
        <v>3241</v>
      </c>
      <c r="G18" s="419" t="s">
        <v>1708</v>
      </c>
      <c r="H18" s="456">
        <v>505</v>
      </c>
    </row>
    <row r="19" spans="1:8">
      <c r="A19" s="393" t="s">
        <v>1737</v>
      </c>
      <c r="B19" s="419" t="s">
        <v>1738</v>
      </c>
      <c r="C19" s="507">
        <v>2100</v>
      </c>
      <c r="D19" s="419"/>
      <c r="E19" s="420"/>
      <c r="F19" s="513"/>
      <c r="G19" s="419"/>
      <c r="H19" s="416"/>
    </row>
    <row r="20" spans="1:8">
      <c r="A20" s="393" t="s">
        <v>1739</v>
      </c>
      <c r="B20" s="419" t="s">
        <v>1740</v>
      </c>
      <c r="C20" s="507">
        <v>315</v>
      </c>
      <c r="D20" s="419"/>
      <c r="E20" s="420"/>
      <c r="F20" s="513"/>
      <c r="G20" s="419"/>
      <c r="H20" s="416"/>
    </row>
    <row r="21" spans="1:8">
      <c r="A21" s="393" t="s">
        <v>1741</v>
      </c>
      <c r="B21" s="419" t="s">
        <v>1742</v>
      </c>
      <c r="C21" s="507">
        <v>612</v>
      </c>
      <c r="D21" s="419"/>
      <c r="E21" s="420"/>
      <c r="F21" s="513"/>
      <c r="G21" s="419"/>
      <c r="H21" s="416"/>
    </row>
    <row r="22" spans="1:8">
      <c r="A22" s="393" t="s">
        <v>1743</v>
      </c>
      <c r="B22" s="419" t="s">
        <v>1744</v>
      </c>
      <c r="C22" s="507">
        <v>370</v>
      </c>
      <c r="D22" s="419"/>
      <c r="E22" s="420"/>
      <c r="F22" s="513"/>
      <c r="G22" s="419"/>
      <c r="H22" s="416"/>
    </row>
    <row r="23" spans="1:8">
      <c r="A23" s="393" t="s">
        <v>1745</v>
      </c>
      <c r="B23" s="419" t="s">
        <v>1746</v>
      </c>
      <c r="C23" s="507">
        <v>330</v>
      </c>
      <c r="D23" s="419"/>
      <c r="E23" s="420"/>
      <c r="F23" s="513"/>
      <c r="G23" s="419"/>
      <c r="H23" s="416"/>
    </row>
    <row r="24" spans="1:8">
      <c r="A24" s="389" t="s">
        <v>1209</v>
      </c>
      <c r="B24" s="419" t="s">
        <v>3244</v>
      </c>
      <c r="C24" s="456">
        <v>18000</v>
      </c>
      <c r="D24" s="419"/>
      <c r="E24" s="420"/>
      <c r="F24" s="513" t="s">
        <v>1748</v>
      </c>
      <c r="G24" s="419"/>
      <c r="H24" s="416"/>
    </row>
    <row r="25" spans="1:8">
      <c r="A25" s="389" t="s">
        <v>860</v>
      </c>
      <c r="B25" s="419" t="s">
        <v>1749</v>
      </c>
      <c r="C25" s="506">
        <v>93</v>
      </c>
      <c r="D25" s="419"/>
      <c r="E25" s="420"/>
      <c r="F25" s="513" t="s">
        <v>1430</v>
      </c>
      <c r="G25" s="419"/>
      <c r="H25" s="456">
        <v>6.06</v>
      </c>
    </row>
    <row r="26" spans="1:8">
      <c r="A26" s="389" t="s">
        <v>664</v>
      </c>
      <c r="B26" s="419" t="s">
        <v>1750</v>
      </c>
      <c r="C26" s="456">
        <v>149</v>
      </c>
      <c r="D26" s="419"/>
      <c r="E26" s="420"/>
      <c r="F26" s="513" t="s">
        <v>1432</v>
      </c>
      <c r="G26" s="419"/>
      <c r="H26" s="456">
        <v>144.26</v>
      </c>
    </row>
    <row r="27" spans="1:8">
      <c r="A27" s="389" t="s">
        <v>1751</v>
      </c>
      <c r="B27" s="419" t="s">
        <v>1752</v>
      </c>
      <c r="C27" s="456">
        <v>30</v>
      </c>
      <c r="D27" s="419"/>
      <c r="E27" s="420"/>
      <c r="F27" s="513"/>
      <c r="G27" s="419"/>
      <c r="H27" s="416"/>
    </row>
    <row r="28" spans="1:8">
      <c r="A28" s="513"/>
      <c r="B28" s="419"/>
      <c r="C28" s="419"/>
      <c r="D28" s="419"/>
      <c r="E28" s="1902" t="s">
        <v>1753</v>
      </c>
      <c r="F28" s="1902"/>
      <c r="G28" s="1902"/>
      <c r="H28" s="1902"/>
    </row>
    <row r="29" spans="1:8">
      <c r="A29" s="389" t="s">
        <v>1754</v>
      </c>
      <c r="B29" s="419" t="s">
        <v>1755</v>
      </c>
      <c r="C29" s="456">
        <v>95</v>
      </c>
      <c r="D29" s="419"/>
      <c r="E29" s="515" t="s">
        <v>1756</v>
      </c>
      <c r="F29" s="417" t="s">
        <v>1757</v>
      </c>
      <c r="G29" s="418" t="s">
        <v>1758</v>
      </c>
      <c r="H29" s="418" t="s">
        <v>1759</v>
      </c>
    </row>
    <row r="30" spans="1:8">
      <c r="A30" s="389" t="s">
        <v>1760</v>
      </c>
      <c r="B30" s="419" t="s">
        <v>1761</v>
      </c>
      <c r="C30" s="456">
        <v>667.5</v>
      </c>
      <c r="D30" s="419"/>
      <c r="E30" s="519">
        <v>10.78</v>
      </c>
      <c r="F30" s="458">
        <v>84.62</v>
      </c>
      <c r="G30" s="458">
        <v>121.18</v>
      </c>
      <c r="H30" s="457">
        <v>157.72</v>
      </c>
    </row>
    <row r="31" spans="1:8" ht="25.5">
      <c r="A31" s="389" t="s">
        <v>1762</v>
      </c>
      <c r="B31" s="419" t="s">
        <v>1763</v>
      </c>
      <c r="C31" s="456">
        <v>259.10000000000002</v>
      </c>
      <c r="D31" s="419"/>
      <c r="E31" s="1902" t="s">
        <v>1764</v>
      </c>
      <c r="F31" s="1902"/>
      <c r="G31" s="1902"/>
      <c r="H31" s="1902"/>
    </row>
    <row r="32" spans="1:8">
      <c r="A32" s="389" t="s">
        <v>38</v>
      </c>
      <c r="B32" s="419" t="s">
        <v>1765</v>
      </c>
      <c r="C32" s="456">
        <v>70</v>
      </c>
      <c r="D32" s="419"/>
      <c r="E32" s="515" t="s">
        <v>1756</v>
      </c>
      <c r="F32" s="417" t="s">
        <v>1757</v>
      </c>
      <c r="G32" s="418" t="s">
        <v>1758</v>
      </c>
      <c r="H32" s="418" t="s">
        <v>1759</v>
      </c>
    </row>
    <row r="33" spans="1:8">
      <c r="A33" s="389" t="s">
        <v>1766</v>
      </c>
      <c r="B33" s="419" t="s">
        <v>1767</v>
      </c>
      <c r="C33" s="456">
        <v>16</v>
      </c>
      <c r="D33" s="419"/>
      <c r="E33" s="519">
        <v>2.57</v>
      </c>
      <c r="F33" s="458">
        <v>16.940000000000001</v>
      </c>
      <c r="G33" s="458">
        <v>24.04</v>
      </c>
      <c r="H33" s="457">
        <v>31.13</v>
      </c>
    </row>
    <row r="34" spans="1:8" ht="25.5">
      <c r="A34" s="389" t="s">
        <v>1768</v>
      </c>
      <c r="B34" s="419" t="s">
        <v>1769</v>
      </c>
      <c r="C34" s="456">
        <v>117.7</v>
      </c>
      <c r="D34" s="419"/>
      <c r="E34" s="1902" t="s">
        <v>1770</v>
      </c>
      <c r="F34" s="1902"/>
      <c r="G34" s="1902"/>
      <c r="H34" s="1902"/>
    </row>
    <row r="35" spans="1:8">
      <c r="A35" s="389" t="s">
        <v>1771</v>
      </c>
      <c r="B35" s="419" t="s">
        <v>1772</v>
      </c>
      <c r="C35" s="456">
        <v>30</v>
      </c>
      <c r="D35" s="419"/>
      <c r="E35" s="515" t="s">
        <v>1756</v>
      </c>
      <c r="F35" s="417" t="s">
        <v>1757</v>
      </c>
      <c r="G35" s="418" t="s">
        <v>1758</v>
      </c>
      <c r="H35" s="418" t="s">
        <v>1759</v>
      </c>
    </row>
    <row r="36" spans="1:8">
      <c r="A36" s="389" t="s">
        <v>1773</v>
      </c>
      <c r="B36" s="419" t="s">
        <v>1774</v>
      </c>
      <c r="C36" s="456">
        <v>6</v>
      </c>
      <c r="D36" s="419"/>
      <c r="E36" s="519">
        <v>1.08</v>
      </c>
      <c r="F36" s="458">
        <v>8.4700000000000006</v>
      </c>
      <c r="G36" s="458">
        <v>12.12</v>
      </c>
      <c r="H36" s="457">
        <v>15.77</v>
      </c>
    </row>
    <row r="37" spans="1:8">
      <c r="A37" s="389" t="s">
        <v>1775</v>
      </c>
      <c r="B37" s="419" t="s">
        <v>1776</v>
      </c>
      <c r="C37" s="456">
        <v>76</v>
      </c>
      <c r="D37" s="419"/>
      <c r="E37" s="420"/>
      <c r="F37" s="419"/>
      <c r="G37" s="419"/>
      <c r="H37" s="416"/>
    </row>
    <row r="38" spans="1:8">
      <c r="A38" s="389" t="s">
        <v>1777</v>
      </c>
      <c r="B38" s="419" t="s">
        <v>1778</v>
      </c>
      <c r="C38" s="456">
        <v>26</v>
      </c>
      <c r="D38" s="419"/>
      <c r="E38" s="420"/>
      <c r="F38" s="419"/>
      <c r="G38" s="419"/>
      <c r="H38" s="416"/>
    </row>
    <row r="39" spans="1:8">
      <c r="A39" s="389" t="s">
        <v>1779</v>
      </c>
      <c r="B39" s="419" t="s">
        <v>1780</v>
      </c>
      <c r="C39" s="456">
        <v>23</v>
      </c>
      <c r="D39" s="419"/>
      <c r="E39" s="420"/>
      <c r="F39" s="513"/>
      <c r="G39" s="419"/>
      <c r="H39" s="416"/>
    </row>
    <row r="40" spans="1:8">
      <c r="A40" s="389" t="s">
        <v>1570</v>
      </c>
      <c r="B40" s="419" t="s">
        <v>1781</v>
      </c>
      <c r="C40" s="456">
        <v>414</v>
      </c>
      <c r="D40" s="419"/>
      <c r="E40" s="389" t="s">
        <v>1782</v>
      </c>
      <c r="F40" s="419" t="s">
        <v>1783</v>
      </c>
      <c r="G40" s="456">
        <v>600</v>
      </c>
      <c r="H40" s="416"/>
    </row>
    <row r="41" spans="1:8" ht="25.5">
      <c r="A41" s="389" t="s">
        <v>1784</v>
      </c>
      <c r="B41" s="419" t="s">
        <v>1785</v>
      </c>
      <c r="C41" s="456">
        <v>144</v>
      </c>
      <c r="D41" s="419"/>
      <c r="E41" s="420" t="s">
        <v>1786</v>
      </c>
      <c r="F41" s="419" t="s">
        <v>1787</v>
      </c>
      <c r="G41" s="456">
        <v>160</v>
      </c>
      <c r="H41" s="416"/>
    </row>
    <row r="42" spans="1:8" ht="25.5">
      <c r="A42" s="389" t="s">
        <v>1788</v>
      </c>
      <c r="B42" s="419" t="s">
        <v>1789</v>
      </c>
      <c r="C42" s="456">
        <v>220</v>
      </c>
      <c r="D42" s="419"/>
      <c r="E42" s="420" t="s">
        <v>1786</v>
      </c>
      <c r="F42" s="419" t="s">
        <v>1790</v>
      </c>
      <c r="G42" s="456">
        <v>200</v>
      </c>
      <c r="H42" s="416"/>
    </row>
    <row r="43" spans="1:8" ht="38.25">
      <c r="A43" s="389" t="s">
        <v>1791</v>
      </c>
      <c r="B43" s="419" t="s">
        <v>1792</v>
      </c>
      <c r="C43" s="456">
        <v>21</v>
      </c>
      <c r="D43" s="419"/>
      <c r="E43" s="420" t="s">
        <v>1372</v>
      </c>
      <c r="F43" s="419" t="s">
        <v>1793</v>
      </c>
      <c r="G43" s="456">
        <v>190</v>
      </c>
      <c r="H43" s="416"/>
    </row>
    <row r="44" spans="1:8" ht="38.25">
      <c r="A44" s="389" t="s">
        <v>1794</v>
      </c>
      <c r="B44" s="419" t="s">
        <v>3459</v>
      </c>
      <c r="C44" s="456">
        <v>85</v>
      </c>
      <c r="D44" s="419"/>
      <c r="E44" s="420" t="s">
        <v>1372</v>
      </c>
      <c r="F44" s="419" t="s">
        <v>1795</v>
      </c>
      <c r="G44" s="456">
        <v>210</v>
      </c>
      <c r="H44" s="416"/>
    </row>
    <row r="45" spans="1:8">
      <c r="A45" s="389" t="s">
        <v>670</v>
      </c>
      <c r="B45" s="419" t="s">
        <v>1796</v>
      </c>
      <c r="C45" s="456">
        <v>27.95</v>
      </c>
      <c r="D45" s="419"/>
      <c r="E45" s="420" t="s">
        <v>1797</v>
      </c>
      <c r="F45" s="419" t="s">
        <v>1798</v>
      </c>
      <c r="G45" s="456">
        <v>160</v>
      </c>
      <c r="H45" s="416"/>
    </row>
    <row r="46" spans="1:8">
      <c r="A46" s="389" t="s">
        <v>1799</v>
      </c>
      <c r="B46" s="419" t="s">
        <v>1800</v>
      </c>
      <c r="C46" s="456">
        <v>453</v>
      </c>
      <c r="D46" s="419"/>
      <c r="E46" s="420" t="s">
        <v>1801</v>
      </c>
      <c r="F46" s="419" t="s">
        <v>1802</v>
      </c>
      <c r="G46" s="456">
        <v>270</v>
      </c>
      <c r="H46" s="416"/>
    </row>
    <row r="47" spans="1:8" ht="38.25">
      <c r="A47" s="513" t="s">
        <v>1803</v>
      </c>
      <c r="B47" s="419" t="s">
        <v>1373</v>
      </c>
      <c r="C47" s="511">
        <v>4025</v>
      </c>
      <c r="D47" s="419"/>
      <c r="E47" s="420" t="s">
        <v>1804</v>
      </c>
      <c r="F47" s="419" t="s">
        <v>1805</v>
      </c>
      <c r="G47" s="456">
        <v>843</v>
      </c>
      <c r="H47" s="416"/>
    </row>
    <row r="48" spans="1:8" ht="38.25">
      <c r="A48" s="389" t="s">
        <v>1806</v>
      </c>
      <c r="B48" s="419" t="s">
        <v>1427</v>
      </c>
      <c r="C48" s="456">
        <v>303</v>
      </c>
      <c r="D48" s="419"/>
      <c r="E48" s="420" t="s">
        <v>1425</v>
      </c>
      <c r="F48" s="419" t="s">
        <v>1424</v>
      </c>
      <c r="G48" s="456">
        <v>254</v>
      </c>
      <c r="H48" s="416"/>
    </row>
    <row r="49" spans="1:8">
      <c r="A49" s="389" t="s">
        <v>1807</v>
      </c>
      <c r="B49" s="419" t="s">
        <v>1429</v>
      </c>
      <c r="C49" s="456">
        <v>157</v>
      </c>
      <c r="D49" s="419"/>
      <c r="E49" s="420"/>
      <c r="F49" s="513"/>
      <c r="G49" s="508"/>
      <c r="H49" s="416"/>
    </row>
    <row r="50" spans="1:8">
      <c r="A50" s="389"/>
      <c r="B50" s="419"/>
      <c r="C50" s="416"/>
      <c r="D50" s="419"/>
      <c r="E50" s="420"/>
      <c r="F50" s="513"/>
      <c r="G50" s="419"/>
      <c r="H50" s="416"/>
    </row>
    <row r="51" spans="1:8">
      <c r="A51" s="513"/>
      <c r="B51" s="419"/>
      <c r="C51" s="419" t="s">
        <v>1756</v>
      </c>
      <c r="D51" s="419" t="s">
        <v>1808</v>
      </c>
      <c r="E51" s="420"/>
      <c r="F51" s="513"/>
      <c r="G51" s="419"/>
      <c r="H51" s="416"/>
    </row>
    <row r="52" spans="1:8">
      <c r="A52" s="389" t="s">
        <v>152</v>
      </c>
      <c r="B52" s="419"/>
      <c r="C52" s="511">
        <v>301</v>
      </c>
      <c r="D52" s="511">
        <v>672</v>
      </c>
      <c r="E52" s="520"/>
      <c r="F52" s="459"/>
      <c r="G52" s="419"/>
      <c r="H52" s="416"/>
    </row>
    <row r="53" spans="1:8">
      <c r="A53" s="389" t="s">
        <v>1809</v>
      </c>
      <c r="B53" s="419"/>
      <c r="C53" s="511">
        <v>67</v>
      </c>
      <c r="D53" s="511">
        <v>363</v>
      </c>
      <c r="E53" s="520"/>
      <c r="F53" s="459"/>
      <c r="G53" s="419"/>
      <c r="H53" s="416"/>
    </row>
    <row r="54" spans="1:8">
      <c r="A54" s="389" t="s">
        <v>1810</v>
      </c>
      <c r="B54" s="419"/>
      <c r="C54" s="511">
        <v>343</v>
      </c>
      <c r="D54" s="511">
        <v>1069</v>
      </c>
      <c r="E54" s="520"/>
      <c r="F54" s="459"/>
      <c r="G54" s="419"/>
      <c r="H54" s="416"/>
    </row>
    <row r="55" spans="1:8">
      <c r="A55" s="389" t="s">
        <v>1436</v>
      </c>
      <c r="B55" s="419"/>
      <c r="C55" s="511">
        <v>1453</v>
      </c>
      <c r="D55" s="511">
        <v>1620</v>
      </c>
      <c r="E55" s="520"/>
      <c r="F55" s="459"/>
      <c r="G55" s="419"/>
      <c r="H55" s="416"/>
    </row>
    <row r="56" spans="1:8">
      <c r="A56" s="513"/>
      <c r="B56" s="419"/>
      <c r="C56" s="511"/>
      <c r="D56" s="511" t="s">
        <v>161</v>
      </c>
      <c r="E56" s="511" t="s">
        <v>162</v>
      </c>
      <c r="F56" s="511" t="s">
        <v>163</v>
      </c>
      <c r="G56" s="419"/>
      <c r="H56" s="416"/>
    </row>
    <row r="57" spans="1:8">
      <c r="A57" s="389" t="s">
        <v>1435</v>
      </c>
      <c r="B57" s="419"/>
      <c r="C57" s="511">
        <v>371</v>
      </c>
      <c r="D57" s="511">
        <v>2415</v>
      </c>
      <c r="E57" s="511">
        <v>2657</v>
      </c>
      <c r="F57" s="511">
        <v>2898</v>
      </c>
      <c r="G57" s="419"/>
      <c r="H57" s="416"/>
    </row>
    <row r="58" spans="1:8">
      <c r="A58" s="389" t="s">
        <v>866</v>
      </c>
      <c r="B58" s="419"/>
      <c r="C58" s="511">
        <v>1233</v>
      </c>
      <c r="D58" s="511">
        <v>1720</v>
      </c>
      <c r="E58" s="511">
        <v>1892</v>
      </c>
      <c r="F58" s="511">
        <v>2064</v>
      </c>
      <c r="G58" s="419"/>
      <c r="H58" s="416"/>
    </row>
    <row r="59" spans="1:8">
      <c r="A59" s="389" t="s">
        <v>1542</v>
      </c>
      <c r="B59" s="419"/>
      <c r="C59" s="511">
        <v>243</v>
      </c>
      <c r="D59" s="511">
        <v>264</v>
      </c>
      <c r="E59" s="511">
        <v>290</v>
      </c>
      <c r="F59" s="511">
        <v>317</v>
      </c>
      <c r="G59" s="419"/>
      <c r="H59" s="416"/>
    </row>
    <row r="60" spans="1:8">
      <c r="A60" s="389" t="s">
        <v>1811</v>
      </c>
      <c r="B60" s="419"/>
      <c r="C60" s="511">
        <v>2179</v>
      </c>
      <c r="D60" s="511">
        <v>2027</v>
      </c>
      <c r="E60" s="511">
        <v>2230</v>
      </c>
      <c r="F60" s="511">
        <v>2432</v>
      </c>
      <c r="G60" s="419"/>
      <c r="H60" s="416"/>
    </row>
    <row r="61" spans="1:8">
      <c r="A61" s="389" t="s">
        <v>1812</v>
      </c>
      <c r="B61" s="419"/>
      <c r="C61" s="511">
        <v>247</v>
      </c>
      <c r="D61" s="511">
        <v>241</v>
      </c>
      <c r="E61" s="511">
        <v>265</v>
      </c>
      <c r="F61" s="511">
        <v>289</v>
      </c>
      <c r="G61" s="419"/>
      <c r="H61" s="416"/>
    </row>
    <row r="62" spans="1:8">
      <c r="A62" s="389" t="s">
        <v>1813</v>
      </c>
      <c r="B62" s="419"/>
      <c r="C62" s="511">
        <v>254</v>
      </c>
      <c r="D62" s="511">
        <v>248</v>
      </c>
      <c r="E62" s="511">
        <v>273</v>
      </c>
      <c r="F62" s="511">
        <v>298</v>
      </c>
      <c r="G62" s="419"/>
      <c r="H62" s="416"/>
    </row>
    <row r="63" spans="1:8">
      <c r="A63" s="513"/>
      <c r="B63" s="419"/>
      <c r="C63" s="419"/>
      <c r="D63" s="419"/>
      <c r="E63" s="420"/>
      <c r="F63" s="419"/>
      <c r="G63" s="419"/>
      <c r="H63" s="416"/>
    </row>
    <row r="64" spans="1:8">
      <c r="A64" s="513"/>
      <c r="B64" s="419"/>
      <c r="C64" s="419"/>
      <c r="D64" s="419"/>
      <c r="E64" s="420"/>
      <c r="F64" s="419"/>
      <c r="G64" s="419"/>
      <c r="H64" s="416"/>
    </row>
    <row r="65" spans="1:8">
      <c r="A65" s="513"/>
      <c r="B65" s="419"/>
      <c r="C65" s="419"/>
      <c r="D65" s="419"/>
      <c r="E65" s="420"/>
      <c r="F65" s="513"/>
      <c r="G65" s="419"/>
      <c r="H65" s="416"/>
    </row>
    <row r="66" spans="1:8" ht="24">
      <c r="A66" s="421" t="s">
        <v>1814</v>
      </c>
      <c r="B66" s="419" t="s">
        <v>1815</v>
      </c>
      <c r="C66" s="456">
        <v>1979</v>
      </c>
      <c r="D66" s="419"/>
      <c r="E66" s="420"/>
      <c r="F66" s="513" t="s">
        <v>1816</v>
      </c>
      <c r="G66" s="419" t="s">
        <v>1817</v>
      </c>
      <c r="H66" s="456">
        <v>8.5</v>
      </c>
    </row>
    <row r="67" spans="1:8" ht="24">
      <c r="A67" s="421" t="s">
        <v>1818</v>
      </c>
      <c r="B67" s="419" t="s">
        <v>1819</v>
      </c>
      <c r="C67" s="456">
        <v>2468</v>
      </c>
      <c r="D67" s="419"/>
      <c r="E67" s="420"/>
      <c r="F67" s="513" t="s">
        <v>1820</v>
      </c>
      <c r="G67" s="419" t="s">
        <v>1821</v>
      </c>
      <c r="H67" s="456">
        <v>1</v>
      </c>
    </row>
    <row r="68" spans="1:8">
      <c r="A68" s="421" t="s">
        <v>1822</v>
      </c>
      <c r="B68" s="419" t="s">
        <v>1823</v>
      </c>
      <c r="C68" s="456">
        <v>850</v>
      </c>
      <c r="D68" s="419"/>
      <c r="E68" s="420"/>
      <c r="F68" s="421" t="s">
        <v>1824</v>
      </c>
      <c r="G68" s="419" t="s">
        <v>1825</v>
      </c>
      <c r="H68" s="456">
        <v>59</v>
      </c>
    </row>
    <row r="69" spans="1:8">
      <c r="A69" s="513" t="s">
        <v>1826</v>
      </c>
      <c r="B69" s="419" t="s">
        <v>1827</v>
      </c>
      <c r="C69" s="456">
        <v>1036</v>
      </c>
      <c r="D69" s="419"/>
      <c r="E69" s="420"/>
      <c r="F69" s="421" t="s">
        <v>1828</v>
      </c>
      <c r="G69" s="419" t="s">
        <v>1829</v>
      </c>
      <c r="H69" s="456">
        <v>94</v>
      </c>
    </row>
    <row r="70" spans="1:8">
      <c r="A70" s="513" t="s">
        <v>1830</v>
      </c>
      <c r="B70" s="419" t="s">
        <v>1831</v>
      </c>
      <c r="C70" s="456">
        <v>2644</v>
      </c>
      <c r="D70" s="419"/>
      <c r="E70" s="420"/>
      <c r="F70" s="421" t="s">
        <v>1832</v>
      </c>
      <c r="G70" s="419" t="s">
        <v>1833</v>
      </c>
      <c r="H70" s="456">
        <v>136</v>
      </c>
    </row>
    <row r="71" spans="1:8">
      <c r="A71" s="513" t="s">
        <v>1834</v>
      </c>
      <c r="B71" s="419" t="s">
        <v>1835</v>
      </c>
      <c r="C71" s="456">
        <v>1519</v>
      </c>
      <c r="D71" s="419"/>
      <c r="E71" s="420"/>
      <c r="F71" s="421" t="s">
        <v>1836</v>
      </c>
      <c r="G71" s="419" t="s">
        <v>1837</v>
      </c>
      <c r="H71" s="456">
        <v>214</v>
      </c>
    </row>
    <row r="72" spans="1:8">
      <c r="A72" s="513" t="s">
        <v>1838</v>
      </c>
      <c r="B72" s="419" t="s">
        <v>1839</v>
      </c>
      <c r="C72" s="456">
        <v>387</v>
      </c>
      <c r="D72" s="419"/>
      <c r="E72" s="420"/>
      <c r="F72" s="421" t="s">
        <v>1840</v>
      </c>
      <c r="G72" s="419" t="s">
        <v>1841</v>
      </c>
      <c r="H72" s="456">
        <v>35</v>
      </c>
    </row>
    <row r="73" spans="1:8">
      <c r="A73" s="513" t="s">
        <v>1842</v>
      </c>
      <c r="B73" s="419" t="s">
        <v>1843</v>
      </c>
      <c r="C73" s="456">
        <v>95</v>
      </c>
      <c r="D73" s="419"/>
      <c r="E73" s="420"/>
      <c r="F73" s="513" t="s">
        <v>1844</v>
      </c>
      <c r="G73" s="419" t="s">
        <v>1845</v>
      </c>
      <c r="H73" s="456">
        <v>33</v>
      </c>
    </row>
    <row r="74" spans="1:8">
      <c r="A74" s="513" t="s">
        <v>1846</v>
      </c>
      <c r="B74" s="419" t="s">
        <v>1847</v>
      </c>
      <c r="C74" s="456">
        <v>24</v>
      </c>
      <c r="D74" s="419"/>
      <c r="E74" s="420"/>
      <c r="F74" s="513" t="s">
        <v>1848</v>
      </c>
      <c r="G74" s="419" t="s">
        <v>1849</v>
      </c>
      <c r="H74" s="456">
        <v>1165</v>
      </c>
    </row>
    <row r="75" spans="1:8">
      <c r="A75" s="513" t="s">
        <v>1446</v>
      </c>
      <c r="B75" s="419" t="s">
        <v>1850</v>
      </c>
      <c r="C75" s="456">
        <v>93</v>
      </c>
      <c r="D75" s="419"/>
      <c r="E75" s="420"/>
      <c r="F75" s="513" t="s">
        <v>1851</v>
      </c>
      <c r="G75" s="419" t="s">
        <v>1852</v>
      </c>
      <c r="H75" s="456">
        <v>77</v>
      </c>
    </row>
    <row r="76" spans="1:8" ht="25.5">
      <c r="A76" s="513" t="s">
        <v>1853</v>
      </c>
      <c r="B76" s="419" t="s">
        <v>1854</v>
      </c>
      <c r="C76" s="456">
        <v>32</v>
      </c>
      <c r="D76" s="419"/>
      <c r="E76" s="420"/>
      <c r="F76" s="513" t="s">
        <v>1855</v>
      </c>
      <c r="G76" s="419" t="s">
        <v>1856</v>
      </c>
      <c r="H76" s="456">
        <v>17</v>
      </c>
    </row>
    <row r="77" spans="1:8" ht="25.5">
      <c r="A77" s="513" t="s">
        <v>1857</v>
      </c>
      <c r="B77" s="419" t="s">
        <v>1858</v>
      </c>
      <c r="C77" s="456">
        <v>128</v>
      </c>
      <c r="D77" s="419"/>
      <c r="E77" s="420"/>
      <c r="F77" s="513"/>
      <c r="G77" s="419"/>
      <c r="H77" s="416"/>
    </row>
    <row r="78" spans="1:8">
      <c r="A78" s="513" t="s">
        <v>1443</v>
      </c>
      <c r="B78" s="419" t="s">
        <v>1859</v>
      </c>
      <c r="C78" s="456">
        <v>447</v>
      </c>
      <c r="D78" s="419"/>
      <c r="E78" s="420"/>
      <c r="F78" s="513"/>
      <c r="G78" s="419"/>
      <c r="H78" s="416"/>
    </row>
    <row r="79" spans="1:8" ht="25.5">
      <c r="A79" s="513" t="s">
        <v>1444</v>
      </c>
      <c r="B79" s="419" t="s">
        <v>1860</v>
      </c>
      <c r="C79" s="456">
        <v>425</v>
      </c>
      <c r="D79" s="419"/>
      <c r="E79" s="420"/>
      <c r="F79" s="513" t="s">
        <v>2265</v>
      </c>
      <c r="G79" s="419" t="s">
        <v>2266</v>
      </c>
      <c r="H79" s="506">
        <v>390</v>
      </c>
    </row>
    <row r="80" spans="1:8">
      <c r="A80" s="513" t="s">
        <v>1445</v>
      </c>
      <c r="B80" s="419" t="s">
        <v>1861</v>
      </c>
      <c r="C80" s="456">
        <v>267</v>
      </c>
      <c r="D80" s="419"/>
      <c r="E80" s="420"/>
      <c r="F80" s="513" t="s">
        <v>2267</v>
      </c>
      <c r="G80" s="419" t="s">
        <v>2268</v>
      </c>
      <c r="H80" s="506">
        <v>220</v>
      </c>
    </row>
    <row r="81" spans="1:8">
      <c r="A81" s="513" t="s">
        <v>1862</v>
      </c>
      <c r="B81" s="419" t="s">
        <v>1863</v>
      </c>
      <c r="C81" s="456">
        <v>79</v>
      </c>
      <c r="D81" s="419"/>
      <c r="E81" s="420"/>
      <c r="F81" s="513"/>
      <c r="G81" s="419"/>
      <c r="H81" s="416"/>
    </row>
    <row r="82" spans="1:8">
      <c r="A82" s="513" t="s">
        <v>1864</v>
      </c>
      <c r="B82" s="419" t="s">
        <v>1865</v>
      </c>
      <c r="C82" s="456">
        <v>1644</v>
      </c>
      <c r="D82" s="419"/>
      <c r="E82" s="420"/>
      <c r="F82" s="513"/>
      <c r="G82" s="419"/>
      <c r="H82" s="416"/>
    </row>
    <row r="83" spans="1:8">
      <c r="A83" s="513" t="s">
        <v>1866</v>
      </c>
      <c r="B83" s="419" t="s">
        <v>1867</v>
      </c>
      <c r="C83" s="456">
        <v>4166</v>
      </c>
      <c r="D83" s="419"/>
      <c r="E83" s="420"/>
      <c r="F83" s="513"/>
      <c r="G83" s="419"/>
      <c r="H83" s="416"/>
    </row>
    <row r="84" spans="1:8">
      <c r="A84" s="513"/>
      <c r="B84" s="419"/>
      <c r="C84" s="419"/>
      <c r="D84" s="419"/>
      <c r="E84" s="420"/>
      <c r="F84" s="513"/>
      <c r="G84" s="419"/>
      <c r="H84" s="416"/>
    </row>
    <row r="85" spans="1:8">
      <c r="A85" s="513"/>
      <c r="B85" s="419"/>
      <c r="C85" s="419"/>
      <c r="D85" s="419"/>
      <c r="E85" s="420"/>
      <c r="F85" s="513"/>
      <c r="G85" s="419"/>
      <c r="H85" s="416"/>
    </row>
    <row r="86" spans="1:8">
      <c r="A86" s="513" t="s">
        <v>1868</v>
      </c>
      <c r="B86" s="419" t="s">
        <v>1869</v>
      </c>
      <c r="C86" s="456">
        <v>446.4</v>
      </c>
      <c r="D86" s="419"/>
      <c r="E86" s="420"/>
      <c r="F86" s="513"/>
      <c r="G86" s="419"/>
      <c r="H86" s="416"/>
    </row>
    <row r="87" spans="1:8">
      <c r="A87" s="513" t="s">
        <v>1870</v>
      </c>
      <c r="B87" s="419"/>
      <c r="C87" s="456">
        <v>477.6</v>
      </c>
      <c r="D87" s="419"/>
      <c r="E87" s="420"/>
      <c r="F87" s="513"/>
      <c r="G87" s="419"/>
      <c r="H87" s="416"/>
    </row>
    <row r="88" spans="1:8">
      <c r="A88" s="513" t="s">
        <v>1871</v>
      </c>
      <c r="B88" s="419"/>
      <c r="C88" s="456">
        <v>535.70000000000005</v>
      </c>
      <c r="D88" s="419"/>
      <c r="E88" s="420"/>
      <c r="F88" s="513"/>
      <c r="G88" s="419"/>
      <c r="H88" s="416"/>
    </row>
    <row r="89" spans="1:8">
      <c r="A89" s="513" t="s">
        <v>1872</v>
      </c>
      <c r="B89" s="419" t="s">
        <v>1873</v>
      </c>
      <c r="C89" s="456">
        <v>26730</v>
      </c>
      <c r="D89" s="419"/>
      <c r="E89" s="420"/>
      <c r="F89" s="513"/>
      <c r="G89" s="419"/>
      <c r="H89" s="416"/>
    </row>
    <row r="90" spans="1:8">
      <c r="A90" s="513" t="s">
        <v>1872</v>
      </c>
      <c r="B90" s="419" t="s">
        <v>1874</v>
      </c>
      <c r="C90" s="456">
        <v>18370</v>
      </c>
      <c r="D90" s="419"/>
      <c r="E90" s="420"/>
      <c r="F90" s="513"/>
      <c r="G90" s="419"/>
      <c r="H90" s="416"/>
    </row>
    <row r="91" spans="1:8">
      <c r="A91" s="513" t="s">
        <v>1875</v>
      </c>
      <c r="B91" s="419" t="s">
        <v>1876</v>
      </c>
      <c r="C91" s="456">
        <v>325</v>
      </c>
      <c r="D91" s="419"/>
      <c r="E91" s="420"/>
      <c r="F91" s="513"/>
      <c r="G91" s="419"/>
      <c r="H91" s="416"/>
    </row>
    <row r="92" spans="1:8">
      <c r="A92" s="513" t="s">
        <v>1877</v>
      </c>
      <c r="B92" s="419" t="s">
        <v>1878</v>
      </c>
      <c r="C92" s="456">
        <v>85</v>
      </c>
      <c r="D92" s="419"/>
      <c r="E92" s="420"/>
      <c r="F92" s="513"/>
      <c r="G92" s="419"/>
      <c r="H92" s="416"/>
    </row>
    <row r="93" spans="1:8">
      <c r="A93" s="513" t="s">
        <v>1879</v>
      </c>
      <c r="B93" s="419" t="s">
        <v>1880</v>
      </c>
      <c r="C93" s="456">
        <v>194</v>
      </c>
      <c r="D93" s="419"/>
      <c r="E93" s="420"/>
      <c r="F93" s="513"/>
      <c r="G93" s="419"/>
      <c r="H93" s="416"/>
    </row>
    <row r="94" spans="1:8">
      <c r="A94" s="513" t="s">
        <v>1447</v>
      </c>
      <c r="B94" s="419" t="s">
        <v>1876</v>
      </c>
      <c r="C94" s="456">
        <v>300</v>
      </c>
      <c r="D94" s="419"/>
      <c r="E94" s="420"/>
      <c r="F94" s="513"/>
      <c r="G94" s="419"/>
      <c r="H94" s="416"/>
    </row>
    <row r="95" spans="1:8">
      <c r="A95" s="513" t="s">
        <v>1881</v>
      </c>
      <c r="B95" s="419" t="s">
        <v>1876</v>
      </c>
      <c r="C95" s="456">
        <v>400</v>
      </c>
      <c r="D95" s="419"/>
      <c r="E95" s="420"/>
      <c r="F95" s="513"/>
      <c r="G95" s="419"/>
      <c r="H95" s="416"/>
    </row>
    <row r="96" spans="1:8">
      <c r="A96" s="513" t="s">
        <v>1882</v>
      </c>
      <c r="B96" s="419" t="s">
        <v>1883</v>
      </c>
      <c r="C96" s="456">
        <v>77</v>
      </c>
      <c r="D96" s="419"/>
      <c r="E96" s="420"/>
      <c r="F96" s="513"/>
      <c r="G96" s="419"/>
      <c r="H96" s="416"/>
    </row>
    <row r="97" spans="1:8">
      <c r="A97" s="513" t="s">
        <v>1884</v>
      </c>
      <c r="B97" s="419" t="s">
        <v>1885</v>
      </c>
      <c r="C97" s="456">
        <v>105</v>
      </c>
      <c r="D97" s="419"/>
      <c r="E97" s="420"/>
      <c r="F97" s="513"/>
      <c r="G97" s="419"/>
      <c r="H97" s="416"/>
    </row>
    <row r="98" spans="1:8">
      <c r="A98" s="513" t="s">
        <v>1886</v>
      </c>
      <c r="B98" s="419" t="s">
        <v>1887</v>
      </c>
      <c r="C98" s="456">
        <v>5445</v>
      </c>
      <c r="D98" s="419"/>
      <c r="E98" s="420"/>
      <c r="F98" s="513"/>
      <c r="G98" s="419"/>
      <c r="H98" s="416"/>
    </row>
    <row r="99" spans="1:8" ht="22.5">
      <c r="A99" s="422" t="s">
        <v>1499</v>
      </c>
      <c r="B99" s="423" t="s">
        <v>3245</v>
      </c>
      <c r="C99" s="416">
        <v>78</v>
      </c>
      <c r="D99" s="419"/>
      <c r="E99" s="420"/>
      <c r="F99" s="513"/>
      <c r="G99" s="419"/>
      <c r="H99" s="416"/>
    </row>
    <row r="100" spans="1:8" ht="22.5">
      <c r="A100" s="422" t="s">
        <v>3246</v>
      </c>
      <c r="B100" s="423" t="s">
        <v>1503</v>
      </c>
      <c r="C100" s="456">
        <v>26</v>
      </c>
      <c r="D100" s="419"/>
      <c r="E100" s="420"/>
      <c r="F100" s="513"/>
      <c r="G100" s="419"/>
      <c r="H100" s="416"/>
    </row>
    <row r="101" spans="1:8">
      <c r="A101" s="422" t="s">
        <v>1500</v>
      </c>
      <c r="B101" s="423" t="s">
        <v>1504</v>
      </c>
      <c r="C101" s="456">
        <v>11</v>
      </c>
      <c r="D101" s="419"/>
      <c r="E101" s="420"/>
      <c r="F101" s="513"/>
      <c r="G101" s="419"/>
      <c r="H101" s="416"/>
    </row>
    <row r="102" spans="1:8" ht="22.5">
      <c r="A102" s="422" t="s">
        <v>1509</v>
      </c>
      <c r="B102" s="423" t="s">
        <v>1505</v>
      </c>
      <c r="C102" s="456">
        <v>34</v>
      </c>
      <c r="D102" s="419"/>
      <c r="E102" s="420"/>
      <c r="F102" s="513"/>
      <c r="G102" s="419"/>
      <c r="H102" s="416"/>
    </row>
    <row r="103" spans="1:8">
      <c r="A103" s="424" t="s">
        <v>1507</v>
      </c>
      <c r="B103" s="423" t="s">
        <v>1511</v>
      </c>
      <c r="C103" s="456">
        <v>36</v>
      </c>
      <c r="D103" s="419"/>
      <c r="E103" s="420"/>
      <c r="F103" s="513"/>
      <c r="G103" s="419"/>
      <c r="H103" s="416"/>
    </row>
    <row r="104" spans="1:8">
      <c r="A104" s="513" t="s">
        <v>1888</v>
      </c>
      <c r="B104" s="419" t="s">
        <v>1889</v>
      </c>
      <c r="C104" s="456">
        <v>64</v>
      </c>
      <c r="D104" s="419"/>
      <c r="E104" s="420"/>
      <c r="F104" s="513"/>
      <c r="G104" s="419"/>
      <c r="H104" s="416"/>
    </row>
    <row r="105" spans="1:8">
      <c r="A105" s="513"/>
      <c r="B105" s="419"/>
      <c r="C105" s="419" t="s">
        <v>1890</v>
      </c>
      <c r="D105" s="513"/>
      <c r="E105" s="419" t="s">
        <v>1891</v>
      </c>
      <c r="F105" s="513"/>
      <c r="G105" s="419"/>
      <c r="H105" s="416"/>
    </row>
    <row r="106" spans="1:8">
      <c r="A106" s="513" t="s">
        <v>1448</v>
      </c>
      <c r="B106" s="419" t="s">
        <v>1892</v>
      </c>
      <c r="C106" s="456">
        <v>245</v>
      </c>
      <c r="D106" s="511" t="s">
        <v>1893</v>
      </c>
      <c r="E106" s="456">
        <v>209</v>
      </c>
      <c r="F106" s="513"/>
      <c r="G106" s="419"/>
      <c r="H106" s="416"/>
    </row>
    <row r="107" spans="1:8">
      <c r="A107" s="513" t="s">
        <v>1449</v>
      </c>
      <c r="B107" s="419" t="s">
        <v>1894</v>
      </c>
      <c r="C107" s="456">
        <v>203</v>
      </c>
      <c r="D107" s="511" t="s">
        <v>1895</v>
      </c>
      <c r="E107" s="456">
        <v>171</v>
      </c>
      <c r="F107" s="513"/>
      <c r="G107" s="419"/>
      <c r="H107" s="416"/>
    </row>
    <row r="108" spans="1:8">
      <c r="A108" s="513" t="s">
        <v>1450</v>
      </c>
      <c r="B108" s="419" t="s">
        <v>1896</v>
      </c>
      <c r="C108" s="456">
        <v>155</v>
      </c>
      <c r="D108" s="511" t="s">
        <v>1897</v>
      </c>
      <c r="E108" s="456">
        <v>132</v>
      </c>
      <c r="F108" s="513"/>
      <c r="G108" s="419"/>
      <c r="H108" s="416"/>
    </row>
    <row r="109" spans="1:8">
      <c r="A109" s="513" t="s">
        <v>1452</v>
      </c>
      <c r="B109" s="419" t="s">
        <v>1898</v>
      </c>
      <c r="C109" s="456">
        <v>114</v>
      </c>
      <c r="D109" s="511" t="s">
        <v>1899</v>
      </c>
      <c r="E109" s="456">
        <v>88</v>
      </c>
      <c r="F109" s="513"/>
      <c r="G109" s="419"/>
      <c r="H109" s="416"/>
    </row>
    <row r="110" spans="1:8">
      <c r="A110" s="513" t="s">
        <v>1900</v>
      </c>
      <c r="B110" s="419"/>
      <c r="C110" s="456">
        <f>C106+C108</f>
        <v>400</v>
      </c>
      <c r="D110" s="511"/>
      <c r="E110" s="456">
        <f>E106+E108</f>
        <v>341</v>
      </c>
      <c r="F110" s="513"/>
      <c r="G110" s="419"/>
      <c r="H110" s="416"/>
    </row>
    <row r="111" spans="1:8">
      <c r="A111" s="513" t="s">
        <v>1901</v>
      </c>
      <c r="B111" s="419"/>
      <c r="C111" s="456">
        <f>C106+C109</f>
        <v>359</v>
      </c>
      <c r="D111" s="511"/>
      <c r="E111" s="456">
        <f>E106+E109</f>
        <v>297</v>
      </c>
      <c r="F111" s="513"/>
      <c r="G111" s="419"/>
      <c r="H111" s="416"/>
    </row>
    <row r="112" spans="1:8">
      <c r="A112" s="513" t="s">
        <v>1902</v>
      </c>
      <c r="B112" s="419" t="s">
        <v>1903</v>
      </c>
      <c r="C112" s="456">
        <v>68</v>
      </c>
      <c r="D112" s="511" t="s">
        <v>1904</v>
      </c>
      <c r="E112" s="456">
        <v>66</v>
      </c>
      <c r="F112" s="513"/>
      <c r="G112" s="419"/>
      <c r="H112" s="416"/>
    </row>
    <row r="113" spans="1:8">
      <c r="A113" s="513"/>
      <c r="B113" s="419"/>
      <c r="C113" s="419"/>
      <c r="D113" s="419"/>
      <c r="E113" s="420"/>
      <c r="F113" s="513"/>
      <c r="G113" s="419"/>
      <c r="H113" s="416"/>
    </row>
    <row r="114" spans="1:8" ht="25.5">
      <c r="A114" s="513" t="s">
        <v>1905</v>
      </c>
      <c r="B114" s="419" t="s">
        <v>1906</v>
      </c>
      <c r="C114" s="456">
        <v>21</v>
      </c>
      <c r="D114" s="419"/>
      <c r="E114" s="420" t="s">
        <v>1907</v>
      </c>
      <c r="F114" s="513" t="s">
        <v>1908</v>
      </c>
      <c r="G114" s="456">
        <v>21</v>
      </c>
      <c r="H114" s="416"/>
    </row>
    <row r="115" spans="1:8" ht="25.5">
      <c r="A115" s="513" t="s">
        <v>1455</v>
      </c>
      <c r="B115" s="419" t="s">
        <v>1909</v>
      </c>
      <c r="C115" s="456">
        <v>1634</v>
      </c>
      <c r="D115" s="419"/>
      <c r="E115" s="420" t="s">
        <v>1910</v>
      </c>
      <c r="F115" s="513" t="s">
        <v>1911</v>
      </c>
      <c r="G115" s="456">
        <v>46</v>
      </c>
      <c r="H115" s="416"/>
    </row>
    <row r="116" spans="1:8" ht="25.5">
      <c r="A116" s="513" t="s">
        <v>1912</v>
      </c>
      <c r="B116" s="419" t="s">
        <v>1913</v>
      </c>
      <c r="C116" s="456">
        <v>18</v>
      </c>
      <c r="D116" s="419"/>
      <c r="E116" s="420" t="s">
        <v>1914</v>
      </c>
      <c r="F116" s="513" t="s">
        <v>1915</v>
      </c>
      <c r="G116" s="456">
        <v>1244</v>
      </c>
      <c r="H116" s="416"/>
    </row>
    <row r="117" spans="1:8" ht="25.5">
      <c r="A117" s="513" t="s">
        <v>1916</v>
      </c>
      <c r="B117" s="419" t="s">
        <v>1917</v>
      </c>
      <c r="C117" s="456">
        <v>21</v>
      </c>
      <c r="D117" s="419"/>
      <c r="E117" s="420" t="s">
        <v>1918</v>
      </c>
      <c r="F117" s="513" t="s">
        <v>1919</v>
      </c>
      <c r="G117" s="456">
        <v>208</v>
      </c>
      <c r="H117" s="416"/>
    </row>
    <row r="118" spans="1:8">
      <c r="A118" s="513" t="s">
        <v>1920</v>
      </c>
      <c r="B118" s="419" t="s">
        <v>1921</v>
      </c>
      <c r="C118" s="456">
        <v>27</v>
      </c>
      <c r="D118" s="419"/>
      <c r="E118" s="420" t="s">
        <v>1922</v>
      </c>
      <c r="F118" s="513" t="s">
        <v>1923</v>
      </c>
      <c r="G118" s="456">
        <v>2912</v>
      </c>
      <c r="H118" s="416"/>
    </row>
    <row r="119" spans="1:8" ht="38.25">
      <c r="A119" s="513" t="s">
        <v>1924</v>
      </c>
      <c r="B119" s="419" t="s">
        <v>1925</v>
      </c>
      <c r="C119" s="456">
        <v>1375</v>
      </c>
      <c r="D119" s="419"/>
      <c r="E119" s="420" t="s">
        <v>1926</v>
      </c>
      <c r="F119" s="513" t="s">
        <v>1927</v>
      </c>
      <c r="G119" s="456">
        <v>111</v>
      </c>
      <c r="H119" s="416"/>
    </row>
    <row r="120" spans="1:8">
      <c r="A120" s="513" t="s">
        <v>1928</v>
      </c>
      <c r="B120" s="419" t="s">
        <v>1929</v>
      </c>
      <c r="C120" s="456">
        <v>22</v>
      </c>
      <c r="D120" s="419"/>
      <c r="E120" s="420" t="s">
        <v>1576</v>
      </c>
      <c r="F120" s="513" t="s">
        <v>1930</v>
      </c>
      <c r="G120" s="456">
        <v>39</v>
      </c>
      <c r="H120" s="416"/>
    </row>
    <row r="121" spans="1:8" ht="51">
      <c r="A121" s="513" t="s">
        <v>1931</v>
      </c>
      <c r="B121" s="419" t="s">
        <v>1932</v>
      </c>
      <c r="C121" s="456">
        <v>48</v>
      </c>
      <c r="D121" s="419"/>
      <c r="E121" s="420" t="s">
        <v>1933</v>
      </c>
      <c r="F121" s="513" t="s">
        <v>1934</v>
      </c>
      <c r="G121" s="456">
        <v>267</v>
      </c>
      <c r="H121" s="416"/>
    </row>
    <row r="122" spans="1:8" ht="22.5">
      <c r="A122" s="513" t="s">
        <v>1935</v>
      </c>
      <c r="B122" s="419" t="s">
        <v>1936</v>
      </c>
      <c r="C122" s="456">
        <v>127</v>
      </c>
      <c r="D122" s="419"/>
      <c r="E122" s="422" t="s">
        <v>1937</v>
      </c>
      <c r="F122" s="513" t="s">
        <v>1938</v>
      </c>
      <c r="G122" s="456">
        <v>1107</v>
      </c>
      <c r="H122" s="416"/>
    </row>
    <row r="123" spans="1:8" ht="38.25">
      <c r="A123" s="513" t="s">
        <v>1939</v>
      </c>
      <c r="B123" s="419" t="s">
        <v>1940</v>
      </c>
      <c r="C123" s="456">
        <v>127</v>
      </c>
      <c r="D123" s="419"/>
      <c r="E123" s="425" t="s">
        <v>1941</v>
      </c>
      <c r="F123" s="513" t="s">
        <v>1942</v>
      </c>
      <c r="G123" s="456">
        <v>455</v>
      </c>
      <c r="H123" s="416"/>
    </row>
    <row r="124" spans="1:8" ht="25.5">
      <c r="A124" s="513" t="s">
        <v>1943</v>
      </c>
      <c r="B124" s="419" t="s">
        <v>1944</v>
      </c>
      <c r="C124" s="456">
        <v>94</v>
      </c>
      <c r="D124" s="419"/>
      <c r="E124" s="425" t="s">
        <v>1945</v>
      </c>
      <c r="F124" s="513" t="s">
        <v>1946</v>
      </c>
      <c r="G124" s="456">
        <v>240</v>
      </c>
      <c r="H124" s="416"/>
    </row>
    <row r="125" spans="1:8" ht="45">
      <c r="A125" s="513" t="s">
        <v>1947</v>
      </c>
      <c r="B125" s="419" t="s">
        <v>1948</v>
      </c>
      <c r="C125" s="456">
        <v>143</v>
      </c>
      <c r="D125" s="419"/>
      <c r="E125" s="422" t="s">
        <v>1949</v>
      </c>
      <c r="F125" s="513" t="s">
        <v>1950</v>
      </c>
      <c r="G125" s="456">
        <v>119</v>
      </c>
      <c r="H125" s="416"/>
    </row>
    <row r="126" spans="1:8" ht="56.25">
      <c r="A126" s="513" t="s">
        <v>1663</v>
      </c>
      <c r="B126" s="419" t="s">
        <v>1951</v>
      </c>
      <c r="C126" s="456">
        <v>95</v>
      </c>
      <c r="D126" s="419"/>
      <c r="E126" s="425" t="s">
        <v>1952</v>
      </c>
      <c r="F126" s="513" t="s">
        <v>1953</v>
      </c>
      <c r="G126" s="456">
        <v>6674</v>
      </c>
      <c r="H126" s="416"/>
    </row>
    <row r="127" spans="1:8" ht="25.5">
      <c r="A127" s="513" t="s">
        <v>1954</v>
      </c>
      <c r="B127" s="419" t="s">
        <v>1955</v>
      </c>
      <c r="C127" s="456">
        <v>77</v>
      </c>
      <c r="D127" s="419"/>
      <c r="E127" s="425" t="s">
        <v>1956</v>
      </c>
      <c r="F127" s="513" t="s">
        <v>1957</v>
      </c>
      <c r="G127" s="456">
        <v>230</v>
      </c>
      <c r="H127" s="416"/>
    </row>
    <row r="128" spans="1:8" ht="33.75">
      <c r="A128" s="513" t="s">
        <v>1958</v>
      </c>
      <c r="B128" s="419" t="s">
        <v>2092</v>
      </c>
      <c r="C128" s="456">
        <v>1977</v>
      </c>
      <c r="D128" s="419"/>
      <c r="E128" s="426" t="s">
        <v>1959</v>
      </c>
      <c r="F128" s="513" t="s">
        <v>1960</v>
      </c>
      <c r="G128" s="456">
        <v>425</v>
      </c>
      <c r="H128" s="416"/>
    </row>
    <row r="129" spans="1:8" ht="25.5">
      <c r="A129" s="513" t="s">
        <v>1961</v>
      </c>
      <c r="B129" s="419" t="s">
        <v>1962</v>
      </c>
      <c r="C129" s="456">
        <v>3193</v>
      </c>
      <c r="D129" s="419"/>
      <c r="E129" s="422" t="s">
        <v>1963</v>
      </c>
      <c r="F129" s="513" t="s">
        <v>1964</v>
      </c>
      <c r="G129" s="456">
        <v>79</v>
      </c>
      <c r="H129" s="416"/>
    </row>
    <row r="130" spans="1:8" ht="25.5">
      <c r="A130" s="513" t="s">
        <v>1965</v>
      </c>
      <c r="B130" s="419" t="s">
        <v>1966</v>
      </c>
      <c r="C130" s="456">
        <v>4875</v>
      </c>
      <c r="D130" s="419"/>
      <c r="E130" s="422" t="s">
        <v>1967</v>
      </c>
      <c r="F130" s="513" t="s">
        <v>1968</v>
      </c>
      <c r="G130" s="456">
        <v>79</v>
      </c>
      <c r="H130" s="416"/>
    </row>
    <row r="131" spans="1:8" ht="45">
      <c r="A131" s="513" t="s">
        <v>1969</v>
      </c>
      <c r="B131" s="419" t="s">
        <v>1970</v>
      </c>
      <c r="C131" s="456">
        <v>1816</v>
      </c>
      <c r="D131" s="419"/>
      <c r="E131" s="426" t="s">
        <v>1971</v>
      </c>
      <c r="F131" s="513" t="s">
        <v>1972</v>
      </c>
      <c r="G131" s="456">
        <v>8</v>
      </c>
      <c r="H131" s="416"/>
    </row>
    <row r="132" spans="1:8" ht="33.75">
      <c r="A132" s="513" t="s">
        <v>1973</v>
      </c>
      <c r="B132" s="419" t="s">
        <v>1974</v>
      </c>
      <c r="C132" s="456">
        <v>79</v>
      </c>
      <c r="D132" s="419"/>
      <c r="E132" s="426" t="s">
        <v>1975</v>
      </c>
      <c r="F132" s="513" t="s">
        <v>1976</v>
      </c>
      <c r="G132" s="456">
        <v>14</v>
      </c>
      <c r="H132" s="416"/>
    </row>
    <row r="133" spans="1:8" ht="22.5">
      <c r="A133" s="513" t="s">
        <v>1977</v>
      </c>
      <c r="B133" s="419" t="s">
        <v>1978</v>
      </c>
      <c r="C133" s="456">
        <v>520</v>
      </c>
      <c r="D133" s="419"/>
      <c r="E133" s="426" t="s">
        <v>1979</v>
      </c>
      <c r="F133" s="513" t="s">
        <v>1427</v>
      </c>
      <c r="G133" s="456">
        <v>303</v>
      </c>
      <c r="H133" s="416"/>
    </row>
    <row r="134" spans="1:8" ht="45">
      <c r="A134" s="513" t="s">
        <v>2090</v>
      </c>
      <c r="B134" s="419" t="s">
        <v>2091</v>
      </c>
      <c r="C134" s="456">
        <v>1375</v>
      </c>
      <c r="D134" s="419"/>
      <c r="E134" s="426" t="s">
        <v>1980</v>
      </c>
      <c r="F134" s="513" t="s">
        <v>1429</v>
      </c>
      <c r="G134" s="456">
        <v>157</v>
      </c>
      <c r="H134" s="416"/>
    </row>
    <row r="135" spans="1:8">
      <c r="A135" s="513"/>
      <c r="B135" s="419"/>
      <c r="C135" s="419"/>
      <c r="D135" s="419"/>
      <c r="E135" s="426" t="s">
        <v>1981</v>
      </c>
      <c r="F135" s="513" t="s">
        <v>1982</v>
      </c>
      <c r="G135" s="456">
        <v>24</v>
      </c>
      <c r="H135" s="416"/>
    </row>
    <row r="136" spans="1:8">
      <c r="A136" s="513"/>
      <c r="B136" s="419"/>
      <c r="C136" s="419"/>
      <c r="D136" s="419"/>
      <c r="E136" s="426" t="s">
        <v>1983</v>
      </c>
      <c r="F136" s="513" t="s">
        <v>1984</v>
      </c>
      <c r="G136" s="456">
        <v>19</v>
      </c>
      <c r="H136" s="416"/>
    </row>
    <row r="137" spans="1:8" ht="22.5">
      <c r="A137" s="513"/>
      <c r="B137" s="419"/>
      <c r="C137" s="419"/>
      <c r="D137" s="419"/>
      <c r="E137" s="422" t="s">
        <v>1985</v>
      </c>
      <c r="F137" s="513" t="s">
        <v>1986</v>
      </c>
      <c r="G137" s="456">
        <v>303</v>
      </c>
      <c r="H137" s="416"/>
    </row>
    <row r="138" spans="1:8" ht="22.5">
      <c r="A138" s="513"/>
      <c r="B138" s="419"/>
      <c r="C138" s="419"/>
      <c r="D138" s="419"/>
      <c r="E138" s="422" t="s">
        <v>1985</v>
      </c>
      <c r="F138" s="513" t="s">
        <v>1986</v>
      </c>
      <c r="G138" s="456">
        <v>303</v>
      </c>
      <c r="H138" s="416"/>
    </row>
    <row r="139" spans="1:8">
      <c r="A139" s="513"/>
      <c r="B139" s="419"/>
      <c r="C139" s="419"/>
      <c r="D139" s="419"/>
      <c r="E139" s="420" t="s">
        <v>1569</v>
      </c>
      <c r="F139" s="513" t="s">
        <v>2095</v>
      </c>
      <c r="G139" s="506">
        <v>1822</v>
      </c>
      <c r="H139" s="416"/>
    </row>
    <row r="140" spans="1:8">
      <c r="A140" s="513"/>
      <c r="B140" s="419"/>
      <c r="C140" s="419"/>
      <c r="D140" s="419"/>
      <c r="E140" s="420" t="s">
        <v>1569</v>
      </c>
      <c r="F140" s="513" t="s">
        <v>2270</v>
      </c>
      <c r="G140" s="506">
        <v>5428</v>
      </c>
      <c r="H140" s="416"/>
    </row>
    <row r="141" spans="1:8">
      <c r="A141" s="513"/>
      <c r="B141" s="419"/>
      <c r="C141" s="419"/>
      <c r="D141" s="419"/>
      <c r="E141" s="420"/>
      <c r="F141" s="513"/>
      <c r="G141" s="419"/>
      <c r="H141" s="416"/>
    </row>
    <row r="142" spans="1:8" ht="25.5">
      <c r="A142" s="427" t="s">
        <v>1987</v>
      </c>
      <c r="B142" s="418" t="s">
        <v>1375</v>
      </c>
      <c r="C142" s="511">
        <v>81950</v>
      </c>
      <c r="D142" s="419"/>
      <c r="E142" s="427" t="s">
        <v>1378</v>
      </c>
      <c r="F142" s="418" t="s">
        <v>1379</v>
      </c>
      <c r="G142" s="511">
        <v>255</v>
      </c>
      <c r="H142" s="416"/>
    </row>
    <row r="143" spans="1:8" ht="38.25">
      <c r="A143" s="427" t="s">
        <v>1988</v>
      </c>
      <c r="B143" s="418" t="s">
        <v>1377</v>
      </c>
      <c r="C143" s="511">
        <v>160920</v>
      </c>
      <c r="D143" s="419"/>
      <c r="E143" s="427" t="s">
        <v>1395</v>
      </c>
      <c r="F143" s="419" t="s">
        <v>1396</v>
      </c>
      <c r="G143" s="511">
        <v>86.5</v>
      </c>
      <c r="H143" s="416"/>
    </row>
    <row r="144" spans="1:8" ht="38.25">
      <c r="A144" s="427" t="s">
        <v>1989</v>
      </c>
      <c r="B144" s="418" t="s">
        <v>1687</v>
      </c>
      <c r="C144" s="511">
        <v>51000</v>
      </c>
      <c r="D144" s="419"/>
      <c r="E144" s="420" t="s">
        <v>1414</v>
      </c>
      <c r="F144" s="419" t="s">
        <v>1415</v>
      </c>
      <c r="G144" s="511">
        <v>108</v>
      </c>
      <c r="H144" s="416"/>
    </row>
    <row r="145" spans="1:8" ht="38.25">
      <c r="A145" s="427" t="s">
        <v>1990</v>
      </c>
      <c r="B145" s="418" t="s">
        <v>1689</v>
      </c>
      <c r="C145" s="511">
        <v>63950</v>
      </c>
      <c r="D145" s="419"/>
      <c r="E145" s="427" t="s">
        <v>1380</v>
      </c>
      <c r="F145" s="418" t="s">
        <v>1381</v>
      </c>
      <c r="G145" s="511">
        <v>273</v>
      </c>
      <c r="H145" s="416"/>
    </row>
    <row r="146" spans="1:8" ht="38.25">
      <c r="A146" s="513" t="s">
        <v>1392</v>
      </c>
      <c r="B146" s="419" t="s">
        <v>1393</v>
      </c>
      <c r="C146" s="511">
        <v>3394</v>
      </c>
      <c r="D146" s="419"/>
      <c r="E146" s="427" t="s">
        <v>1397</v>
      </c>
      <c r="F146" s="419" t="s">
        <v>1398</v>
      </c>
      <c r="G146" s="511">
        <v>129</v>
      </c>
      <c r="H146" s="416"/>
    </row>
    <row r="147" spans="1:8" ht="38.25">
      <c r="A147" s="513" t="s">
        <v>1991</v>
      </c>
      <c r="B147" s="419" t="s">
        <v>1410</v>
      </c>
      <c r="C147" s="511">
        <v>920</v>
      </c>
      <c r="D147" s="419"/>
      <c r="E147" s="427" t="s">
        <v>1382</v>
      </c>
      <c r="F147" s="418" t="s">
        <v>1383</v>
      </c>
      <c r="G147" s="511">
        <v>114</v>
      </c>
      <c r="H147" s="416"/>
    </row>
    <row r="148" spans="1:8" ht="25.5">
      <c r="A148" s="513" t="s">
        <v>2289</v>
      </c>
      <c r="B148" s="419" t="s">
        <v>2099</v>
      </c>
      <c r="C148" s="508">
        <v>2000</v>
      </c>
      <c r="D148" s="419"/>
      <c r="E148" s="427" t="s">
        <v>1384</v>
      </c>
      <c r="F148" s="418" t="s">
        <v>1385</v>
      </c>
      <c r="G148" s="511">
        <v>1195</v>
      </c>
      <c r="H148" s="416"/>
    </row>
    <row r="149" spans="1:8" ht="38.25">
      <c r="A149" s="513" t="s">
        <v>1992</v>
      </c>
      <c r="B149" s="419" t="s">
        <v>1391</v>
      </c>
      <c r="C149" s="511">
        <v>1727</v>
      </c>
      <c r="D149" s="419"/>
      <c r="E149" s="427" t="s">
        <v>1399</v>
      </c>
      <c r="F149" s="419" t="s">
        <v>1400</v>
      </c>
      <c r="G149" s="511">
        <v>338</v>
      </c>
      <c r="H149" s="416"/>
    </row>
    <row r="150" spans="1:8" ht="25.5">
      <c r="A150" s="513" t="s">
        <v>1993</v>
      </c>
      <c r="B150" s="419" t="s">
        <v>1695</v>
      </c>
      <c r="C150" s="511">
        <v>1701</v>
      </c>
      <c r="D150" s="419"/>
      <c r="E150" s="427" t="s">
        <v>1386</v>
      </c>
      <c r="F150" s="418" t="s">
        <v>1387</v>
      </c>
      <c r="G150" s="511">
        <v>185</v>
      </c>
      <c r="H150" s="416"/>
    </row>
    <row r="151" spans="1:8" ht="38.25">
      <c r="A151" s="513" t="s">
        <v>2290</v>
      </c>
      <c r="B151" s="419" t="s">
        <v>1394</v>
      </c>
      <c r="C151" s="508">
        <v>1036</v>
      </c>
      <c r="D151" s="419"/>
      <c r="E151" s="427" t="s">
        <v>1401</v>
      </c>
      <c r="F151" s="419" t="s">
        <v>1402</v>
      </c>
      <c r="G151" s="511">
        <v>45</v>
      </c>
      <c r="H151" s="416"/>
    </row>
    <row r="152" spans="1:8" ht="38.25">
      <c r="A152" s="513" t="s">
        <v>1995</v>
      </c>
      <c r="B152" s="419" t="s">
        <v>1996</v>
      </c>
      <c r="C152" s="511">
        <v>8622</v>
      </c>
      <c r="D152" s="419"/>
      <c r="E152" s="427" t="s">
        <v>1388</v>
      </c>
      <c r="F152" s="418" t="s">
        <v>1389</v>
      </c>
      <c r="G152" s="511">
        <v>39</v>
      </c>
      <c r="H152" s="416"/>
    </row>
    <row r="153" spans="1:8">
      <c r="A153" s="513" t="s">
        <v>1997</v>
      </c>
      <c r="B153" s="419" t="s">
        <v>1417</v>
      </c>
      <c r="C153" s="511">
        <v>6460</v>
      </c>
      <c r="D153" s="419"/>
      <c r="E153" s="420" t="s">
        <v>1998</v>
      </c>
      <c r="F153" s="419" t="s">
        <v>1407</v>
      </c>
      <c r="G153" s="511">
        <v>486</v>
      </c>
      <c r="H153" s="416"/>
    </row>
    <row r="154" spans="1:8" ht="38.25">
      <c r="A154" s="513" t="s">
        <v>1999</v>
      </c>
      <c r="B154" s="419" t="s">
        <v>1420</v>
      </c>
      <c r="C154" s="511">
        <v>6238</v>
      </c>
      <c r="D154" s="419"/>
      <c r="E154" s="420" t="s">
        <v>2000</v>
      </c>
      <c r="F154" s="419" t="s">
        <v>1408</v>
      </c>
      <c r="G154" s="511">
        <v>388</v>
      </c>
      <c r="H154" s="416"/>
    </row>
    <row r="155" spans="1:8" ht="25.5">
      <c r="A155" s="513" t="s">
        <v>1994</v>
      </c>
      <c r="B155" s="419" t="s">
        <v>2101</v>
      </c>
      <c r="C155" s="508">
        <v>421</v>
      </c>
      <c r="D155" s="419"/>
      <c r="E155" s="427" t="s">
        <v>2001</v>
      </c>
      <c r="F155" s="419" t="s">
        <v>1693</v>
      </c>
      <c r="G155" s="511">
        <v>58</v>
      </c>
      <c r="H155" s="416"/>
    </row>
    <row r="156" spans="1:8">
      <c r="A156" s="512" t="s">
        <v>2292</v>
      </c>
      <c r="B156" s="516" t="s">
        <v>2291</v>
      </c>
      <c r="C156" s="510">
        <v>4062</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xl/worksheets/sheet35.xml><?xml version="1.0" encoding="utf-8"?>
<worksheet xmlns="http://schemas.openxmlformats.org/spreadsheetml/2006/main" xmlns:r="http://schemas.openxmlformats.org/officeDocument/2006/relationships">
  <sheetPr filterMode="1">
    <tabColor rgb="FF00B050"/>
  </sheetPr>
  <dimension ref="A1:P1274"/>
  <sheetViews>
    <sheetView showZeros="0" view="pageBreakPreview" topLeftCell="A1150" zoomScaleNormal="130" zoomScaleSheetLayoutView="100" workbookViewId="0">
      <selection activeCell="I1153" sqref="I1153"/>
    </sheetView>
  </sheetViews>
  <sheetFormatPr defaultColWidth="9.140625" defaultRowHeight="12.75"/>
  <cols>
    <col min="1" max="1" width="5.140625" style="1426" customWidth="1"/>
    <col min="2" max="2" width="42.42578125" style="1426" customWidth="1"/>
    <col min="3" max="3" width="8.28515625" style="1536" customWidth="1"/>
    <col min="4" max="4" width="5.140625" style="1537" customWidth="1"/>
    <col min="5" max="5" width="9" style="1426" customWidth="1"/>
    <col min="6" max="6" width="12.28515625" style="1426" customWidth="1"/>
    <col min="7" max="7" width="8.140625" style="1530" customWidth="1"/>
    <col min="8" max="8" width="4.7109375" style="1537" customWidth="1"/>
    <col min="9" max="9" width="9.42578125" style="1426" bestFit="1" customWidth="1"/>
    <col min="10" max="10" width="10.85546875" style="1426" customWidth="1"/>
    <col min="11" max="11" width="11" style="1530" customWidth="1"/>
    <col min="12" max="12" width="11" style="1538" customWidth="1"/>
    <col min="13" max="13" width="7.85546875" style="1426" customWidth="1"/>
    <col min="14" max="14" width="9.28515625" style="1426" bestFit="1" customWidth="1"/>
    <col min="15" max="16" width="10.42578125" style="1426" bestFit="1" customWidth="1"/>
    <col min="17" max="16384" width="9.140625" style="1426"/>
  </cols>
  <sheetData>
    <row r="1" spans="1:15" ht="19.5" customHeight="1">
      <c r="A1" s="1916" t="s">
        <v>451</v>
      </c>
      <c r="B1" s="1917"/>
      <c r="C1" s="1917"/>
      <c r="D1" s="1917"/>
      <c r="E1" s="1917"/>
      <c r="F1" s="1917"/>
      <c r="G1" s="1917"/>
      <c r="H1" s="1917"/>
      <c r="I1" s="1917"/>
      <c r="J1" s="1917"/>
      <c r="K1" s="1918"/>
      <c r="L1" s="1919"/>
      <c r="M1" s="1919"/>
    </row>
    <row r="2" spans="1:15" s="1427" customFormat="1" ht="36.75" customHeight="1">
      <c r="A2" s="1920" t="str">
        <f>'lead 19-20'!B2&amp;'lead 19-20'!C2</f>
        <v>Name of the Work: Providing Additional Space for Agriculture Staff in  Baduguleru GP of Kanigiri Mandal</v>
      </c>
      <c r="B2" s="1920"/>
      <c r="C2" s="1920"/>
      <c r="D2" s="1920"/>
      <c r="E2" s="1920"/>
      <c r="F2" s="1920"/>
      <c r="G2" s="1920"/>
      <c r="H2" s="1920"/>
      <c r="I2" s="1920"/>
      <c r="J2" s="1920"/>
      <c r="K2" s="1921"/>
      <c r="L2" s="1920"/>
      <c r="M2" s="1920"/>
    </row>
    <row r="3" spans="1:15" s="1427" customFormat="1" ht="15">
      <c r="A3" s="1428"/>
      <c r="B3" s="1429"/>
      <c r="C3" s="1430"/>
      <c r="D3" s="1431"/>
      <c r="E3" s="1432"/>
      <c r="F3" s="1429"/>
      <c r="G3" s="1433"/>
      <c r="H3" s="1431"/>
      <c r="I3" s="1432"/>
      <c r="J3" s="1429" t="s">
        <v>452</v>
      </c>
      <c r="K3" s="1922" t="str">
        <f>'lead 19-20'!K4</f>
        <v>21.80 Lakhs</v>
      </c>
      <c r="L3" s="1923"/>
      <c r="M3" s="1923"/>
    </row>
    <row r="4" spans="1:15" s="1427" customFormat="1" ht="19.5" customHeight="1">
      <c r="A4" s="1924" t="s">
        <v>271</v>
      </c>
      <c r="B4" s="1924" t="s">
        <v>7</v>
      </c>
      <c r="C4" s="1924" t="s">
        <v>573</v>
      </c>
      <c r="D4" s="1924"/>
      <c r="E4" s="1925"/>
      <c r="F4" s="1925"/>
      <c r="G4" s="1924" t="s">
        <v>569</v>
      </c>
      <c r="H4" s="1924"/>
      <c r="I4" s="1925"/>
      <c r="J4" s="1925"/>
      <c r="K4" s="1926" t="s">
        <v>454</v>
      </c>
      <c r="L4" s="1925"/>
      <c r="M4" s="1924" t="s">
        <v>455</v>
      </c>
    </row>
    <row r="5" spans="1:15" s="1427" customFormat="1" ht="15.75" customHeight="1">
      <c r="A5" s="1924"/>
      <c r="B5" s="1924"/>
      <c r="C5" s="1924" t="s">
        <v>456</v>
      </c>
      <c r="D5" s="1924"/>
      <c r="E5" s="1768" t="s">
        <v>457</v>
      </c>
      <c r="F5" s="1768" t="s">
        <v>10</v>
      </c>
      <c r="G5" s="1924" t="s">
        <v>456</v>
      </c>
      <c r="H5" s="1924"/>
      <c r="I5" s="1768" t="s">
        <v>457</v>
      </c>
      <c r="J5" s="1768" t="s">
        <v>10</v>
      </c>
      <c r="K5" s="1769" t="s">
        <v>458</v>
      </c>
      <c r="L5" s="1768" t="s">
        <v>459</v>
      </c>
      <c r="M5" s="1924"/>
    </row>
    <row r="6" spans="1:15" s="1427" customFormat="1" ht="16.5" customHeight="1">
      <c r="A6" s="1768" t="s">
        <v>460</v>
      </c>
      <c r="B6" s="1768" t="s">
        <v>461</v>
      </c>
      <c r="C6" s="1924" t="s">
        <v>462</v>
      </c>
      <c r="D6" s="1924"/>
      <c r="E6" s="1768" t="s">
        <v>463</v>
      </c>
      <c r="F6" s="1768" t="s">
        <v>464</v>
      </c>
      <c r="G6" s="1924" t="s">
        <v>465</v>
      </c>
      <c r="H6" s="1924"/>
      <c r="I6" s="1768" t="s">
        <v>466</v>
      </c>
      <c r="J6" s="1768" t="s">
        <v>467</v>
      </c>
      <c r="K6" s="1769" t="s">
        <v>468</v>
      </c>
      <c r="L6" s="1768" t="s">
        <v>326</v>
      </c>
      <c r="M6" s="1768" t="s">
        <v>469</v>
      </c>
    </row>
    <row r="7" spans="1:15" s="1427" customFormat="1" ht="16.5" customHeight="1">
      <c r="A7" s="1768"/>
      <c r="B7" s="1768" t="s">
        <v>2443</v>
      </c>
      <c r="C7" s="1434"/>
      <c r="D7" s="1435"/>
      <c r="E7" s="1435"/>
      <c r="F7" s="1768"/>
      <c r="G7" s="1434"/>
      <c r="H7" s="1435"/>
      <c r="I7" s="1768"/>
      <c r="J7" s="1768"/>
      <c r="K7" s="1769"/>
      <c r="L7" s="1768"/>
      <c r="M7" s="1768"/>
      <c r="O7" s="1427" t="s">
        <v>460</v>
      </c>
    </row>
    <row r="8" spans="1:15" s="26" customFormat="1" ht="20.25" hidden="1" customHeight="1">
      <c r="A8" s="23"/>
      <c r="B8" s="702" t="s">
        <v>470</v>
      </c>
      <c r="C8" s="703"/>
      <c r="D8" s="704"/>
      <c r="E8" s="705"/>
      <c r="F8" s="223"/>
      <c r="G8" s="28"/>
      <c r="H8" s="224"/>
      <c r="I8" s="29"/>
      <c r="J8" s="223"/>
      <c r="K8" s="25">
        <f t="shared" ref="K8" si="0">IF(J8&gt;F8,J8-F8,0)</f>
        <v>0</v>
      </c>
      <c r="L8" s="25">
        <f t="shared" ref="L8" si="1">IF(J8&lt;F8,F8-J8,0)</f>
        <v>0</v>
      </c>
      <c r="M8" s="23" t="s">
        <v>15</v>
      </c>
      <c r="N8" s="223"/>
      <c r="O8" s="1138"/>
    </row>
    <row r="9" spans="1:15" s="360" customFormat="1" ht="25.5" hidden="1">
      <c r="A9" s="356" t="s">
        <v>460</v>
      </c>
      <c r="B9" s="707" t="s">
        <v>294</v>
      </c>
      <c r="C9" s="633"/>
      <c r="D9" s="354"/>
      <c r="E9" s="622"/>
      <c r="F9" s="353"/>
      <c r="G9" s="1147">
        <f>WORK!I13</f>
        <v>0</v>
      </c>
      <c r="H9" s="1314" t="s">
        <v>102</v>
      </c>
      <c r="I9" s="910">
        <f>WORK!K13</f>
        <v>5.22</v>
      </c>
      <c r="J9" s="1315">
        <f t="shared" ref="J9:J22" si="2">ROUND(G9*I9,0)</f>
        <v>0</v>
      </c>
      <c r="K9" s="1911">
        <f>IF((J9+J10+J11+J12)&gt;(F9+F10+F11+F12),(J9+J10+J11+J12)-(F9+F10+F11+F12),0)</f>
        <v>0</v>
      </c>
      <c r="L9" s="1911">
        <f>IF((J9+J10+J11+J12)&lt;(F9+F10+F11+F12),(F9+F10+F11+F12)-(J9+J10+J11+J12),0)</f>
        <v>0</v>
      </c>
      <c r="M9" s="708" t="s">
        <v>2226</v>
      </c>
      <c r="N9" s="223"/>
      <c r="O9" s="706">
        <f>F9-J9</f>
        <v>0</v>
      </c>
    </row>
    <row r="10" spans="1:15" s="360" customFormat="1" ht="15" hidden="1">
      <c r="A10" s="356" t="s">
        <v>460</v>
      </c>
      <c r="B10" s="707" t="s">
        <v>537</v>
      </c>
      <c r="C10" s="633"/>
      <c r="D10" s="354"/>
      <c r="E10" s="622"/>
      <c r="F10" s="353"/>
      <c r="G10" s="358">
        <f>WORK!I19</f>
        <v>0</v>
      </c>
      <c r="H10" s="354" t="s">
        <v>102</v>
      </c>
      <c r="I10" s="355">
        <f>WORK!K19</f>
        <v>5.86</v>
      </c>
      <c r="J10" s="353">
        <f t="shared" si="2"/>
        <v>0</v>
      </c>
      <c r="K10" s="1912"/>
      <c r="L10" s="1912"/>
      <c r="M10" s="708" t="s">
        <v>2308</v>
      </c>
      <c r="N10" s="223"/>
      <c r="O10" s="706">
        <f t="shared" ref="O10:O74" si="3">F10-J10</f>
        <v>0</v>
      </c>
    </row>
    <row r="11" spans="1:15" s="360" customFormat="1" ht="15" hidden="1">
      <c r="A11" s="356" t="s">
        <v>460</v>
      </c>
      <c r="B11" s="707" t="s">
        <v>537</v>
      </c>
      <c r="C11" s="633"/>
      <c r="D11" s="354"/>
      <c r="E11" s="622"/>
      <c r="F11" s="353"/>
      <c r="G11" s="358">
        <f>WORK!I25</f>
        <v>0</v>
      </c>
      <c r="H11" s="354" t="s">
        <v>102</v>
      </c>
      <c r="I11" s="355">
        <f>WORK!K25</f>
        <v>6.06</v>
      </c>
      <c r="J11" s="353">
        <f>ROUND(G11*I11,0)</f>
        <v>0</v>
      </c>
      <c r="K11" s="1912"/>
      <c r="L11" s="1912"/>
      <c r="M11" s="708" t="s">
        <v>2321</v>
      </c>
      <c r="N11" s="223"/>
      <c r="O11" s="706">
        <f t="shared" si="3"/>
        <v>0</v>
      </c>
    </row>
    <row r="12" spans="1:15" s="360" customFormat="1" ht="15" hidden="1">
      <c r="A12" s="356" t="s">
        <v>460</v>
      </c>
      <c r="B12" s="707" t="s">
        <v>537</v>
      </c>
      <c r="C12" s="633"/>
      <c r="D12" s="354"/>
      <c r="E12" s="622"/>
      <c r="F12" s="353"/>
      <c r="G12" s="358">
        <f>WORK!I31</f>
        <v>0</v>
      </c>
      <c r="H12" s="354" t="s">
        <v>102</v>
      </c>
      <c r="I12" s="355">
        <f>WORK!K31</f>
        <v>6.06</v>
      </c>
      <c r="J12" s="353">
        <f>ROUND(G12*I12,0)</f>
        <v>0</v>
      </c>
      <c r="K12" s="1913"/>
      <c r="L12" s="1913"/>
      <c r="M12" s="708" t="s">
        <v>2322</v>
      </c>
      <c r="N12" s="223"/>
      <c r="O12" s="706">
        <f t="shared" si="3"/>
        <v>0</v>
      </c>
    </row>
    <row r="13" spans="1:15" s="1448" customFormat="1" ht="51">
      <c r="A13" s="1436" t="s">
        <v>460</v>
      </c>
      <c r="B13" s="1437" t="s">
        <v>3259</v>
      </c>
      <c r="C13" s="1438">
        <v>129.22999999999999</v>
      </c>
      <c r="D13" s="1439" t="s">
        <v>5</v>
      </c>
      <c r="E13" s="1221">
        <v>124.4</v>
      </c>
      <c r="F13" s="1440">
        <f t="shared" ref="F13" si="4">ROUND(C13*E13,0)</f>
        <v>16076</v>
      </c>
      <c r="G13" s="1441">
        <f>WORK!I48</f>
        <v>82.240000000000009</v>
      </c>
      <c r="H13" s="1442" t="s">
        <v>5</v>
      </c>
      <c r="I13" s="1443">
        <f>WORK!K48</f>
        <v>124.24</v>
      </c>
      <c r="J13" s="1444">
        <f t="shared" si="2"/>
        <v>10217</v>
      </c>
      <c r="K13" s="1911">
        <f>IF((J13+J14+J15+J16)&gt;(F13+F14+F15+F16),(J13+J14+J15+J16)-(F13+F14+F15+F16),0)</f>
        <v>0</v>
      </c>
      <c r="L13" s="1911">
        <f>IF((J13+J14+J15+J16)&lt;(F13+F14+F15+F16),(F13+F14+F15+F16)-(J13+J14+J15+J16),0)</f>
        <v>5859</v>
      </c>
      <c r="M13" s="1445" t="s">
        <v>2226</v>
      </c>
      <c r="N13" s="1446"/>
      <c r="O13" s="1447">
        <f t="shared" si="3"/>
        <v>5859</v>
      </c>
    </row>
    <row r="14" spans="1:15" s="1448" customFormat="1" ht="51" hidden="1">
      <c r="A14" s="1436" t="s">
        <v>461</v>
      </c>
      <c r="B14" s="1437" t="s">
        <v>3259</v>
      </c>
      <c r="C14" s="1449"/>
      <c r="D14" s="1439"/>
      <c r="E14" s="1221"/>
      <c r="F14" s="1450"/>
      <c r="G14" s="1441">
        <f>WORK!I54</f>
        <v>0</v>
      </c>
      <c r="H14" s="1442" t="s">
        <v>5</v>
      </c>
      <c r="I14" s="1443">
        <f>WORK!K54</f>
        <v>139.55000000000001</v>
      </c>
      <c r="J14" s="1444">
        <f t="shared" si="2"/>
        <v>0</v>
      </c>
      <c r="K14" s="1912"/>
      <c r="L14" s="1912"/>
      <c r="M14" s="1451" t="s">
        <v>2308</v>
      </c>
      <c r="N14" s="1446"/>
      <c r="O14" s="1452">
        <f t="shared" si="3"/>
        <v>0</v>
      </c>
    </row>
    <row r="15" spans="1:15" s="360" customFormat="1" ht="15" hidden="1">
      <c r="A15" s="356" t="s">
        <v>461</v>
      </c>
      <c r="B15" s="707" t="s">
        <v>471</v>
      </c>
      <c r="C15" s="709"/>
      <c r="D15" s="354"/>
      <c r="E15" s="10"/>
      <c r="F15" s="353"/>
      <c r="G15" s="358">
        <f>WORK!I61</f>
        <v>0</v>
      </c>
      <c r="H15" s="354" t="s">
        <v>5</v>
      </c>
      <c r="I15" s="355">
        <f>WORK!K61</f>
        <v>144.26</v>
      </c>
      <c r="J15" s="353">
        <f>ROUND(G15*I15,0)</f>
        <v>0</v>
      </c>
      <c r="K15" s="1912"/>
      <c r="L15" s="1912"/>
      <c r="M15" s="708" t="s">
        <v>2321</v>
      </c>
      <c r="N15" s="223"/>
      <c r="O15" s="706">
        <f t="shared" si="3"/>
        <v>0</v>
      </c>
    </row>
    <row r="16" spans="1:15" s="360" customFormat="1" ht="51" hidden="1">
      <c r="A16" s="356" t="s">
        <v>462</v>
      </c>
      <c r="B16" s="707" t="s">
        <v>3259</v>
      </c>
      <c r="C16" s="709"/>
      <c r="D16" s="354"/>
      <c r="E16" s="10"/>
      <c r="F16" s="353"/>
      <c r="G16" s="358">
        <f>WORK!I68</f>
        <v>0</v>
      </c>
      <c r="H16" s="354" t="s">
        <v>5</v>
      </c>
      <c r="I16" s="355">
        <f>WORK!K68</f>
        <v>144.26</v>
      </c>
      <c r="J16" s="353">
        <f>ROUND(G16*I16,0)</f>
        <v>0</v>
      </c>
      <c r="K16" s="1913"/>
      <c r="L16" s="1913"/>
      <c r="M16" s="708" t="s">
        <v>2322</v>
      </c>
      <c r="N16" s="223"/>
      <c r="O16" s="706">
        <f t="shared" si="3"/>
        <v>0</v>
      </c>
    </row>
    <row r="17" spans="1:15" s="1448" customFormat="1" ht="51">
      <c r="A17" s="1436" t="s">
        <v>461</v>
      </c>
      <c r="B17" s="1437" t="s">
        <v>3260</v>
      </c>
      <c r="C17" s="1438">
        <v>22.53</v>
      </c>
      <c r="D17" s="1439" t="s">
        <v>5</v>
      </c>
      <c r="E17" s="1221">
        <v>3723.38</v>
      </c>
      <c r="F17" s="1440">
        <f t="shared" ref="F17" si="5">ROUND(C17*E17,0)</f>
        <v>83888</v>
      </c>
      <c r="G17" s="1441">
        <f>WORK!I96</f>
        <v>22.029999999999998</v>
      </c>
      <c r="H17" s="1442" t="s">
        <v>5</v>
      </c>
      <c r="I17" s="1443">
        <f>WORK!K96</f>
        <v>3877.2799999999997</v>
      </c>
      <c r="J17" s="1444">
        <f t="shared" si="2"/>
        <v>85416</v>
      </c>
      <c r="K17" s="1911">
        <f>IF((J17+J18+J19+J20)&gt;(F17+F18+F19+F20),(J17+J18+J19+J20)-(F17+F18+F19+F20),0)</f>
        <v>1528</v>
      </c>
      <c r="L17" s="1911">
        <f>IF((J17+J18+J19+J20)&lt;(F17+F18+F19+F20),(F17+F18+F19+F20)-(J17+J18+J19+J20),0)</f>
        <v>0</v>
      </c>
      <c r="M17" s="1445" t="s">
        <v>2226</v>
      </c>
      <c r="N17" s="1446"/>
      <c r="O17" s="1447">
        <f t="shared" si="3"/>
        <v>-1528</v>
      </c>
    </row>
    <row r="18" spans="1:15" s="1448" customFormat="1" ht="51" hidden="1">
      <c r="A18" s="1436" t="s">
        <v>463</v>
      </c>
      <c r="B18" s="1437" t="s">
        <v>3260</v>
      </c>
      <c r="C18" s="1449"/>
      <c r="D18" s="1439"/>
      <c r="E18" s="1221"/>
      <c r="F18" s="1450"/>
      <c r="G18" s="1441">
        <f>WORK!I110</f>
        <v>0</v>
      </c>
      <c r="H18" s="1442" t="s">
        <v>5</v>
      </c>
      <c r="I18" s="1443">
        <f>WORK!K110</f>
        <v>4067.8399999999997</v>
      </c>
      <c r="J18" s="1444">
        <f t="shared" si="2"/>
        <v>0</v>
      </c>
      <c r="K18" s="1912"/>
      <c r="L18" s="1912"/>
      <c r="M18" s="1451" t="s">
        <v>2308</v>
      </c>
      <c r="N18" s="1446"/>
      <c r="O18" s="1452">
        <f t="shared" si="3"/>
        <v>0</v>
      </c>
    </row>
    <row r="19" spans="1:15" s="1448" customFormat="1" ht="15" hidden="1">
      <c r="A19" s="1436" t="s">
        <v>463</v>
      </c>
      <c r="B19" s="1437" t="s">
        <v>538</v>
      </c>
      <c r="C19" s="1449"/>
      <c r="D19" s="1439"/>
      <c r="E19" s="1221"/>
      <c r="F19" s="1450"/>
      <c r="G19" s="1453">
        <f>WORK!I120</f>
        <v>0</v>
      </c>
      <c r="H19" s="1439" t="s">
        <v>5</v>
      </c>
      <c r="I19" s="1454">
        <f>WORK!K120</f>
        <v>4332.55</v>
      </c>
      <c r="J19" s="1450">
        <f>ROUND(G19*I19,0)</f>
        <v>0</v>
      </c>
      <c r="K19" s="1912"/>
      <c r="L19" s="1912"/>
      <c r="M19" s="1451" t="s">
        <v>2321</v>
      </c>
      <c r="N19" s="1446"/>
      <c r="O19" s="1452">
        <f t="shared" si="3"/>
        <v>0</v>
      </c>
    </row>
    <row r="20" spans="1:15" s="360" customFormat="1" ht="51" hidden="1">
      <c r="A20" s="356" t="s">
        <v>465</v>
      </c>
      <c r="B20" s="707" t="s">
        <v>3260</v>
      </c>
      <c r="C20" s="709"/>
      <c r="D20" s="354"/>
      <c r="E20" s="10"/>
      <c r="F20" s="353"/>
      <c r="G20" s="358">
        <f>WORK!I128</f>
        <v>0</v>
      </c>
      <c r="H20" s="354" t="s">
        <v>5</v>
      </c>
      <c r="I20" s="355">
        <f>WORK!K128</f>
        <v>4583.3100000000004</v>
      </c>
      <c r="J20" s="353">
        <f>ROUND(G20*I20,0)</f>
        <v>0</v>
      </c>
      <c r="K20" s="1913"/>
      <c r="L20" s="1913"/>
      <c r="M20" s="708" t="s">
        <v>2322</v>
      </c>
      <c r="N20" s="223"/>
      <c r="O20" s="706">
        <f t="shared" si="3"/>
        <v>0</v>
      </c>
    </row>
    <row r="21" spans="1:15" s="360" customFormat="1" ht="15" hidden="1">
      <c r="A21" s="356" t="s">
        <v>463</v>
      </c>
      <c r="B21" s="707" t="s">
        <v>539</v>
      </c>
      <c r="C21" s="633"/>
      <c r="D21" s="354"/>
      <c r="E21" s="622"/>
      <c r="F21" s="353"/>
      <c r="G21" s="358">
        <f>WORK!I137</f>
        <v>0</v>
      </c>
      <c r="H21" s="354" t="s">
        <v>5</v>
      </c>
      <c r="I21" s="355">
        <f>WORK!K137</f>
        <v>3725</v>
      </c>
      <c r="J21" s="353">
        <f t="shared" si="2"/>
        <v>0</v>
      </c>
      <c r="K21" s="1911">
        <f>IF((J21+J22+J23+J24)&gt;(F21+F22+F23+F24),(J21+J22+J23+J24)-(F21+F22+F23+F24),0)</f>
        <v>0</v>
      </c>
      <c r="L21" s="1911">
        <f>IF((J21+J22+J23+J24)&lt;(F21+F22+F23+F24),(F21+F22+F23+F24)-(J21+J22+J23+J24),0)</f>
        <v>0</v>
      </c>
      <c r="M21" s="708" t="s">
        <v>2226</v>
      </c>
      <c r="N21" s="223"/>
      <c r="O21" s="706">
        <f t="shared" si="3"/>
        <v>0</v>
      </c>
    </row>
    <row r="22" spans="1:15" s="360" customFormat="1" ht="15" hidden="1">
      <c r="A22" s="356" t="s">
        <v>463</v>
      </c>
      <c r="B22" s="707" t="s">
        <v>539</v>
      </c>
      <c r="C22" s="633"/>
      <c r="D22" s="354"/>
      <c r="E22" s="622"/>
      <c r="F22" s="353"/>
      <c r="G22" s="358">
        <f>WORK!I146</f>
        <v>0</v>
      </c>
      <c r="H22" s="354" t="s">
        <v>5</v>
      </c>
      <c r="I22" s="355">
        <f>WORK!K146</f>
        <v>3915.56</v>
      </c>
      <c r="J22" s="353">
        <f t="shared" si="2"/>
        <v>0</v>
      </c>
      <c r="K22" s="1912"/>
      <c r="L22" s="1912"/>
      <c r="M22" s="708" t="s">
        <v>2308</v>
      </c>
      <c r="N22" s="223"/>
      <c r="O22" s="706">
        <f t="shared" si="3"/>
        <v>0</v>
      </c>
    </row>
    <row r="23" spans="1:15" s="360" customFormat="1" ht="15" hidden="1">
      <c r="A23" s="356" t="s">
        <v>463</v>
      </c>
      <c r="B23" s="707" t="s">
        <v>539</v>
      </c>
      <c r="C23" s="633"/>
      <c r="D23" s="354"/>
      <c r="E23" s="622"/>
      <c r="F23" s="353"/>
      <c r="G23" s="358">
        <f>WORK!I155</f>
        <v>0</v>
      </c>
      <c r="H23" s="354" t="s">
        <v>5</v>
      </c>
      <c r="I23" s="355">
        <f>WORK!K155</f>
        <v>4180.2700000000004</v>
      </c>
      <c r="J23" s="353">
        <f>ROUND(G23*I23,0)</f>
        <v>0</v>
      </c>
      <c r="K23" s="1912"/>
      <c r="L23" s="1912"/>
      <c r="M23" s="708" t="s">
        <v>2321</v>
      </c>
      <c r="N23" s="223"/>
      <c r="O23" s="706">
        <f t="shared" si="3"/>
        <v>0</v>
      </c>
    </row>
    <row r="24" spans="1:15" s="360" customFormat="1" ht="15" hidden="1">
      <c r="A24" s="356" t="s">
        <v>463</v>
      </c>
      <c r="B24" s="707" t="s">
        <v>539</v>
      </c>
      <c r="C24" s="633"/>
      <c r="D24" s="354"/>
      <c r="E24" s="622"/>
      <c r="F24" s="353"/>
      <c r="G24" s="358">
        <f>WORK!I164</f>
        <v>0</v>
      </c>
      <c r="H24" s="354" t="s">
        <v>5</v>
      </c>
      <c r="I24" s="355">
        <f>WORK!K164</f>
        <v>4431.03</v>
      </c>
      <c r="J24" s="353">
        <f>ROUND(G24*I24,0)</f>
        <v>0</v>
      </c>
      <c r="K24" s="1913"/>
      <c r="L24" s="1913"/>
      <c r="M24" s="708" t="s">
        <v>2322</v>
      </c>
      <c r="N24" s="223"/>
      <c r="O24" s="706">
        <f t="shared" si="3"/>
        <v>0</v>
      </c>
    </row>
    <row r="25" spans="1:15" s="1448" customFormat="1" ht="63.75">
      <c r="A25" s="1436" t="s">
        <v>462</v>
      </c>
      <c r="B25" s="1437" t="s">
        <v>3261</v>
      </c>
      <c r="C25" s="1455"/>
      <c r="D25" s="1439"/>
      <c r="E25" s="1456"/>
      <c r="F25" s="1450"/>
      <c r="G25" s="1441">
        <f>WORK!I170</f>
        <v>13.280000000000001</v>
      </c>
      <c r="H25" s="1442" t="s">
        <v>5</v>
      </c>
      <c r="I25" s="1443">
        <f>WORK!K170</f>
        <v>183</v>
      </c>
      <c r="J25" s="1444">
        <f t="shared" ref="J25" si="6">ROUND(G25*I25,0)</f>
        <v>2430</v>
      </c>
      <c r="K25" s="1911">
        <f>IF((J25+J26+J27+J28)&gt;(F25+F26+F27+F28),(J25+J26+J27+J28)-(F25+F26+F27+F28),0)</f>
        <v>2430</v>
      </c>
      <c r="L25" s="1911">
        <f>IF((J25+J26+J27+J28)&lt;(F25+F26+F27+F28),(F25+F26+F27+F28)-(J25+J26+J27+J28),0)</f>
        <v>0</v>
      </c>
      <c r="M25" s="1445" t="s">
        <v>2226</v>
      </c>
      <c r="N25" s="1446"/>
      <c r="O25" s="1447">
        <f t="shared" si="3"/>
        <v>-2430</v>
      </c>
    </row>
    <row r="26" spans="1:15" s="1448" customFormat="1" ht="15" hidden="1">
      <c r="A26" s="1436" t="s">
        <v>465</v>
      </c>
      <c r="B26" s="1437" t="s">
        <v>1219</v>
      </c>
      <c r="C26" s="1455"/>
      <c r="D26" s="1439"/>
      <c r="E26" s="1456"/>
      <c r="F26" s="1450"/>
      <c r="G26" s="1441">
        <f>WORK!I176</f>
        <v>0</v>
      </c>
      <c r="H26" s="1442" t="s">
        <v>5</v>
      </c>
      <c r="I26" s="1443">
        <f>WORK!K176</f>
        <v>205.87</v>
      </c>
      <c r="J26" s="1444">
        <f>ROUND(G26*I26,0)</f>
        <v>0</v>
      </c>
      <c r="K26" s="1912"/>
      <c r="L26" s="1912"/>
      <c r="M26" s="1451" t="s">
        <v>2308</v>
      </c>
      <c r="N26" s="1446"/>
      <c r="O26" s="1452">
        <f t="shared" si="3"/>
        <v>0</v>
      </c>
    </row>
    <row r="27" spans="1:15" s="1448" customFormat="1" ht="15" hidden="1">
      <c r="A27" s="1436" t="s">
        <v>464</v>
      </c>
      <c r="B27" s="1437" t="s">
        <v>1219</v>
      </c>
      <c r="C27" s="1455"/>
      <c r="D27" s="1439"/>
      <c r="E27" s="1456"/>
      <c r="F27" s="1450"/>
      <c r="G27" s="1453">
        <f>WORK!I182</f>
        <v>0</v>
      </c>
      <c r="H27" s="1439" t="s">
        <v>5</v>
      </c>
      <c r="I27" s="1454">
        <f>WORK!K182</f>
        <v>199.97</v>
      </c>
      <c r="J27" s="1450">
        <f>ROUND(G27*I27,0)</f>
        <v>0</v>
      </c>
      <c r="K27" s="1912"/>
      <c r="L27" s="1912"/>
      <c r="M27" s="1451" t="s">
        <v>2321</v>
      </c>
      <c r="N27" s="1446"/>
      <c r="O27" s="1452">
        <f t="shared" si="3"/>
        <v>0</v>
      </c>
    </row>
    <row r="28" spans="1:15" s="360" customFormat="1" ht="15" hidden="1">
      <c r="A28" s="356" t="s">
        <v>462</v>
      </c>
      <c r="B28" s="707" t="s">
        <v>1219</v>
      </c>
      <c r="C28" s="710"/>
      <c r="D28" s="354"/>
      <c r="E28" s="362"/>
      <c r="F28" s="353"/>
      <c r="G28" s="358">
        <f>WORK!I188</f>
        <v>0</v>
      </c>
      <c r="H28" s="354" t="s">
        <v>5</v>
      </c>
      <c r="I28" s="355">
        <f>WORK!K188</f>
        <v>216.13</v>
      </c>
      <c r="J28" s="353">
        <f>ROUND(G28*I28,0)</f>
        <v>0</v>
      </c>
      <c r="K28" s="1913"/>
      <c r="L28" s="1913"/>
      <c r="M28" s="708" t="s">
        <v>2322</v>
      </c>
      <c r="N28" s="223"/>
      <c r="O28" s="706">
        <f t="shared" si="3"/>
        <v>0</v>
      </c>
    </row>
    <row r="29" spans="1:15" s="360" customFormat="1" ht="15" hidden="1">
      <c r="A29" s="356" t="s">
        <v>464</v>
      </c>
      <c r="B29" s="707" t="s">
        <v>716</v>
      </c>
      <c r="C29" s="710"/>
      <c r="D29" s="354"/>
      <c r="E29" s="362"/>
      <c r="F29" s="353"/>
      <c r="G29" s="358">
        <f>WORK!I194</f>
        <v>0</v>
      </c>
      <c r="H29" s="354" t="s">
        <v>5</v>
      </c>
      <c r="I29" s="355">
        <f>WORK!K194</f>
        <v>210</v>
      </c>
      <c r="J29" s="353">
        <f t="shared" ref="J29:J110" si="7">ROUND(G29*I29,0)</f>
        <v>0</v>
      </c>
      <c r="K29" s="1911">
        <f>IF((J29+J30+J31+J32)&gt;(F29+F30+F31+F32),(J29+J30+J31+J32)-(F29+F30+F31+F32),0)</f>
        <v>0</v>
      </c>
      <c r="L29" s="1911">
        <f>IF((J29+J30+J31+J32)&lt;(F29+F30+F31+F32),(F29+F30+F31+F32)-(J29+F30+J31+J32),0)</f>
        <v>0</v>
      </c>
      <c r="M29" s="708" t="s">
        <v>2226</v>
      </c>
      <c r="N29" s="223"/>
      <c r="O29" s="706">
        <f t="shared" si="3"/>
        <v>0</v>
      </c>
    </row>
    <row r="30" spans="1:15" s="360" customFormat="1" ht="15" hidden="1">
      <c r="A30" s="356" t="s">
        <v>464</v>
      </c>
      <c r="B30" s="707" t="s">
        <v>716</v>
      </c>
      <c r="C30" s="710"/>
      <c r="D30" s="354"/>
      <c r="E30" s="362"/>
      <c r="F30" s="353"/>
      <c r="G30" s="358">
        <f>WORK!I200</f>
        <v>0</v>
      </c>
      <c r="H30" s="354" t="s">
        <v>5</v>
      </c>
      <c r="I30" s="355">
        <f>WORK!K200</f>
        <v>247.07</v>
      </c>
      <c r="J30" s="353">
        <f>ROUND(G30*I30,0)</f>
        <v>0</v>
      </c>
      <c r="K30" s="1912"/>
      <c r="L30" s="1912"/>
      <c r="M30" s="708" t="s">
        <v>2308</v>
      </c>
      <c r="N30" s="223"/>
      <c r="O30" s="706">
        <f t="shared" si="3"/>
        <v>0</v>
      </c>
    </row>
    <row r="31" spans="1:15" s="360" customFormat="1" ht="15" hidden="1">
      <c r="A31" s="356" t="s">
        <v>464</v>
      </c>
      <c r="B31" s="707" t="s">
        <v>716</v>
      </c>
      <c r="C31" s="710"/>
      <c r="D31" s="354"/>
      <c r="E31" s="362"/>
      <c r="F31" s="353"/>
      <c r="G31" s="358">
        <f>WORK!I206</f>
        <v>0</v>
      </c>
      <c r="H31" s="354" t="s">
        <v>5</v>
      </c>
      <c r="I31" s="355">
        <f>WORK!K206</f>
        <v>266.72000000000003</v>
      </c>
      <c r="J31" s="353">
        <f>ROUND(G31*I31,0)</f>
        <v>0</v>
      </c>
      <c r="K31" s="1912"/>
      <c r="L31" s="1912"/>
      <c r="M31" s="708" t="s">
        <v>2321</v>
      </c>
      <c r="N31" s="223"/>
      <c r="O31" s="706">
        <f t="shared" si="3"/>
        <v>0</v>
      </c>
    </row>
    <row r="32" spans="1:15" s="360" customFormat="1" ht="15" hidden="1">
      <c r="A32" s="356" t="s">
        <v>464</v>
      </c>
      <c r="B32" s="707" t="s">
        <v>716</v>
      </c>
      <c r="C32" s="710"/>
      <c r="D32" s="354"/>
      <c r="E32" s="362"/>
      <c r="F32" s="353"/>
      <c r="G32" s="358">
        <f>WORK!I212</f>
        <v>0</v>
      </c>
      <c r="H32" s="354" t="s">
        <v>5</v>
      </c>
      <c r="I32" s="355">
        <f>WORK!K212</f>
        <v>272.13</v>
      </c>
      <c r="J32" s="353">
        <f>ROUND(G32*I32,0)</f>
        <v>0</v>
      </c>
      <c r="K32" s="1913"/>
      <c r="L32" s="1913"/>
      <c r="M32" s="708" t="s">
        <v>2322</v>
      </c>
      <c r="N32" s="223"/>
      <c r="O32" s="706">
        <f t="shared" si="3"/>
        <v>0</v>
      </c>
    </row>
    <row r="33" spans="1:15" s="1448" customFormat="1" ht="38.25">
      <c r="A33" s="1436" t="s">
        <v>463</v>
      </c>
      <c r="B33" s="1437" t="s">
        <v>3400</v>
      </c>
      <c r="C33" s="1438">
        <v>42.85</v>
      </c>
      <c r="D33" s="1439" t="s">
        <v>5</v>
      </c>
      <c r="E33" s="1221">
        <v>1271.5</v>
      </c>
      <c r="F33" s="1440">
        <f t="shared" ref="F33" si="8">ROUND(C33*E33,0)</f>
        <v>54484</v>
      </c>
      <c r="G33" s="1453">
        <f>WORK!I223</f>
        <v>99.320000000000007</v>
      </c>
      <c r="H33" s="1439" t="s">
        <v>5</v>
      </c>
      <c r="I33" s="1454">
        <f>WORK!K223</f>
        <v>1271.5</v>
      </c>
      <c r="J33" s="1450">
        <f t="shared" si="7"/>
        <v>126285</v>
      </c>
      <c r="K33" s="1911">
        <f>IF((J33+J34+J35+J36)&gt;(F33+F34+F35+F36),(J33+J34+J35+J36)-(F33+F34+F35+F36),0)</f>
        <v>71801</v>
      </c>
      <c r="L33" s="1911">
        <f>IF((J33+J34+J35+J36)&lt;(F33+F34+F35+F36),(F33+F34+F35+F36)-(J33+J34+J35+J36),0)</f>
        <v>0</v>
      </c>
      <c r="M33" s="1445" t="s">
        <v>2226</v>
      </c>
      <c r="N33" s="1446"/>
      <c r="O33" s="1447">
        <f t="shared" si="3"/>
        <v>-71801</v>
      </c>
    </row>
    <row r="34" spans="1:15" s="360" customFormat="1" ht="38.25" hidden="1">
      <c r="A34" s="356" t="s">
        <v>465</v>
      </c>
      <c r="B34" s="707" t="s">
        <v>3400</v>
      </c>
      <c r="C34" s="709"/>
      <c r="D34" s="354"/>
      <c r="E34" s="10"/>
      <c r="F34" s="353"/>
      <c r="G34" s="358">
        <f>WORK!I236</f>
        <v>0</v>
      </c>
      <c r="H34" s="354" t="s">
        <v>5</v>
      </c>
      <c r="I34" s="355">
        <f>WORK!K236</f>
        <v>1340.37</v>
      </c>
      <c r="J34" s="353">
        <f>ROUND(G34*I34,0)</f>
        <v>0</v>
      </c>
      <c r="K34" s="1912"/>
      <c r="L34" s="1912"/>
      <c r="M34" s="708" t="s">
        <v>2308</v>
      </c>
      <c r="N34" s="223"/>
      <c r="O34" s="706">
        <f t="shared" si="3"/>
        <v>0</v>
      </c>
    </row>
    <row r="35" spans="1:15" s="360" customFormat="1" ht="15" hidden="1">
      <c r="A35" s="356" t="s">
        <v>466</v>
      </c>
      <c r="B35" s="707" t="s">
        <v>704</v>
      </c>
      <c r="C35" s="709"/>
      <c r="D35" s="354"/>
      <c r="E35" s="10"/>
      <c r="F35" s="353"/>
      <c r="G35" s="358">
        <f>WORK!I242</f>
        <v>0</v>
      </c>
      <c r="H35" s="354" t="s">
        <v>5</v>
      </c>
      <c r="I35" s="355">
        <f>WORK!K242</f>
        <v>1528.72</v>
      </c>
      <c r="J35" s="353">
        <f>ROUND(G35*I35,0)</f>
        <v>0</v>
      </c>
      <c r="K35" s="1912"/>
      <c r="L35" s="1912"/>
      <c r="M35" s="708" t="s">
        <v>2321</v>
      </c>
      <c r="N35" s="223"/>
      <c r="O35" s="706">
        <f t="shared" si="3"/>
        <v>0</v>
      </c>
    </row>
    <row r="36" spans="1:15" s="360" customFormat="1" ht="15" hidden="1">
      <c r="A36" s="356" t="s">
        <v>466</v>
      </c>
      <c r="B36" s="707" t="s">
        <v>704</v>
      </c>
      <c r="C36" s="709"/>
      <c r="D36" s="354"/>
      <c r="E36" s="10"/>
      <c r="F36" s="353"/>
      <c r="G36" s="358">
        <f>WORK!I248</f>
        <v>0</v>
      </c>
      <c r="H36" s="354" t="s">
        <v>5</v>
      </c>
      <c r="I36" s="355">
        <f>WORK!K248</f>
        <v>1603.13</v>
      </c>
      <c r="J36" s="353">
        <f>ROUND(G36*I36,0)</f>
        <v>0</v>
      </c>
      <c r="K36" s="1913"/>
      <c r="L36" s="1913"/>
      <c r="M36" s="708" t="s">
        <v>2322</v>
      </c>
      <c r="N36" s="223"/>
      <c r="O36" s="706">
        <f t="shared" si="3"/>
        <v>0</v>
      </c>
    </row>
    <row r="37" spans="1:15" s="360" customFormat="1" ht="15" hidden="1">
      <c r="A37" s="356" t="s">
        <v>464</v>
      </c>
      <c r="B37" s="707" t="s">
        <v>3263</v>
      </c>
      <c r="C37" s="720"/>
      <c r="D37" s="916" t="s">
        <v>5</v>
      </c>
      <c r="E37" s="10">
        <v>25.59</v>
      </c>
      <c r="F37" s="917">
        <f t="shared" ref="F37:F38" si="9">ROUND(C37*E37,0)</f>
        <v>0</v>
      </c>
      <c r="G37" s="358"/>
      <c r="H37" s="354"/>
      <c r="I37" s="355"/>
      <c r="J37" s="353"/>
      <c r="K37" s="743">
        <f t="shared" ref="K37" si="10">IF(J37&gt;F37,J37-F37,0)</f>
        <v>0</v>
      </c>
      <c r="L37" s="368">
        <f t="shared" ref="L37" si="11">IF(J37&lt;F37,F37-J37,0)</f>
        <v>0</v>
      </c>
      <c r="M37" s="1139" t="s">
        <v>2226</v>
      </c>
      <c r="N37" s="223"/>
      <c r="O37" s="1138">
        <f t="shared" si="3"/>
        <v>0</v>
      </c>
    </row>
    <row r="38" spans="1:15" s="1448" customFormat="1" ht="38.25">
      <c r="A38" s="1436" t="s">
        <v>464</v>
      </c>
      <c r="B38" s="1437" t="s">
        <v>3264</v>
      </c>
      <c r="C38" s="1460">
        <v>42.1</v>
      </c>
      <c r="D38" s="1461" t="s">
        <v>5</v>
      </c>
      <c r="E38" s="1221">
        <v>227.64</v>
      </c>
      <c r="F38" s="1440">
        <f t="shared" si="9"/>
        <v>9584</v>
      </c>
      <c r="G38" s="1441">
        <f>WORK!I261</f>
        <v>50.43</v>
      </c>
      <c r="H38" s="1442" t="s">
        <v>5</v>
      </c>
      <c r="I38" s="1443">
        <f>WORK!K261</f>
        <v>228</v>
      </c>
      <c r="J38" s="1444">
        <f t="shared" si="7"/>
        <v>11498</v>
      </c>
      <c r="K38" s="1911">
        <f>IF((J38+J39+J40+J41)&gt;(F38+F39+F40+F41),(J38+J39+J40+J41)-(F38+F39+F40+F41),0)</f>
        <v>1914</v>
      </c>
      <c r="L38" s="1911">
        <f>IF((J38+J39+J40+J41)&lt;(F38+F39+F40+F41),(F38+F39+F40+F41)-(J38+J39+J40+J41),0)</f>
        <v>0</v>
      </c>
      <c r="M38" s="1445" t="s">
        <v>2226</v>
      </c>
      <c r="N38" s="1446"/>
      <c r="O38" s="1447">
        <f t="shared" si="3"/>
        <v>-1914</v>
      </c>
    </row>
    <row r="39" spans="1:15" s="1448" customFormat="1" ht="38.25" hidden="1">
      <c r="A39" s="1436" t="s">
        <v>468</v>
      </c>
      <c r="B39" s="1437" t="s">
        <v>3264</v>
      </c>
      <c r="C39" s="1462"/>
      <c r="D39" s="1439"/>
      <c r="E39" s="1221"/>
      <c r="F39" s="1450"/>
      <c r="G39" s="1453">
        <f>WORK!I269</f>
        <v>0</v>
      </c>
      <c r="H39" s="1439" t="s">
        <v>5</v>
      </c>
      <c r="I39" s="1454">
        <f>WORK!K269</f>
        <v>249.16</v>
      </c>
      <c r="J39" s="1450">
        <f>ROUND(G39*I39,0)</f>
        <v>0</v>
      </c>
      <c r="K39" s="1912"/>
      <c r="L39" s="1912"/>
      <c r="M39" s="1451" t="s">
        <v>2308</v>
      </c>
      <c r="N39" s="1446"/>
      <c r="O39" s="1452">
        <f t="shared" si="3"/>
        <v>0</v>
      </c>
    </row>
    <row r="40" spans="1:15" s="360" customFormat="1" ht="15" hidden="1">
      <c r="A40" s="356" t="s">
        <v>326</v>
      </c>
      <c r="B40" s="707" t="s">
        <v>540</v>
      </c>
      <c r="C40" s="711"/>
      <c r="D40" s="354"/>
      <c r="E40" s="10"/>
      <c r="F40" s="353"/>
      <c r="G40" s="358">
        <f>WORK!I276</f>
        <v>0</v>
      </c>
      <c r="H40" s="354" t="s">
        <v>5</v>
      </c>
      <c r="I40" s="355">
        <f>WORK!K276</f>
        <v>265.36</v>
      </c>
      <c r="J40" s="353">
        <f>ROUND(G40*I40,0)</f>
        <v>0</v>
      </c>
      <c r="K40" s="1912"/>
      <c r="L40" s="1912"/>
      <c r="M40" s="708" t="s">
        <v>2321</v>
      </c>
      <c r="N40" s="223"/>
      <c r="O40" s="706">
        <f t="shared" si="3"/>
        <v>0</v>
      </c>
    </row>
    <row r="41" spans="1:15" s="360" customFormat="1" ht="15" hidden="1">
      <c r="A41" s="356" t="s">
        <v>326</v>
      </c>
      <c r="B41" s="707" t="s">
        <v>540</v>
      </c>
      <c r="C41" s="711"/>
      <c r="D41" s="354"/>
      <c r="E41" s="10"/>
      <c r="F41" s="353"/>
      <c r="G41" s="358">
        <f>WORK!I283</f>
        <v>0</v>
      </c>
      <c r="H41" s="354" t="s">
        <v>5</v>
      </c>
      <c r="I41" s="355">
        <f>WORK!K283</f>
        <v>284.39999999999998</v>
      </c>
      <c r="J41" s="353">
        <f>ROUND(G41*I41,0)</f>
        <v>0</v>
      </c>
      <c r="K41" s="1913"/>
      <c r="L41" s="1913"/>
      <c r="M41" s="708" t="s">
        <v>2322</v>
      </c>
      <c r="N41" s="223"/>
      <c r="O41" s="706">
        <f t="shared" si="3"/>
        <v>0</v>
      </c>
    </row>
    <row r="42" spans="1:15" s="1448" customFormat="1" ht="51">
      <c r="A42" s="1436" t="s">
        <v>465</v>
      </c>
      <c r="B42" s="1437" t="s">
        <v>3265</v>
      </c>
      <c r="C42" s="1463">
        <v>12.53</v>
      </c>
      <c r="D42" s="1439" t="s">
        <v>5</v>
      </c>
      <c r="E42" s="1221">
        <v>6656.88</v>
      </c>
      <c r="F42" s="1440">
        <f t="shared" ref="F42" si="12">ROUND(C42*E42,0)</f>
        <v>83411</v>
      </c>
      <c r="G42" s="1441">
        <f>WORK!I291</f>
        <v>11.870000000000001</v>
      </c>
      <c r="H42" s="1442" t="s">
        <v>5</v>
      </c>
      <c r="I42" s="1443">
        <f>WORK!K291</f>
        <v>6979.88</v>
      </c>
      <c r="J42" s="1444">
        <f t="shared" si="7"/>
        <v>82851</v>
      </c>
      <c r="K42" s="1911">
        <f>IF((J42+J43+J44+J45)&gt;(F42+F43+F44+F45),(J42+J43+J44+J45)-(F42+F43+F44+F45),0)</f>
        <v>0</v>
      </c>
      <c r="L42" s="1911">
        <f>IF((J42+J43+J44+J45)&lt;(F42+F43+F44+F45),(F42+F43+F44+F45)-(J42+J43+J44+J45),0)</f>
        <v>560</v>
      </c>
      <c r="M42" s="1445" t="s">
        <v>2226</v>
      </c>
      <c r="N42" s="1446"/>
      <c r="O42" s="1447">
        <f t="shared" si="3"/>
        <v>560</v>
      </c>
    </row>
    <row r="43" spans="1:15" s="1448" customFormat="1" ht="51" hidden="1">
      <c r="A43" s="1436" t="s">
        <v>469</v>
      </c>
      <c r="B43" s="1437" t="s">
        <v>3265</v>
      </c>
      <c r="C43" s="1449"/>
      <c r="D43" s="1439"/>
      <c r="E43" s="1221"/>
      <c r="F43" s="1450"/>
      <c r="G43" s="1453">
        <f>WORK!I296</f>
        <v>0</v>
      </c>
      <c r="H43" s="1439" t="s">
        <v>5</v>
      </c>
      <c r="I43" s="1454">
        <f>WORK!K296</f>
        <v>7288.23</v>
      </c>
      <c r="J43" s="1450">
        <f>ROUND(G43*I43,0)</f>
        <v>0</v>
      </c>
      <c r="K43" s="1912"/>
      <c r="L43" s="1912"/>
      <c r="M43" s="1451" t="s">
        <v>2308</v>
      </c>
      <c r="N43" s="1446"/>
      <c r="O43" s="1452">
        <f t="shared" si="3"/>
        <v>0</v>
      </c>
    </row>
    <row r="44" spans="1:15" s="360" customFormat="1" ht="15" hidden="1">
      <c r="A44" s="356" t="s">
        <v>465</v>
      </c>
      <c r="B44" s="707" t="s">
        <v>2463</v>
      </c>
      <c r="C44" s="709"/>
      <c r="D44" s="354"/>
      <c r="E44" s="10"/>
      <c r="F44" s="353"/>
      <c r="G44" s="358">
        <f>WORK!I301</f>
        <v>0</v>
      </c>
      <c r="H44" s="354" t="s">
        <v>5</v>
      </c>
      <c r="I44" s="355">
        <f>WORK!K301</f>
        <v>7685.43</v>
      </c>
      <c r="J44" s="353">
        <f>ROUND(G44*I44,0)</f>
        <v>0</v>
      </c>
      <c r="K44" s="1912"/>
      <c r="L44" s="1912"/>
      <c r="M44" s="708" t="s">
        <v>2321</v>
      </c>
      <c r="N44" s="223"/>
      <c r="O44" s="706">
        <f t="shared" si="3"/>
        <v>0</v>
      </c>
    </row>
    <row r="45" spans="1:15" s="360" customFormat="1" ht="15" hidden="1">
      <c r="A45" s="356" t="s">
        <v>465</v>
      </c>
      <c r="B45" s="707" t="s">
        <v>2463</v>
      </c>
      <c r="C45" s="709"/>
      <c r="D45" s="354"/>
      <c r="E45" s="10"/>
      <c r="F45" s="353"/>
      <c r="G45" s="358">
        <f>WORK!I306</f>
        <v>0</v>
      </c>
      <c r="H45" s="354" t="s">
        <v>5</v>
      </c>
      <c r="I45" s="355">
        <f>WORK!K306</f>
        <v>8062.18</v>
      </c>
      <c r="J45" s="353">
        <f>ROUND(G45*I45,0)</f>
        <v>0</v>
      </c>
      <c r="K45" s="1913"/>
      <c r="L45" s="1913"/>
      <c r="M45" s="708" t="s">
        <v>2322</v>
      </c>
      <c r="N45" s="223"/>
      <c r="O45" s="706">
        <f t="shared" si="3"/>
        <v>0</v>
      </c>
    </row>
    <row r="46" spans="1:15" s="1448" customFormat="1" ht="51">
      <c r="A46" s="1436" t="s">
        <v>466</v>
      </c>
      <c r="B46" s="1437" t="s">
        <v>3266</v>
      </c>
      <c r="C46" s="1464">
        <v>3.08</v>
      </c>
      <c r="D46" s="1439" t="s">
        <v>5</v>
      </c>
      <c r="E46" s="1221">
        <v>7069.88</v>
      </c>
      <c r="F46" s="1440">
        <f t="shared" ref="F46" si="13">ROUND(C46*E46,0)</f>
        <v>21775</v>
      </c>
      <c r="G46" s="1441">
        <f>WORK!I311</f>
        <v>1.28</v>
      </c>
      <c r="H46" s="1442" t="s">
        <v>5</v>
      </c>
      <c r="I46" s="1443">
        <f>WORK!K311</f>
        <v>7392.88</v>
      </c>
      <c r="J46" s="1444">
        <f t="shared" si="7"/>
        <v>9463</v>
      </c>
      <c r="K46" s="1911">
        <f>IF((J46+J47+J48+J49)&gt;(F46+F47+F48+F49),(J46+J47+J48+J49)-(F46+F47+F48+F49),0)</f>
        <v>0</v>
      </c>
      <c r="L46" s="1911">
        <f>IF((J46+J47+J48+J49)&lt;(F46+F47+F48+F49),(F46+F47+F48+F49)-(J46+J47+J48+J49),0)</f>
        <v>12312</v>
      </c>
      <c r="M46" s="1445" t="s">
        <v>2226</v>
      </c>
      <c r="N46" s="1446"/>
      <c r="O46" s="1447">
        <f t="shared" si="3"/>
        <v>12312</v>
      </c>
    </row>
    <row r="47" spans="1:15" s="360" customFormat="1" ht="51" hidden="1">
      <c r="A47" s="356" t="s">
        <v>473</v>
      </c>
      <c r="B47" s="707" t="s">
        <v>3266</v>
      </c>
      <c r="C47" s="711"/>
      <c r="D47" s="354"/>
      <c r="E47" s="10"/>
      <c r="F47" s="353"/>
      <c r="G47" s="358">
        <f>WORK!I316</f>
        <v>0</v>
      </c>
      <c r="H47" s="354" t="s">
        <v>5</v>
      </c>
      <c r="I47" s="355">
        <f>WORK!K316</f>
        <v>7701.23</v>
      </c>
      <c r="J47" s="353">
        <f>ROUND(G47*I47,0)</f>
        <v>0</v>
      </c>
      <c r="K47" s="1912"/>
      <c r="L47" s="1912"/>
      <c r="M47" s="708" t="s">
        <v>2308</v>
      </c>
      <c r="N47" s="223"/>
      <c r="O47" s="706">
        <f t="shared" si="3"/>
        <v>0</v>
      </c>
    </row>
    <row r="48" spans="1:15" s="360" customFormat="1" ht="15" hidden="1">
      <c r="A48" s="356" t="s">
        <v>466</v>
      </c>
      <c r="B48" s="707" t="s">
        <v>2067</v>
      </c>
      <c r="C48" s="711"/>
      <c r="D48" s="354"/>
      <c r="E48" s="10"/>
      <c r="F48" s="353"/>
      <c r="G48" s="358">
        <f>WORK!I321</f>
        <v>0</v>
      </c>
      <c r="H48" s="354" t="s">
        <v>5</v>
      </c>
      <c r="I48" s="355">
        <f>WORK!K321</f>
        <v>8124.43</v>
      </c>
      <c r="J48" s="353">
        <f>ROUND(G48*I48,0)</f>
        <v>0</v>
      </c>
      <c r="K48" s="1912"/>
      <c r="L48" s="1912"/>
      <c r="M48" s="708" t="s">
        <v>2321</v>
      </c>
      <c r="N48" s="223"/>
      <c r="O48" s="706">
        <f t="shared" si="3"/>
        <v>0</v>
      </c>
    </row>
    <row r="49" spans="1:16" s="360" customFormat="1" ht="15" hidden="1">
      <c r="A49" s="356" t="s">
        <v>466</v>
      </c>
      <c r="B49" s="707" t="s">
        <v>2067</v>
      </c>
      <c r="C49" s="711"/>
      <c r="D49" s="354"/>
      <c r="E49" s="10"/>
      <c r="F49" s="353"/>
      <c r="G49" s="358">
        <f>WORK!I326</f>
        <v>0</v>
      </c>
      <c r="H49" s="354" t="s">
        <v>5</v>
      </c>
      <c r="I49" s="355">
        <f>WORK!K326</f>
        <v>8501.18</v>
      </c>
      <c r="J49" s="353">
        <f>ROUND(G49*I49,0)</f>
        <v>0</v>
      </c>
      <c r="K49" s="1913"/>
      <c r="L49" s="1913"/>
      <c r="M49" s="708" t="s">
        <v>2322</v>
      </c>
      <c r="N49" s="223"/>
      <c r="O49" s="706">
        <f t="shared" si="3"/>
        <v>0</v>
      </c>
    </row>
    <row r="50" spans="1:16" s="1448" customFormat="1" ht="51">
      <c r="A50" s="1436" t="s">
        <v>467</v>
      </c>
      <c r="B50" s="1437" t="s">
        <v>3267</v>
      </c>
      <c r="C50" s="1463">
        <v>5.61</v>
      </c>
      <c r="D50" s="1439" t="s">
        <v>5</v>
      </c>
      <c r="E50" s="1221">
        <v>8793.880000000001</v>
      </c>
      <c r="F50" s="1440">
        <f t="shared" ref="F50" si="14">ROUND(C50*E50,0)</f>
        <v>49334</v>
      </c>
      <c r="G50" s="1441">
        <f>WORK!I342</f>
        <v>5.7099999999999991</v>
      </c>
      <c r="H50" s="1442" t="s">
        <v>5</v>
      </c>
      <c r="I50" s="1443">
        <f>WORK!K342</f>
        <v>9116.880000000001</v>
      </c>
      <c r="J50" s="1444">
        <f t="shared" si="7"/>
        <v>52057</v>
      </c>
      <c r="K50" s="1911">
        <f>IF((J50+J51+J52+J53)&gt;(F50+F51+F52+F53),(J50+J51+J52+J53)-(F50+F51+F52+F53),0)</f>
        <v>2723</v>
      </c>
      <c r="L50" s="1911">
        <f>IF((J50+J51+J52+J53)&lt;(F50+F51+F52+F53),(F50+F51+F52+F53)-(J50+J51+J52+J53),0)</f>
        <v>0</v>
      </c>
      <c r="M50" s="1445" t="s">
        <v>2226</v>
      </c>
      <c r="N50" s="1446"/>
      <c r="O50" s="1447">
        <f t="shared" si="3"/>
        <v>-2723</v>
      </c>
    </row>
    <row r="51" spans="1:16" s="1448" customFormat="1" ht="51" hidden="1">
      <c r="A51" s="1436" t="s">
        <v>474</v>
      </c>
      <c r="B51" s="1437" t="s">
        <v>3267</v>
      </c>
      <c r="C51" s="1449"/>
      <c r="D51" s="1439"/>
      <c r="E51" s="1221"/>
      <c r="F51" s="1450"/>
      <c r="G51" s="1441">
        <f>WORK!I349</f>
        <v>0</v>
      </c>
      <c r="H51" s="1442" t="s">
        <v>5</v>
      </c>
      <c r="I51" s="1443">
        <f>WORK!K349</f>
        <v>9466.93</v>
      </c>
      <c r="J51" s="1444">
        <f>ROUND(G51*I51,0)</f>
        <v>0</v>
      </c>
      <c r="K51" s="1912"/>
      <c r="L51" s="1912"/>
      <c r="M51" s="1451" t="s">
        <v>2308</v>
      </c>
      <c r="N51" s="1446"/>
      <c r="O51" s="1452">
        <f t="shared" si="3"/>
        <v>0</v>
      </c>
    </row>
    <row r="52" spans="1:16" s="1448" customFormat="1" ht="15" hidden="1">
      <c r="A52" s="1436" t="s">
        <v>469</v>
      </c>
      <c r="B52" s="1437" t="s">
        <v>2068</v>
      </c>
      <c r="C52" s="1449"/>
      <c r="D52" s="1439"/>
      <c r="E52" s="1221"/>
      <c r="F52" s="1450"/>
      <c r="G52" s="1453">
        <f>WORK!I354</f>
        <v>0</v>
      </c>
      <c r="H52" s="1439" t="s">
        <v>5</v>
      </c>
      <c r="I52" s="1454">
        <f>WORK!K354</f>
        <v>10004.82</v>
      </c>
      <c r="J52" s="1450">
        <f>ROUND(G52*I52,0)</f>
        <v>0</v>
      </c>
      <c r="K52" s="1912"/>
      <c r="L52" s="1912"/>
      <c r="M52" s="1451" t="s">
        <v>2321</v>
      </c>
      <c r="N52" s="1446"/>
      <c r="O52" s="1452">
        <f t="shared" si="3"/>
        <v>0</v>
      </c>
    </row>
    <row r="53" spans="1:16" s="360" customFormat="1" ht="15" hidden="1">
      <c r="A53" s="356" t="s">
        <v>467</v>
      </c>
      <c r="B53" s="707" t="s">
        <v>2068</v>
      </c>
      <c r="C53" s="709"/>
      <c r="D53" s="354"/>
      <c r="E53" s="10"/>
      <c r="F53" s="353"/>
      <c r="G53" s="358">
        <f>WORK!I366</f>
        <v>0</v>
      </c>
      <c r="H53" s="354" t="s">
        <v>5</v>
      </c>
      <c r="I53" s="355">
        <f>WORK!K366</f>
        <v>10417.6</v>
      </c>
      <c r="J53" s="353">
        <f>ROUND(G53*I53,0)</f>
        <v>0</v>
      </c>
      <c r="K53" s="1913"/>
      <c r="L53" s="1913"/>
      <c r="M53" s="708" t="s">
        <v>2322</v>
      </c>
      <c r="N53" s="223"/>
      <c r="O53" s="706">
        <f t="shared" si="3"/>
        <v>0</v>
      </c>
    </row>
    <row r="54" spans="1:16" s="1448" customFormat="1" ht="51">
      <c r="A54" s="1436" t="s">
        <v>468</v>
      </c>
      <c r="B54" s="1437" t="s">
        <v>3268</v>
      </c>
      <c r="C54" s="1463">
        <v>6.66</v>
      </c>
      <c r="D54" s="1439" t="s">
        <v>5</v>
      </c>
      <c r="E54" s="1221">
        <v>8648.880000000001</v>
      </c>
      <c r="F54" s="1440">
        <f t="shared" ref="F54" si="15">ROUND(C54*E54,0)</f>
        <v>57602</v>
      </c>
      <c r="G54" s="1453">
        <f>WORK!I384</f>
        <v>5.8000000000000007</v>
      </c>
      <c r="H54" s="1439" t="s">
        <v>5</v>
      </c>
      <c r="I54" s="1454">
        <f>WORK!K384</f>
        <v>8971.880000000001</v>
      </c>
      <c r="J54" s="1450">
        <f t="shared" si="7"/>
        <v>52037</v>
      </c>
      <c r="K54" s="1911">
        <f>IF((J54+J55+J56+J57)&gt;(F54+F55+F56+F57),(J54+J55+J56+J57)-(F54+F55+F56+F57),0)</f>
        <v>0</v>
      </c>
      <c r="L54" s="1911">
        <f>IF((J54+J55+J56+J57)&lt;(F54+F55+F56+F57),(F54+F55+F56+F57)-(J54+J55+J56+J57),0)</f>
        <v>5565</v>
      </c>
      <c r="M54" s="1445" t="s">
        <v>2226</v>
      </c>
      <c r="N54" s="1446"/>
      <c r="O54" s="1447">
        <f t="shared" si="3"/>
        <v>5565</v>
      </c>
    </row>
    <row r="55" spans="1:16" s="1448" customFormat="1" ht="51" hidden="1">
      <c r="A55" s="1436" t="s">
        <v>476</v>
      </c>
      <c r="B55" s="1437" t="s">
        <v>3268</v>
      </c>
      <c r="C55" s="1449"/>
      <c r="D55" s="1439"/>
      <c r="E55" s="1221"/>
      <c r="F55" s="1450"/>
      <c r="G55" s="1441">
        <f>WORK!I392</f>
        <v>0</v>
      </c>
      <c r="H55" s="1442" t="s">
        <v>5</v>
      </c>
      <c r="I55" s="1443">
        <f>WORK!K392</f>
        <v>9280.23</v>
      </c>
      <c r="J55" s="1444">
        <f>ROUND(G55*I55,0)</f>
        <v>0</v>
      </c>
      <c r="K55" s="1912"/>
      <c r="L55" s="1912"/>
      <c r="M55" s="1451" t="s">
        <v>2308</v>
      </c>
      <c r="N55" s="1446"/>
      <c r="O55" s="1452">
        <f t="shared" si="3"/>
        <v>0</v>
      </c>
    </row>
    <row r="56" spans="1:16" s="1448" customFormat="1" ht="15" hidden="1">
      <c r="A56" s="1436" t="s">
        <v>473</v>
      </c>
      <c r="B56" s="1437" t="s">
        <v>2069</v>
      </c>
      <c r="C56" s="1449"/>
      <c r="D56" s="1439"/>
      <c r="E56" s="1221"/>
      <c r="F56" s="1450"/>
      <c r="G56" s="1453">
        <f>WORK!I400</f>
        <v>0</v>
      </c>
      <c r="H56" s="1439" t="s">
        <v>5</v>
      </c>
      <c r="I56" s="1454">
        <f>WORK!K400</f>
        <v>9785.43</v>
      </c>
      <c r="J56" s="1450">
        <f>ROUND(G56*I56,0)</f>
        <v>0</v>
      </c>
      <c r="K56" s="1912"/>
      <c r="L56" s="1912"/>
      <c r="M56" s="1451" t="s">
        <v>2321</v>
      </c>
      <c r="N56" s="1446"/>
      <c r="O56" s="1452">
        <f t="shared" si="3"/>
        <v>0</v>
      </c>
    </row>
    <row r="57" spans="1:16" s="360" customFormat="1" ht="15" hidden="1">
      <c r="A57" s="356" t="s">
        <v>468</v>
      </c>
      <c r="B57" s="707" t="s">
        <v>2069</v>
      </c>
      <c r="C57" s="709"/>
      <c r="D57" s="354"/>
      <c r="E57" s="10"/>
      <c r="F57" s="353"/>
      <c r="G57" s="358">
        <f>WORK!I406</f>
        <v>0</v>
      </c>
      <c r="H57" s="354" t="s">
        <v>5</v>
      </c>
      <c r="I57" s="355">
        <f>WORK!K406</f>
        <v>10162.18</v>
      </c>
      <c r="J57" s="353">
        <f>ROUND(G57*I57,0)</f>
        <v>0</v>
      </c>
      <c r="K57" s="1913"/>
      <c r="L57" s="1913"/>
      <c r="M57" s="708" t="s">
        <v>2322</v>
      </c>
      <c r="N57" s="223"/>
      <c r="O57" s="706">
        <f t="shared" si="3"/>
        <v>0</v>
      </c>
    </row>
    <row r="58" spans="1:16" s="1448" customFormat="1" ht="51">
      <c r="A58" s="1436" t="s">
        <v>326</v>
      </c>
      <c r="B58" s="1437" t="s">
        <v>3269</v>
      </c>
      <c r="C58" s="1463">
        <v>5.48</v>
      </c>
      <c r="D58" s="1465" t="s">
        <v>5</v>
      </c>
      <c r="E58" s="1221">
        <v>8631.369999999999</v>
      </c>
      <c r="F58" s="1440">
        <f t="shared" ref="F58" si="16">ROUND(C58*E58,0)</f>
        <v>47300</v>
      </c>
      <c r="G58" s="1453">
        <f>WORK!I428</f>
        <v>6.2000000000000011</v>
      </c>
      <c r="H58" s="1465" t="s">
        <v>5</v>
      </c>
      <c r="I58" s="1454">
        <f>WORK!K428</f>
        <v>8954.36</v>
      </c>
      <c r="J58" s="1450">
        <f t="shared" si="7"/>
        <v>55517</v>
      </c>
      <c r="K58" s="1911">
        <f>IF((J58+J59+J60+J61)&gt;(F58+F59+F60+F61),(J58+J59+J60+J61)-(F58+F59+F60+F61),0)</f>
        <v>8217</v>
      </c>
      <c r="L58" s="1911">
        <f>IF((J58+J59+J60+J61)&lt;(F58+F59+F60+F61),(F58+F59+F60+F61)-(J58+J59+J60+J61),0)</f>
        <v>0</v>
      </c>
      <c r="M58" s="1445" t="s">
        <v>2226</v>
      </c>
      <c r="N58" s="1446"/>
      <c r="O58" s="1447">
        <f t="shared" si="3"/>
        <v>-8217</v>
      </c>
      <c r="P58" s="1466"/>
    </row>
    <row r="59" spans="1:16" s="360" customFormat="1" ht="51" hidden="1">
      <c r="A59" s="356" t="s">
        <v>478</v>
      </c>
      <c r="B59" s="707" t="s">
        <v>3269</v>
      </c>
      <c r="C59" s="709"/>
      <c r="D59" s="428"/>
      <c r="E59" s="10"/>
      <c r="F59" s="353"/>
      <c r="G59" s="1147">
        <f>WORK!I440</f>
        <v>0</v>
      </c>
      <c r="H59" s="1316" t="s">
        <v>5</v>
      </c>
      <c r="I59" s="910">
        <f>WORK!K440</f>
        <v>9169.52</v>
      </c>
      <c r="J59" s="1315">
        <f>ROUND(G59*I59,0)</f>
        <v>0</v>
      </c>
      <c r="K59" s="1912"/>
      <c r="L59" s="1912"/>
      <c r="M59" s="708" t="s">
        <v>2308</v>
      </c>
      <c r="N59" s="223"/>
      <c r="O59" s="706">
        <f t="shared" si="3"/>
        <v>0</v>
      </c>
      <c r="P59" s="712"/>
    </row>
    <row r="60" spans="1:16" s="360" customFormat="1" ht="15" hidden="1">
      <c r="A60" s="356" t="s">
        <v>326</v>
      </c>
      <c r="B60" s="707" t="s">
        <v>2070</v>
      </c>
      <c r="C60" s="709"/>
      <c r="D60" s="428"/>
      <c r="E60" s="10"/>
      <c r="F60" s="353"/>
      <c r="G60" s="358">
        <f>WORK!I467</f>
        <v>0</v>
      </c>
      <c r="H60" s="428" t="s">
        <v>5</v>
      </c>
      <c r="I60" s="355">
        <f>WORK!K467</f>
        <v>9635.33</v>
      </c>
      <c r="J60" s="353">
        <f>ROUND(G60*I60,0)</f>
        <v>0</v>
      </c>
      <c r="K60" s="1912"/>
      <c r="L60" s="1912"/>
      <c r="M60" s="708" t="s">
        <v>2321</v>
      </c>
      <c r="N60" s="223"/>
      <c r="O60" s="706">
        <f t="shared" si="3"/>
        <v>0</v>
      </c>
      <c r="P60" s="712"/>
    </row>
    <row r="61" spans="1:16" s="360" customFormat="1" ht="15" hidden="1">
      <c r="A61" s="356" t="s">
        <v>326</v>
      </c>
      <c r="B61" s="707" t="s">
        <v>2070</v>
      </c>
      <c r="C61" s="709"/>
      <c r="D61" s="428"/>
      <c r="E61" s="10"/>
      <c r="F61" s="353"/>
      <c r="G61" s="358">
        <f>WORK!I475</f>
        <v>0</v>
      </c>
      <c r="H61" s="428" t="s">
        <v>5</v>
      </c>
      <c r="I61" s="355">
        <f>WORK!K475</f>
        <v>9921.19</v>
      </c>
      <c r="J61" s="353">
        <f>ROUND(G61*I61,0)</f>
        <v>0</v>
      </c>
      <c r="K61" s="1913"/>
      <c r="L61" s="1913"/>
      <c r="M61" s="708" t="s">
        <v>2322</v>
      </c>
      <c r="N61" s="223"/>
      <c r="O61" s="706">
        <f t="shared" si="3"/>
        <v>0</v>
      </c>
      <c r="P61" s="712"/>
    </row>
    <row r="62" spans="1:16" s="1448" customFormat="1" ht="51">
      <c r="A62" s="1436" t="s">
        <v>469</v>
      </c>
      <c r="B62" s="1437" t="s">
        <v>3270</v>
      </c>
      <c r="C62" s="1463">
        <v>13.73</v>
      </c>
      <c r="D62" s="1465" t="s">
        <v>102</v>
      </c>
      <c r="E62" s="1221">
        <v>683.17</v>
      </c>
      <c r="F62" s="1440">
        <f t="shared" ref="F62" si="17">ROUND(C62*E62,0)</f>
        <v>9380</v>
      </c>
      <c r="G62" s="1453">
        <f>WORK!I506</f>
        <v>128.13</v>
      </c>
      <c r="H62" s="1439" t="s">
        <v>102</v>
      </c>
      <c r="I62" s="1454">
        <f>WORK!K506</f>
        <v>1071.8</v>
      </c>
      <c r="J62" s="1450">
        <f t="shared" si="7"/>
        <v>137330</v>
      </c>
      <c r="K62" s="1911">
        <f>IF((J62+J63+J64+J65)&gt;(F62+F63+F64+F65),(J62+J63+J64+J65)-(F62+F63+F64+F65),0)</f>
        <v>127950</v>
      </c>
      <c r="L62" s="1911">
        <f>IF((J62+J63+J64+J65)&lt;(F62+F63+F64+F65),(F62+F63+F64+F65)-(J62+J63+J64+J65),0)</f>
        <v>0</v>
      </c>
      <c r="M62" s="1445" t="s">
        <v>2226</v>
      </c>
      <c r="N62" s="1446"/>
      <c r="O62" s="1447">
        <f t="shared" si="3"/>
        <v>-127950</v>
      </c>
    </row>
    <row r="63" spans="1:16" s="360" customFormat="1" ht="51" hidden="1">
      <c r="A63" s="356" t="s">
        <v>2476</v>
      </c>
      <c r="B63" s="707" t="s">
        <v>3270</v>
      </c>
      <c r="C63" s="711"/>
      <c r="D63" s="354"/>
      <c r="E63" s="10"/>
      <c r="F63" s="353"/>
      <c r="G63" s="1147">
        <f>WORK!I512</f>
        <v>0</v>
      </c>
      <c r="H63" s="1314" t="s">
        <v>102</v>
      </c>
      <c r="I63" s="910">
        <f>WORK!K512</f>
        <v>1109.69</v>
      </c>
      <c r="J63" s="1315">
        <f>ROUND(G63*I63,0)</f>
        <v>0</v>
      </c>
      <c r="K63" s="1912"/>
      <c r="L63" s="1912"/>
      <c r="M63" s="708" t="s">
        <v>2308</v>
      </c>
      <c r="N63" s="223"/>
      <c r="O63" s="706">
        <f t="shared" si="3"/>
        <v>0</v>
      </c>
    </row>
    <row r="64" spans="1:16" s="360" customFormat="1" ht="15" hidden="1">
      <c r="A64" s="356" t="s">
        <v>469</v>
      </c>
      <c r="B64" s="707" t="s">
        <v>2071</v>
      </c>
      <c r="C64" s="711"/>
      <c r="D64" s="354"/>
      <c r="E64" s="10"/>
      <c r="F64" s="353"/>
      <c r="G64" s="358">
        <f>WORK!I519</f>
        <v>0</v>
      </c>
      <c r="H64" s="354" t="s">
        <v>102</v>
      </c>
      <c r="I64" s="355">
        <f>WORK!K519</f>
        <v>1166.67</v>
      </c>
      <c r="J64" s="353">
        <f>ROUND(G64*I64,0)</f>
        <v>0</v>
      </c>
      <c r="K64" s="1912"/>
      <c r="L64" s="1912"/>
      <c r="M64" s="708" t="s">
        <v>2321</v>
      </c>
      <c r="N64" s="223"/>
      <c r="O64" s="706">
        <f t="shared" si="3"/>
        <v>0</v>
      </c>
    </row>
    <row r="65" spans="1:15" s="360" customFormat="1" ht="15" hidden="1">
      <c r="A65" s="356" t="s">
        <v>469</v>
      </c>
      <c r="B65" s="707" t="s">
        <v>2071</v>
      </c>
      <c r="C65" s="711"/>
      <c r="D65" s="354"/>
      <c r="E65" s="10"/>
      <c r="F65" s="353"/>
      <c r="G65" s="358">
        <f>WORK!I525</f>
        <v>0</v>
      </c>
      <c r="H65" s="354" t="s">
        <v>102</v>
      </c>
      <c r="I65" s="355">
        <f>WORK!K525</f>
        <v>1202.4000000000001</v>
      </c>
      <c r="J65" s="353">
        <f>ROUND(G65*I65,0)</f>
        <v>0</v>
      </c>
      <c r="K65" s="1913"/>
      <c r="L65" s="1913"/>
      <c r="M65" s="708" t="s">
        <v>2322</v>
      </c>
      <c r="N65" s="223"/>
      <c r="O65" s="706">
        <f t="shared" si="3"/>
        <v>0</v>
      </c>
    </row>
    <row r="66" spans="1:15" s="360" customFormat="1" ht="51" hidden="1">
      <c r="A66" s="356" t="s">
        <v>473</v>
      </c>
      <c r="B66" s="707" t="s">
        <v>3271</v>
      </c>
      <c r="C66" s="1112"/>
      <c r="D66" s="916" t="s">
        <v>102</v>
      </c>
      <c r="E66" s="10">
        <v>1100.53</v>
      </c>
      <c r="F66" s="917">
        <f t="shared" ref="F66" si="18">ROUND(C66*E66,0)</f>
        <v>0</v>
      </c>
      <c r="G66" s="358">
        <f>WORK!I483</f>
        <v>0</v>
      </c>
      <c r="H66" s="354" t="s">
        <v>102</v>
      </c>
      <c r="I66" s="355">
        <f>WORK!K483</f>
        <v>1195.95</v>
      </c>
      <c r="J66" s="353">
        <f t="shared" si="7"/>
        <v>0</v>
      </c>
      <c r="K66" s="1911">
        <f>IF((J66+J67+J68+J69)&gt;(F66+F67+F68+F69),(J66+J67+J68+J69)-(F66+F67+F68+F69),0)</f>
        <v>0</v>
      </c>
      <c r="L66" s="1911">
        <f>IF((J66+J67+J68+J69)&lt;(F66+F67+F68+F69),(F66+F67+F68+F69)-(J66+J67+J68+J69),0)</f>
        <v>0</v>
      </c>
      <c r="M66" s="1139" t="s">
        <v>2226</v>
      </c>
      <c r="N66" s="223"/>
      <c r="O66" s="1138">
        <f t="shared" si="3"/>
        <v>0</v>
      </c>
    </row>
    <row r="67" spans="1:15" s="360" customFormat="1" ht="15" hidden="1">
      <c r="A67" s="356" t="s">
        <v>472</v>
      </c>
      <c r="B67" s="707" t="s">
        <v>2072</v>
      </c>
      <c r="C67" s="709"/>
      <c r="D67" s="354"/>
      <c r="E67" s="10"/>
      <c r="F67" s="353"/>
      <c r="G67" s="358">
        <f>WORK!I489</f>
        <v>0</v>
      </c>
      <c r="H67" s="354" t="s">
        <v>102</v>
      </c>
      <c r="I67" s="355">
        <f>WORK!K489</f>
        <v>1239.23</v>
      </c>
      <c r="J67" s="353">
        <f>ROUND(G67*I67,0)</f>
        <v>0</v>
      </c>
      <c r="K67" s="1912"/>
      <c r="L67" s="1912"/>
      <c r="M67" s="708" t="s">
        <v>2308</v>
      </c>
      <c r="N67" s="223"/>
      <c r="O67" s="706">
        <f t="shared" si="3"/>
        <v>0</v>
      </c>
    </row>
    <row r="68" spans="1:15" s="360" customFormat="1" ht="15" hidden="1">
      <c r="A68" s="356" t="s">
        <v>472</v>
      </c>
      <c r="B68" s="707" t="s">
        <v>2072</v>
      </c>
      <c r="C68" s="709"/>
      <c r="D68" s="354"/>
      <c r="E68" s="10"/>
      <c r="F68" s="353"/>
      <c r="G68" s="358">
        <f>WORK!I494</f>
        <v>0</v>
      </c>
      <c r="H68" s="354" t="s">
        <v>102</v>
      </c>
      <c r="I68" s="355">
        <f>WORK!K494</f>
        <v>1302.4000000000001</v>
      </c>
      <c r="J68" s="353">
        <f>ROUND(G68*I68,0)</f>
        <v>0</v>
      </c>
      <c r="K68" s="1912"/>
      <c r="L68" s="1912"/>
      <c r="M68" s="708" t="s">
        <v>2321</v>
      </c>
      <c r="N68" s="223"/>
      <c r="O68" s="706">
        <f t="shared" si="3"/>
        <v>0</v>
      </c>
    </row>
    <row r="69" spans="1:15" s="360" customFormat="1" ht="15" hidden="1">
      <c r="A69" s="356" t="s">
        <v>472</v>
      </c>
      <c r="B69" s="707" t="s">
        <v>2072</v>
      </c>
      <c r="C69" s="709"/>
      <c r="D69" s="354"/>
      <c r="E69" s="10"/>
      <c r="F69" s="353"/>
      <c r="G69" s="358">
        <f>WORK!I500</f>
        <v>0</v>
      </c>
      <c r="H69" s="354" t="s">
        <v>102</v>
      </c>
      <c r="I69" s="355">
        <f>WORK!K500</f>
        <v>1345.28</v>
      </c>
      <c r="J69" s="353">
        <f>ROUND(G69*I69,0)</f>
        <v>0</v>
      </c>
      <c r="K69" s="1913"/>
      <c r="L69" s="1913"/>
      <c r="M69" s="708" t="s">
        <v>2322</v>
      </c>
      <c r="N69" s="223"/>
      <c r="O69" s="706">
        <f t="shared" si="3"/>
        <v>0</v>
      </c>
    </row>
    <row r="70" spans="1:15" s="360" customFormat="1" ht="15" hidden="1">
      <c r="A70" s="356" t="s">
        <v>469</v>
      </c>
      <c r="B70" s="707" t="s">
        <v>2073</v>
      </c>
      <c r="C70" s="710"/>
      <c r="D70" s="354"/>
      <c r="E70" s="362"/>
      <c r="F70" s="353"/>
      <c r="G70" s="358">
        <f>WORK!I531</f>
        <v>0</v>
      </c>
      <c r="H70" s="354" t="s">
        <v>102</v>
      </c>
      <c r="I70" s="355">
        <f>WORK!K531</f>
        <v>947.64</v>
      </c>
      <c r="J70" s="353">
        <f t="shared" si="7"/>
        <v>0</v>
      </c>
      <c r="K70" s="1911">
        <f>IF((J70+J71+J72+J73)&gt;(F70+F71+F72+F73),(J70+J71+J72+J73)-(F70+F71+F72+F73),0)</f>
        <v>0</v>
      </c>
      <c r="L70" s="1911">
        <f>IF((J70+J71+J72+J73)&lt;(F70+F71+F72+F73),(F70+F71+F72+F73)-(J70+J71+J72+J73),0)</f>
        <v>0</v>
      </c>
      <c r="M70" s="708" t="s">
        <v>2226</v>
      </c>
      <c r="N70" s="223"/>
      <c r="O70" s="706">
        <f t="shared" si="3"/>
        <v>0</v>
      </c>
    </row>
    <row r="71" spans="1:15" s="360" customFormat="1" ht="15" hidden="1">
      <c r="A71" s="356" t="s">
        <v>478</v>
      </c>
      <c r="B71" s="707" t="s">
        <v>2073</v>
      </c>
      <c r="C71" s="710"/>
      <c r="D71" s="354"/>
      <c r="E71" s="362"/>
      <c r="F71" s="353"/>
      <c r="G71" s="358">
        <f>WORK!I536</f>
        <v>0</v>
      </c>
      <c r="H71" s="354" t="s">
        <v>102</v>
      </c>
      <c r="I71" s="355">
        <f>WORK!K536</f>
        <v>980.15</v>
      </c>
      <c r="J71" s="353">
        <f>ROUND(G71*I71,0)</f>
        <v>0</v>
      </c>
      <c r="K71" s="1912"/>
      <c r="L71" s="1912"/>
      <c r="M71" s="708" t="s">
        <v>2308</v>
      </c>
      <c r="N71" s="223"/>
      <c r="O71" s="706">
        <f t="shared" si="3"/>
        <v>0</v>
      </c>
    </row>
    <row r="72" spans="1:15" s="360" customFormat="1" ht="15" hidden="1">
      <c r="A72" s="356" t="s">
        <v>469</v>
      </c>
      <c r="B72" s="707" t="s">
        <v>2073</v>
      </c>
      <c r="C72" s="710"/>
      <c r="D72" s="354"/>
      <c r="E72" s="362"/>
      <c r="F72" s="353"/>
      <c r="G72" s="358">
        <f>WORK!I542</f>
        <v>0</v>
      </c>
      <c r="H72" s="354" t="s">
        <v>102</v>
      </c>
      <c r="I72" s="355">
        <f>WORK!K542</f>
        <v>1030.9299999999998</v>
      </c>
      <c r="J72" s="353">
        <f>ROUND(G72*I72,0)</f>
        <v>0</v>
      </c>
      <c r="K72" s="1912"/>
      <c r="L72" s="1912"/>
      <c r="M72" s="708" t="s">
        <v>2321</v>
      </c>
      <c r="N72" s="223"/>
      <c r="O72" s="706">
        <f t="shared" si="3"/>
        <v>0</v>
      </c>
    </row>
    <row r="73" spans="1:15" s="360" customFormat="1" ht="15" hidden="1">
      <c r="A73" s="356" t="s">
        <v>469</v>
      </c>
      <c r="B73" s="707" t="s">
        <v>2073</v>
      </c>
      <c r="C73" s="710"/>
      <c r="D73" s="354"/>
      <c r="E73" s="362"/>
      <c r="F73" s="353"/>
      <c r="G73" s="358">
        <f>WORK!I547</f>
        <v>0</v>
      </c>
      <c r="H73" s="354" t="s">
        <v>102</v>
      </c>
      <c r="I73" s="355">
        <f>WORK!K547</f>
        <v>1059.52</v>
      </c>
      <c r="J73" s="353">
        <f>ROUND(G73*I73,0)</f>
        <v>0</v>
      </c>
      <c r="K73" s="1913"/>
      <c r="L73" s="1913"/>
      <c r="M73" s="708" t="s">
        <v>2322</v>
      </c>
      <c r="N73" s="223"/>
      <c r="O73" s="706">
        <f t="shared" si="3"/>
        <v>0</v>
      </c>
    </row>
    <row r="74" spans="1:15" s="1448" customFormat="1" ht="51">
      <c r="A74" s="1436" t="s">
        <v>472</v>
      </c>
      <c r="B74" s="1437" t="s">
        <v>3383</v>
      </c>
      <c r="C74" s="1441">
        <v>13.73</v>
      </c>
      <c r="D74" s="1439" t="s">
        <v>102</v>
      </c>
      <c r="E74" s="1221">
        <v>1031.42</v>
      </c>
      <c r="F74" s="1440">
        <f t="shared" ref="F74" si="19">ROUND(C74*E74,0)</f>
        <v>14161</v>
      </c>
      <c r="G74" s="1457">
        <f>WORK!I553</f>
        <v>0</v>
      </c>
      <c r="H74" s="1458" t="s">
        <v>102</v>
      </c>
      <c r="I74" s="1459">
        <f>WORK!K553</f>
        <v>471.03</v>
      </c>
      <c r="J74" s="1450">
        <f t="shared" si="7"/>
        <v>0</v>
      </c>
      <c r="K74" s="1911">
        <f>IF((J74+J75+J76+J77)&gt;(F74+F75+F76+F77),(J74+J75+J76+J77)-(F74+F75+F76+F77),0)</f>
        <v>0</v>
      </c>
      <c r="L74" s="1911">
        <f>IF((J74+J75+J76+J77)&lt;(F74+F75+F76+F77),(F74+F75+F76+F77)-(J74+J75+J76+J77),0)</f>
        <v>14161</v>
      </c>
      <c r="M74" s="1451" t="s">
        <v>2226</v>
      </c>
      <c r="N74" s="1446"/>
      <c r="O74" s="1452">
        <f t="shared" si="3"/>
        <v>14161</v>
      </c>
    </row>
    <row r="75" spans="1:15" s="360" customFormat="1" ht="15" hidden="1">
      <c r="A75" s="356" t="s">
        <v>469</v>
      </c>
      <c r="B75" s="707" t="s">
        <v>2074</v>
      </c>
      <c r="C75" s="711"/>
      <c r="D75" s="354"/>
      <c r="E75" s="10"/>
      <c r="F75" s="353"/>
      <c r="G75" s="358">
        <f>WORK!I559</f>
        <v>0</v>
      </c>
      <c r="H75" s="354" t="s">
        <v>102</v>
      </c>
      <c r="I75" s="355">
        <f>WORK!K559</f>
        <v>487.1</v>
      </c>
      <c r="J75" s="353">
        <f>ROUND(G75*I75,0)</f>
        <v>0</v>
      </c>
      <c r="K75" s="1912"/>
      <c r="L75" s="1912"/>
      <c r="M75" s="708" t="s">
        <v>2308</v>
      </c>
      <c r="N75" s="223"/>
      <c r="O75" s="706">
        <f t="shared" ref="O75:O138" si="20">F75-J75</f>
        <v>0</v>
      </c>
    </row>
    <row r="76" spans="1:15" s="360" customFormat="1" ht="15" hidden="1">
      <c r="A76" s="356" t="s">
        <v>469</v>
      </c>
      <c r="B76" s="707" t="s">
        <v>2074</v>
      </c>
      <c r="C76" s="711"/>
      <c r="D76" s="354"/>
      <c r="E76" s="10"/>
      <c r="F76" s="353"/>
      <c r="G76" s="358">
        <f>WORK!I565</f>
        <v>0</v>
      </c>
      <c r="H76" s="354" t="s">
        <v>102</v>
      </c>
      <c r="I76" s="355">
        <f>WORK!K565</f>
        <v>512.26</v>
      </c>
      <c r="J76" s="353">
        <f>ROUND(G76*I76,0)</f>
        <v>0</v>
      </c>
      <c r="K76" s="1912"/>
      <c r="L76" s="1912"/>
      <c r="M76" s="708" t="s">
        <v>2321</v>
      </c>
      <c r="N76" s="223"/>
      <c r="O76" s="706">
        <f t="shared" si="20"/>
        <v>0</v>
      </c>
    </row>
    <row r="77" spans="1:15" s="360" customFormat="1" ht="15" hidden="1">
      <c r="A77" s="356" t="s">
        <v>469</v>
      </c>
      <c r="B77" s="707" t="s">
        <v>2074</v>
      </c>
      <c r="C77" s="711"/>
      <c r="D77" s="354"/>
      <c r="E77" s="10"/>
      <c r="F77" s="353"/>
      <c r="G77" s="358">
        <f>WORK!I571</f>
        <v>0</v>
      </c>
      <c r="H77" s="354" t="s">
        <v>102</v>
      </c>
      <c r="I77" s="355">
        <f>WORK!K571</f>
        <v>526.29999999999995</v>
      </c>
      <c r="J77" s="353">
        <f>ROUND(G77*I77,0)</f>
        <v>0</v>
      </c>
      <c r="K77" s="1913"/>
      <c r="L77" s="1913"/>
      <c r="M77" s="708" t="s">
        <v>2322</v>
      </c>
      <c r="N77" s="223"/>
      <c r="O77" s="706">
        <f t="shared" si="20"/>
        <v>0</v>
      </c>
    </row>
    <row r="78" spans="1:15" s="360" customFormat="1" ht="15" hidden="1">
      <c r="A78" s="356" t="s">
        <v>475</v>
      </c>
      <c r="B78" s="707" t="s">
        <v>2075</v>
      </c>
      <c r="C78" s="711"/>
      <c r="D78" s="354"/>
      <c r="E78" s="362"/>
      <c r="F78" s="353"/>
      <c r="G78" s="358">
        <f>WORK!I578</f>
        <v>0</v>
      </c>
      <c r="H78" s="354" t="s">
        <v>102</v>
      </c>
      <c r="I78" s="355">
        <f>WORK!K578</f>
        <v>348.26</v>
      </c>
      <c r="J78" s="353">
        <f t="shared" si="7"/>
        <v>0</v>
      </c>
      <c r="K78" s="1911">
        <f>IF((J78+J79+J80+J81)&gt;(F78+F79+F80+F81),(J78+J79+J80+J81)-(F78+F79+F80+F81),0)</f>
        <v>0</v>
      </c>
      <c r="L78" s="1911">
        <f>IF((J78+J79+J80+J81)&lt;(F78+F79+F80+F81),(F78+F79+F80+F81)-(J78+J79+J80+J81),0)</f>
        <v>0</v>
      </c>
      <c r="M78" s="708" t="s">
        <v>2226</v>
      </c>
      <c r="N78" s="223"/>
      <c r="O78" s="706">
        <f t="shared" si="20"/>
        <v>0</v>
      </c>
    </row>
    <row r="79" spans="1:15" s="360" customFormat="1" ht="15" hidden="1">
      <c r="A79" s="356" t="s">
        <v>475</v>
      </c>
      <c r="B79" s="707" t="s">
        <v>2075</v>
      </c>
      <c r="C79" s="711"/>
      <c r="D79" s="354"/>
      <c r="E79" s="362"/>
      <c r="F79" s="353"/>
      <c r="G79" s="358">
        <f>WORK!I585</f>
        <v>0</v>
      </c>
      <c r="H79" s="354" t="s">
        <v>102</v>
      </c>
      <c r="I79" s="355">
        <f>WORK!K585</f>
        <v>359.05</v>
      </c>
      <c r="J79" s="353">
        <f>ROUND(G79*I79,0)</f>
        <v>0</v>
      </c>
      <c r="K79" s="1912"/>
      <c r="L79" s="1912"/>
      <c r="M79" s="708" t="s">
        <v>2308</v>
      </c>
      <c r="N79" s="223"/>
      <c r="O79" s="706">
        <f t="shared" si="20"/>
        <v>0</v>
      </c>
    </row>
    <row r="80" spans="1:15" s="360" customFormat="1" ht="15" hidden="1">
      <c r="A80" s="356" t="s">
        <v>475</v>
      </c>
      <c r="B80" s="707" t="s">
        <v>2075</v>
      </c>
      <c r="C80" s="711"/>
      <c r="D80" s="354"/>
      <c r="E80" s="362"/>
      <c r="F80" s="353"/>
      <c r="G80" s="358">
        <f>WORK!I592</f>
        <v>0</v>
      </c>
      <c r="H80" s="354" t="s">
        <v>102</v>
      </c>
      <c r="I80" s="355">
        <f>WORK!K592</f>
        <v>378.13</v>
      </c>
      <c r="J80" s="353">
        <f>ROUND(G80*I80,0)</f>
        <v>0</v>
      </c>
      <c r="K80" s="1912"/>
      <c r="L80" s="1912"/>
      <c r="M80" s="708" t="s">
        <v>2321</v>
      </c>
      <c r="N80" s="223"/>
      <c r="O80" s="706">
        <f t="shared" si="20"/>
        <v>0</v>
      </c>
    </row>
    <row r="81" spans="1:15" s="360" customFormat="1" ht="15" hidden="1">
      <c r="A81" s="356" t="s">
        <v>475</v>
      </c>
      <c r="B81" s="707" t="s">
        <v>2075</v>
      </c>
      <c r="C81" s="711"/>
      <c r="D81" s="354"/>
      <c r="E81" s="362"/>
      <c r="F81" s="353"/>
      <c r="G81" s="358">
        <f>WORK!I599</f>
        <v>0</v>
      </c>
      <c r="H81" s="354" t="s">
        <v>102</v>
      </c>
      <c r="I81" s="355">
        <f>WORK!K599</f>
        <v>385.15</v>
      </c>
      <c r="J81" s="353">
        <f>ROUND(G81*I81,0)</f>
        <v>0</v>
      </c>
      <c r="K81" s="1913"/>
      <c r="L81" s="1913"/>
      <c r="M81" s="708" t="s">
        <v>2322</v>
      </c>
      <c r="N81" s="223"/>
      <c r="O81" s="706">
        <f t="shared" si="20"/>
        <v>0</v>
      </c>
    </row>
    <row r="82" spans="1:15" s="1448" customFormat="1" ht="51">
      <c r="A82" s="1436" t="s">
        <v>473</v>
      </c>
      <c r="B82" s="1437" t="s">
        <v>3272</v>
      </c>
      <c r="C82" s="1463">
        <v>0.8</v>
      </c>
      <c r="D82" s="1439" t="s">
        <v>5</v>
      </c>
      <c r="E82" s="1221">
        <v>8965.880000000001</v>
      </c>
      <c r="F82" s="1440">
        <f t="shared" ref="F82" si="21">ROUND(C82*E82,0)</f>
        <v>7173</v>
      </c>
      <c r="G82" s="1453">
        <f>WORK!I609</f>
        <v>1.53</v>
      </c>
      <c r="H82" s="1439" t="s">
        <v>5</v>
      </c>
      <c r="I82" s="1454">
        <f>WORK!K609</f>
        <v>9288.880000000001</v>
      </c>
      <c r="J82" s="1450">
        <f t="shared" si="7"/>
        <v>14212</v>
      </c>
      <c r="K82" s="1911">
        <f>IF((J82+J83+J84+J85)&gt;(F82+F83+F84+F85),(J82+J83+J84+J85)-(F82+F83+F84+F85),0)</f>
        <v>7039</v>
      </c>
      <c r="L82" s="1911">
        <f>IF((J82+J83+J84+J85)&lt;(F82+F83+F84+F85),(F82+F83+F84+F85)-(J82+J83+J84+J85),0)</f>
        <v>0</v>
      </c>
      <c r="M82" s="1445" t="s">
        <v>2226</v>
      </c>
      <c r="N82" s="1446"/>
      <c r="O82" s="1447">
        <f t="shared" si="20"/>
        <v>-7039</v>
      </c>
    </row>
    <row r="83" spans="1:15" s="1448" customFormat="1" ht="51" hidden="1">
      <c r="A83" s="1436" t="s">
        <v>479</v>
      </c>
      <c r="B83" s="1437" t="s">
        <v>3272</v>
      </c>
      <c r="C83" s="1449"/>
      <c r="D83" s="1439"/>
      <c r="E83" s="1221"/>
      <c r="F83" s="1450"/>
      <c r="G83" s="1441">
        <f>WORK!I619</f>
        <v>0</v>
      </c>
      <c r="H83" s="1442" t="s">
        <v>5</v>
      </c>
      <c r="I83" s="1443">
        <f>WORK!K619</f>
        <v>9638.93</v>
      </c>
      <c r="J83" s="1444">
        <f>ROUND(G83*I83,0)</f>
        <v>0</v>
      </c>
      <c r="K83" s="1912"/>
      <c r="L83" s="1912"/>
      <c r="M83" s="1451" t="s">
        <v>2308</v>
      </c>
      <c r="N83" s="1446"/>
      <c r="O83" s="1452">
        <f t="shared" si="20"/>
        <v>0</v>
      </c>
    </row>
    <row r="84" spans="1:15" s="360" customFormat="1" ht="15" hidden="1">
      <c r="A84" s="356" t="s">
        <v>475</v>
      </c>
      <c r="B84" s="707" t="s">
        <v>2076</v>
      </c>
      <c r="C84" s="709"/>
      <c r="D84" s="354"/>
      <c r="E84" s="10"/>
      <c r="F84" s="353"/>
      <c r="G84" s="358">
        <f>WORK!I628</f>
        <v>0</v>
      </c>
      <c r="H84" s="354" t="s">
        <v>5</v>
      </c>
      <c r="I84" s="355">
        <f>WORK!K628</f>
        <v>10171.82</v>
      </c>
      <c r="J84" s="353">
        <f>ROUND(G84*I84,0)</f>
        <v>0</v>
      </c>
      <c r="K84" s="1912"/>
      <c r="L84" s="1912"/>
      <c r="M84" s="708" t="s">
        <v>2321</v>
      </c>
      <c r="N84" s="223"/>
      <c r="O84" s="706">
        <f t="shared" si="20"/>
        <v>0</v>
      </c>
    </row>
    <row r="85" spans="1:15" s="360" customFormat="1" ht="51" hidden="1">
      <c r="A85" s="356" t="s">
        <v>485</v>
      </c>
      <c r="B85" s="707" t="s">
        <v>3272</v>
      </c>
      <c r="C85" s="709"/>
      <c r="D85" s="354"/>
      <c r="E85" s="10"/>
      <c r="F85" s="353"/>
      <c r="G85" s="358">
        <f>WORK!I639</f>
        <v>0</v>
      </c>
      <c r="H85" s="354" t="s">
        <v>5</v>
      </c>
      <c r="I85" s="355">
        <f>WORK!K639</f>
        <v>10584.6</v>
      </c>
      <c r="J85" s="353">
        <f>ROUND(G85*I85,0)</f>
        <v>0</v>
      </c>
      <c r="K85" s="1913"/>
      <c r="L85" s="1913"/>
      <c r="M85" s="708" t="s">
        <v>2322</v>
      </c>
      <c r="N85" s="223"/>
      <c r="O85" s="706">
        <f t="shared" si="20"/>
        <v>0</v>
      </c>
    </row>
    <row r="86" spans="1:15" s="1448" customFormat="1" ht="51">
      <c r="A86" s="1436" t="s">
        <v>474</v>
      </c>
      <c r="B86" s="1437" t="s">
        <v>3273</v>
      </c>
      <c r="C86" s="1467">
        <v>14.94</v>
      </c>
      <c r="D86" s="1439" t="s">
        <v>277</v>
      </c>
      <c r="E86" s="1221">
        <v>655.13</v>
      </c>
      <c r="F86" s="1440">
        <f t="shared" ref="F86" si="22">ROUND(C86*E86,0)</f>
        <v>9788</v>
      </c>
      <c r="G86" s="1453">
        <f>WORK!I644</f>
        <v>12</v>
      </c>
      <c r="H86" s="1439" t="s">
        <v>277</v>
      </c>
      <c r="I86" s="1454">
        <f>WORK!K644</f>
        <v>474.83999999999992</v>
      </c>
      <c r="J86" s="1450">
        <f t="shared" si="7"/>
        <v>5698</v>
      </c>
      <c r="K86" s="1911">
        <f>IF((J86+J87+J88+J89)&gt;(F86+F87+F88+F89),(J86+J87+J88+J89)-(F86+F87+F88+F89),0)</f>
        <v>0</v>
      </c>
      <c r="L86" s="1911">
        <f>IF((J86+J87+J88+J89)&lt;(F86+F87+F88+F89),(F86+F87+F88+F89)-(J86+J87+J88+J89),0)</f>
        <v>4090</v>
      </c>
      <c r="M86" s="1445" t="s">
        <v>2226</v>
      </c>
      <c r="N86" s="1446"/>
      <c r="O86" s="1447">
        <f t="shared" si="20"/>
        <v>4090</v>
      </c>
    </row>
    <row r="87" spans="1:15" s="1448" customFormat="1" ht="51" hidden="1">
      <c r="A87" s="1436" t="s">
        <v>480</v>
      </c>
      <c r="B87" s="1437" t="s">
        <v>3273</v>
      </c>
      <c r="C87" s="1337"/>
      <c r="D87" s="1439"/>
      <c r="E87" s="1221"/>
      <c r="F87" s="1450"/>
      <c r="G87" s="1441">
        <f>WORK!I649</f>
        <v>0</v>
      </c>
      <c r="H87" s="1442" t="s">
        <v>277</v>
      </c>
      <c r="I87" s="1443">
        <f>WORK!K649</f>
        <v>482.90999999999997</v>
      </c>
      <c r="J87" s="1444">
        <f>ROUND(G87*I87,0)</f>
        <v>0</v>
      </c>
      <c r="K87" s="1912"/>
      <c r="L87" s="1912"/>
      <c r="M87" s="1451" t="s">
        <v>2308</v>
      </c>
      <c r="N87" s="1446"/>
      <c r="O87" s="1452">
        <f t="shared" si="20"/>
        <v>0</v>
      </c>
    </row>
    <row r="88" spans="1:15" s="360" customFormat="1" ht="15" hidden="1">
      <c r="A88" s="356" t="s">
        <v>478</v>
      </c>
      <c r="B88" s="707" t="s">
        <v>2077</v>
      </c>
      <c r="C88" s="554"/>
      <c r="D88" s="354"/>
      <c r="E88" s="10"/>
      <c r="F88" s="353"/>
      <c r="G88" s="358">
        <f>WORK!I655</f>
        <v>0</v>
      </c>
      <c r="H88" s="354" t="s">
        <v>277</v>
      </c>
      <c r="I88" s="355">
        <f>WORK!K655</f>
        <v>507.79999999999995</v>
      </c>
      <c r="J88" s="353">
        <f>ROUND(G88*I88,0)</f>
        <v>0</v>
      </c>
      <c r="K88" s="1912"/>
      <c r="L88" s="1912"/>
      <c r="M88" s="708" t="s">
        <v>2321</v>
      </c>
      <c r="N88" s="223"/>
      <c r="O88" s="706">
        <f t="shared" si="20"/>
        <v>0</v>
      </c>
    </row>
    <row r="89" spans="1:15" s="360" customFormat="1" ht="51" hidden="1">
      <c r="A89" s="356" t="s">
        <v>487</v>
      </c>
      <c r="B89" s="707" t="s">
        <v>3273</v>
      </c>
      <c r="C89" s="554"/>
      <c r="D89" s="354"/>
      <c r="E89" s="10"/>
      <c r="F89" s="353"/>
      <c r="G89" s="358">
        <f>WORK!I660</f>
        <v>0</v>
      </c>
      <c r="H89" s="354" t="s">
        <v>277</v>
      </c>
      <c r="I89" s="355">
        <f>WORK!K660</f>
        <v>518.52</v>
      </c>
      <c r="J89" s="353">
        <f>ROUND(G89*I89,0)</f>
        <v>0</v>
      </c>
      <c r="K89" s="1913"/>
      <c r="L89" s="1913"/>
      <c r="M89" s="708" t="s">
        <v>2322</v>
      </c>
      <c r="N89" s="223"/>
      <c r="O89" s="706">
        <f t="shared" si="20"/>
        <v>0</v>
      </c>
    </row>
    <row r="90" spans="1:15" s="1448" customFormat="1" ht="51">
      <c r="A90" s="1436" t="s">
        <v>475</v>
      </c>
      <c r="B90" s="1437" t="s">
        <v>3375</v>
      </c>
      <c r="C90" s="1449">
        <v>134.30000000000001</v>
      </c>
      <c r="D90" s="1355" t="s">
        <v>102</v>
      </c>
      <c r="E90" s="1221">
        <v>344.5</v>
      </c>
      <c r="F90" s="1440">
        <f>ROUND(C90*E90/10,0)</f>
        <v>4627</v>
      </c>
      <c r="G90" s="1453">
        <f>WORK!I666</f>
        <v>108</v>
      </c>
      <c r="H90" s="1355" t="s">
        <v>102</v>
      </c>
      <c r="I90" s="1454">
        <f>WORK!K666</f>
        <v>259.97000000000003</v>
      </c>
      <c r="J90" s="1450">
        <f t="shared" si="7"/>
        <v>28077</v>
      </c>
      <c r="K90" s="1911">
        <f>IF((J90+J91+J92+J93)&gt;(F90+F91+F92+F93),(J90+J91+J92+J93)-(F90+F91+F92+F93),0)</f>
        <v>23450</v>
      </c>
      <c r="L90" s="1911">
        <f>IF((J90+J91+J92+J93)&lt;(F90+F91+F92+F93),(F90+F91+F92+F93)-(J90+J91+J92+J93),0)</f>
        <v>0</v>
      </c>
      <c r="M90" s="1451" t="s">
        <v>2226</v>
      </c>
      <c r="N90" s="1446"/>
      <c r="O90" s="1452">
        <f t="shared" si="20"/>
        <v>-23450</v>
      </c>
    </row>
    <row r="91" spans="1:15" s="1448" customFormat="1" ht="15" hidden="1">
      <c r="A91" s="1436" t="s">
        <v>484</v>
      </c>
      <c r="B91" s="1437" t="s">
        <v>1480</v>
      </c>
      <c r="C91" s="1449"/>
      <c r="D91" s="1355"/>
      <c r="E91" s="1221"/>
      <c r="F91" s="1450"/>
      <c r="G91" s="1453">
        <f>WORK!I672</f>
        <v>0</v>
      </c>
      <c r="H91" s="1355" t="s">
        <v>102</v>
      </c>
      <c r="I91" s="1454">
        <f>WORK!K672</f>
        <v>280.02999999999997</v>
      </c>
      <c r="J91" s="1450">
        <f t="shared" ref="J91" si="23">ROUND(G91*I91,0)</f>
        <v>0</v>
      </c>
      <c r="K91" s="1912"/>
      <c r="L91" s="1912"/>
      <c r="M91" s="1451" t="s">
        <v>2308</v>
      </c>
      <c r="N91" s="1446"/>
      <c r="O91" s="1452">
        <f t="shared" si="20"/>
        <v>0</v>
      </c>
    </row>
    <row r="92" spans="1:15" s="360" customFormat="1" ht="15" hidden="1">
      <c r="A92" s="356" t="s">
        <v>480</v>
      </c>
      <c r="B92" s="707" t="s">
        <v>1480</v>
      </c>
      <c r="C92" s="709"/>
      <c r="D92" s="221"/>
      <c r="E92" s="10"/>
      <c r="F92" s="353"/>
      <c r="G92" s="358">
        <f>WORK!I678</f>
        <v>0</v>
      </c>
      <c r="H92" s="221" t="s">
        <v>102</v>
      </c>
      <c r="I92" s="355">
        <f>WORK!K678</f>
        <v>297.22000000000003</v>
      </c>
      <c r="J92" s="353">
        <f>ROUND(G92*I92,0)</f>
        <v>0</v>
      </c>
      <c r="K92" s="1912"/>
      <c r="L92" s="1912"/>
      <c r="M92" s="708" t="s">
        <v>2321</v>
      </c>
      <c r="N92" s="223"/>
      <c r="O92" s="706">
        <f t="shared" si="20"/>
        <v>0</v>
      </c>
    </row>
    <row r="93" spans="1:15" s="1448" customFormat="1" ht="15" hidden="1">
      <c r="A93" s="1436" t="s">
        <v>483</v>
      </c>
      <c r="B93" s="1437" t="s">
        <v>1480</v>
      </c>
      <c r="C93" s="1449"/>
      <c r="D93" s="1355"/>
      <c r="E93" s="1221"/>
      <c r="F93" s="1450"/>
      <c r="G93" s="1453">
        <f>WORK!I684</f>
        <v>0</v>
      </c>
      <c r="H93" s="1355" t="s">
        <v>102</v>
      </c>
      <c r="I93" s="1454">
        <f>WORK!K684</f>
        <v>315.69</v>
      </c>
      <c r="J93" s="1450">
        <f>ROUND(G93*I93,0)</f>
        <v>0</v>
      </c>
      <c r="K93" s="1913"/>
      <c r="L93" s="1913"/>
      <c r="M93" s="1451" t="s">
        <v>2322</v>
      </c>
      <c r="N93" s="1446"/>
      <c r="O93" s="1452">
        <f t="shared" si="20"/>
        <v>0</v>
      </c>
    </row>
    <row r="94" spans="1:15" s="360" customFormat="1" ht="51" hidden="1">
      <c r="A94" s="356" t="s">
        <v>2476</v>
      </c>
      <c r="B94" s="707" t="s">
        <v>3401</v>
      </c>
      <c r="C94" s="861"/>
      <c r="D94" s="221"/>
      <c r="E94" s="910"/>
      <c r="F94" s="353"/>
      <c r="G94" s="358">
        <f>WORK!I690</f>
        <v>0</v>
      </c>
      <c r="H94" s="221" t="s">
        <v>102</v>
      </c>
      <c r="I94" s="355">
        <f>WORK!K690</f>
        <v>330.39</v>
      </c>
      <c r="J94" s="353">
        <f t="shared" si="7"/>
        <v>0</v>
      </c>
      <c r="K94" s="1911">
        <f>IF((J94+J95+J96+J97)&gt;(F94+F95+F96+F97),(J94+J95+J96+J97)-(F94+F95+F96+F97),0)</f>
        <v>0</v>
      </c>
      <c r="L94" s="1911">
        <f>IF((J94+J95+J96+J97)&lt;(F94+F95+F96+F97),(F94+F95+F96+F97)-(J94+J95+J96+J97),0)</f>
        <v>0</v>
      </c>
      <c r="M94" s="708" t="s">
        <v>2226</v>
      </c>
      <c r="N94" s="223"/>
      <c r="O94" s="706">
        <f t="shared" si="20"/>
        <v>0</v>
      </c>
    </row>
    <row r="95" spans="1:15" s="360" customFormat="1" ht="51" hidden="1">
      <c r="A95" s="356" t="s">
        <v>487</v>
      </c>
      <c r="B95" s="707" t="s">
        <v>3401</v>
      </c>
      <c r="C95" s="709"/>
      <c r="D95" s="221"/>
      <c r="E95" s="10"/>
      <c r="F95" s="353"/>
      <c r="G95" s="1147">
        <f>WORK!I696</f>
        <v>0</v>
      </c>
      <c r="H95" s="1317" t="s">
        <v>102</v>
      </c>
      <c r="I95" s="910">
        <f>WORK!K696</f>
        <v>357.62</v>
      </c>
      <c r="J95" s="1315">
        <f>ROUND(G95*I95,0)</f>
        <v>0</v>
      </c>
      <c r="K95" s="1912"/>
      <c r="L95" s="1912"/>
      <c r="M95" s="708" t="s">
        <v>2308</v>
      </c>
      <c r="N95" s="223"/>
      <c r="O95" s="706">
        <f t="shared" si="20"/>
        <v>0</v>
      </c>
    </row>
    <row r="96" spans="1:15" s="360" customFormat="1" ht="15" hidden="1">
      <c r="A96" s="356" t="s">
        <v>476</v>
      </c>
      <c r="B96" s="707" t="s">
        <v>1481</v>
      </c>
      <c r="C96" s="709"/>
      <c r="D96" s="221"/>
      <c r="E96" s="10"/>
      <c r="F96" s="353"/>
      <c r="G96" s="358">
        <f>WORK!I702</f>
        <v>0</v>
      </c>
      <c r="H96" s="221" t="s">
        <v>102</v>
      </c>
      <c r="I96" s="355">
        <f>WORK!K702</f>
        <v>380.75</v>
      </c>
      <c r="J96" s="353">
        <f>ROUND(G96*I96,0)</f>
        <v>0</v>
      </c>
      <c r="K96" s="1912"/>
      <c r="L96" s="1912"/>
      <c r="M96" s="708" t="s">
        <v>2321</v>
      </c>
      <c r="N96" s="223"/>
      <c r="O96" s="706">
        <f t="shared" si="20"/>
        <v>0</v>
      </c>
    </row>
    <row r="97" spans="1:15" s="360" customFormat="1" ht="15" hidden="1">
      <c r="A97" s="356" t="s">
        <v>476</v>
      </c>
      <c r="B97" s="707" t="s">
        <v>1481</v>
      </c>
      <c r="C97" s="709"/>
      <c r="D97" s="221"/>
      <c r="E97" s="10"/>
      <c r="F97" s="353"/>
      <c r="G97" s="358">
        <f>WORK!I708</f>
        <v>0</v>
      </c>
      <c r="H97" s="221" t="s">
        <v>102</v>
      </c>
      <c r="I97" s="355">
        <f>WORK!K708</f>
        <v>405.78</v>
      </c>
      <c r="J97" s="353">
        <f>ROUND(G97*I97,0)</f>
        <v>0</v>
      </c>
      <c r="K97" s="1913"/>
      <c r="L97" s="1913"/>
      <c r="M97" s="708" t="s">
        <v>2322</v>
      </c>
      <c r="N97" s="223"/>
      <c r="O97" s="706">
        <f t="shared" si="20"/>
        <v>0</v>
      </c>
    </row>
    <row r="98" spans="1:15" s="360" customFormat="1" ht="51" hidden="1">
      <c r="A98" s="356" t="s">
        <v>476</v>
      </c>
      <c r="B98" s="707" t="s">
        <v>3274</v>
      </c>
      <c r="C98" s="633"/>
      <c r="D98" s="354"/>
      <c r="E98" s="622"/>
      <c r="F98" s="353"/>
      <c r="G98" s="358">
        <f>WORK!I1206</f>
        <v>0</v>
      </c>
      <c r="H98" s="354" t="s">
        <v>5</v>
      </c>
      <c r="I98" s="355">
        <f>WORK!K1206</f>
        <v>4946.1699999999992</v>
      </c>
      <c r="J98" s="353">
        <f t="shared" si="7"/>
        <v>0</v>
      </c>
      <c r="K98" s="1911">
        <f>IF((J98+J99+J100+J101)&gt;(F98+F99+F100+F101),(J98+J99+J100+J101)-(F98+F99+F100+F101),0)</f>
        <v>0</v>
      </c>
      <c r="L98" s="1911">
        <f>IF((J98+J99+J100+J101)&lt;(F98+F99+F100+F101),(F98+F99+F100+F101)-(J98+J99+J100+J101),0)</f>
        <v>0</v>
      </c>
      <c r="M98" s="1139" t="s">
        <v>2226</v>
      </c>
      <c r="N98" s="223"/>
      <c r="O98" s="1138">
        <f t="shared" si="20"/>
        <v>0</v>
      </c>
    </row>
    <row r="99" spans="1:15" s="360" customFormat="1" ht="15" hidden="1">
      <c r="A99" s="356" t="s">
        <v>475</v>
      </c>
      <c r="B99" s="707" t="s">
        <v>2078</v>
      </c>
      <c r="C99" s="633"/>
      <c r="D99" s="354"/>
      <c r="E99" s="622"/>
      <c r="F99" s="353"/>
      <c r="G99" s="358">
        <f>WORK!I1213</f>
        <v>0</v>
      </c>
      <c r="H99" s="354" t="s">
        <v>5</v>
      </c>
      <c r="I99" s="355">
        <f>WORK!K1213</f>
        <v>5115.5200000000004</v>
      </c>
      <c r="J99" s="353">
        <f>ROUND(G99*I99,0)</f>
        <v>0</v>
      </c>
      <c r="K99" s="1912"/>
      <c r="L99" s="1912"/>
      <c r="M99" s="708" t="s">
        <v>2308</v>
      </c>
      <c r="N99" s="223"/>
      <c r="O99" s="706">
        <f t="shared" si="20"/>
        <v>0</v>
      </c>
    </row>
    <row r="100" spans="1:15" s="360" customFormat="1" ht="15" hidden="1">
      <c r="A100" s="356" t="s">
        <v>475</v>
      </c>
      <c r="B100" s="707" t="s">
        <v>2078</v>
      </c>
      <c r="C100" s="633"/>
      <c r="D100" s="354"/>
      <c r="E100" s="622"/>
      <c r="F100" s="353"/>
      <c r="G100" s="358">
        <f>WORK!I1220</f>
        <v>0</v>
      </c>
      <c r="H100" s="354" t="s">
        <v>5</v>
      </c>
      <c r="I100" s="355">
        <f>WORK!K1220</f>
        <v>5349.0700000000006</v>
      </c>
      <c r="J100" s="353">
        <f>ROUND(G100*I100,0)</f>
        <v>0</v>
      </c>
      <c r="K100" s="1912"/>
      <c r="L100" s="1912"/>
      <c r="M100" s="708" t="s">
        <v>2321</v>
      </c>
      <c r="N100" s="223"/>
      <c r="O100" s="706">
        <f t="shared" si="20"/>
        <v>0</v>
      </c>
    </row>
    <row r="101" spans="1:15" s="360" customFormat="1" ht="15" hidden="1">
      <c r="A101" s="356" t="s">
        <v>475</v>
      </c>
      <c r="B101" s="707" t="s">
        <v>2078</v>
      </c>
      <c r="C101" s="633"/>
      <c r="D101" s="354"/>
      <c r="E101" s="622"/>
      <c r="F101" s="353"/>
      <c r="G101" s="358">
        <f>WORK!I1225</f>
        <v>0</v>
      </c>
      <c r="H101" s="354" t="s">
        <v>5</v>
      </c>
      <c r="I101" s="355">
        <f>WORK!K1225</f>
        <v>5601.67</v>
      </c>
      <c r="J101" s="353">
        <f>ROUND(G101*I101,0)</f>
        <v>0</v>
      </c>
      <c r="K101" s="1913"/>
      <c r="L101" s="1913"/>
      <c r="M101" s="708" t="s">
        <v>2322</v>
      </c>
      <c r="N101" s="223"/>
      <c r="O101" s="706">
        <f t="shared" si="20"/>
        <v>0</v>
      </c>
    </row>
    <row r="102" spans="1:15" s="360" customFormat="1" ht="15" hidden="1">
      <c r="A102" s="356" t="s">
        <v>476</v>
      </c>
      <c r="B102" s="707" t="s">
        <v>1220</v>
      </c>
      <c r="C102" s="709"/>
      <c r="D102" s="354"/>
      <c r="E102" s="10"/>
      <c r="F102" s="353"/>
      <c r="G102" s="358">
        <f>WORK!I715</f>
        <v>0</v>
      </c>
      <c r="H102" s="354" t="s">
        <v>5</v>
      </c>
      <c r="I102" s="355">
        <f>WORK!K715</f>
        <v>3154.94</v>
      </c>
      <c r="J102" s="353">
        <f t="shared" si="7"/>
        <v>0</v>
      </c>
      <c r="K102" s="1911">
        <f>IF((J102+J103+J104+J105)&gt;(F102+F103+F104+F105),(J102+J103+J104+J105)-(F102+F103+F104+F105),0)</f>
        <v>0</v>
      </c>
      <c r="L102" s="1911">
        <f>IF((J102+J103+J104+J105)&lt;(F102+F103+F104+F105),(F102+F103+F104+F105)-(J102+J103+J104+J105),0)</f>
        <v>0</v>
      </c>
      <c r="M102" s="708" t="s">
        <v>2226</v>
      </c>
      <c r="N102" s="223"/>
      <c r="O102" s="706">
        <f t="shared" si="20"/>
        <v>0</v>
      </c>
    </row>
    <row r="103" spans="1:15" s="360" customFormat="1" ht="15" hidden="1">
      <c r="A103" s="356" t="s">
        <v>476</v>
      </c>
      <c r="B103" s="707" t="s">
        <v>1220</v>
      </c>
      <c r="C103" s="709"/>
      <c r="D103" s="354"/>
      <c r="E103" s="10"/>
      <c r="F103" s="353"/>
      <c r="G103" s="358">
        <f>WORK!I722</f>
        <v>0</v>
      </c>
      <c r="H103" s="354" t="s">
        <v>5</v>
      </c>
      <c r="I103" s="355">
        <f>WORK!K722</f>
        <v>3350.54</v>
      </c>
      <c r="J103" s="353">
        <f>ROUND(G103*I103,0)</f>
        <v>0</v>
      </c>
      <c r="K103" s="1912"/>
      <c r="L103" s="1912"/>
      <c r="M103" s="708" t="s">
        <v>2308</v>
      </c>
      <c r="N103" s="223"/>
      <c r="O103" s="706">
        <f t="shared" si="20"/>
        <v>0</v>
      </c>
    </row>
    <row r="104" spans="1:15" s="360" customFormat="1" ht="15" hidden="1">
      <c r="A104" s="356" t="s">
        <v>476</v>
      </c>
      <c r="B104" s="707" t="s">
        <v>1220</v>
      </c>
      <c r="C104" s="709"/>
      <c r="D104" s="354"/>
      <c r="E104" s="10"/>
      <c r="F104" s="353"/>
      <c r="G104" s="358">
        <f>WORK!I729</f>
        <v>0</v>
      </c>
      <c r="H104" s="354" t="s">
        <v>5</v>
      </c>
      <c r="I104" s="355">
        <f>WORK!K729</f>
        <v>3615.1600000000003</v>
      </c>
      <c r="J104" s="353">
        <f>ROUND(G104*I104,0)</f>
        <v>0</v>
      </c>
      <c r="K104" s="1912"/>
      <c r="L104" s="1912"/>
      <c r="M104" s="708" t="s">
        <v>2321</v>
      </c>
      <c r="N104" s="223"/>
      <c r="O104" s="706">
        <f t="shared" si="20"/>
        <v>0</v>
      </c>
    </row>
    <row r="105" spans="1:15" s="360" customFormat="1" ht="15" hidden="1">
      <c r="A105" s="356" t="s">
        <v>476</v>
      </c>
      <c r="B105" s="707" t="s">
        <v>1220</v>
      </c>
      <c r="C105" s="709"/>
      <c r="D105" s="354"/>
      <c r="E105" s="10"/>
      <c r="F105" s="353"/>
      <c r="G105" s="358">
        <f>WORK!I735</f>
        <v>0</v>
      </c>
      <c r="H105" s="354" t="s">
        <v>5</v>
      </c>
      <c r="I105" s="355">
        <f>WORK!K735</f>
        <v>3828.3500000000004</v>
      </c>
      <c r="J105" s="353">
        <f>ROUND(G105*I105,0)</f>
        <v>0</v>
      </c>
      <c r="K105" s="1913"/>
      <c r="L105" s="1913"/>
      <c r="M105" s="708" t="s">
        <v>2322</v>
      </c>
      <c r="N105" s="223"/>
      <c r="O105" s="706">
        <f t="shared" si="20"/>
        <v>0</v>
      </c>
    </row>
    <row r="106" spans="1:15" s="1448" customFormat="1" ht="63.75">
      <c r="A106" s="1436" t="s">
        <v>476</v>
      </c>
      <c r="B106" s="1437" t="s">
        <v>3275</v>
      </c>
      <c r="C106" s="1438">
        <v>32.85</v>
      </c>
      <c r="D106" s="1439" t="s">
        <v>5</v>
      </c>
      <c r="E106" s="1221">
        <v>5164.21</v>
      </c>
      <c r="F106" s="1440">
        <f t="shared" ref="F106" si="24">ROUND(C106*E106,0)</f>
        <v>169644</v>
      </c>
      <c r="G106" s="1441">
        <f>WORK!I753</f>
        <v>19.080000000000002</v>
      </c>
      <c r="H106" s="1442" t="s">
        <v>5</v>
      </c>
      <c r="I106" s="1443">
        <f>WORK!K753</f>
        <v>5588.9500000000007</v>
      </c>
      <c r="J106" s="1444">
        <f t="shared" si="7"/>
        <v>106637</v>
      </c>
      <c r="K106" s="1911">
        <f>IF((J106+J107+J108+J109)&gt;(F106+F107+F108+F109),(J106+J107+J108+J109)-(F106+F107+F108+F109),0)</f>
        <v>0</v>
      </c>
      <c r="L106" s="1911">
        <f>IF((J106+J107+J108+J109)&lt;(F106+F107+F108+F109),(F106+F107+F108+F109)-(J106+J107+J108+J109),0)</f>
        <v>63007</v>
      </c>
      <c r="M106" s="1445" t="s">
        <v>2226</v>
      </c>
      <c r="N106" s="1446"/>
      <c r="O106" s="1447">
        <f t="shared" si="20"/>
        <v>63007</v>
      </c>
    </row>
    <row r="107" spans="1:15" s="1448" customFormat="1" ht="63.75" hidden="1">
      <c r="A107" s="1436" t="s">
        <v>486</v>
      </c>
      <c r="B107" s="1437" t="s">
        <v>3275</v>
      </c>
      <c r="C107" s="1449"/>
      <c r="D107" s="1439"/>
      <c r="E107" s="1221"/>
      <c r="F107" s="1450"/>
      <c r="G107" s="1441">
        <f>WORK!I772</f>
        <v>0</v>
      </c>
      <c r="H107" s="1442" t="s">
        <v>5</v>
      </c>
      <c r="I107" s="1443">
        <f>WORK!K772</f>
        <v>5751.7699999999995</v>
      </c>
      <c r="J107" s="1444">
        <f>ROUND(G107*I107,0)</f>
        <v>0</v>
      </c>
      <c r="K107" s="1912"/>
      <c r="L107" s="1912"/>
      <c r="M107" s="1451" t="s">
        <v>2308</v>
      </c>
      <c r="N107" s="1446"/>
      <c r="O107" s="1452">
        <f t="shared" si="20"/>
        <v>0</v>
      </c>
    </row>
    <row r="108" spans="1:15" s="1448" customFormat="1" ht="15" hidden="1">
      <c r="A108" s="1436" t="s">
        <v>485</v>
      </c>
      <c r="B108" s="1437" t="s">
        <v>828</v>
      </c>
      <c r="C108" s="1449"/>
      <c r="D108" s="1439"/>
      <c r="E108" s="1221"/>
      <c r="F108" s="1450"/>
      <c r="G108" s="1453">
        <f>WORK!I780</f>
        <v>0</v>
      </c>
      <c r="H108" s="1439" t="s">
        <v>5</v>
      </c>
      <c r="I108" s="1454">
        <f>WORK!K780</f>
        <v>6154.1100000000006</v>
      </c>
      <c r="J108" s="1450">
        <f>ROUND(G108*I108,0)</f>
        <v>0</v>
      </c>
      <c r="K108" s="1912"/>
      <c r="L108" s="1912"/>
      <c r="M108" s="1451" t="s">
        <v>2321</v>
      </c>
      <c r="N108" s="1446"/>
      <c r="O108" s="1452">
        <f t="shared" si="20"/>
        <v>0</v>
      </c>
    </row>
    <row r="109" spans="1:15" s="360" customFormat="1" ht="15" hidden="1">
      <c r="A109" s="356" t="s">
        <v>479</v>
      </c>
      <c r="B109" s="707" t="s">
        <v>828</v>
      </c>
      <c r="C109" s="709"/>
      <c r="D109" s="354"/>
      <c r="E109" s="10"/>
      <c r="F109" s="353"/>
      <c r="G109" s="358">
        <f>WORK!I798</f>
        <v>0</v>
      </c>
      <c r="H109" s="354" t="s">
        <v>5</v>
      </c>
      <c r="I109" s="355">
        <f>WORK!K798</f>
        <v>6869.83</v>
      </c>
      <c r="J109" s="353">
        <f>ROUND(G109*I109,0)</f>
        <v>0</v>
      </c>
      <c r="K109" s="1913"/>
      <c r="L109" s="1913"/>
      <c r="M109" s="708" t="s">
        <v>2322</v>
      </c>
      <c r="N109" s="223"/>
      <c r="O109" s="706">
        <f t="shared" si="20"/>
        <v>0</v>
      </c>
    </row>
    <row r="110" spans="1:15" s="1448" customFormat="1" ht="63.75">
      <c r="A110" s="1436" t="s">
        <v>478</v>
      </c>
      <c r="B110" s="1437" t="s">
        <v>3276</v>
      </c>
      <c r="C110" s="1438">
        <v>34.21</v>
      </c>
      <c r="D110" s="1439" t="s">
        <v>5</v>
      </c>
      <c r="E110" s="1221">
        <v>5599.73</v>
      </c>
      <c r="F110" s="1440">
        <f t="shared" ref="F110" si="25">ROUND(C110*E110,0)</f>
        <v>191567</v>
      </c>
      <c r="G110" s="1453">
        <f>WORK!I820</f>
        <v>21.8</v>
      </c>
      <c r="H110" s="1439" t="s">
        <v>5</v>
      </c>
      <c r="I110" s="1454">
        <f>WORK!K820</f>
        <v>5645.35</v>
      </c>
      <c r="J110" s="1450">
        <f t="shared" si="7"/>
        <v>123069</v>
      </c>
      <c r="K110" s="1911">
        <f>IF((J110+J111+J112+J113)&gt;(F110+F111+F112+F113),(J110+J111+J112+J113)-(F110+F111+F112+F113),0)</f>
        <v>0</v>
      </c>
      <c r="L110" s="1911">
        <f>IF((J110+J111+J112+J113)&lt;(F110+F111+F112+F113),(F110+F111+F112+F113)-(J110+J111+J112+J113),0)</f>
        <v>68498</v>
      </c>
      <c r="M110" s="1445" t="s">
        <v>2226</v>
      </c>
      <c r="N110" s="1446"/>
      <c r="O110" s="1447">
        <f t="shared" si="20"/>
        <v>68498</v>
      </c>
    </row>
    <row r="111" spans="1:15" s="1448" customFormat="1" ht="63.75" hidden="1">
      <c r="A111" s="1436" t="s">
        <v>487</v>
      </c>
      <c r="B111" s="1437" t="s">
        <v>3276</v>
      </c>
      <c r="C111" s="1449"/>
      <c r="D111" s="1439"/>
      <c r="E111" s="1221"/>
      <c r="F111" s="1450"/>
      <c r="G111" s="1441">
        <f>WORK!I833</f>
        <v>0</v>
      </c>
      <c r="H111" s="1442" t="s">
        <v>5</v>
      </c>
      <c r="I111" s="1443">
        <f>WORK!K833</f>
        <v>5808.1699999999992</v>
      </c>
      <c r="J111" s="1444">
        <f>ROUND(G111*I111,0)</f>
        <v>0</v>
      </c>
      <c r="K111" s="1912"/>
      <c r="L111" s="1912"/>
      <c r="M111" s="1451" t="s">
        <v>2308</v>
      </c>
      <c r="N111" s="1446"/>
      <c r="O111" s="1452">
        <f t="shared" si="20"/>
        <v>0</v>
      </c>
    </row>
    <row r="112" spans="1:15" s="1448" customFormat="1" ht="15" hidden="1">
      <c r="A112" s="1436" t="s">
        <v>488</v>
      </c>
      <c r="B112" s="1437" t="s">
        <v>829</v>
      </c>
      <c r="C112" s="1449"/>
      <c r="D112" s="1439"/>
      <c r="E112" s="1221"/>
      <c r="F112" s="1450"/>
      <c r="G112" s="1453">
        <f>WORK!I852</f>
        <v>0</v>
      </c>
      <c r="H112" s="1439" t="s">
        <v>5</v>
      </c>
      <c r="I112" s="1454">
        <f>WORK!K852</f>
        <v>6210.51</v>
      </c>
      <c r="J112" s="1450">
        <f>ROUND(G112*I112,0)</f>
        <v>0</v>
      </c>
      <c r="K112" s="1912"/>
      <c r="L112" s="1912"/>
      <c r="M112" s="1451" t="s">
        <v>2321</v>
      </c>
      <c r="N112" s="1446"/>
      <c r="O112" s="1452">
        <f t="shared" si="20"/>
        <v>0</v>
      </c>
    </row>
    <row r="113" spans="1:15" s="360" customFormat="1" ht="63.75" hidden="1">
      <c r="A113" s="356" t="s">
        <v>492</v>
      </c>
      <c r="B113" s="707" t="s">
        <v>3276</v>
      </c>
      <c r="C113" s="709"/>
      <c r="D113" s="354"/>
      <c r="E113" s="10"/>
      <c r="F113" s="353"/>
      <c r="G113" s="358">
        <f>WORK!I860</f>
        <v>0</v>
      </c>
      <c r="H113" s="354" t="s">
        <v>5</v>
      </c>
      <c r="I113" s="355">
        <f>WORK!K860</f>
        <v>6926.2300000000005</v>
      </c>
      <c r="J113" s="353">
        <f>ROUND(G113*I113,0)</f>
        <v>0</v>
      </c>
      <c r="K113" s="1913"/>
      <c r="L113" s="1913"/>
      <c r="M113" s="708" t="s">
        <v>2322</v>
      </c>
      <c r="N113" s="223"/>
      <c r="O113" s="706">
        <f t="shared" si="20"/>
        <v>0</v>
      </c>
    </row>
    <row r="114" spans="1:15" s="1448" customFormat="1" ht="51">
      <c r="A114" s="1436" t="s">
        <v>479</v>
      </c>
      <c r="B114" s="1437" t="s">
        <v>3277</v>
      </c>
      <c r="C114" s="1438">
        <v>8.94</v>
      </c>
      <c r="D114" s="1439" t="s">
        <v>102</v>
      </c>
      <c r="E114" s="1221">
        <v>7008.91</v>
      </c>
      <c r="F114" s="1440">
        <f>ROUND(C114*E114/10,0)</f>
        <v>6266</v>
      </c>
      <c r="G114" s="1453">
        <f>WORK!I872</f>
        <v>40.4</v>
      </c>
      <c r="H114" s="1439" t="s">
        <v>102</v>
      </c>
      <c r="I114" s="1454">
        <f>WORK!K872</f>
        <v>710.66</v>
      </c>
      <c r="J114" s="1450">
        <f t="shared" ref="J114:J122" si="26">ROUND(G114*I114/1,0)</f>
        <v>28711</v>
      </c>
      <c r="K114" s="1911">
        <f>IF((J114+J115+J116+J117)&gt;(F114+F115+F116+F117),(J114+J115+J116+J117)-(F114+F115+F116+F117),0)</f>
        <v>22445</v>
      </c>
      <c r="L114" s="1911">
        <f>IF((J114+J115+J116+J117)&lt;(F114+F115+F116+F117),(F114+F115+F116+F117)-(J114+J115+J116+J117),0)</f>
        <v>0</v>
      </c>
      <c r="M114" s="1445" t="s">
        <v>2226</v>
      </c>
      <c r="N114" s="1446"/>
      <c r="O114" s="1447">
        <f t="shared" si="20"/>
        <v>-22445</v>
      </c>
    </row>
    <row r="115" spans="1:15" s="1448" customFormat="1" ht="51" hidden="1">
      <c r="A115" s="1436" t="s">
        <v>490</v>
      </c>
      <c r="B115" s="1437" t="s">
        <v>3277</v>
      </c>
      <c r="C115" s="1449"/>
      <c r="D115" s="1439"/>
      <c r="E115" s="1221"/>
      <c r="F115" s="1450"/>
      <c r="G115" s="1441">
        <f>WORK!I885</f>
        <v>0</v>
      </c>
      <c r="H115" s="1442" t="s">
        <v>102</v>
      </c>
      <c r="I115" s="1443">
        <f>WORK!K885</f>
        <v>732.88</v>
      </c>
      <c r="J115" s="1444">
        <f>ROUND(G115*I115/1,0)</f>
        <v>0</v>
      </c>
      <c r="K115" s="1912"/>
      <c r="L115" s="1912"/>
      <c r="M115" s="1451" t="s">
        <v>2308</v>
      </c>
      <c r="N115" s="1446"/>
      <c r="O115" s="1452">
        <f t="shared" si="20"/>
        <v>0</v>
      </c>
    </row>
    <row r="116" spans="1:15" s="360" customFormat="1" ht="15" hidden="1">
      <c r="A116" s="356" t="s">
        <v>484</v>
      </c>
      <c r="B116" s="707" t="s">
        <v>2465</v>
      </c>
      <c r="C116" s="709"/>
      <c r="D116" s="354"/>
      <c r="E116" s="10"/>
      <c r="F116" s="353"/>
      <c r="G116" s="358">
        <f>WORK!I892</f>
        <v>0</v>
      </c>
      <c r="H116" s="354" t="s">
        <v>102</v>
      </c>
      <c r="I116" s="355">
        <f>WORK!K892</f>
        <v>782.58</v>
      </c>
      <c r="J116" s="353">
        <f>ROUND(G116*I116/1,0)</f>
        <v>0</v>
      </c>
      <c r="K116" s="1912"/>
      <c r="L116" s="1912"/>
      <c r="M116" s="708" t="s">
        <v>2321</v>
      </c>
      <c r="N116" s="223"/>
      <c r="O116" s="706">
        <f t="shared" si="20"/>
        <v>0</v>
      </c>
    </row>
    <row r="117" spans="1:15" s="360" customFormat="1" ht="51" hidden="1">
      <c r="A117" s="356" t="s">
        <v>494</v>
      </c>
      <c r="B117" s="707" t="s">
        <v>3277</v>
      </c>
      <c r="C117" s="709"/>
      <c r="D117" s="354"/>
      <c r="E117" s="10"/>
      <c r="F117" s="353"/>
      <c r="G117" s="358">
        <f>WORK!I908</f>
        <v>0</v>
      </c>
      <c r="H117" s="354" t="s">
        <v>102</v>
      </c>
      <c r="I117" s="355">
        <f>WORK!K908</f>
        <v>865.32</v>
      </c>
      <c r="J117" s="353">
        <f>ROUND(G117*I117/1,0)</f>
        <v>0</v>
      </c>
      <c r="K117" s="1913"/>
      <c r="L117" s="1913"/>
      <c r="M117" s="708" t="s">
        <v>2322</v>
      </c>
      <c r="N117" s="223"/>
      <c r="O117" s="706">
        <f t="shared" si="20"/>
        <v>0</v>
      </c>
    </row>
    <row r="118" spans="1:15" s="360" customFormat="1" ht="15" hidden="1">
      <c r="A118" s="356" t="s">
        <v>482</v>
      </c>
      <c r="B118" s="707" t="s">
        <v>1222</v>
      </c>
      <c r="C118" s="709"/>
      <c r="D118" s="354"/>
      <c r="E118" s="10"/>
      <c r="F118" s="353"/>
      <c r="G118" s="358">
        <f>WORK!I916</f>
        <v>0</v>
      </c>
      <c r="H118" s="354" t="s">
        <v>102</v>
      </c>
      <c r="I118" s="355">
        <f>WORK!K916</f>
        <v>5224.74</v>
      </c>
      <c r="J118" s="353">
        <f t="shared" si="26"/>
        <v>0</v>
      </c>
      <c r="K118" s="1911">
        <f>IF((J118+J119+J120+J121)&gt;(F118+F119+F120+F121),(J118+J119+J120+J121)-(F118+F119+F120+F121),0)</f>
        <v>0</v>
      </c>
      <c r="L118" s="1911">
        <f>IF((J118+J119+J120+J121)&lt;(F118+F119+F120+F121),(F118+F119+F120+F121)-(J118+J119+J120+J121),0)</f>
        <v>0</v>
      </c>
      <c r="M118" s="708" t="s">
        <v>2226</v>
      </c>
      <c r="N118" s="223"/>
      <c r="O118" s="706">
        <f t="shared" si="20"/>
        <v>0</v>
      </c>
    </row>
    <row r="119" spans="1:15" s="360" customFormat="1" ht="15" hidden="1">
      <c r="A119" s="356" t="s">
        <v>482</v>
      </c>
      <c r="B119" s="707" t="s">
        <v>1222</v>
      </c>
      <c r="C119" s="709"/>
      <c r="D119" s="354"/>
      <c r="E119" s="10"/>
      <c r="F119" s="353"/>
      <c r="G119" s="358">
        <f>WORK!I924</f>
        <v>0</v>
      </c>
      <c r="H119" s="354" t="s">
        <v>102</v>
      </c>
      <c r="I119" s="355">
        <f>WORK!K924</f>
        <v>5403.9299999999994</v>
      </c>
      <c r="J119" s="353">
        <f>ROUND(G119*I119/1,0)</f>
        <v>0</v>
      </c>
      <c r="K119" s="1912"/>
      <c r="L119" s="1912"/>
      <c r="M119" s="708" t="s">
        <v>2308</v>
      </c>
      <c r="N119" s="223"/>
      <c r="O119" s="706">
        <f t="shared" si="20"/>
        <v>0</v>
      </c>
    </row>
    <row r="120" spans="1:15" s="360" customFormat="1" ht="15" hidden="1">
      <c r="A120" s="356" t="s">
        <v>482</v>
      </c>
      <c r="B120" s="707" t="s">
        <v>1222</v>
      </c>
      <c r="C120" s="709"/>
      <c r="D120" s="354"/>
      <c r="E120" s="10"/>
      <c r="F120" s="353"/>
      <c r="G120" s="358">
        <f>WORK!I932</f>
        <v>0</v>
      </c>
      <c r="H120" s="354" t="s">
        <v>102</v>
      </c>
      <c r="I120" s="355">
        <f>WORK!K932</f>
        <v>5899.35</v>
      </c>
      <c r="J120" s="353">
        <f>ROUND(G120*I120/1,0)</f>
        <v>0</v>
      </c>
      <c r="K120" s="1912"/>
      <c r="L120" s="1912"/>
      <c r="M120" s="708" t="s">
        <v>2321</v>
      </c>
      <c r="N120" s="223"/>
      <c r="O120" s="706">
        <f t="shared" si="20"/>
        <v>0</v>
      </c>
    </row>
    <row r="121" spans="1:15" s="360" customFormat="1" ht="15" hidden="1">
      <c r="A121" s="356" t="s">
        <v>482</v>
      </c>
      <c r="B121" s="707" t="s">
        <v>1222</v>
      </c>
      <c r="C121" s="709"/>
      <c r="D121" s="354"/>
      <c r="E121" s="10"/>
      <c r="F121" s="353"/>
      <c r="G121" s="358">
        <f>WORK!I940</f>
        <v>0</v>
      </c>
      <c r="H121" s="354" t="s">
        <v>102</v>
      </c>
      <c r="I121" s="355">
        <f>WORK!K940</f>
        <v>6281.3700000000008</v>
      </c>
      <c r="J121" s="353">
        <f>ROUND(G121*I121/1,0)</f>
        <v>0</v>
      </c>
      <c r="K121" s="1913"/>
      <c r="L121" s="1913"/>
      <c r="M121" s="708" t="s">
        <v>2322</v>
      </c>
      <c r="N121" s="223"/>
      <c r="O121" s="706">
        <f t="shared" si="20"/>
        <v>0</v>
      </c>
    </row>
    <row r="122" spans="1:15" s="1448" customFormat="1" ht="38.25">
      <c r="A122" s="1436" t="s">
        <v>2476</v>
      </c>
      <c r="B122" s="1437" t="s">
        <v>3376</v>
      </c>
      <c r="C122" s="1462"/>
      <c r="D122" s="1439"/>
      <c r="E122" s="1217"/>
      <c r="F122" s="1450"/>
      <c r="G122" s="1453">
        <f>WORK!I947</f>
        <v>19.310000000000002</v>
      </c>
      <c r="H122" s="1439" t="s">
        <v>102</v>
      </c>
      <c r="I122" s="1454">
        <f>WORK!K947</f>
        <v>1815.79</v>
      </c>
      <c r="J122" s="1450">
        <f t="shared" si="26"/>
        <v>35063</v>
      </c>
      <c r="K122" s="1911">
        <f>IF((J122+J123+J124+J125)&gt;(F122+F123+F124+F125),(J122+J123+J124+J125)-(F122+F123+F124+F125),0)</f>
        <v>35063</v>
      </c>
      <c r="L122" s="1911">
        <f>IF((J122+J123+J124+J125)&lt;(F122+F123+F124+F125),(F122+F123+F124+F125)-(J122+J123+J124+J125),0)</f>
        <v>0</v>
      </c>
      <c r="M122" s="1451" t="s">
        <v>2226</v>
      </c>
      <c r="N122" s="1446"/>
      <c r="O122" s="1452">
        <f t="shared" si="20"/>
        <v>-35063</v>
      </c>
    </row>
    <row r="123" spans="1:15" s="360" customFormat="1" ht="15" hidden="1">
      <c r="A123" s="356" t="s">
        <v>493</v>
      </c>
      <c r="B123" s="707" t="s">
        <v>1215</v>
      </c>
      <c r="C123" s="711"/>
      <c r="D123" s="354"/>
      <c r="E123" s="660"/>
      <c r="F123" s="353"/>
      <c r="G123" s="1147">
        <f>WORK!I952</f>
        <v>0</v>
      </c>
      <c r="H123" s="1314" t="s">
        <v>102</v>
      </c>
      <c r="I123" s="910">
        <f>WORK!K952</f>
        <v>1966.77</v>
      </c>
      <c r="J123" s="1315">
        <f>ROUND(G123*I123/1,0)</f>
        <v>0</v>
      </c>
      <c r="K123" s="1912"/>
      <c r="L123" s="1912"/>
      <c r="M123" s="708" t="s">
        <v>2308</v>
      </c>
      <c r="N123" s="223"/>
      <c r="O123" s="706">
        <f t="shared" si="20"/>
        <v>0</v>
      </c>
    </row>
    <row r="124" spans="1:15" s="1448" customFormat="1" ht="15" hidden="1">
      <c r="A124" s="1436" t="s">
        <v>491</v>
      </c>
      <c r="B124" s="1437" t="s">
        <v>1215</v>
      </c>
      <c r="C124" s="1462"/>
      <c r="D124" s="1439"/>
      <c r="E124" s="1217"/>
      <c r="F124" s="1450"/>
      <c r="G124" s="1453">
        <f>WORK!I958</f>
        <v>0</v>
      </c>
      <c r="H124" s="1439" t="s">
        <v>102</v>
      </c>
      <c r="I124" s="1454">
        <f>WORK!K958</f>
        <v>2093.16</v>
      </c>
      <c r="J124" s="1450">
        <f>ROUND(G124*I124/1,0)</f>
        <v>0</v>
      </c>
      <c r="K124" s="1912"/>
      <c r="L124" s="1912"/>
      <c r="M124" s="1451" t="s">
        <v>2321</v>
      </c>
      <c r="N124" s="1446"/>
      <c r="O124" s="1452">
        <f t="shared" si="20"/>
        <v>0</v>
      </c>
    </row>
    <row r="125" spans="1:15" s="360" customFormat="1" ht="51" hidden="1">
      <c r="A125" s="356" t="s">
        <v>1517</v>
      </c>
      <c r="B125" s="707" t="s">
        <v>3402</v>
      </c>
      <c r="C125" s="711"/>
      <c r="D125" s="354"/>
      <c r="E125" s="660"/>
      <c r="F125" s="353"/>
      <c r="G125" s="358">
        <f>WORK!I964</f>
        <v>0</v>
      </c>
      <c r="H125" s="354" t="s">
        <v>102</v>
      </c>
      <c r="I125" s="355">
        <f>WORK!K964</f>
        <v>2232.9699999999998</v>
      </c>
      <c r="J125" s="353">
        <f>ROUND(G125*I125/1,0)</f>
        <v>0</v>
      </c>
      <c r="K125" s="1913"/>
      <c r="L125" s="1913"/>
      <c r="M125" s="708" t="s">
        <v>2322</v>
      </c>
      <c r="N125" s="223"/>
      <c r="O125" s="706">
        <f t="shared" si="20"/>
        <v>0</v>
      </c>
    </row>
    <row r="126" spans="1:15" s="1448" customFormat="1" ht="63.75">
      <c r="A126" s="1436" t="s">
        <v>480</v>
      </c>
      <c r="B126" s="1437" t="s">
        <v>3278</v>
      </c>
      <c r="C126" s="1449">
        <v>109.12</v>
      </c>
      <c r="D126" s="1439" t="s">
        <v>102</v>
      </c>
      <c r="E126" s="1221">
        <v>257.77999999999997</v>
      </c>
      <c r="F126" s="1440">
        <f t="shared" ref="F126" si="27">ROUND(C126*E126,0)</f>
        <v>28129</v>
      </c>
      <c r="G126" s="1453">
        <f>WORK!I980</f>
        <v>135.33999999999997</v>
      </c>
      <c r="H126" s="1439" t="s">
        <v>102</v>
      </c>
      <c r="I126" s="1454">
        <f>WORK!K980</f>
        <v>264.94</v>
      </c>
      <c r="J126" s="1450">
        <f t="shared" ref="J126:J166" si="28">ROUND(G126*I126,0)</f>
        <v>35857</v>
      </c>
      <c r="K126" s="1911">
        <f>IF((J126+J127+J128+J129)&gt;(F126+F127+F128+F129),(J126+J127+J128+J129)-(F126+F127+F128+F129),0)</f>
        <v>7728</v>
      </c>
      <c r="L126" s="1911">
        <f>IF((J126+J127+J128+J129)&lt;(F126+F127+F128+F129),(F126+F127+F128+F129)-(J126+J127+J128+J129),0)</f>
        <v>0</v>
      </c>
      <c r="M126" s="1445" t="s">
        <v>2226</v>
      </c>
      <c r="N126" s="1446"/>
      <c r="O126" s="1447">
        <f t="shared" si="20"/>
        <v>-7728</v>
      </c>
    </row>
    <row r="127" spans="1:15" s="1448" customFormat="1" ht="63.75" hidden="1">
      <c r="A127" s="1436" t="s">
        <v>492</v>
      </c>
      <c r="B127" s="1437" t="s">
        <v>3278</v>
      </c>
      <c r="C127" s="1449"/>
      <c r="D127" s="1439"/>
      <c r="E127" s="1221"/>
      <c r="F127" s="1450"/>
      <c r="G127" s="1441">
        <f>WORK!I996</f>
        <v>0</v>
      </c>
      <c r="H127" s="1442" t="s">
        <v>102</v>
      </c>
      <c r="I127" s="1443">
        <f>WORK!K996</f>
        <v>284</v>
      </c>
      <c r="J127" s="1444">
        <f>ROUND(G127*I127,0)</f>
        <v>0</v>
      </c>
      <c r="K127" s="1912"/>
      <c r="L127" s="1912"/>
      <c r="M127" s="1451" t="s">
        <v>2308</v>
      </c>
      <c r="N127" s="1446"/>
      <c r="O127" s="1452">
        <f t="shared" si="20"/>
        <v>0</v>
      </c>
    </row>
    <row r="128" spans="1:15" s="1448" customFormat="1" ht="15" hidden="1">
      <c r="A128" s="1436" t="s">
        <v>492</v>
      </c>
      <c r="B128" s="1437" t="s">
        <v>481</v>
      </c>
      <c r="C128" s="1449"/>
      <c r="D128" s="1439"/>
      <c r="E128" s="1221"/>
      <c r="F128" s="1450"/>
      <c r="G128" s="1453">
        <f>WORK!I1009</f>
        <v>0</v>
      </c>
      <c r="H128" s="1439" t="s">
        <v>102</v>
      </c>
      <c r="I128" s="1454">
        <f>WORK!K1009</f>
        <v>300.93</v>
      </c>
      <c r="J128" s="1450">
        <f>ROUND(G128*I128,0)</f>
        <v>0</v>
      </c>
      <c r="K128" s="1912"/>
      <c r="L128" s="1912"/>
      <c r="M128" s="1451" t="s">
        <v>2321</v>
      </c>
      <c r="N128" s="1446"/>
      <c r="O128" s="1452">
        <f t="shared" si="20"/>
        <v>0</v>
      </c>
    </row>
    <row r="129" spans="1:15" s="360" customFormat="1" ht="63.75" hidden="1">
      <c r="A129" s="356" t="s">
        <v>1517</v>
      </c>
      <c r="B129" s="707" t="s">
        <v>3278</v>
      </c>
      <c r="C129" s="709"/>
      <c r="D129" s="354"/>
      <c r="E129" s="10"/>
      <c r="F129" s="353"/>
      <c r="G129" s="358">
        <f>WORK!I1026</f>
        <v>0</v>
      </c>
      <c r="H129" s="354" t="s">
        <v>102</v>
      </c>
      <c r="I129" s="355">
        <f>WORK!K1026</f>
        <v>318.2</v>
      </c>
      <c r="J129" s="353">
        <f>ROUND(G129*I129,0)</f>
        <v>0</v>
      </c>
      <c r="K129" s="1913"/>
      <c r="L129" s="1913"/>
      <c r="M129" s="708" t="s">
        <v>2322</v>
      </c>
      <c r="N129" s="223"/>
      <c r="O129" s="706">
        <f t="shared" si="20"/>
        <v>0</v>
      </c>
    </row>
    <row r="130" spans="1:15" s="360" customFormat="1" ht="15" hidden="1">
      <c r="A130" s="356" t="s">
        <v>483</v>
      </c>
      <c r="B130" s="707" t="s">
        <v>505</v>
      </c>
      <c r="C130" s="710"/>
      <c r="D130" s="354"/>
      <c r="E130" s="362"/>
      <c r="F130" s="353"/>
      <c r="G130" s="358">
        <f>WORK!I1033</f>
        <v>0</v>
      </c>
      <c r="H130" s="354" t="s">
        <v>102</v>
      </c>
      <c r="I130" s="355">
        <f>WORK!K1033</f>
        <v>242.02</v>
      </c>
      <c r="J130" s="353">
        <f t="shared" si="28"/>
        <v>0</v>
      </c>
      <c r="K130" s="1911">
        <f>IF((J130+J131+J132+J133)&gt;(F130+F131+F132+F133),(J130+J131+J132+J133)-(F130+F131+F132+F133),0)</f>
        <v>0</v>
      </c>
      <c r="L130" s="1911">
        <f>IF((J130+J131+J132+J133)&lt;(F130+F131+F132+F133),(F130+F131+F132+F133)-(J130+J131+J132+J133),0)</f>
        <v>0</v>
      </c>
      <c r="M130" s="708" t="s">
        <v>2226</v>
      </c>
      <c r="N130" s="223"/>
      <c r="O130" s="706">
        <f t="shared" si="20"/>
        <v>0</v>
      </c>
    </row>
    <row r="131" spans="1:15" s="360" customFormat="1" ht="15" hidden="1">
      <c r="A131" s="356" t="s">
        <v>483</v>
      </c>
      <c r="B131" s="707" t="s">
        <v>505</v>
      </c>
      <c r="C131" s="710"/>
      <c r="D131" s="354"/>
      <c r="E131" s="362"/>
      <c r="F131" s="353"/>
      <c r="G131" s="358">
        <f>WORK!I1040</f>
        <v>0</v>
      </c>
      <c r="H131" s="354" t="s">
        <v>102</v>
      </c>
      <c r="I131" s="355">
        <f>WORK!K1040</f>
        <v>261.07</v>
      </c>
      <c r="J131" s="353">
        <f>ROUND(G131*I131,0)</f>
        <v>0</v>
      </c>
      <c r="K131" s="1912"/>
      <c r="L131" s="1912"/>
      <c r="M131" s="708" t="s">
        <v>2308</v>
      </c>
      <c r="N131" s="223"/>
      <c r="O131" s="706">
        <f t="shared" si="20"/>
        <v>0</v>
      </c>
    </row>
    <row r="132" spans="1:15" s="360" customFormat="1" ht="15" hidden="1">
      <c r="A132" s="356" t="s">
        <v>483</v>
      </c>
      <c r="B132" s="707" t="s">
        <v>505</v>
      </c>
      <c r="C132" s="710"/>
      <c r="D132" s="354"/>
      <c r="E132" s="362"/>
      <c r="F132" s="353"/>
      <c r="G132" s="358">
        <f>WORK!I1047</f>
        <v>0</v>
      </c>
      <c r="H132" s="354" t="s">
        <v>102</v>
      </c>
      <c r="I132" s="355">
        <f>WORK!K1047</f>
        <v>277.43</v>
      </c>
      <c r="J132" s="353">
        <f>ROUND(G132*I132,0)</f>
        <v>0</v>
      </c>
      <c r="K132" s="1912"/>
      <c r="L132" s="1912"/>
      <c r="M132" s="708" t="s">
        <v>2321</v>
      </c>
      <c r="N132" s="223"/>
      <c r="O132" s="706">
        <f t="shared" si="20"/>
        <v>0</v>
      </c>
    </row>
    <row r="133" spans="1:15" s="360" customFormat="1" ht="15" hidden="1">
      <c r="A133" s="356" t="s">
        <v>483</v>
      </c>
      <c r="B133" s="707" t="s">
        <v>505</v>
      </c>
      <c r="C133" s="710"/>
      <c r="D133" s="354"/>
      <c r="E133" s="362"/>
      <c r="F133" s="353"/>
      <c r="G133" s="358">
        <f>WORK!I1054</f>
        <v>0</v>
      </c>
      <c r="H133" s="354" t="s">
        <v>102</v>
      </c>
      <c r="I133" s="355">
        <f>WORK!K1054</f>
        <v>294.70999999999998</v>
      </c>
      <c r="J133" s="353">
        <f>ROUND(G133*I133,0)</f>
        <v>0</v>
      </c>
      <c r="K133" s="1913"/>
      <c r="L133" s="1913"/>
      <c r="M133" s="708" t="s">
        <v>2322</v>
      </c>
      <c r="N133" s="223"/>
      <c r="O133" s="706">
        <f t="shared" si="20"/>
        <v>0</v>
      </c>
    </row>
    <row r="134" spans="1:15" s="360" customFormat="1" ht="63.75" hidden="1">
      <c r="A134" s="356" t="s">
        <v>482</v>
      </c>
      <c r="B134" s="707" t="s">
        <v>3279</v>
      </c>
      <c r="C134" s="633"/>
      <c r="D134" s="354"/>
      <c r="E134" s="362"/>
      <c r="F134" s="353"/>
      <c r="G134" s="358">
        <f>WORK!I1059</f>
        <v>0</v>
      </c>
      <c r="H134" s="354" t="s">
        <v>102</v>
      </c>
      <c r="I134" s="355">
        <f>WORK!K1059</f>
        <v>259.87</v>
      </c>
      <c r="J134" s="353">
        <f t="shared" si="28"/>
        <v>0</v>
      </c>
      <c r="K134" s="1911">
        <f>IF((J134+J135+J136+J137)&gt;(F134+F135+F136+F137),(J134+J135+J136+J137)-(F134+F135+F136+F137),0)</f>
        <v>0</v>
      </c>
      <c r="L134" s="1911">
        <f>IF((J134+J135+J136+J137)&lt;(F134+F135+F136+F137),(F134+F135+F136+F137)-(J134+J135+J136+J137),0)</f>
        <v>0</v>
      </c>
      <c r="M134" s="1139" t="s">
        <v>2226</v>
      </c>
      <c r="N134" s="223"/>
      <c r="O134" s="1138">
        <f t="shared" si="20"/>
        <v>0</v>
      </c>
    </row>
    <row r="135" spans="1:15" s="360" customFormat="1" ht="15" hidden="1">
      <c r="A135" s="356" t="s">
        <v>484</v>
      </c>
      <c r="B135" s="707" t="s">
        <v>631</v>
      </c>
      <c r="C135" s="633"/>
      <c r="D135" s="354"/>
      <c r="E135" s="362"/>
      <c r="F135" s="353"/>
      <c r="G135" s="358">
        <f>WORK!I1066</f>
        <v>0</v>
      </c>
      <c r="H135" s="354" t="s">
        <v>102</v>
      </c>
      <c r="I135" s="355">
        <f>WORK!K1066</f>
        <v>279.49</v>
      </c>
      <c r="J135" s="353">
        <f>ROUND(G135*I135,0)</f>
        <v>0</v>
      </c>
      <c r="K135" s="1912"/>
      <c r="L135" s="1912"/>
      <c r="M135" s="708" t="s">
        <v>2308</v>
      </c>
      <c r="N135" s="223"/>
      <c r="O135" s="706">
        <f t="shared" si="20"/>
        <v>0</v>
      </c>
    </row>
    <row r="136" spans="1:15" s="360" customFormat="1" ht="15" hidden="1">
      <c r="A136" s="356" t="s">
        <v>484</v>
      </c>
      <c r="B136" s="707" t="s">
        <v>631</v>
      </c>
      <c r="C136" s="633"/>
      <c r="D136" s="354"/>
      <c r="E136" s="362"/>
      <c r="F136" s="353"/>
      <c r="G136" s="358">
        <f>WORK!I1073</f>
        <v>0</v>
      </c>
      <c r="H136" s="354" t="s">
        <v>102</v>
      </c>
      <c r="I136" s="355">
        <f>WORK!K1073</f>
        <v>297.13</v>
      </c>
      <c r="J136" s="353">
        <f>ROUND(G136*I136,0)</f>
        <v>0</v>
      </c>
      <c r="K136" s="1912"/>
      <c r="L136" s="1912"/>
      <c r="M136" s="708" t="s">
        <v>2321</v>
      </c>
      <c r="N136" s="223"/>
      <c r="O136" s="706">
        <f t="shared" si="20"/>
        <v>0</v>
      </c>
    </row>
    <row r="137" spans="1:15" s="360" customFormat="1" ht="15" hidden="1">
      <c r="A137" s="356" t="s">
        <v>484</v>
      </c>
      <c r="B137" s="707" t="s">
        <v>631</v>
      </c>
      <c r="C137" s="633"/>
      <c r="D137" s="354"/>
      <c r="E137" s="362"/>
      <c r="F137" s="353"/>
      <c r="G137" s="358">
        <f>WORK!I1078</f>
        <v>0</v>
      </c>
      <c r="H137" s="354" t="s">
        <v>102</v>
      </c>
      <c r="I137" s="355">
        <f>WORK!K1078</f>
        <v>314.89999999999998</v>
      </c>
      <c r="J137" s="353">
        <f>ROUND(G137*I137,0)</f>
        <v>0</v>
      </c>
      <c r="K137" s="1913"/>
      <c r="L137" s="1913"/>
      <c r="M137" s="708" t="s">
        <v>2322</v>
      </c>
      <c r="N137" s="223"/>
      <c r="O137" s="706">
        <f t="shared" si="20"/>
        <v>0</v>
      </c>
    </row>
    <row r="138" spans="1:15" s="1448" customFormat="1" ht="51">
      <c r="A138" s="1436" t="s">
        <v>482</v>
      </c>
      <c r="B138" s="1437" t="s">
        <v>3280</v>
      </c>
      <c r="C138" s="1438">
        <v>232.15</v>
      </c>
      <c r="D138" s="1439" t="s">
        <v>102</v>
      </c>
      <c r="E138" s="1221">
        <v>238.44</v>
      </c>
      <c r="F138" s="1440">
        <f t="shared" ref="F138" si="29">ROUND(C138*E138,0)</f>
        <v>55354</v>
      </c>
      <c r="G138" s="1453">
        <f>WORK!I1100</f>
        <v>216.86</v>
      </c>
      <c r="H138" s="1439" t="s">
        <v>102</v>
      </c>
      <c r="I138" s="1454">
        <f>WORK!K1100</f>
        <v>317.8</v>
      </c>
      <c r="J138" s="1450">
        <f t="shared" si="28"/>
        <v>68918</v>
      </c>
      <c r="K138" s="1911">
        <f>IF((J138+J139+J140+J141)&gt;(F138+F139+F140+F141),(J138+J139+J140+J141)-(F138+F139+F140+F141),0)</f>
        <v>13564</v>
      </c>
      <c r="L138" s="1911">
        <f>IF((J138+J139+J140+J141)&lt;(F138+F139+F140+F141),(F138+F139+F140+F141)-(J138+J139+J140+J141),0)</f>
        <v>0</v>
      </c>
      <c r="M138" s="1445" t="s">
        <v>2226</v>
      </c>
      <c r="N138" s="1446"/>
      <c r="O138" s="1447">
        <f t="shared" si="20"/>
        <v>-13564</v>
      </c>
    </row>
    <row r="139" spans="1:15" s="1448" customFormat="1" ht="51" hidden="1">
      <c r="A139" s="1436" t="s">
        <v>494</v>
      </c>
      <c r="B139" s="1437" t="s">
        <v>3280</v>
      </c>
      <c r="C139" s="1449"/>
      <c r="D139" s="1439"/>
      <c r="E139" s="1221"/>
      <c r="F139" s="1450"/>
      <c r="G139" s="1441">
        <f>WORK!I1118</f>
        <v>0</v>
      </c>
      <c r="H139" s="1442" t="s">
        <v>102</v>
      </c>
      <c r="I139" s="1443">
        <f>WORK!K1118</f>
        <v>343.65</v>
      </c>
      <c r="J139" s="1444">
        <f>ROUND(G139*I139,0)</f>
        <v>0</v>
      </c>
      <c r="K139" s="1912"/>
      <c r="L139" s="1912"/>
      <c r="M139" s="1451" t="s">
        <v>2308</v>
      </c>
      <c r="N139" s="1446"/>
      <c r="O139" s="1452">
        <f t="shared" ref="O139:O202" si="30">F139-J139</f>
        <v>0</v>
      </c>
    </row>
    <row r="140" spans="1:15" s="1448" customFormat="1" ht="15" hidden="1">
      <c r="A140" s="1436" t="s">
        <v>494</v>
      </c>
      <c r="B140" s="1437" t="s">
        <v>830</v>
      </c>
      <c r="C140" s="1449"/>
      <c r="D140" s="1439"/>
      <c r="E140" s="1221"/>
      <c r="F140" s="1450"/>
      <c r="G140" s="1453">
        <f>WORK!I1145</f>
        <v>0</v>
      </c>
      <c r="H140" s="1439" t="s">
        <v>102</v>
      </c>
      <c r="I140" s="1454">
        <f>WORK!K1145</f>
        <v>364.75</v>
      </c>
      <c r="J140" s="1450">
        <f>ROUND(G140*I140,0)</f>
        <v>0</v>
      </c>
      <c r="K140" s="1912"/>
      <c r="L140" s="1912"/>
      <c r="M140" s="1451" t="s">
        <v>2321</v>
      </c>
      <c r="N140" s="1446"/>
      <c r="O140" s="1452">
        <f t="shared" si="30"/>
        <v>0</v>
      </c>
    </row>
    <row r="141" spans="1:15" s="360" customFormat="1" ht="51" hidden="1">
      <c r="A141" s="356" t="s">
        <v>1520</v>
      </c>
      <c r="B141" s="707" t="s">
        <v>3280</v>
      </c>
      <c r="C141" s="709"/>
      <c r="D141" s="354"/>
      <c r="E141" s="10"/>
      <c r="F141" s="353"/>
      <c r="G141" s="358">
        <f>WORK!I1155</f>
        <v>0</v>
      </c>
      <c r="H141" s="354" t="s">
        <v>102</v>
      </c>
      <c r="I141" s="355">
        <f>WORK!K1155</f>
        <v>388.21</v>
      </c>
      <c r="J141" s="353">
        <f>ROUND(G141*I141,0)</f>
        <v>0</v>
      </c>
      <c r="K141" s="1913"/>
      <c r="L141" s="1913"/>
      <c r="M141" s="708" t="s">
        <v>2322</v>
      </c>
      <c r="N141" s="223"/>
      <c r="O141" s="706">
        <f t="shared" si="30"/>
        <v>0</v>
      </c>
    </row>
    <row r="142" spans="1:15" s="1448" customFormat="1" ht="51">
      <c r="A142" s="1436" t="s">
        <v>483</v>
      </c>
      <c r="B142" s="1437" t="s">
        <v>3281</v>
      </c>
      <c r="C142" s="1438">
        <v>273.8</v>
      </c>
      <c r="D142" s="1439" t="s">
        <v>102</v>
      </c>
      <c r="E142" s="1221">
        <v>251.17</v>
      </c>
      <c r="F142" s="1440">
        <f t="shared" ref="F142" si="31">ROUND(C142*E142,0)</f>
        <v>68770</v>
      </c>
      <c r="G142" s="1453">
        <f>WORK!I1167</f>
        <v>134.19000000000003</v>
      </c>
      <c r="H142" s="1439" t="s">
        <v>102</v>
      </c>
      <c r="I142" s="1454">
        <f>WORK!K1167</f>
        <v>331.15</v>
      </c>
      <c r="J142" s="1450">
        <f t="shared" si="28"/>
        <v>44437</v>
      </c>
      <c r="K142" s="1911">
        <f>IF((J142+J143+J144+J145)&gt;(F142+F143+F144+F145),(J142+J143+J144+J145)-(F142+F143+F144+F145),0)</f>
        <v>0</v>
      </c>
      <c r="L142" s="1911">
        <f>IF((J142+J143+J144+J145)&lt;(F142+F143+F144+F145),(F142+F143+F144+F145)-(J142+J143+J144+J145),0)</f>
        <v>24333</v>
      </c>
      <c r="M142" s="1445" t="s">
        <v>2226</v>
      </c>
      <c r="N142" s="1446"/>
      <c r="O142" s="1447">
        <f t="shared" si="30"/>
        <v>24333</v>
      </c>
    </row>
    <row r="143" spans="1:15" s="1448" customFormat="1" ht="51" hidden="1">
      <c r="A143" s="1436" t="s">
        <v>1517</v>
      </c>
      <c r="B143" s="1437" t="s">
        <v>3281</v>
      </c>
      <c r="C143" s="1449"/>
      <c r="D143" s="1439"/>
      <c r="E143" s="1221"/>
      <c r="F143" s="1450"/>
      <c r="G143" s="1441">
        <f>WORK!I1177</f>
        <v>0</v>
      </c>
      <c r="H143" s="1442" t="s">
        <v>102</v>
      </c>
      <c r="I143" s="1443">
        <f>WORK!K1177</f>
        <v>357.58</v>
      </c>
      <c r="J143" s="1444">
        <f>ROUND(G143*I143,0)</f>
        <v>0</v>
      </c>
      <c r="K143" s="1912"/>
      <c r="L143" s="1912"/>
      <c r="M143" s="1451" t="s">
        <v>2308</v>
      </c>
      <c r="N143" s="1446"/>
      <c r="O143" s="1452">
        <f t="shared" si="30"/>
        <v>0</v>
      </c>
    </row>
    <row r="144" spans="1:15" s="1448" customFormat="1" ht="15" hidden="1">
      <c r="A144" s="1436" t="s">
        <v>1517</v>
      </c>
      <c r="B144" s="1437" t="s">
        <v>541</v>
      </c>
      <c r="C144" s="1449"/>
      <c r="D144" s="1439"/>
      <c r="E144" s="1221"/>
      <c r="F144" s="1450"/>
      <c r="G144" s="1453">
        <f>WORK!I1186</f>
        <v>0</v>
      </c>
      <c r="H144" s="1439" t="s">
        <v>102</v>
      </c>
      <c r="I144" s="1454">
        <f>WORK!K1186</f>
        <v>380.06</v>
      </c>
      <c r="J144" s="1450">
        <f>ROUND(G144*I144,0)</f>
        <v>0</v>
      </c>
      <c r="K144" s="1912"/>
      <c r="L144" s="1912"/>
      <c r="M144" s="1451" t="s">
        <v>2321</v>
      </c>
      <c r="N144" s="1446"/>
      <c r="O144" s="1452">
        <f t="shared" si="30"/>
        <v>0</v>
      </c>
    </row>
    <row r="145" spans="1:15" s="360" customFormat="1" ht="51" hidden="1">
      <c r="A145" s="356" t="s">
        <v>497</v>
      </c>
      <c r="B145" s="707" t="s">
        <v>3281</v>
      </c>
      <c r="C145" s="709"/>
      <c r="D145" s="354"/>
      <c r="E145" s="10"/>
      <c r="F145" s="353"/>
      <c r="G145" s="358">
        <f>WORK!I1201</f>
        <v>0</v>
      </c>
      <c r="H145" s="354" t="s">
        <v>102</v>
      </c>
      <c r="I145" s="355">
        <f>WORK!K1201</f>
        <v>404.02</v>
      </c>
      <c r="J145" s="353">
        <f>ROUND(G145*I145,0)</f>
        <v>0</v>
      </c>
      <c r="K145" s="1913"/>
      <c r="L145" s="1913"/>
      <c r="M145" s="1139" t="s">
        <v>2322</v>
      </c>
      <c r="N145" s="223"/>
      <c r="O145" s="1138">
        <f t="shared" si="30"/>
        <v>0</v>
      </c>
    </row>
    <row r="146" spans="1:15" s="1448" customFormat="1" ht="63.75">
      <c r="A146" s="1436" t="s">
        <v>484</v>
      </c>
      <c r="B146" s="1437" t="s">
        <v>3282</v>
      </c>
      <c r="C146" s="1438">
        <v>103.46</v>
      </c>
      <c r="D146" s="1439" t="s">
        <v>102</v>
      </c>
      <c r="E146" s="1221">
        <v>975.47</v>
      </c>
      <c r="F146" s="1440">
        <f t="shared" ref="F146" si="32">ROUND(C146*E146,0)</f>
        <v>100922</v>
      </c>
      <c r="G146" s="1457">
        <f>WORK!I1232</f>
        <v>0</v>
      </c>
      <c r="H146" s="1458" t="s">
        <v>102</v>
      </c>
      <c r="I146" s="1459">
        <f>WORK!K1232</f>
        <v>991.04</v>
      </c>
      <c r="J146" s="1450">
        <f t="shared" si="28"/>
        <v>0</v>
      </c>
      <c r="K146" s="1911">
        <f>IF((J146+J147+J148+J149)&gt;(F146+F147+F148+F149),(J146+J147+J148+J149)-(F146+F147+F148+F149),0)</f>
        <v>0</v>
      </c>
      <c r="L146" s="1911">
        <f>IF((J146+J147+J148+J149)&lt;(F146+F147+F148+F149),(F146+F147+F148+F149)-(J146+J147+J148+J149),0)</f>
        <v>100922</v>
      </c>
      <c r="M146" s="1445" t="s">
        <v>2226</v>
      </c>
      <c r="N146" s="1446"/>
      <c r="O146" s="1447">
        <f t="shared" si="30"/>
        <v>100922</v>
      </c>
    </row>
    <row r="147" spans="1:15" s="360" customFormat="1" ht="15" hidden="1">
      <c r="A147" s="356" t="s">
        <v>1516</v>
      </c>
      <c r="B147" s="707" t="s">
        <v>507</v>
      </c>
      <c r="C147" s="709"/>
      <c r="D147" s="354"/>
      <c r="E147" s="10"/>
      <c r="F147" s="353"/>
      <c r="G147" s="358">
        <f>WORK!I1242</f>
        <v>0</v>
      </c>
      <c r="H147" s="354" t="s">
        <v>102</v>
      </c>
      <c r="I147" s="355">
        <f>WORK!K1242</f>
        <v>1019.43</v>
      </c>
      <c r="J147" s="353">
        <f>ROUND(G147*I147,0)</f>
        <v>0</v>
      </c>
      <c r="K147" s="1912"/>
      <c r="L147" s="1912"/>
      <c r="M147" s="708" t="s">
        <v>2308</v>
      </c>
      <c r="N147" s="223"/>
      <c r="O147" s="706">
        <f t="shared" si="30"/>
        <v>0</v>
      </c>
    </row>
    <row r="148" spans="1:15" s="1448" customFormat="1" ht="15" hidden="1">
      <c r="A148" s="1436" t="s">
        <v>1519</v>
      </c>
      <c r="B148" s="1437" t="s">
        <v>507</v>
      </c>
      <c r="C148" s="1449"/>
      <c r="D148" s="1439"/>
      <c r="E148" s="1221"/>
      <c r="F148" s="1450"/>
      <c r="G148" s="1453">
        <f>WORK!I1250</f>
        <v>0</v>
      </c>
      <c r="H148" s="1439" t="s">
        <v>102</v>
      </c>
      <c r="I148" s="1454">
        <f>WORK!K1250</f>
        <v>1041.26</v>
      </c>
      <c r="J148" s="1450">
        <f>ROUND(G148*I148,0)</f>
        <v>0</v>
      </c>
      <c r="K148" s="1912"/>
      <c r="L148" s="1912"/>
      <c r="M148" s="1451" t="s">
        <v>2321</v>
      </c>
      <c r="N148" s="1446"/>
      <c r="O148" s="1452">
        <f t="shared" si="30"/>
        <v>0</v>
      </c>
    </row>
    <row r="149" spans="1:15" s="360" customFormat="1" ht="63.75" hidden="1">
      <c r="A149" s="356" t="s">
        <v>499</v>
      </c>
      <c r="B149" s="707" t="s">
        <v>3282</v>
      </c>
      <c r="C149" s="709"/>
      <c r="D149" s="354"/>
      <c r="E149" s="10"/>
      <c r="F149" s="353"/>
      <c r="G149" s="358">
        <f>WORK!I1259</f>
        <v>0</v>
      </c>
      <c r="H149" s="354" t="s">
        <v>102</v>
      </c>
      <c r="I149" s="355">
        <f>WORK!K1259</f>
        <v>1067.3599999999999</v>
      </c>
      <c r="J149" s="353">
        <f>ROUND(G149*I149,0)</f>
        <v>0</v>
      </c>
      <c r="K149" s="1913"/>
      <c r="L149" s="1913"/>
      <c r="M149" s="708" t="s">
        <v>2322</v>
      </c>
      <c r="N149" s="223"/>
      <c r="O149" s="706">
        <f t="shared" si="30"/>
        <v>0</v>
      </c>
    </row>
    <row r="150" spans="1:15" s="1448" customFormat="1" ht="63.75">
      <c r="A150" s="1436" t="s">
        <v>485</v>
      </c>
      <c r="B150" s="1437" t="s">
        <v>3283</v>
      </c>
      <c r="C150" s="1449">
        <v>6.82</v>
      </c>
      <c r="D150" s="1439" t="s">
        <v>102</v>
      </c>
      <c r="E150" s="1221">
        <v>980.55</v>
      </c>
      <c r="F150" s="1440">
        <f t="shared" ref="F150" si="33">ROUND(C150*E150,0)</f>
        <v>6687</v>
      </c>
      <c r="G150" s="1457">
        <f>WORK!I1266</f>
        <v>0</v>
      </c>
      <c r="H150" s="1458" t="s">
        <v>102</v>
      </c>
      <c r="I150" s="1459">
        <f>WORK!K1266</f>
        <v>986.97</v>
      </c>
      <c r="J150" s="1450">
        <f t="shared" si="28"/>
        <v>0</v>
      </c>
      <c r="K150" s="1911">
        <f>IF((J150+J151+J152+J153)&gt;(F150+F151+F152+F153),(J150+J151+J152+J153)-(F150+F151+F152+F153),0)</f>
        <v>0</v>
      </c>
      <c r="L150" s="1911">
        <f>IF((J150+J151+J152+J153)&lt;(F150+F151+F152+F153),(F150+F151+F152+F153)-(J150+J151+J152+J153),0)</f>
        <v>6687</v>
      </c>
      <c r="M150" s="1445" t="s">
        <v>2226</v>
      </c>
      <c r="N150" s="1446"/>
      <c r="O150" s="1447">
        <f t="shared" si="30"/>
        <v>6687</v>
      </c>
    </row>
    <row r="151" spans="1:15" s="360" customFormat="1" ht="15" hidden="1">
      <c r="A151" s="356" t="s">
        <v>493</v>
      </c>
      <c r="B151" s="707" t="s">
        <v>1482</v>
      </c>
      <c r="C151" s="709"/>
      <c r="D151" s="354"/>
      <c r="E151" s="10"/>
      <c r="F151" s="353"/>
      <c r="G151" s="358">
        <f>WORK!I1278</f>
        <v>0</v>
      </c>
      <c r="H151" s="354" t="s">
        <v>102</v>
      </c>
      <c r="I151" s="355">
        <f>WORK!K1278</f>
        <v>1015.1</v>
      </c>
      <c r="J151" s="353">
        <f>ROUND(G151*I151,0)</f>
        <v>0</v>
      </c>
      <c r="K151" s="1912"/>
      <c r="L151" s="1912"/>
      <c r="M151" s="708" t="s">
        <v>2308</v>
      </c>
      <c r="N151" s="223"/>
      <c r="O151" s="706">
        <f t="shared" si="30"/>
        <v>0</v>
      </c>
    </row>
    <row r="152" spans="1:15" s="1448" customFormat="1" ht="15" hidden="1">
      <c r="A152" s="1436" t="s">
        <v>1521</v>
      </c>
      <c r="B152" s="1437" t="s">
        <v>1482</v>
      </c>
      <c r="C152" s="1449"/>
      <c r="D152" s="1439"/>
      <c r="E152" s="1221"/>
      <c r="F152" s="1450"/>
      <c r="G152" s="1453">
        <f>WORK!I1289</f>
        <v>0</v>
      </c>
      <c r="H152" s="1439" t="s">
        <v>102</v>
      </c>
      <c r="I152" s="1454">
        <f>WORK!K1289</f>
        <v>1036.32</v>
      </c>
      <c r="J152" s="1450">
        <f>ROUND(G152*I152,0)</f>
        <v>0</v>
      </c>
      <c r="K152" s="1912"/>
      <c r="L152" s="1912"/>
      <c r="M152" s="1451" t="s">
        <v>2321</v>
      </c>
      <c r="N152" s="1446"/>
      <c r="O152" s="1452">
        <f t="shared" si="30"/>
        <v>0</v>
      </c>
    </row>
    <row r="153" spans="1:15" s="360" customFormat="1" ht="63.75" hidden="1">
      <c r="A153" s="356" t="s">
        <v>501</v>
      </c>
      <c r="B153" s="707" t="s">
        <v>3283</v>
      </c>
      <c r="C153" s="709"/>
      <c r="D153" s="354"/>
      <c r="E153" s="10"/>
      <c r="F153" s="353"/>
      <c r="G153" s="358">
        <f>WORK!I1299</f>
        <v>0</v>
      </c>
      <c r="H153" s="354" t="s">
        <v>102</v>
      </c>
      <c r="I153" s="355">
        <f>WORK!K1299</f>
        <v>1062.03</v>
      </c>
      <c r="J153" s="353">
        <f>ROUND(G153*I153,0)</f>
        <v>0</v>
      </c>
      <c r="K153" s="1913"/>
      <c r="L153" s="1913"/>
      <c r="M153" s="708" t="s">
        <v>2322</v>
      </c>
      <c r="N153" s="223"/>
      <c r="O153" s="706">
        <f t="shared" si="30"/>
        <v>0</v>
      </c>
    </row>
    <row r="154" spans="1:15" s="1448" customFormat="1" ht="63.75">
      <c r="A154" s="1436" t="s">
        <v>486</v>
      </c>
      <c r="B154" s="1437" t="s">
        <v>3377</v>
      </c>
      <c r="C154" s="1455"/>
      <c r="D154" s="1439"/>
      <c r="E154" s="1456"/>
      <c r="F154" s="1450"/>
      <c r="G154" s="1453">
        <f>WORK!I1312</f>
        <v>111.85000000000002</v>
      </c>
      <c r="H154" s="1439" t="s">
        <v>77</v>
      </c>
      <c r="I154" s="1454">
        <f>WORK!K1312</f>
        <v>2828.1</v>
      </c>
      <c r="J154" s="1450">
        <f t="shared" si="28"/>
        <v>316323</v>
      </c>
      <c r="K154" s="1911">
        <f>IF((J154+J155+J156+J157)&gt;(F154+F155+F156+F157),(J154+J155+J156+J157)-(F154+F155+F156+F157),0)</f>
        <v>316323</v>
      </c>
      <c r="L154" s="1911">
        <f>IF((J154+J155+J156+J157)&lt;(F154+F155+F156+F157),(F154+F155+F156+F157)-(J154+J155+J156+J157),0)</f>
        <v>0</v>
      </c>
      <c r="M154" s="1451" t="s">
        <v>2226</v>
      </c>
      <c r="N154" s="1446"/>
      <c r="O154" s="1452">
        <f t="shared" si="30"/>
        <v>-316323</v>
      </c>
    </row>
    <row r="155" spans="1:15" s="360" customFormat="1" ht="51" hidden="1">
      <c r="A155" s="356" t="s">
        <v>498</v>
      </c>
      <c r="B155" s="707" t="s">
        <v>3426</v>
      </c>
      <c r="C155" s="710"/>
      <c r="D155" s="354"/>
      <c r="E155" s="362"/>
      <c r="F155" s="353"/>
      <c r="G155" s="1147">
        <f>WORK!I1323</f>
        <v>0</v>
      </c>
      <c r="H155" s="1314" t="s">
        <v>77</v>
      </c>
      <c r="I155" s="910">
        <f>WORK!K1323</f>
        <v>2886.61</v>
      </c>
      <c r="J155" s="1315">
        <f>ROUND(G155*I155,0)</f>
        <v>0</v>
      </c>
      <c r="K155" s="1912"/>
      <c r="L155" s="1912"/>
      <c r="M155" s="708" t="s">
        <v>2308</v>
      </c>
      <c r="N155" s="223"/>
      <c r="O155" s="706">
        <f t="shared" si="30"/>
        <v>0</v>
      </c>
    </row>
    <row r="156" spans="1:15" s="1448" customFormat="1" ht="15" hidden="1">
      <c r="A156" s="1436" t="s">
        <v>497</v>
      </c>
      <c r="B156" s="1437" t="s">
        <v>708</v>
      </c>
      <c r="C156" s="1455"/>
      <c r="D156" s="1439"/>
      <c r="E156" s="1456"/>
      <c r="F156" s="1450"/>
      <c r="G156" s="1453">
        <f>WORK!I1328</f>
        <v>0</v>
      </c>
      <c r="H156" s="1439" t="s">
        <v>77</v>
      </c>
      <c r="I156" s="1454">
        <f>WORK!K1328</f>
        <v>2942.62</v>
      </c>
      <c r="J156" s="1450">
        <f>ROUND(G156*I156,0)</f>
        <v>0</v>
      </c>
      <c r="K156" s="1912"/>
      <c r="L156" s="1912"/>
      <c r="M156" s="1451" t="s">
        <v>2321</v>
      </c>
      <c r="N156" s="1446"/>
      <c r="O156" s="1452">
        <f t="shared" si="30"/>
        <v>0</v>
      </c>
    </row>
    <row r="157" spans="1:15" s="360" customFormat="1" ht="63.75" hidden="1">
      <c r="A157" s="356" t="s">
        <v>488</v>
      </c>
      <c r="B157" s="707" t="s">
        <v>3284</v>
      </c>
      <c r="C157" s="710"/>
      <c r="D157" s="354"/>
      <c r="E157" s="362"/>
      <c r="F157" s="353"/>
      <c r="G157" s="358">
        <f>WORK!I1344</f>
        <v>0</v>
      </c>
      <c r="H157" s="354" t="s">
        <v>77</v>
      </c>
      <c r="I157" s="355">
        <f>WORK!K1344</f>
        <v>3115.07</v>
      </c>
      <c r="J157" s="353">
        <f>ROUND(G157*I157,0)</f>
        <v>0</v>
      </c>
      <c r="K157" s="1913"/>
      <c r="L157" s="1913"/>
      <c r="M157" s="1139" t="s">
        <v>2322</v>
      </c>
      <c r="N157" s="223"/>
      <c r="O157" s="1138">
        <f t="shared" si="30"/>
        <v>0</v>
      </c>
    </row>
    <row r="158" spans="1:15" s="1448" customFormat="1" ht="63.75">
      <c r="A158" s="1436" t="s">
        <v>487</v>
      </c>
      <c r="B158" s="1437" t="s">
        <v>3379</v>
      </c>
      <c r="C158" s="1455"/>
      <c r="D158" s="1439"/>
      <c r="E158" s="1456"/>
      <c r="F158" s="1450"/>
      <c r="G158" s="1453">
        <f>WORK!I1357</f>
        <v>9.15</v>
      </c>
      <c r="H158" s="1439" t="s">
        <v>102</v>
      </c>
      <c r="I158" s="1454">
        <f>WORK!K1357</f>
        <v>2667.63</v>
      </c>
      <c r="J158" s="1450">
        <f t="shared" si="28"/>
        <v>24409</v>
      </c>
      <c r="K158" s="1911">
        <f>IF((J158+J159+J160+J161)&gt;(F158+F159+F160+F161),(J158+J159+J160+J161)-(F158+F159+F160+F161),0)</f>
        <v>24409</v>
      </c>
      <c r="L158" s="1911">
        <f>IF((J158+J159+J160+J161)&lt;(F158+F159+F160+F161),(F158+F159+F160+F161)-(J158+J159+J160+J161),0)</f>
        <v>0</v>
      </c>
      <c r="M158" s="1451" t="s">
        <v>2226</v>
      </c>
      <c r="N158" s="1446"/>
      <c r="O158" s="1452">
        <f t="shared" si="30"/>
        <v>-24409</v>
      </c>
    </row>
    <row r="159" spans="1:15" s="360" customFormat="1" ht="38.25" hidden="1">
      <c r="A159" s="356" t="s">
        <v>499</v>
      </c>
      <c r="B159" s="707" t="s">
        <v>3427</v>
      </c>
      <c r="C159" s="710"/>
      <c r="D159" s="354"/>
      <c r="E159" s="362"/>
      <c r="F159" s="353"/>
      <c r="G159" s="1147">
        <f>WORK!I1367</f>
        <v>0</v>
      </c>
      <c r="H159" s="1314" t="s">
        <v>102</v>
      </c>
      <c r="I159" s="910">
        <f>WORK!K1367</f>
        <v>2708.07</v>
      </c>
      <c r="J159" s="1315">
        <f>ROUND(G159*I159,0)</f>
        <v>0</v>
      </c>
      <c r="K159" s="1912"/>
      <c r="L159" s="1912"/>
      <c r="M159" s="708" t="s">
        <v>2308</v>
      </c>
      <c r="N159" s="223"/>
      <c r="O159" s="706">
        <f t="shared" si="30"/>
        <v>0</v>
      </c>
    </row>
    <row r="160" spans="1:15" s="1448" customFormat="1" ht="15" hidden="1">
      <c r="A160" s="1436" t="s">
        <v>498</v>
      </c>
      <c r="B160" s="1437" t="s">
        <v>709</v>
      </c>
      <c r="C160" s="1455"/>
      <c r="D160" s="1439"/>
      <c r="E160" s="1456"/>
      <c r="F160" s="1450"/>
      <c r="G160" s="1453">
        <f>WORK!I1372</f>
        <v>0</v>
      </c>
      <c r="H160" s="1439" t="s">
        <v>102</v>
      </c>
      <c r="I160" s="1454">
        <f>WORK!K1372</f>
        <v>2747.34</v>
      </c>
      <c r="J160" s="1450">
        <f>ROUND(G160*I160,0)</f>
        <v>0</v>
      </c>
      <c r="K160" s="1912"/>
      <c r="L160" s="1912"/>
      <c r="M160" s="1451" t="s">
        <v>2321</v>
      </c>
      <c r="N160" s="1446"/>
      <c r="O160" s="1452">
        <f t="shared" si="30"/>
        <v>0</v>
      </c>
    </row>
    <row r="161" spans="1:15" s="360" customFormat="1" ht="63.75" hidden="1">
      <c r="A161" s="356" t="s">
        <v>489</v>
      </c>
      <c r="B161" s="707" t="s">
        <v>3285</v>
      </c>
      <c r="C161" s="710"/>
      <c r="D161" s="354"/>
      <c r="E161" s="362"/>
      <c r="F161" s="353"/>
      <c r="G161" s="358">
        <f>WORK!I1386</f>
        <v>0</v>
      </c>
      <c r="H161" s="354" t="s">
        <v>102</v>
      </c>
      <c r="I161" s="355">
        <f>WORK!K1386</f>
        <v>2905.43</v>
      </c>
      <c r="J161" s="353">
        <f>ROUND(G161*I161,0)</f>
        <v>0</v>
      </c>
      <c r="K161" s="1913"/>
      <c r="L161" s="1913"/>
      <c r="M161" s="1139" t="s">
        <v>2322</v>
      </c>
      <c r="N161" s="223"/>
      <c r="O161" s="1138">
        <f t="shared" si="30"/>
        <v>0</v>
      </c>
    </row>
    <row r="162" spans="1:15" s="360" customFormat="1" ht="15" hidden="1">
      <c r="A162" s="356" t="s">
        <v>498</v>
      </c>
      <c r="B162" s="707" t="s">
        <v>710</v>
      </c>
      <c r="C162" s="711"/>
      <c r="D162" s="354"/>
      <c r="E162" s="362"/>
      <c r="F162" s="353"/>
      <c r="G162" s="358">
        <f>WORK!I1393</f>
        <v>0</v>
      </c>
      <c r="H162" s="354" t="s">
        <v>102</v>
      </c>
      <c r="I162" s="355">
        <f>WORK!K1393</f>
        <v>605.58000000000004</v>
      </c>
      <c r="J162" s="353">
        <f t="shared" si="28"/>
        <v>0</v>
      </c>
      <c r="K162" s="1911">
        <f>IF((J162+J163+J164+J165)&gt;(F162+F163+F164+F165),(J162+J163+J164+J165)-(F162+F163+F164+F165),0)</f>
        <v>0</v>
      </c>
      <c r="L162" s="1911">
        <f>IF((J162+J163+J164+J165)&lt;(F162+F163+F164+F165),(F162+F163+F164+F165)-(J162+J163+J164+J165),0)</f>
        <v>0</v>
      </c>
      <c r="M162" s="708" t="s">
        <v>2226</v>
      </c>
      <c r="N162" s="223"/>
      <c r="O162" s="706">
        <f t="shared" si="30"/>
        <v>0</v>
      </c>
    </row>
    <row r="163" spans="1:15" s="360" customFormat="1" ht="15" hidden="1">
      <c r="A163" s="356" t="s">
        <v>498</v>
      </c>
      <c r="B163" s="707" t="s">
        <v>710</v>
      </c>
      <c r="C163" s="711"/>
      <c r="D163" s="354"/>
      <c r="E163" s="362"/>
      <c r="F163" s="353"/>
      <c r="G163" s="358">
        <f>WORK!I1403</f>
        <v>0</v>
      </c>
      <c r="H163" s="354" t="s">
        <v>102</v>
      </c>
      <c r="I163" s="355">
        <f>WORK!K1403</f>
        <v>646.33000000000004</v>
      </c>
      <c r="J163" s="353">
        <f>ROUND(G163*I163,0)</f>
        <v>0</v>
      </c>
      <c r="K163" s="1912"/>
      <c r="L163" s="1912"/>
      <c r="M163" s="708" t="s">
        <v>2308</v>
      </c>
      <c r="N163" s="223"/>
      <c r="O163" s="706">
        <f t="shared" si="30"/>
        <v>0</v>
      </c>
    </row>
    <row r="164" spans="1:15" s="360" customFormat="1" ht="15" hidden="1">
      <c r="A164" s="356" t="s">
        <v>498</v>
      </c>
      <c r="B164" s="707" t="s">
        <v>710</v>
      </c>
      <c r="C164" s="711"/>
      <c r="D164" s="354"/>
      <c r="E164" s="362"/>
      <c r="F164" s="353"/>
      <c r="G164" s="358">
        <f>WORK!I1410</f>
        <v>0</v>
      </c>
      <c r="H164" s="354" t="s">
        <v>102</v>
      </c>
      <c r="I164" s="355">
        <f>WORK!K1410</f>
        <v>653.95000000000005</v>
      </c>
      <c r="J164" s="353">
        <f>ROUND(G164*I164,0)</f>
        <v>0</v>
      </c>
      <c r="K164" s="1912"/>
      <c r="L164" s="1912"/>
      <c r="M164" s="708" t="s">
        <v>2321</v>
      </c>
      <c r="N164" s="223"/>
      <c r="O164" s="706">
        <f t="shared" si="30"/>
        <v>0</v>
      </c>
    </row>
    <row r="165" spans="1:15" s="360" customFormat="1" ht="15" hidden="1">
      <c r="A165" s="356" t="s">
        <v>498</v>
      </c>
      <c r="B165" s="707" t="s">
        <v>710</v>
      </c>
      <c r="C165" s="711"/>
      <c r="D165" s="354"/>
      <c r="E165" s="362"/>
      <c r="F165" s="353"/>
      <c r="G165" s="358">
        <f>WORK!I1417</f>
        <v>0</v>
      </c>
      <c r="H165" s="354" t="s">
        <v>102</v>
      </c>
      <c r="I165" s="355">
        <f>WORK!K1417</f>
        <v>744.7</v>
      </c>
      <c r="J165" s="353">
        <f>ROUND(G165*I165,0)</f>
        <v>0</v>
      </c>
      <c r="K165" s="1913"/>
      <c r="L165" s="1913"/>
      <c r="M165" s="708" t="s">
        <v>2322</v>
      </c>
      <c r="N165" s="223"/>
      <c r="O165" s="706">
        <f t="shared" si="30"/>
        <v>0</v>
      </c>
    </row>
    <row r="166" spans="1:15" s="360" customFormat="1" ht="15" hidden="1">
      <c r="A166" s="356" t="s">
        <v>499</v>
      </c>
      <c r="B166" s="707" t="s">
        <v>711</v>
      </c>
      <c r="C166" s="710"/>
      <c r="D166" s="354"/>
      <c r="E166" s="362"/>
      <c r="F166" s="353"/>
      <c r="G166" s="358">
        <f>WORK!I1424</f>
        <v>0</v>
      </c>
      <c r="H166" s="354" t="s">
        <v>102</v>
      </c>
      <c r="I166" s="355">
        <f>WORK!K1424</f>
        <v>623.66999999999996</v>
      </c>
      <c r="J166" s="353">
        <f t="shared" si="28"/>
        <v>0</v>
      </c>
      <c r="K166" s="1911">
        <f>IF((J166+J167+J168+J169)&gt;(F166+F167+F168+F169),(J166+J167+J168+J169)-(F166+F167+F168+F169),0)</f>
        <v>0</v>
      </c>
      <c r="L166" s="1911">
        <f>IF((J166+J167+J168+J169)&lt;(F166+F167+F168+F169),(F166+F167+F168+F169)-(J166+J167+J168+J169),0)</f>
        <v>0</v>
      </c>
      <c r="M166" s="708" t="s">
        <v>2226</v>
      </c>
      <c r="N166" s="223"/>
      <c r="O166" s="706">
        <f t="shared" si="30"/>
        <v>0</v>
      </c>
    </row>
    <row r="167" spans="1:15" s="360" customFormat="1" ht="15" hidden="1">
      <c r="A167" s="356" t="s">
        <v>499</v>
      </c>
      <c r="B167" s="707" t="s">
        <v>711</v>
      </c>
      <c r="C167" s="710"/>
      <c r="D167" s="354"/>
      <c r="E167" s="362"/>
      <c r="F167" s="353"/>
      <c r="G167" s="358">
        <f>WORK!I1432</f>
        <v>0</v>
      </c>
      <c r="H167" s="354" t="s">
        <v>102</v>
      </c>
      <c r="I167" s="355">
        <f>WORK!K1432</f>
        <v>651.79999999999995</v>
      </c>
      <c r="J167" s="353">
        <f>ROUND(G167*I167,0)</f>
        <v>0</v>
      </c>
      <c r="K167" s="1912"/>
      <c r="L167" s="1912"/>
      <c r="M167" s="708" t="s">
        <v>2308</v>
      </c>
      <c r="N167" s="223"/>
      <c r="O167" s="706">
        <f t="shared" si="30"/>
        <v>0</v>
      </c>
    </row>
    <row r="168" spans="1:15" s="360" customFormat="1" ht="15" hidden="1">
      <c r="A168" s="356" t="s">
        <v>499</v>
      </c>
      <c r="B168" s="707" t="s">
        <v>711</v>
      </c>
      <c r="C168" s="710"/>
      <c r="D168" s="354"/>
      <c r="E168" s="362"/>
      <c r="F168" s="353"/>
      <c r="G168" s="358">
        <f>WORK!I1439</f>
        <v>0</v>
      </c>
      <c r="H168" s="354" t="s">
        <v>102</v>
      </c>
      <c r="I168" s="355">
        <f>WORK!K1439</f>
        <v>673.02</v>
      </c>
      <c r="J168" s="353">
        <f>ROUND(G168*I168,0)</f>
        <v>0</v>
      </c>
      <c r="K168" s="1912"/>
      <c r="L168" s="1912"/>
      <c r="M168" s="708" t="s">
        <v>2321</v>
      </c>
      <c r="N168" s="223"/>
      <c r="O168" s="706">
        <f t="shared" si="30"/>
        <v>0</v>
      </c>
    </row>
    <row r="169" spans="1:15" s="360" customFormat="1" ht="15" hidden="1">
      <c r="A169" s="356" t="s">
        <v>499</v>
      </c>
      <c r="B169" s="707" t="s">
        <v>711</v>
      </c>
      <c r="C169" s="710"/>
      <c r="D169" s="354"/>
      <c r="E169" s="362"/>
      <c r="F169" s="353"/>
      <c r="G169" s="358">
        <f>WORK!I1446</f>
        <v>0</v>
      </c>
      <c r="H169" s="354" t="s">
        <v>102</v>
      </c>
      <c r="I169" s="355">
        <f>WORK!K1446</f>
        <v>750.18</v>
      </c>
      <c r="J169" s="353">
        <f>ROUND(G169*I169,0)</f>
        <v>0</v>
      </c>
      <c r="K169" s="1913"/>
      <c r="L169" s="1913"/>
      <c r="M169" s="708" t="s">
        <v>2322</v>
      </c>
      <c r="N169" s="223"/>
      <c r="O169" s="706">
        <f t="shared" si="30"/>
        <v>0</v>
      </c>
    </row>
    <row r="170" spans="1:15" s="1448" customFormat="1" ht="63.75">
      <c r="A170" s="1436" t="s">
        <v>488</v>
      </c>
      <c r="B170" s="1437" t="s">
        <v>3380</v>
      </c>
      <c r="C170" s="1449">
        <v>7.49</v>
      </c>
      <c r="D170" s="1439" t="s">
        <v>102</v>
      </c>
      <c r="E170" s="1221">
        <v>672.24</v>
      </c>
      <c r="F170" s="1440">
        <f t="shared" ref="F170" si="34">ROUND(C170*E170,0)</f>
        <v>5035</v>
      </c>
      <c r="G170" s="1457">
        <f>WORK!I1452</f>
        <v>0</v>
      </c>
      <c r="H170" s="1458" t="s">
        <v>102</v>
      </c>
      <c r="I170" s="1459">
        <f>WORK!K1452</f>
        <v>726.78</v>
      </c>
      <c r="J170" s="1450">
        <f t="shared" ref="J170" si="35">ROUND(G170*I170,0)</f>
        <v>0</v>
      </c>
      <c r="K170" s="1911">
        <f>IF((J170+J171+J172+J173)&gt;(F170+F171+F172+F173),(J170+J171+J172+J173)-(F170+F171+F172+F173),0)</f>
        <v>0</v>
      </c>
      <c r="L170" s="1911">
        <f>IF((J170+J171+J172+J173)&lt;(F170+F171+F172+F173),(F170+F171+F172+F173)-(J170+J171+J172+J173),0)</f>
        <v>5035</v>
      </c>
      <c r="M170" s="1451" t="s">
        <v>2226</v>
      </c>
      <c r="N170" s="1446"/>
      <c r="O170" s="1452">
        <f t="shared" si="30"/>
        <v>5035</v>
      </c>
    </row>
    <row r="171" spans="1:15" s="360" customFormat="1" ht="15" hidden="1">
      <c r="A171" s="356" t="s">
        <v>495</v>
      </c>
      <c r="B171" s="707" t="s">
        <v>511</v>
      </c>
      <c r="C171" s="709"/>
      <c r="D171" s="354"/>
      <c r="E171" s="10"/>
      <c r="F171" s="353"/>
      <c r="G171" s="358">
        <f>WORK!I1457</f>
        <v>0</v>
      </c>
      <c r="H171" s="354" t="s">
        <v>102</v>
      </c>
      <c r="I171" s="355">
        <f>WORK!K1457</f>
        <v>754.91</v>
      </c>
      <c r="J171" s="353">
        <f>ROUND(G171*I171,0)</f>
        <v>0</v>
      </c>
      <c r="K171" s="1912"/>
      <c r="L171" s="1912"/>
      <c r="M171" s="708" t="s">
        <v>2308</v>
      </c>
      <c r="N171" s="223"/>
      <c r="O171" s="706">
        <f t="shared" si="30"/>
        <v>0</v>
      </c>
    </row>
    <row r="172" spans="1:15" s="1448" customFormat="1" ht="15" hidden="1">
      <c r="A172" s="1436" t="s">
        <v>500</v>
      </c>
      <c r="B172" s="1437" t="s">
        <v>511</v>
      </c>
      <c r="C172" s="1449"/>
      <c r="D172" s="1439"/>
      <c r="E172" s="1221"/>
      <c r="F172" s="1450"/>
      <c r="G172" s="1453">
        <f>WORK!I1464</f>
        <v>0</v>
      </c>
      <c r="H172" s="1439" t="s">
        <v>102</v>
      </c>
      <c r="I172" s="1454">
        <f>WORK!K1464</f>
        <v>776.13</v>
      </c>
      <c r="J172" s="1450">
        <f>ROUND(G172*I172,0)</f>
        <v>0</v>
      </c>
      <c r="K172" s="1912"/>
      <c r="L172" s="1912"/>
      <c r="M172" s="1451" t="s">
        <v>2321</v>
      </c>
      <c r="N172" s="1446"/>
      <c r="O172" s="1452">
        <f t="shared" si="30"/>
        <v>0</v>
      </c>
    </row>
    <row r="173" spans="1:15" s="360" customFormat="1" ht="63.75" hidden="1">
      <c r="A173" s="356" t="s">
        <v>506</v>
      </c>
      <c r="B173" s="707" t="s">
        <v>3380</v>
      </c>
      <c r="C173" s="709"/>
      <c r="D173" s="354"/>
      <c r="E173" s="10"/>
      <c r="F173" s="353"/>
      <c r="G173" s="358">
        <f>WORK!I1469</f>
        <v>0</v>
      </c>
      <c r="H173" s="354" t="s">
        <v>102</v>
      </c>
      <c r="I173" s="355">
        <f>WORK!K1469</f>
        <v>801.83</v>
      </c>
      <c r="J173" s="353">
        <f>ROUND(G173*I173,0)</f>
        <v>0</v>
      </c>
      <c r="K173" s="1913"/>
      <c r="L173" s="1913"/>
      <c r="M173" s="708" t="s">
        <v>2322</v>
      </c>
      <c r="N173" s="223"/>
      <c r="O173" s="706">
        <f t="shared" si="30"/>
        <v>0</v>
      </c>
    </row>
    <row r="174" spans="1:15" s="1448" customFormat="1" ht="63.75">
      <c r="A174" s="1436" t="s">
        <v>489</v>
      </c>
      <c r="B174" s="1437" t="s">
        <v>3381</v>
      </c>
      <c r="C174" s="1449">
        <v>20.96</v>
      </c>
      <c r="D174" s="1439" t="s">
        <v>102</v>
      </c>
      <c r="E174" s="1221">
        <v>479</v>
      </c>
      <c r="F174" s="1440">
        <f t="shared" ref="F174" si="36">ROUND(C174*E174,0)</f>
        <v>10040</v>
      </c>
      <c r="G174" s="1457">
        <f>WORK!I1476</f>
        <v>0</v>
      </c>
      <c r="H174" s="1458" t="s">
        <v>102</v>
      </c>
      <c r="I174" s="1459">
        <f>WORK!K1476</f>
        <v>487.61</v>
      </c>
      <c r="J174" s="1450">
        <f t="shared" ref="J174:J210" si="37">ROUND(G174*I174,0)</f>
        <v>0</v>
      </c>
      <c r="K174" s="1911">
        <f>IF((J174+J175+J176+J177)&gt;(F174+F175+F176+F177),(J174+J175+J176+J177)-(F174+F175+F176+F177),0)</f>
        <v>0</v>
      </c>
      <c r="L174" s="1911">
        <f>IF((J174+J175+J176+J177)&lt;(F174+F175+F176+F177),(F174+F175+F176+F177)-(J174+J175+J176+J177),0)</f>
        <v>10040</v>
      </c>
      <c r="M174" s="1451" t="s">
        <v>2226</v>
      </c>
      <c r="N174" s="1446"/>
      <c r="O174" s="1452">
        <f t="shared" si="30"/>
        <v>10040</v>
      </c>
    </row>
    <row r="175" spans="1:15" s="360" customFormat="1" ht="15" hidden="1">
      <c r="A175" s="356" t="s">
        <v>492</v>
      </c>
      <c r="B175" s="707" t="s">
        <v>570</v>
      </c>
      <c r="C175" s="709"/>
      <c r="D175" s="354"/>
      <c r="E175" s="10"/>
      <c r="F175" s="353"/>
      <c r="G175" s="358">
        <f>WORK!I1483</f>
        <v>0</v>
      </c>
      <c r="H175" s="354" t="s">
        <v>102</v>
      </c>
      <c r="I175" s="355">
        <f>WORK!K1483</f>
        <v>496.21</v>
      </c>
      <c r="J175" s="353">
        <f>ROUND(G175*I175,0)</f>
        <v>0</v>
      </c>
      <c r="K175" s="1912"/>
      <c r="L175" s="1912"/>
      <c r="M175" s="708" t="s">
        <v>2308</v>
      </c>
      <c r="N175" s="223"/>
      <c r="O175" s="706">
        <f t="shared" si="30"/>
        <v>0</v>
      </c>
    </row>
    <row r="176" spans="1:15" s="1448" customFormat="1" ht="15" hidden="1">
      <c r="A176" s="1436" t="s">
        <v>502</v>
      </c>
      <c r="B176" s="1437" t="s">
        <v>570</v>
      </c>
      <c r="C176" s="1449"/>
      <c r="D176" s="1439"/>
      <c r="E176" s="1221"/>
      <c r="F176" s="1450"/>
      <c r="G176" s="1453">
        <f>WORK!I1488</f>
        <v>0</v>
      </c>
      <c r="H176" s="1439" t="s">
        <v>102</v>
      </c>
      <c r="I176" s="1454">
        <f>WORK!K1488</f>
        <v>503.67</v>
      </c>
      <c r="J176" s="1450">
        <f>ROUND(G176*I176,0)</f>
        <v>0</v>
      </c>
      <c r="K176" s="1912"/>
      <c r="L176" s="1912"/>
      <c r="M176" s="1451" t="s">
        <v>2321</v>
      </c>
      <c r="N176" s="1446"/>
      <c r="O176" s="1452">
        <f t="shared" si="30"/>
        <v>0</v>
      </c>
    </row>
    <row r="177" spans="1:15" s="360" customFormat="1" ht="15" hidden="1">
      <c r="A177" s="356" t="s">
        <v>492</v>
      </c>
      <c r="B177" s="707" t="s">
        <v>570</v>
      </c>
      <c r="C177" s="709"/>
      <c r="D177" s="354"/>
      <c r="E177" s="10"/>
      <c r="F177" s="353"/>
      <c r="G177" s="358">
        <f>WORK!I1494</f>
        <v>0</v>
      </c>
      <c r="H177" s="354" t="s">
        <v>102</v>
      </c>
      <c r="I177" s="355">
        <f>WORK!K1494</f>
        <v>518.15</v>
      </c>
      <c r="J177" s="353">
        <f>ROUND(G177*I177,0)</f>
        <v>0</v>
      </c>
      <c r="K177" s="1913"/>
      <c r="L177" s="1913"/>
      <c r="M177" s="708" t="s">
        <v>2322</v>
      </c>
      <c r="N177" s="223"/>
      <c r="O177" s="706">
        <f t="shared" si="30"/>
        <v>0</v>
      </c>
    </row>
    <row r="178" spans="1:15" s="1448" customFormat="1" ht="38.25">
      <c r="A178" s="1436" t="s">
        <v>490</v>
      </c>
      <c r="B178" s="1437" t="s">
        <v>3382</v>
      </c>
      <c r="C178" s="1455"/>
      <c r="D178" s="1439"/>
      <c r="E178" s="1456"/>
      <c r="F178" s="1450"/>
      <c r="G178" s="1453">
        <f>WORK!I1501</f>
        <v>19.310000000000002</v>
      </c>
      <c r="H178" s="1439" t="s">
        <v>102</v>
      </c>
      <c r="I178" s="1454">
        <f>WORK!K1501</f>
        <v>911.63</v>
      </c>
      <c r="J178" s="1450">
        <f t="shared" si="37"/>
        <v>17604</v>
      </c>
      <c r="K178" s="1911">
        <f>IF((J178+J179+J180+J181)&gt;(F178+F179+F180+F181),(J178+J179+J180+J181)-(F178+F179+F180+F181),0)</f>
        <v>17604</v>
      </c>
      <c r="L178" s="1911">
        <f>IF((J178+J179+J180+J181)&lt;(F178+F179+F180+F181),(F178+F179+F180+F181)-(J178+J179+J180+J181),0)</f>
        <v>0</v>
      </c>
      <c r="M178" s="1451" t="s">
        <v>2226</v>
      </c>
      <c r="N178" s="1446"/>
      <c r="O178" s="1452">
        <f t="shared" si="30"/>
        <v>-17604</v>
      </c>
    </row>
    <row r="179" spans="1:15" s="360" customFormat="1" ht="15" hidden="1">
      <c r="A179" s="356" t="s">
        <v>502</v>
      </c>
      <c r="B179" s="707" t="s">
        <v>1223</v>
      </c>
      <c r="C179" s="710"/>
      <c r="D179" s="354"/>
      <c r="E179" s="362"/>
      <c r="F179" s="353"/>
      <c r="G179" s="1147">
        <f>WORK!I1507</f>
        <v>0</v>
      </c>
      <c r="H179" s="1314" t="s">
        <v>102</v>
      </c>
      <c r="I179" s="910">
        <f>WORK!K1507</f>
        <v>950.67</v>
      </c>
      <c r="J179" s="1315">
        <f>ROUND(G179*I179,0)</f>
        <v>0</v>
      </c>
      <c r="K179" s="1912"/>
      <c r="L179" s="1912"/>
      <c r="M179" s="708" t="s">
        <v>2308</v>
      </c>
      <c r="N179" s="223"/>
      <c r="O179" s="706">
        <f t="shared" si="30"/>
        <v>0</v>
      </c>
    </row>
    <row r="180" spans="1:15" s="1448" customFormat="1" ht="15" hidden="1">
      <c r="A180" s="1436" t="s">
        <v>503</v>
      </c>
      <c r="B180" s="1437" t="s">
        <v>1223</v>
      </c>
      <c r="C180" s="1455"/>
      <c r="D180" s="1439"/>
      <c r="E180" s="1456"/>
      <c r="F180" s="1450"/>
      <c r="G180" s="1453">
        <f>WORK!I1513</f>
        <v>0</v>
      </c>
      <c r="H180" s="1439" t="s">
        <v>102</v>
      </c>
      <c r="I180" s="1454">
        <f>WORK!K1513</f>
        <v>981.79</v>
      </c>
      <c r="J180" s="1450">
        <f>ROUND(G180*I180,0)</f>
        <v>0</v>
      </c>
      <c r="K180" s="1912"/>
      <c r="L180" s="1912"/>
      <c r="M180" s="1451" t="s">
        <v>2321</v>
      </c>
      <c r="N180" s="1446"/>
      <c r="O180" s="1452">
        <f t="shared" si="30"/>
        <v>0</v>
      </c>
    </row>
    <row r="181" spans="1:15" s="360" customFormat="1" ht="38.25" hidden="1">
      <c r="A181" s="356" t="s">
        <v>510</v>
      </c>
      <c r="B181" s="707" t="s">
        <v>3403</v>
      </c>
      <c r="C181" s="710"/>
      <c r="D181" s="354"/>
      <c r="E181" s="362"/>
      <c r="F181" s="353"/>
      <c r="G181" s="358">
        <f>WORK!I1520</f>
        <v>0</v>
      </c>
      <c r="H181" s="354" t="s">
        <v>102</v>
      </c>
      <c r="I181" s="355">
        <f>WORK!K1520</f>
        <v>1017.93</v>
      </c>
      <c r="J181" s="353">
        <f>ROUND(G181*I181,0)</f>
        <v>0</v>
      </c>
      <c r="K181" s="1913"/>
      <c r="L181" s="1913"/>
      <c r="M181" s="708" t="s">
        <v>2322</v>
      </c>
      <c r="N181" s="223"/>
      <c r="O181" s="706">
        <f t="shared" si="30"/>
        <v>0</v>
      </c>
    </row>
    <row r="182" spans="1:15" s="360" customFormat="1" ht="15" hidden="1">
      <c r="A182" s="356"/>
      <c r="B182" s="707" t="s">
        <v>2271</v>
      </c>
      <c r="C182" s="710"/>
      <c r="D182" s="354"/>
      <c r="E182" s="362"/>
      <c r="F182" s="353"/>
      <c r="G182" s="358">
        <f>WORK!I1527</f>
        <v>0</v>
      </c>
      <c r="H182" s="354" t="s">
        <v>102</v>
      </c>
      <c r="I182" s="355">
        <f>WORK!K1527</f>
        <v>489</v>
      </c>
      <c r="J182" s="353">
        <f t="shared" si="37"/>
        <v>0</v>
      </c>
      <c r="K182" s="1911">
        <f>IF((J182+J183+J184+J185)&gt;(F182+F183+F184+F185),(J182+J183+J184+J185)-(F182+F183+F184+F185),0)</f>
        <v>0</v>
      </c>
      <c r="L182" s="1911">
        <f>IF((J182+J183+J184+J185)&lt;(F182+F183+F184+F185),(F182+F183+F184+F185)-(J182+J183+J184+J185),0)</f>
        <v>0</v>
      </c>
      <c r="M182" s="708" t="s">
        <v>2226</v>
      </c>
      <c r="N182" s="223"/>
      <c r="O182" s="706">
        <f t="shared" si="30"/>
        <v>0</v>
      </c>
    </row>
    <row r="183" spans="1:15" s="360" customFormat="1" ht="15" hidden="1">
      <c r="A183" s="356"/>
      <c r="B183" s="707" t="s">
        <v>2271</v>
      </c>
      <c r="C183" s="710"/>
      <c r="D183" s="354"/>
      <c r="E183" s="362"/>
      <c r="F183" s="353"/>
      <c r="G183" s="358">
        <f>WORK!I1534</f>
        <v>0</v>
      </c>
      <c r="H183" s="354" t="s">
        <v>102</v>
      </c>
      <c r="I183" s="355">
        <f>WORK!K1534</f>
        <v>489</v>
      </c>
      <c r="J183" s="353">
        <f>ROUND(G183*I183,0)</f>
        <v>0</v>
      </c>
      <c r="K183" s="1912"/>
      <c r="L183" s="1912"/>
      <c r="M183" s="708" t="s">
        <v>2308</v>
      </c>
      <c r="N183" s="223"/>
      <c r="O183" s="706">
        <f t="shared" si="30"/>
        <v>0</v>
      </c>
    </row>
    <row r="184" spans="1:15" s="360" customFormat="1" ht="15" hidden="1">
      <c r="A184" s="356"/>
      <c r="B184" s="707" t="s">
        <v>2271</v>
      </c>
      <c r="C184" s="710"/>
      <c r="D184" s="354"/>
      <c r="E184" s="362"/>
      <c r="F184" s="353"/>
      <c r="G184" s="358">
        <f>WORK!I1541</f>
        <v>0</v>
      </c>
      <c r="H184" s="354" t="s">
        <v>102</v>
      </c>
      <c r="I184" s="355">
        <f>WORK!K1541</f>
        <v>510</v>
      </c>
      <c r="J184" s="353">
        <f>ROUND(G184*I184,0)</f>
        <v>0</v>
      </c>
      <c r="K184" s="1912"/>
      <c r="L184" s="1912"/>
      <c r="M184" s="708" t="s">
        <v>2321</v>
      </c>
      <c r="N184" s="223"/>
      <c r="O184" s="706">
        <f t="shared" si="30"/>
        <v>0</v>
      </c>
    </row>
    <row r="185" spans="1:15" s="360" customFormat="1" ht="15" hidden="1">
      <c r="A185" s="356"/>
      <c r="B185" s="707" t="s">
        <v>2271</v>
      </c>
      <c r="C185" s="710"/>
      <c r="D185" s="354"/>
      <c r="E185" s="362"/>
      <c r="F185" s="353"/>
      <c r="G185" s="358">
        <f>WORK!I1548</f>
        <v>0</v>
      </c>
      <c r="H185" s="354" t="s">
        <v>102</v>
      </c>
      <c r="I185" s="355">
        <f>WORK!K1548</f>
        <v>610</v>
      </c>
      <c r="J185" s="353">
        <f>ROUND(G185*I185,0)</f>
        <v>0</v>
      </c>
      <c r="K185" s="1913"/>
      <c r="L185" s="1913"/>
      <c r="M185" s="708" t="s">
        <v>2322</v>
      </c>
      <c r="N185" s="223"/>
      <c r="O185" s="706">
        <f t="shared" si="30"/>
        <v>0</v>
      </c>
    </row>
    <row r="186" spans="1:15" s="360" customFormat="1" ht="51" hidden="1">
      <c r="A186" s="356" t="s">
        <v>490</v>
      </c>
      <c r="B186" s="707" t="s">
        <v>3286</v>
      </c>
      <c r="C186" s="571"/>
      <c r="D186" s="916" t="s">
        <v>102</v>
      </c>
      <c r="E186" s="10">
        <v>273.87</v>
      </c>
      <c r="F186" s="917">
        <f t="shared" ref="F186" si="38">ROUND(C186*E186,0)</f>
        <v>0</v>
      </c>
      <c r="G186" s="358">
        <f>WORK!I1555</f>
        <v>0</v>
      </c>
      <c r="H186" s="354" t="s">
        <v>102</v>
      </c>
      <c r="I186" s="355">
        <f>WORK!K1555</f>
        <v>288.70999999999998</v>
      </c>
      <c r="J186" s="353">
        <f t="shared" si="37"/>
        <v>0</v>
      </c>
      <c r="K186" s="1911">
        <f>IF((J186+J187+J188+J189)&gt;(F186+F187+F188+F189),(J186+J187+J188+J189)-(F186+F187+F188+F189),0)</f>
        <v>0</v>
      </c>
      <c r="L186" s="1911">
        <f>IF((J186+J187+J188+J189)&lt;(F186+F187+F188+F189),(F186+F187+F188+F189)-(J186+J187+J188+J189),0)</f>
        <v>0</v>
      </c>
      <c r="M186" s="1139" t="s">
        <v>2226</v>
      </c>
      <c r="N186" s="223"/>
      <c r="O186" s="1138">
        <f t="shared" si="30"/>
        <v>0</v>
      </c>
    </row>
    <row r="187" spans="1:15" s="360" customFormat="1" ht="15" hidden="1">
      <c r="A187" s="356"/>
      <c r="B187" s="707" t="s">
        <v>2272</v>
      </c>
      <c r="C187" s="710"/>
      <c r="D187" s="354"/>
      <c r="E187" s="362"/>
      <c r="F187" s="353"/>
      <c r="G187" s="358">
        <f>WORK!I1562</f>
        <v>0</v>
      </c>
      <c r="H187" s="354" t="s">
        <v>102</v>
      </c>
      <c r="I187" s="355">
        <f>WORK!K1562</f>
        <v>309.07</v>
      </c>
      <c r="J187" s="353">
        <f>ROUND(G187*I187,0)</f>
        <v>0</v>
      </c>
      <c r="K187" s="1912"/>
      <c r="L187" s="1912"/>
      <c r="M187" s="708" t="s">
        <v>2308</v>
      </c>
      <c r="N187" s="223"/>
      <c r="O187" s="706">
        <f t="shared" si="30"/>
        <v>0</v>
      </c>
    </row>
    <row r="188" spans="1:15" s="360" customFormat="1" ht="15" hidden="1">
      <c r="A188" s="356"/>
      <c r="B188" s="707" t="s">
        <v>2272</v>
      </c>
      <c r="C188" s="710"/>
      <c r="D188" s="354"/>
      <c r="E188" s="362"/>
      <c r="F188" s="353"/>
      <c r="G188" s="358">
        <f>WORK!I1569</f>
        <v>0</v>
      </c>
      <c r="H188" s="354" t="s">
        <v>102</v>
      </c>
      <c r="I188" s="355">
        <f>WORK!K1569</f>
        <v>325.58</v>
      </c>
      <c r="J188" s="353">
        <f>ROUND(G188*I188,0)</f>
        <v>0</v>
      </c>
      <c r="K188" s="1912"/>
      <c r="L188" s="1912"/>
      <c r="M188" s="708" t="s">
        <v>2321</v>
      </c>
      <c r="N188" s="223"/>
      <c r="O188" s="706">
        <f t="shared" si="30"/>
        <v>0</v>
      </c>
    </row>
    <row r="189" spans="1:15" s="360" customFormat="1" ht="15" hidden="1">
      <c r="A189" s="356"/>
      <c r="B189" s="707" t="s">
        <v>2272</v>
      </c>
      <c r="C189" s="710"/>
      <c r="D189" s="354"/>
      <c r="E189" s="362"/>
      <c r="F189" s="353"/>
      <c r="G189" s="358">
        <f>WORK!I1576</f>
        <v>0</v>
      </c>
      <c r="H189" s="354" t="s">
        <v>102</v>
      </c>
      <c r="I189" s="355">
        <f>WORK!K1576</f>
        <v>345.47</v>
      </c>
      <c r="J189" s="353">
        <f>ROUND(G189*I189,0)</f>
        <v>0</v>
      </c>
      <c r="K189" s="1913"/>
      <c r="L189" s="1913"/>
      <c r="M189" s="708" t="s">
        <v>2322</v>
      </c>
      <c r="N189" s="223"/>
      <c r="O189" s="706">
        <f t="shared" si="30"/>
        <v>0</v>
      </c>
    </row>
    <row r="190" spans="1:15" s="360" customFormat="1" ht="15" hidden="1">
      <c r="A190" s="356" t="s">
        <v>491</v>
      </c>
      <c r="B190" s="707" t="s">
        <v>959</v>
      </c>
      <c r="C190" s="710"/>
      <c r="D190" s="354"/>
      <c r="E190" s="362"/>
      <c r="F190" s="353"/>
      <c r="G190" s="358">
        <f>WORK!I1583</f>
        <v>0</v>
      </c>
      <c r="H190" s="354" t="s">
        <v>102</v>
      </c>
      <c r="I190" s="355">
        <f>WORK!K1583</f>
        <v>19.87</v>
      </c>
      <c r="J190" s="353">
        <f t="shared" si="37"/>
        <v>0</v>
      </c>
      <c r="K190" s="1911">
        <f>IF((J190+J191+J192+J193)&gt;(F190+F191+F192+F193),(J190+J191+J192+J193)-(F190+F191+F192+F193),0)</f>
        <v>0</v>
      </c>
      <c r="L190" s="1911">
        <f>IF((J190+J191+J192+J193)&lt;(F190+F191+F192+F193),(F190+F191+F192+F193)-(J190+J191+J192+J193),0)</f>
        <v>0</v>
      </c>
      <c r="M190" s="708" t="s">
        <v>2226</v>
      </c>
      <c r="N190" s="223"/>
      <c r="O190" s="706">
        <f t="shared" si="30"/>
        <v>0</v>
      </c>
    </row>
    <row r="191" spans="1:15" s="360" customFormat="1" ht="15" hidden="1">
      <c r="A191" s="356" t="s">
        <v>491</v>
      </c>
      <c r="B191" s="707" t="s">
        <v>959</v>
      </c>
      <c r="C191" s="710"/>
      <c r="D191" s="354"/>
      <c r="E191" s="362"/>
      <c r="F191" s="353"/>
      <c r="G191" s="358">
        <f>WORK!I1590</f>
        <v>0</v>
      </c>
      <c r="H191" s="354" t="s">
        <v>102</v>
      </c>
      <c r="I191" s="355">
        <f>WORK!K1590</f>
        <v>21.19</v>
      </c>
      <c r="J191" s="353">
        <f>ROUND(G191*I191,0)</f>
        <v>0</v>
      </c>
      <c r="K191" s="1912"/>
      <c r="L191" s="1912"/>
      <c r="M191" s="708" t="s">
        <v>2308</v>
      </c>
      <c r="N191" s="223"/>
      <c r="O191" s="706">
        <f t="shared" si="30"/>
        <v>0</v>
      </c>
    </row>
    <row r="192" spans="1:15" s="360" customFormat="1" ht="15" hidden="1">
      <c r="A192" s="356" t="s">
        <v>491</v>
      </c>
      <c r="B192" s="707" t="s">
        <v>959</v>
      </c>
      <c r="C192" s="710"/>
      <c r="D192" s="354"/>
      <c r="E192" s="362"/>
      <c r="F192" s="353"/>
      <c r="G192" s="358">
        <f>WORK!I1597</f>
        <v>0</v>
      </c>
      <c r="H192" s="354" t="s">
        <v>102</v>
      </c>
      <c r="I192" s="355">
        <f>WORK!K1597</f>
        <v>22.35</v>
      </c>
      <c r="J192" s="353">
        <f>ROUND(G192*I192,0)</f>
        <v>0</v>
      </c>
      <c r="K192" s="1912"/>
      <c r="L192" s="1912"/>
      <c r="M192" s="708" t="s">
        <v>2321</v>
      </c>
      <c r="N192" s="223"/>
      <c r="O192" s="706">
        <f t="shared" si="30"/>
        <v>0</v>
      </c>
    </row>
    <row r="193" spans="1:15" s="360" customFormat="1" ht="15" hidden="1">
      <c r="A193" s="356" t="s">
        <v>491</v>
      </c>
      <c r="B193" s="707" t="s">
        <v>959</v>
      </c>
      <c r="C193" s="710"/>
      <c r="D193" s="354"/>
      <c r="E193" s="362"/>
      <c r="F193" s="353"/>
      <c r="G193" s="358">
        <f>WORK!I1604</f>
        <v>0</v>
      </c>
      <c r="H193" s="354" t="s">
        <v>102</v>
      </c>
      <c r="I193" s="355">
        <f>WORK!K1604</f>
        <v>24.05</v>
      </c>
      <c r="J193" s="353">
        <f>ROUND(G193*I193,0)</f>
        <v>0</v>
      </c>
      <c r="K193" s="1913"/>
      <c r="L193" s="1913"/>
      <c r="M193" s="708" t="s">
        <v>2322</v>
      </c>
      <c r="N193" s="223"/>
      <c r="O193" s="706">
        <f t="shared" si="30"/>
        <v>0</v>
      </c>
    </row>
    <row r="194" spans="1:15" s="1448" customFormat="1" ht="51">
      <c r="A194" s="1436" t="s">
        <v>491</v>
      </c>
      <c r="B194" s="1437" t="s">
        <v>3287</v>
      </c>
      <c r="C194" s="1353"/>
      <c r="D194" s="1503"/>
      <c r="E194" s="1235"/>
      <c r="F194" s="1440">
        <f t="shared" ref="F194" si="39">ROUND(C194*E194,0)</f>
        <v>0</v>
      </c>
      <c r="G194" s="1453">
        <f>WORK!I1626</f>
        <v>293.25000000000011</v>
      </c>
      <c r="H194" s="1439" t="s">
        <v>102</v>
      </c>
      <c r="I194" s="1454">
        <f>WORK!K1626</f>
        <v>148.07</v>
      </c>
      <c r="J194" s="1450">
        <f t="shared" si="37"/>
        <v>43422</v>
      </c>
      <c r="K194" s="1911">
        <f>IF((J194+J195+J196+J197)&gt;(F194+F195+F196+F197),(J194+J195+J196+J197)-(F194+F195+F196+F197),0)</f>
        <v>43422</v>
      </c>
      <c r="L194" s="1911">
        <f>IF((J194+J195+J196+J197)&lt;(F194+F195+F196+F197),(F194+F195+F196+F197)-(J194+J195+J196+J197),0)</f>
        <v>0</v>
      </c>
      <c r="M194" s="1445" t="s">
        <v>2226</v>
      </c>
      <c r="N194" s="1446"/>
      <c r="O194" s="1447">
        <f t="shared" si="30"/>
        <v>-43422</v>
      </c>
    </row>
    <row r="195" spans="1:15" s="1448" customFormat="1" ht="15" hidden="1">
      <c r="A195" s="1436" t="s">
        <v>502</v>
      </c>
      <c r="B195" s="1437" t="s">
        <v>960</v>
      </c>
      <c r="C195" s="1455"/>
      <c r="D195" s="1439"/>
      <c r="E195" s="1456"/>
      <c r="F195" s="1450"/>
      <c r="G195" s="1453">
        <f>WORK!I1647</f>
        <v>0</v>
      </c>
      <c r="H195" s="1439" t="s">
        <v>102</v>
      </c>
      <c r="I195" s="1454">
        <f>WORK!K1647</f>
        <v>155.29</v>
      </c>
      <c r="J195" s="1450">
        <f>ROUND(G195*I195,0)</f>
        <v>0</v>
      </c>
      <c r="K195" s="1912"/>
      <c r="L195" s="1912"/>
      <c r="M195" s="1451" t="s">
        <v>2308</v>
      </c>
      <c r="N195" s="1446"/>
      <c r="O195" s="1452">
        <f t="shared" si="30"/>
        <v>0</v>
      </c>
    </row>
    <row r="196" spans="1:15" s="1448" customFormat="1" ht="15" hidden="1">
      <c r="A196" s="1436" t="s">
        <v>504</v>
      </c>
      <c r="B196" s="1437" t="s">
        <v>960</v>
      </c>
      <c r="C196" s="1455"/>
      <c r="D196" s="1439"/>
      <c r="E196" s="1456"/>
      <c r="F196" s="1450"/>
      <c r="G196" s="1453">
        <f>WORK!I1665</f>
        <v>0</v>
      </c>
      <c r="H196" s="1439" t="s">
        <v>102</v>
      </c>
      <c r="I196" s="1454">
        <f>WORK!K1665</f>
        <v>160.76</v>
      </c>
      <c r="J196" s="1450">
        <f>ROUND(G196*I196,0)</f>
        <v>0</v>
      </c>
      <c r="K196" s="1912"/>
      <c r="L196" s="1912"/>
      <c r="M196" s="1451" t="s">
        <v>2321</v>
      </c>
      <c r="N196" s="1446"/>
      <c r="O196" s="1452">
        <f t="shared" si="30"/>
        <v>0</v>
      </c>
    </row>
    <row r="197" spans="1:15" s="360" customFormat="1" ht="51" hidden="1">
      <c r="A197" s="356" t="s">
        <v>504</v>
      </c>
      <c r="B197" s="707" t="s">
        <v>3287</v>
      </c>
      <c r="C197" s="710"/>
      <c r="D197" s="354"/>
      <c r="E197" s="362"/>
      <c r="F197" s="353"/>
      <c r="G197" s="358">
        <f>WORK!I1688</f>
        <v>0</v>
      </c>
      <c r="H197" s="354" t="s">
        <v>102</v>
      </c>
      <c r="I197" s="355">
        <f>WORK!K1688</f>
        <v>173.73</v>
      </c>
      <c r="J197" s="353">
        <f>ROUND(G197*I197,0)</f>
        <v>0</v>
      </c>
      <c r="K197" s="1913"/>
      <c r="L197" s="1913"/>
      <c r="M197" s="1139" t="s">
        <v>2322</v>
      </c>
      <c r="N197" s="223"/>
      <c r="O197" s="1138">
        <f t="shared" si="30"/>
        <v>0</v>
      </c>
    </row>
    <row r="198" spans="1:15" s="1448" customFormat="1" ht="51">
      <c r="A198" s="1436" t="s">
        <v>1516</v>
      </c>
      <c r="B198" s="1437" t="s">
        <v>3288</v>
      </c>
      <c r="C198" s="1449">
        <v>341.27</v>
      </c>
      <c r="D198" s="1439" t="s">
        <v>102</v>
      </c>
      <c r="E198" s="1221">
        <v>140.28</v>
      </c>
      <c r="F198" s="1440">
        <f t="shared" ref="F198" si="40">ROUND(C198*E198,0)</f>
        <v>47873</v>
      </c>
      <c r="G198" s="1453">
        <f>WORK!I1710</f>
        <v>293.25000000000011</v>
      </c>
      <c r="H198" s="1439" t="s">
        <v>102</v>
      </c>
      <c r="I198" s="1454">
        <f>WORK!K1710</f>
        <v>122.02</v>
      </c>
      <c r="J198" s="1450">
        <f t="shared" si="37"/>
        <v>35782</v>
      </c>
      <c r="K198" s="1911">
        <f>IF((J198+J199+J200+J201)&gt;(F198+F199+F200+F201),(J198+J199+J200+J201)-(F198+F199+F200+F201),0)</f>
        <v>0</v>
      </c>
      <c r="L198" s="1911">
        <f>IF((J198+J199+J200+J201)&lt;(F198+F199+F200+F201),(F198+F199+F200+F201)-(J198+J199+J200+J201),0)</f>
        <v>12091</v>
      </c>
      <c r="M198" s="1445" t="s">
        <v>2226</v>
      </c>
      <c r="N198" s="1446"/>
      <c r="O198" s="1447">
        <f t="shared" si="30"/>
        <v>12091</v>
      </c>
    </row>
    <row r="199" spans="1:15" s="1448" customFormat="1" ht="15" hidden="1">
      <c r="A199" s="1436" t="s">
        <v>504</v>
      </c>
      <c r="B199" s="1437" t="s">
        <v>1165</v>
      </c>
      <c r="C199" s="1449"/>
      <c r="D199" s="1439"/>
      <c r="E199" s="1221"/>
      <c r="F199" s="1450"/>
      <c r="G199" s="1453">
        <f>WORK!I1731</f>
        <v>0</v>
      </c>
      <c r="H199" s="1439" t="s">
        <v>102</v>
      </c>
      <c r="I199" s="1454">
        <f>WORK!K1731</f>
        <v>129.35</v>
      </c>
      <c r="J199" s="1450">
        <f>ROUND(G199*I199,0)</f>
        <v>0</v>
      </c>
      <c r="K199" s="1912"/>
      <c r="L199" s="1912"/>
      <c r="M199" s="1451" t="s">
        <v>2308</v>
      </c>
      <c r="N199" s="1446"/>
      <c r="O199" s="1452">
        <f t="shared" si="30"/>
        <v>0</v>
      </c>
    </row>
    <row r="200" spans="1:15" s="1448" customFormat="1" ht="15" hidden="1">
      <c r="A200" s="1436" t="s">
        <v>508</v>
      </c>
      <c r="B200" s="1437" t="s">
        <v>1165</v>
      </c>
      <c r="C200" s="1449"/>
      <c r="D200" s="1439"/>
      <c r="E200" s="1221"/>
      <c r="F200" s="1450"/>
      <c r="G200" s="1453">
        <f>WORK!I1749</f>
        <v>0</v>
      </c>
      <c r="H200" s="1439" t="s">
        <v>102</v>
      </c>
      <c r="I200" s="1454">
        <f>WORK!K1749</f>
        <v>134.97</v>
      </c>
      <c r="J200" s="1450">
        <f>ROUND(G200*I200,0)</f>
        <v>0</v>
      </c>
      <c r="K200" s="1912"/>
      <c r="L200" s="1912"/>
      <c r="M200" s="1451" t="s">
        <v>2321</v>
      </c>
      <c r="N200" s="1446"/>
      <c r="O200" s="1452">
        <f t="shared" si="30"/>
        <v>0</v>
      </c>
    </row>
    <row r="201" spans="1:15" s="360" customFormat="1" ht="51" hidden="1">
      <c r="A201" s="356" t="s">
        <v>504</v>
      </c>
      <c r="B201" s="707" t="s">
        <v>3288</v>
      </c>
      <c r="C201" s="709"/>
      <c r="D201" s="354"/>
      <c r="E201" s="10"/>
      <c r="F201" s="353"/>
      <c r="G201" s="358">
        <f>WORK!I1756</f>
        <v>0</v>
      </c>
      <c r="H201" s="354" t="s">
        <v>102</v>
      </c>
      <c r="I201" s="355">
        <f>WORK!K1756</f>
        <v>146.82</v>
      </c>
      <c r="J201" s="353">
        <f>ROUND(G201*I201,0)</f>
        <v>0</v>
      </c>
      <c r="K201" s="1913"/>
      <c r="L201" s="1913"/>
      <c r="M201" s="1139" t="s">
        <v>2322</v>
      </c>
      <c r="N201" s="223"/>
      <c r="O201" s="1138">
        <f t="shared" si="30"/>
        <v>0</v>
      </c>
    </row>
    <row r="202" spans="1:15" s="1448" customFormat="1" ht="51">
      <c r="A202" s="1436" t="s">
        <v>492</v>
      </c>
      <c r="B202" s="1437" t="s">
        <v>3289</v>
      </c>
      <c r="C202" s="1449">
        <v>273.8</v>
      </c>
      <c r="D202" s="1439" t="s">
        <v>102</v>
      </c>
      <c r="E202" s="1221">
        <v>180.24</v>
      </c>
      <c r="F202" s="1440">
        <f t="shared" ref="F202" si="41">ROUND(C202*E202,0)</f>
        <v>49350</v>
      </c>
      <c r="G202" s="1453">
        <f>WORK!I1785</f>
        <v>206.78999999999996</v>
      </c>
      <c r="H202" s="1439" t="s">
        <v>102</v>
      </c>
      <c r="I202" s="1454">
        <f>WORK!K1785</f>
        <v>166.22</v>
      </c>
      <c r="J202" s="1450">
        <f t="shared" si="37"/>
        <v>34373</v>
      </c>
      <c r="K202" s="1911">
        <f>IF((J202+J203+J204+J205)&gt;(F202+F203+F204+F205),(J202+J203+J204+J205)-(F202+F203+F204+F205),0)</f>
        <v>0</v>
      </c>
      <c r="L202" s="1911">
        <f>IF((J202+J203+J204+J205)&lt;(F202+F203+F204+F205),(F202+F203+F204+F205)-(J202+J203+J204+J205),0)</f>
        <v>14977</v>
      </c>
      <c r="M202" s="1445" t="s">
        <v>2226</v>
      </c>
      <c r="N202" s="1446"/>
      <c r="O202" s="1447">
        <f t="shared" si="30"/>
        <v>14977</v>
      </c>
    </row>
    <row r="203" spans="1:15" s="1448" customFormat="1" ht="15" hidden="1">
      <c r="A203" s="1436" t="s">
        <v>508</v>
      </c>
      <c r="B203" s="1437" t="s">
        <v>1166</v>
      </c>
      <c r="C203" s="1449"/>
      <c r="D203" s="1439"/>
      <c r="E203" s="1221"/>
      <c r="F203" s="1450"/>
      <c r="G203" s="1453">
        <f>WORK!I1796</f>
        <v>0</v>
      </c>
      <c r="H203" s="1439" t="s">
        <v>102</v>
      </c>
      <c r="I203" s="1454">
        <f>WORK!K1796</f>
        <v>177.63</v>
      </c>
      <c r="J203" s="1450">
        <f>ROUND(G203*I203,0)</f>
        <v>0</v>
      </c>
      <c r="K203" s="1912"/>
      <c r="L203" s="1912"/>
      <c r="M203" s="1451" t="s">
        <v>2308</v>
      </c>
      <c r="N203" s="1446"/>
      <c r="O203" s="1452">
        <f t="shared" ref="O203:O267" si="42">F203-J203</f>
        <v>0</v>
      </c>
    </row>
    <row r="204" spans="1:15" s="1448" customFormat="1" ht="15" hidden="1">
      <c r="A204" s="1436" t="s">
        <v>1522</v>
      </c>
      <c r="B204" s="1437" t="s">
        <v>1166</v>
      </c>
      <c r="C204" s="1449"/>
      <c r="D204" s="1439"/>
      <c r="E204" s="1221"/>
      <c r="F204" s="1450"/>
      <c r="G204" s="1453">
        <f>WORK!I1821</f>
        <v>0</v>
      </c>
      <c r="H204" s="1439" t="s">
        <v>102</v>
      </c>
      <c r="I204" s="1454">
        <f>WORK!K1821</f>
        <v>186.27</v>
      </c>
      <c r="J204" s="1450">
        <f>ROUND(G204*I204,0)</f>
        <v>0</v>
      </c>
      <c r="K204" s="1912"/>
      <c r="L204" s="1912"/>
      <c r="M204" s="1451" t="s">
        <v>2321</v>
      </c>
      <c r="N204" s="1446"/>
      <c r="O204" s="1452">
        <f t="shared" si="42"/>
        <v>0</v>
      </c>
    </row>
    <row r="205" spans="1:15" s="360" customFormat="1" ht="51" hidden="1">
      <c r="A205" s="356" t="s">
        <v>508</v>
      </c>
      <c r="B205" s="707" t="s">
        <v>3289</v>
      </c>
      <c r="C205" s="709"/>
      <c r="D205" s="354"/>
      <c r="E205" s="10"/>
      <c r="F205" s="353"/>
      <c r="G205" s="358">
        <f>WORK!I1828</f>
        <v>0</v>
      </c>
      <c r="H205" s="354" t="s">
        <v>102</v>
      </c>
      <c r="I205" s="355">
        <f>WORK!K1828</f>
        <v>200.84</v>
      </c>
      <c r="J205" s="353">
        <f>ROUND(G205*I205,0)</f>
        <v>0</v>
      </c>
      <c r="K205" s="1913"/>
      <c r="L205" s="1913"/>
      <c r="M205" s="1139" t="s">
        <v>2322</v>
      </c>
      <c r="N205" s="223"/>
      <c r="O205" s="1138">
        <f t="shared" si="42"/>
        <v>0</v>
      </c>
    </row>
    <row r="206" spans="1:15" s="360" customFormat="1" ht="25.5" hidden="1">
      <c r="A206" s="356" t="s">
        <v>491</v>
      </c>
      <c r="B206" s="707" t="s">
        <v>1224</v>
      </c>
      <c r="C206" s="710"/>
      <c r="D206" s="354"/>
      <c r="E206" s="362"/>
      <c r="F206" s="353"/>
      <c r="G206" s="358">
        <f>WORK!I1884</f>
        <v>0</v>
      </c>
      <c r="H206" s="354" t="s">
        <v>102</v>
      </c>
      <c r="I206" s="355">
        <f>WORK!K1884</f>
        <v>786.87</v>
      </c>
      <c r="J206" s="353">
        <f t="shared" si="37"/>
        <v>0</v>
      </c>
      <c r="K206" s="1911">
        <f>IF((J206+J207+J208+J209)&gt;(F206+F207+F208+F209),(J206+J207+J208+J209)-(F206+F207+F208+F209),0)</f>
        <v>0</v>
      </c>
      <c r="L206" s="1911">
        <f>IF((J206+J207+J208+J209)&lt;(F206+F207+F208+F209),(F206+F207+F208+F209)-(J206+J207+J208+J209),0)</f>
        <v>0</v>
      </c>
      <c r="M206" s="708" t="s">
        <v>2226</v>
      </c>
      <c r="N206" s="223"/>
      <c r="O206" s="706">
        <f t="shared" si="42"/>
        <v>0</v>
      </c>
    </row>
    <row r="207" spans="1:15" s="360" customFormat="1" ht="25.5" hidden="1">
      <c r="A207" s="356" t="s">
        <v>491</v>
      </c>
      <c r="B207" s="707" t="s">
        <v>1224</v>
      </c>
      <c r="C207" s="710"/>
      <c r="D207" s="354"/>
      <c r="E207" s="362"/>
      <c r="F207" s="353"/>
      <c r="G207" s="358">
        <f>WORK!I1889</f>
        <v>0</v>
      </c>
      <c r="H207" s="354" t="s">
        <v>102</v>
      </c>
      <c r="I207" s="355">
        <f>WORK!K1889</f>
        <v>849.67000000000007</v>
      </c>
      <c r="J207" s="353">
        <f>ROUND(G207*I207,0)</f>
        <v>0</v>
      </c>
      <c r="K207" s="1912"/>
      <c r="L207" s="1912"/>
      <c r="M207" s="708" t="s">
        <v>2308</v>
      </c>
      <c r="N207" s="223"/>
      <c r="O207" s="706">
        <f t="shared" si="42"/>
        <v>0</v>
      </c>
    </row>
    <row r="208" spans="1:15" s="360" customFormat="1" ht="25.5" hidden="1">
      <c r="A208" s="356" t="s">
        <v>491</v>
      </c>
      <c r="B208" s="707" t="s">
        <v>1224</v>
      </c>
      <c r="C208" s="710"/>
      <c r="D208" s="354"/>
      <c r="E208" s="362"/>
      <c r="F208" s="353"/>
      <c r="G208" s="358">
        <f>WORK!I1894</f>
        <v>0</v>
      </c>
      <c r="H208" s="354" t="s">
        <v>102</v>
      </c>
      <c r="I208" s="355">
        <f>WORK!K1894</f>
        <v>897.27</v>
      </c>
      <c r="J208" s="353">
        <f>ROUND(G208*I208,0)</f>
        <v>0</v>
      </c>
      <c r="K208" s="1912"/>
      <c r="L208" s="1912"/>
      <c r="M208" s="708" t="s">
        <v>2321</v>
      </c>
      <c r="N208" s="223"/>
      <c r="O208" s="706">
        <f t="shared" si="42"/>
        <v>0</v>
      </c>
    </row>
    <row r="209" spans="1:15" s="360" customFormat="1" ht="38.25" hidden="1">
      <c r="A209" s="356" t="s">
        <v>516</v>
      </c>
      <c r="B209" s="707" t="s">
        <v>3404</v>
      </c>
      <c r="C209" s="710"/>
      <c r="D209" s="354"/>
      <c r="E209" s="362"/>
      <c r="F209" s="353"/>
      <c r="G209" s="358">
        <f>WORK!I1899</f>
        <v>0</v>
      </c>
      <c r="H209" s="354" t="s">
        <v>102</v>
      </c>
      <c r="I209" s="355">
        <f>WORK!K1899</f>
        <v>968.78</v>
      </c>
      <c r="J209" s="353">
        <f>ROUND(G209*I209,0)</f>
        <v>0</v>
      </c>
      <c r="K209" s="1913"/>
      <c r="L209" s="1913"/>
      <c r="M209" s="708" t="s">
        <v>2322</v>
      </c>
      <c r="N209" s="223"/>
      <c r="O209" s="706">
        <f t="shared" si="42"/>
        <v>0</v>
      </c>
    </row>
    <row r="210" spans="1:15" s="360" customFormat="1" ht="51" hidden="1">
      <c r="A210" s="356" t="s">
        <v>1517</v>
      </c>
      <c r="B210" s="707" t="s">
        <v>3290</v>
      </c>
      <c r="C210" s="1113"/>
      <c r="D210" s="919" t="s">
        <v>102</v>
      </c>
      <c r="E210" s="570">
        <v>51205</v>
      </c>
      <c r="F210" s="917">
        <f>ROUND(C210*E210/1000,0)</f>
        <v>0</v>
      </c>
      <c r="G210" s="429">
        <f>WORK!I1904</f>
        <v>0</v>
      </c>
      <c r="H210" s="221" t="s">
        <v>102</v>
      </c>
      <c r="I210" s="430">
        <f>WORK!K1904</f>
        <v>3198</v>
      </c>
      <c r="J210" s="353">
        <f t="shared" si="37"/>
        <v>0</v>
      </c>
      <c r="K210" s="1911">
        <f>IF((J210+J211+J212+J213)&gt;(F210+F211+F212+F213),(J210+J211+J212+J213)-(F210+F211+F212+F213),0)</f>
        <v>0</v>
      </c>
      <c r="L210" s="1911">
        <f>IF((J210+J211+J212+J213)&lt;(F210+F211+F212+F213),(F210+F211+F212+F213)-(J210+J211+J212+J213),0)</f>
        <v>0</v>
      </c>
      <c r="M210" s="1139" t="s">
        <v>2226</v>
      </c>
      <c r="N210" s="223"/>
      <c r="O210" s="1138">
        <f t="shared" si="42"/>
        <v>0</v>
      </c>
    </row>
    <row r="211" spans="1:15" s="360" customFormat="1" ht="25.5" hidden="1">
      <c r="A211" s="356" t="s">
        <v>500</v>
      </c>
      <c r="B211" s="707" t="s">
        <v>706</v>
      </c>
      <c r="C211" s="554"/>
      <c r="D211" s="221"/>
      <c r="E211" s="10"/>
      <c r="F211" s="353"/>
      <c r="G211" s="429">
        <f>WORK!I1909</f>
        <v>0</v>
      </c>
      <c r="H211" s="221" t="s">
        <v>102</v>
      </c>
      <c r="I211" s="430">
        <f>WORK!K1909</f>
        <v>3198</v>
      </c>
      <c r="J211" s="353">
        <f>ROUND(G211*I211,0)</f>
        <v>0</v>
      </c>
      <c r="K211" s="1912"/>
      <c r="L211" s="1912"/>
      <c r="M211" s="708" t="s">
        <v>2308</v>
      </c>
      <c r="N211" s="223"/>
      <c r="O211" s="706">
        <f t="shared" si="42"/>
        <v>0</v>
      </c>
    </row>
    <row r="212" spans="1:15" s="360" customFormat="1" ht="25.5" hidden="1">
      <c r="A212" s="356" t="s">
        <v>497</v>
      </c>
      <c r="B212" s="707" t="s">
        <v>706</v>
      </c>
      <c r="C212" s="554"/>
      <c r="D212" s="221"/>
      <c r="E212" s="10"/>
      <c r="F212" s="353"/>
      <c r="G212" s="429">
        <f>WORK!I1914</f>
        <v>0</v>
      </c>
      <c r="H212" s="221" t="s">
        <v>102</v>
      </c>
      <c r="I212" s="430">
        <f>WORK!K1914</f>
        <v>3500</v>
      </c>
      <c r="J212" s="353">
        <f>ROUND(G212*I212,0)</f>
        <v>0</v>
      </c>
      <c r="K212" s="1912"/>
      <c r="L212" s="1912"/>
      <c r="M212" s="708" t="s">
        <v>2321</v>
      </c>
      <c r="N212" s="223"/>
      <c r="O212" s="706">
        <f t="shared" si="42"/>
        <v>0</v>
      </c>
    </row>
    <row r="213" spans="1:15" s="360" customFormat="1" ht="51" hidden="1">
      <c r="A213" s="356" t="s">
        <v>1518</v>
      </c>
      <c r="B213" s="707" t="s">
        <v>3290</v>
      </c>
      <c r="C213" s="554"/>
      <c r="D213" s="221"/>
      <c r="E213" s="10"/>
      <c r="F213" s="353"/>
      <c r="G213" s="429">
        <f>WORK!I1919</f>
        <v>0</v>
      </c>
      <c r="H213" s="221" t="s">
        <v>102</v>
      </c>
      <c r="I213" s="430">
        <f>WORK!K1919</f>
        <v>4025</v>
      </c>
      <c r="J213" s="353">
        <f>ROUND(G213*I213,0)</f>
        <v>0</v>
      </c>
      <c r="K213" s="1913"/>
      <c r="L213" s="1913"/>
      <c r="M213" s="1139" t="s">
        <v>2322</v>
      </c>
      <c r="N213" s="223"/>
      <c r="O213" s="1138">
        <f t="shared" si="42"/>
        <v>0</v>
      </c>
    </row>
    <row r="214" spans="1:15" s="360" customFormat="1" ht="38.25" hidden="1">
      <c r="A214" s="356" t="s">
        <v>1519</v>
      </c>
      <c r="B214" s="707" t="s">
        <v>3291</v>
      </c>
      <c r="C214" s="1113"/>
      <c r="D214" s="916" t="s">
        <v>102</v>
      </c>
      <c r="E214" s="570">
        <v>133.91999999999999</v>
      </c>
      <c r="F214" s="917">
        <f t="shared" ref="F214" si="43">ROUND(C214*E214,0)</f>
        <v>0</v>
      </c>
      <c r="G214" s="358">
        <f>WORK!I1834</f>
        <v>0</v>
      </c>
      <c r="H214" s="354" t="s">
        <v>102</v>
      </c>
      <c r="I214" s="355">
        <f>WORK!K1834</f>
        <v>172.75</v>
      </c>
      <c r="J214" s="353">
        <f t="shared" ref="J214:J218" si="44">ROUND(G214*I214,0)</f>
        <v>0</v>
      </c>
      <c r="K214" s="1911">
        <f>IF((J214+J215+J216+J217)&gt;(F214+F215+F216+F217),(J214+J215+J216+J217)-(F214+F215+F216+F217),0)</f>
        <v>0</v>
      </c>
      <c r="L214" s="1911">
        <f>IF((J214+J215+J216+J217)&lt;(F214+F215+F216+F217),(F214+F215+F216+F217)-(J214+J215+J216+J217),0)</f>
        <v>0</v>
      </c>
      <c r="M214" s="1139" t="s">
        <v>2226</v>
      </c>
      <c r="N214" s="223"/>
      <c r="O214" s="1138">
        <f t="shared" si="42"/>
        <v>0</v>
      </c>
    </row>
    <row r="215" spans="1:15" s="360" customFormat="1" ht="25.5" hidden="1">
      <c r="A215" s="356" t="s">
        <v>492</v>
      </c>
      <c r="B215" s="707" t="s">
        <v>961</v>
      </c>
      <c r="C215" s="554"/>
      <c r="D215" s="354"/>
      <c r="E215" s="10"/>
      <c r="F215" s="353"/>
      <c r="G215" s="358">
        <f>WORK!I1844</f>
        <v>0</v>
      </c>
      <c r="H215" s="354" t="s">
        <v>102</v>
      </c>
      <c r="I215" s="355">
        <f>WORK!K1844</f>
        <v>132.55000000000001</v>
      </c>
      <c r="J215" s="353">
        <f>ROUND(G215*I215,0)</f>
        <v>0</v>
      </c>
      <c r="K215" s="1912"/>
      <c r="L215" s="1912"/>
      <c r="M215" s="708" t="s">
        <v>2308</v>
      </c>
      <c r="N215" s="223"/>
      <c r="O215" s="706">
        <f t="shared" si="42"/>
        <v>0</v>
      </c>
    </row>
    <row r="216" spans="1:15" s="360" customFormat="1" ht="25.5" hidden="1">
      <c r="A216" s="356" t="s">
        <v>492</v>
      </c>
      <c r="B216" s="707" t="s">
        <v>961</v>
      </c>
      <c r="C216" s="554"/>
      <c r="D216" s="354"/>
      <c r="E216" s="10"/>
      <c r="F216" s="353"/>
      <c r="G216" s="358">
        <f>WORK!I1850</f>
        <v>0</v>
      </c>
      <c r="H216" s="354" t="s">
        <v>102</v>
      </c>
      <c r="I216" s="355">
        <f>WORK!K1850</f>
        <v>137.6</v>
      </c>
      <c r="J216" s="353">
        <f>ROUND(G216*I216,0)</f>
        <v>0</v>
      </c>
      <c r="K216" s="1912"/>
      <c r="L216" s="1912"/>
      <c r="M216" s="708" t="s">
        <v>2321</v>
      </c>
      <c r="N216" s="223"/>
      <c r="O216" s="706">
        <f t="shared" si="42"/>
        <v>0</v>
      </c>
    </row>
    <row r="217" spans="1:15" s="360" customFormat="1" ht="38.25" hidden="1">
      <c r="A217" s="356" t="s">
        <v>508</v>
      </c>
      <c r="B217" s="707" t="s">
        <v>3405</v>
      </c>
      <c r="C217" s="554"/>
      <c r="D217" s="354"/>
      <c r="E217" s="10"/>
      <c r="F217" s="353"/>
      <c r="G217" s="358">
        <f>WORK!I1855</f>
        <v>0</v>
      </c>
      <c r="H217" s="354" t="s">
        <v>102</v>
      </c>
      <c r="I217" s="355">
        <f>WORK!K1855</f>
        <v>149.86000000000001</v>
      </c>
      <c r="J217" s="353">
        <f>ROUND(G217*I217,0)</f>
        <v>0</v>
      </c>
      <c r="K217" s="1913"/>
      <c r="L217" s="1913"/>
      <c r="M217" s="708" t="s">
        <v>2322</v>
      </c>
      <c r="N217" s="223"/>
      <c r="O217" s="706">
        <f t="shared" si="42"/>
        <v>0</v>
      </c>
    </row>
    <row r="218" spans="1:15" s="360" customFormat="1" ht="15" hidden="1">
      <c r="A218" s="356"/>
      <c r="B218" s="707" t="s">
        <v>2277</v>
      </c>
      <c r="C218" s="554"/>
      <c r="D218" s="354"/>
      <c r="E218" s="10"/>
      <c r="F218" s="353"/>
      <c r="G218" s="358">
        <f>WORK!I1861</f>
        <v>0</v>
      </c>
      <c r="H218" s="354" t="s">
        <v>102</v>
      </c>
      <c r="I218" s="355">
        <f>WORK!K1861</f>
        <v>630</v>
      </c>
      <c r="J218" s="353">
        <f t="shared" si="44"/>
        <v>0</v>
      </c>
      <c r="K218" s="1911">
        <f>IF((J218+J219+J220+J221)&gt;(F218+F219+F220+F221),(J218+J219+J220+J221)-(F218+F219+F220+F221),0)</f>
        <v>0</v>
      </c>
      <c r="L218" s="1911">
        <f>IF((J218+J219+J220+J221)&lt;(F218+F219+F220+F221),(F218+F219+F220+F221)-(J218+J219+J220+J221),0)</f>
        <v>0</v>
      </c>
      <c r="M218" s="708" t="s">
        <v>2226</v>
      </c>
      <c r="N218" s="223"/>
      <c r="O218" s="706">
        <f t="shared" si="42"/>
        <v>0</v>
      </c>
    </row>
    <row r="219" spans="1:15" s="360" customFormat="1" ht="15" hidden="1">
      <c r="A219" s="356"/>
      <c r="B219" s="707" t="s">
        <v>2277</v>
      </c>
      <c r="C219" s="554"/>
      <c r="D219" s="354"/>
      <c r="E219" s="10"/>
      <c r="F219" s="353"/>
      <c r="G219" s="358">
        <f>WORK!I1867</f>
        <v>0</v>
      </c>
      <c r="H219" s="354" t="s">
        <v>102</v>
      </c>
      <c r="I219" s="355">
        <f>WORK!K1867</f>
        <v>630</v>
      </c>
      <c r="J219" s="353">
        <f t="shared" ref="J219:J235" si="45">ROUND(G219*I219,0)</f>
        <v>0</v>
      </c>
      <c r="K219" s="1912"/>
      <c r="L219" s="1912"/>
      <c r="M219" s="708" t="s">
        <v>2308</v>
      </c>
      <c r="N219" s="223"/>
      <c r="O219" s="706">
        <f t="shared" si="42"/>
        <v>0</v>
      </c>
    </row>
    <row r="220" spans="1:15" s="360" customFormat="1" ht="15" hidden="1">
      <c r="A220" s="356"/>
      <c r="B220" s="707" t="s">
        <v>2277</v>
      </c>
      <c r="C220" s="554"/>
      <c r="D220" s="354"/>
      <c r="E220" s="10"/>
      <c r="F220" s="353"/>
      <c r="G220" s="358">
        <f>WORK!I1873</f>
        <v>0</v>
      </c>
      <c r="H220" s="354" t="s">
        <v>102</v>
      </c>
      <c r="I220" s="355">
        <f>WORK!K1873</f>
        <v>630</v>
      </c>
      <c r="J220" s="353">
        <f>ROUND(G220*I220,0)</f>
        <v>0</v>
      </c>
      <c r="K220" s="1912"/>
      <c r="L220" s="1912"/>
      <c r="M220" s="708" t="s">
        <v>2321</v>
      </c>
      <c r="N220" s="223"/>
      <c r="O220" s="706">
        <f t="shared" si="42"/>
        <v>0</v>
      </c>
    </row>
    <row r="221" spans="1:15" s="360" customFormat="1" ht="15" hidden="1">
      <c r="A221" s="356" t="s">
        <v>501</v>
      </c>
      <c r="B221" s="707" t="s">
        <v>2277</v>
      </c>
      <c r="C221" s="554"/>
      <c r="D221" s="354"/>
      <c r="E221" s="10"/>
      <c r="F221" s="353"/>
      <c r="G221" s="358">
        <f>WORK!I1879</f>
        <v>0</v>
      </c>
      <c r="H221" s="354" t="s">
        <v>102</v>
      </c>
      <c r="I221" s="355">
        <f>WORK!K1879</f>
        <v>630</v>
      </c>
      <c r="J221" s="353">
        <f>ROUND(G221*I221,0)</f>
        <v>0</v>
      </c>
      <c r="K221" s="1913"/>
      <c r="L221" s="1913"/>
      <c r="M221" s="708" t="s">
        <v>2322</v>
      </c>
      <c r="N221" s="223"/>
      <c r="O221" s="706">
        <f t="shared" si="42"/>
        <v>0</v>
      </c>
    </row>
    <row r="222" spans="1:15" s="360" customFormat="1" ht="15" hidden="1">
      <c r="A222" s="356" t="s">
        <v>492</v>
      </c>
      <c r="B222" s="707" t="s">
        <v>1483</v>
      </c>
      <c r="C222" s="633"/>
      <c r="D222" s="354"/>
      <c r="E222" s="622"/>
      <c r="F222" s="353"/>
      <c r="G222" s="358">
        <f>WORK!I1924</f>
        <v>0</v>
      </c>
      <c r="H222" s="354" t="s">
        <v>115</v>
      </c>
      <c r="I222" s="355">
        <f>WORK!K1924</f>
        <v>666.66</v>
      </c>
      <c r="J222" s="353">
        <f t="shared" si="45"/>
        <v>0</v>
      </c>
      <c r="K222" s="1911">
        <f>IF((J222+J223+J224+J225)&gt;(F222+F223+F224+F225),(J222+J223+J224+J225)-(F222+F223+F224+F225),0)</f>
        <v>0</v>
      </c>
      <c r="L222" s="1911">
        <f>IF((J222+J223+J224+J225)&lt;(F222+F223+F224+F225),(F222+F223+F224+F225)-(J222+J223+J224+J225),0)</f>
        <v>0</v>
      </c>
      <c r="M222" s="708" t="s">
        <v>2226</v>
      </c>
      <c r="N222" s="223"/>
      <c r="O222" s="706">
        <f t="shared" si="42"/>
        <v>0</v>
      </c>
    </row>
    <row r="223" spans="1:15" s="360" customFormat="1" ht="15" hidden="1">
      <c r="A223" s="356" t="s">
        <v>492</v>
      </c>
      <c r="B223" s="707" t="s">
        <v>1483</v>
      </c>
      <c r="C223" s="633"/>
      <c r="D223" s="354"/>
      <c r="E223" s="622"/>
      <c r="F223" s="353"/>
      <c r="G223" s="358">
        <f>WORK!I1929</f>
        <v>0</v>
      </c>
      <c r="H223" s="354" t="s">
        <v>115</v>
      </c>
      <c r="I223" s="355">
        <f>WORK!K1929</f>
        <v>666.66</v>
      </c>
      <c r="J223" s="353">
        <f t="shared" si="45"/>
        <v>0</v>
      </c>
      <c r="K223" s="1912"/>
      <c r="L223" s="1912"/>
      <c r="M223" s="708" t="s">
        <v>2308</v>
      </c>
      <c r="N223" s="223"/>
      <c r="O223" s="706">
        <f t="shared" si="42"/>
        <v>0</v>
      </c>
    </row>
    <row r="224" spans="1:15" s="360" customFormat="1" ht="15" hidden="1">
      <c r="A224" s="356" t="s">
        <v>492</v>
      </c>
      <c r="B224" s="707" t="s">
        <v>1483</v>
      </c>
      <c r="C224" s="633"/>
      <c r="D224" s="354"/>
      <c r="E224" s="622"/>
      <c r="F224" s="353"/>
      <c r="G224" s="358">
        <f>WORK!I1934</f>
        <v>0</v>
      </c>
      <c r="H224" s="354" t="s">
        <v>115</v>
      </c>
      <c r="I224" s="355">
        <f>WORK!K1934</f>
        <v>733.33</v>
      </c>
      <c r="J224" s="353">
        <f>ROUND(G224*I224,0)</f>
        <v>0</v>
      </c>
      <c r="K224" s="1912"/>
      <c r="L224" s="1912"/>
      <c r="M224" s="708" t="s">
        <v>2321</v>
      </c>
      <c r="N224" s="223"/>
      <c r="O224" s="706">
        <f t="shared" si="42"/>
        <v>0</v>
      </c>
    </row>
    <row r="225" spans="1:15" s="360" customFormat="1" ht="15" hidden="1">
      <c r="A225" s="356" t="s">
        <v>492</v>
      </c>
      <c r="B225" s="707" t="s">
        <v>1483</v>
      </c>
      <c r="C225" s="633"/>
      <c r="D225" s="354"/>
      <c r="E225" s="622"/>
      <c r="F225" s="353"/>
      <c r="G225" s="358">
        <f>WORK!I1939</f>
        <v>0</v>
      </c>
      <c r="H225" s="354" t="s">
        <v>115</v>
      </c>
      <c r="I225" s="355">
        <f>WORK!K1939</f>
        <v>808</v>
      </c>
      <c r="J225" s="353">
        <f>ROUND(G225*I225,0)</f>
        <v>0</v>
      </c>
      <c r="K225" s="1913"/>
      <c r="L225" s="1913"/>
      <c r="M225" s="708" t="s">
        <v>2322</v>
      </c>
      <c r="N225" s="223"/>
      <c r="O225" s="706">
        <f t="shared" si="42"/>
        <v>0</v>
      </c>
    </row>
    <row r="226" spans="1:15" s="360" customFormat="1" ht="15" hidden="1">
      <c r="A226" s="356" t="s">
        <v>492</v>
      </c>
      <c r="B226" s="707" t="s">
        <v>1484</v>
      </c>
      <c r="C226" s="633"/>
      <c r="D226" s="354"/>
      <c r="E226" s="622"/>
      <c r="F226" s="353"/>
      <c r="G226" s="358">
        <f>WORK!I1944</f>
        <v>0</v>
      </c>
      <c r="H226" s="354" t="s">
        <v>115</v>
      </c>
      <c r="I226" s="355">
        <f>WORK!K1944</f>
        <v>500</v>
      </c>
      <c r="J226" s="353">
        <f t="shared" si="45"/>
        <v>0</v>
      </c>
      <c r="K226" s="1911">
        <f>IF((J226+J227+J228+J229)&gt;(F226+F227+F228+F229),(J226+J227+J228+J229)-(F226+F227+F228+F229),0)</f>
        <v>0</v>
      </c>
      <c r="L226" s="1911">
        <f>IF((J226+J227+J228+J229)&lt;(F226+F227+F228+F229),(F226+F227+F228+F229)-(J226+J227+J228+J229),0)</f>
        <v>0</v>
      </c>
      <c r="M226" s="708" t="s">
        <v>2226</v>
      </c>
      <c r="N226" s="223"/>
      <c r="O226" s="706">
        <f t="shared" si="42"/>
        <v>0</v>
      </c>
    </row>
    <row r="227" spans="1:15" s="360" customFormat="1" ht="15" hidden="1">
      <c r="A227" s="356" t="s">
        <v>492</v>
      </c>
      <c r="B227" s="707" t="s">
        <v>1484</v>
      </c>
      <c r="C227" s="633"/>
      <c r="D227" s="354"/>
      <c r="E227" s="622"/>
      <c r="F227" s="353"/>
      <c r="G227" s="358">
        <f>WORK!I1949</f>
        <v>0</v>
      </c>
      <c r="H227" s="354" t="s">
        <v>115</v>
      </c>
      <c r="I227" s="355">
        <f>WORK!K1949</f>
        <v>500</v>
      </c>
      <c r="J227" s="353">
        <f t="shared" si="45"/>
        <v>0</v>
      </c>
      <c r="K227" s="1912"/>
      <c r="L227" s="1912"/>
      <c r="M227" s="708" t="s">
        <v>2308</v>
      </c>
      <c r="N227" s="223"/>
      <c r="O227" s="706">
        <f t="shared" si="42"/>
        <v>0</v>
      </c>
    </row>
    <row r="228" spans="1:15" s="360" customFormat="1" ht="15" hidden="1">
      <c r="A228" s="356" t="s">
        <v>492</v>
      </c>
      <c r="B228" s="707" t="s">
        <v>1484</v>
      </c>
      <c r="C228" s="633"/>
      <c r="D228" s="354"/>
      <c r="E228" s="622"/>
      <c r="F228" s="353"/>
      <c r="G228" s="358">
        <f>WORK!I1954</f>
        <v>0</v>
      </c>
      <c r="H228" s="354" t="s">
        <v>115</v>
      </c>
      <c r="I228" s="355">
        <f>WORK!K1954</f>
        <v>550</v>
      </c>
      <c r="J228" s="353">
        <f>ROUND(G228*I228,0)</f>
        <v>0</v>
      </c>
      <c r="K228" s="1912"/>
      <c r="L228" s="1912"/>
      <c r="M228" s="708" t="s">
        <v>2321</v>
      </c>
      <c r="N228" s="223"/>
      <c r="O228" s="706">
        <f t="shared" si="42"/>
        <v>0</v>
      </c>
    </row>
    <row r="229" spans="1:15" s="360" customFormat="1" ht="15" hidden="1">
      <c r="A229" s="356" t="s">
        <v>492</v>
      </c>
      <c r="B229" s="707" t="s">
        <v>1484</v>
      </c>
      <c r="C229" s="633"/>
      <c r="D229" s="354"/>
      <c r="E229" s="622"/>
      <c r="F229" s="353"/>
      <c r="G229" s="358">
        <f>WORK!I1959</f>
        <v>0</v>
      </c>
      <c r="H229" s="354" t="s">
        <v>115</v>
      </c>
      <c r="I229" s="355">
        <f>WORK!K1959</f>
        <v>606</v>
      </c>
      <c r="J229" s="353">
        <f>ROUND(G229*I229,0)</f>
        <v>0</v>
      </c>
      <c r="K229" s="1913"/>
      <c r="L229" s="1913"/>
      <c r="M229" s="708" t="s">
        <v>2322</v>
      </c>
      <c r="N229" s="223"/>
      <c r="O229" s="706">
        <f t="shared" si="42"/>
        <v>0</v>
      </c>
    </row>
    <row r="230" spans="1:15" s="360" customFormat="1" ht="15" hidden="1">
      <c r="A230" s="356" t="s">
        <v>508</v>
      </c>
      <c r="B230" s="707" t="s">
        <v>1485</v>
      </c>
      <c r="C230" s="633"/>
      <c r="D230" s="354"/>
      <c r="E230" s="622"/>
      <c r="F230" s="353"/>
      <c r="G230" s="358">
        <f>WORK!I1964</f>
        <v>0</v>
      </c>
      <c r="H230" s="354" t="s">
        <v>115</v>
      </c>
      <c r="I230" s="355">
        <f>WORK!K1964</f>
        <v>130</v>
      </c>
      <c r="J230" s="353">
        <f t="shared" si="45"/>
        <v>0</v>
      </c>
      <c r="K230" s="1911">
        <f>IF((J230+J231+J232+J233)&gt;(F230+F231+F232+F233),(J230+J231+J232+J233)-(F230+F231+F232+F233),0)</f>
        <v>0</v>
      </c>
      <c r="L230" s="1911">
        <f>IF((J230+J231+J232+J233)&lt;(F230+F231+F232+F233),(F230+F231+F232+F233)-(J230+J231+J232+J233),0)</f>
        <v>0</v>
      </c>
      <c r="M230" s="708" t="s">
        <v>2226</v>
      </c>
      <c r="N230" s="223"/>
      <c r="O230" s="706">
        <f t="shared" si="42"/>
        <v>0</v>
      </c>
    </row>
    <row r="231" spans="1:15" s="360" customFormat="1" ht="15" hidden="1">
      <c r="A231" s="356" t="s">
        <v>508</v>
      </c>
      <c r="B231" s="707" t="s">
        <v>1485</v>
      </c>
      <c r="C231" s="633"/>
      <c r="D231" s="354"/>
      <c r="E231" s="622"/>
      <c r="F231" s="353"/>
      <c r="G231" s="358">
        <f>WORK!I1969</f>
        <v>0</v>
      </c>
      <c r="H231" s="354" t="s">
        <v>115</v>
      </c>
      <c r="I231" s="355">
        <f>WORK!K1969</f>
        <v>130</v>
      </c>
      <c r="J231" s="353">
        <f t="shared" si="45"/>
        <v>0</v>
      </c>
      <c r="K231" s="1912"/>
      <c r="L231" s="1912"/>
      <c r="M231" s="708" t="s">
        <v>2308</v>
      </c>
      <c r="N231" s="223"/>
      <c r="O231" s="706">
        <f t="shared" si="42"/>
        <v>0</v>
      </c>
    </row>
    <row r="232" spans="1:15" s="360" customFormat="1" ht="15" hidden="1">
      <c r="A232" s="356" t="s">
        <v>508</v>
      </c>
      <c r="B232" s="707" t="s">
        <v>1485</v>
      </c>
      <c r="C232" s="633"/>
      <c r="D232" s="354"/>
      <c r="E232" s="622"/>
      <c r="F232" s="353"/>
      <c r="G232" s="358">
        <f>WORK!I1974</f>
        <v>0</v>
      </c>
      <c r="H232" s="354" t="s">
        <v>115</v>
      </c>
      <c r="I232" s="355">
        <f>WORK!K1974</f>
        <v>143</v>
      </c>
      <c r="J232" s="353">
        <f>ROUND(G232*I232,0)</f>
        <v>0</v>
      </c>
      <c r="K232" s="1912"/>
      <c r="L232" s="1912"/>
      <c r="M232" s="708" t="s">
        <v>2321</v>
      </c>
      <c r="N232" s="223"/>
      <c r="O232" s="706">
        <f t="shared" si="42"/>
        <v>0</v>
      </c>
    </row>
    <row r="233" spans="1:15" s="360" customFormat="1" ht="15" hidden="1">
      <c r="A233" s="356" t="s">
        <v>508</v>
      </c>
      <c r="B233" s="707" t="s">
        <v>1485</v>
      </c>
      <c r="C233" s="633"/>
      <c r="D233" s="354"/>
      <c r="E233" s="622"/>
      <c r="F233" s="353"/>
      <c r="G233" s="358">
        <f>WORK!I1979</f>
        <v>0</v>
      </c>
      <c r="H233" s="354" t="s">
        <v>115</v>
      </c>
      <c r="I233" s="355">
        <f>WORK!K1979</f>
        <v>157</v>
      </c>
      <c r="J233" s="353">
        <f>ROUND(G233*I233,0)</f>
        <v>0</v>
      </c>
      <c r="K233" s="1913"/>
      <c r="L233" s="1913"/>
      <c r="M233" s="708" t="s">
        <v>2322</v>
      </c>
      <c r="N233" s="223"/>
      <c r="O233" s="706">
        <f t="shared" si="42"/>
        <v>0</v>
      </c>
    </row>
    <row r="234" spans="1:15" s="1448" customFormat="1" ht="38.25">
      <c r="A234" s="1436" t="s">
        <v>493</v>
      </c>
      <c r="B234" s="1437" t="s">
        <v>3292</v>
      </c>
      <c r="C234" s="1468">
        <v>5.492</v>
      </c>
      <c r="D234" s="1355" t="s">
        <v>29</v>
      </c>
      <c r="E234" s="1221">
        <v>54355</v>
      </c>
      <c r="F234" s="1440">
        <f>ROUND(C234*E234/1,0)</f>
        <v>298518</v>
      </c>
      <c r="G234" s="1469">
        <f>WORK!I1989</f>
        <v>4.88</v>
      </c>
      <c r="H234" s="1470" t="s">
        <v>29</v>
      </c>
      <c r="I234" s="1471">
        <f>WORK!K1989</f>
        <v>62198.5</v>
      </c>
      <c r="J234" s="1444">
        <f t="shared" si="45"/>
        <v>303529</v>
      </c>
      <c r="K234" s="1911">
        <f>IF((J234+J235+J236+J237)&gt;(F234+F235+F236+F237),(J234+J235+J236+J237)-(F234+F235+F236+F237),0)</f>
        <v>5011</v>
      </c>
      <c r="L234" s="1911">
        <f>IF((J234+J235+J236+J237)&lt;(F234+F235+F236+F237),(F234+F235+F236+F237)-(J234+J235+J236+J237),0)</f>
        <v>0</v>
      </c>
      <c r="M234" s="1445" t="s">
        <v>2226</v>
      </c>
      <c r="N234" s="1446"/>
      <c r="O234" s="1447">
        <f t="shared" si="42"/>
        <v>-5011</v>
      </c>
    </row>
    <row r="235" spans="1:15" s="1448" customFormat="1" ht="38.25" hidden="1">
      <c r="A235" s="1436" t="s">
        <v>513</v>
      </c>
      <c r="B235" s="1437" t="s">
        <v>3292</v>
      </c>
      <c r="C235" s="1337"/>
      <c r="D235" s="1355"/>
      <c r="E235" s="1221"/>
      <c r="F235" s="1450"/>
      <c r="G235" s="1469">
        <f>WORK!I1994</f>
        <v>0</v>
      </c>
      <c r="H235" s="1470" t="s">
        <v>29</v>
      </c>
      <c r="I235" s="1471">
        <f>WORK!K1994</f>
        <v>62385</v>
      </c>
      <c r="J235" s="1444">
        <f t="shared" si="45"/>
        <v>0</v>
      </c>
      <c r="K235" s="1912"/>
      <c r="L235" s="1912"/>
      <c r="M235" s="1451" t="s">
        <v>2308</v>
      </c>
      <c r="N235" s="1446"/>
      <c r="O235" s="1452">
        <f t="shared" si="42"/>
        <v>0</v>
      </c>
    </row>
    <row r="236" spans="1:15" s="1448" customFormat="1" ht="15" hidden="1">
      <c r="A236" s="1436" t="s">
        <v>514</v>
      </c>
      <c r="B236" s="1437" t="s">
        <v>477</v>
      </c>
      <c r="C236" s="1337"/>
      <c r="D236" s="1355"/>
      <c r="E236" s="1221"/>
      <c r="F236" s="1450"/>
      <c r="G236" s="1485">
        <f>WORK!I1999</f>
        <v>0</v>
      </c>
      <c r="H236" s="1355" t="s">
        <v>29</v>
      </c>
      <c r="I236" s="1486">
        <f>WORK!K1999</f>
        <v>79809.5</v>
      </c>
      <c r="J236" s="1450">
        <f>ROUND(G236*I236,0)</f>
        <v>0</v>
      </c>
      <c r="K236" s="1912"/>
      <c r="L236" s="1912"/>
      <c r="M236" s="1451" t="s">
        <v>2321</v>
      </c>
      <c r="N236" s="1446"/>
      <c r="O236" s="1452">
        <f t="shared" si="42"/>
        <v>0</v>
      </c>
    </row>
    <row r="237" spans="1:15" s="360" customFormat="1" ht="38.25" hidden="1">
      <c r="A237" s="356" t="s">
        <v>514</v>
      </c>
      <c r="B237" s="707" t="s">
        <v>3292</v>
      </c>
      <c r="C237" s="554"/>
      <c r="D237" s="221"/>
      <c r="E237" s="10"/>
      <c r="F237" s="353"/>
      <c r="G237" s="429">
        <f>WORK!I2004</f>
        <v>0</v>
      </c>
      <c r="H237" s="221" t="s">
        <v>29</v>
      </c>
      <c r="I237" s="430">
        <f>WORK!K2004</f>
        <v>92466</v>
      </c>
      <c r="J237" s="353">
        <f>ROUND(G237*I237,0)</f>
        <v>0</v>
      </c>
      <c r="K237" s="1913"/>
      <c r="L237" s="1913"/>
      <c r="M237" s="708" t="s">
        <v>2322</v>
      </c>
      <c r="N237" s="223"/>
      <c r="O237" s="706">
        <f t="shared" si="42"/>
        <v>0</v>
      </c>
    </row>
    <row r="238" spans="1:15" s="360" customFormat="1" ht="51" hidden="1">
      <c r="A238" s="356" t="s">
        <v>1521</v>
      </c>
      <c r="B238" s="707" t="s">
        <v>3293</v>
      </c>
      <c r="C238" s="1113"/>
      <c r="D238" s="919" t="s">
        <v>872</v>
      </c>
      <c r="E238" s="570">
        <v>51205</v>
      </c>
      <c r="F238" s="917">
        <f>ROUND(C238*E238/1000,0)</f>
        <v>0</v>
      </c>
      <c r="G238" s="358"/>
      <c r="H238" s="354"/>
      <c r="I238" s="355"/>
      <c r="J238" s="353">
        <f t="shared" ref="J238" si="46">ROUND(G238*I238,0)</f>
        <v>0</v>
      </c>
      <c r="K238" s="743">
        <f t="shared" ref="K238" si="47">IF(J238&gt;F238,J238-F238,0)</f>
        <v>0</v>
      </c>
      <c r="L238" s="368">
        <f t="shared" ref="L238" si="48">IF(J238&lt;F238,F238-J238,0)</f>
        <v>0</v>
      </c>
      <c r="M238" s="1139" t="s">
        <v>2226</v>
      </c>
      <c r="N238" s="223"/>
      <c r="O238" s="1138">
        <f t="shared" si="42"/>
        <v>0</v>
      </c>
    </row>
    <row r="239" spans="1:15" s="26" customFormat="1" ht="15" hidden="1">
      <c r="A239" s="23"/>
      <c r="B239" s="702" t="s">
        <v>496</v>
      </c>
      <c r="C239" s="713"/>
      <c r="D239" s="714"/>
      <c r="E239" s="715"/>
      <c r="F239" s="716"/>
      <c r="G239" s="28"/>
      <c r="H239" s="224"/>
      <c r="I239" s="37"/>
      <c r="J239" s="11">
        <f t="shared" ref="J239" si="49">ROUND(G239*I239,0)</f>
        <v>0</v>
      </c>
      <c r="K239" s="25"/>
      <c r="L239" s="25"/>
      <c r="M239" s="1139" t="s">
        <v>2226</v>
      </c>
      <c r="N239" s="223"/>
      <c r="O239" s="1138"/>
    </row>
    <row r="240" spans="1:15" s="360" customFormat="1" ht="51" hidden="1">
      <c r="A240" s="356" t="s">
        <v>497</v>
      </c>
      <c r="B240" s="707" t="s">
        <v>3267</v>
      </c>
      <c r="C240" s="571"/>
      <c r="D240" s="916" t="s">
        <v>5</v>
      </c>
      <c r="E240" s="10">
        <v>9147.9419999999991</v>
      </c>
      <c r="F240" s="917">
        <f t="shared" ref="F240" si="50">ROUND(C240*E240,0)</f>
        <v>0</v>
      </c>
      <c r="G240" s="358">
        <f>FF!I16</f>
        <v>0</v>
      </c>
      <c r="H240" s="354" t="s">
        <v>5</v>
      </c>
      <c r="I240" s="355">
        <f>FF!K16</f>
        <v>9806.8100000000013</v>
      </c>
      <c r="J240" s="353">
        <f t="shared" ref="J240:J288" si="51">ROUND(G240*I240,0)</f>
        <v>0</v>
      </c>
      <c r="K240" s="1911">
        <f>IF((J240+J241+J242+J243)&gt;(F240+F241+F242+F243),(J240+J241+J242+J243)-(F240+F241+F242+F243),0)</f>
        <v>0</v>
      </c>
      <c r="L240" s="1911">
        <f>IF((J240+J241+J242+J243)&lt;(F240+F241+F242+F243),(F240+F241+F242+F243)-(J240+J241+J242+J243),0)</f>
        <v>0</v>
      </c>
      <c r="M240" s="1139" t="s">
        <v>2226</v>
      </c>
      <c r="N240" s="223"/>
      <c r="O240" s="1138">
        <f t="shared" si="42"/>
        <v>0</v>
      </c>
    </row>
    <row r="241" spans="1:15" s="360" customFormat="1" ht="15" hidden="1">
      <c r="A241" s="356" t="s">
        <v>495</v>
      </c>
      <c r="B241" s="707" t="s">
        <v>2068</v>
      </c>
      <c r="C241" s="709"/>
      <c r="D241" s="354"/>
      <c r="E241" s="10"/>
      <c r="F241" s="353"/>
      <c r="G241" s="358">
        <f>FF!I21</f>
        <v>0</v>
      </c>
      <c r="H241" s="354" t="s">
        <v>5</v>
      </c>
      <c r="I241" s="355">
        <f>FF!K21</f>
        <v>10177.17</v>
      </c>
      <c r="J241" s="353">
        <f>ROUND(G241*I241,0)</f>
        <v>0</v>
      </c>
      <c r="K241" s="1912"/>
      <c r="L241" s="1912"/>
      <c r="M241" s="708" t="s">
        <v>2308</v>
      </c>
      <c r="N241" s="223"/>
      <c r="O241" s="706">
        <f t="shared" si="42"/>
        <v>0</v>
      </c>
    </row>
    <row r="242" spans="1:15" s="360" customFormat="1" ht="15" hidden="1">
      <c r="A242" s="356" t="s">
        <v>495</v>
      </c>
      <c r="B242" s="707" t="s">
        <v>2068</v>
      </c>
      <c r="C242" s="709"/>
      <c r="D242" s="354"/>
      <c r="E242" s="10"/>
      <c r="F242" s="353"/>
      <c r="G242" s="358">
        <f>FF!I30</f>
        <v>0</v>
      </c>
      <c r="H242" s="354" t="s">
        <v>5</v>
      </c>
      <c r="I242" s="355">
        <f>FF!K30</f>
        <v>10761.36</v>
      </c>
      <c r="J242" s="353">
        <f>ROUND(G242*I242,0)</f>
        <v>0</v>
      </c>
      <c r="K242" s="1912"/>
      <c r="L242" s="1912"/>
      <c r="M242" s="708" t="s">
        <v>2321</v>
      </c>
      <c r="N242" s="223"/>
      <c r="O242" s="706">
        <f t="shared" si="42"/>
        <v>0</v>
      </c>
    </row>
    <row r="243" spans="1:15" s="360" customFormat="1" ht="15" hidden="1">
      <c r="A243" s="356" t="s">
        <v>495</v>
      </c>
      <c r="B243" s="707" t="s">
        <v>2068</v>
      </c>
      <c r="C243" s="709"/>
      <c r="D243" s="354"/>
      <c r="E243" s="10"/>
      <c r="F243" s="353"/>
      <c r="G243" s="358">
        <f>FF!I35</f>
        <v>0</v>
      </c>
      <c r="H243" s="354" t="s">
        <v>5</v>
      </c>
      <c r="I243" s="355">
        <f>FF!K35</f>
        <v>11192.01</v>
      </c>
      <c r="J243" s="353">
        <f>ROUND(G243*I243,0)</f>
        <v>0</v>
      </c>
      <c r="K243" s="1913"/>
      <c r="L243" s="1913"/>
      <c r="M243" s="708" t="s">
        <v>2322</v>
      </c>
      <c r="N243" s="223"/>
      <c r="O243" s="706">
        <f t="shared" si="42"/>
        <v>0</v>
      </c>
    </row>
    <row r="244" spans="1:15" s="360" customFormat="1" ht="51" hidden="1">
      <c r="A244" s="356" t="s">
        <v>498</v>
      </c>
      <c r="B244" s="707" t="s">
        <v>3269</v>
      </c>
      <c r="C244" s="571"/>
      <c r="D244" s="916" t="s">
        <v>5</v>
      </c>
      <c r="E244" s="10">
        <v>8812.9680000000008</v>
      </c>
      <c r="F244" s="917">
        <f t="shared" ref="F244" si="52">ROUND(C244*E244,0)</f>
        <v>0</v>
      </c>
      <c r="G244" s="358">
        <f>FF!I59</f>
        <v>0</v>
      </c>
      <c r="H244" s="354" t="s">
        <v>5</v>
      </c>
      <c r="I244" s="355">
        <f>FF!K59</f>
        <v>9468.130000000001</v>
      </c>
      <c r="J244" s="353">
        <f t="shared" si="51"/>
        <v>0</v>
      </c>
      <c r="K244" s="1911">
        <f>IF((J244+J245+J246+J247)&gt;(F244+F245+F246+F247),(J244+J245+J246+J247)-(F244+F245+F246+F247),0)</f>
        <v>0</v>
      </c>
      <c r="L244" s="1911">
        <f>IF((J244+J245+J246+J247)&lt;(F244+F245+F246+F247),(F244+F245+F246+F247)-(J244+J245+J246+J247),0)</f>
        <v>0</v>
      </c>
      <c r="M244" s="1139" t="s">
        <v>2226</v>
      </c>
      <c r="N244" s="223"/>
      <c r="O244" s="1138">
        <f t="shared" si="42"/>
        <v>0</v>
      </c>
    </row>
    <row r="245" spans="1:15" s="360" customFormat="1" ht="15" hidden="1">
      <c r="A245" s="356" t="s">
        <v>510</v>
      </c>
      <c r="B245" s="707" t="s">
        <v>2070</v>
      </c>
      <c r="C245" s="709"/>
      <c r="D245" s="354"/>
      <c r="E245" s="10"/>
      <c r="F245" s="353"/>
      <c r="G245" s="358">
        <f>FF!I74</f>
        <v>0</v>
      </c>
      <c r="H245" s="354" t="s">
        <v>5</v>
      </c>
      <c r="I245" s="355">
        <f>FF!K74</f>
        <v>9694.16</v>
      </c>
      <c r="J245" s="353">
        <f>ROUND(G245*I245,0)</f>
        <v>0</v>
      </c>
      <c r="K245" s="1912"/>
      <c r="L245" s="1912"/>
      <c r="M245" s="708" t="s">
        <v>2308</v>
      </c>
      <c r="N245" s="223"/>
      <c r="O245" s="706">
        <f t="shared" si="42"/>
        <v>0</v>
      </c>
    </row>
    <row r="246" spans="1:15" s="360" customFormat="1" ht="15" hidden="1">
      <c r="A246" s="356" t="s">
        <v>1517</v>
      </c>
      <c r="B246" s="707" t="s">
        <v>2070</v>
      </c>
      <c r="C246" s="709"/>
      <c r="D246" s="354"/>
      <c r="E246" s="10"/>
      <c r="F246" s="353"/>
      <c r="G246" s="358">
        <f>FF!I98</f>
        <v>0</v>
      </c>
      <c r="H246" s="354" t="s">
        <v>5</v>
      </c>
      <c r="I246" s="355">
        <f>FF!K98</f>
        <v>10194.73</v>
      </c>
      <c r="J246" s="353">
        <f>ROUND(G246*I246,0)</f>
        <v>0</v>
      </c>
      <c r="K246" s="1912"/>
      <c r="L246" s="1912"/>
      <c r="M246" s="708" t="s">
        <v>2321</v>
      </c>
      <c r="N246" s="223"/>
      <c r="O246" s="706">
        <f t="shared" si="42"/>
        <v>0</v>
      </c>
    </row>
    <row r="247" spans="1:15" s="360" customFormat="1" ht="15" hidden="1">
      <c r="A247" s="356" t="s">
        <v>1517</v>
      </c>
      <c r="B247" s="707" t="s">
        <v>2070</v>
      </c>
      <c r="C247" s="709"/>
      <c r="D247" s="354"/>
      <c r="E247" s="10"/>
      <c r="F247" s="353"/>
      <c r="G247" s="358">
        <f>FF!I104</f>
        <v>0</v>
      </c>
      <c r="H247" s="354" t="s">
        <v>5</v>
      </c>
      <c r="I247" s="355">
        <f>FF!K104</f>
        <v>10490.18</v>
      </c>
      <c r="J247" s="353">
        <f>ROUND(G247*I247,0)</f>
        <v>0</v>
      </c>
      <c r="K247" s="1913"/>
      <c r="L247" s="1913"/>
      <c r="M247" s="708" t="s">
        <v>2322</v>
      </c>
      <c r="N247" s="223"/>
      <c r="O247" s="706">
        <f t="shared" si="42"/>
        <v>0</v>
      </c>
    </row>
    <row r="248" spans="1:15" s="360" customFormat="1" ht="51" hidden="1">
      <c r="A248" s="356" t="s">
        <v>499</v>
      </c>
      <c r="B248" s="707" t="s">
        <v>3270</v>
      </c>
      <c r="C248" s="571"/>
      <c r="D248" s="916" t="s">
        <v>102</v>
      </c>
      <c r="E248" s="10">
        <v>1150.248</v>
      </c>
      <c r="F248" s="917">
        <f t="shared" ref="F248" si="53">ROUND(C248*E248,0)</f>
        <v>0</v>
      </c>
      <c r="G248" s="358">
        <f>FF!I140</f>
        <v>0</v>
      </c>
      <c r="H248" s="354" t="s">
        <v>102</v>
      </c>
      <c r="I248" s="355">
        <f>FF!K140</f>
        <v>1231.97</v>
      </c>
      <c r="J248" s="353">
        <f t="shared" si="51"/>
        <v>0</v>
      </c>
      <c r="K248" s="1911">
        <f>IF((J248+J249+J250+J251)&gt;(F248+F249+F250+F251),(J248+J249+J250+J251)-(F248+F249+F250+F251),0)</f>
        <v>0</v>
      </c>
      <c r="L248" s="1911">
        <f>IF((J248+J249+J250+J251)&lt;(F248+F249+F250+F251),(F248+F249+F250+F251)-(J248+J249+J250+J251),0)</f>
        <v>0</v>
      </c>
      <c r="M248" s="1139" t="s">
        <v>2226</v>
      </c>
      <c r="N248" s="223"/>
      <c r="O248" s="1138">
        <f t="shared" si="42"/>
        <v>0</v>
      </c>
    </row>
    <row r="249" spans="1:15" s="360" customFormat="1" ht="15" hidden="1">
      <c r="A249" s="356" t="s">
        <v>512</v>
      </c>
      <c r="B249" s="707" t="s">
        <v>2071</v>
      </c>
      <c r="C249" s="709"/>
      <c r="D249" s="354"/>
      <c r="E249" s="10"/>
      <c r="F249" s="353"/>
      <c r="G249" s="358">
        <f>FF!I146</f>
        <v>0</v>
      </c>
      <c r="H249" s="354" t="s">
        <v>102</v>
      </c>
      <c r="I249" s="355">
        <f>FF!K146</f>
        <v>1269.73</v>
      </c>
      <c r="J249" s="353">
        <f>ROUND(G249*I249,0)</f>
        <v>0</v>
      </c>
      <c r="K249" s="1912"/>
      <c r="L249" s="1912"/>
      <c r="M249" s="708" t="s">
        <v>2308</v>
      </c>
      <c r="N249" s="223"/>
      <c r="O249" s="706">
        <f t="shared" si="42"/>
        <v>0</v>
      </c>
    </row>
    <row r="250" spans="1:15" s="360" customFormat="1" ht="15" hidden="1">
      <c r="A250" s="356" t="s">
        <v>1518</v>
      </c>
      <c r="B250" s="707" t="s">
        <v>2071</v>
      </c>
      <c r="C250" s="709"/>
      <c r="D250" s="354"/>
      <c r="E250" s="10"/>
      <c r="F250" s="353"/>
      <c r="G250" s="358">
        <f>FF!I153</f>
        <v>0</v>
      </c>
      <c r="H250" s="354" t="s">
        <v>102</v>
      </c>
      <c r="I250" s="355">
        <f>FF!K153</f>
        <v>1350.5700000000002</v>
      </c>
      <c r="J250" s="353">
        <f>ROUND(G250*I250,0)</f>
        <v>0</v>
      </c>
      <c r="K250" s="1912"/>
      <c r="L250" s="1912"/>
      <c r="M250" s="708" t="s">
        <v>2321</v>
      </c>
      <c r="N250" s="223"/>
      <c r="O250" s="706">
        <f t="shared" si="42"/>
        <v>0</v>
      </c>
    </row>
    <row r="251" spans="1:15" s="360" customFormat="1" ht="15" hidden="1">
      <c r="A251" s="356" t="s">
        <v>1518</v>
      </c>
      <c r="B251" s="707" t="s">
        <v>2071</v>
      </c>
      <c r="C251" s="709"/>
      <c r="D251" s="354"/>
      <c r="E251" s="10"/>
      <c r="F251" s="353"/>
      <c r="G251" s="358">
        <f>FF!I159</f>
        <v>0</v>
      </c>
      <c r="H251" s="354" t="s">
        <v>102</v>
      </c>
      <c r="I251" s="355">
        <f>FF!K159</f>
        <v>1395.89</v>
      </c>
      <c r="J251" s="353">
        <f>ROUND(G251*I251,0)</f>
        <v>0</v>
      </c>
      <c r="K251" s="1913"/>
      <c r="L251" s="1913"/>
      <c r="M251" s="708" t="s">
        <v>2322</v>
      </c>
      <c r="N251" s="223"/>
      <c r="O251" s="706">
        <f t="shared" si="42"/>
        <v>0</v>
      </c>
    </row>
    <row r="252" spans="1:15" s="360" customFormat="1" ht="15" hidden="1">
      <c r="A252" s="356" t="s">
        <v>487</v>
      </c>
      <c r="B252" s="707" t="s">
        <v>2073</v>
      </c>
      <c r="C252" s="633"/>
      <c r="D252" s="354"/>
      <c r="E252" s="622"/>
      <c r="F252" s="353"/>
      <c r="G252" s="358">
        <f>FF!I164</f>
        <v>0</v>
      </c>
      <c r="H252" s="354" t="s">
        <v>102</v>
      </c>
      <c r="I252" s="355">
        <f>FF!K164</f>
        <v>1107.81</v>
      </c>
      <c r="J252" s="353">
        <f t="shared" si="51"/>
        <v>0</v>
      </c>
      <c r="K252" s="1911">
        <f>IF((J252+J253+J254+J255)&gt;(F252+F253+F254+F255),(J252+J253+J254+J255)-(F252+F253+F254+F255),0)</f>
        <v>0</v>
      </c>
      <c r="L252" s="1911">
        <f>IF((J252+J253+J254+J255)&lt;(F252+F253+F254+F255),(F252+F253+F254+F255)-(J252+J253+J254+J255),0)</f>
        <v>0</v>
      </c>
      <c r="M252" s="708" t="s">
        <v>2226</v>
      </c>
      <c r="N252" s="223"/>
      <c r="O252" s="706">
        <f t="shared" si="42"/>
        <v>0</v>
      </c>
    </row>
    <row r="253" spans="1:15" s="360" customFormat="1" ht="15" hidden="1">
      <c r="A253" s="356" t="s">
        <v>487</v>
      </c>
      <c r="B253" s="707" t="s">
        <v>2073</v>
      </c>
      <c r="C253" s="633"/>
      <c r="D253" s="354"/>
      <c r="E253" s="622"/>
      <c r="F253" s="353"/>
      <c r="G253" s="358">
        <f>FF!I169</f>
        <v>0</v>
      </c>
      <c r="H253" s="354" t="s">
        <v>102</v>
      </c>
      <c r="I253" s="355">
        <f>FF!K169</f>
        <v>1140.19</v>
      </c>
      <c r="J253" s="353">
        <f>ROUND(G253*I253,0)</f>
        <v>0</v>
      </c>
      <c r="K253" s="1912"/>
      <c r="L253" s="1912"/>
      <c r="M253" s="708" t="s">
        <v>2308</v>
      </c>
      <c r="N253" s="223"/>
      <c r="O253" s="706">
        <f t="shared" si="42"/>
        <v>0</v>
      </c>
    </row>
    <row r="254" spans="1:15" s="360" customFormat="1" ht="15" hidden="1">
      <c r="A254" s="356" t="s">
        <v>487</v>
      </c>
      <c r="B254" s="707" t="s">
        <v>2073</v>
      </c>
      <c r="C254" s="633"/>
      <c r="D254" s="354"/>
      <c r="E254" s="622"/>
      <c r="F254" s="353"/>
      <c r="G254" s="358">
        <f>FF!I174</f>
        <v>0</v>
      </c>
      <c r="H254" s="354" t="s">
        <v>102</v>
      </c>
      <c r="I254" s="355">
        <f>FF!K174</f>
        <v>1214.83</v>
      </c>
      <c r="J254" s="353">
        <f>ROUND(G254*I254,0)</f>
        <v>0</v>
      </c>
      <c r="K254" s="1912"/>
      <c r="L254" s="1912"/>
      <c r="M254" s="708" t="s">
        <v>2321</v>
      </c>
      <c r="N254" s="223"/>
      <c r="O254" s="706">
        <f t="shared" si="42"/>
        <v>0</v>
      </c>
    </row>
    <row r="255" spans="1:15" s="360" customFormat="1" ht="15" hidden="1">
      <c r="A255" s="356" t="s">
        <v>487</v>
      </c>
      <c r="B255" s="707" t="s">
        <v>2073</v>
      </c>
      <c r="C255" s="633"/>
      <c r="D255" s="354"/>
      <c r="E255" s="622"/>
      <c r="F255" s="353"/>
      <c r="G255" s="358">
        <f>FF!I179</f>
        <v>0</v>
      </c>
      <c r="H255" s="354" t="s">
        <v>102</v>
      </c>
      <c r="I255" s="355">
        <f>FF!K179</f>
        <v>1253.01</v>
      </c>
      <c r="J255" s="353">
        <f>ROUND(G255*I255,0)</f>
        <v>0</v>
      </c>
      <c r="K255" s="1913"/>
      <c r="L255" s="1913"/>
      <c r="M255" s="708" t="s">
        <v>2322</v>
      </c>
      <c r="N255" s="223"/>
      <c r="O255" s="706">
        <f t="shared" si="42"/>
        <v>0</v>
      </c>
    </row>
    <row r="256" spans="1:15" s="360" customFormat="1" ht="51" hidden="1">
      <c r="A256" s="356" t="s">
        <v>500</v>
      </c>
      <c r="B256" s="707" t="s">
        <v>3271</v>
      </c>
      <c r="C256" s="1113"/>
      <c r="D256" s="919" t="s">
        <v>102</v>
      </c>
      <c r="E256" s="10">
        <v>1641.8836000000001</v>
      </c>
      <c r="F256" s="917">
        <f t="shared" ref="F256" si="54">ROUND(C256*E256,0)</f>
        <v>0</v>
      </c>
      <c r="G256" s="358">
        <f>FF!I112</f>
        <v>0</v>
      </c>
      <c r="H256" s="221" t="s">
        <v>102</v>
      </c>
      <c r="I256" s="355">
        <f>FF!K112</f>
        <v>1356.1200000000001</v>
      </c>
      <c r="J256" s="353">
        <f t="shared" si="51"/>
        <v>0</v>
      </c>
      <c r="K256" s="1911">
        <f>IF((J256+J257+J258+J259)&gt;(F256+F257+F258+F259),(J256+J257+J258+J259)-(F256+F257+F258+F259),0)</f>
        <v>0</v>
      </c>
      <c r="L256" s="1911">
        <f>IF((J256+J257+J258+J259)&lt;(F256+F257+F258+F259),(F256+F257+F258+F259)-(J256+J257+J258+J259),0)</f>
        <v>0</v>
      </c>
      <c r="M256" s="1139" t="s">
        <v>2226</v>
      </c>
      <c r="N256" s="223"/>
      <c r="O256" s="1138">
        <f t="shared" si="42"/>
        <v>0</v>
      </c>
    </row>
    <row r="257" spans="1:15" s="360" customFormat="1" ht="15" hidden="1">
      <c r="A257" s="356" t="s">
        <v>514</v>
      </c>
      <c r="B257" s="707" t="s">
        <v>2072</v>
      </c>
      <c r="C257" s="554"/>
      <c r="D257" s="221"/>
      <c r="E257" s="10"/>
      <c r="F257" s="353"/>
      <c r="G257" s="358">
        <f>FF!I120</f>
        <v>0</v>
      </c>
      <c r="H257" s="221" t="s">
        <v>102</v>
      </c>
      <c r="I257" s="355">
        <f>FF!K120</f>
        <v>1399.27</v>
      </c>
      <c r="J257" s="353">
        <f>ROUND(G257*I257,0)</f>
        <v>0</v>
      </c>
      <c r="K257" s="1912"/>
      <c r="L257" s="1912"/>
      <c r="M257" s="708" t="s">
        <v>2308</v>
      </c>
      <c r="N257" s="223"/>
      <c r="O257" s="706">
        <f t="shared" si="42"/>
        <v>0</v>
      </c>
    </row>
    <row r="258" spans="1:15" s="360" customFormat="1" ht="15" hidden="1">
      <c r="A258" s="356" t="s">
        <v>1519</v>
      </c>
      <c r="B258" s="707" t="s">
        <v>2072</v>
      </c>
      <c r="C258" s="554"/>
      <c r="D258" s="221"/>
      <c r="E258" s="10"/>
      <c r="F258" s="353"/>
      <c r="G258" s="358">
        <f>FF!I128</f>
        <v>0</v>
      </c>
      <c r="H258" s="221" t="s">
        <v>102</v>
      </c>
      <c r="I258" s="355">
        <f>FF!K128</f>
        <v>1486.3000000000002</v>
      </c>
      <c r="J258" s="353">
        <f>ROUND(G258*I258,0)</f>
        <v>0</v>
      </c>
      <c r="K258" s="1912"/>
      <c r="L258" s="1912"/>
      <c r="M258" s="708" t="s">
        <v>2321</v>
      </c>
      <c r="N258" s="223"/>
      <c r="O258" s="706">
        <f t="shared" si="42"/>
        <v>0</v>
      </c>
    </row>
    <row r="259" spans="1:15" s="360" customFormat="1" ht="15" hidden="1">
      <c r="A259" s="356" t="s">
        <v>1519</v>
      </c>
      <c r="B259" s="707" t="s">
        <v>2072</v>
      </c>
      <c r="C259" s="554"/>
      <c r="D259" s="221"/>
      <c r="E259" s="10"/>
      <c r="F259" s="353"/>
      <c r="G259" s="358">
        <f>FF!I133</f>
        <v>0</v>
      </c>
      <c r="H259" s="221" t="s">
        <v>102</v>
      </c>
      <c r="I259" s="355">
        <f>FF!K133</f>
        <v>1538.77</v>
      </c>
      <c r="J259" s="353">
        <f>ROUND(G259*I259,0)</f>
        <v>0</v>
      </c>
      <c r="K259" s="1913"/>
      <c r="L259" s="1913"/>
      <c r="M259" s="708" t="s">
        <v>2322</v>
      </c>
      <c r="N259" s="223"/>
      <c r="O259" s="706">
        <f t="shared" si="42"/>
        <v>0</v>
      </c>
    </row>
    <row r="260" spans="1:15" s="360" customFormat="1" ht="15" hidden="1">
      <c r="A260" s="356" t="s">
        <v>517</v>
      </c>
      <c r="B260" s="707" t="s">
        <v>2079</v>
      </c>
      <c r="C260" s="711"/>
      <c r="D260" s="221"/>
      <c r="E260" s="660"/>
      <c r="F260" s="353"/>
      <c r="G260" s="358">
        <f>FF!I185</f>
        <v>0</v>
      </c>
      <c r="H260" s="221" t="s">
        <v>102</v>
      </c>
      <c r="I260" s="355">
        <f>FF!K185</f>
        <v>608.34999999999991</v>
      </c>
      <c r="J260" s="353">
        <f t="shared" si="51"/>
        <v>0</v>
      </c>
      <c r="K260" s="1911">
        <f>IF((J260+J261+J262+J263)&gt;(F260+F261+F262+F263),(J260+J261+J262+J263)-(F260+F261+F262+F263),0)</f>
        <v>0</v>
      </c>
      <c r="L260" s="1911">
        <f>IF((J260+J261+J262+J263)&lt;(F260+F261+F262+F263),(F260+F261+F262+F263)-(J260+J261+J262+J263),0)</f>
        <v>0</v>
      </c>
      <c r="M260" s="708" t="s">
        <v>2226</v>
      </c>
      <c r="N260" s="223"/>
      <c r="O260" s="706">
        <f t="shared" si="42"/>
        <v>0</v>
      </c>
    </row>
    <row r="261" spans="1:15" s="360" customFormat="1" ht="15" hidden="1">
      <c r="A261" s="356" t="s">
        <v>517</v>
      </c>
      <c r="B261" s="707" t="s">
        <v>2079</v>
      </c>
      <c r="C261" s="711"/>
      <c r="D261" s="221"/>
      <c r="E261" s="660"/>
      <c r="F261" s="353"/>
      <c r="G261" s="358">
        <f>FF!I191</f>
        <v>0</v>
      </c>
      <c r="H261" s="221" t="s">
        <v>102</v>
      </c>
      <c r="I261" s="355">
        <f>FF!K191</f>
        <v>629.79</v>
      </c>
      <c r="J261" s="353">
        <f>ROUND(G261*I261,0)</f>
        <v>0</v>
      </c>
      <c r="K261" s="1912"/>
      <c r="L261" s="1912"/>
      <c r="M261" s="708" t="s">
        <v>2308</v>
      </c>
      <c r="N261" s="223"/>
      <c r="O261" s="706">
        <f t="shared" si="42"/>
        <v>0</v>
      </c>
    </row>
    <row r="262" spans="1:15" s="360" customFormat="1" ht="15" hidden="1">
      <c r="A262" s="356" t="s">
        <v>517</v>
      </c>
      <c r="B262" s="707" t="s">
        <v>2079</v>
      </c>
      <c r="C262" s="711"/>
      <c r="D262" s="221"/>
      <c r="E262" s="660"/>
      <c r="F262" s="353"/>
      <c r="G262" s="358">
        <f>FF!I197</f>
        <v>0</v>
      </c>
      <c r="H262" s="221" t="s">
        <v>102</v>
      </c>
      <c r="I262" s="355">
        <f>FF!K197</f>
        <v>670.91</v>
      </c>
      <c r="J262" s="353">
        <f>ROUND(G262*I262,0)</f>
        <v>0</v>
      </c>
      <c r="K262" s="1912"/>
      <c r="L262" s="1912"/>
      <c r="M262" s="708" t="s">
        <v>2321</v>
      </c>
      <c r="N262" s="223"/>
      <c r="O262" s="706">
        <f t="shared" si="42"/>
        <v>0</v>
      </c>
    </row>
    <row r="263" spans="1:15" s="360" customFormat="1" ht="15" hidden="1">
      <c r="A263" s="356" t="s">
        <v>517</v>
      </c>
      <c r="B263" s="707" t="s">
        <v>2079</v>
      </c>
      <c r="C263" s="711"/>
      <c r="D263" s="221"/>
      <c r="E263" s="660"/>
      <c r="F263" s="353"/>
      <c r="G263" s="358">
        <f>FF!I203</f>
        <v>0</v>
      </c>
      <c r="H263" s="221" t="s">
        <v>102</v>
      </c>
      <c r="I263" s="355">
        <f>FF!K203</f>
        <v>694.54</v>
      </c>
      <c r="J263" s="353">
        <f>ROUND(G263*I263,0)</f>
        <v>0</v>
      </c>
      <c r="K263" s="1913"/>
      <c r="L263" s="1913"/>
      <c r="M263" s="708" t="s">
        <v>2322</v>
      </c>
      <c r="N263" s="223"/>
      <c r="O263" s="706">
        <f t="shared" si="42"/>
        <v>0</v>
      </c>
    </row>
    <row r="264" spans="1:15" s="360" customFormat="1" ht="15" hidden="1">
      <c r="A264" s="356" t="s">
        <v>517</v>
      </c>
      <c r="B264" s="707" t="s">
        <v>2080</v>
      </c>
      <c r="C264" s="711"/>
      <c r="D264" s="221"/>
      <c r="E264" s="660"/>
      <c r="F264" s="353"/>
      <c r="G264" s="358">
        <f>FF!I209</f>
        <v>0</v>
      </c>
      <c r="H264" s="221" t="s">
        <v>102</v>
      </c>
      <c r="I264" s="355">
        <f>FF!K209</f>
        <v>485.58</v>
      </c>
      <c r="J264" s="353">
        <f t="shared" si="51"/>
        <v>0</v>
      </c>
      <c r="K264" s="1911">
        <f>IF((J264+J265+J266+J267)&gt;(F264+F265+F266+F267),(J264+J265+J266+J267)-(F264+F265+F266+F267),0)</f>
        <v>0</v>
      </c>
      <c r="L264" s="1911">
        <f>IF((J264+J265+J266+J267)&lt;(F264+F265+F266+F267),(F264+F265+F266+F267)-(J264+J265+J266+J267),0)</f>
        <v>0</v>
      </c>
      <c r="M264" s="708" t="s">
        <v>2226</v>
      </c>
      <c r="N264" s="223"/>
      <c r="O264" s="706">
        <f t="shared" si="42"/>
        <v>0</v>
      </c>
    </row>
    <row r="265" spans="1:15" s="360" customFormat="1" ht="15" hidden="1">
      <c r="A265" s="356" t="s">
        <v>517</v>
      </c>
      <c r="B265" s="707" t="s">
        <v>2080</v>
      </c>
      <c r="C265" s="711"/>
      <c r="D265" s="221"/>
      <c r="E265" s="660"/>
      <c r="F265" s="353"/>
      <c r="G265" s="358">
        <f>FF!I215</f>
        <v>0</v>
      </c>
      <c r="H265" s="221" t="s">
        <v>102</v>
      </c>
      <c r="I265" s="355">
        <f>FF!K215</f>
        <v>501.74</v>
      </c>
      <c r="J265" s="353">
        <f>ROUND(G265*I265,0)</f>
        <v>0</v>
      </c>
      <c r="K265" s="1912"/>
      <c r="L265" s="1912"/>
      <c r="M265" s="708" t="s">
        <v>2308</v>
      </c>
      <c r="N265" s="223"/>
      <c r="O265" s="706">
        <f t="shared" si="42"/>
        <v>0</v>
      </c>
    </row>
    <row r="266" spans="1:15" s="360" customFormat="1" ht="15" hidden="1">
      <c r="A266" s="356" t="s">
        <v>517</v>
      </c>
      <c r="B266" s="707" t="s">
        <v>2080</v>
      </c>
      <c r="C266" s="711"/>
      <c r="D266" s="221"/>
      <c r="E266" s="660"/>
      <c r="F266" s="353"/>
      <c r="G266" s="358">
        <f>FF!I221</f>
        <v>0</v>
      </c>
      <c r="H266" s="221" t="s">
        <v>102</v>
      </c>
      <c r="I266" s="355">
        <f>FF!K221</f>
        <v>536.78</v>
      </c>
      <c r="J266" s="353">
        <f>ROUND(G266*I266,0)</f>
        <v>0</v>
      </c>
      <c r="K266" s="1912"/>
      <c r="L266" s="1912"/>
      <c r="M266" s="708" t="s">
        <v>2321</v>
      </c>
      <c r="N266" s="223"/>
      <c r="O266" s="706">
        <f t="shared" si="42"/>
        <v>0</v>
      </c>
    </row>
    <row r="267" spans="1:15" s="360" customFormat="1" ht="15" hidden="1">
      <c r="A267" s="356" t="s">
        <v>517</v>
      </c>
      <c r="B267" s="707" t="s">
        <v>2080</v>
      </c>
      <c r="C267" s="711"/>
      <c r="D267" s="221"/>
      <c r="E267" s="660"/>
      <c r="F267" s="353"/>
      <c r="G267" s="358">
        <f>FF!I227</f>
        <v>0</v>
      </c>
      <c r="H267" s="221" t="s">
        <v>102</v>
      </c>
      <c r="I267" s="355">
        <f>FF!K227</f>
        <v>553.39</v>
      </c>
      <c r="J267" s="353">
        <f>ROUND(G267*I267,0)</f>
        <v>0</v>
      </c>
      <c r="K267" s="1913"/>
      <c r="L267" s="1913"/>
      <c r="M267" s="708" t="s">
        <v>2322</v>
      </c>
      <c r="N267" s="223"/>
      <c r="O267" s="706">
        <f t="shared" si="42"/>
        <v>0</v>
      </c>
    </row>
    <row r="268" spans="1:15" s="360" customFormat="1" ht="51" hidden="1">
      <c r="A268" s="356" t="s">
        <v>501</v>
      </c>
      <c r="B268" s="707" t="s">
        <v>3272</v>
      </c>
      <c r="C268" s="571"/>
      <c r="D268" s="916" t="s">
        <v>5</v>
      </c>
      <c r="E268" s="10">
        <v>9189.6419999999998</v>
      </c>
      <c r="F268" s="917">
        <f t="shared" ref="F268" si="55">ROUND(C268*E268,0)</f>
        <v>0</v>
      </c>
      <c r="G268" s="358">
        <f>FF!I238</f>
        <v>0</v>
      </c>
      <c r="H268" s="354" t="s">
        <v>5</v>
      </c>
      <c r="I268" s="355">
        <f>FF!K238</f>
        <v>9842.01</v>
      </c>
      <c r="J268" s="353">
        <f t="shared" si="51"/>
        <v>0</v>
      </c>
      <c r="K268" s="1911">
        <f>IF((J268+J269+J270+J271)&gt;(F268+F269+F270+F271),(J268+J269+J270+J271)-(F268+F269+F270+F271),0)</f>
        <v>0</v>
      </c>
      <c r="L268" s="1911">
        <f>IF((J268+J269+J270+J271)&lt;(F268+F269+F270+F271),(F268+F269+F270+F271)-(J268+J269+J270+J271),0)</f>
        <v>0</v>
      </c>
      <c r="M268" s="1139" t="s">
        <v>2226</v>
      </c>
      <c r="N268" s="223"/>
      <c r="O268" s="1138">
        <f t="shared" ref="O268:O331" si="56">F268-J268</f>
        <v>0</v>
      </c>
    </row>
    <row r="269" spans="1:15" s="360" customFormat="1" ht="15" hidden="1">
      <c r="A269" s="356" t="s">
        <v>516</v>
      </c>
      <c r="B269" s="707" t="s">
        <v>2076</v>
      </c>
      <c r="C269" s="709"/>
      <c r="D269" s="354"/>
      <c r="E269" s="10"/>
      <c r="F269" s="353"/>
      <c r="G269" s="358">
        <f>FF!I259</f>
        <v>0</v>
      </c>
      <c r="H269" s="354" t="s">
        <v>5</v>
      </c>
      <c r="I269" s="355">
        <f>FF!K259</f>
        <v>10212.370000000001</v>
      </c>
      <c r="J269" s="353">
        <f>ROUND(G269*I269,0)</f>
        <v>0</v>
      </c>
      <c r="K269" s="1912"/>
      <c r="L269" s="1912"/>
      <c r="M269" s="708" t="s">
        <v>2308</v>
      </c>
      <c r="N269" s="223"/>
      <c r="O269" s="706">
        <f t="shared" si="56"/>
        <v>0</v>
      </c>
    </row>
    <row r="270" spans="1:15" s="360" customFormat="1" ht="15" hidden="1">
      <c r="A270" s="356" t="s">
        <v>513</v>
      </c>
      <c r="B270" s="707" t="s">
        <v>2076</v>
      </c>
      <c r="C270" s="709"/>
      <c r="D270" s="354"/>
      <c r="E270" s="10"/>
      <c r="F270" s="353"/>
      <c r="G270" s="358">
        <f>FF!I270</f>
        <v>0</v>
      </c>
      <c r="H270" s="354" t="s">
        <v>5</v>
      </c>
      <c r="I270" s="355">
        <f>FF!K270</f>
        <v>10781.86</v>
      </c>
      <c r="J270" s="353">
        <f>ROUND(G270*I270,0)</f>
        <v>0</v>
      </c>
      <c r="K270" s="1912"/>
      <c r="L270" s="1912"/>
      <c r="M270" s="708" t="s">
        <v>2321</v>
      </c>
      <c r="N270" s="223"/>
      <c r="O270" s="706">
        <f t="shared" si="56"/>
        <v>0</v>
      </c>
    </row>
    <row r="271" spans="1:15" s="360" customFormat="1" ht="15" hidden="1">
      <c r="A271" s="356" t="s">
        <v>513</v>
      </c>
      <c r="B271" s="707" t="s">
        <v>2076</v>
      </c>
      <c r="C271" s="709"/>
      <c r="D271" s="354"/>
      <c r="E271" s="10"/>
      <c r="F271" s="353"/>
      <c r="G271" s="358">
        <f>FF!I276</f>
        <v>0</v>
      </c>
      <c r="H271" s="354" t="s">
        <v>5</v>
      </c>
      <c r="I271" s="355">
        <f>FF!K276</f>
        <v>11212.51</v>
      </c>
      <c r="J271" s="353">
        <f>ROUND(G271*I271,0)</f>
        <v>0</v>
      </c>
      <c r="K271" s="1913"/>
      <c r="L271" s="1913"/>
      <c r="M271" s="708" t="s">
        <v>2322</v>
      </c>
      <c r="N271" s="223"/>
      <c r="O271" s="706">
        <f t="shared" si="56"/>
        <v>0</v>
      </c>
    </row>
    <row r="272" spans="1:15" s="360" customFormat="1" ht="51" hidden="1">
      <c r="A272" s="356" t="s">
        <v>502</v>
      </c>
      <c r="B272" s="707" t="s">
        <v>3273</v>
      </c>
      <c r="C272" s="1113"/>
      <c r="D272" s="919" t="s">
        <v>277</v>
      </c>
      <c r="E272" s="10">
        <v>807.64800000000002</v>
      </c>
      <c r="F272" s="917">
        <f t="shared" ref="F272" si="57">ROUND(C272*E272,0)</f>
        <v>0</v>
      </c>
      <c r="G272" s="358">
        <f>FF!I282</f>
        <v>0</v>
      </c>
      <c r="H272" s="221" t="s">
        <v>277</v>
      </c>
      <c r="I272" s="355">
        <f>FF!K282</f>
        <v>568.34999999999991</v>
      </c>
      <c r="J272" s="353">
        <f t="shared" si="51"/>
        <v>0</v>
      </c>
      <c r="K272" s="1911">
        <f>IF((J272+J273+J274+J275)&gt;(F272+F273+F274+F275),(J272+J273+J274+J275)-(F272+F273+F274+F275),0)</f>
        <v>0</v>
      </c>
      <c r="L272" s="1911">
        <f>IF((J272+J273+J274+J275)&lt;(F272+F273+F274+F275),(F272+F273+F274+F275)-(J272+J273+J274+J275),0)</f>
        <v>0</v>
      </c>
      <c r="M272" s="1139" t="s">
        <v>2226</v>
      </c>
      <c r="N272" s="223"/>
      <c r="O272" s="1138">
        <f t="shared" si="56"/>
        <v>0</v>
      </c>
    </row>
    <row r="273" spans="1:15" s="360" customFormat="1" ht="15" hidden="1">
      <c r="A273" s="356" t="s">
        <v>518</v>
      </c>
      <c r="B273" s="707" t="s">
        <v>2077</v>
      </c>
      <c r="C273" s="554"/>
      <c r="D273" s="221"/>
      <c r="E273" s="10"/>
      <c r="F273" s="353"/>
      <c r="G273" s="358">
        <f>FF!I288</f>
        <v>0</v>
      </c>
      <c r="H273" s="221" t="s">
        <v>277</v>
      </c>
      <c r="I273" s="355">
        <f>FF!K288</f>
        <v>582.93999999999994</v>
      </c>
      <c r="J273" s="353">
        <f>ROUND(G273*I273,0)</f>
        <v>0</v>
      </c>
      <c r="K273" s="1912"/>
      <c r="L273" s="1912"/>
      <c r="M273" s="708" t="s">
        <v>2308</v>
      </c>
      <c r="N273" s="223"/>
      <c r="O273" s="706">
        <f t="shared" si="56"/>
        <v>0</v>
      </c>
    </row>
    <row r="274" spans="1:15" s="360" customFormat="1" ht="15" hidden="1">
      <c r="A274" s="356" t="s">
        <v>515</v>
      </c>
      <c r="B274" s="707" t="s">
        <v>2077</v>
      </c>
      <c r="C274" s="554"/>
      <c r="D274" s="221"/>
      <c r="E274" s="10"/>
      <c r="F274" s="353"/>
      <c r="G274" s="358">
        <f>FF!I295</f>
        <v>0</v>
      </c>
      <c r="H274" s="221" t="s">
        <v>277</v>
      </c>
      <c r="I274" s="355">
        <f>FF!K295</f>
        <v>613.88</v>
      </c>
      <c r="J274" s="353">
        <f>ROUND(G274*I274,0)</f>
        <v>0</v>
      </c>
      <c r="K274" s="1912"/>
      <c r="L274" s="1912"/>
      <c r="M274" s="708" t="s">
        <v>2321</v>
      </c>
      <c r="N274" s="223"/>
      <c r="O274" s="706">
        <f t="shared" si="56"/>
        <v>0</v>
      </c>
    </row>
    <row r="275" spans="1:15" s="360" customFormat="1" ht="15" hidden="1">
      <c r="A275" s="356" t="s">
        <v>515</v>
      </c>
      <c r="B275" s="707" t="s">
        <v>2077</v>
      </c>
      <c r="C275" s="554"/>
      <c r="D275" s="221"/>
      <c r="E275" s="10"/>
      <c r="F275" s="353"/>
      <c r="G275" s="358">
        <f>FF!I301</f>
        <v>0</v>
      </c>
      <c r="H275" s="221" t="s">
        <v>277</v>
      </c>
      <c r="I275" s="355">
        <f>FF!K301</f>
        <v>630.35</v>
      </c>
      <c r="J275" s="353">
        <f>ROUND(G275*I275,0)</f>
        <v>0</v>
      </c>
      <c r="K275" s="1913"/>
      <c r="L275" s="1913"/>
      <c r="M275" s="708" t="s">
        <v>2322</v>
      </c>
      <c r="N275" s="223"/>
      <c r="O275" s="706">
        <f t="shared" si="56"/>
        <v>0</v>
      </c>
    </row>
    <row r="276" spans="1:15" s="360" customFormat="1" ht="15" hidden="1">
      <c r="A276" s="356" t="s">
        <v>514</v>
      </c>
      <c r="B276" s="707" t="s">
        <v>1480</v>
      </c>
      <c r="C276" s="711"/>
      <c r="D276" s="221"/>
      <c r="E276" s="10"/>
      <c r="F276" s="353"/>
      <c r="G276" s="358">
        <f>FF!I307</f>
        <v>0</v>
      </c>
      <c r="H276" s="221" t="s">
        <v>102</v>
      </c>
      <c r="I276" s="355">
        <f>FF!K307</f>
        <v>278.81</v>
      </c>
      <c r="J276" s="353">
        <f t="shared" si="51"/>
        <v>0</v>
      </c>
      <c r="K276" s="1911">
        <f>IF((J276+J277+J278+J279)&gt;(F276+F277+F278+F279),(J276+J277+J278+J279)-(F276+F277+F278+F279),0)</f>
        <v>0</v>
      </c>
      <c r="L276" s="1911">
        <f>IF((J276+J277+J278+J279)&lt;(F276+F277+F278+F279),(F276+F277+F278+F279)-(J276+J277+J278+J279),0)</f>
        <v>0</v>
      </c>
      <c r="M276" s="708" t="s">
        <v>2226</v>
      </c>
      <c r="N276" s="223"/>
      <c r="O276" s="706">
        <f t="shared" si="56"/>
        <v>0</v>
      </c>
    </row>
    <row r="277" spans="1:15" s="360" customFormat="1" ht="15" hidden="1">
      <c r="A277" s="356" t="s">
        <v>519</v>
      </c>
      <c r="B277" s="707" t="s">
        <v>1480</v>
      </c>
      <c r="C277" s="711"/>
      <c r="D277" s="221"/>
      <c r="E277" s="10"/>
      <c r="F277" s="353"/>
      <c r="G277" s="358">
        <f>FF!I314</f>
        <v>0</v>
      </c>
      <c r="H277" s="221" t="s">
        <v>102</v>
      </c>
      <c r="I277" s="355">
        <f>FF!K314</f>
        <v>300.63</v>
      </c>
      <c r="J277" s="353">
        <f>ROUND(G277*I277,0)</f>
        <v>0</v>
      </c>
      <c r="K277" s="1912"/>
      <c r="L277" s="1912"/>
      <c r="M277" s="708" t="s">
        <v>2308</v>
      </c>
      <c r="N277" s="223"/>
      <c r="O277" s="706">
        <f t="shared" si="56"/>
        <v>0</v>
      </c>
    </row>
    <row r="278" spans="1:15" s="360" customFormat="1" ht="15" hidden="1">
      <c r="A278" s="356" t="s">
        <v>497</v>
      </c>
      <c r="B278" s="707" t="s">
        <v>1480</v>
      </c>
      <c r="C278" s="711"/>
      <c r="D278" s="221"/>
      <c r="E278" s="10"/>
      <c r="F278" s="353"/>
      <c r="G278" s="358">
        <f>FF!I320</f>
        <v>0</v>
      </c>
      <c r="H278" s="221" t="s">
        <v>102</v>
      </c>
      <c r="I278" s="355">
        <f>FF!K320</f>
        <v>319.08</v>
      </c>
      <c r="J278" s="353">
        <f>ROUND(G278*I278,0)</f>
        <v>0</v>
      </c>
      <c r="K278" s="1912"/>
      <c r="L278" s="1912"/>
      <c r="M278" s="708" t="s">
        <v>2321</v>
      </c>
      <c r="N278" s="223"/>
      <c r="O278" s="706">
        <f t="shared" si="56"/>
        <v>0</v>
      </c>
    </row>
    <row r="279" spans="1:15" s="360" customFormat="1" ht="15" hidden="1">
      <c r="A279" s="356" t="s">
        <v>497</v>
      </c>
      <c r="B279" s="707" t="s">
        <v>1480</v>
      </c>
      <c r="C279" s="711"/>
      <c r="D279" s="221"/>
      <c r="E279" s="10"/>
      <c r="F279" s="353"/>
      <c r="G279" s="358">
        <f>FF!I326</f>
        <v>0</v>
      </c>
      <c r="H279" s="221" t="s">
        <v>102</v>
      </c>
      <c r="I279" s="355">
        <f>FF!K326</f>
        <v>339.16</v>
      </c>
      <c r="J279" s="353">
        <f>ROUND(G279*I279,0)</f>
        <v>0</v>
      </c>
      <c r="K279" s="1913"/>
      <c r="L279" s="1913"/>
      <c r="M279" s="708" t="s">
        <v>2322</v>
      </c>
      <c r="N279" s="223"/>
      <c r="O279" s="706">
        <f t="shared" si="56"/>
        <v>0</v>
      </c>
    </row>
    <row r="280" spans="1:15" s="360" customFormat="1" ht="51" hidden="1">
      <c r="A280" s="356" t="s">
        <v>503</v>
      </c>
      <c r="B280" s="707" t="s">
        <v>3294</v>
      </c>
      <c r="C280" s="571"/>
      <c r="D280" s="919" t="s">
        <v>102</v>
      </c>
      <c r="E280" s="10">
        <v>368.35</v>
      </c>
      <c r="F280" s="917">
        <f t="shared" ref="F280" si="58">ROUND(C280*E280,0)</f>
        <v>0</v>
      </c>
      <c r="G280" s="358">
        <f>FF!I332</f>
        <v>0</v>
      </c>
      <c r="H280" s="221" t="s">
        <v>102</v>
      </c>
      <c r="I280" s="355">
        <f>FF!K332</f>
        <v>356.32</v>
      </c>
      <c r="J280" s="353">
        <f t="shared" si="51"/>
        <v>0</v>
      </c>
      <c r="K280" s="1911">
        <f>IF((J280+J281+J282+J283)&gt;(F280+F281+F282+F283),(J280+J281+J282+J283)-(F280+F281+F282+F283),0)</f>
        <v>0</v>
      </c>
      <c r="L280" s="1911">
        <f>IF((J280+J281+J282+J283)&lt;(F280+F281+F282+F283),(F280+F281+F282+F283)-(J280+J281+J282+J283),0)</f>
        <v>0</v>
      </c>
      <c r="M280" s="1139" t="s">
        <v>2226</v>
      </c>
      <c r="N280" s="223"/>
      <c r="O280" s="1138">
        <f t="shared" si="56"/>
        <v>0</v>
      </c>
    </row>
    <row r="281" spans="1:15" s="360" customFormat="1" ht="15" hidden="1">
      <c r="A281" s="356" t="s">
        <v>520</v>
      </c>
      <c r="B281" s="707" t="s">
        <v>1481</v>
      </c>
      <c r="C281" s="711"/>
      <c r="D281" s="221"/>
      <c r="E281" s="660"/>
      <c r="F281" s="353"/>
      <c r="G281" s="358">
        <f>FF!I338</f>
        <v>0</v>
      </c>
      <c r="H281" s="221" t="s">
        <v>102</v>
      </c>
      <c r="I281" s="355">
        <f>FF!K338</f>
        <v>385.97</v>
      </c>
      <c r="J281" s="353">
        <f>ROUND(G281*I281,0)</f>
        <v>0</v>
      </c>
      <c r="K281" s="1912"/>
      <c r="L281" s="1912"/>
      <c r="M281" s="708" t="s">
        <v>2308</v>
      </c>
      <c r="N281" s="223"/>
      <c r="O281" s="706">
        <f t="shared" si="56"/>
        <v>0</v>
      </c>
    </row>
    <row r="282" spans="1:15" s="360" customFormat="1" ht="15" hidden="1">
      <c r="A282" s="356" t="s">
        <v>520</v>
      </c>
      <c r="B282" s="707" t="s">
        <v>1481</v>
      </c>
      <c r="C282" s="711"/>
      <c r="D282" s="221"/>
      <c r="E282" s="660"/>
      <c r="F282" s="353"/>
      <c r="G282" s="358">
        <f>FF!I344</f>
        <v>0</v>
      </c>
      <c r="H282" s="221" t="s">
        <v>102</v>
      </c>
      <c r="I282" s="355">
        <f>FF!K344</f>
        <v>410.82</v>
      </c>
      <c r="J282" s="353">
        <f>ROUND(G282*I282,0)</f>
        <v>0</v>
      </c>
      <c r="K282" s="1912"/>
      <c r="L282" s="1912"/>
      <c r="M282" s="708" t="s">
        <v>2321</v>
      </c>
      <c r="N282" s="223"/>
      <c r="O282" s="706">
        <f t="shared" si="56"/>
        <v>0</v>
      </c>
    </row>
    <row r="283" spans="1:15" s="360" customFormat="1" ht="15" hidden="1">
      <c r="A283" s="356" t="s">
        <v>520</v>
      </c>
      <c r="B283" s="707" t="s">
        <v>1481</v>
      </c>
      <c r="C283" s="711"/>
      <c r="D283" s="221"/>
      <c r="E283" s="660"/>
      <c r="F283" s="353"/>
      <c r="G283" s="358">
        <f>FF!I350</f>
        <v>0</v>
      </c>
      <c r="H283" s="221" t="s">
        <v>102</v>
      </c>
      <c r="I283" s="355">
        <f>FF!K350</f>
        <v>438.06</v>
      </c>
      <c r="J283" s="353">
        <f>ROUND(G283*I283,0)</f>
        <v>0</v>
      </c>
      <c r="K283" s="1913"/>
      <c r="L283" s="1913"/>
      <c r="M283" s="708" t="s">
        <v>2322</v>
      </c>
      <c r="N283" s="223"/>
      <c r="O283" s="706">
        <f t="shared" si="56"/>
        <v>0</v>
      </c>
    </row>
    <row r="284" spans="1:15" s="360" customFormat="1" ht="63.75" hidden="1">
      <c r="A284" s="356" t="s">
        <v>504</v>
      </c>
      <c r="B284" s="707" t="s">
        <v>3276</v>
      </c>
      <c r="C284" s="571"/>
      <c r="D284" s="916" t="s">
        <v>5</v>
      </c>
      <c r="E284" s="10">
        <v>5819.6699999999992</v>
      </c>
      <c r="F284" s="917">
        <f t="shared" ref="F284" si="59">ROUND(C284*E284,0)</f>
        <v>0</v>
      </c>
      <c r="G284" s="358">
        <f>FF!I396</f>
        <v>0</v>
      </c>
      <c r="H284" s="354" t="s">
        <v>5</v>
      </c>
      <c r="I284" s="355">
        <f>FF!K396</f>
        <v>5961.27</v>
      </c>
      <c r="J284" s="353">
        <f t="shared" si="51"/>
        <v>0</v>
      </c>
      <c r="K284" s="1911">
        <f>IF((J284+J285+J286+J287)&gt;(F284+F285+F286+F287),(J284+J285+J286+J287)-(F284+F285+F286+F287),0)</f>
        <v>0</v>
      </c>
      <c r="L284" s="1911">
        <f>IF((J284+J285+J286+J287)&lt;(F284+F285+F286+F287),(F284+F285+F286+F287)-(J284+J285+J286+J287),0)</f>
        <v>0</v>
      </c>
      <c r="M284" s="1139" t="s">
        <v>2226</v>
      </c>
      <c r="N284" s="223"/>
      <c r="O284" s="1138">
        <f t="shared" si="56"/>
        <v>0</v>
      </c>
    </row>
    <row r="285" spans="1:15" s="360" customFormat="1" ht="15" hidden="1">
      <c r="A285" s="356" t="s">
        <v>522</v>
      </c>
      <c r="B285" s="707" t="s">
        <v>829</v>
      </c>
      <c r="C285" s="709"/>
      <c r="D285" s="354"/>
      <c r="E285" s="10"/>
      <c r="F285" s="353"/>
      <c r="G285" s="358">
        <f>FF!I435</f>
        <v>0</v>
      </c>
      <c r="H285" s="354" t="s">
        <v>5</v>
      </c>
      <c r="I285" s="355">
        <f>FF!K435</f>
        <v>6135.0899999999992</v>
      </c>
      <c r="J285" s="353">
        <f>ROUND(G285*I285,0)</f>
        <v>0</v>
      </c>
      <c r="K285" s="1912"/>
      <c r="L285" s="1912"/>
      <c r="M285" s="708" t="s">
        <v>2308</v>
      </c>
      <c r="N285" s="223"/>
      <c r="O285" s="706">
        <f t="shared" si="56"/>
        <v>0</v>
      </c>
    </row>
    <row r="286" spans="1:15" s="360" customFormat="1" ht="15" hidden="1">
      <c r="A286" s="356" t="s">
        <v>519</v>
      </c>
      <c r="B286" s="707" t="s">
        <v>829</v>
      </c>
      <c r="C286" s="709"/>
      <c r="D286" s="354"/>
      <c r="E286" s="10"/>
      <c r="F286" s="353"/>
      <c r="G286" s="358">
        <f>FF!I454</f>
        <v>0</v>
      </c>
      <c r="H286" s="354" t="s">
        <v>5</v>
      </c>
      <c r="I286" s="355">
        <f>FF!K454</f>
        <v>6558.3</v>
      </c>
      <c r="J286" s="353">
        <f>ROUND(G286*I286,0)</f>
        <v>0</v>
      </c>
      <c r="K286" s="1912"/>
      <c r="L286" s="1912"/>
      <c r="M286" s="708" t="s">
        <v>2321</v>
      </c>
      <c r="N286" s="223"/>
      <c r="O286" s="706">
        <f t="shared" si="56"/>
        <v>0</v>
      </c>
    </row>
    <row r="287" spans="1:15" s="360" customFormat="1" ht="15" hidden="1">
      <c r="A287" s="356" t="s">
        <v>519</v>
      </c>
      <c r="B287" s="707" t="s">
        <v>829</v>
      </c>
      <c r="C287" s="709"/>
      <c r="D287" s="354"/>
      <c r="E287" s="10"/>
      <c r="F287" s="353"/>
      <c r="G287" s="358">
        <f>FF!I460</f>
        <v>0</v>
      </c>
      <c r="H287" s="354" t="s">
        <v>5</v>
      </c>
      <c r="I287" s="355">
        <f>FF!K460</f>
        <v>7283.96</v>
      </c>
      <c r="J287" s="353">
        <f>ROUND(G287*I287,0)</f>
        <v>0</v>
      </c>
      <c r="K287" s="1913"/>
      <c r="L287" s="1913"/>
      <c r="M287" s="708" t="s">
        <v>2322</v>
      </c>
      <c r="N287" s="223"/>
      <c r="O287" s="706">
        <f t="shared" si="56"/>
        <v>0</v>
      </c>
    </row>
    <row r="288" spans="1:15" s="360" customFormat="1" ht="15" hidden="1">
      <c r="A288" s="356" t="s">
        <v>491</v>
      </c>
      <c r="B288" s="707" t="s">
        <v>828</v>
      </c>
      <c r="C288" s="709"/>
      <c r="D288" s="354"/>
      <c r="E288" s="10"/>
      <c r="F288" s="353"/>
      <c r="G288" s="358">
        <f>FF!I356</f>
        <v>0</v>
      </c>
      <c r="H288" s="354" t="s">
        <v>5</v>
      </c>
      <c r="I288" s="355">
        <f>FF!K356</f>
        <v>5904.8700000000008</v>
      </c>
      <c r="J288" s="353">
        <f t="shared" si="51"/>
        <v>0</v>
      </c>
      <c r="K288" s="1911">
        <f>IF((J288+J289+J290+J291)&gt;(F288+F289+F290+F291),(J288+J289+J290+J291)-(F288+F289+F290+F291),0)</f>
        <v>0</v>
      </c>
      <c r="L288" s="1911">
        <f>IF((J288+J289+J290+J291)&lt;(F288+F289+F290+F291),(F288+F289+F290+F291)-(J288+J289+J290+J291),0)</f>
        <v>0</v>
      </c>
      <c r="M288" s="708" t="s">
        <v>2226</v>
      </c>
      <c r="N288" s="223"/>
      <c r="O288" s="706">
        <f t="shared" si="56"/>
        <v>0</v>
      </c>
    </row>
    <row r="289" spans="1:15" s="360" customFormat="1" ht="15" hidden="1">
      <c r="A289" s="356" t="s">
        <v>491</v>
      </c>
      <c r="B289" s="707" t="s">
        <v>828</v>
      </c>
      <c r="C289" s="709"/>
      <c r="D289" s="354"/>
      <c r="E289" s="10"/>
      <c r="F289" s="353"/>
      <c r="G289" s="358">
        <f>FF!I362</f>
        <v>0</v>
      </c>
      <c r="H289" s="354" t="s">
        <v>5</v>
      </c>
      <c r="I289" s="355">
        <f>FF!K362</f>
        <v>6078.69</v>
      </c>
      <c r="J289" s="353">
        <f>ROUND(G289*I289,0)</f>
        <v>0</v>
      </c>
      <c r="K289" s="1912"/>
      <c r="L289" s="1912"/>
      <c r="M289" s="708" t="s">
        <v>2308</v>
      </c>
      <c r="N289" s="223"/>
      <c r="O289" s="706">
        <f t="shared" si="56"/>
        <v>0</v>
      </c>
    </row>
    <row r="290" spans="1:15" s="360" customFormat="1" ht="15" hidden="1">
      <c r="A290" s="356" t="s">
        <v>491</v>
      </c>
      <c r="B290" s="707" t="s">
        <v>828</v>
      </c>
      <c r="C290" s="709"/>
      <c r="D290" s="354"/>
      <c r="E290" s="10"/>
      <c r="F290" s="353"/>
      <c r="G290" s="358">
        <f>FF!I368</f>
        <v>0</v>
      </c>
      <c r="H290" s="354" t="s">
        <v>5</v>
      </c>
      <c r="I290" s="355">
        <f>FF!K368</f>
        <v>6501.9000000000005</v>
      </c>
      <c r="J290" s="353">
        <f>ROUND(G290*I290,0)</f>
        <v>0</v>
      </c>
      <c r="K290" s="1912"/>
      <c r="L290" s="1912"/>
      <c r="M290" s="708" t="s">
        <v>2321</v>
      </c>
      <c r="N290" s="223"/>
      <c r="O290" s="706">
        <f t="shared" si="56"/>
        <v>0</v>
      </c>
    </row>
    <row r="291" spans="1:15" s="360" customFormat="1" ht="15" hidden="1">
      <c r="A291" s="356" t="s">
        <v>491</v>
      </c>
      <c r="B291" s="707" t="s">
        <v>828</v>
      </c>
      <c r="C291" s="709"/>
      <c r="D291" s="354"/>
      <c r="E291" s="10"/>
      <c r="F291" s="353"/>
      <c r="G291" s="358">
        <f>FF!I374</f>
        <v>0</v>
      </c>
      <c r="H291" s="354" t="s">
        <v>5</v>
      </c>
      <c r="I291" s="355">
        <f>FF!K374</f>
        <v>7227.5599999999995</v>
      </c>
      <c r="J291" s="353">
        <f>ROUND(G291*I291,0)</f>
        <v>0</v>
      </c>
      <c r="K291" s="1913"/>
      <c r="L291" s="1913"/>
      <c r="M291" s="708" t="s">
        <v>2322</v>
      </c>
      <c r="N291" s="223"/>
      <c r="O291" s="706">
        <f t="shared" si="56"/>
        <v>0</v>
      </c>
    </row>
    <row r="292" spans="1:15" s="360" customFormat="1" ht="51" hidden="1">
      <c r="A292" s="356" t="s">
        <v>506</v>
      </c>
      <c r="B292" s="707" t="s">
        <v>3277</v>
      </c>
      <c r="C292" s="571"/>
      <c r="D292" s="916" t="s">
        <v>102</v>
      </c>
      <c r="E292" s="10">
        <v>7462.23</v>
      </c>
      <c r="F292" s="917">
        <f>ROUND(C292*E292/10,0)</f>
        <v>0</v>
      </c>
      <c r="G292" s="358">
        <f>FF!I487</f>
        <v>0</v>
      </c>
      <c r="H292" s="354" t="s">
        <v>102</v>
      </c>
      <c r="I292" s="355">
        <f>FF!K487</f>
        <v>767.73</v>
      </c>
      <c r="J292" s="353">
        <f t="shared" ref="J292:J300" si="60">ROUND(G292*I292/1,0)</f>
        <v>0</v>
      </c>
      <c r="K292" s="1911">
        <f>IF((J292+J293+J294+J295)&gt;(F292+F293+F294+F295),(J292+J293+J294+J295)-(F292+F293+F294+F295),0)</f>
        <v>0</v>
      </c>
      <c r="L292" s="1911">
        <f>IF((J292+J293+J294+J295)&lt;(F292+F293+F294+F295),(F292+F293+F294+F295)-(J292+J293+J294+J295),0)</f>
        <v>0</v>
      </c>
      <c r="M292" s="1139" t="s">
        <v>2226</v>
      </c>
      <c r="N292" s="223"/>
      <c r="O292" s="1138">
        <f t="shared" si="56"/>
        <v>0</v>
      </c>
    </row>
    <row r="293" spans="1:15" s="360" customFormat="1" ht="25.5" hidden="1">
      <c r="A293" s="356" t="s">
        <v>525</v>
      </c>
      <c r="B293" s="707" t="s">
        <v>705</v>
      </c>
      <c r="C293" s="709"/>
      <c r="D293" s="354"/>
      <c r="E293" s="10"/>
      <c r="F293" s="353"/>
      <c r="G293" s="358">
        <f>FF!I520</f>
        <v>0</v>
      </c>
      <c r="H293" s="354" t="s">
        <v>102</v>
      </c>
      <c r="I293" s="355">
        <f>FF!K520</f>
        <v>791.59</v>
      </c>
      <c r="J293" s="353">
        <f>ROUND(G293*I293/1,0)</f>
        <v>0</v>
      </c>
      <c r="K293" s="1912"/>
      <c r="L293" s="1912"/>
      <c r="M293" s="708" t="s">
        <v>2308</v>
      </c>
      <c r="N293" s="223"/>
      <c r="O293" s="706">
        <f t="shared" si="56"/>
        <v>0</v>
      </c>
    </row>
    <row r="294" spans="1:15" s="360" customFormat="1" ht="25.5" hidden="1">
      <c r="A294" s="356" t="s">
        <v>521</v>
      </c>
      <c r="B294" s="707" t="s">
        <v>705</v>
      </c>
      <c r="C294" s="709"/>
      <c r="D294" s="354"/>
      <c r="E294" s="10"/>
      <c r="F294" s="353"/>
      <c r="G294" s="358">
        <f>FF!I541</f>
        <v>0</v>
      </c>
      <c r="H294" s="354" t="s">
        <v>102</v>
      </c>
      <c r="I294" s="355">
        <f>FF!K541</f>
        <v>845.07</v>
      </c>
      <c r="J294" s="353">
        <f>ROUND(G294*I294/1,0)</f>
        <v>0</v>
      </c>
      <c r="K294" s="1912"/>
      <c r="L294" s="1912"/>
      <c r="M294" s="708" t="s">
        <v>2321</v>
      </c>
      <c r="N294" s="223"/>
      <c r="O294" s="706">
        <f t="shared" si="56"/>
        <v>0</v>
      </c>
    </row>
    <row r="295" spans="1:15" s="360" customFormat="1" ht="25.5" hidden="1">
      <c r="A295" s="356" t="s">
        <v>521</v>
      </c>
      <c r="B295" s="707" t="s">
        <v>705</v>
      </c>
      <c r="C295" s="709"/>
      <c r="D295" s="354"/>
      <c r="E295" s="10"/>
      <c r="F295" s="353"/>
      <c r="G295" s="358">
        <f>FF!I550</f>
        <v>0</v>
      </c>
      <c r="H295" s="354" t="s">
        <v>102</v>
      </c>
      <c r="I295" s="355">
        <f>FF!K550</f>
        <v>929.28</v>
      </c>
      <c r="J295" s="353">
        <f>ROUND(G295*I295/1,0)</f>
        <v>0</v>
      </c>
      <c r="K295" s="1913"/>
      <c r="L295" s="1913"/>
      <c r="M295" s="708" t="s">
        <v>2322</v>
      </c>
      <c r="N295" s="223"/>
      <c r="O295" s="706">
        <f t="shared" si="56"/>
        <v>0</v>
      </c>
    </row>
    <row r="296" spans="1:15" s="360" customFormat="1" ht="15" hidden="1">
      <c r="A296" s="356" t="s">
        <v>483</v>
      </c>
      <c r="B296" s="707" t="s">
        <v>1222</v>
      </c>
      <c r="C296" s="709"/>
      <c r="D296" s="354"/>
      <c r="E296" s="10"/>
      <c r="F296" s="353"/>
      <c r="G296" s="358">
        <f>FF!I557</f>
        <v>0</v>
      </c>
      <c r="H296" s="354" t="s">
        <v>102</v>
      </c>
      <c r="I296" s="355">
        <f>FF!K557</f>
        <v>5604.44</v>
      </c>
      <c r="J296" s="353">
        <f t="shared" si="60"/>
        <v>0</v>
      </c>
      <c r="K296" s="1911">
        <f>IF((J296+J297+J298+J299)&gt;(F296+F297+F298+F299),(J296+J297+J298+J299)-(F296+F297+F298+F299),0)</f>
        <v>0</v>
      </c>
      <c r="L296" s="1911">
        <f>IF((J296+J297+J298+J299)&lt;(F296+F297+F298+F299),(F296+F297+F298+F299)-(J296+J297+J298+J299),0)</f>
        <v>0</v>
      </c>
      <c r="M296" s="708" t="s">
        <v>2226</v>
      </c>
      <c r="N296" s="223"/>
      <c r="O296" s="706">
        <f t="shared" si="56"/>
        <v>0</v>
      </c>
    </row>
    <row r="297" spans="1:15" s="360" customFormat="1" ht="15" hidden="1">
      <c r="A297" s="356" t="s">
        <v>483</v>
      </c>
      <c r="B297" s="707" t="s">
        <v>1222</v>
      </c>
      <c r="C297" s="709"/>
      <c r="D297" s="354"/>
      <c r="E297" s="10"/>
      <c r="F297" s="353"/>
      <c r="G297" s="358">
        <f>FF!I564</f>
        <v>0</v>
      </c>
      <c r="H297" s="354" t="s">
        <v>102</v>
      </c>
      <c r="I297" s="355">
        <f>FF!K564</f>
        <v>5800.61</v>
      </c>
      <c r="J297" s="353">
        <f>ROUND(G297*I297/1,0)</f>
        <v>0</v>
      </c>
      <c r="K297" s="1912"/>
      <c r="L297" s="1912"/>
      <c r="M297" s="708" t="s">
        <v>2308</v>
      </c>
      <c r="N297" s="223"/>
      <c r="O297" s="706">
        <f t="shared" si="56"/>
        <v>0</v>
      </c>
    </row>
    <row r="298" spans="1:15" s="360" customFormat="1" ht="15" hidden="1">
      <c r="A298" s="356" t="s">
        <v>483</v>
      </c>
      <c r="B298" s="707" t="s">
        <v>1222</v>
      </c>
      <c r="C298" s="709"/>
      <c r="D298" s="354"/>
      <c r="E298" s="10"/>
      <c r="F298" s="353"/>
      <c r="G298" s="358">
        <f>FF!I571</f>
        <v>0</v>
      </c>
      <c r="H298" s="354" t="s">
        <v>102</v>
      </c>
      <c r="I298" s="355">
        <f>FF!K571</f>
        <v>6321.16</v>
      </c>
      <c r="J298" s="353">
        <f>ROUND(G298*I298/1,0)</f>
        <v>0</v>
      </c>
      <c r="K298" s="1912"/>
      <c r="L298" s="1912"/>
      <c r="M298" s="708" t="s">
        <v>2321</v>
      </c>
      <c r="N298" s="223"/>
      <c r="O298" s="706">
        <f t="shared" si="56"/>
        <v>0</v>
      </c>
    </row>
    <row r="299" spans="1:15" s="360" customFormat="1" ht="15" hidden="1">
      <c r="A299" s="356" t="s">
        <v>483</v>
      </c>
      <c r="B299" s="707" t="s">
        <v>1222</v>
      </c>
      <c r="C299" s="709"/>
      <c r="D299" s="354"/>
      <c r="E299" s="10"/>
      <c r="F299" s="353"/>
      <c r="G299" s="358">
        <f>FF!I578</f>
        <v>0</v>
      </c>
      <c r="H299" s="354" t="s">
        <v>102</v>
      </c>
      <c r="I299" s="355">
        <f>FF!K578</f>
        <v>6718.55</v>
      </c>
      <c r="J299" s="353">
        <f>ROUND(G299*I299/1,0)</f>
        <v>0</v>
      </c>
      <c r="K299" s="1913"/>
      <c r="L299" s="1913"/>
      <c r="M299" s="708" t="s">
        <v>2322</v>
      </c>
      <c r="N299" s="223"/>
      <c r="O299" s="706">
        <f t="shared" si="56"/>
        <v>0</v>
      </c>
    </row>
    <row r="300" spans="1:15" s="360" customFormat="1" ht="15" hidden="1">
      <c r="A300" s="356" t="s">
        <v>484</v>
      </c>
      <c r="B300" s="707" t="s">
        <v>1215</v>
      </c>
      <c r="C300" s="711"/>
      <c r="D300" s="354"/>
      <c r="E300" s="660"/>
      <c r="F300" s="353"/>
      <c r="G300" s="358">
        <f>FF!I584</f>
        <v>0</v>
      </c>
      <c r="H300" s="354" t="s">
        <v>102</v>
      </c>
      <c r="I300" s="355">
        <f>FF!K584</f>
        <v>1906.95</v>
      </c>
      <c r="J300" s="353">
        <f t="shared" si="60"/>
        <v>0</v>
      </c>
      <c r="K300" s="1911">
        <f>IF((J300+J301+J302+J303)&gt;(F300+F301+F302+F303),(J300+J301+J302+J303)-(F300+F301+F302+F303),0)</f>
        <v>0</v>
      </c>
      <c r="L300" s="1911">
        <f>IF((J300+J301+J302+J303)&lt;(F300+F301+F302+F303),(F300+F301+F302+F303)-(J300+J301+J302+J303),0)</f>
        <v>0</v>
      </c>
      <c r="M300" s="708" t="s">
        <v>2226</v>
      </c>
      <c r="N300" s="223"/>
      <c r="O300" s="706">
        <f t="shared" si="56"/>
        <v>0</v>
      </c>
    </row>
    <row r="301" spans="1:15" s="360" customFormat="1" ht="15" hidden="1">
      <c r="A301" s="356" t="s">
        <v>484</v>
      </c>
      <c r="B301" s="707" t="s">
        <v>1215</v>
      </c>
      <c r="C301" s="711"/>
      <c r="D301" s="354"/>
      <c r="E301" s="660"/>
      <c r="F301" s="353"/>
      <c r="G301" s="358">
        <f>FF!I590</f>
        <v>0</v>
      </c>
      <c r="H301" s="354" t="s">
        <v>102</v>
      </c>
      <c r="I301" s="355">
        <f>FF!K590</f>
        <v>2066.33</v>
      </c>
      <c r="J301" s="353">
        <f>ROUND(G301*I301/1,0)</f>
        <v>0</v>
      </c>
      <c r="K301" s="1912"/>
      <c r="L301" s="1912"/>
      <c r="M301" s="708" t="s">
        <v>2308</v>
      </c>
      <c r="N301" s="223"/>
      <c r="O301" s="706">
        <f t="shared" si="56"/>
        <v>0</v>
      </c>
    </row>
    <row r="302" spans="1:15" s="360" customFormat="1" ht="15" hidden="1">
      <c r="A302" s="356" t="s">
        <v>484</v>
      </c>
      <c r="B302" s="707" t="s">
        <v>1215</v>
      </c>
      <c r="C302" s="711"/>
      <c r="D302" s="354"/>
      <c r="E302" s="660"/>
      <c r="F302" s="353"/>
      <c r="G302" s="358">
        <f>FF!I596</f>
        <v>0</v>
      </c>
      <c r="H302" s="354" t="s">
        <v>102</v>
      </c>
      <c r="I302" s="355">
        <f>FF!K596</f>
        <v>2199.0300000000002</v>
      </c>
      <c r="J302" s="353">
        <f>ROUND(G302*I302/1,0)</f>
        <v>0</v>
      </c>
      <c r="K302" s="1912"/>
      <c r="L302" s="1912"/>
      <c r="M302" s="708" t="s">
        <v>2321</v>
      </c>
      <c r="N302" s="223"/>
      <c r="O302" s="706">
        <f t="shared" si="56"/>
        <v>0</v>
      </c>
    </row>
    <row r="303" spans="1:15" s="360" customFormat="1" ht="15" hidden="1">
      <c r="A303" s="356" t="s">
        <v>484</v>
      </c>
      <c r="B303" s="707" t="s">
        <v>1215</v>
      </c>
      <c r="C303" s="711"/>
      <c r="D303" s="354"/>
      <c r="E303" s="660"/>
      <c r="F303" s="353"/>
      <c r="G303" s="358">
        <f>FF!I602</f>
        <v>0</v>
      </c>
      <c r="H303" s="354" t="s">
        <v>102</v>
      </c>
      <c r="I303" s="355">
        <f>FF!K602</f>
        <v>2346.34</v>
      </c>
      <c r="J303" s="353">
        <f>ROUND(G303*I303/1,0)</f>
        <v>0</v>
      </c>
      <c r="K303" s="1913"/>
      <c r="L303" s="1913"/>
      <c r="M303" s="708" t="s">
        <v>2322</v>
      </c>
      <c r="N303" s="223"/>
      <c r="O303" s="706">
        <f t="shared" si="56"/>
        <v>0</v>
      </c>
    </row>
    <row r="304" spans="1:15" s="360" customFormat="1" ht="63.75" hidden="1">
      <c r="A304" s="356" t="s">
        <v>508</v>
      </c>
      <c r="B304" s="707" t="s">
        <v>3278</v>
      </c>
      <c r="C304" s="571"/>
      <c r="D304" s="916" t="s">
        <v>102</v>
      </c>
      <c r="E304" s="10">
        <v>283.68</v>
      </c>
      <c r="F304" s="917">
        <f t="shared" ref="F304" si="61">ROUND(C304*E304,0)</f>
        <v>0</v>
      </c>
      <c r="G304" s="358">
        <f>FF!I621</f>
        <v>0</v>
      </c>
      <c r="H304" s="354" t="s">
        <v>102</v>
      </c>
      <c r="I304" s="355">
        <f>FF!K621</f>
        <v>292.7</v>
      </c>
      <c r="J304" s="353">
        <f t="shared" ref="J304:J380" si="62">ROUND(G304*I304,0)</f>
        <v>0</v>
      </c>
      <c r="K304" s="1911">
        <f>IF((J304+J305+J306+J307)&gt;(F304+F305+F306+F307),(J304+J305+J306+J307)-(F304+F305+F306+F307),0)</f>
        <v>0</v>
      </c>
      <c r="L304" s="1911">
        <f>IF((J304+J305+J306+J307)&lt;(F304+F305+F306+F307),(F304+F305+F306+F307)-(J304+J305+J306+J307),0)</f>
        <v>0</v>
      </c>
      <c r="M304" s="1139" t="s">
        <v>2226</v>
      </c>
      <c r="N304" s="223"/>
      <c r="O304" s="1138">
        <f t="shared" si="56"/>
        <v>0</v>
      </c>
    </row>
    <row r="305" spans="1:15" s="360" customFormat="1" ht="15" hidden="1">
      <c r="A305" s="356" t="s">
        <v>527</v>
      </c>
      <c r="B305" s="707" t="s">
        <v>481</v>
      </c>
      <c r="C305" s="709"/>
      <c r="D305" s="354"/>
      <c r="E305" s="10"/>
      <c r="F305" s="353"/>
      <c r="G305" s="358">
        <f>FF!I652</f>
        <v>0</v>
      </c>
      <c r="H305" s="354" t="s">
        <v>102</v>
      </c>
      <c r="I305" s="355">
        <f>FF!K652</f>
        <v>313.52</v>
      </c>
      <c r="J305" s="353">
        <f>ROUND(G305*I305,0)</f>
        <v>0</v>
      </c>
      <c r="K305" s="1912"/>
      <c r="L305" s="1912"/>
      <c r="M305" s="708" t="s">
        <v>2308</v>
      </c>
      <c r="N305" s="223"/>
      <c r="O305" s="706">
        <f t="shared" si="56"/>
        <v>0</v>
      </c>
    </row>
    <row r="306" spans="1:15" s="360" customFormat="1" ht="15" hidden="1">
      <c r="A306" s="356" t="s">
        <v>516</v>
      </c>
      <c r="B306" s="707" t="s">
        <v>481</v>
      </c>
      <c r="C306" s="709"/>
      <c r="D306" s="354"/>
      <c r="E306" s="10"/>
      <c r="F306" s="353"/>
      <c r="G306" s="358">
        <f>FF!I659</f>
        <v>0</v>
      </c>
      <c r="H306" s="354" t="s">
        <v>102</v>
      </c>
      <c r="I306" s="355">
        <f>FF!K659</f>
        <v>332.3</v>
      </c>
      <c r="J306" s="353">
        <f>ROUND(G306*I306,0)</f>
        <v>0</v>
      </c>
      <c r="K306" s="1912"/>
      <c r="L306" s="1912"/>
      <c r="M306" s="708" t="s">
        <v>2321</v>
      </c>
      <c r="N306" s="223"/>
      <c r="O306" s="706">
        <f t="shared" si="56"/>
        <v>0</v>
      </c>
    </row>
    <row r="307" spans="1:15" s="360" customFormat="1" ht="15" hidden="1">
      <c r="A307" s="356" t="s">
        <v>516</v>
      </c>
      <c r="B307" s="707" t="s">
        <v>481</v>
      </c>
      <c r="C307" s="709"/>
      <c r="D307" s="354"/>
      <c r="E307" s="10"/>
      <c r="F307" s="353"/>
      <c r="G307" s="358">
        <f>FF!I678</f>
        <v>0</v>
      </c>
      <c r="H307" s="354" t="s">
        <v>102</v>
      </c>
      <c r="I307" s="355">
        <f>FF!K678</f>
        <v>351.17</v>
      </c>
      <c r="J307" s="353">
        <f>ROUND(G307*I307,0)</f>
        <v>0</v>
      </c>
      <c r="K307" s="1913"/>
      <c r="L307" s="1913"/>
      <c r="M307" s="708" t="s">
        <v>2322</v>
      </c>
      <c r="N307" s="223"/>
      <c r="O307" s="706">
        <f t="shared" si="56"/>
        <v>0</v>
      </c>
    </row>
    <row r="308" spans="1:15" s="360" customFormat="1" ht="15" hidden="1">
      <c r="A308" s="356" t="s">
        <v>516</v>
      </c>
      <c r="B308" s="707" t="s">
        <v>505</v>
      </c>
      <c r="C308" s="571"/>
      <c r="D308" s="916"/>
      <c r="E308" s="570"/>
      <c r="F308" s="917"/>
      <c r="G308" s="358">
        <f>FF!I686</f>
        <v>0</v>
      </c>
      <c r="H308" s="354" t="s">
        <v>102</v>
      </c>
      <c r="I308" s="355">
        <f>FF!K686</f>
        <v>265.42</v>
      </c>
      <c r="J308" s="353">
        <f t="shared" si="62"/>
        <v>0</v>
      </c>
      <c r="K308" s="1911">
        <f>IF((J308+J309+J310+J311)&gt;(F308+F309+F310+F311),(J308+J309+J310+J311)-(F308+F309+F310+F311),0)</f>
        <v>0</v>
      </c>
      <c r="L308" s="1911">
        <f>IF((J308+J309+J310+J311)&lt;(F308+F309+F310+F311),(F308+F309+F310+F311)-(J308+J309+J310+J311),0)</f>
        <v>0</v>
      </c>
      <c r="M308" s="708" t="s">
        <v>2226</v>
      </c>
      <c r="N308" s="223"/>
      <c r="O308" s="706">
        <f t="shared" si="56"/>
        <v>0</v>
      </c>
    </row>
    <row r="309" spans="1:15" s="360" customFormat="1" ht="15" hidden="1">
      <c r="A309" s="356" t="s">
        <v>516</v>
      </c>
      <c r="B309" s="707" t="s">
        <v>505</v>
      </c>
      <c r="C309" s="633"/>
      <c r="D309" s="354"/>
      <c r="E309" s="362"/>
      <c r="F309" s="353"/>
      <c r="G309" s="358">
        <f>FF!I694</f>
        <v>0</v>
      </c>
      <c r="H309" s="354" t="s">
        <v>102</v>
      </c>
      <c r="I309" s="355">
        <f>FF!K694</f>
        <v>286.25</v>
      </c>
      <c r="J309" s="353">
        <f>ROUND(G309*I309,0)</f>
        <v>0</v>
      </c>
      <c r="K309" s="1912"/>
      <c r="L309" s="1912"/>
      <c r="M309" s="708" t="s">
        <v>2308</v>
      </c>
      <c r="N309" s="223"/>
      <c r="O309" s="706">
        <f t="shared" si="56"/>
        <v>0</v>
      </c>
    </row>
    <row r="310" spans="1:15" s="360" customFormat="1" ht="15" hidden="1">
      <c r="A310" s="356" t="s">
        <v>516</v>
      </c>
      <c r="B310" s="707" t="s">
        <v>505</v>
      </c>
      <c r="C310" s="633"/>
      <c r="D310" s="354"/>
      <c r="E310" s="362"/>
      <c r="F310" s="353"/>
      <c r="G310" s="358">
        <f>FF!I702</f>
        <v>0</v>
      </c>
      <c r="H310" s="354" t="s">
        <v>102</v>
      </c>
      <c r="I310" s="355">
        <f>FF!K702</f>
        <v>304.16000000000003</v>
      </c>
      <c r="J310" s="353">
        <f>ROUND(G310*I310,0)</f>
        <v>0</v>
      </c>
      <c r="K310" s="1912"/>
      <c r="L310" s="1912"/>
      <c r="M310" s="708" t="s">
        <v>2321</v>
      </c>
      <c r="N310" s="223"/>
      <c r="O310" s="706">
        <f t="shared" si="56"/>
        <v>0</v>
      </c>
    </row>
    <row r="311" spans="1:15" s="360" customFormat="1" ht="15" hidden="1">
      <c r="A311" s="356" t="s">
        <v>516</v>
      </c>
      <c r="B311" s="707" t="s">
        <v>505</v>
      </c>
      <c r="C311" s="633"/>
      <c r="D311" s="354"/>
      <c r="E311" s="362"/>
      <c r="F311" s="353"/>
      <c r="G311" s="358">
        <f>FF!I710</f>
        <v>0</v>
      </c>
      <c r="H311" s="354" t="s">
        <v>102</v>
      </c>
      <c r="I311" s="355">
        <f>FF!K710</f>
        <v>323.04000000000002</v>
      </c>
      <c r="J311" s="353">
        <f>ROUND(G311*I311,0)</f>
        <v>0</v>
      </c>
      <c r="K311" s="1913"/>
      <c r="L311" s="1913"/>
      <c r="M311" s="708" t="s">
        <v>2322</v>
      </c>
      <c r="N311" s="223"/>
      <c r="O311" s="706">
        <f t="shared" si="56"/>
        <v>0</v>
      </c>
    </row>
    <row r="312" spans="1:15" s="360" customFormat="1" ht="15" hidden="1">
      <c r="A312" s="356" t="s">
        <v>517</v>
      </c>
      <c r="B312" s="707" t="s">
        <v>805</v>
      </c>
      <c r="C312" s="633"/>
      <c r="D312" s="354"/>
      <c r="E312" s="362"/>
      <c r="F312" s="353"/>
      <c r="G312" s="358">
        <f>FF!I718</f>
        <v>0</v>
      </c>
      <c r="H312" s="354" t="s">
        <v>102</v>
      </c>
      <c r="I312" s="355">
        <f>FF!K718</f>
        <v>283.27999999999997</v>
      </c>
      <c r="J312" s="353">
        <f t="shared" si="62"/>
        <v>0</v>
      </c>
      <c r="K312" s="1911">
        <f>IF((J312+J313+J314+J315)&gt;(F312+F313+F314+F315),(J312+J313+J314+J315)-(F312+F313+F314+F315),0)</f>
        <v>0</v>
      </c>
      <c r="L312" s="1911">
        <f>IF((J312+J313+J314+J315)&lt;(F312+F313+F314+F315),(F312+F313+F314+F315)-(J312+J313+J314+J315),0)</f>
        <v>0</v>
      </c>
      <c r="M312" s="708" t="s">
        <v>2226</v>
      </c>
      <c r="N312" s="223"/>
      <c r="O312" s="706">
        <f t="shared" si="56"/>
        <v>0</v>
      </c>
    </row>
    <row r="313" spans="1:15" s="360" customFormat="1" ht="15" hidden="1">
      <c r="A313" s="356" t="s">
        <v>517</v>
      </c>
      <c r="B313" s="707" t="s">
        <v>805</v>
      </c>
      <c r="C313" s="633"/>
      <c r="D313" s="354"/>
      <c r="E313" s="362"/>
      <c r="F313" s="353"/>
      <c r="G313" s="358">
        <f>FF!I726</f>
        <v>0</v>
      </c>
      <c r="H313" s="354" t="s">
        <v>102</v>
      </c>
      <c r="I313" s="355">
        <f>FF!K726</f>
        <v>304.66000000000003</v>
      </c>
      <c r="J313" s="353">
        <f>ROUND(G313*I313,0)</f>
        <v>0</v>
      </c>
      <c r="K313" s="1912"/>
      <c r="L313" s="1912"/>
      <c r="M313" s="708" t="s">
        <v>2308</v>
      </c>
      <c r="N313" s="223"/>
      <c r="O313" s="706">
        <f t="shared" si="56"/>
        <v>0</v>
      </c>
    </row>
    <row r="314" spans="1:15" s="360" customFormat="1" ht="15" hidden="1">
      <c r="A314" s="356" t="s">
        <v>517</v>
      </c>
      <c r="B314" s="707" t="s">
        <v>805</v>
      </c>
      <c r="C314" s="633"/>
      <c r="D314" s="354"/>
      <c r="E314" s="362"/>
      <c r="F314" s="353"/>
      <c r="G314" s="358">
        <f>FF!I734</f>
        <v>0</v>
      </c>
      <c r="H314" s="354" t="s">
        <v>102</v>
      </c>
      <c r="I314" s="355">
        <f>FF!K734</f>
        <v>323.85000000000002</v>
      </c>
      <c r="J314" s="353">
        <f>ROUND(G314*I314,0)</f>
        <v>0</v>
      </c>
      <c r="K314" s="1912"/>
      <c r="L314" s="1912"/>
      <c r="M314" s="708" t="s">
        <v>2321</v>
      </c>
      <c r="N314" s="223"/>
      <c r="O314" s="706">
        <f t="shared" si="56"/>
        <v>0</v>
      </c>
    </row>
    <row r="315" spans="1:15" s="360" customFormat="1" ht="15" hidden="1">
      <c r="A315" s="356" t="s">
        <v>517</v>
      </c>
      <c r="B315" s="707" t="s">
        <v>805</v>
      </c>
      <c r="C315" s="633"/>
      <c r="D315" s="354"/>
      <c r="E315" s="362"/>
      <c r="F315" s="353"/>
      <c r="G315" s="358">
        <f>FF!I742</f>
        <v>0</v>
      </c>
      <c r="H315" s="354" t="s">
        <v>102</v>
      </c>
      <c r="I315" s="355">
        <f>FF!K742</f>
        <v>343.23</v>
      </c>
      <c r="J315" s="353">
        <f>ROUND(G315*I315,0)</f>
        <v>0</v>
      </c>
      <c r="K315" s="1913"/>
      <c r="L315" s="1913"/>
      <c r="M315" s="708" t="s">
        <v>2322</v>
      </c>
      <c r="N315" s="223"/>
      <c r="O315" s="706">
        <f t="shared" si="56"/>
        <v>0</v>
      </c>
    </row>
    <row r="316" spans="1:15" s="360" customFormat="1" ht="51" hidden="1">
      <c r="A316" s="356" t="s">
        <v>510</v>
      </c>
      <c r="B316" s="707" t="s">
        <v>3280</v>
      </c>
      <c r="C316" s="571"/>
      <c r="D316" s="916" t="s">
        <v>102</v>
      </c>
      <c r="E316" s="10">
        <v>260.10000000000002</v>
      </c>
      <c r="F316" s="917">
        <f t="shared" ref="F316" si="63">ROUND(C316*E316,0)</f>
        <v>0</v>
      </c>
      <c r="G316" s="358">
        <f>FF!I770</f>
        <v>0</v>
      </c>
      <c r="H316" s="354" t="s">
        <v>102</v>
      </c>
      <c r="I316" s="355">
        <f>FF!K770</f>
        <v>348.66</v>
      </c>
      <c r="J316" s="353">
        <f t="shared" si="62"/>
        <v>0</v>
      </c>
      <c r="K316" s="1911">
        <f>IF((J316+J317+J318+J319)&gt;(F316+F317+F318+F319),(J316+J317+J318+J319)-(F316+F317+F318+F319),0)</f>
        <v>0</v>
      </c>
      <c r="L316" s="1911">
        <f>IF((J316+J317+J318+J319)&lt;(F316+F317+F318+F319),(F316+F317+F318+F319)-(J316+J317+J318+J319),0)</f>
        <v>0</v>
      </c>
      <c r="M316" s="1139" t="s">
        <v>2226</v>
      </c>
      <c r="N316" s="223"/>
      <c r="O316" s="1138">
        <f t="shared" si="56"/>
        <v>0</v>
      </c>
    </row>
    <row r="317" spans="1:15" s="360" customFormat="1" ht="15" hidden="1">
      <c r="A317" s="356" t="s">
        <v>1582</v>
      </c>
      <c r="B317" s="707" t="s">
        <v>830</v>
      </c>
      <c r="C317" s="709"/>
      <c r="D317" s="354"/>
      <c r="E317" s="10"/>
      <c r="F317" s="353"/>
      <c r="G317" s="358">
        <f>FF!I823</f>
        <v>0</v>
      </c>
      <c r="H317" s="354" t="s">
        <v>102</v>
      </c>
      <c r="I317" s="355">
        <f>FF!K823</f>
        <v>376.98</v>
      </c>
      <c r="J317" s="353">
        <f>ROUND(G317*I317,0)</f>
        <v>0</v>
      </c>
      <c r="K317" s="1912"/>
      <c r="L317" s="1912"/>
      <c r="M317" s="708" t="s">
        <v>2308</v>
      </c>
      <c r="N317" s="223"/>
      <c r="O317" s="706">
        <f t="shared" si="56"/>
        <v>0</v>
      </c>
    </row>
    <row r="318" spans="1:15" s="360" customFormat="1" ht="15" hidden="1">
      <c r="A318" s="356" t="s">
        <v>518</v>
      </c>
      <c r="B318" s="707" t="s">
        <v>830</v>
      </c>
      <c r="C318" s="709"/>
      <c r="D318" s="354"/>
      <c r="E318" s="10"/>
      <c r="F318" s="353"/>
      <c r="G318" s="358">
        <f>FF!I830</f>
        <v>0</v>
      </c>
      <c r="H318" s="354" t="s">
        <v>102</v>
      </c>
      <c r="I318" s="355">
        <f>FF!K830</f>
        <v>400.13</v>
      </c>
      <c r="J318" s="353">
        <f>ROUND(G318*I318,0)</f>
        <v>0</v>
      </c>
      <c r="K318" s="1912"/>
      <c r="L318" s="1912"/>
      <c r="M318" s="708" t="s">
        <v>2321</v>
      </c>
      <c r="N318" s="223"/>
      <c r="O318" s="706">
        <f t="shared" si="56"/>
        <v>0</v>
      </c>
    </row>
    <row r="319" spans="1:15" s="360" customFormat="1" ht="15" hidden="1">
      <c r="A319" s="356" t="s">
        <v>518</v>
      </c>
      <c r="B319" s="707" t="s">
        <v>830</v>
      </c>
      <c r="C319" s="709"/>
      <c r="D319" s="354"/>
      <c r="E319" s="10"/>
      <c r="F319" s="353"/>
      <c r="G319" s="358">
        <f>FF!I858</f>
        <v>0</v>
      </c>
      <c r="H319" s="354" t="s">
        <v>102</v>
      </c>
      <c r="I319" s="355">
        <f>FF!K858</f>
        <v>425.82</v>
      </c>
      <c r="J319" s="353">
        <f>ROUND(G319*I319,0)</f>
        <v>0</v>
      </c>
      <c r="K319" s="1913"/>
      <c r="L319" s="1913"/>
      <c r="M319" s="708" t="s">
        <v>2322</v>
      </c>
      <c r="N319" s="223"/>
      <c r="O319" s="706">
        <f t="shared" si="56"/>
        <v>0</v>
      </c>
    </row>
    <row r="320" spans="1:15" s="360" customFormat="1" ht="51" hidden="1">
      <c r="A320" s="356" t="s">
        <v>1522</v>
      </c>
      <c r="B320" s="707" t="s">
        <v>3281</v>
      </c>
      <c r="C320" s="571"/>
      <c r="D320" s="916" t="s">
        <v>102</v>
      </c>
      <c r="E320" s="10">
        <v>272.17</v>
      </c>
      <c r="F320" s="917">
        <f t="shared" ref="F320" si="64">ROUND(C320*E320,0)</f>
        <v>0</v>
      </c>
      <c r="G320" s="358">
        <f>FF!I865</f>
        <v>0</v>
      </c>
      <c r="H320" s="354" t="s">
        <v>102</v>
      </c>
      <c r="I320" s="355">
        <f>FF!K865</f>
        <v>362.01</v>
      </c>
      <c r="J320" s="353">
        <f t="shared" si="62"/>
        <v>0</v>
      </c>
      <c r="K320" s="1911">
        <f>IF((J320+J321+J322+J323)&gt;(F320+F321+F322+F323),(J320+J321+J322+J323)-(F320+F321+F322+F323),0)</f>
        <v>0</v>
      </c>
      <c r="L320" s="1911">
        <f>IF((J320+J321+J322+J323)&lt;(F320+F321+F322+F323),(F320+F321+F322+F323)-(J320+J321+J322+J323),0)</f>
        <v>0</v>
      </c>
      <c r="M320" s="1139" t="s">
        <v>2226</v>
      </c>
      <c r="N320" s="223"/>
      <c r="O320" s="1138">
        <f t="shared" si="56"/>
        <v>0</v>
      </c>
    </row>
    <row r="321" spans="1:15" s="360" customFormat="1" ht="15" hidden="1">
      <c r="A321" s="356" t="s">
        <v>530</v>
      </c>
      <c r="B321" s="707" t="s">
        <v>541</v>
      </c>
      <c r="C321" s="709"/>
      <c r="D321" s="354"/>
      <c r="E321" s="10"/>
      <c r="F321" s="353"/>
      <c r="G321" s="358">
        <f>FF!I890</f>
        <v>0</v>
      </c>
      <c r="H321" s="354" t="s">
        <v>102</v>
      </c>
      <c r="I321" s="355">
        <f>FF!K890</f>
        <v>390.9</v>
      </c>
      <c r="J321" s="353">
        <f>ROUND(G321*I321,0)</f>
        <v>0</v>
      </c>
      <c r="K321" s="1912"/>
      <c r="L321" s="1912"/>
      <c r="M321" s="708" t="s">
        <v>2308</v>
      </c>
      <c r="N321" s="223"/>
      <c r="O321" s="706">
        <f t="shared" si="56"/>
        <v>0</v>
      </c>
    </row>
    <row r="322" spans="1:15" s="360" customFormat="1" ht="15" hidden="1">
      <c r="A322" s="356" t="s">
        <v>520</v>
      </c>
      <c r="B322" s="707" t="s">
        <v>541</v>
      </c>
      <c r="C322" s="709"/>
      <c r="D322" s="354"/>
      <c r="E322" s="10"/>
      <c r="F322" s="353"/>
      <c r="G322" s="358">
        <f>FF!I897</f>
        <v>0</v>
      </c>
      <c r="H322" s="354" t="s">
        <v>102</v>
      </c>
      <c r="I322" s="355">
        <f>FF!K897</f>
        <v>415.44</v>
      </c>
      <c r="J322" s="353">
        <f>ROUND(G322*I322,0)</f>
        <v>0</v>
      </c>
      <c r="K322" s="1912"/>
      <c r="L322" s="1912"/>
      <c r="M322" s="708" t="s">
        <v>2321</v>
      </c>
      <c r="N322" s="223"/>
      <c r="O322" s="706">
        <f t="shared" si="56"/>
        <v>0</v>
      </c>
    </row>
    <row r="323" spans="1:15" s="360" customFormat="1" ht="51" hidden="1">
      <c r="A323" s="356" t="s">
        <v>512</v>
      </c>
      <c r="B323" s="707" t="s">
        <v>3281</v>
      </c>
      <c r="C323" s="709"/>
      <c r="D323" s="354"/>
      <c r="E323" s="10"/>
      <c r="F323" s="353"/>
      <c r="G323" s="358">
        <f>FF!I904</f>
        <v>0</v>
      </c>
      <c r="H323" s="354" t="s">
        <v>102</v>
      </c>
      <c r="I323" s="355">
        <f>FF!K904</f>
        <v>441.63</v>
      </c>
      <c r="J323" s="353">
        <f>ROUND(G323*I323,0)</f>
        <v>0</v>
      </c>
      <c r="K323" s="1913"/>
      <c r="L323" s="1913"/>
      <c r="M323" s="1139" t="s">
        <v>2322</v>
      </c>
      <c r="N323" s="223"/>
      <c r="O323" s="1138">
        <f t="shared" si="56"/>
        <v>0</v>
      </c>
    </row>
    <row r="324" spans="1:15" s="360" customFormat="1" ht="15" hidden="1">
      <c r="A324" s="356" t="s">
        <v>503</v>
      </c>
      <c r="B324" s="707" t="s">
        <v>2078</v>
      </c>
      <c r="C324" s="633"/>
      <c r="D324" s="354"/>
      <c r="E324" s="622"/>
      <c r="F324" s="353"/>
      <c r="G324" s="358">
        <f>FF!I911</f>
        <v>0</v>
      </c>
      <c r="H324" s="354" t="s">
        <v>5</v>
      </c>
      <c r="I324" s="355">
        <f>FF!K911</f>
        <v>5049.2099999999991</v>
      </c>
      <c r="J324" s="353">
        <f t="shared" si="62"/>
        <v>0</v>
      </c>
      <c r="K324" s="1911">
        <f>IF((J324+J325+J326+J327)&gt;(F324+F325+F326+F327),(J324+J325+J326+J327)-(F324+F325+F326+F327),0)</f>
        <v>0</v>
      </c>
      <c r="L324" s="1911">
        <f>IF((J324+J325+J326+J327)&lt;(F324+F325+F326+F327),(F324+F325+F326+F327)-(J324+J325+J326+J327),0)</f>
        <v>0</v>
      </c>
      <c r="M324" s="708" t="s">
        <v>2226</v>
      </c>
      <c r="N324" s="223"/>
      <c r="O324" s="706">
        <f t="shared" si="56"/>
        <v>0</v>
      </c>
    </row>
    <row r="325" spans="1:15" s="360" customFormat="1" ht="15" hidden="1">
      <c r="A325" s="356" t="s">
        <v>503</v>
      </c>
      <c r="B325" s="707" t="s">
        <v>2078</v>
      </c>
      <c r="C325" s="633"/>
      <c r="D325" s="354"/>
      <c r="E325" s="622"/>
      <c r="F325" s="353"/>
      <c r="G325" s="358">
        <f>FF!I918</f>
        <v>0</v>
      </c>
      <c r="H325" s="354" t="s">
        <v>5</v>
      </c>
      <c r="I325" s="355">
        <f>FF!K918</f>
        <v>5224.6200000000008</v>
      </c>
      <c r="J325" s="353">
        <f>ROUND(G325*I325,0)</f>
        <v>0</v>
      </c>
      <c r="K325" s="1912"/>
      <c r="L325" s="1912"/>
      <c r="M325" s="708" t="s">
        <v>2308</v>
      </c>
      <c r="N325" s="223"/>
      <c r="O325" s="706">
        <f t="shared" si="56"/>
        <v>0</v>
      </c>
    </row>
    <row r="326" spans="1:15" s="360" customFormat="1" ht="15" hidden="1">
      <c r="A326" s="356" t="s">
        <v>503</v>
      </c>
      <c r="B326" s="707" t="s">
        <v>2078</v>
      </c>
      <c r="C326" s="633"/>
      <c r="D326" s="354"/>
      <c r="E326" s="622"/>
      <c r="F326" s="353"/>
      <c r="G326" s="358">
        <f>FF!I925</f>
        <v>0</v>
      </c>
      <c r="H326" s="354" t="s">
        <v>5</v>
      </c>
      <c r="I326" s="355">
        <f>FF!K925</f>
        <v>5464.2000000000007</v>
      </c>
      <c r="J326" s="353">
        <f>ROUND(G326*I326,0)</f>
        <v>0</v>
      </c>
      <c r="K326" s="1912"/>
      <c r="L326" s="1912"/>
      <c r="M326" s="708" t="s">
        <v>2321</v>
      </c>
      <c r="N326" s="223"/>
      <c r="O326" s="706">
        <f t="shared" si="56"/>
        <v>0</v>
      </c>
    </row>
    <row r="327" spans="1:15" s="360" customFormat="1" ht="15" hidden="1">
      <c r="A327" s="356" t="s">
        <v>503</v>
      </c>
      <c r="B327" s="707" t="s">
        <v>2078</v>
      </c>
      <c r="C327" s="633"/>
      <c r="D327" s="354"/>
      <c r="E327" s="622"/>
      <c r="F327" s="353"/>
      <c r="G327" s="358">
        <f>FF!I932</f>
        <v>0</v>
      </c>
      <c r="H327" s="354" t="s">
        <v>5</v>
      </c>
      <c r="I327" s="355">
        <f>FF!K932</f>
        <v>5722.81</v>
      </c>
      <c r="J327" s="353">
        <f>ROUND(G327*I327,0)</f>
        <v>0</v>
      </c>
      <c r="K327" s="1913"/>
      <c r="L327" s="1913"/>
      <c r="M327" s="708" t="s">
        <v>2322</v>
      </c>
      <c r="N327" s="223"/>
      <c r="O327" s="706">
        <f t="shared" si="56"/>
        <v>0</v>
      </c>
    </row>
    <row r="328" spans="1:15" s="360" customFormat="1" ht="63.75" hidden="1">
      <c r="A328" s="356" t="s">
        <v>513</v>
      </c>
      <c r="B328" s="707" t="s">
        <v>3282</v>
      </c>
      <c r="C328" s="571"/>
      <c r="D328" s="916" t="s">
        <v>102</v>
      </c>
      <c r="E328" s="53">
        <v>1003.12</v>
      </c>
      <c r="F328" s="917">
        <f t="shared" ref="F328" si="65">ROUND(C328*E328,0)</f>
        <v>0</v>
      </c>
      <c r="G328" s="358">
        <f>FF!I939</f>
        <v>0</v>
      </c>
      <c r="H328" s="354" t="s">
        <v>102</v>
      </c>
      <c r="I328" s="355">
        <f>FF!K939</f>
        <v>1020.01</v>
      </c>
      <c r="J328" s="353">
        <f t="shared" si="62"/>
        <v>0</v>
      </c>
      <c r="K328" s="1911">
        <f>IF((J328+J329+J330+J331)&gt;(F328+F329+F330+F331),(J328+J329+J330+J331)-(F328+F329+F330+F331),0)</f>
        <v>0</v>
      </c>
      <c r="L328" s="1911">
        <f>IF((J328+J329+J330+J331)&lt;(F328+F329+F330+F331),(F328+F329+F330+F331)-(J328+J329+J330+J331),0)</f>
        <v>0</v>
      </c>
      <c r="M328" s="1139" t="s">
        <v>2226</v>
      </c>
      <c r="N328" s="223"/>
      <c r="O328" s="1138">
        <f t="shared" si="56"/>
        <v>0</v>
      </c>
    </row>
    <row r="329" spans="1:15" s="360" customFormat="1" ht="15" hidden="1">
      <c r="A329" s="356" t="s">
        <v>532</v>
      </c>
      <c r="B329" s="707" t="s">
        <v>507</v>
      </c>
      <c r="C329" s="709"/>
      <c r="D329" s="354"/>
      <c r="E329" s="10"/>
      <c r="F329" s="353"/>
      <c r="G329" s="358">
        <f>FF!I949</f>
        <v>0</v>
      </c>
      <c r="H329" s="354" t="s">
        <v>102</v>
      </c>
      <c r="I329" s="355">
        <f>FF!K949</f>
        <v>1051.0899999999999</v>
      </c>
      <c r="J329" s="353">
        <f>ROUND(G329*I329,0)</f>
        <v>0</v>
      </c>
      <c r="K329" s="1912"/>
      <c r="L329" s="1912"/>
      <c r="M329" s="708" t="s">
        <v>2308</v>
      </c>
      <c r="N329" s="223"/>
      <c r="O329" s="706">
        <f t="shared" si="56"/>
        <v>0</v>
      </c>
    </row>
    <row r="330" spans="1:15" s="360" customFormat="1" ht="15" hidden="1">
      <c r="A330" s="356" t="s">
        <v>522</v>
      </c>
      <c r="B330" s="707" t="s">
        <v>507</v>
      </c>
      <c r="C330" s="709"/>
      <c r="D330" s="354"/>
      <c r="E330" s="10"/>
      <c r="F330" s="353"/>
      <c r="G330" s="358">
        <f>FF!I956</f>
        <v>0</v>
      </c>
      <c r="H330" s="354" t="s">
        <v>102</v>
      </c>
      <c r="I330" s="355">
        <f>FF!K956</f>
        <v>1074.81</v>
      </c>
      <c r="J330" s="353">
        <f>ROUND(G330*I330,0)</f>
        <v>0</v>
      </c>
      <c r="K330" s="1912"/>
      <c r="L330" s="1912"/>
      <c r="M330" s="708" t="s">
        <v>2321</v>
      </c>
      <c r="N330" s="223"/>
      <c r="O330" s="706">
        <f t="shared" si="56"/>
        <v>0</v>
      </c>
    </row>
    <row r="331" spans="1:15" s="360" customFormat="1" ht="15" hidden="1">
      <c r="A331" s="356" t="s">
        <v>522</v>
      </c>
      <c r="B331" s="707" t="s">
        <v>507</v>
      </c>
      <c r="C331" s="709"/>
      <c r="D331" s="354"/>
      <c r="E331" s="10"/>
      <c r="F331" s="353"/>
      <c r="G331" s="358">
        <f>FF!I963</f>
        <v>0</v>
      </c>
      <c r="H331" s="354" t="s">
        <v>102</v>
      </c>
      <c r="I331" s="355">
        <f>FF!K963</f>
        <v>1103.3900000000001</v>
      </c>
      <c r="J331" s="353">
        <f>ROUND(G331*I331,0)</f>
        <v>0</v>
      </c>
      <c r="K331" s="1913"/>
      <c r="L331" s="1913"/>
      <c r="M331" s="708" t="s">
        <v>2322</v>
      </c>
      <c r="N331" s="223"/>
      <c r="O331" s="706">
        <f t="shared" si="56"/>
        <v>0</v>
      </c>
    </row>
    <row r="332" spans="1:15" s="360" customFormat="1" ht="63.75" hidden="1">
      <c r="A332" s="356" t="s">
        <v>514</v>
      </c>
      <c r="B332" s="707" t="s">
        <v>3283</v>
      </c>
      <c r="C332" s="571"/>
      <c r="D332" s="916" t="s">
        <v>102</v>
      </c>
      <c r="E332" s="53">
        <v>1008.39</v>
      </c>
      <c r="F332" s="917">
        <f t="shared" ref="F332" si="66">ROUND(C332*E332,0)</f>
        <v>0</v>
      </c>
      <c r="G332" s="358">
        <f>FF!I970</f>
        <v>0</v>
      </c>
      <c r="H332" s="354" t="s">
        <v>102</v>
      </c>
      <c r="I332" s="355">
        <f>FF!K970</f>
        <v>1015.94</v>
      </c>
      <c r="J332" s="353">
        <f t="shared" si="62"/>
        <v>0</v>
      </c>
      <c r="K332" s="1911">
        <f>IF((J332+J333+J334+J335)&gt;(F332+F333+F334+F335),(J332+J333+J334+J335)-(F332+F333+F334+F335),0)</f>
        <v>0</v>
      </c>
      <c r="L332" s="1911">
        <f>IF((J332+J333+J334+J335)&lt;(F332+F333+F334+F335),(F332+F333+F334+F335)-(J332+J333+J334+J335),0)</f>
        <v>0</v>
      </c>
      <c r="M332" s="1139" t="s">
        <v>2226</v>
      </c>
      <c r="N332" s="223"/>
      <c r="O332" s="1138">
        <f t="shared" ref="O332:O395" si="67">F332-J332</f>
        <v>0</v>
      </c>
    </row>
    <row r="333" spans="1:15" s="360" customFormat="1" ht="15" hidden="1">
      <c r="A333" s="356" t="s">
        <v>533</v>
      </c>
      <c r="B333" s="707" t="s">
        <v>509</v>
      </c>
      <c r="C333" s="709"/>
      <c r="D333" s="354"/>
      <c r="E333" s="10"/>
      <c r="F333" s="353"/>
      <c r="G333" s="358">
        <f>FF!I988</f>
        <v>0</v>
      </c>
      <c r="H333" s="354" t="s">
        <v>102</v>
      </c>
      <c r="I333" s="355">
        <f>FF!K988</f>
        <v>1046.76</v>
      </c>
      <c r="J333" s="353">
        <f>ROUND(G333*I333,0)</f>
        <v>0</v>
      </c>
      <c r="K333" s="1912"/>
      <c r="L333" s="1912"/>
      <c r="M333" s="708" t="s">
        <v>2308</v>
      </c>
      <c r="N333" s="223"/>
      <c r="O333" s="706">
        <f t="shared" si="67"/>
        <v>0</v>
      </c>
    </row>
    <row r="334" spans="1:15" s="360" customFormat="1" ht="15" hidden="1">
      <c r="A334" s="356" t="s">
        <v>525</v>
      </c>
      <c r="B334" s="707" t="s">
        <v>509</v>
      </c>
      <c r="C334" s="709"/>
      <c r="D334" s="354"/>
      <c r="E334" s="10"/>
      <c r="F334" s="353"/>
      <c r="G334" s="358">
        <f>FF!I995</f>
        <v>0</v>
      </c>
      <c r="H334" s="354" t="s">
        <v>102</v>
      </c>
      <c r="I334" s="355">
        <f>FF!K995</f>
        <v>1069.8699999999999</v>
      </c>
      <c r="J334" s="353">
        <f>ROUND(G334*I334,0)</f>
        <v>0</v>
      </c>
      <c r="K334" s="1912"/>
      <c r="L334" s="1912"/>
      <c r="M334" s="708" t="s">
        <v>2321</v>
      </c>
      <c r="N334" s="223"/>
      <c r="O334" s="706">
        <f t="shared" si="67"/>
        <v>0</v>
      </c>
    </row>
    <row r="335" spans="1:15" s="360" customFormat="1" ht="15" hidden="1">
      <c r="A335" s="356" t="s">
        <v>525</v>
      </c>
      <c r="B335" s="707" t="s">
        <v>509</v>
      </c>
      <c r="C335" s="709"/>
      <c r="D335" s="354"/>
      <c r="E335" s="10"/>
      <c r="F335" s="353"/>
      <c r="G335" s="358">
        <f>FF!I1002</f>
        <v>0</v>
      </c>
      <c r="H335" s="354" t="s">
        <v>102</v>
      </c>
      <c r="I335" s="355">
        <f>FF!K1002</f>
        <v>1098.05</v>
      </c>
      <c r="J335" s="353">
        <f>ROUND(G335*I335,0)</f>
        <v>0</v>
      </c>
      <c r="K335" s="1913"/>
      <c r="L335" s="1913"/>
      <c r="M335" s="708" t="s">
        <v>2322</v>
      </c>
      <c r="N335" s="223"/>
      <c r="O335" s="706">
        <f t="shared" si="67"/>
        <v>0</v>
      </c>
    </row>
    <row r="336" spans="1:15" s="360" customFormat="1" ht="15" hidden="1">
      <c r="A336" s="356" t="s">
        <v>526</v>
      </c>
      <c r="B336" s="707" t="s">
        <v>708</v>
      </c>
      <c r="C336" s="710"/>
      <c r="D336" s="354"/>
      <c r="E336" s="362"/>
      <c r="F336" s="353"/>
      <c r="G336" s="358">
        <f>FF!I1009</f>
        <v>0</v>
      </c>
      <c r="H336" s="354" t="s">
        <v>77</v>
      </c>
      <c r="I336" s="355">
        <f>FF!K1009</f>
        <v>2881.3</v>
      </c>
      <c r="J336" s="353">
        <f t="shared" si="62"/>
        <v>0</v>
      </c>
      <c r="K336" s="1911">
        <f>IF((J336+J337+J338+J339)&gt;(F336+F337+F338+F339),(J336+J337+J338+J339)-(F336+F337+F338+F339),0)</f>
        <v>0</v>
      </c>
      <c r="L336" s="1911">
        <f>IF((J336+J337+J338+J339)&lt;(F336+F337+F338+F339),(F336+F337+F338+F339)-(J336+J337+J338+J339),0)</f>
        <v>0</v>
      </c>
      <c r="M336" s="708" t="s">
        <v>2226</v>
      </c>
      <c r="N336" s="223"/>
      <c r="O336" s="706">
        <f t="shared" si="67"/>
        <v>0</v>
      </c>
    </row>
    <row r="337" spans="1:15" s="360" customFormat="1" ht="15" hidden="1">
      <c r="A337" s="356" t="s">
        <v>534</v>
      </c>
      <c r="B337" s="707" t="s">
        <v>708</v>
      </c>
      <c r="C337" s="710"/>
      <c r="D337" s="354"/>
      <c r="E337" s="362"/>
      <c r="F337" s="353"/>
      <c r="G337" s="358">
        <f>FF!I1017</f>
        <v>0</v>
      </c>
      <c r="H337" s="354" t="s">
        <v>77</v>
      </c>
      <c r="I337" s="355">
        <f>FF!K1017</f>
        <v>2944.91</v>
      </c>
      <c r="J337" s="353">
        <f>ROUND(G337*I337,0)</f>
        <v>0</v>
      </c>
      <c r="K337" s="1912"/>
      <c r="L337" s="1912"/>
      <c r="M337" s="708" t="s">
        <v>2308</v>
      </c>
      <c r="N337" s="223"/>
      <c r="O337" s="706">
        <f t="shared" si="67"/>
        <v>0</v>
      </c>
    </row>
    <row r="338" spans="1:15" s="360" customFormat="1" ht="15" hidden="1">
      <c r="A338" s="356" t="s">
        <v>526</v>
      </c>
      <c r="B338" s="707" t="s">
        <v>708</v>
      </c>
      <c r="C338" s="710"/>
      <c r="D338" s="354"/>
      <c r="E338" s="362"/>
      <c r="F338" s="353"/>
      <c r="G338" s="358">
        <f>FF!I1024</f>
        <v>0</v>
      </c>
      <c r="H338" s="354" t="s">
        <v>77</v>
      </c>
      <c r="I338" s="355">
        <f>FF!K1024</f>
        <v>3004.62</v>
      </c>
      <c r="J338" s="353">
        <f>ROUND(G338*I338,0)</f>
        <v>0</v>
      </c>
      <c r="K338" s="1912"/>
      <c r="L338" s="1912"/>
      <c r="M338" s="708" t="s">
        <v>2321</v>
      </c>
      <c r="N338" s="223"/>
      <c r="O338" s="706">
        <f t="shared" si="67"/>
        <v>0</v>
      </c>
    </row>
    <row r="339" spans="1:15" s="360" customFormat="1" ht="63.75" hidden="1">
      <c r="A339" s="356" t="s">
        <v>515</v>
      </c>
      <c r="B339" s="707" t="s">
        <v>3284</v>
      </c>
      <c r="C339" s="710"/>
      <c r="D339" s="354"/>
      <c r="E339" s="362"/>
      <c r="F339" s="353"/>
      <c r="G339" s="358">
        <f>FF!I1041</f>
        <v>0</v>
      </c>
      <c r="H339" s="354" t="s">
        <v>77</v>
      </c>
      <c r="I339" s="355">
        <f>FF!K1041</f>
        <v>3181.62</v>
      </c>
      <c r="J339" s="353">
        <f>ROUND(G339*I339,0)</f>
        <v>0</v>
      </c>
      <c r="K339" s="1913"/>
      <c r="L339" s="1913"/>
      <c r="M339" s="1139" t="s">
        <v>2322</v>
      </c>
      <c r="N339" s="223"/>
      <c r="O339" s="1138">
        <f t="shared" si="67"/>
        <v>0</v>
      </c>
    </row>
    <row r="340" spans="1:15" s="360" customFormat="1" ht="15" hidden="1">
      <c r="A340" s="356" t="s">
        <v>527</v>
      </c>
      <c r="B340" s="707" t="s">
        <v>877</v>
      </c>
      <c r="C340" s="710"/>
      <c r="D340" s="354"/>
      <c r="E340" s="362"/>
      <c r="F340" s="353"/>
      <c r="G340" s="358">
        <f>FF!I1048</f>
        <v>0</v>
      </c>
      <c r="H340" s="354" t="s">
        <v>102</v>
      </c>
      <c r="I340" s="355">
        <f>FF!K1048</f>
        <v>2704.03</v>
      </c>
      <c r="J340" s="353">
        <f t="shared" si="62"/>
        <v>0</v>
      </c>
      <c r="K340" s="1911">
        <f>IF((J340+J341+J342+J343)&gt;(F340+F341+F342+F343),(J340+J341+J342+J343)-(F340+F341+F342+F343),0)</f>
        <v>0</v>
      </c>
      <c r="L340" s="1911">
        <f>IF((J340+J341+J342+J343)&lt;(F340+F341+F342+F343),(F340+F341+F342+F343)-(J340+J341+J342+J343),0)</f>
        <v>0</v>
      </c>
      <c r="M340" s="708" t="s">
        <v>2226</v>
      </c>
      <c r="N340" s="223"/>
      <c r="O340" s="706">
        <f t="shared" si="67"/>
        <v>0</v>
      </c>
    </row>
    <row r="341" spans="1:15" s="360" customFormat="1" ht="15" hidden="1">
      <c r="A341" s="356" t="s">
        <v>1582</v>
      </c>
      <c r="B341" s="707" t="s">
        <v>877</v>
      </c>
      <c r="C341" s="710"/>
      <c r="D341" s="354"/>
      <c r="E341" s="362"/>
      <c r="F341" s="353"/>
      <c r="G341" s="358">
        <f>FF!I1057</f>
        <v>0</v>
      </c>
      <c r="H341" s="354" t="s">
        <v>102</v>
      </c>
      <c r="I341" s="355">
        <f>FF!K1057</f>
        <v>2747.8</v>
      </c>
      <c r="J341" s="353">
        <f>ROUND(G341*I341,0)</f>
        <v>0</v>
      </c>
      <c r="K341" s="1912"/>
      <c r="L341" s="1912"/>
      <c r="M341" s="708" t="s">
        <v>2308</v>
      </c>
      <c r="N341" s="223"/>
      <c r="O341" s="706">
        <f t="shared" si="67"/>
        <v>0</v>
      </c>
    </row>
    <row r="342" spans="1:15" s="360" customFormat="1" ht="15" hidden="1">
      <c r="A342" s="356" t="s">
        <v>527</v>
      </c>
      <c r="B342" s="707" t="s">
        <v>877</v>
      </c>
      <c r="C342" s="710"/>
      <c r="D342" s="354"/>
      <c r="E342" s="362"/>
      <c r="F342" s="353"/>
      <c r="G342" s="358">
        <f>FF!I1064</f>
        <v>0</v>
      </c>
      <c r="H342" s="354" t="s">
        <v>102</v>
      </c>
      <c r="I342" s="355">
        <f>FF!K1064</f>
        <v>2789.27</v>
      </c>
      <c r="J342" s="353">
        <f>ROUND(G342*I342,0)</f>
        <v>0</v>
      </c>
      <c r="K342" s="1912"/>
      <c r="L342" s="1912"/>
      <c r="M342" s="708" t="s">
        <v>2321</v>
      </c>
      <c r="N342" s="223"/>
      <c r="O342" s="706">
        <f t="shared" si="67"/>
        <v>0</v>
      </c>
    </row>
    <row r="343" spans="1:15" s="360" customFormat="1" ht="63.75" hidden="1">
      <c r="A343" s="356" t="s">
        <v>516</v>
      </c>
      <c r="B343" s="707" t="s">
        <v>3285</v>
      </c>
      <c r="C343" s="710"/>
      <c r="D343" s="354"/>
      <c r="E343" s="362"/>
      <c r="F343" s="353"/>
      <c r="G343" s="358">
        <f>FF!I1081</f>
        <v>0</v>
      </c>
      <c r="H343" s="354" t="s">
        <v>102</v>
      </c>
      <c r="I343" s="355">
        <f>FF!K1081</f>
        <v>2950.54</v>
      </c>
      <c r="J343" s="353">
        <f>ROUND(G343*I343,0)</f>
        <v>0</v>
      </c>
      <c r="K343" s="1913"/>
      <c r="L343" s="1913"/>
      <c r="M343" s="1139" t="s">
        <v>2322</v>
      </c>
      <c r="N343" s="223"/>
      <c r="O343" s="1138">
        <f t="shared" si="67"/>
        <v>0</v>
      </c>
    </row>
    <row r="344" spans="1:15" s="360" customFormat="1" ht="15" hidden="1">
      <c r="A344" s="356" t="s">
        <v>529</v>
      </c>
      <c r="B344" s="707" t="s">
        <v>710</v>
      </c>
      <c r="C344" s="710"/>
      <c r="D344" s="354"/>
      <c r="E344" s="362"/>
      <c r="F344" s="353"/>
      <c r="G344" s="358">
        <f>FF!I1089</f>
        <v>0</v>
      </c>
      <c r="H344" s="354" t="s">
        <v>102</v>
      </c>
      <c r="I344" s="355">
        <f>FF!K1089</f>
        <v>633.27</v>
      </c>
      <c r="J344" s="353">
        <f t="shared" si="62"/>
        <v>0</v>
      </c>
      <c r="K344" s="1911">
        <f>IF((J344+J345+J346+J347)&gt;(F344+F345+F346+F347),(J344+J345+J346+J347)-(F344+F345+F346+F347),0)</f>
        <v>0</v>
      </c>
      <c r="L344" s="1911">
        <f>IF((J344+J345+J346+J347)&lt;(F344+F345+F346+F347),(F344+F345+F346+F347)-(J344+J345+J346+J347),0)</f>
        <v>0</v>
      </c>
      <c r="M344" s="708" t="s">
        <v>2226</v>
      </c>
      <c r="N344" s="223"/>
      <c r="O344" s="706">
        <f t="shared" si="67"/>
        <v>0</v>
      </c>
    </row>
    <row r="345" spans="1:15" s="360" customFormat="1" ht="15" hidden="1">
      <c r="A345" s="356" t="s">
        <v>529</v>
      </c>
      <c r="B345" s="707" t="s">
        <v>710</v>
      </c>
      <c r="C345" s="710"/>
      <c r="D345" s="354"/>
      <c r="E345" s="362"/>
      <c r="F345" s="353"/>
      <c r="G345" s="358">
        <f>FF!I1100</f>
        <v>0</v>
      </c>
      <c r="H345" s="354" t="s">
        <v>102</v>
      </c>
      <c r="I345" s="355">
        <f>FF!K1100</f>
        <v>677.99</v>
      </c>
      <c r="J345" s="353">
        <f>ROUND(G345*I345,0)</f>
        <v>0</v>
      </c>
      <c r="K345" s="1912"/>
      <c r="L345" s="1912"/>
      <c r="M345" s="708" t="s">
        <v>2308</v>
      </c>
      <c r="N345" s="223"/>
      <c r="O345" s="706">
        <f t="shared" si="67"/>
        <v>0</v>
      </c>
    </row>
    <row r="346" spans="1:15" s="360" customFormat="1" ht="15" hidden="1">
      <c r="A346" s="356" t="s">
        <v>529</v>
      </c>
      <c r="B346" s="707" t="s">
        <v>710</v>
      </c>
      <c r="C346" s="710"/>
      <c r="D346" s="354"/>
      <c r="E346" s="362"/>
      <c r="F346" s="353"/>
      <c r="G346" s="358">
        <f>FF!I1108</f>
        <v>0</v>
      </c>
      <c r="H346" s="354" t="s">
        <v>102</v>
      </c>
      <c r="I346" s="355">
        <f>FF!K1108</f>
        <v>686.13</v>
      </c>
      <c r="J346" s="353">
        <f>ROUND(G346*I346,0)</f>
        <v>0</v>
      </c>
      <c r="K346" s="1912"/>
      <c r="L346" s="1912"/>
      <c r="M346" s="708" t="s">
        <v>2321</v>
      </c>
      <c r="N346" s="223"/>
      <c r="O346" s="706">
        <f t="shared" si="67"/>
        <v>0</v>
      </c>
    </row>
    <row r="347" spans="1:15" s="360" customFormat="1" ht="15" hidden="1">
      <c r="A347" s="356" t="s">
        <v>529</v>
      </c>
      <c r="B347" s="707" t="s">
        <v>710</v>
      </c>
      <c r="C347" s="710"/>
      <c r="D347" s="354"/>
      <c r="E347" s="362"/>
      <c r="F347" s="353"/>
      <c r="G347" s="358">
        <f>FF!I1116</f>
        <v>0</v>
      </c>
      <c r="H347" s="354" t="s">
        <v>102</v>
      </c>
      <c r="I347" s="355">
        <f>FF!K1116</f>
        <v>780.73</v>
      </c>
      <c r="J347" s="353">
        <f>ROUND(G347*I347,0)</f>
        <v>0</v>
      </c>
      <c r="K347" s="1913"/>
      <c r="L347" s="1913"/>
      <c r="M347" s="708" t="s">
        <v>2322</v>
      </c>
      <c r="N347" s="223"/>
      <c r="O347" s="706">
        <f t="shared" si="67"/>
        <v>0</v>
      </c>
    </row>
    <row r="348" spans="1:15" s="360" customFormat="1" ht="15" hidden="1">
      <c r="A348" s="356" t="s">
        <v>530</v>
      </c>
      <c r="B348" s="707" t="s">
        <v>711</v>
      </c>
      <c r="C348" s="710"/>
      <c r="D348" s="354"/>
      <c r="E348" s="362"/>
      <c r="F348" s="353"/>
      <c r="G348" s="358">
        <f>FF!I1123</f>
        <v>0</v>
      </c>
      <c r="H348" s="354" t="s">
        <v>102</v>
      </c>
      <c r="I348" s="355">
        <f>FF!K1123</f>
        <v>652.64</v>
      </c>
      <c r="J348" s="353">
        <f t="shared" si="62"/>
        <v>0</v>
      </c>
      <c r="K348" s="1911">
        <f>IF((J348+J349+J350+J351)&gt;(F348+F349+F350+F351),(J348+J349+J350+J351)-(F348+F349+F350+F351),0)</f>
        <v>0</v>
      </c>
      <c r="L348" s="1911">
        <f>IF((J348+J349+J350+J351)&lt;(F348+F349+F350+F351),(F348+F349+F350+F351)-(J348+J349+J350+J351),0)</f>
        <v>0</v>
      </c>
      <c r="M348" s="708" t="s">
        <v>2226</v>
      </c>
      <c r="N348" s="223"/>
      <c r="O348" s="706">
        <f t="shared" si="67"/>
        <v>0</v>
      </c>
    </row>
    <row r="349" spans="1:15" s="360" customFormat="1" ht="15" hidden="1">
      <c r="A349" s="356" t="s">
        <v>530</v>
      </c>
      <c r="B349" s="707" t="s">
        <v>711</v>
      </c>
      <c r="C349" s="710"/>
      <c r="D349" s="354"/>
      <c r="E349" s="362"/>
      <c r="F349" s="353"/>
      <c r="G349" s="358">
        <f>FF!I1134</f>
        <v>0</v>
      </c>
      <c r="H349" s="354" t="s">
        <v>102</v>
      </c>
      <c r="I349" s="355">
        <f>FF!K1134</f>
        <v>683.46</v>
      </c>
      <c r="J349" s="353">
        <f>ROUND(G349*I349,0)</f>
        <v>0</v>
      </c>
      <c r="K349" s="1912"/>
      <c r="L349" s="1912"/>
      <c r="M349" s="708" t="s">
        <v>2308</v>
      </c>
      <c r="N349" s="223"/>
      <c r="O349" s="706">
        <f t="shared" si="67"/>
        <v>0</v>
      </c>
    </row>
    <row r="350" spans="1:15" s="360" customFormat="1" ht="15" hidden="1">
      <c r="A350" s="356" t="s">
        <v>530</v>
      </c>
      <c r="B350" s="707" t="s">
        <v>711</v>
      </c>
      <c r="C350" s="710"/>
      <c r="D350" s="354"/>
      <c r="E350" s="362"/>
      <c r="F350" s="353"/>
      <c r="G350" s="358">
        <f>FF!I1141</f>
        <v>0</v>
      </c>
      <c r="H350" s="354" t="s">
        <v>102</v>
      </c>
      <c r="I350" s="355">
        <f>FF!K1141</f>
        <v>706.57</v>
      </c>
      <c r="J350" s="353">
        <f>ROUND(G350*I350,0)</f>
        <v>0</v>
      </c>
      <c r="K350" s="1912"/>
      <c r="L350" s="1912"/>
      <c r="M350" s="708" t="s">
        <v>2321</v>
      </c>
      <c r="N350" s="223"/>
      <c r="O350" s="706">
        <f t="shared" si="67"/>
        <v>0</v>
      </c>
    </row>
    <row r="351" spans="1:15" s="360" customFormat="1" ht="15" hidden="1">
      <c r="A351" s="356" t="s">
        <v>530</v>
      </c>
      <c r="B351" s="707" t="s">
        <v>711</v>
      </c>
      <c r="C351" s="710"/>
      <c r="D351" s="354"/>
      <c r="E351" s="362"/>
      <c r="F351" s="353"/>
      <c r="G351" s="358">
        <f>FF!I1148</f>
        <v>0</v>
      </c>
      <c r="H351" s="354" t="s">
        <v>102</v>
      </c>
      <c r="I351" s="355">
        <f>FF!K1148</f>
        <v>786.2</v>
      </c>
      <c r="J351" s="353">
        <f>ROUND(G351*I351,0)</f>
        <v>0</v>
      </c>
      <c r="K351" s="1913"/>
      <c r="L351" s="1913"/>
      <c r="M351" s="708" t="s">
        <v>2322</v>
      </c>
      <c r="N351" s="223"/>
      <c r="O351" s="706">
        <f t="shared" si="67"/>
        <v>0</v>
      </c>
    </row>
    <row r="352" spans="1:15" s="360" customFormat="1" ht="51" hidden="1">
      <c r="A352" s="356" t="s">
        <v>517</v>
      </c>
      <c r="B352" s="707" t="s">
        <v>3295</v>
      </c>
      <c r="C352" s="571"/>
      <c r="D352" s="916" t="s">
        <v>102</v>
      </c>
      <c r="E352" s="10">
        <v>700.08</v>
      </c>
      <c r="F352" s="917">
        <f t="shared" ref="F352" si="68">ROUND(C352*E352,0)</f>
        <v>0</v>
      </c>
      <c r="G352" s="358">
        <f>FF!I1155</f>
        <v>0</v>
      </c>
      <c r="H352" s="354" t="s">
        <v>102</v>
      </c>
      <c r="I352" s="355">
        <f>FF!K1155</f>
        <v>755.74</v>
      </c>
      <c r="J352" s="353">
        <f t="shared" si="62"/>
        <v>0</v>
      </c>
      <c r="K352" s="1911">
        <f>IF((J352+J353+J354+J355)&gt;(F352+F353+F354+F355),(J352+J353+J354+J355)-(F352+F353+F354+F355),0)</f>
        <v>0</v>
      </c>
      <c r="L352" s="1911">
        <f>IF((J352+J353+J354+J355)&lt;(F352+F353+F354+F355),(F352+F353+F354+F355)-(J352+J353+J354+J355),0)</f>
        <v>0</v>
      </c>
      <c r="M352" s="1139" t="s">
        <v>2226</v>
      </c>
      <c r="N352" s="223"/>
      <c r="O352" s="1138">
        <f t="shared" si="67"/>
        <v>0</v>
      </c>
    </row>
    <row r="353" spans="1:15" s="360" customFormat="1" ht="15" hidden="1">
      <c r="A353" s="356" t="s">
        <v>643</v>
      </c>
      <c r="B353" s="707" t="s">
        <v>511</v>
      </c>
      <c r="C353" s="709"/>
      <c r="D353" s="354"/>
      <c r="E353" s="10"/>
      <c r="F353" s="353"/>
      <c r="G353" s="358">
        <f>FF!I1163</f>
        <v>0</v>
      </c>
      <c r="H353" s="354" t="s">
        <v>102</v>
      </c>
      <c r="I353" s="355">
        <f>FF!K1163</f>
        <v>786.57</v>
      </c>
      <c r="J353" s="353">
        <f>ROUND(G353*I353,0)</f>
        <v>0</v>
      </c>
      <c r="K353" s="1912"/>
      <c r="L353" s="1912"/>
      <c r="M353" s="708" t="s">
        <v>2308</v>
      </c>
      <c r="N353" s="223"/>
      <c r="O353" s="706">
        <f t="shared" si="67"/>
        <v>0</v>
      </c>
    </row>
    <row r="354" spans="1:15" s="360" customFormat="1" ht="15" hidden="1">
      <c r="A354" s="356" t="s">
        <v>528</v>
      </c>
      <c r="B354" s="707" t="s">
        <v>511</v>
      </c>
      <c r="C354" s="709"/>
      <c r="D354" s="354"/>
      <c r="E354" s="10"/>
      <c r="F354" s="353"/>
      <c r="G354" s="358">
        <f>FF!I1170</f>
        <v>0</v>
      </c>
      <c r="H354" s="354" t="s">
        <v>102</v>
      </c>
      <c r="I354" s="355">
        <f>FF!K1170</f>
        <v>809.68</v>
      </c>
      <c r="J354" s="353">
        <f>ROUND(G354*I354,0)</f>
        <v>0</v>
      </c>
      <c r="K354" s="1912"/>
      <c r="L354" s="1912"/>
      <c r="M354" s="708" t="s">
        <v>2321</v>
      </c>
      <c r="N354" s="223"/>
      <c r="O354" s="706">
        <f t="shared" si="67"/>
        <v>0</v>
      </c>
    </row>
    <row r="355" spans="1:15" s="360" customFormat="1" ht="15" hidden="1">
      <c r="A355" s="356" t="s">
        <v>528</v>
      </c>
      <c r="B355" s="707" t="s">
        <v>511</v>
      </c>
      <c r="C355" s="709"/>
      <c r="D355" s="354"/>
      <c r="E355" s="10"/>
      <c r="F355" s="353"/>
      <c r="G355" s="358">
        <f>FF!I1175</f>
        <v>0</v>
      </c>
      <c r="H355" s="354" t="s">
        <v>102</v>
      </c>
      <c r="I355" s="355">
        <f>FF!K1175</f>
        <v>837.86</v>
      </c>
      <c r="J355" s="353">
        <f>ROUND(G355*I355,0)</f>
        <v>0</v>
      </c>
      <c r="K355" s="1913"/>
      <c r="L355" s="1913"/>
      <c r="M355" s="708" t="s">
        <v>2322</v>
      </c>
      <c r="N355" s="223"/>
      <c r="O355" s="706">
        <f t="shared" si="67"/>
        <v>0</v>
      </c>
    </row>
    <row r="356" spans="1:15" s="360" customFormat="1" ht="63.75" hidden="1">
      <c r="A356" s="356" t="s">
        <v>518</v>
      </c>
      <c r="B356" s="707" t="s">
        <v>3296</v>
      </c>
      <c r="C356" s="571"/>
      <c r="D356" s="916" t="s">
        <v>102</v>
      </c>
      <c r="E356" s="10">
        <v>485.09</v>
      </c>
      <c r="F356" s="917">
        <f t="shared" ref="F356" si="69">ROUND(C356*E356,0)</f>
        <v>0</v>
      </c>
      <c r="G356" s="358">
        <f>FF!I1182</f>
        <v>0</v>
      </c>
      <c r="H356" s="354" t="s">
        <v>102</v>
      </c>
      <c r="I356" s="355">
        <f>FF!K1182</f>
        <v>494.82</v>
      </c>
      <c r="J356" s="353">
        <f t="shared" si="62"/>
        <v>0</v>
      </c>
      <c r="K356" s="1911">
        <f>IF((J356+J357+J358+J359)&gt;(F356+F357+F358+F359),(J356+J357+J358+J359)-(F356+F357+F358+F359),0)</f>
        <v>0</v>
      </c>
      <c r="L356" s="1911">
        <f>IF((J356+J357+J358+J359)&lt;(F356+F357+F358+F359),(F356+F357+F358+F359)-(J356+J357+J358+J359),0)</f>
        <v>0</v>
      </c>
      <c r="M356" s="1139" t="s">
        <v>2226</v>
      </c>
      <c r="N356" s="223"/>
      <c r="O356" s="1138">
        <f t="shared" si="67"/>
        <v>0</v>
      </c>
    </row>
    <row r="357" spans="1:15" s="360" customFormat="1" ht="15" hidden="1">
      <c r="A357" s="356" t="s">
        <v>1577</v>
      </c>
      <c r="B357" s="707" t="s">
        <v>570</v>
      </c>
      <c r="C357" s="709"/>
      <c r="D357" s="354"/>
      <c r="E357" s="10"/>
      <c r="F357" s="353"/>
      <c r="G357" s="358">
        <f>FF!I1190</f>
        <v>0</v>
      </c>
      <c r="H357" s="354" t="s">
        <v>102</v>
      </c>
      <c r="I357" s="355">
        <f>FF!K1190</f>
        <v>504.13</v>
      </c>
      <c r="J357" s="353">
        <f>ROUND(G357*I357,0)</f>
        <v>0</v>
      </c>
      <c r="K357" s="1912"/>
      <c r="L357" s="1912"/>
      <c r="M357" s="708" t="s">
        <v>2308</v>
      </c>
      <c r="N357" s="223"/>
      <c r="O357" s="706">
        <f t="shared" si="67"/>
        <v>0</v>
      </c>
    </row>
    <row r="358" spans="1:15" s="360" customFormat="1" ht="15" hidden="1">
      <c r="A358" s="356" t="s">
        <v>529</v>
      </c>
      <c r="B358" s="707" t="s">
        <v>570</v>
      </c>
      <c r="C358" s="709"/>
      <c r="D358" s="354"/>
      <c r="E358" s="10"/>
      <c r="F358" s="353"/>
      <c r="G358" s="358">
        <f>FF!I1197</f>
        <v>0</v>
      </c>
      <c r="H358" s="354" t="s">
        <v>102</v>
      </c>
      <c r="I358" s="355">
        <f>FF!K1197</f>
        <v>512.09</v>
      </c>
      <c r="J358" s="353">
        <f>ROUND(G358*I358,0)</f>
        <v>0</v>
      </c>
      <c r="K358" s="1912"/>
      <c r="L358" s="1912"/>
      <c r="M358" s="708" t="s">
        <v>2321</v>
      </c>
      <c r="N358" s="223"/>
      <c r="O358" s="706">
        <f t="shared" si="67"/>
        <v>0</v>
      </c>
    </row>
    <row r="359" spans="1:15" s="360" customFormat="1" ht="15" hidden="1">
      <c r="A359" s="356" t="s">
        <v>529</v>
      </c>
      <c r="B359" s="707" t="s">
        <v>570</v>
      </c>
      <c r="C359" s="709"/>
      <c r="D359" s="354"/>
      <c r="E359" s="10"/>
      <c r="F359" s="353"/>
      <c r="G359" s="358">
        <f>FF!I1209</f>
        <v>0</v>
      </c>
      <c r="H359" s="354" t="s">
        <v>102</v>
      </c>
      <c r="I359" s="355">
        <f>FF!K1209</f>
        <v>527.21</v>
      </c>
      <c r="J359" s="353">
        <f>ROUND(G359*I359,0)</f>
        <v>0</v>
      </c>
      <c r="K359" s="1913"/>
      <c r="L359" s="1913"/>
      <c r="M359" s="708" t="s">
        <v>2322</v>
      </c>
      <c r="N359" s="223"/>
      <c r="O359" s="706">
        <f t="shared" si="67"/>
        <v>0</v>
      </c>
    </row>
    <row r="360" spans="1:15" s="360" customFormat="1" ht="15" hidden="1">
      <c r="A360" s="356" t="s">
        <v>492</v>
      </c>
      <c r="B360" s="707" t="s">
        <v>1223</v>
      </c>
      <c r="C360" s="710"/>
      <c r="D360" s="354"/>
      <c r="E360" s="362"/>
      <c r="F360" s="353"/>
      <c r="G360" s="358">
        <f>FF!I1217</f>
        <v>0</v>
      </c>
      <c r="H360" s="354" t="s">
        <v>102</v>
      </c>
      <c r="I360" s="355">
        <f>FF!K1217</f>
        <v>944.79</v>
      </c>
      <c r="J360" s="353">
        <f t="shared" si="62"/>
        <v>0</v>
      </c>
      <c r="K360" s="1911">
        <f>IF((J360+J361+J362+J363)&gt;(F360+F361+F362+F363),(J360+J361+J362+J363)-(F360+F361+F362+F363),0)</f>
        <v>0</v>
      </c>
      <c r="L360" s="1911">
        <f>IF((J360+J361+J362+J363)&lt;(F360+F361+F362+F363),(F360+F361+F362+F363)-(J360+J361+J362+J363),0)</f>
        <v>0</v>
      </c>
      <c r="M360" s="708" t="s">
        <v>2226</v>
      </c>
      <c r="N360" s="223"/>
      <c r="O360" s="706">
        <f t="shared" si="67"/>
        <v>0</v>
      </c>
    </row>
    <row r="361" spans="1:15" s="360" customFormat="1" ht="15" hidden="1">
      <c r="A361" s="356" t="s">
        <v>492</v>
      </c>
      <c r="B361" s="707" t="s">
        <v>1223</v>
      </c>
      <c r="C361" s="710"/>
      <c r="D361" s="354"/>
      <c r="E361" s="362"/>
      <c r="F361" s="353"/>
      <c r="G361" s="358">
        <f>FF!I1225</f>
        <v>0</v>
      </c>
      <c r="H361" s="354" t="s">
        <v>102</v>
      </c>
      <c r="I361" s="355">
        <f>FF!K1225</f>
        <v>986.93</v>
      </c>
      <c r="J361" s="353">
        <f>ROUND(G361*I361,0)</f>
        <v>0</v>
      </c>
      <c r="K361" s="1912"/>
      <c r="L361" s="1912"/>
      <c r="M361" s="708" t="s">
        <v>2308</v>
      </c>
      <c r="N361" s="223"/>
      <c r="O361" s="706">
        <f t="shared" si="67"/>
        <v>0</v>
      </c>
    </row>
    <row r="362" spans="1:15" s="360" customFormat="1" ht="15" hidden="1">
      <c r="A362" s="356" t="s">
        <v>492</v>
      </c>
      <c r="B362" s="707" t="s">
        <v>1223</v>
      </c>
      <c r="C362" s="710"/>
      <c r="D362" s="354"/>
      <c r="E362" s="362"/>
      <c r="F362" s="353"/>
      <c r="G362" s="358">
        <f>FF!I1233</f>
        <v>0</v>
      </c>
      <c r="H362" s="354" t="s">
        <v>102</v>
      </c>
      <c r="I362" s="355">
        <f>FF!K1233</f>
        <v>1020.23</v>
      </c>
      <c r="J362" s="353">
        <f>ROUND(G362*I362,0)</f>
        <v>0</v>
      </c>
      <c r="K362" s="1912"/>
      <c r="L362" s="1912"/>
      <c r="M362" s="708" t="s">
        <v>2321</v>
      </c>
      <c r="N362" s="223"/>
      <c r="O362" s="706">
        <f t="shared" si="67"/>
        <v>0</v>
      </c>
    </row>
    <row r="363" spans="1:15" s="360" customFormat="1" ht="15" hidden="1">
      <c r="A363" s="356" t="s">
        <v>492</v>
      </c>
      <c r="B363" s="707" t="s">
        <v>1223</v>
      </c>
      <c r="C363" s="710"/>
      <c r="D363" s="354"/>
      <c r="E363" s="362"/>
      <c r="F363" s="353"/>
      <c r="G363" s="358">
        <f>FF!I1241</f>
        <v>0</v>
      </c>
      <c r="H363" s="354" t="s">
        <v>102</v>
      </c>
      <c r="I363" s="355">
        <f>FF!K1241</f>
        <v>1059.21</v>
      </c>
      <c r="J363" s="353">
        <f>ROUND(G363*I363,0)</f>
        <v>0</v>
      </c>
      <c r="K363" s="1913"/>
      <c r="L363" s="1913"/>
      <c r="M363" s="708" t="s">
        <v>2322</v>
      </c>
      <c r="N363" s="223"/>
      <c r="O363" s="706">
        <f t="shared" si="67"/>
        <v>0</v>
      </c>
    </row>
    <row r="364" spans="1:15" s="360" customFormat="1" ht="15" hidden="1">
      <c r="A364" s="356" t="s">
        <v>533</v>
      </c>
      <c r="B364" s="707" t="s">
        <v>707</v>
      </c>
      <c r="C364" s="711"/>
      <c r="D364" s="354"/>
      <c r="E364" s="660"/>
      <c r="F364" s="353"/>
      <c r="G364" s="358">
        <f>FF!I1250</f>
        <v>0</v>
      </c>
      <c r="H364" s="354" t="s">
        <v>102</v>
      </c>
      <c r="I364" s="355">
        <f>FF!K1250</f>
        <v>21.43</v>
      </c>
      <c r="J364" s="353">
        <f t="shared" si="62"/>
        <v>0</v>
      </c>
      <c r="K364" s="1911">
        <f>IF((J364+J365+J366+J367)&gt;(F364+F365+F366+F367),(J364+J365+J366+J367)-(F364+F365+F366+F367),0)</f>
        <v>0</v>
      </c>
      <c r="L364" s="1911">
        <f>IF((J364+J365+J366+J367)&lt;(F364+F365+F366+F367),(F364+F365+F366+F367)-(J364+J365+J366+J367),0)</f>
        <v>0</v>
      </c>
      <c r="M364" s="708" t="s">
        <v>2226</v>
      </c>
      <c r="N364" s="223"/>
      <c r="O364" s="706">
        <f t="shared" si="67"/>
        <v>0</v>
      </c>
    </row>
    <row r="365" spans="1:15" s="360" customFormat="1" ht="15" hidden="1">
      <c r="A365" s="356" t="s">
        <v>533</v>
      </c>
      <c r="B365" s="707" t="s">
        <v>707</v>
      </c>
      <c r="C365" s="711"/>
      <c r="D365" s="354"/>
      <c r="E365" s="660"/>
      <c r="F365" s="353"/>
      <c r="G365" s="358">
        <f>FF!I1259</f>
        <v>0</v>
      </c>
      <c r="H365" s="354" t="s">
        <v>102</v>
      </c>
      <c r="I365" s="355">
        <f>FF!K1259</f>
        <v>22.88</v>
      </c>
      <c r="J365" s="353">
        <f>ROUND(G365*I365,0)</f>
        <v>0</v>
      </c>
      <c r="K365" s="1912"/>
      <c r="L365" s="1912"/>
      <c r="M365" s="708" t="s">
        <v>2308</v>
      </c>
      <c r="N365" s="223"/>
      <c r="O365" s="706">
        <f t="shared" si="67"/>
        <v>0</v>
      </c>
    </row>
    <row r="366" spans="1:15" s="360" customFormat="1" ht="15" hidden="1">
      <c r="A366" s="356" t="s">
        <v>533</v>
      </c>
      <c r="B366" s="707" t="s">
        <v>707</v>
      </c>
      <c r="C366" s="711"/>
      <c r="D366" s="354"/>
      <c r="E366" s="660"/>
      <c r="F366" s="353"/>
      <c r="G366" s="358">
        <f>FF!I1268</f>
        <v>0</v>
      </c>
      <c r="H366" s="354" t="s">
        <v>102</v>
      </c>
      <c r="I366" s="355">
        <f>FF!K1268</f>
        <v>24.15</v>
      </c>
      <c r="J366" s="353">
        <f>ROUND(G366*I366,0)</f>
        <v>0</v>
      </c>
      <c r="K366" s="1912"/>
      <c r="L366" s="1912"/>
      <c r="M366" s="708" t="s">
        <v>2321</v>
      </c>
      <c r="N366" s="223"/>
      <c r="O366" s="706">
        <f t="shared" si="67"/>
        <v>0</v>
      </c>
    </row>
    <row r="367" spans="1:15" s="360" customFormat="1" ht="15" hidden="1">
      <c r="A367" s="356" t="s">
        <v>533</v>
      </c>
      <c r="B367" s="707" t="s">
        <v>707</v>
      </c>
      <c r="C367" s="711"/>
      <c r="D367" s="354"/>
      <c r="E367" s="660"/>
      <c r="F367" s="353"/>
      <c r="G367" s="358">
        <f>FF!I1277</f>
        <v>0</v>
      </c>
      <c r="H367" s="354" t="s">
        <v>102</v>
      </c>
      <c r="I367" s="355">
        <f>FF!K1277</f>
        <v>25.98</v>
      </c>
      <c r="J367" s="353">
        <f>ROUND(G367*I367,0)</f>
        <v>0</v>
      </c>
      <c r="K367" s="1913"/>
      <c r="L367" s="1913"/>
      <c r="M367" s="708" t="s">
        <v>2322</v>
      </c>
      <c r="N367" s="223"/>
      <c r="O367" s="706">
        <f t="shared" si="67"/>
        <v>0</v>
      </c>
    </row>
    <row r="368" spans="1:15" s="360" customFormat="1" ht="15" hidden="1">
      <c r="A368" s="356" t="s">
        <v>516</v>
      </c>
      <c r="B368" s="707" t="s">
        <v>888</v>
      </c>
      <c r="C368" s="710"/>
      <c r="D368" s="354"/>
      <c r="E368" s="362"/>
      <c r="F368" s="353"/>
      <c r="G368" s="358">
        <f>FF!I1302</f>
        <v>0</v>
      </c>
      <c r="H368" s="354" t="s">
        <v>102</v>
      </c>
      <c r="I368" s="355">
        <f>FF!K1302</f>
        <v>156.41</v>
      </c>
      <c r="J368" s="353">
        <f t="shared" si="62"/>
        <v>0</v>
      </c>
      <c r="K368" s="1911">
        <f>IF((J368+J369+J370+J371)&gt;(F368+F369+F370+F371),(J368+J369+J370+J371)-(F368+F369+F370+F371),0)</f>
        <v>0</v>
      </c>
      <c r="L368" s="1911">
        <f>IF((J368+J369+J370+J371)&lt;(F368+F369+F370+F371),(F368+F369+F370+F371)-(J368+J369+J370+J371),0)</f>
        <v>0</v>
      </c>
      <c r="M368" s="708" t="s">
        <v>2226</v>
      </c>
      <c r="N368" s="223"/>
      <c r="O368" s="706">
        <f t="shared" si="67"/>
        <v>0</v>
      </c>
    </row>
    <row r="369" spans="1:15" s="360" customFormat="1" ht="15" hidden="1">
      <c r="A369" s="356" t="s">
        <v>1584</v>
      </c>
      <c r="B369" s="707" t="s">
        <v>888</v>
      </c>
      <c r="C369" s="710"/>
      <c r="D369" s="354"/>
      <c r="E369" s="362"/>
      <c r="F369" s="353"/>
      <c r="G369" s="358">
        <f>FF!I1334</f>
        <v>0</v>
      </c>
      <c r="H369" s="354" t="s">
        <v>102</v>
      </c>
      <c r="I369" s="355">
        <f>FF!K1334</f>
        <v>164.34</v>
      </c>
      <c r="J369" s="353">
        <f>ROUND(G369*I369,0)</f>
        <v>0</v>
      </c>
      <c r="K369" s="1912"/>
      <c r="L369" s="1912"/>
      <c r="M369" s="708" t="s">
        <v>2308</v>
      </c>
      <c r="N369" s="223"/>
      <c r="O369" s="706">
        <f t="shared" si="67"/>
        <v>0</v>
      </c>
    </row>
    <row r="370" spans="1:15" s="360" customFormat="1" ht="15" hidden="1">
      <c r="A370" s="356" t="s">
        <v>530</v>
      </c>
      <c r="B370" s="707" t="s">
        <v>888</v>
      </c>
      <c r="C370" s="710"/>
      <c r="D370" s="354"/>
      <c r="E370" s="362"/>
      <c r="F370" s="353"/>
      <c r="G370" s="358">
        <f>FF!I1344</f>
        <v>0</v>
      </c>
      <c r="H370" s="354" t="s">
        <v>102</v>
      </c>
      <c r="I370" s="355">
        <f>FF!K1344</f>
        <v>170.35</v>
      </c>
      <c r="J370" s="353">
        <f>ROUND(G370*I370,0)</f>
        <v>0</v>
      </c>
      <c r="K370" s="1912"/>
      <c r="L370" s="1912"/>
      <c r="M370" s="708" t="s">
        <v>2321</v>
      </c>
      <c r="N370" s="223"/>
      <c r="O370" s="706">
        <f t="shared" si="67"/>
        <v>0</v>
      </c>
    </row>
    <row r="371" spans="1:15" s="360" customFormat="1" ht="51" hidden="1">
      <c r="A371" s="356" t="s">
        <v>519</v>
      </c>
      <c r="B371" s="707" t="s">
        <v>3287</v>
      </c>
      <c r="C371" s="710"/>
      <c r="D371" s="354"/>
      <c r="E371" s="362"/>
      <c r="F371" s="353"/>
      <c r="G371" s="358">
        <f>FF!I1369</f>
        <v>0</v>
      </c>
      <c r="H371" s="354" t="s">
        <v>102</v>
      </c>
      <c r="I371" s="355">
        <f>FF!K1369</f>
        <v>184.03</v>
      </c>
      <c r="J371" s="353">
        <f>ROUND(G371*I371,0)</f>
        <v>0</v>
      </c>
      <c r="K371" s="1913"/>
      <c r="L371" s="1913"/>
      <c r="M371" s="1139" t="s">
        <v>2322</v>
      </c>
      <c r="N371" s="223"/>
      <c r="O371" s="1138">
        <f t="shared" si="67"/>
        <v>0</v>
      </c>
    </row>
    <row r="372" spans="1:15" s="360" customFormat="1" ht="51" hidden="1">
      <c r="A372" s="356" t="s">
        <v>520</v>
      </c>
      <c r="B372" s="707" t="s">
        <v>3288</v>
      </c>
      <c r="C372" s="571"/>
      <c r="D372" s="916" t="s">
        <v>102</v>
      </c>
      <c r="E372" s="10">
        <v>146.94</v>
      </c>
      <c r="F372" s="917">
        <f t="shared" ref="F372" si="70">ROUND(C372*E372,0)</f>
        <v>0</v>
      </c>
      <c r="G372" s="358">
        <f>FF!I1378</f>
        <v>0</v>
      </c>
      <c r="H372" s="354" t="s">
        <v>102</v>
      </c>
      <c r="I372" s="355">
        <f>FF!K1378</f>
        <v>131.44999999999999</v>
      </c>
      <c r="J372" s="353">
        <f t="shared" si="62"/>
        <v>0</v>
      </c>
      <c r="K372" s="1911">
        <f>IF((J372+J373+J374+J375)&gt;(F372+F373+F374+F375),(J372+J373+J374+J375)-(F372+F373+F374+F375),0)</f>
        <v>0</v>
      </c>
      <c r="L372" s="1911">
        <f>IF((J372+J373+J374+J375)&lt;(F372+F373+F374+F375),(F372+F373+F374+F375)-(J372+J373+J374+J375),0)</f>
        <v>0</v>
      </c>
      <c r="M372" s="1139" t="s">
        <v>2226</v>
      </c>
      <c r="N372" s="223"/>
      <c r="O372" s="1138">
        <f t="shared" si="67"/>
        <v>0</v>
      </c>
    </row>
    <row r="373" spans="1:15" s="360" customFormat="1" ht="15" hidden="1">
      <c r="A373" s="356" t="s">
        <v>1143</v>
      </c>
      <c r="B373" s="707" t="s">
        <v>571</v>
      </c>
      <c r="C373" s="709"/>
      <c r="D373" s="354"/>
      <c r="E373" s="10"/>
      <c r="F373" s="353"/>
      <c r="G373" s="358">
        <f>FF!I1420</f>
        <v>0</v>
      </c>
      <c r="H373" s="354" t="s">
        <v>102</v>
      </c>
      <c r="I373" s="355">
        <f>FF!K1420</f>
        <v>139.51</v>
      </c>
      <c r="J373" s="353">
        <f>ROUND(G373*I373,0)</f>
        <v>0</v>
      </c>
      <c r="K373" s="1912"/>
      <c r="L373" s="1912"/>
      <c r="M373" s="708" t="s">
        <v>2308</v>
      </c>
      <c r="N373" s="223"/>
      <c r="O373" s="706">
        <f t="shared" si="67"/>
        <v>0</v>
      </c>
    </row>
    <row r="374" spans="1:15" s="360" customFormat="1" ht="15" hidden="1">
      <c r="A374" s="356" t="s">
        <v>532</v>
      </c>
      <c r="B374" s="707" t="s">
        <v>571</v>
      </c>
      <c r="C374" s="709"/>
      <c r="D374" s="354"/>
      <c r="E374" s="10"/>
      <c r="F374" s="353"/>
      <c r="G374" s="358">
        <f>FF!I1429</f>
        <v>0</v>
      </c>
      <c r="H374" s="354" t="s">
        <v>102</v>
      </c>
      <c r="I374" s="355">
        <f>FF!K1429</f>
        <v>145.68</v>
      </c>
      <c r="J374" s="353">
        <f>ROUND(G374*I374,0)</f>
        <v>0</v>
      </c>
      <c r="K374" s="1912"/>
      <c r="L374" s="1912"/>
      <c r="M374" s="708" t="s">
        <v>2321</v>
      </c>
      <c r="N374" s="223"/>
      <c r="O374" s="706">
        <f t="shared" si="67"/>
        <v>0</v>
      </c>
    </row>
    <row r="375" spans="1:15" s="360" customFormat="1" ht="51" hidden="1">
      <c r="A375" s="356" t="s">
        <v>521</v>
      </c>
      <c r="B375" s="707" t="s">
        <v>3288</v>
      </c>
      <c r="C375" s="709"/>
      <c r="D375" s="354"/>
      <c r="E375" s="10"/>
      <c r="F375" s="353"/>
      <c r="G375" s="358">
        <f>FF!I1454</f>
        <v>0</v>
      </c>
      <c r="H375" s="354" t="s">
        <v>102</v>
      </c>
      <c r="I375" s="355">
        <f>FF!K1454</f>
        <v>158.36000000000001</v>
      </c>
      <c r="J375" s="353">
        <f>ROUND(G375*I375,0)</f>
        <v>0</v>
      </c>
      <c r="K375" s="1913"/>
      <c r="L375" s="1913"/>
      <c r="M375" s="1139" t="s">
        <v>2322</v>
      </c>
      <c r="N375" s="223"/>
      <c r="O375" s="1138">
        <f t="shared" si="67"/>
        <v>0</v>
      </c>
    </row>
    <row r="376" spans="1:15" s="360" customFormat="1" ht="51" hidden="1">
      <c r="A376" s="356" t="s">
        <v>522</v>
      </c>
      <c r="B376" s="707" t="s">
        <v>3289</v>
      </c>
      <c r="C376" s="571"/>
      <c r="D376" s="916" t="s">
        <v>102</v>
      </c>
      <c r="E376" s="10">
        <v>187.22</v>
      </c>
      <c r="F376" s="917">
        <f t="shared" ref="F376" si="71">ROUND(C376*E376,0)</f>
        <v>0</v>
      </c>
      <c r="G376" s="358">
        <f>FF!I1461</f>
        <v>0</v>
      </c>
      <c r="H376" s="354" t="s">
        <v>102</v>
      </c>
      <c r="I376" s="355">
        <f>FF!K1461</f>
        <v>179.47</v>
      </c>
      <c r="J376" s="353">
        <f t="shared" si="62"/>
        <v>0</v>
      </c>
      <c r="K376" s="1911">
        <f>IF((J376+J377+J378+J379)&gt;(F376+F377+F378+F379),(J376+J377+J378+J379)-(F376+F377+F378+F379),0)</f>
        <v>0</v>
      </c>
      <c r="L376" s="1911">
        <f>IF((J376+J377+J378+J379)&lt;(F376+F377+F378+F379),(F376+F377+F378+F379)-(J376+J377+J378+J379),0)</f>
        <v>0</v>
      </c>
      <c r="M376" s="1139" t="s">
        <v>2226</v>
      </c>
      <c r="N376" s="223"/>
      <c r="O376" s="1138">
        <f t="shared" si="67"/>
        <v>0</v>
      </c>
    </row>
    <row r="377" spans="1:15" s="360" customFormat="1" ht="15" hidden="1">
      <c r="A377" s="356" t="s">
        <v>645</v>
      </c>
      <c r="B377" s="707" t="s">
        <v>1227</v>
      </c>
      <c r="C377" s="709"/>
      <c r="D377" s="354"/>
      <c r="E377" s="10"/>
      <c r="F377" s="353"/>
      <c r="G377" s="358">
        <f>FF!I1493</f>
        <v>0</v>
      </c>
      <c r="H377" s="354" t="s">
        <v>102</v>
      </c>
      <c r="I377" s="355">
        <f>FF!K1493</f>
        <v>192.01</v>
      </c>
      <c r="J377" s="353">
        <f>ROUND(G377*I377,0)</f>
        <v>0</v>
      </c>
      <c r="K377" s="1912"/>
      <c r="L377" s="1912"/>
      <c r="M377" s="708" t="s">
        <v>2308</v>
      </c>
      <c r="N377" s="223"/>
      <c r="O377" s="706">
        <f t="shared" si="67"/>
        <v>0</v>
      </c>
    </row>
    <row r="378" spans="1:15" s="360" customFormat="1" ht="15" hidden="1">
      <c r="A378" s="356" t="s">
        <v>533</v>
      </c>
      <c r="B378" s="707" t="s">
        <v>1227</v>
      </c>
      <c r="C378" s="709"/>
      <c r="D378" s="354"/>
      <c r="E378" s="10"/>
      <c r="F378" s="353"/>
      <c r="G378" s="358">
        <f>FF!I1500</f>
        <v>0</v>
      </c>
      <c r="H378" s="354" t="s">
        <v>102</v>
      </c>
      <c r="I378" s="355">
        <f>FF!K1500</f>
        <v>201.51</v>
      </c>
      <c r="J378" s="353">
        <f>ROUND(G378*I378,0)</f>
        <v>0</v>
      </c>
      <c r="K378" s="1912"/>
      <c r="L378" s="1912"/>
      <c r="M378" s="708" t="s">
        <v>2321</v>
      </c>
      <c r="N378" s="223"/>
      <c r="O378" s="706">
        <f t="shared" si="67"/>
        <v>0</v>
      </c>
    </row>
    <row r="379" spans="1:15" s="360" customFormat="1" ht="51" hidden="1">
      <c r="A379" s="356" t="s">
        <v>524</v>
      </c>
      <c r="B379" s="707" t="s">
        <v>3289</v>
      </c>
      <c r="C379" s="709"/>
      <c r="D379" s="354"/>
      <c r="E379" s="10"/>
      <c r="F379" s="353"/>
      <c r="G379" s="358">
        <f>FF!I1514</f>
        <v>0</v>
      </c>
      <c r="H379" s="354" t="s">
        <v>102</v>
      </c>
      <c r="I379" s="355">
        <f>FF!K1514</f>
        <v>217.22</v>
      </c>
      <c r="J379" s="353">
        <f>ROUND(G379*I379,0)</f>
        <v>0</v>
      </c>
      <c r="K379" s="1913"/>
      <c r="L379" s="1913"/>
      <c r="M379" s="1139" t="s">
        <v>2322</v>
      </c>
      <c r="N379" s="223"/>
      <c r="O379" s="1138">
        <f t="shared" si="67"/>
        <v>0</v>
      </c>
    </row>
    <row r="380" spans="1:15" s="360" customFormat="1" ht="15" hidden="1">
      <c r="A380" s="356" t="s">
        <v>525</v>
      </c>
      <c r="B380" s="707" t="s">
        <v>477</v>
      </c>
      <c r="C380" s="1113"/>
      <c r="D380" s="919" t="s">
        <v>872</v>
      </c>
      <c r="E380" s="570">
        <v>51205</v>
      </c>
      <c r="F380" s="917">
        <f>ROUND(C380*E380/1000,0)</f>
        <v>0</v>
      </c>
      <c r="G380" s="429">
        <f>FF!I1522</f>
        <v>0</v>
      </c>
      <c r="H380" s="221" t="s">
        <v>29</v>
      </c>
      <c r="I380" s="430">
        <f>FF!K1522</f>
        <v>63243.5</v>
      </c>
      <c r="J380" s="353">
        <f t="shared" si="62"/>
        <v>0</v>
      </c>
      <c r="K380" s="1911">
        <f>IF((J380+J381+J382+J383)&gt;(F380+F381+F382+F383),(J380+J381+J382+J383)-(F380+F381+F382+F383),0)</f>
        <v>0</v>
      </c>
      <c r="L380" s="1911">
        <f>IF((J380+J381+J382+J383)&lt;(F380+F381+F382+F383),(F380+F381+F382+F383)-(J380+J381+J382+J383),0)</f>
        <v>0</v>
      </c>
      <c r="M380" s="1139" t="s">
        <v>2226</v>
      </c>
      <c r="N380" s="223"/>
      <c r="O380" s="1138">
        <f t="shared" si="67"/>
        <v>0</v>
      </c>
    </row>
    <row r="381" spans="1:15" s="360" customFormat="1" ht="15" hidden="1">
      <c r="A381" s="356" t="s">
        <v>1588</v>
      </c>
      <c r="B381" s="707" t="s">
        <v>477</v>
      </c>
      <c r="C381" s="554"/>
      <c r="D381" s="221"/>
      <c r="E381" s="10"/>
      <c r="F381" s="353"/>
      <c r="G381" s="429">
        <f>FF!I1527</f>
        <v>0</v>
      </c>
      <c r="H381" s="221" t="s">
        <v>29</v>
      </c>
      <c r="I381" s="430">
        <f>FF!K1527</f>
        <v>63510</v>
      </c>
      <c r="J381" s="353">
        <f>ROUND(G381*I381,0)</f>
        <v>0</v>
      </c>
      <c r="K381" s="1912"/>
      <c r="L381" s="1912"/>
      <c r="M381" s="708" t="s">
        <v>2308</v>
      </c>
      <c r="N381" s="223"/>
      <c r="O381" s="706">
        <f t="shared" si="67"/>
        <v>0</v>
      </c>
    </row>
    <row r="382" spans="1:15" s="360" customFormat="1" ht="15" hidden="1">
      <c r="A382" s="356" t="s">
        <v>1143</v>
      </c>
      <c r="B382" s="707" t="s">
        <v>477</v>
      </c>
      <c r="C382" s="554"/>
      <c r="D382" s="221"/>
      <c r="E382" s="10"/>
      <c r="F382" s="353"/>
      <c r="G382" s="429">
        <f>FF!I1535</f>
        <v>0</v>
      </c>
      <c r="H382" s="221" t="s">
        <v>29</v>
      </c>
      <c r="I382" s="430">
        <f>FF!K1535</f>
        <v>80999.5</v>
      </c>
      <c r="J382" s="353">
        <f>ROUND(G382*I382,0)</f>
        <v>0</v>
      </c>
      <c r="K382" s="1912"/>
      <c r="L382" s="1912"/>
      <c r="M382" s="708" t="s">
        <v>2321</v>
      </c>
      <c r="N382" s="223"/>
      <c r="O382" s="706">
        <f t="shared" si="67"/>
        <v>0</v>
      </c>
    </row>
    <row r="383" spans="1:15" s="360" customFormat="1" ht="15" hidden="1">
      <c r="A383" s="356" t="s">
        <v>1143</v>
      </c>
      <c r="B383" s="707" t="s">
        <v>477</v>
      </c>
      <c r="C383" s="554"/>
      <c r="D383" s="221"/>
      <c r="E383" s="10"/>
      <c r="F383" s="353"/>
      <c r="G383" s="429">
        <f>FF!I1542</f>
        <v>0</v>
      </c>
      <c r="H383" s="221" t="s">
        <v>29</v>
      </c>
      <c r="I383" s="430">
        <f>FF!K1542</f>
        <v>93741</v>
      </c>
      <c r="J383" s="353">
        <f>ROUND(G383*I383,0)</f>
        <v>0</v>
      </c>
      <c r="K383" s="1913"/>
      <c r="L383" s="1913"/>
      <c r="M383" s="708" t="s">
        <v>2322</v>
      </c>
      <c r="N383" s="223"/>
      <c r="O383" s="706">
        <f t="shared" si="67"/>
        <v>0</v>
      </c>
    </row>
    <row r="384" spans="1:15" s="26" customFormat="1" ht="15" hidden="1">
      <c r="A384" s="23"/>
      <c r="B384" s="702" t="s">
        <v>889</v>
      </c>
      <c r="C384" s="713"/>
      <c r="D384" s="714"/>
      <c r="E384" s="715"/>
      <c r="F384" s="716"/>
      <c r="G384" s="28"/>
      <c r="H384" s="224"/>
      <c r="I384" s="37"/>
      <c r="J384" s="11">
        <f t="shared" ref="J384" si="72">ROUND(G384*I384,0)</f>
        <v>0</v>
      </c>
      <c r="K384" s="25"/>
      <c r="L384" s="25"/>
      <c r="M384" s="1139" t="s">
        <v>2226</v>
      </c>
      <c r="N384" s="223"/>
      <c r="O384" s="1138"/>
    </row>
    <row r="385" spans="1:15" s="360" customFormat="1" ht="51" hidden="1">
      <c r="A385" s="356" t="s">
        <v>526</v>
      </c>
      <c r="B385" s="707" t="s">
        <v>3267</v>
      </c>
      <c r="C385" s="711"/>
      <c r="D385" s="354"/>
      <c r="E385" s="660"/>
      <c r="F385" s="353"/>
      <c r="G385" s="358">
        <f>SF!I14</f>
        <v>0</v>
      </c>
      <c r="H385" s="354" t="s">
        <v>5</v>
      </c>
      <c r="I385" s="355">
        <f>SF!K14</f>
        <v>10542.140000000001</v>
      </c>
      <c r="J385" s="353">
        <f t="shared" ref="J385:J409" si="73">ROUND(G385*I385,0)</f>
        <v>0</v>
      </c>
      <c r="K385" s="1911">
        <f>IF((J385+J386+J387+J388)&gt;(F385+F386+F387+F388),(J385+J386+J387+J388)-(F385+F386+F387+F388),0)</f>
        <v>0</v>
      </c>
      <c r="L385" s="1911">
        <f>IF((J385+J386+J387+J388)&lt;(F385+F386+F387+F388),(F385+F386+F387+F388)-(J385+J386+J387+J388),0)</f>
        <v>0</v>
      </c>
      <c r="M385" s="1139" t="s">
        <v>2226</v>
      </c>
      <c r="N385" s="223"/>
      <c r="O385" s="1138">
        <f t="shared" si="67"/>
        <v>0</v>
      </c>
    </row>
    <row r="386" spans="1:15" s="360" customFormat="1" ht="15" hidden="1">
      <c r="A386" s="356" t="s">
        <v>1144</v>
      </c>
      <c r="B386" s="707" t="s">
        <v>2068</v>
      </c>
      <c r="C386" s="711"/>
      <c r="D386" s="354"/>
      <c r="E386" s="660"/>
      <c r="F386" s="353"/>
      <c r="G386" s="358">
        <f>SF!I21</f>
        <v>0</v>
      </c>
      <c r="H386" s="354" t="s">
        <v>5</v>
      </c>
      <c r="I386" s="355">
        <f>SF!K21</f>
        <v>10932.800000000001</v>
      </c>
      <c r="J386" s="353">
        <f>ROUND(G386*I386,0)</f>
        <v>0</v>
      </c>
      <c r="K386" s="1912"/>
      <c r="L386" s="1912"/>
      <c r="M386" s="708" t="s">
        <v>2308</v>
      </c>
      <c r="N386" s="223"/>
      <c r="O386" s="706">
        <f t="shared" si="67"/>
        <v>0</v>
      </c>
    </row>
    <row r="387" spans="1:15" s="360" customFormat="1" ht="15" hidden="1">
      <c r="A387" s="356" t="s">
        <v>1586</v>
      </c>
      <c r="B387" s="707" t="s">
        <v>2068</v>
      </c>
      <c r="C387" s="711"/>
      <c r="D387" s="354"/>
      <c r="E387" s="660"/>
      <c r="F387" s="353"/>
      <c r="G387" s="358">
        <f>SF!I28</f>
        <v>0</v>
      </c>
      <c r="H387" s="354" t="s">
        <v>5</v>
      </c>
      <c r="I387" s="355">
        <f>SF!K28</f>
        <v>11565.1</v>
      </c>
      <c r="J387" s="353">
        <f>ROUND(G387*I387,0)</f>
        <v>0</v>
      </c>
      <c r="K387" s="1912"/>
      <c r="L387" s="1912"/>
      <c r="M387" s="708" t="s">
        <v>2321</v>
      </c>
      <c r="N387" s="223"/>
      <c r="O387" s="706">
        <f t="shared" si="67"/>
        <v>0</v>
      </c>
    </row>
    <row r="388" spans="1:15" s="360" customFormat="1" ht="15" hidden="1">
      <c r="A388" s="356" t="s">
        <v>1586</v>
      </c>
      <c r="B388" s="707" t="s">
        <v>2068</v>
      </c>
      <c r="C388" s="711"/>
      <c r="D388" s="354"/>
      <c r="E388" s="660"/>
      <c r="F388" s="353"/>
      <c r="G388" s="358">
        <f>SF!I33</f>
        <v>0</v>
      </c>
      <c r="H388" s="354" t="s">
        <v>5</v>
      </c>
      <c r="I388" s="355">
        <f>SF!K33</f>
        <v>12013.61</v>
      </c>
      <c r="J388" s="353">
        <f>ROUND(G388*I388,0)</f>
        <v>0</v>
      </c>
      <c r="K388" s="1913"/>
      <c r="L388" s="1913"/>
      <c r="M388" s="708" t="s">
        <v>2322</v>
      </c>
      <c r="N388" s="223"/>
      <c r="O388" s="706">
        <f t="shared" si="67"/>
        <v>0</v>
      </c>
    </row>
    <row r="389" spans="1:15" s="360" customFormat="1" ht="51" hidden="1">
      <c r="A389" s="356" t="s">
        <v>527</v>
      </c>
      <c r="B389" s="707" t="s">
        <v>3269</v>
      </c>
      <c r="C389" s="711"/>
      <c r="D389" s="354"/>
      <c r="E389" s="660"/>
      <c r="F389" s="353"/>
      <c r="G389" s="358">
        <f>SF!I39</f>
        <v>0</v>
      </c>
      <c r="H389" s="354" t="s">
        <v>5</v>
      </c>
      <c r="I389" s="355">
        <f>SF!K39</f>
        <v>10021.1</v>
      </c>
      <c r="J389" s="353">
        <f t="shared" si="73"/>
        <v>0</v>
      </c>
      <c r="K389" s="1911">
        <f>IF((J389+J390+J391+J392)&gt;(F389+F390+F391+F392),(J389+J390+J391+J392)-(F389+F390+F391+F392),0)</f>
        <v>0</v>
      </c>
      <c r="L389" s="1911">
        <f>IF((J389+J390+J391+J392)&lt;(F389+F390+F391+F392),(F389+F390+F391+F392)-(J389+J390+J391+J392),0)</f>
        <v>0</v>
      </c>
      <c r="M389" s="1139" t="s">
        <v>2226</v>
      </c>
      <c r="N389" s="223"/>
      <c r="O389" s="1138">
        <f t="shared" si="67"/>
        <v>0</v>
      </c>
    </row>
    <row r="390" spans="1:15" s="360" customFormat="1" ht="15" hidden="1">
      <c r="A390" s="356" t="s">
        <v>1589</v>
      </c>
      <c r="B390" s="707" t="s">
        <v>2070</v>
      </c>
      <c r="C390" s="711"/>
      <c r="D390" s="354"/>
      <c r="E390" s="660"/>
      <c r="F390" s="353"/>
      <c r="G390" s="358">
        <f>SF!I45</f>
        <v>0</v>
      </c>
      <c r="H390" s="354" t="s">
        <v>5</v>
      </c>
      <c r="I390" s="355">
        <f>SF!K45</f>
        <v>10257.99</v>
      </c>
      <c r="J390" s="353">
        <f>ROUND(G390*I390,0)</f>
        <v>0</v>
      </c>
      <c r="K390" s="1912"/>
      <c r="L390" s="1912"/>
      <c r="M390" s="708" t="s">
        <v>2308</v>
      </c>
      <c r="N390" s="223"/>
      <c r="O390" s="706">
        <f t="shared" si="67"/>
        <v>0</v>
      </c>
    </row>
    <row r="391" spans="1:15" s="360" customFormat="1" ht="15" hidden="1">
      <c r="A391" s="356" t="s">
        <v>645</v>
      </c>
      <c r="B391" s="707" t="s">
        <v>2070</v>
      </c>
      <c r="C391" s="711"/>
      <c r="D391" s="354"/>
      <c r="E391" s="660"/>
      <c r="F391" s="353"/>
      <c r="G391" s="358">
        <f>SF!I51</f>
        <v>0</v>
      </c>
      <c r="H391" s="354" t="s">
        <v>5</v>
      </c>
      <c r="I391" s="355">
        <f>SF!K51</f>
        <v>10793.54</v>
      </c>
      <c r="J391" s="353">
        <f>ROUND(G391*I391,0)</f>
        <v>0</v>
      </c>
      <c r="K391" s="1912"/>
      <c r="L391" s="1912"/>
      <c r="M391" s="708" t="s">
        <v>2321</v>
      </c>
      <c r="N391" s="223"/>
      <c r="O391" s="706">
        <f t="shared" si="67"/>
        <v>0</v>
      </c>
    </row>
    <row r="392" spans="1:15" s="360" customFormat="1" ht="15" hidden="1">
      <c r="A392" s="356" t="s">
        <v>645</v>
      </c>
      <c r="B392" s="707" t="s">
        <v>2070</v>
      </c>
      <c r="C392" s="711"/>
      <c r="D392" s="354"/>
      <c r="E392" s="660"/>
      <c r="F392" s="353"/>
      <c r="G392" s="358">
        <f>SF!I57</f>
        <v>0</v>
      </c>
      <c r="H392" s="354" t="s">
        <v>5</v>
      </c>
      <c r="I392" s="355">
        <f>SF!K57</f>
        <v>11098.560000000001</v>
      </c>
      <c r="J392" s="353">
        <f>ROUND(G392*I392,0)</f>
        <v>0</v>
      </c>
      <c r="K392" s="1913"/>
      <c r="L392" s="1913"/>
      <c r="M392" s="708" t="s">
        <v>2322</v>
      </c>
      <c r="N392" s="223"/>
      <c r="O392" s="706">
        <f t="shared" si="67"/>
        <v>0</v>
      </c>
    </row>
    <row r="393" spans="1:15" s="360" customFormat="1" ht="15" hidden="1">
      <c r="A393" s="356" t="s">
        <v>1143</v>
      </c>
      <c r="B393" s="707" t="s">
        <v>2071</v>
      </c>
      <c r="C393" s="711"/>
      <c r="D393" s="354"/>
      <c r="E393" s="660"/>
      <c r="F393" s="353"/>
      <c r="G393" s="358">
        <f>SF!I86</f>
        <v>0</v>
      </c>
      <c r="H393" s="354" t="s">
        <v>102</v>
      </c>
      <c r="I393" s="355">
        <f>SF!K86</f>
        <v>1395.34</v>
      </c>
      <c r="J393" s="353">
        <f t="shared" si="73"/>
        <v>0</v>
      </c>
      <c r="K393" s="1911">
        <f>IF((J393+J394+J395+J396)&gt;(F393+F394+F395+F396),(J393+J394+J395+J396)-(F393+F394+F395+F396),0)</f>
        <v>0</v>
      </c>
      <c r="L393" s="1911">
        <f>IF((J393+J394+J395+J396)&lt;(F393+F394+F395+F396),(F393+F394+F395+F396)-(J393+J394+J395+J396),0)</f>
        <v>0</v>
      </c>
      <c r="M393" s="708" t="s">
        <v>2226</v>
      </c>
      <c r="N393" s="223"/>
      <c r="O393" s="706">
        <f t="shared" si="67"/>
        <v>0</v>
      </c>
    </row>
    <row r="394" spans="1:15" s="360" customFormat="1" ht="15" hidden="1">
      <c r="A394" s="356" t="s">
        <v>1590</v>
      </c>
      <c r="B394" s="707" t="s">
        <v>2071</v>
      </c>
      <c r="C394" s="711"/>
      <c r="D394" s="354"/>
      <c r="E394" s="660"/>
      <c r="F394" s="353"/>
      <c r="G394" s="358">
        <f>SF!I91</f>
        <v>0</v>
      </c>
      <c r="H394" s="354" t="s">
        <v>102</v>
      </c>
      <c r="I394" s="355">
        <f>SF!K91</f>
        <v>1443.96</v>
      </c>
      <c r="J394" s="353">
        <f>ROUND(G394*I394,0)</f>
        <v>0</v>
      </c>
      <c r="K394" s="1912"/>
      <c r="L394" s="1912"/>
      <c r="M394" s="708" t="s">
        <v>2308</v>
      </c>
      <c r="N394" s="223"/>
      <c r="O394" s="706">
        <f t="shared" si="67"/>
        <v>0</v>
      </c>
    </row>
    <row r="395" spans="1:15" s="360" customFormat="1" ht="15" hidden="1">
      <c r="A395" s="356" t="s">
        <v>1587</v>
      </c>
      <c r="B395" s="707" t="s">
        <v>2071</v>
      </c>
      <c r="C395" s="711"/>
      <c r="D395" s="354"/>
      <c r="E395" s="660"/>
      <c r="F395" s="353"/>
      <c r="G395" s="358">
        <f>SF!I96</f>
        <v>0</v>
      </c>
      <c r="H395" s="354" t="s">
        <v>102</v>
      </c>
      <c r="I395" s="355">
        <f>SF!K96</f>
        <v>1539.2800000000002</v>
      </c>
      <c r="J395" s="353">
        <f>ROUND(G395*I395,0)</f>
        <v>0</v>
      </c>
      <c r="K395" s="1912"/>
      <c r="L395" s="1912"/>
      <c r="M395" s="708" t="s">
        <v>2321</v>
      </c>
      <c r="N395" s="223"/>
      <c r="O395" s="706">
        <f t="shared" si="67"/>
        <v>0</v>
      </c>
    </row>
    <row r="396" spans="1:15" s="360" customFormat="1" ht="15" hidden="1">
      <c r="A396" s="356" t="s">
        <v>1587</v>
      </c>
      <c r="B396" s="707" t="s">
        <v>2071</v>
      </c>
      <c r="C396" s="711"/>
      <c r="D396" s="354"/>
      <c r="E396" s="660"/>
      <c r="F396" s="353"/>
      <c r="G396" s="358">
        <f>SF!I101</f>
        <v>0</v>
      </c>
      <c r="H396" s="354" t="s">
        <v>102</v>
      </c>
      <c r="I396" s="355">
        <f>SF!K101</f>
        <v>1594.17</v>
      </c>
      <c r="J396" s="353">
        <f>ROUND(G396*I396,0)</f>
        <v>0</v>
      </c>
      <c r="K396" s="1913"/>
      <c r="L396" s="1913"/>
      <c r="M396" s="708" t="s">
        <v>2322</v>
      </c>
      <c r="N396" s="223"/>
      <c r="O396" s="706">
        <f t="shared" ref="O396:O459" si="74">F396-J396</f>
        <v>0</v>
      </c>
    </row>
    <row r="397" spans="1:15" s="360" customFormat="1" ht="51" hidden="1">
      <c r="A397" s="356" t="s">
        <v>1581</v>
      </c>
      <c r="B397" s="707" t="s">
        <v>3297</v>
      </c>
      <c r="C397" s="633"/>
      <c r="D397" s="354"/>
      <c r="E397" s="622"/>
      <c r="F397" s="353"/>
      <c r="G397" s="358">
        <f>SF!I106</f>
        <v>0</v>
      </c>
      <c r="H397" s="354" t="s">
        <v>102</v>
      </c>
      <c r="I397" s="355">
        <f>SF!K106</f>
        <v>1271.18</v>
      </c>
      <c r="J397" s="353">
        <f t="shared" si="73"/>
        <v>0</v>
      </c>
      <c r="K397" s="1911">
        <f>IF((J397+J398+J399+J400)&gt;(F397+F398+F399+F400),(J397+J398+J399+J400)-(F397+F398+F399+F400),0)</f>
        <v>0</v>
      </c>
      <c r="L397" s="1911">
        <f>IF((J397+J398+J399+J400)&lt;(F397+F398+F399+F400),(F397+F398+F399+F400)-(J397+J398+J399+J400),0)</f>
        <v>0</v>
      </c>
      <c r="M397" s="1139" t="s">
        <v>2226</v>
      </c>
      <c r="N397" s="223"/>
      <c r="O397" s="1138">
        <f t="shared" si="74"/>
        <v>0</v>
      </c>
    </row>
    <row r="398" spans="1:15" s="360" customFormat="1" ht="15" hidden="1">
      <c r="A398" s="356" t="s">
        <v>487</v>
      </c>
      <c r="B398" s="707" t="s">
        <v>2073</v>
      </c>
      <c r="C398" s="633"/>
      <c r="D398" s="354"/>
      <c r="E398" s="622"/>
      <c r="F398" s="353"/>
      <c r="G398" s="358">
        <f>SF!I111</f>
        <v>0</v>
      </c>
      <c r="H398" s="354" t="s">
        <v>102</v>
      </c>
      <c r="I398" s="355">
        <f>SF!K111</f>
        <v>1314.42</v>
      </c>
      <c r="J398" s="353">
        <f>ROUND(G398*I398,0)</f>
        <v>0</v>
      </c>
      <c r="K398" s="1912"/>
      <c r="L398" s="1912"/>
      <c r="M398" s="708" t="s">
        <v>2308</v>
      </c>
      <c r="N398" s="223"/>
      <c r="O398" s="706">
        <f t="shared" si="74"/>
        <v>0</v>
      </c>
    </row>
    <row r="399" spans="1:15" s="360" customFormat="1" ht="15" hidden="1">
      <c r="A399" s="356" t="s">
        <v>487</v>
      </c>
      <c r="B399" s="707" t="s">
        <v>2073</v>
      </c>
      <c r="C399" s="633"/>
      <c r="D399" s="354"/>
      <c r="E399" s="622"/>
      <c r="F399" s="353"/>
      <c r="G399" s="358">
        <f>SF!I116</f>
        <v>0</v>
      </c>
      <c r="H399" s="354" t="s">
        <v>102</v>
      </c>
      <c r="I399" s="355">
        <f>SF!K116</f>
        <v>1403.54</v>
      </c>
      <c r="J399" s="353">
        <f>ROUND(G399*I399,0)</f>
        <v>0</v>
      </c>
      <c r="K399" s="1912"/>
      <c r="L399" s="1912"/>
      <c r="M399" s="708" t="s">
        <v>2321</v>
      </c>
      <c r="N399" s="223"/>
      <c r="O399" s="706">
        <f t="shared" si="74"/>
        <v>0</v>
      </c>
    </row>
    <row r="400" spans="1:15" s="360" customFormat="1" ht="15" hidden="1">
      <c r="A400" s="356" t="s">
        <v>487</v>
      </c>
      <c r="B400" s="707" t="s">
        <v>2073</v>
      </c>
      <c r="C400" s="633"/>
      <c r="D400" s="354"/>
      <c r="E400" s="622"/>
      <c r="F400" s="353"/>
      <c r="G400" s="358">
        <f>SF!I121</f>
        <v>0</v>
      </c>
      <c r="H400" s="354" t="s">
        <v>102</v>
      </c>
      <c r="I400" s="355">
        <f>SF!K121</f>
        <v>1451.29</v>
      </c>
      <c r="J400" s="353">
        <f>ROUND(G400*I400,0)</f>
        <v>0</v>
      </c>
      <c r="K400" s="1913"/>
      <c r="L400" s="1913"/>
      <c r="M400" s="708" t="s">
        <v>2322</v>
      </c>
      <c r="N400" s="223"/>
      <c r="O400" s="706">
        <f t="shared" si="74"/>
        <v>0</v>
      </c>
    </row>
    <row r="401" spans="1:15" s="360" customFormat="1" ht="15" hidden="1">
      <c r="A401" s="356" t="s">
        <v>516</v>
      </c>
      <c r="B401" s="707" t="s">
        <v>2072</v>
      </c>
      <c r="C401" s="711"/>
      <c r="D401" s="221"/>
      <c r="E401" s="660"/>
      <c r="F401" s="353"/>
      <c r="G401" s="358">
        <f>SF!I63</f>
        <v>0</v>
      </c>
      <c r="H401" s="221" t="s">
        <v>102</v>
      </c>
      <c r="I401" s="355">
        <f>SF!K63</f>
        <v>1519.49</v>
      </c>
      <c r="J401" s="353">
        <f t="shared" si="73"/>
        <v>0</v>
      </c>
      <c r="K401" s="1911">
        <f>IF((J401+J402+J403+J404)&gt;(F401+F402+F403+F404),(J401+J402+J403+J404)-(F401+F402+F403+F404),0)</f>
        <v>0</v>
      </c>
      <c r="L401" s="1911">
        <f>IF((J401+J402+J403+J404)&lt;(F401+F402+F403+F404),(F401+F402+F403+F404)-(J401+J402+J403+J404),0)</f>
        <v>0</v>
      </c>
      <c r="M401" s="708" t="s">
        <v>2226</v>
      </c>
      <c r="N401" s="223"/>
      <c r="O401" s="706">
        <f t="shared" si="74"/>
        <v>0</v>
      </c>
    </row>
    <row r="402" spans="1:15" s="360" customFormat="1" ht="15" hidden="1">
      <c r="A402" s="356" t="s">
        <v>516</v>
      </c>
      <c r="B402" s="707" t="s">
        <v>2072</v>
      </c>
      <c r="C402" s="711"/>
      <c r="D402" s="221"/>
      <c r="E402" s="660"/>
      <c r="F402" s="353"/>
      <c r="G402" s="358">
        <f>SF!I69</f>
        <v>0</v>
      </c>
      <c r="H402" s="221" t="s">
        <v>102</v>
      </c>
      <c r="I402" s="355">
        <f>SF!K69</f>
        <v>1573.5</v>
      </c>
      <c r="J402" s="353">
        <f>ROUND(G402*I402,0)</f>
        <v>0</v>
      </c>
      <c r="K402" s="1912"/>
      <c r="L402" s="1912"/>
      <c r="M402" s="708" t="s">
        <v>2308</v>
      </c>
      <c r="N402" s="223"/>
      <c r="O402" s="706">
        <f t="shared" si="74"/>
        <v>0</v>
      </c>
    </row>
    <row r="403" spans="1:15" s="360" customFormat="1" ht="15" hidden="1">
      <c r="A403" s="356" t="s">
        <v>516</v>
      </c>
      <c r="B403" s="707" t="s">
        <v>2072</v>
      </c>
      <c r="C403" s="711"/>
      <c r="D403" s="221"/>
      <c r="E403" s="660"/>
      <c r="F403" s="353"/>
      <c r="G403" s="358">
        <f>SF!I75</f>
        <v>0</v>
      </c>
      <c r="H403" s="221" t="s">
        <v>102</v>
      </c>
      <c r="I403" s="355">
        <f>SF!K75</f>
        <v>1675.0100000000002</v>
      </c>
      <c r="J403" s="353">
        <f>ROUND(G403*I403,0)</f>
        <v>0</v>
      </c>
      <c r="K403" s="1912"/>
      <c r="L403" s="1912"/>
      <c r="M403" s="708" t="s">
        <v>2321</v>
      </c>
      <c r="N403" s="223"/>
      <c r="O403" s="706">
        <f t="shared" si="74"/>
        <v>0</v>
      </c>
    </row>
    <row r="404" spans="1:15" s="360" customFormat="1" ht="15" hidden="1">
      <c r="A404" s="356" t="s">
        <v>516</v>
      </c>
      <c r="B404" s="707" t="s">
        <v>2072</v>
      </c>
      <c r="C404" s="711"/>
      <c r="D404" s="221"/>
      <c r="E404" s="660"/>
      <c r="F404" s="353"/>
      <c r="G404" s="358">
        <f>SF!I81</f>
        <v>0</v>
      </c>
      <c r="H404" s="221" t="s">
        <v>102</v>
      </c>
      <c r="I404" s="355">
        <f>SF!K81</f>
        <v>1737.05</v>
      </c>
      <c r="J404" s="353">
        <f>ROUND(G404*I404,0)</f>
        <v>0</v>
      </c>
      <c r="K404" s="1913"/>
      <c r="L404" s="1913"/>
      <c r="M404" s="708" t="s">
        <v>2322</v>
      </c>
      <c r="N404" s="223"/>
      <c r="O404" s="706">
        <f t="shared" si="74"/>
        <v>0</v>
      </c>
    </row>
    <row r="405" spans="1:15" s="360" customFormat="1" ht="15" hidden="1">
      <c r="A405" s="356" t="s">
        <v>517</v>
      </c>
      <c r="B405" s="707" t="s">
        <v>2079</v>
      </c>
      <c r="C405" s="711"/>
      <c r="D405" s="221"/>
      <c r="E405" s="660"/>
      <c r="F405" s="353"/>
      <c r="G405" s="358">
        <f>SF!I127</f>
        <v>0</v>
      </c>
      <c r="H405" s="221" t="s">
        <v>102</v>
      </c>
      <c r="I405" s="355">
        <f>SF!K127</f>
        <v>747.27</v>
      </c>
      <c r="J405" s="353">
        <f t="shared" si="73"/>
        <v>0</v>
      </c>
      <c r="K405" s="1911">
        <f>IF((J405+J406+J407+J408)&gt;(F405+F406+F407+F408),(J405+J406+J407+J408)-(F405+F406+F407+F408),0)</f>
        <v>0</v>
      </c>
      <c r="L405" s="1911">
        <f>IF((J405+J406+J407+J408)&lt;(F405+F406+F407+F408),(F405+F406+F407+F408)-(J405+J406+J407+J408),0)</f>
        <v>0</v>
      </c>
      <c r="M405" s="708" t="s">
        <v>2226</v>
      </c>
      <c r="N405" s="223"/>
      <c r="O405" s="706">
        <f t="shared" si="74"/>
        <v>0</v>
      </c>
    </row>
    <row r="406" spans="1:15" s="360" customFormat="1" ht="15" hidden="1">
      <c r="A406" s="356" t="s">
        <v>517</v>
      </c>
      <c r="B406" s="707" t="s">
        <v>2079</v>
      </c>
      <c r="C406" s="711"/>
      <c r="D406" s="221"/>
      <c r="E406" s="660"/>
      <c r="F406" s="353"/>
      <c r="G406" s="358">
        <f>SF!I133</f>
        <v>0</v>
      </c>
      <c r="H406" s="221" t="s">
        <v>102</v>
      </c>
      <c r="I406" s="355">
        <f>SF!K133</f>
        <v>779.57</v>
      </c>
      <c r="J406" s="353">
        <f>ROUND(G406*I406,0)</f>
        <v>0</v>
      </c>
      <c r="K406" s="1912"/>
      <c r="L406" s="1912"/>
      <c r="M406" s="708" t="s">
        <v>2308</v>
      </c>
      <c r="N406" s="223"/>
      <c r="O406" s="706">
        <f t="shared" si="74"/>
        <v>0</v>
      </c>
    </row>
    <row r="407" spans="1:15" s="360" customFormat="1" ht="15" hidden="1">
      <c r="A407" s="356" t="s">
        <v>517</v>
      </c>
      <c r="B407" s="707" t="s">
        <v>2079</v>
      </c>
      <c r="C407" s="711"/>
      <c r="D407" s="221"/>
      <c r="E407" s="660"/>
      <c r="F407" s="353"/>
      <c r="G407" s="358">
        <f>SF!I139</f>
        <v>0</v>
      </c>
      <c r="H407" s="221" t="s">
        <v>102</v>
      </c>
      <c r="I407" s="355">
        <f>SF!K139</f>
        <v>831.97</v>
      </c>
      <c r="J407" s="353">
        <f>ROUND(G407*I407,0)</f>
        <v>0</v>
      </c>
      <c r="K407" s="1912"/>
      <c r="L407" s="1912"/>
      <c r="M407" s="708" t="s">
        <v>2321</v>
      </c>
      <c r="N407" s="223"/>
      <c r="O407" s="706">
        <f t="shared" si="74"/>
        <v>0</v>
      </c>
    </row>
    <row r="408" spans="1:15" s="360" customFormat="1" ht="15" hidden="1">
      <c r="A408" s="356" t="s">
        <v>517</v>
      </c>
      <c r="B408" s="707" t="s">
        <v>2079</v>
      </c>
      <c r="C408" s="711"/>
      <c r="D408" s="221"/>
      <c r="E408" s="660"/>
      <c r="F408" s="353"/>
      <c r="G408" s="358">
        <f>SF!I145</f>
        <v>0</v>
      </c>
      <c r="H408" s="221" t="s">
        <v>102</v>
      </c>
      <c r="I408" s="355">
        <f>SF!K145</f>
        <v>865.17</v>
      </c>
      <c r="J408" s="353">
        <f>ROUND(G408*I408,0)</f>
        <v>0</v>
      </c>
      <c r="K408" s="1913"/>
      <c r="L408" s="1913"/>
      <c r="M408" s="708" t="s">
        <v>2322</v>
      </c>
      <c r="N408" s="223"/>
      <c r="O408" s="706">
        <f t="shared" si="74"/>
        <v>0</v>
      </c>
    </row>
    <row r="409" spans="1:15" s="360" customFormat="1" ht="15" hidden="1">
      <c r="A409" s="356" t="s">
        <v>517</v>
      </c>
      <c r="B409" s="707" t="s">
        <v>2080</v>
      </c>
      <c r="C409" s="711"/>
      <c r="D409" s="221"/>
      <c r="E409" s="660"/>
      <c r="F409" s="353"/>
      <c r="G409" s="358">
        <f>SF!I151</f>
        <v>0</v>
      </c>
      <c r="H409" s="221" t="s">
        <v>102</v>
      </c>
      <c r="I409" s="355">
        <f>SF!K151</f>
        <v>624.5</v>
      </c>
      <c r="J409" s="353">
        <f t="shared" si="73"/>
        <v>0</v>
      </c>
      <c r="K409" s="1911">
        <f>IF((J409+J410+J411+J412)&gt;(F409+F410+F411+F412),(J409+J410+J411+J412)-(F409+F410+F411+F412),0)</f>
        <v>0</v>
      </c>
      <c r="L409" s="1911">
        <f>IF((J409+J410+J411+J412)&lt;(F409+F410+F411+F412),(F409+F410+F411+F412)-(J409+J410+J411+J412),0)</f>
        <v>0</v>
      </c>
      <c r="M409" s="708" t="s">
        <v>2226</v>
      </c>
      <c r="N409" s="223"/>
      <c r="O409" s="706">
        <f t="shared" si="74"/>
        <v>0</v>
      </c>
    </row>
    <row r="410" spans="1:15" s="360" customFormat="1" ht="15" hidden="1">
      <c r="A410" s="356" t="s">
        <v>517</v>
      </c>
      <c r="B410" s="707" t="s">
        <v>2080</v>
      </c>
      <c r="C410" s="711"/>
      <c r="D410" s="221"/>
      <c r="E410" s="660"/>
      <c r="F410" s="353"/>
      <c r="G410" s="358">
        <f>SF!I157</f>
        <v>0</v>
      </c>
      <c r="H410" s="221" t="s">
        <v>102</v>
      </c>
      <c r="I410" s="355">
        <f>SF!K157</f>
        <v>651.52</v>
      </c>
      <c r="J410" s="353">
        <f>ROUND(G410*I410,0)</f>
        <v>0</v>
      </c>
      <c r="K410" s="1912"/>
      <c r="L410" s="1912"/>
      <c r="M410" s="708" t="s">
        <v>2308</v>
      </c>
      <c r="N410" s="223"/>
      <c r="O410" s="706">
        <f t="shared" si="74"/>
        <v>0</v>
      </c>
    </row>
    <row r="411" spans="1:15" s="360" customFormat="1" ht="15" hidden="1">
      <c r="A411" s="356" t="s">
        <v>517</v>
      </c>
      <c r="B411" s="707" t="s">
        <v>2080</v>
      </c>
      <c r="C411" s="711"/>
      <c r="D411" s="221"/>
      <c r="E411" s="660"/>
      <c r="F411" s="353"/>
      <c r="G411" s="358">
        <f>SF!I163</f>
        <v>0</v>
      </c>
      <c r="H411" s="221" t="s">
        <v>102</v>
      </c>
      <c r="I411" s="355">
        <f>SF!K163</f>
        <v>697.83999999999992</v>
      </c>
      <c r="J411" s="353">
        <f>ROUND(G411*I411,0)</f>
        <v>0</v>
      </c>
      <c r="K411" s="1912"/>
      <c r="L411" s="1912"/>
      <c r="M411" s="708" t="s">
        <v>2321</v>
      </c>
      <c r="N411" s="223"/>
      <c r="O411" s="706">
        <f t="shared" si="74"/>
        <v>0</v>
      </c>
    </row>
    <row r="412" spans="1:15" s="360" customFormat="1" ht="15" hidden="1">
      <c r="A412" s="356" t="s">
        <v>517</v>
      </c>
      <c r="B412" s="707" t="s">
        <v>2080</v>
      </c>
      <c r="C412" s="711"/>
      <c r="D412" s="221"/>
      <c r="E412" s="660"/>
      <c r="F412" s="353"/>
      <c r="G412" s="358">
        <f>SF!I169</f>
        <v>0</v>
      </c>
      <c r="H412" s="221" t="s">
        <v>102</v>
      </c>
      <c r="I412" s="355">
        <f>SF!K169</f>
        <v>724.02</v>
      </c>
      <c r="J412" s="353">
        <f>ROUND(G412*I412,0)</f>
        <v>0</v>
      </c>
      <c r="K412" s="1913"/>
      <c r="L412" s="1913"/>
      <c r="M412" s="708" t="s">
        <v>2322</v>
      </c>
      <c r="N412" s="223"/>
      <c r="O412" s="706">
        <f t="shared" si="74"/>
        <v>0</v>
      </c>
    </row>
    <row r="413" spans="1:15" s="360" customFormat="1" ht="15" hidden="1">
      <c r="A413" s="356" t="s">
        <v>518</v>
      </c>
      <c r="B413" s="707" t="s">
        <v>2076</v>
      </c>
      <c r="C413" s="711"/>
      <c r="D413" s="354"/>
      <c r="E413" s="660"/>
      <c r="F413" s="353"/>
      <c r="G413" s="358">
        <f>SF!I176</f>
        <v>0</v>
      </c>
      <c r="H413" s="354" t="s">
        <v>5</v>
      </c>
      <c r="I413" s="355">
        <f>SF!K176</f>
        <v>10426.34</v>
      </c>
      <c r="J413" s="353">
        <f t="shared" ref="J413" si="75">ROUND(G413*I413,0)</f>
        <v>0</v>
      </c>
      <c r="K413" s="1911">
        <f>IF((J413+J414+J415+J416)&gt;(F413+F414+F415+F416),(J413+J414+J415+J416)-(F413+F414+F415+F416),0)</f>
        <v>0</v>
      </c>
      <c r="L413" s="1911">
        <f>IF((J413+J414+J415+J416)&lt;(F413+F414+F415+F416),(F413+F414+F415+F416)-(J413+J414+J415+J416),0)</f>
        <v>0</v>
      </c>
      <c r="M413" s="708" t="s">
        <v>2226</v>
      </c>
      <c r="N413" s="223"/>
      <c r="O413" s="706">
        <f t="shared" si="74"/>
        <v>0</v>
      </c>
    </row>
    <row r="414" spans="1:15" s="360" customFormat="1" ht="15" hidden="1">
      <c r="A414" s="356" t="s">
        <v>518</v>
      </c>
      <c r="B414" s="707" t="s">
        <v>2076</v>
      </c>
      <c r="C414" s="711"/>
      <c r="D414" s="354"/>
      <c r="E414" s="660"/>
      <c r="F414" s="353"/>
      <c r="G414" s="358">
        <f>SF!I183</f>
        <v>0</v>
      </c>
      <c r="H414" s="354" t="s">
        <v>5</v>
      </c>
      <c r="I414" s="355">
        <f>SF!K183</f>
        <v>10817</v>
      </c>
      <c r="J414" s="353">
        <f t="shared" ref="J414:J434" si="76">ROUND(G414*I414,0)</f>
        <v>0</v>
      </c>
      <c r="K414" s="1912"/>
      <c r="L414" s="1912"/>
      <c r="M414" s="708" t="s">
        <v>2308</v>
      </c>
      <c r="N414" s="223"/>
      <c r="O414" s="706">
        <f t="shared" si="74"/>
        <v>0</v>
      </c>
    </row>
    <row r="415" spans="1:15" s="360" customFormat="1" ht="15" hidden="1">
      <c r="A415" s="356" t="s">
        <v>518</v>
      </c>
      <c r="B415" s="707" t="s">
        <v>2076</v>
      </c>
      <c r="C415" s="711"/>
      <c r="D415" s="354"/>
      <c r="E415" s="660"/>
      <c r="F415" s="353"/>
      <c r="G415" s="358">
        <f>SF!I190</f>
        <v>0</v>
      </c>
      <c r="H415" s="354" t="s">
        <v>5</v>
      </c>
      <c r="I415" s="355">
        <f>SF!K190</f>
        <v>11426.3</v>
      </c>
      <c r="J415" s="353">
        <f>ROUND(G415*I415,0)</f>
        <v>0</v>
      </c>
      <c r="K415" s="1912"/>
      <c r="L415" s="1912"/>
      <c r="M415" s="708" t="s">
        <v>2321</v>
      </c>
      <c r="N415" s="223"/>
      <c r="O415" s="706">
        <f t="shared" si="74"/>
        <v>0</v>
      </c>
    </row>
    <row r="416" spans="1:15" s="360" customFormat="1" ht="15" hidden="1">
      <c r="A416" s="356" t="s">
        <v>518</v>
      </c>
      <c r="B416" s="707" t="s">
        <v>2076</v>
      </c>
      <c r="C416" s="711"/>
      <c r="D416" s="354"/>
      <c r="E416" s="660"/>
      <c r="F416" s="353"/>
      <c r="G416" s="358">
        <f>SF!I197</f>
        <v>0</v>
      </c>
      <c r="H416" s="354" t="s">
        <v>5</v>
      </c>
      <c r="I416" s="355">
        <f>SF!K197</f>
        <v>11874.810000000001</v>
      </c>
      <c r="J416" s="353">
        <f>ROUND(G416*I416,0)</f>
        <v>0</v>
      </c>
      <c r="K416" s="1913"/>
      <c r="L416" s="1913"/>
      <c r="M416" s="708" t="s">
        <v>2322</v>
      </c>
      <c r="N416" s="223"/>
      <c r="O416" s="706">
        <f t="shared" si="74"/>
        <v>0</v>
      </c>
    </row>
    <row r="417" spans="1:15" s="360" customFormat="1" ht="15" hidden="1">
      <c r="A417" s="356" t="s">
        <v>519</v>
      </c>
      <c r="B417" s="707" t="s">
        <v>2077</v>
      </c>
      <c r="C417" s="711"/>
      <c r="D417" s="221"/>
      <c r="E417" s="660"/>
      <c r="F417" s="353"/>
      <c r="G417" s="358">
        <f>SF!I202</f>
        <v>0</v>
      </c>
      <c r="H417" s="221" t="s">
        <v>277</v>
      </c>
      <c r="I417" s="355">
        <f>SF!K202</f>
        <v>663.65999999999985</v>
      </c>
      <c r="J417" s="353">
        <f t="shared" si="76"/>
        <v>0</v>
      </c>
      <c r="K417" s="1911">
        <f>IF((J417+J418+J419+J420)&gt;(F417+F418+F419+F420),(J417+J418+J419+J420)-(F417+F418+F419+F420),0)</f>
        <v>0</v>
      </c>
      <c r="L417" s="1911">
        <f>IF((J417+J418+J419+J420)&lt;(F417+F418+F419+F420),(F417+F418+F419+F420)-(J417+J418+J419+J420),0)</f>
        <v>0</v>
      </c>
      <c r="M417" s="708" t="s">
        <v>2226</v>
      </c>
      <c r="N417" s="223"/>
      <c r="O417" s="706">
        <f t="shared" si="74"/>
        <v>0</v>
      </c>
    </row>
    <row r="418" spans="1:15" s="360" customFormat="1" ht="15" hidden="1">
      <c r="A418" s="356" t="s">
        <v>519</v>
      </c>
      <c r="B418" s="707" t="s">
        <v>2077</v>
      </c>
      <c r="C418" s="711"/>
      <c r="D418" s="221"/>
      <c r="E418" s="660"/>
      <c r="F418" s="353"/>
      <c r="G418" s="358">
        <f>SF!I207</f>
        <v>0</v>
      </c>
      <c r="H418" s="221" t="s">
        <v>277</v>
      </c>
      <c r="I418" s="355">
        <f>SF!K207</f>
        <v>684.77</v>
      </c>
      <c r="J418" s="353">
        <f t="shared" si="76"/>
        <v>0</v>
      </c>
      <c r="K418" s="1912"/>
      <c r="L418" s="1912"/>
      <c r="M418" s="708" t="s">
        <v>2308</v>
      </c>
      <c r="N418" s="223"/>
      <c r="O418" s="706">
        <f t="shared" si="74"/>
        <v>0</v>
      </c>
    </row>
    <row r="419" spans="1:15" s="360" customFormat="1" ht="15" hidden="1">
      <c r="A419" s="356" t="s">
        <v>519</v>
      </c>
      <c r="B419" s="707" t="s">
        <v>2077</v>
      </c>
      <c r="C419" s="711"/>
      <c r="D419" s="221"/>
      <c r="E419" s="660"/>
      <c r="F419" s="353"/>
      <c r="G419" s="358">
        <f>SF!I212</f>
        <v>0</v>
      </c>
      <c r="H419" s="221" t="s">
        <v>277</v>
      </c>
      <c r="I419" s="355">
        <f>SF!K212</f>
        <v>722.50999999999988</v>
      </c>
      <c r="J419" s="353">
        <f>ROUND(G419*I419,0)</f>
        <v>0</v>
      </c>
      <c r="K419" s="1912"/>
      <c r="L419" s="1912"/>
      <c r="M419" s="708" t="s">
        <v>2321</v>
      </c>
      <c r="N419" s="223"/>
      <c r="O419" s="706">
        <f t="shared" si="74"/>
        <v>0</v>
      </c>
    </row>
    <row r="420" spans="1:15" s="360" customFormat="1" ht="15" hidden="1">
      <c r="A420" s="356" t="s">
        <v>519</v>
      </c>
      <c r="B420" s="707" t="s">
        <v>2077</v>
      </c>
      <c r="C420" s="711"/>
      <c r="D420" s="221"/>
      <c r="E420" s="660"/>
      <c r="F420" s="353"/>
      <c r="G420" s="358">
        <f>SF!I217</f>
        <v>0</v>
      </c>
      <c r="H420" s="221" t="s">
        <v>277</v>
      </c>
      <c r="I420" s="355">
        <f>SF!K217</f>
        <v>744.7299999999999</v>
      </c>
      <c r="J420" s="353">
        <f>ROUND(G420*I420,0)</f>
        <v>0</v>
      </c>
      <c r="K420" s="1913"/>
      <c r="L420" s="1913"/>
      <c r="M420" s="708" t="s">
        <v>2322</v>
      </c>
      <c r="N420" s="223"/>
      <c r="O420" s="706">
        <f t="shared" si="74"/>
        <v>0</v>
      </c>
    </row>
    <row r="421" spans="1:15" s="360" customFormat="1" ht="15" hidden="1">
      <c r="A421" s="356" t="s">
        <v>519</v>
      </c>
      <c r="B421" s="707" t="s">
        <v>1480</v>
      </c>
      <c r="C421" s="711"/>
      <c r="D421" s="221"/>
      <c r="E421" s="660"/>
      <c r="F421" s="353"/>
      <c r="G421" s="358">
        <f>SF!I222</f>
        <v>0</v>
      </c>
      <c r="H421" s="221" t="s">
        <v>102</v>
      </c>
      <c r="I421" s="355">
        <f>SF!K222</f>
        <v>297.64999999999998</v>
      </c>
      <c r="J421" s="353">
        <f t="shared" si="76"/>
        <v>0</v>
      </c>
      <c r="K421" s="1911">
        <f>IF((J421+J422+J423+J424)&gt;(F421+F422+F423+F424),(J421+J422+J423+J424)-(F421+F422+F423+F424),0)</f>
        <v>0</v>
      </c>
      <c r="L421" s="1911">
        <f>IF((J421+J422+J423+J424)&lt;(F421+F422+F423+F424),(F421+F422+F423+F424)-(J421+J422+J423+J424),0)</f>
        <v>0</v>
      </c>
      <c r="M421" s="708" t="s">
        <v>2226</v>
      </c>
      <c r="N421" s="223"/>
      <c r="O421" s="706">
        <f t="shared" si="74"/>
        <v>0</v>
      </c>
    </row>
    <row r="422" spans="1:15" s="360" customFormat="1" ht="15" hidden="1">
      <c r="A422" s="356" t="s">
        <v>519</v>
      </c>
      <c r="B422" s="707" t="s">
        <v>1480</v>
      </c>
      <c r="C422" s="711"/>
      <c r="D422" s="221"/>
      <c r="E422" s="660"/>
      <c r="F422" s="353"/>
      <c r="G422" s="358">
        <f>SF!I227</f>
        <v>0</v>
      </c>
      <c r="H422" s="221" t="s">
        <v>102</v>
      </c>
      <c r="I422" s="355">
        <f>SF!K227</f>
        <v>321.24</v>
      </c>
      <c r="J422" s="353">
        <f t="shared" si="76"/>
        <v>0</v>
      </c>
      <c r="K422" s="1912"/>
      <c r="L422" s="1912"/>
      <c r="M422" s="708" t="s">
        <v>2308</v>
      </c>
      <c r="N422" s="223"/>
      <c r="O422" s="706">
        <f t="shared" si="74"/>
        <v>0</v>
      </c>
    </row>
    <row r="423" spans="1:15" s="360" customFormat="1" ht="15" hidden="1">
      <c r="A423" s="356" t="s">
        <v>519</v>
      </c>
      <c r="B423" s="707" t="s">
        <v>1480</v>
      </c>
      <c r="C423" s="711"/>
      <c r="D423" s="221"/>
      <c r="E423" s="660"/>
      <c r="F423" s="353"/>
      <c r="G423" s="358">
        <f>SF!I232</f>
        <v>0</v>
      </c>
      <c r="H423" s="221" t="s">
        <v>102</v>
      </c>
      <c r="I423" s="355">
        <f>SF!K232</f>
        <v>340.95</v>
      </c>
      <c r="J423" s="353">
        <f>ROUND(G423*I423,0)</f>
        <v>0</v>
      </c>
      <c r="K423" s="1912"/>
      <c r="L423" s="1912"/>
      <c r="M423" s="708" t="s">
        <v>2321</v>
      </c>
      <c r="N423" s="223"/>
      <c r="O423" s="706">
        <f t="shared" si="74"/>
        <v>0</v>
      </c>
    </row>
    <row r="424" spans="1:15" s="360" customFormat="1" ht="15" hidden="1">
      <c r="A424" s="356" t="s">
        <v>519</v>
      </c>
      <c r="B424" s="707" t="s">
        <v>1480</v>
      </c>
      <c r="C424" s="711"/>
      <c r="D424" s="221"/>
      <c r="E424" s="660"/>
      <c r="F424" s="353"/>
      <c r="G424" s="358">
        <f>SF!I237</f>
        <v>0</v>
      </c>
      <c r="H424" s="221" t="s">
        <v>102</v>
      </c>
      <c r="I424" s="355">
        <f>SF!K237</f>
        <v>362.63</v>
      </c>
      <c r="J424" s="353">
        <f>ROUND(G424*I424,0)</f>
        <v>0</v>
      </c>
      <c r="K424" s="1913"/>
      <c r="L424" s="1913"/>
      <c r="M424" s="708" t="s">
        <v>2322</v>
      </c>
      <c r="N424" s="223"/>
      <c r="O424" s="706">
        <f t="shared" si="74"/>
        <v>0</v>
      </c>
    </row>
    <row r="425" spans="1:15" s="360" customFormat="1" ht="15" hidden="1">
      <c r="A425" s="356" t="s">
        <v>520</v>
      </c>
      <c r="B425" s="707" t="s">
        <v>1481</v>
      </c>
      <c r="C425" s="711"/>
      <c r="D425" s="221"/>
      <c r="E425" s="660"/>
      <c r="F425" s="353"/>
      <c r="G425" s="358">
        <f>SF!I243</f>
        <v>0</v>
      </c>
      <c r="H425" s="221" t="s">
        <v>102</v>
      </c>
      <c r="I425" s="355">
        <f>SF!K243</f>
        <v>382.24</v>
      </c>
      <c r="J425" s="353">
        <f t="shared" si="76"/>
        <v>0</v>
      </c>
      <c r="K425" s="1911">
        <f>IF((J425+J426+J427+J428)&gt;(F425+F426+F427+F428),(J425+J426+J427+J428)-(F425+F426+F427+F428),0)</f>
        <v>0</v>
      </c>
      <c r="L425" s="1911">
        <f>IF((J425+J426+J427+J428)&lt;(F425+F426+F427+F428),(F425+F426+F427+F428)-(J425+J426+J427+J428),0)</f>
        <v>0</v>
      </c>
      <c r="M425" s="708" t="s">
        <v>2226</v>
      </c>
      <c r="N425" s="223"/>
      <c r="O425" s="706">
        <f t="shared" si="74"/>
        <v>0</v>
      </c>
    </row>
    <row r="426" spans="1:15" s="360" customFormat="1" ht="15" hidden="1">
      <c r="A426" s="356" t="s">
        <v>520</v>
      </c>
      <c r="B426" s="707" t="s">
        <v>1481</v>
      </c>
      <c r="C426" s="711"/>
      <c r="D426" s="221"/>
      <c r="E426" s="660"/>
      <c r="F426" s="353"/>
      <c r="G426" s="358">
        <f>SF!I249</f>
        <v>0</v>
      </c>
      <c r="H426" s="221" t="s">
        <v>102</v>
      </c>
      <c r="I426" s="355">
        <f>SF!K249</f>
        <v>414.32</v>
      </c>
      <c r="J426" s="353">
        <f t="shared" si="76"/>
        <v>0</v>
      </c>
      <c r="K426" s="1912"/>
      <c r="L426" s="1912"/>
      <c r="M426" s="708" t="s">
        <v>2308</v>
      </c>
      <c r="N426" s="223"/>
      <c r="O426" s="706">
        <f t="shared" si="74"/>
        <v>0</v>
      </c>
    </row>
    <row r="427" spans="1:15" s="360" customFormat="1" ht="15" hidden="1">
      <c r="A427" s="356" t="s">
        <v>520</v>
      </c>
      <c r="B427" s="707" t="s">
        <v>1481</v>
      </c>
      <c r="C427" s="711"/>
      <c r="D427" s="221"/>
      <c r="E427" s="660"/>
      <c r="F427" s="353"/>
      <c r="G427" s="358">
        <f>SF!I255</f>
        <v>0</v>
      </c>
      <c r="H427" s="221" t="s">
        <v>102</v>
      </c>
      <c r="I427" s="355">
        <f>SF!K255</f>
        <v>440.9</v>
      </c>
      <c r="J427" s="353">
        <f>ROUND(G427*I427,0)</f>
        <v>0</v>
      </c>
      <c r="K427" s="1912"/>
      <c r="L427" s="1912"/>
      <c r="M427" s="708" t="s">
        <v>2321</v>
      </c>
      <c r="N427" s="223"/>
      <c r="O427" s="706">
        <f t="shared" si="74"/>
        <v>0</v>
      </c>
    </row>
    <row r="428" spans="1:15" s="360" customFormat="1" ht="15" hidden="1">
      <c r="A428" s="356" t="s">
        <v>520</v>
      </c>
      <c r="B428" s="707" t="s">
        <v>1481</v>
      </c>
      <c r="C428" s="711"/>
      <c r="D428" s="221"/>
      <c r="E428" s="660"/>
      <c r="F428" s="353"/>
      <c r="G428" s="358">
        <f>SF!I261</f>
        <v>0</v>
      </c>
      <c r="H428" s="221" t="s">
        <v>102</v>
      </c>
      <c r="I428" s="355">
        <f>SF!K261</f>
        <v>470.34</v>
      </c>
      <c r="J428" s="353">
        <f>ROUND(G428*I428,0)</f>
        <v>0</v>
      </c>
      <c r="K428" s="1913"/>
      <c r="L428" s="1913"/>
      <c r="M428" s="708" t="s">
        <v>2322</v>
      </c>
      <c r="N428" s="223"/>
      <c r="O428" s="706">
        <f t="shared" si="74"/>
        <v>0</v>
      </c>
    </row>
    <row r="429" spans="1:15" s="360" customFormat="1" ht="63.75" hidden="1">
      <c r="A429" s="356" t="s">
        <v>528</v>
      </c>
      <c r="B429" s="707" t="s">
        <v>3276</v>
      </c>
      <c r="C429" s="711"/>
      <c r="D429" s="354"/>
      <c r="E429" s="660"/>
      <c r="F429" s="353"/>
      <c r="G429" s="358">
        <f>SF!I298</f>
        <v>0</v>
      </c>
      <c r="H429" s="354" t="s">
        <v>5</v>
      </c>
      <c r="I429" s="355">
        <f>SF!K298</f>
        <v>6307.0100000000011</v>
      </c>
      <c r="J429" s="353">
        <f t="shared" si="76"/>
        <v>0</v>
      </c>
      <c r="K429" s="1911">
        <f>IF((J429+J430+J431+J432)&gt;(F429+F430+F431+F432),(J429+J430+J431+J432)-(F429+F430+F431+F432),0)</f>
        <v>0</v>
      </c>
      <c r="L429" s="1911">
        <f>IF((J429+J430+J431+J432)&lt;(F429+F430+F431+F432),(F429+F430+F431+F432)-(J429+J430+J431+J432),0)</f>
        <v>0</v>
      </c>
      <c r="M429" s="1139" t="s">
        <v>2226</v>
      </c>
      <c r="N429" s="223"/>
      <c r="O429" s="1138">
        <f t="shared" si="74"/>
        <v>0</v>
      </c>
    </row>
    <row r="430" spans="1:15" s="360" customFormat="1" ht="15" hidden="1">
      <c r="A430" s="356" t="s">
        <v>1591</v>
      </c>
      <c r="B430" s="707" t="s">
        <v>829</v>
      </c>
      <c r="C430" s="711"/>
      <c r="D430" s="354"/>
      <c r="E430" s="660"/>
      <c r="F430" s="353"/>
      <c r="G430" s="358">
        <f>SF!I307</f>
        <v>0</v>
      </c>
      <c r="H430" s="354" t="s">
        <v>5</v>
      </c>
      <c r="I430" s="355">
        <f>SF!K307</f>
        <v>6491.829999999999</v>
      </c>
      <c r="J430" s="353">
        <f t="shared" si="76"/>
        <v>0</v>
      </c>
      <c r="K430" s="1912"/>
      <c r="L430" s="1912"/>
      <c r="M430" s="708" t="s">
        <v>2308</v>
      </c>
      <c r="N430" s="223"/>
      <c r="O430" s="706">
        <f t="shared" si="74"/>
        <v>0</v>
      </c>
    </row>
    <row r="431" spans="1:15" s="360" customFormat="1" ht="15" hidden="1">
      <c r="A431" s="356" t="s">
        <v>1588</v>
      </c>
      <c r="B431" s="707" t="s">
        <v>829</v>
      </c>
      <c r="C431" s="711"/>
      <c r="D431" s="354"/>
      <c r="E431" s="660"/>
      <c r="F431" s="353"/>
      <c r="G431" s="358">
        <f>SF!I312</f>
        <v>0</v>
      </c>
      <c r="H431" s="354" t="s">
        <v>5</v>
      </c>
      <c r="I431" s="355">
        <f>SF!K312</f>
        <v>6937.8099999999995</v>
      </c>
      <c r="J431" s="353">
        <f>ROUND(G431*I431,0)</f>
        <v>0</v>
      </c>
      <c r="K431" s="1912"/>
      <c r="L431" s="1912"/>
      <c r="M431" s="708" t="s">
        <v>2321</v>
      </c>
      <c r="N431" s="223"/>
      <c r="O431" s="706">
        <f t="shared" si="74"/>
        <v>0</v>
      </c>
    </row>
    <row r="432" spans="1:15" s="360" customFormat="1" ht="15" hidden="1">
      <c r="A432" s="356" t="s">
        <v>1588</v>
      </c>
      <c r="B432" s="707" t="s">
        <v>829</v>
      </c>
      <c r="C432" s="711"/>
      <c r="D432" s="354"/>
      <c r="E432" s="660"/>
      <c r="F432" s="353"/>
      <c r="G432" s="358">
        <f>SF!I320</f>
        <v>0</v>
      </c>
      <c r="H432" s="354" t="s">
        <v>5</v>
      </c>
      <c r="I432" s="355">
        <f>SF!K320</f>
        <v>7673.4</v>
      </c>
      <c r="J432" s="353">
        <f>ROUND(G432*I432,0)</f>
        <v>0</v>
      </c>
      <c r="K432" s="1913"/>
      <c r="L432" s="1913"/>
      <c r="M432" s="708" t="s">
        <v>2322</v>
      </c>
      <c r="N432" s="223"/>
      <c r="O432" s="706">
        <f t="shared" si="74"/>
        <v>0</v>
      </c>
    </row>
    <row r="433" spans="1:15" s="360" customFormat="1" ht="15" hidden="1">
      <c r="A433" s="356" t="s">
        <v>491</v>
      </c>
      <c r="B433" s="707" t="s">
        <v>828</v>
      </c>
      <c r="C433" s="709"/>
      <c r="D433" s="354"/>
      <c r="E433" s="10"/>
      <c r="F433" s="353"/>
      <c r="G433" s="358">
        <f>SF!I269</f>
        <v>0</v>
      </c>
      <c r="H433" s="354" t="s">
        <v>5</v>
      </c>
      <c r="I433" s="355">
        <f>SF!K269</f>
        <v>6250.6100000000015</v>
      </c>
      <c r="J433" s="353">
        <f t="shared" si="76"/>
        <v>0</v>
      </c>
      <c r="K433" s="1911">
        <f>IF((J433+J434+J435+J436)&gt;(F433+F434+F435+F436),(J433+J434+J435+J436)-(F433+F434+F435+F436),0)</f>
        <v>0</v>
      </c>
      <c r="L433" s="1911">
        <f>IF((J433+J434+J435+J436)&lt;(F433+F434+F435+F436),(F433+F434+F435+F436)-(J433+J434+J435+J436),0)</f>
        <v>0</v>
      </c>
      <c r="M433" s="708" t="s">
        <v>2226</v>
      </c>
      <c r="N433" s="223"/>
      <c r="O433" s="706">
        <f t="shared" si="74"/>
        <v>0</v>
      </c>
    </row>
    <row r="434" spans="1:15" s="360" customFormat="1" ht="15" hidden="1">
      <c r="A434" s="356" t="s">
        <v>647</v>
      </c>
      <c r="B434" s="707" t="s">
        <v>828</v>
      </c>
      <c r="C434" s="709"/>
      <c r="D434" s="354"/>
      <c r="E434" s="10"/>
      <c r="F434" s="353"/>
      <c r="G434" s="358">
        <f>SF!I274</f>
        <v>0</v>
      </c>
      <c r="H434" s="354" t="s">
        <v>5</v>
      </c>
      <c r="I434" s="355">
        <f>SF!K274</f>
        <v>6435.4299999999994</v>
      </c>
      <c r="J434" s="353">
        <f t="shared" si="76"/>
        <v>0</v>
      </c>
      <c r="K434" s="1912"/>
      <c r="L434" s="1912"/>
      <c r="M434" s="708" t="s">
        <v>2308</v>
      </c>
      <c r="N434" s="223"/>
      <c r="O434" s="706">
        <f t="shared" si="74"/>
        <v>0</v>
      </c>
    </row>
    <row r="435" spans="1:15" s="360" customFormat="1" ht="15" hidden="1">
      <c r="A435" s="356" t="s">
        <v>491</v>
      </c>
      <c r="B435" s="707" t="s">
        <v>828</v>
      </c>
      <c r="C435" s="709"/>
      <c r="D435" s="354"/>
      <c r="E435" s="10"/>
      <c r="F435" s="353"/>
      <c r="G435" s="358">
        <f>SF!I282</f>
        <v>0</v>
      </c>
      <c r="H435" s="354" t="s">
        <v>5</v>
      </c>
      <c r="I435" s="355">
        <f>SF!K282</f>
        <v>6881.41</v>
      </c>
      <c r="J435" s="353">
        <f>ROUND(G435*I435,0)</f>
        <v>0</v>
      </c>
      <c r="K435" s="1912"/>
      <c r="L435" s="1912"/>
      <c r="M435" s="708" t="s">
        <v>2321</v>
      </c>
      <c r="N435" s="223"/>
      <c r="O435" s="706">
        <f t="shared" si="74"/>
        <v>0</v>
      </c>
    </row>
    <row r="436" spans="1:15" s="360" customFormat="1" ht="15" hidden="1">
      <c r="A436" s="356" t="s">
        <v>491</v>
      </c>
      <c r="B436" s="707" t="s">
        <v>828</v>
      </c>
      <c r="C436" s="709"/>
      <c r="D436" s="354"/>
      <c r="E436" s="10"/>
      <c r="F436" s="353"/>
      <c r="G436" s="358">
        <f>SF!I290</f>
        <v>0</v>
      </c>
      <c r="H436" s="354" t="s">
        <v>5</v>
      </c>
      <c r="I436" s="355">
        <f>SF!K290</f>
        <v>7616.9999999999991</v>
      </c>
      <c r="J436" s="353">
        <f>ROUND(G436*I436,0)</f>
        <v>0</v>
      </c>
      <c r="K436" s="1913"/>
      <c r="L436" s="1913"/>
      <c r="M436" s="708" t="s">
        <v>2322</v>
      </c>
      <c r="N436" s="223"/>
      <c r="O436" s="706">
        <f t="shared" si="74"/>
        <v>0</v>
      </c>
    </row>
    <row r="437" spans="1:15" s="360" customFormat="1" ht="51" hidden="1">
      <c r="A437" s="356" t="s">
        <v>1582</v>
      </c>
      <c r="B437" s="707" t="s">
        <v>3277</v>
      </c>
      <c r="C437" s="711"/>
      <c r="D437" s="354"/>
      <c r="E437" s="660"/>
      <c r="F437" s="353"/>
      <c r="G437" s="358">
        <f>SF!I328</f>
        <v>0</v>
      </c>
      <c r="H437" s="354" t="s">
        <v>102</v>
      </c>
      <c r="I437" s="355">
        <f>SF!K328</f>
        <v>830.76</v>
      </c>
      <c r="J437" s="353">
        <f t="shared" ref="J437:J444" si="77">ROUND(G437*I437/1,0)</f>
        <v>0</v>
      </c>
      <c r="K437" s="1911">
        <f>IF((J437+J438+J439+J440)&gt;(F437+F438+F439+F440),(J437+J438+J439+J440)-(F437+F438+F439+F440),0)</f>
        <v>0</v>
      </c>
      <c r="L437" s="1911">
        <f>IF((J437+J438+J439+J440)&lt;(F437+F438+F439+F440),(F437+F438+F439+F440)-(J437+J438+J439+J440),0)</f>
        <v>0</v>
      </c>
      <c r="M437" s="1139" t="s">
        <v>2226</v>
      </c>
      <c r="N437" s="223"/>
      <c r="O437" s="1138">
        <f t="shared" si="74"/>
        <v>0</v>
      </c>
    </row>
    <row r="438" spans="1:15" s="360" customFormat="1" ht="25.5" hidden="1">
      <c r="A438" s="356" t="s">
        <v>1592</v>
      </c>
      <c r="B438" s="707" t="s">
        <v>705</v>
      </c>
      <c r="C438" s="711"/>
      <c r="D438" s="354"/>
      <c r="E438" s="660"/>
      <c r="F438" s="353"/>
      <c r="G438" s="358">
        <f>SF!I333</f>
        <v>0</v>
      </c>
      <c r="H438" s="354" t="s">
        <v>102</v>
      </c>
      <c r="I438" s="355">
        <f>SF!K333</f>
        <v>856.26</v>
      </c>
      <c r="J438" s="353">
        <f t="shared" si="77"/>
        <v>0</v>
      </c>
      <c r="K438" s="1912"/>
      <c r="L438" s="1912"/>
      <c r="M438" s="708" t="s">
        <v>2308</v>
      </c>
      <c r="N438" s="223"/>
      <c r="O438" s="706">
        <f t="shared" si="74"/>
        <v>0</v>
      </c>
    </row>
    <row r="439" spans="1:15" s="360" customFormat="1" ht="25.5" hidden="1">
      <c r="A439" s="356" t="s">
        <v>646</v>
      </c>
      <c r="B439" s="707" t="s">
        <v>705</v>
      </c>
      <c r="C439" s="711"/>
      <c r="D439" s="354"/>
      <c r="E439" s="660"/>
      <c r="F439" s="353"/>
      <c r="G439" s="358">
        <f>SF!I339</f>
        <v>0</v>
      </c>
      <c r="H439" s="354" t="s">
        <v>102</v>
      </c>
      <c r="I439" s="355">
        <f>SF!K339</f>
        <v>913.89</v>
      </c>
      <c r="J439" s="353">
        <f t="shared" si="77"/>
        <v>0</v>
      </c>
      <c r="K439" s="1912"/>
      <c r="L439" s="1912"/>
      <c r="M439" s="708" t="s">
        <v>2321</v>
      </c>
      <c r="N439" s="223"/>
      <c r="O439" s="706">
        <f t="shared" si="74"/>
        <v>0</v>
      </c>
    </row>
    <row r="440" spans="1:15" s="360" customFormat="1" ht="25.5" hidden="1">
      <c r="A440" s="356" t="s">
        <v>646</v>
      </c>
      <c r="B440" s="707" t="s">
        <v>705</v>
      </c>
      <c r="C440" s="711"/>
      <c r="D440" s="354"/>
      <c r="E440" s="660"/>
      <c r="F440" s="353"/>
      <c r="G440" s="358">
        <f>SF!I347</f>
        <v>0</v>
      </c>
      <c r="H440" s="354" t="s">
        <v>102</v>
      </c>
      <c r="I440" s="355">
        <f>SF!K347</f>
        <v>999.57</v>
      </c>
      <c r="J440" s="353">
        <f t="shared" si="77"/>
        <v>0</v>
      </c>
      <c r="K440" s="1913"/>
      <c r="L440" s="1913"/>
      <c r="M440" s="708" t="s">
        <v>2322</v>
      </c>
      <c r="N440" s="223"/>
      <c r="O440" s="706">
        <f t="shared" si="74"/>
        <v>0</v>
      </c>
    </row>
    <row r="441" spans="1:15" s="360" customFormat="1" ht="15" hidden="1">
      <c r="A441" s="356" t="s">
        <v>483</v>
      </c>
      <c r="B441" s="707" t="s">
        <v>1222</v>
      </c>
      <c r="C441" s="709"/>
      <c r="D441" s="354"/>
      <c r="E441" s="10"/>
      <c r="F441" s="353"/>
      <c r="G441" s="358">
        <f>SF!I354</f>
        <v>0</v>
      </c>
      <c r="H441" s="354" t="s">
        <v>102</v>
      </c>
      <c r="I441" s="355">
        <f>SF!K354</f>
        <v>6013.9600000000009</v>
      </c>
      <c r="J441" s="353">
        <f t="shared" si="77"/>
        <v>0</v>
      </c>
      <c r="K441" s="1911">
        <f>IF((J441+J442+J443+J444)&gt;(F441+F442+F443+F444),(J441+J442+J443+J444)-(F441+F442+F443+F444),0)</f>
        <v>0</v>
      </c>
      <c r="L441" s="1911">
        <f>IF((J441+J442+J443+J444)&lt;(F441+F442+F443+F444),(F441+F442+F443+F444)-(J441+J442+J443+J444),0)</f>
        <v>0</v>
      </c>
      <c r="M441" s="708" t="s">
        <v>2226</v>
      </c>
      <c r="N441" s="223"/>
      <c r="O441" s="706">
        <f t="shared" si="74"/>
        <v>0</v>
      </c>
    </row>
    <row r="442" spans="1:15" s="360" customFormat="1" ht="15" hidden="1">
      <c r="A442" s="356" t="s">
        <v>483</v>
      </c>
      <c r="B442" s="707" t="s">
        <v>1222</v>
      </c>
      <c r="C442" s="709"/>
      <c r="D442" s="354"/>
      <c r="E442" s="10"/>
      <c r="F442" s="353"/>
      <c r="G442" s="358">
        <f>SF!I361</f>
        <v>0</v>
      </c>
      <c r="H442" s="354" t="s">
        <v>102</v>
      </c>
      <c r="I442" s="355">
        <f>SF!K361</f>
        <v>6227.11</v>
      </c>
      <c r="J442" s="353">
        <f t="shared" si="77"/>
        <v>0</v>
      </c>
      <c r="K442" s="1912"/>
      <c r="L442" s="1912"/>
      <c r="M442" s="708" t="s">
        <v>2308</v>
      </c>
      <c r="N442" s="223"/>
      <c r="O442" s="706">
        <f t="shared" si="74"/>
        <v>0</v>
      </c>
    </row>
    <row r="443" spans="1:15" s="360" customFormat="1" ht="15" hidden="1">
      <c r="A443" s="356" t="s">
        <v>483</v>
      </c>
      <c r="B443" s="707" t="s">
        <v>1222</v>
      </c>
      <c r="C443" s="709"/>
      <c r="D443" s="354"/>
      <c r="E443" s="10"/>
      <c r="F443" s="353"/>
      <c r="G443" s="358">
        <f>SF!I368</f>
        <v>0</v>
      </c>
      <c r="H443" s="354" t="s">
        <v>102</v>
      </c>
      <c r="I443" s="355">
        <f>SF!K368</f>
        <v>6774.69</v>
      </c>
      <c r="J443" s="353">
        <f t="shared" si="77"/>
        <v>0</v>
      </c>
      <c r="K443" s="1912"/>
      <c r="L443" s="1912"/>
      <c r="M443" s="708" t="s">
        <v>2321</v>
      </c>
      <c r="N443" s="223"/>
      <c r="O443" s="706">
        <f t="shared" si="74"/>
        <v>0</v>
      </c>
    </row>
    <row r="444" spans="1:15" s="360" customFormat="1" ht="15" hidden="1">
      <c r="A444" s="356" t="s">
        <v>483</v>
      </c>
      <c r="B444" s="707" t="s">
        <v>1222</v>
      </c>
      <c r="C444" s="709"/>
      <c r="D444" s="354"/>
      <c r="E444" s="10"/>
      <c r="F444" s="353"/>
      <c r="G444" s="358">
        <f>SF!I375</f>
        <v>0</v>
      </c>
      <c r="H444" s="354" t="s">
        <v>102</v>
      </c>
      <c r="I444" s="355">
        <f>SF!K375</f>
        <v>7187.4500000000007</v>
      </c>
      <c r="J444" s="353">
        <f t="shared" si="77"/>
        <v>0</v>
      </c>
      <c r="K444" s="1913"/>
      <c r="L444" s="1913"/>
      <c r="M444" s="708" t="s">
        <v>2322</v>
      </c>
      <c r="N444" s="223"/>
      <c r="O444" s="706">
        <f t="shared" si="74"/>
        <v>0</v>
      </c>
    </row>
    <row r="445" spans="1:15" s="360" customFormat="1" ht="63.75" hidden="1">
      <c r="A445" s="356" t="s">
        <v>529</v>
      </c>
      <c r="B445" s="707" t="s">
        <v>3278</v>
      </c>
      <c r="C445" s="711"/>
      <c r="D445" s="354"/>
      <c r="E445" s="660"/>
      <c r="F445" s="353"/>
      <c r="G445" s="358">
        <f>SF!I382</f>
        <v>0</v>
      </c>
      <c r="H445" s="354" t="s">
        <v>102</v>
      </c>
      <c r="I445" s="355">
        <f>SF!K382</f>
        <v>321.79000000000002</v>
      </c>
      <c r="J445" s="353">
        <f t="shared" ref="J445:J517" si="78">ROUND(G445*I445,0)</f>
        <v>0</v>
      </c>
      <c r="K445" s="1911">
        <f>IF((J445+J446+J447+J448)&gt;(F445+F446+F447+F448),(J445+J446+J447+J448)-(F445+F446+F447+F448),0)</f>
        <v>0</v>
      </c>
      <c r="L445" s="1911">
        <f>IF((J445+J446+J447+J448)&lt;(F445+F446+F447+F448),(F445+F446+F447+F448)-(J445+J446+J447+J448),0)</f>
        <v>0</v>
      </c>
      <c r="M445" s="1139" t="s">
        <v>2226</v>
      </c>
      <c r="N445" s="223"/>
      <c r="O445" s="1138">
        <f t="shared" si="74"/>
        <v>0</v>
      </c>
    </row>
    <row r="446" spans="1:15" s="360" customFormat="1" ht="15" hidden="1">
      <c r="A446" s="356" t="s">
        <v>1578</v>
      </c>
      <c r="B446" s="707" t="s">
        <v>481</v>
      </c>
      <c r="C446" s="711"/>
      <c r="D446" s="354"/>
      <c r="E446" s="660"/>
      <c r="F446" s="353"/>
      <c r="G446" s="358">
        <f>SF!I390</f>
        <v>0</v>
      </c>
      <c r="H446" s="354" t="s">
        <v>102</v>
      </c>
      <c r="I446" s="355">
        <f>SF!K390</f>
        <v>344.38</v>
      </c>
      <c r="J446" s="353">
        <f>ROUND(G446*I446,0)</f>
        <v>0</v>
      </c>
      <c r="K446" s="1912"/>
      <c r="L446" s="1912"/>
      <c r="M446" s="708" t="s">
        <v>2308</v>
      </c>
      <c r="N446" s="223"/>
      <c r="O446" s="706">
        <f t="shared" si="74"/>
        <v>0</v>
      </c>
    </row>
    <row r="447" spans="1:15" s="360" customFormat="1" ht="15" hidden="1">
      <c r="A447" s="356" t="s">
        <v>1585</v>
      </c>
      <c r="B447" s="707" t="s">
        <v>481</v>
      </c>
      <c r="C447" s="711"/>
      <c r="D447" s="354"/>
      <c r="E447" s="660"/>
      <c r="F447" s="353"/>
      <c r="G447" s="358">
        <f>SF!I397</f>
        <v>0</v>
      </c>
      <c r="H447" s="354" t="s">
        <v>102</v>
      </c>
      <c r="I447" s="355">
        <f>SF!K397</f>
        <v>365.08</v>
      </c>
      <c r="J447" s="353">
        <f>ROUND(G447*I447,0)</f>
        <v>0</v>
      </c>
      <c r="K447" s="1912"/>
      <c r="L447" s="1912"/>
      <c r="M447" s="708" t="s">
        <v>2321</v>
      </c>
      <c r="N447" s="223"/>
      <c r="O447" s="706">
        <f t="shared" si="74"/>
        <v>0</v>
      </c>
    </row>
    <row r="448" spans="1:15" s="360" customFormat="1" ht="15" hidden="1">
      <c r="A448" s="356" t="s">
        <v>1585</v>
      </c>
      <c r="B448" s="707" t="s">
        <v>481</v>
      </c>
      <c r="C448" s="711"/>
      <c r="D448" s="354"/>
      <c r="E448" s="660"/>
      <c r="F448" s="353"/>
      <c r="G448" s="358">
        <f>SF!I404</f>
        <v>0</v>
      </c>
      <c r="H448" s="354" t="s">
        <v>102</v>
      </c>
      <c r="I448" s="355">
        <f>SF!K404</f>
        <v>385.55</v>
      </c>
      <c r="J448" s="353">
        <f>ROUND(G448*I448,0)</f>
        <v>0</v>
      </c>
      <c r="K448" s="1913"/>
      <c r="L448" s="1913"/>
      <c r="M448" s="708" t="s">
        <v>2322</v>
      </c>
      <c r="N448" s="223"/>
      <c r="O448" s="706">
        <f t="shared" si="74"/>
        <v>0</v>
      </c>
    </row>
    <row r="449" spans="1:15" s="360" customFormat="1" ht="15" hidden="1">
      <c r="A449" s="356" t="s">
        <v>1584</v>
      </c>
      <c r="B449" s="707" t="s">
        <v>505</v>
      </c>
      <c r="C449" s="633"/>
      <c r="D449" s="354"/>
      <c r="E449" s="362"/>
      <c r="F449" s="353"/>
      <c r="G449" s="358">
        <f>SF!I412</f>
        <v>0</v>
      </c>
      <c r="H449" s="354" t="s">
        <v>102</v>
      </c>
      <c r="I449" s="355">
        <f>SF!K412</f>
        <v>289.52</v>
      </c>
      <c r="J449" s="353">
        <f t="shared" si="78"/>
        <v>0</v>
      </c>
      <c r="K449" s="1911">
        <f>IF((J449+J450+J451+J452)&gt;(F449+F450+F451+F452),(J449+J450+J451+J452)-(F449+F450+F451+F452),0)</f>
        <v>0</v>
      </c>
      <c r="L449" s="1911">
        <f>IF((J449+J450+J451+J452)&lt;(F449+F450+F451+F452),(F449+F450+F451+F452)-(J449+J450+J451+J452),0)</f>
        <v>0</v>
      </c>
      <c r="M449" s="708" t="s">
        <v>2226</v>
      </c>
      <c r="N449" s="223"/>
      <c r="O449" s="706">
        <f t="shared" si="74"/>
        <v>0</v>
      </c>
    </row>
    <row r="450" spans="1:15" s="360" customFormat="1" ht="15" hidden="1">
      <c r="A450" s="356" t="s">
        <v>1584</v>
      </c>
      <c r="B450" s="707" t="s">
        <v>505</v>
      </c>
      <c r="C450" s="633"/>
      <c r="D450" s="354"/>
      <c r="E450" s="362"/>
      <c r="F450" s="353"/>
      <c r="G450" s="358">
        <f>SF!I420</f>
        <v>0</v>
      </c>
      <c r="H450" s="354" t="s">
        <v>102</v>
      </c>
      <c r="I450" s="355">
        <f>SF!K420</f>
        <v>312.11</v>
      </c>
      <c r="J450" s="353">
        <f>ROUND(G450*I450,0)</f>
        <v>0</v>
      </c>
      <c r="K450" s="1912"/>
      <c r="L450" s="1912"/>
      <c r="M450" s="708" t="s">
        <v>2308</v>
      </c>
      <c r="N450" s="223"/>
      <c r="O450" s="706">
        <f t="shared" si="74"/>
        <v>0</v>
      </c>
    </row>
    <row r="451" spans="1:15" s="360" customFormat="1" ht="15" hidden="1">
      <c r="A451" s="356" t="s">
        <v>1584</v>
      </c>
      <c r="B451" s="707" t="s">
        <v>505</v>
      </c>
      <c r="C451" s="633"/>
      <c r="D451" s="354"/>
      <c r="E451" s="362"/>
      <c r="F451" s="353"/>
      <c r="G451" s="358">
        <f>SF!I428</f>
        <v>0</v>
      </c>
      <c r="H451" s="354" t="s">
        <v>102</v>
      </c>
      <c r="I451" s="355">
        <f>SF!K428</f>
        <v>331.62</v>
      </c>
      <c r="J451" s="353">
        <f>ROUND(G451*I451,0)</f>
        <v>0</v>
      </c>
      <c r="K451" s="1912"/>
      <c r="L451" s="1912"/>
      <c r="M451" s="708" t="s">
        <v>2321</v>
      </c>
      <c r="N451" s="223"/>
      <c r="O451" s="706">
        <f t="shared" si="74"/>
        <v>0</v>
      </c>
    </row>
    <row r="452" spans="1:15" s="360" customFormat="1" ht="15" hidden="1">
      <c r="A452" s="356" t="s">
        <v>1584</v>
      </c>
      <c r="B452" s="707" t="s">
        <v>505</v>
      </c>
      <c r="C452" s="633"/>
      <c r="D452" s="354"/>
      <c r="E452" s="362"/>
      <c r="F452" s="353"/>
      <c r="G452" s="358">
        <f>SF!I436</f>
        <v>0</v>
      </c>
      <c r="H452" s="354" t="s">
        <v>102</v>
      </c>
      <c r="I452" s="355">
        <f>SF!K436</f>
        <v>352.1</v>
      </c>
      <c r="J452" s="353">
        <f>ROUND(G452*I452,0)</f>
        <v>0</v>
      </c>
      <c r="K452" s="1913"/>
      <c r="L452" s="1913"/>
      <c r="M452" s="708" t="s">
        <v>2322</v>
      </c>
      <c r="N452" s="223"/>
      <c r="O452" s="706">
        <f t="shared" si="74"/>
        <v>0</v>
      </c>
    </row>
    <row r="453" spans="1:15" s="360" customFormat="1" ht="15" hidden="1">
      <c r="A453" s="356" t="s">
        <v>1585</v>
      </c>
      <c r="B453" s="707" t="s">
        <v>805</v>
      </c>
      <c r="C453" s="633"/>
      <c r="D453" s="354"/>
      <c r="E453" s="362"/>
      <c r="F453" s="353"/>
      <c r="G453" s="358">
        <f>SF!I444</f>
        <v>0</v>
      </c>
      <c r="H453" s="354" t="s">
        <v>102</v>
      </c>
      <c r="I453" s="355">
        <f>SF!K444</f>
        <v>307.37</v>
      </c>
      <c r="J453" s="353">
        <f t="shared" si="78"/>
        <v>0</v>
      </c>
      <c r="K453" s="1911">
        <f>IF((J453+J454+J455+J456)&gt;(F453+F454+F455+F456),(J453+J454+J455+J456)-(F453+F454+F455+F456),0)</f>
        <v>0</v>
      </c>
      <c r="L453" s="1911">
        <f>IF((J453+J454+J455+J456)&lt;(F453+F454+F455+F456),(F453+F454+F455+F456)-(J453+J454+J455+J456),0)</f>
        <v>0</v>
      </c>
      <c r="M453" s="708" t="s">
        <v>2226</v>
      </c>
      <c r="N453" s="223"/>
      <c r="O453" s="706">
        <f t="shared" si="74"/>
        <v>0</v>
      </c>
    </row>
    <row r="454" spans="1:15" s="360" customFormat="1" ht="15" hidden="1">
      <c r="A454" s="356" t="s">
        <v>1585</v>
      </c>
      <c r="B454" s="707" t="s">
        <v>805</v>
      </c>
      <c r="C454" s="633"/>
      <c r="D454" s="354"/>
      <c r="E454" s="362"/>
      <c r="F454" s="353"/>
      <c r="G454" s="358">
        <f>SF!I452</f>
        <v>0</v>
      </c>
      <c r="H454" s="354" t="s">
        <v>102</v>
      </c>
      <c r="I454" s="355">
        <f>SF!K452</f>
        <v>330.52</v>
      </c>
      <c r="J454" s="353">
        <f>ROUND(G454*I454,0)</f>
        <v>0</v>
      </c>
      <c r="K454" s="1912"/>
      <c r="L454" s="1912"/>
      <c r="M454" s="708" t="s">
        <v>2308</v>
      </c>
      <c r="N454" s="223"/>
      <c r="O454" s="706">
        <f t="shared" si="74"/>
        <v>0</v>
      </c>
    </row>
    <row r="455" spans="1:15" s="360" customFormat="1" ht="15" hidden="1">
      <c r="A455" s="356" t="s">
        <v>1585</v>
      </c>
      <c r="B455" s="707" t="s">
        <v>805</v>
      </c>
      <c r="C455" s="633"/>
      <c r="D455" s="354"/>
      <c r="E455" s="362"/>
      <c r="F455" s="353"/>
      <c r="G455" s="358">
        <f>SF!I460</f>
        <v>0</v>
      </c>
      <c r="H455" s="354" t="s">
        <v>102</v>
      </c>
      <c r="I455" s="355">
        <f>SF!K460</f>
        <v>351.31</v>
      </c>
      <c r="J455" s="353">
        <f>ROUND(G455*I455,0)</f>
        <v>0</v>
      </c>
      <c r="K455" s="1912"/>
      <c r="L455" s="1912"/>
      <c r="M455" s="708" t="s">
        <v>2321</v>
      </c>
      <c r="N455" s="223"/>
      <c r="O455" s="706">
        <f t="shared" si="74"/>
        <v>0</v>
      </c>
    </row>
    <row r="456" spans="1:15" s="360" customFormat="1" ht="15" hidden="1">
      <c r="A456" s="356" t="s">
        <v>1585</v>
      </c>
      <c r="B456" s="707" t="s">
        <v>805</v>
      </c>
      <c r="C456" s="633"/>
      <c r="D456" s="354"/>
      <c r="E456" s="362"/>
      <c r="F456" s="353"/>
      <c r="G456" s="358">
        <f>SF!I468</f>
        <v>0</v>
      </c>
      <c r="H456" s="354" t="s">
        <v>102</v>
      </c>
      <c r="I456" s="355">
        <f>SF!K468</f>
        <v>372.29</v>
      </c>
      <c r="J456" s="353">
        <f>ROUND(G456*I456,0)</f>
        <v>0</v>
      </c>
      <c r="K456" s="1913"/>
      <c r="L456" s="1913"/>
      <c r="M456" s="708" t="s">
        <v>2322</v>
      </c>
      <c r="N456" s="223"/>
      <c r="O456" s="706">
        <f t="shared" si="74"/>
        <v>0</v>
      </c>
    </row>
    <row r="457" spans="1:15" s="360" customFormat="1" ht="51" hidden="1">
      <c r="A457" s="356" t="s">
        <v>530</v>
      </c>
      <c r="B457" s="707" t="s">
        <v>3280</v>
      </c>
      <c r="C457" s="711"/>
      <c r="D457" s="354"/>
      <c r="E457" s="660"/>
      <c r="F457" s="353"/>
      <c r="G457" s="358">
        <f>SF!I480</f>
        <v>0</v>
      </c>
      <c r="H457" s="354" t="s">
        <v>102</v>
      </c>
      <c r="I457" s="355">
        <f>SF!K480</f>
        <v>380.2</v>
      </c>
      <c r="J457" s="353">
        <f t="shared" si="78"/>
        <v>0</v>
      </c>
      <c r="K457" s="1911">
        <f>IF((J457+J458+J459+J460)&gt;(F457+F458+F459+F460),(J457+J458+J459+J460)-(F457+F458+F459+F460),0)</f>
        <v>0</v>
      </c>
      <c r="L457" s="1911">
        <f>IF((J457+J458+J459+J460)&lt;(F457+F458+F459+F460),(F457+F458+F459+F460)-(J457+J458+J459+J460),0)</f>
        <v>0</v>
      </c>
      <c r="M457" s="1139" t="s">
        <v>2226</v>
      </c>
      <c r="N457" s="223"/>
      <c r="O457" s="1138">
        <f t="shared" si="74"/>
        <v>0</v>
      </c>
    </row>
    <row r="458" spans="1:15" s="360" customFormat="1" ht="15" hidden="1">
      <c r="A458" s="356" t="s">
        <v>1593</v>
      </c>
      <c r="B458" s="707" t="s">
        <v>830</v>
      </c>
      <c r="C458" s="711"/>
      <c r="D458" s="354"/>
      <c r="E458" s="660"/>
      <c r="F458" s="353"/>
      <c r="G458" s="358">
        <f>SF!I489</f>
        <v>0</v>
      </c>
      <c r="H458" s="354" t="s">
        <v>102</v>
      </c>
      <c r="I458" s="355">
        <f>SF!K489</f>
        <v>410.98</v>
      </c>
      <c r="J458" s="353">
        <f>ROUND(G458*I458,0)</f>
        <v>0</v>
      </c>
      <c r="K458" s="1912"/>
      <c r="L458" s="1912"/>
      <c r="M458" s="708" t="s">
        <v>2308</v>
      </c>
      <c r="N458" s="223"/>
      <c r="O458" s="706">
        <f t="shared" si="74"/>
        <v>0</v>
      </c>
    </row>
    <row r="459" spans="1:15" s="360" customFormat="1" ht="15" hidden="1">
      <c r="A459" s="356" t="s">
        <v>1143</v>
      </c>
      <c r="B459" s="707" t="s">
        <v>830</v>
      </c>
      <c r="C459" s="711"/>
      <c r="D459" s="354"/>
      <c r="E459" s="660"/>
      <c r="F459" s="353"/>
      <c r="G459" s="358">
        <f>SF!I496</f>
        <v>0</v>
      </c>
      <c r="H459" s="354" t="s">
        <v>102</v>
      </c>
      <c r="I459" s="355">
        <f>SF!K496</f>
        <v>436.23</v>
      </c>
      <c r="J459" s="353">
        <f>ROUND(G459*I459,0)</f>
        <v>0</v>
      </c>
      <c r="K459" s="1912"/>
      <c r="L459" s="1912"/>
      <c r="M459" s="708" t="s">
        <v>2321</v>
      </c>
      <c r="N459" s="223"/>
      <c r="O459" s="706">
        <f t="shared" si="74"/>
        <v>0</v>
      </c>
    </row>
    <row r="460" spans="1:15" s="360" customFormat="1" ht="15" hidden="1">
      <c r="A460" s="356" t="s">
        <v>1143</v>
      </c>
      <c r="B460" s="707" t="s">
        <v>830</v>
      </c>
      <c r="C460" s="711"/>
      <c r="D460" s="354"/>
      <c r="E460" s="660"/>
      <c r="F460" s="353"/>
      <c r="G460" s="358">
        <f>SF!I508</f>
        <v>0</v>
      </c>
      <c r="H460" s="354" t="s">
        <v>102</v>
      </c>
      <c r="I460" s="355">
        <f>SF!K508</f>
        <v>464.16</v>
      </c>
      <c r="J460" s="353">
        <f>ROUND(G460*I460,0)</f>
        <v>0</v>
      </c>
      <c r="K460" s="1913"/>
      <c r="L460" s="1913"/>
      <c r="M460" s="708" t="s">
        <v>2322</v>
      </c>
      <c r="N460" s="223"/>
      <c r="O460" s="706">
        <f t="shared" ref="O460:O523" si="79">F460-J460</f>
        <v>0</v>
      </c>
    </row>
    <row r="461" spans="1:15" s="360" customFormat="1" ht="15" hidden="1">
      <c r="A461" s="356" t="s">
        <v>1582</v>
      </c>
      <c r="B461" s="707" t="s">
        <v>541</v>
      </c>
      <c r="C461" s="711"/>
      <c r="D461" s="354"/>
      <c r="E461" s="660"/>
      <c r="F461" s="353"/>
      <c r="G461" s="358">
        <f>SF!I515</f>
        <v>0</v>
      </c>
      <c r="H461" s="354" t="s">
        <v>102</v>
      </c>
      <c r="I461" s="355">
        <f>SF!K515</f>
        <v>393.56</v>
      </c>
      <c r="J461" s="353">
        <f t="shared" si="78"/>
        <v>0</v>
      </c>
      <c r="K461" s="1911">
        <f>IF((J461+J462+J463+J464)&gt;(F461+F462+F463+F464),(J461+J462+J463+J464)-(F461+F462+F463+F464),0)</f>
        <v>0</v>
      </c>
      <c r="L461" s="1911">
        <f>IF((J461+J462+J463+J464)&lt;(F461+F462+F463+F464),(F461+F462+F463+F464)-(J461+J462+J463+J464),0)</f>
        <v>0</v>
      </c>
      <c r="M461" s="708" t="s">
        <v>2226</v>
      </c>
      <c r="N461" s="223"/>
      <c r="O461" s="706">
        <f t="shared" si="79"/>
        <v>0</v>
      </c>
    </row>
    <row r="462" spans="1:15" s="360" customFormat="1" ht="15" hidden="1">
      <c r="A462" s="356" t="s">
        <v>1579</v>
      </c>
      <c r="B462" s="707" t="s">
        <v>541</v>
      </c>
      <c r="C462" s="711"/>
      <c r="D462" s="354"/>
      <c r="E462" s="660"/>
      <c r="F462" s="353"/>
      <c r="G462" s="358">
        <f>SF!I525</f>
        <v>0</v>
      </c>
      <c r="H462" s="354" t="s">
        <v>102</v>
      </c>
      <c r="I462" s="355">
        <f>SF!K525</f>
        <v>424.91</v>
      </c>
      <c r="J462" s="353">
        <f>ROUND(G462*I462,0)</f>
        <v>0</v>
      </c>
      <c r="K462" s="1912"/>
      <c r="L462" s="1912"/>
      <c r="M462" s="708" t="s">
        <v>2308</v>
      </c>
      <c r="N462" s="223"/>
      <c r="O462" s="706">
        <f t="shared" si="79"/>
        <v>0</v>
      </c>
    </row>
    <row r="463" spans="1:15" s="360" customFormat="1" ht="19.5" hidden="1" customHeight="1">
      <c r="A463" s="356" t="s">
        <v>1586</v>
      </c>
      <c r="B463" s="707" t="s">
        <v>541</v>
      </c>
      <c r="C463" s="711"/>
      <c r="D463" s="354"/>
      <c r="E463" s="660"/>
      <c r="F463" s="353"/>
      <c r="G463" s="358">
        <f>SF!I532</f>
        <v>0</v>
      </c>
      <c r="H463" s="354" t="s">
        <v>102</v>
      </c>
      <c r="I463" s="355">
        <f>SF!K532</f>
        <v>451.54</v>
      </c>
      <c r="J463" s="353">
        <f>ROUND(G463*I463,0)</f>
        <v>0</v>
      </c>
      <c r="K463" s="1912"/>
      <c r="L463" s="1912"/>
      <c r="M463" s="708" t="s">
        <v>2321</v>
      </c>
      <c r="N463" s="223"/>
      <c r="O463" s="706">
        <f t="shared" si="79"/>
        <v>0</v>
      </c>
    </row>
    <row r="464" spans="1:15" s="360" customFormat="1" ht="51" hidden="1">
      <c r="A464" s="356" t="s">
        <v>531</v>
      </c>
      <c r="B464" s="707" t="s">
        <v>3281</v>
      </c>
      <c r="C464" s="711"/>
      <c r="D464" s="354"/>
      <c r="E464" s="660"/>
      <c r="F464" s="353"/>
      <c r="G464" s="358">
        <f>SF!I539</f>
        <v>0</v>
      </c>
      <c r="H464" s="354" t="s">
        <v>102</v>
      </c>
      <c r="I464" s="355">
        <f>SF!K539</f>
        <v>479.98</v>
      </c>
      <c r="J464" s="353">
        <f>ROUND(G464*I464,0)</f>
        <v>0</v>
      </c>
      <c r="K464" s="1913"/>
      <c r="L464" s="1913"/>
      <c r="M464" s="1139" t="s">
        <v>2322</v>
      </c>
      <c r="N464" s="223"/>
      <c r="O464" s="1138">
        <f t="shared" si="79"/>
        <v>0</v>
      </c>
    </row>
    <row r="465" spans="1:15" s="360" customFormat="1" ht="15" hidden="1">
      <c r="A465" s="356" t="s">
        <v>473</v>
      </c>
      <c r="B465" s="707" t="s">
        <v>2078</v>
      </c>
      <c r="C465" s="633"/>
      <c r="D465" s="354"/>
      <c r="E465" s="622"/>
      <c r="F465" s="353"/>
      <c r="G465" s="358">
        <f>SF!I544</f>
        <v>0</v>
      </c>
      <c r="H465" s="354" t="s">
        <v>5</v>
      </c>
      <c r="I465" s="355">
        <f>SF!K544</f>
        <v>5152.2499999999991</v>
      </c>
      <c r="J465" s="353">
        <f t="shared" si="78"/>
        <v>0</v>
      </c>
      <c r="K465" s="1911">
        <f>IF((J465+J466+J467+J468)&gt;(F465+F466+F467+F468),(J465+J466+J467+J468)-(F465+F466+F467+F468),0)</f>
        <v>0</v>
      </c>
      <c r="L465" s="1911">
        <f>IF((J465+J466+J467+J468)&lt;(F465+F466+F467+F468),(F465+F466+F467+F468)-(J465+J466+J467+J468),0)</f>
        <v>0</v>
      </c>
      <c r="M465" s="708" t="s">
        <v>2226</v>
      </c>
      <c r="N465" s="223"/>
      <c r="O465" s="706">
        <f t="shared" si="79"/>
        <v>0</v>
      </c>
    </row>
    <row r="466" spans="1:15" s="360" customFormat="1" ht="15" hidden="1">
      <c r="A466" s="356" t="s">
        <v>473</v>
      </c>
      <c r="B466" s="707" t="s">
        <v>2078</v>
      </c>
      <c r="C466" s="633"/>
      <c r="D466" s="354"/>
      <c r="E466" s="622"/>
      <c r="F466" s="353"/>
      <c r="G466" s="358">
        <f>SF!I549</f>
        <v>0</v>
      </c>
      <c r="H466" s="354" t="s">
        <v>5</v>
      </c>
      <c r="I466" s="355">
        <f>SF!K549</f>
        <v>5333.72</v>
      </c>
      <c r="J466" s="353">
        <f>ROUND(G466*I466,0)</f>
        <v>0</v>
      </c>
      <c r="K466" s="1912"/>
      <c r="L466" s="1912"/>
      <c r="M466" s="708" t="s">
        <v>2308</v>
      </c>
      <c r="N466" s="223"/>
      <c r="O466" s="706">
        <f t="shared" si="79"/>
        <v>0</v>
      </c>
    </row>
    <row r="467" spans="1:15" s="360" customFormat="1" ht="15" hidden="1">
      <c r="A467" s="356" t="s">
        <v>473</v>
      </c>
      <c r="B467" s="707" t="s">
        <v>2078</v>
      </c>
      <c r="C467" s="633"/>
      <c r="D467" s="354"/>
      <c r="E467" s="622"/>
      <c r="F467" s="353"/>
      <c r="G467" s="358">
        <f>SF!I554</f>
        <v>0</v>
      </c>
      <c r="H467" s="354" t="s">
        <v>5</v>
      </c>
      <c r="I467" s="355">
        <f>SF!K554</f>
        <v>5579.3200000000006</v>
      </c>
      <c r="J467" s="353">
        <f>ROUND(G467*I467,0)</f>
        <v>0</v>
      </c>
      <c r="K467" s="1912"/>
      <c r="L467" s="1912"/>
      <c r="M467" s="708" t="s">
        <v>2321</v>
      </c>
      <c r="N467" s="223"/>
      <c r="O467" s="706">
        <f t="shared" si="79"/>
        <v>0</v>
      </c>
    </row>
    <row r="468" spans="1:15" s="360" customFormat="1" ht="15" hidden="1">
      <c r="A468" s="356" t="s">
        <v>473</v>
      </c>
      <c r="B468" s="707" t="s">
        <v>2078</v>
      </c>
      <c r="C468" s="633"/>
      <c r="D468" s="354"/>
      <c r="E468" s="622"/>
      <c r="F468" s="353"/>
      <c r="G468" s="358">
        <f>SF!I559</f>
        <v>0</v>
      </c>
      <c r="H468" s="354" t="s">
        <v>5</v>
      </c>
      <c r="I468" s="355">
        <f>SF!K559</f>
        <v>5843.9400000000005</v>
      </c>
      <c r="J468" s="353">
        <f>ROUND(G468*I468,0)</f>
        <v>0</v>
      </c>
      <c r="K468" s="1913"/>
      <c r="L468" s="1913"/>
      <c r="M468" s="708" t="s">
        <v>2322</v>
      </c>
      <c r="N468" s="223"/>
      <c r="O468" s="706">
        <f t="shared" si="79"/>
        <v>0</v>
      </c>
    </row>
    <row r="469" spans="1:15" s="360" customFormat="1" ht="15" hidden="1">
      <c r="A469" s="356" t="s">
        <v>525</v>
      </c>
      <c r="B469" s="707" t="s">
        <v>507</v>
      </c>
      <c r="C469" s="717"/>
      <c r="D469" s="354"/>
      <c r="E469" s="10"/>
      <c r="F469" s="353"/>
      <c r="G469" s="358">
        <f>SF!I565</f>
        <v>0</v>
      </c>
      <c r="H469" s="354" t="s">
        <v>102</v>
      </c>
      <c r="I469" s="355">
        <f>SF!K565</f>
        <v>1048.97</v>
      </c>
      <c r="J469" s="353">
        <f t="shared" si="78"/>
        <v>0</v>
      </c>
      <c r="K469" s="1911">
        <f>IF((J469+J470+J471+J472)&gt;(F469+F470+F471+F472),(J469+J470+J471+J472)-(F469+F470+F471+F472),0)</f>
        <v>0</v>
      </c>
      <c r="L469" s="1911">
        <f>IF((J469+J470+J471+J472)&lt;(F469+F470+F471+F472),(F469+F470+F471+F472)-(J469+J470+J471+J472),0)</f>
        <v>0</v>
      </c>
      <c r="M469" s="708" t="s">
        <v>2226</v>
      </c>
      <c r="N469" s="223"/>
      <c r="O469" s="706">
        <f t="shared" si="79"/>
        <v>0</v>
      </c>
    </row>
    <row r="470" spans="1:15" s="360" customFormat="1" ht="15" hidden="1">
      <c r="A470" s="356" t="s">
        <v>525</v>
      </c>
      <c r="B470" s="707" t="s">
        <v>507</v>
      </c>
      <c r="C470" s="717"/>
      <c r="D470" s="354"/>
      <c r="E470" s="10"/>
      <c r="F470" s="353"/>
      <c r="G470" s="358">
        <f>SF!I571</f>
        <v>0</v>
      </c>
      <c r="H470" s="354" t="s">
        <v>102</v>
      </c>
      <c r="I470" s="355">
        <f>SF!K571</f>
        <v>1082.75</v>
      </c>
      <c r="J470" s="353">
        <f>ROUND(G470*I470,0)</f>
        <v>0</v>
      </c>
      <c r="K470" s="1912"/>
      <c r="L470" s="1912"/>
      <c r="M470" s="708" t="s">
        <v>2308</v>
      </c>
      <c r="N470" s="223"/>
      <c r="O470" s="706">
        <f t="shared" si="79"/>
        <v>0</v>
      </c>
    </row>
    <row r="471" spans="1:15" s="360" customFormat="1" ht="15" hidden="1">
      <c r="A471" s="356" t="s">
        <v>525</v>
      </c>
      <c r="B471" s="707" t="s">
        <v>507</v>
      </c>
      <c r="C471" s="717"/>
      <c r="D471" s="354"/>
      <c r="E471" s="10"/>
      <c r="F471" s="353"/>
      <c r="G471" s="358">
        <f>SF!I577</f>
        <v>0</v>
      </c>
      <c r="H471" s="354" t="s">
        <v>102</v>
      </c>
      <c r="I471" s="355">
        <f>SF!K577</f>
        <v>1108.3499999999999</v>
      </c>
      <c r="J471" s="353">
        <f>ROUND(G471*I471,0)</f>
        <v>0</v>
      </c>
      <c r="K471" s="1912"/>
      <c r="L471" s="1912"/>
      <c r="M471" s="708" t="s">
        <v>2321</v>
      </c>
      <c r="N471" s="223"/>
      <c r="O471" s="706">
        <f t="shared" si="79"/>
        <v>0</v>
      </c>
    </row>
    <row r="472" spans="1:15" s="360" customFormat="1" ht="15" hidden="1">
      <c r="A472" s="356" t="s">
        <v>525</v>
      </c>
      <c r="B472" s="707" t="s">
        <v>507</v>
      </c>
      <c r="C472" s="717"/>
      <c r="D472" s="354"/>
      <c r="E472" s="10"/>
      <c r="F472" s="353"/>
      <c r="G472" s="358">
        <f>SF!I583</f>
        <v>0</v>
      </c>
      <c r="H472" s="354" t="s">
        <v>102</v>
      </c>
      <c r="I472" s="355">
        <f>SF!K583</f>
        <v>1139.42</v>
      </c>
      <c r="J472" s="353">
        <f>ROUND(G472*I472,0)</f>
        <v>0</v>
      </c>
      <c r="K472" s="1913"/>
      <c r="L472" s="1913"/>
      <c r="M472" s="708" t="s">
        <v>2322</v>
      </c>
      <c r="N472" s="223"/>
      <c r="O472" s="706">
        <f t="shared" si="79"/>
        <v>0</v>
      </c>
    </row>
    <row r="473" spans="1:15" s="360" customFormat="1" ht="15" hidden="1">
      <c r="A473" s="356" t="s">
        <v>528</v>
      </c>
      <c r="B473" s="707" t="s">
        <v>509</v>
      </c>
      <c r="C473" s="717"/>
      <c r="D473" s="354"/>
      <c r="E473" s="10"/>
      <c r="F473" s="353"/>
      <c r="G473" s="358">
        <f>SF!I590</f>
        <v>0</v>
      </c>
      <c r="H473" s="354" t="s">
        <v>102</v>
      </c>
      <c r="I473" s="355">
        <f>SF!K590</f>
        <v>1044.9000000000001</v>
      </c>
      <c r="J473" s="353">
        <f t="shared" si="78"/>
        <v>0</v>
      </c>
      <c r="K473" s="1911">
        <f>IF((J473+J474+J475+J476)&gt;(F473+F474+F475+F476),(J473+J474+J475+J476)-(F473+F474+F475+F476),0)</f>
        <v>0</v>
      </c>
      <c r="L473" s="1911">
        <f>IF((J473+J474+J475+J476)&lt;(F473+F474+F475+F476),(F473+F474+F475+F476)-(J473+J474+J475+J476),0)</f>
        <v>0</v>
      </c>
      <c r="M473" s="708" t="s">
        <v>2226</v>
      </c>
      <c r="N473" s="223"/>
      <c r="O473" s="706">
        <f t="shared" si="79"/>
        <v>0</v>
      </c>
    </row>
    <row r="474" spans="1:15" s="360" customFormat="1" ht="15" hidden="1">
      <c r="A474" s="356" t="s">
        <v>528</v>
      </c>
      <c r="B474" s="707" t="s">
        <v>509</v>
      </c>
      <c r="C474" s="717"/>
      <c r="D474" s="354"/>
      <c r="E474" s="10"/>
      <c r="F474" s="353"/>
      <c r="G474" s="358">
        <f>SF!I597</f>
        <v>0</v>
      </c>
      <c r="H474" s="354" t="s">
        <v>102</v>
      </c>
      <c r="I474" s="355">
        <f>SF!K597</f>
        <v>1078.42</v>
      </c>
      <c r="J474" s="353">
        <f>ROUND(G474*I474,0)</f>
        <v>0</v>
      </c>
      <c r="K474" s="1912"/>
      <c r="L474" s="1912"/>
      <c r="M474" s="708" t="s">
        <v>2308</v>
      </c>
      <c r="N474" s="223"/>
      <c r="O474" s="706">
        <f t="shared" si="79"/>
        <v>0</v>
      </c>
    </row>
    <row r="475" spans="1:15" s="360" customFormat="1" ht="15" hidden="1">
      <c r="A475" s="356" t="s">
        <v>528</v>
      </c>
      <c r="B475" s="707" t="s">
        <v>509</v>
      </c>
      <c r="C475" s="717"/>
      <c r="D475" s="354"/>
      <c r="E475" s="10"/>
      <c r="F475" s="353"/>
      <c r="G475" s="358">
        <f>SF!I604</f>
        <v>0</v>
      </c>
      <c r="H475" s="354" t="s">
        <v>102</v>
      </c>
      <c r="I475" s="355">
        <f>SF!K604</f>
        <v>1103.42</v>
      </c>
      <c r="J475" s="353">
        <f>ROUND(G475*I475,0)</f>
        <v>0</v>
      </c>
      <c r="K475" s="1912"/>
      <c r="L475" s="1912"/>
      <c r="M475" s="708" t="s">
        <v>2321</v>
      </c>
      <c r="N475" s="223"/>
      <c r="O475" s="706">
        <f t="shared" si="79"/>
        <v>0</v>
      </c>
    </row>
    <row r="476" spans="1:15" s="360" customFormat="1" ht="15" hidden="1">
      <c r="A476" s="356" t="s">
        <v>528</v>
      </c>
      <c r="B476" s="707" t="s">
        <v>509</v>
      </c>
      <c r="C476" s="717"/>
      <c r="D476" s="354"/>
      <c r="E476" s="10"/>
      <c r="F476" s="353"/>
      <c r="G476" s="358">
        <f>SF!I611</f>
        <v>0</v>
      </c>
      <c r="H476" s="354" t="s">
        <v>102</v>
      </c>
      <c r="I476" s="355">
        <f>SF!K611</f>
        <v>1134.08</v>
      </c>
      <c r="J476" s="353">
        <f>ROUND(G476*I476,0)</f>
        <v>0</v>
      </c>
      <c r="K476" s="1913"/>
      <c r="L476" s="1913"/>
      <c r="M476" s="708" t="s">
        <v>2322</v>
      </c>
      <c r="N476" s="223"/>
      <c r="O476" s="706">
        <f t="shared" si="79"/>
        <v>0</v>
      </c>
    </row>
    <row r="477" spans="1:15" s="360" customFormat="1" ht="15" hidden="1">
      <c r="A477" s="356" t="s">
        <v>508</v>
      </c>
      <c r="B477" s="707" t="s">
        <v>708</v>
      </c>
      <c r="C477" s="710"/>
      <c r="D477" s="354"/>
      <c r="E477" s="362"/>
      <c r="F477" s="353"/>
      <c r="G477" s="358">
        <f>SF!I618</f>
        <v>0</v>
      </c>
      <c r="H477" s="354" t="s">
        <v>77</v>
      </c>
      <c r="I477" s="355">
        <f>SF!K618</f>
        <v>2934.5</v>
      </c>
      <c r="J477" s="353">
        <f t="shared" si="78"/>
        <v>0</v>
      </c>
      <c r="K477" s="1911">
        <f>IF((J477+J478+J479+J480)&gt;(F477+F478+F479+F480),(J477+J478+J479+J480)-(F477+F478+F479+F480),0)</f>
        <v>0</v>
      </c>
      <c r="L477" s="1911">
        <f>IF((J477+J478+J479+J480)&lt;(F477+F478+F479+F480),(F477+F478+F479+F480)-(J477+J478+J479+J480),0)</f>
        <v>0</v>
      </c>
      <c r="M477" s="708" t="s">
        <v>2226</v>
      </c>
      <c r="N477" s="223"/>
      <c r="O477" s="706">
        <f t="shared" si="79"/>
        <v>0</v>
      </c>
    </row>
    <row r="478" spans="1:15" s="360" customFormat="1" ht="15" hidden="1">
      <c r="A478" s="356" t="s">
        <v>508</v>
      </c>
      <c r="B478" s="707" t="s">
        <v>708</v>
      </c>
      <c r="C478" s="710"/>
      <c r="D478" s="354"/>
      <c r="E478" s="362"/>
      <c r="F478" s="353"/>
      <c r="G478" s="358">
        <f>SF!I625</f>
        <v>0</v>
      </c>
      <c r="H478" s="354" t="s">
        <v>77</v>
      </c>
      <c r="I478" s="355">
        <f>SF!K625</f>
        <v>3003.21</v>
      </c>
      <c r="J478" s="353">
        <f>ROUND(G478*I478,0)</f>
        <v>0</v>
      </c>
      <c r="K478" s="1912"/>
      <c r="L478" s="1912"/>
      <c r="M478" s="708" t="s">
        <v>2308</v>
      </c>
      <c r="N478" s="223"/>
      <c r="O478" s="706">
        <f t="shared" si="79"/>
        <v>0</v>
      </c>
    </row>
    <row r="479" spans="1:15" s="360" customFormat="1" ht="15" hidden="1">
      <c r="A479" s="356" t="s">
        <v>508</v>
      </c>
      <c r="B479" s="707" t="s">
        <v>708</v>
      </c>
      <c r="C479" s="710"/>
      <c r="D479" s="354"/>
      <c r="E479" s="362"/>
      <c r="F479" s="353"/>
      <c r="G479" s="358">
        <f>SF!I632</f>
        <v>0</v>
      </c>
      <c r="H479" s="354" t="s">
        <v>77</v>
      </c>
      <c r="I479" s="355">
        <f>SF!K632</f>
        <v>3066.62</v>
      </c>
      <c r="J479" s="353">
        <f>ROUND(G479*I479,0)</f>
        <v>0</v>
      </c>
      <c r="K479" s="1912"/>
      <c r="L479" s="1912"/>
      <c r="M479" s="708" t="s">
        <v>2321</v>
      </c>
      <c r="N479" s="223"/>
      <c r="O479" s="706">
        <f t="shared" si="79"/>
        <v>0</v>
      </c>
    </row>
    <row r="480" spans="1:15" s="360" customFormat="1" ht="15" hidden="1">
      <c r="A480" s="356" t="s">
        <v>508</v>
      </c>
      <c r="B480" s="707" t="s">
        <v>708</v>
      </c>
      <c r="C480" s="710"/>
      <c r="D480" s="354"/>
      <c r="E480" s="362"/>
      <c r="F480" s="353"/>
      <c r="G480" s="358">
        <f>SF!I639</f>
        <v>0</v>
      </c>
      <c r="H480" s="354" t="s">
        <v>77</v>
      </c>
      <c r="I480" s="355">
        <f>SF!K639</f>
        <v>3248.17</v>
      </c>
      <c r="J480" s="353">
        <f>ROUND(G480*I480,0)</f>
        <v>0</v>
      </c>
      <c r="K480" s="1913"/>
      <c r="L480" s="1913"/>
      <c r="M480" s="708" t="s">
        <v>2322</v>
      </c>
      <c r="N480" s="223"/>
      <c r="O480" s="706">
        <f t="shared" si="79"/>
        <v>0</v>
      </c>
    </row>
    <row r="481" spans="1:15" s="360" customFormat="1" ht="15" hidden="1">
      <c r="A481" s="356" t="s">
        <v>510</v>
      </c>
      <c r="B481" s="707" t="s">
        <v>877</v>
      </c>
      <c r="C481" s="710"/>
      <c r="D481" s="354"/>
      <c r="E481" s="362"/>
      <c r="F481" s="353"/>
      <c r="G481" s="358">
        <f>SF!I646</f>
        <v>0</v>
      </c>
      <c r="H481" s="354" t="s">
        <v>102</v>
      </c>
      <c r="I481" s="355">
        <f>SF!K646</f>
        <v>2740.43</v>
      </c>
      <c r="J481" s="353">
        <f t="shared" si="78"/>
        <v>0</v>
      </c>
      <c r="K481" s="1911">
        <f>IF((J481+J482+J483+J484)&gt;(F481+F482+F483+F484),(J481+J482+J483+J484)-(F481+F482+F483+F484),0)</f>
        <v>0</v>
      </c>
      <c r="L481" s="1911">
        <f>IF((J481+J482+J483+J484)&lt;(F481+F482+F483+F484),(F481+F482+F483+F484)-(J481+J482+J483+J484),0)</f>
        <v>0</v>
      </c>
      <c r="M481" s="708" t="s">
        <v>2226</v>
      </c>
      <c r="N481" s="223"/>
      <c r="O481" s="706">
        <f t="shared" si="79"/>
        <v>0</v>
      </c>
    </row>
    <row r="482" spans="1:15" s="360" customFormat="1" ht="15" hidden="1">
      <c r="A482" s="356" t="s">
        <v>510</v>
      </c>
      <c r="B482" s="707" t="s">
        <v>877</v>
      </c>
      <c r="C482" s="710"/>
      <c r="D482" s="354"/>
      <c r="E482" s="362"/>
      <c r="F482" s="353"/>
      <c r="G482" s="358">
        <f>SF!I653</f>
        <v>0</v>
      </c>
      <c r="H482" s="354" t="s">
        <v>102</v>
      </c>
      <c r="I482" s="355">
        <f>SF!K653</f>
        <v>2787.53</v>
      </c>
      <c r="J482" s="353">
        <f>ROUND(G482*I482,0)</f>
        <v>0</v>
      </c>
      <c r="K482" s="1912"/>
      <c r="L482" s="1912"/>
      <c r="M482" s="708" t="s">
        <v>2308</v>
      </c>
      <c r="N482" s="223"/>
      <c r="O482" s="706">
        <f t="shared" si="79"/>
        <v>0</v>
      </c>
    </row>
    <row r="483" spans="1:15" s="360" customFormat="1" ht="15" hidden="1">
      <c r="A483" s="356" t="s">
        <v>510</v>
      </c>
      <c r="B483" s="707" t="s">
        <v>877</v>
      </c>
      <c r="C483" s="710"/>
      <c r="D483" s="354"/>
      <c r="E483" s="362"/>
      <c r="F483" s="353"/>
      <c r="G483" s="358">
        <f>SF!I660</f>
        <v>0</v>
      </c>
      <c r="H483" s="354" t="s">
        <v>102</v>
      </c>
      <c r="I483" s="355">
        <f>SF!K660</f>
        <v>2831.2</v>
      </c>
      <c r="J483" s="353">
        <f>ROUND(G483*I483,0)</f>
        <v>0</v>
      </c>
      <c r="K483" s="1912"/>
      <c r="L483" s="1912"/>
      <c r="M483" s="708" t="s">
        <v>2321</v>
      </c>
      <c r="N483" s="223"/>
      <c r="O483" s="706">
        <f t="shared" si="79"/>
        <v>0</v>
      </c>
    </row>
    <row r="484" spans="1:15" s="360" customFormat="1" ht="15" hidden="1">
      <c r="A484" s="356" t="s">
        <v>510</v>
      </c>
      <c r="B484" s="707" t="s">
        <v>877</v>
      </c>
      <c r="C484" s="710"/>
      <c r="D484" s="354"/>
      <c r="E484" s="362"/>
      <c r="F484" s="353"/>
      <c r="G484" s="358">
        <f>SF!I667</f>
        <v>0</v>
      </c>
      <c r="H484" s="354" t="s">
        <v>102</v>
      </c>
      <c r="I484" s="355">
        <f>SF!K667</f>
        <v>2995.66</v>
      </c>
      <c r="J484" s="353">
        <f>ROUND(G484*I484,0)</f>
        <v>0</v>
      </c>
      <c r="K484" s="1913"/>
      <c r="L484" s="1913"/>
      <c r="M484" s="708" t="s">
        <v>2322</v>
      </c>
      <c r="N484" s="223"/>
      <c r="O484" s="706">
        <f t="shared" si="79"/>
        <v>0</v>
      </c>
    </row>
    <row r="485" spans="1:15" s="360" customFormat="1" ht="15" hidden="1">
      <c r="A485" s="356" t="s">
        <v>529</v>
      </c>
      <c r="B485" s="707" t="s">
        <v>710</v>
      </c>
      <c r="C485" s="710"/>
      <c r="D485" s="354"/>
      <c r="E485" s="362"/>
      <c r="F485" s="353"/>
      <c r="G485" s="358">
        <f>SF!I674</f>
        <v>0</v>
      </c>
      <c r="H485" s="354" t="s">
        <v>102</v>
      </c>
      <c r="I485" s="355">
        <f>SF!K674</f>
        <v>660.95</v>
      </c>
      <c r="J485" s="353">
        <f t="shared" si="78"/>
        <v>0</v>
      </c>
      <c r="K485" s="1911">
        <f>IF((J485+J486+J487+J488)&gt;(F485+F486+F487+F488),(J485+J486+J487+J488)-(F485+F486+F487+F488),0)</f>
        <v>0</v>
      </c>
      <c r="L485" s="1911">
        <f>IF((J485+J486+J487+J488)&lt;(F485+F486+F487+F488),(F485+F486+F487+F488)-(J485+J486+J487+J488),0)</f>
        <v>0</v>
      </c>
      <c r="M485" s="708" t="s">
        <v>2226</v>
      </c>
      <c r="N485" s="223"/>
      <c r="O485" s="706">
        <f t="shared" si="79"/>
        <v>0</v>
      </c>
    </row>
    <row r="486" spans="1:15" s="360" customFormat="1" ht="15" hidden="1">
      <c r="A486" s="356" t="s">
        <v>529</v>
      </c>
      <c r="B486" s="707" t="s">
        <v>710</v>
      </c>
      <c r="C486" s="710"/>
      <c r="D486" s="354"/>
      <c r="E486" s="362"/>
      <c r="F486" s="353"/>
      <c r="G486" s="358">
        <f>SF!I681</f>
        <v>0</v>
      </c>
      <c r="H486" s="354" t="s">
        <v>102</v>
      </c>
      <c r="I486" s="355">
        <f>SF!K681</f>
        <v>709.65</v>
      </c>
      <c r="J486" s="353">
        <f>ROUND(G486*I486,0)</f>
        <v>0</v>
      </c>
      <c r="K486" s="1912"/>
      <c r="L486" s="1912"/>
      <c r="M486" s="708" t="s">
        <v>2308</v>
      </c>
      <c r="N486" s="223"/>
      <c r="O486" s="706">
        <f t="shared" si="79"/>
        <v>0</v>
      </c>
    </row>
    <row r="487" spans="1:15" s="360" customFormat="1" ht="15" hidden="1">
      <c r="A487" s="356" t="s">
        <v>529</v>
      </c>
      <c r="B487" s="707" t="s">
        <v>710</v>
      </c>
      <c r="C487" s="710"/>
      <c r="D487" s="354"/>
      <c r="E487" s="362"/>
      <c r="F487" s="353"/>
      <c r="G487" s="358">
        <f>SF!I688</f>
        <v>0</v>
      </c>
      <c r="H487" s="354" t="s">
        <v>102</v>
      </c>
      <c r="I487" s="355">
        <f>SF!K688</f>
        <v>718.32</v>
      </c>
      <c r="J487" s="353">
        <f>ROUND(G487*I487,0)</f>
        <v>0</v>
      </c>
      <c r="K487" s="1912"/>
      <c r="L487" s="1912"/>
      <c r="M487" s="708" t="s">
        <v>2321</v>
      </c>
      <c r="N487" s="223"/>
      <c r="O487" s="706">
        <f t="shared" si="79"/>
        <v>0</v>
      </c>
    </row>
    <row r="488" spans="1:15" s="360" customFormat="1" ht="15" hidden="1">
      <c r="A488" s="356" t="s">
        <v>529</v>
      </c>
      <c r="B488" s="707" t="s">
        <v>710</v>
      </c>
      <c r="C488" s="710"/>
      <c r="D488" s="354"/>
      <c r="E488" s="362"/>
      <c r="F488" s="353"/>
      <c r="G488" s="358">
        <f>SF!I695</f>
        <v>0</v>
      </c>
      <c r="H488" s="354" t="s">
        <v>102</v>
      </c>
      <c r="I488" s="355">
        <f>SF!K695</f>
        <v>816.76</v>
      </c>
      <c r="J488" s="353">
        <f>ROUND(G488*I488,0)</f>
        <v>0</v>
      </c>
      <c r="K488" s="1913"/>
      <c r="L488" s="1913"/>
      <c r="M488" s="708" t="s">
        <v>2322</v>
      </c>
      <c r="N488" s="223"/>
      <c r="O488" s="706">
        <f t="shared" si="79"/>
        <v>0</v>
      </c>
    </row>
    <row r="489" spans="1:15" s="360" customFormat="1" ht="15" hidden="1">
      <c r="A489" s="356" t="s">
        <v>530</v>
      </c>
      <c r="B489" s="707" t="s">
        <v>711</v>
      </c>
      <c r="C489" s="710"/>
      <c r="D489" s="354"/>
      <c r="E489" s="362"/>
      <c r="F489" s="353"/>
      <c r="G489" s="358">
        <f>SF!I702</f>
        <v>0</v>
      </c>
      <c r="H489" s="354" t="s">
        <v>102</v>
      </c>
      <c r="I489" s="355">
        <f>SF!K702</f>
        <v>681.6</v>
      </c>
      <c r="J489" s="353">
        <f t="shared" si="78"/>
        <v>0</v>
      </c>
      <c r="K489" s="1911">
        <f>IF((J489+J490+J491+J492)&gt;(F489+F490+F491+F492),(J489+J490+J491+J492)-(F489+F490+F491+F492),0)</f>
        <v>0</v>
      </c>
      <c r="L489" s="1911">
        <f>IF((J489+J490+J491+J492)&lt;(F489+F490+F491+F492),(F489+F490+F491+F492)-(J489+J490+J491+J492),0)</f>
        <v>0</v>
      </c>
      <c r="M489" s="708" t="s">
        <v>2226</v>
      </c>
      <c r="N489" s="223"/>
      <c r="O489" s="706">
        <f t="shared" si="79"/>
        <v>0</v>
      </c>
    </row>
    <row r="490" spans="1:15" s="360" customFormat="1" ht="15" hidden="1">
      <c r="A490" s="356" t="s">
        <v>530</v>
      </c>
      <c r="B490" s="707" t="s">
        <v>711</v>
      </c>
      <c r="C490" s="710"/>
      <c r="D490" s="354"/>
      <c r="E490" s="362"/>
      <c r="F490" s="353"/>
      <c r="G490" s="358">
        <f>SF!I709</f>
        <v>0</v>
      </c>
      <c r="H490" s="354" t="s">
        <v>102</v>
      </c>
      <c r="I490" s="355">
        <f>SF!K709</f>
        <v>715.12</v>
      </c>
      <c r="J490" s="353">
        <f>ROUND(G490*I490,0)</f>
        <v>0</v>
      </c>
      <c r="K490" s="1912"/>
      <c r="L490" s="1912"/>
      <c r="M490" s="708" t="s">
        <v>2308</v>
      </c>
      <c r="N490" s="223"/>
      <c r="O490" s="706">
        <f t="shared" si="79"/>
        <v>0</v>
      </c>
    </row>
    <row r="491" spans="1:15" s="360" customFormat="1" ht="15" hidden="1">
      <c r="A491" s="356" t="s">
        <v>530</v>
      </c>
      <c r="B491" s="707" t="s">
        <v>711</v>
      </c>
      <c r="C491" s="710"/>
      <c r="D491" s="354"/>
      <c r="E491" s="362"/>
      <c r="F491" s="353"/>
      <c r="G491" s="358">
        <f>SF!I716</f>
        <v>0</v>
      </c>
      <c r="H491" s="354" t="s">
        <v>102</v>
      </c>
      <c r="I491" s="355">
        <f>SF!K716</f>
        <v>740.12</v>
      </c>
      <c r="J491" s="353">
        <f>ROUND(G491*I491,0)</f>
        <v>0</v>
      </c>
      <c r="K491" s="1912"/>
      <c r="L491" s="1912"/>
      <c r="M491" s="708" t="s">
        <v>2321</v>
      </c>
      <c r="N491" s="223"/>
      <c r="O491" s="706">
        <f t="shared" si="79"/>
        <v>0</v>
      </c>
    </row>
    <row r="492" spans="1:15" s="360" customFormat="1" ht="15" hidden="1">
      <c r="A492" s="356" t="s">
        <v>530</v>
      </c>
      <c r="B492" s="707" t="s">
        <v>711</v>
      </c>
      <c r="C492" s="710"/>
      <c r="D492" s="354"/>
      <c r="E492" s="362"/>
      <c r="F492" s="353"/>
      <c r="G492" s="358">
        <f>SF!I723</f>
        <v>0</v>
      </c>
      <c r="H492" s="354" t="s">
        <v>102</v>
      </c>
      <c r="I492" s="355">
        <f>SF!K723</f>
        <v>822.23</v>
      </c>
      <c r="J492" s="353">
        <f>ROUND(G492*I492,0)</f>
        <v>0</v>
      </c>
      <c r="K492" s="1913"/>
      <c r="L492" s="1913"/>
      <c r="M492" s="708" t="s">
        <v>2322</v>
      </c>
      <c r="N492" s="223"/>
      <c r="O492" s="706">
        <f t="shared" si="79"/>
        <v>0</v>
      </c>
    </row>
    <row r="493" spans="1:15" s="360" customFormat="1" ht="15" hidden="1">
      <c r="A493" s="356" t="s">
        <v>531</v>
      </c>
      <c r="B493" s="707" t="s">
        <v>511</v>
      </c>
      <c r="C493" s="711"/>
      <c r="D493" s="354"/>
      <c r="E493" s="718"/>
      <c r="F493" s="353"/>
      <c r="G493" s="358">
        <f>SF!I730</f>
        <v>0</v>
      </c>
      <c r="H493" s="354" t="s">
        <v>102</v>
      </c>
      <c r="I493" s="355">
        <f>SF!K730</f>
        <v>784.71</v>
      </c>
      <c r="J493" s="353">
        <f t="shared" si="78"/>
        <v>0</v>
      </c>
      <c r="K493" s="1911">
        <f>IF((J493+J494+J495+J496)&gt;(F493+F494+F495+F496),(J493+J494+J495+J496)-(F493+F494+F495+F496),0)</f>
        <v>0</v>
      </c>
      <c r="L493" s="1911">
        <f>IF((J493+J494+J495+J496)&lt;(F493+F494+F495+F496),(F493+F494+F495+F496)-(J493+J494+J495+J496),0)</f>
        <v>0</v>
      </c>
      <c r="M493" s="708" t="s">
        <v>2226</v>
      </c>
      <c r="N493" s="223"/>
      <c r="O493" s="706">
        <f t="shared" si="79"/>
        <v>0</v>
      </c>
    </row>
    <row r="494" spans="1:15" s="360" customFormat="1" ht="15" hidden="1">
      <c r="A494" s="356" t="s">
        <v>531</v>
      </c>
      <c r="B494" s="707" t="s">
        <v>511</v>
      </c>
      <c r="C494" s="711"/>
      <c r="D494" s="354"/>
      <c r="E494" s="718"/>
      <c r="F494" s="353"/>
      <c r="G494" s="358">
        <f>SF!I737</f>
        <v>0</v>
      </c>
      <c r="H494" s="354" t="s">
        <v>102</v>
      </c>
      <c r="I494" s="355">
        <f>SF!K737</f>
        <v>818.23</v>
      </c>
      <c r="J494" s="353">
        <f>ROUND(G494*I494,0)</f>
        <v>0</v>
      </c>
      <c r="K494" s="1912"/>
      <c r="L494" s="1912"/>
      <c r="M494" s="708" t="s">
        <v>2308</v>
      </c>
      <c r="N494" s="223"/>
      <c r="O494" s="706">
        <f t="shared" si="79"/>
        <v>0</v>
      </c>
    </row>
    <row r="495" spans="1:15" s="360" customFormat="1" ht="15" hidden="1">
      <c r="A495" s="356" t="s">
        <v>531</v>
      </c>
      <c r="B495" s="707" t="s">
        <v>511</v>
      </c>
      <c r="C495" s="711"/>
      <c r="D495" s="354"/>
      <c r="E495" s="718"/>
      <c r="F495" s="353"/>
      <c r="G495" s="358">
        <f>SF!I744</f>
        <v>0</v>
      </c>
      <c r="H495" s="354" t="s">
        <v>102</v>
      </c>
      <c r="I495" s="355">
        <f>SF!K744</f>
        <v>843.23</v>
      </c>
      <c r="J495" s="353">
        <f>ROUND(G495*I495,0)</f>
        <v>0</v>
      </c>
      <c r="K495" s="1912"/>
      <c r="L495" s="1912"/>
      <c r="M495" s="708" t="s">
        <v>2321</v>
      </c>
      <c r="N495" s="223"/>
      <c r="O495" s="706">
        <f t="shared" si="79"/>
        <v>0</v>
      </c>
    </row>
    <row r="496" spans="1:15" s="360" customFormat="1" ht="15" hidden="1">
      <c r="A496" s="356" t="s">
        <v>531</v>
      </c>
      <c r="B496" s="707" t="s">
        <v>511</v>
      </c>
      <c r="C496" s="711"/>
      <c r="D496" s="354"/>
      <c r="E496" s="718"/>
      <c r="F496" s="353"/>
      <c r="G496" s="358">
        <f>SF!I751</f>
        <v>0</v>
      </c>
      <c r="H496" s="354" t="s">
        <v>102</v>
      </c>
      <c r="I496" s="355">
        <f>SF!K751</f>
        <v>873.89</v>
      </c>
      <c r="J496" s="353">
        <f>ROUND(G496*I496,0)</f>
        <v>0</v>
      </c>
      <c r="K496" s="1913"/>
      <c r="L496" s="1913"/>
      <c r="M496" s="708" t="s">
        <v>2322</v>
      </c>
      <c r="N496" s="223"/>
      <c r="O496" s="706">
        <f t="shared" si="79"/>
        <v>0</v>
      </c>
    </row>
    <row r="497" spans="1:15" s="360" customFormat="1" ht="15" hidden="1">
      <c r="A497" s="356" t="s">
        <v>532</v>
      </c>
      <c r="B497" s="707" t="s">
        <v>570</v>
      </c>
      <c r="C497" s="711"/>
      <c r="D497" s="354"/>
      <c r="E497" s="660"/>
      <c r="F497" s="353"/>
      <c r="G497" s="358">
        <f>SF!I757</f>
        <v>0</v>
      </c>
      <c r="H497" s="354" t="s">
        <v>102</v>
      </c>
      <c r="I497" s="355">
        <f>SF!K757</f>
        <v>502.03</v>
      </c>
      <c r="J497" s="353">
        <f t="shared" si="78"/>
        <v>0</v>
      </c>
      <c r="K497" s="1911">
        <f>IF((J497+J498+J499+J500)&gt;(F497+F498+F499+F500),(J497+J498+J499+J500)-(F497+F498+F499+F500),0)</f>
        <v>0</v>
      </c>
      <c r="L497" s="1911">
        <f>IF((J497+J498+J499+J500)&lt;(F497+F498+F499+F500),(F497+F498+F499+F500)-(J497+J498+J499+J500),0)</f>
        <v>0</v>
      </c>
      <c r="M497" s="708" t="s">
        <v>2226</v>
      </c>
      <c r="N497" s="223"/>
      <c r="O497" s="706">
        <f t="shared" si="79"/>
        <v>0</v>
      </c>
    </row>
    <row r="498" spans="1:15" s="360" customFormat="1" ht="15" hidden="1">
      <c r="A498" s="356" t="s">
        <v>532</v>
      </c>
      <c r="B498" s="707" t="s">
        <v>570</v>
      </c>
      <c r="C498" s="711"/>
      <c r="D498" s="354"/>
      <c r="E498" s="660"/>
      <c r="F498" s="353"/>
      <c r="G498" s="358">
        <f>SF!I763</f>
        <v>0</v>
      </c>
      <c r="H498" s="354" t="s">
        <v>102</v>
      </c>
      <c r="I498" s="355">
        <f>SF!K763</f>
        <v>512.04</v>
      </c>
      <c r="J498" s="353">
        <f>ROUND(G498*I498,0)</f>
        <v>0</v>
      </c>
      <c r="K498" s="1912"/>
      <c r="L498" s="1912"/>
      <c r="M498" s="708" t="s">
        <v>2308</v>
      </c>
      <c r="N498" s="223"/>
      <c r="O498" s="706">
        <f t="shared" si="79"/>
        <v>0</v>
      </c>
    </row>
    <row r="499" spans="1:15" s="360" customFormat="1" ht="15" hidden="1">
      <c r="A499" s="356" t="s">
        <v>532</v>
      </c>
      <c r="B499" s="707" t="s">
        <v>570</v>
      </c>
      <c r="C499" s="711"/>
      <c r="D499" s="354"/>
      <c r="E499" s="660"/>
      <c r="F499" s="353"/>
      <c r="G499" s="358">
        <f>SF!I769</f>
        <v>0</v>
      </c>
      <c r="H499" s="354" t="s">
        <v>102</v>
      </c>
      <c r="I499" s="355">
        <f>SF!K769</f>
        <v>520.52</v>
      </c>
      <c r="J499" s="353">
        <f>ROUND(G499*I499,0)</f>
        <v>0</v>
      </c>
      <c r="K499" s="1912"/>
      <c r="L499" s="1912"/>
      <c r="M499" s="708" t="s">
        <v>2321</v>
      </c>
      <c r="N499" s="223"/>
      <c r="O499" s="706">
        <f t="shared" si="79"/>
        <v>0</v>
      </c>
    </row>
    <row r="500" spans="1:15" s="360" customFormat="1" ht="15" hidden="1">
      <c r="A500" s="356" t="s">
        <v>532</v>
      </c>
      <c r="B500" s="707" t="s">
        <v>570</v>
      </c>
      <c r="C500" s="711"/>
      <c r="D500" s="354"/>
      <c r="E500" s="660"/>
      <c r="F500" s="353"/>
      <c r="G500" s="358">
        <f>SF!I775</f>
        <v>0</v>
      </c>
      <c r="H500" s="354" t="s">
        <v>102</v>
      </c>
      <c r="I500" s="355">
        <f>SF!K775</f>
        <v>536.26</v>
      </c>
      <c r="J500" s="353">
        <f>ROUND(G500*I500,0)</f>
        <v>0</v>
      </c>
      <c r="K500" s="1913"/>
      <c r="L500" s="1913"/>
      <c r="M500" s="708" t="s">
        <v>2322</v>
      </c>
      <c r="N500" s="223"/>
      <c r="O500" s="706">
        <f t="shared" si="79"/>
        <v>0</v>
      </c>
    </row>
    <row r="501" spans="1:15" s="360" customFormat="1" ht="15" hidden="1">
      <c r="A501" s="356" t="s">
        <v>492</v>
      </c>
      <c r="B501" s="707" t="s">
        <v>1223</v>
      </c>
      <c r="C501" s="710"/>
      <c r="D501" s="354"/>
      <c r="E501" s="362"/>
      <c r="F501" s="353"/>
      <c r="G501" s="358">
        <f>SF!I781</f>
        <v>0</v>
      </c>
      <c r="H501" s="354" t="s">
        <v>102</v>
      </c>
      <c r="I501" s="355">
        <f>SF!K781</f>
        <v>977.96</v>
      </c>
      <c r="J501" s="353">
        <f t="shared" si="78"/>
        <v>0</v>
      </c>
      <c r="K501" s="1911">
        <f>IF((J501+J502+J503+J504)&gt;(F501+F502+F503+F504),(J501+J502+J503+J504)-(F501+F502+F503+F504),0)</f>
        <v>0</v>
      </c>
      <c r="L501" s="1911">
        <f>IF((J501+J502+J503+J504)&lt;(F501+F502+F503+F504),(F501+F502+F503+F504)-(J501+J502+J503+J504),0)</f>
        <v>0</v>
      </c>
      <c r="M501" s="708" t="s">
        <v>2226</v>
      </c>
      <c r="N501" s="223"/>
      <c r="O501" s="706">
        <f t="shared" si="79"/>
        <v>0</v>
      </c>
    </row>
    <row r="502" spans="1:15" s="360" customFormat="1" ht="15" hidden="1">
      <c r="A502" s="356" t="s">
        <v>492</v>
      </c>
      <c r="B502" s="707" t="s">
        <v>1223</v>
      </c>
      <c r="C502" s="710"/>
      <c r="D502" s="354"/>
      <c r="E502" s="362"/>
      <c r="F502" s="353"/>
      <c r="G502" s="358">
        <f>SF!I787</f>
        <v>0</v>
      </c>
      <c r="H502" s="354" t="s">
        <v>102</v>
      </c>
      <c r="I502" s="355">
        <f>SF!K787</f>
        <v>1023.19</v>
      </c>
      <c r="J502" s="353">
        <f>ROUND(G502*I502,0)</f>
        <v>0</v>
      </c>
      <c r="K502" s="1912"/>
      <c r="L502" s="1912"/>
      <c r="M502" s="708" t="s">
        <v>2308</v>
      </c>
      <c r="N502" s="223"/>
      <c r="O502" s="706">
        <f t="shared" si="79"/>
        <v>0</v>
      </c>
    </row>
    <row r="503" spans="1:15" s="360" customFormat="1" ht="15" hidden="1">
      <c r="A503" s="356" t="s">
        <v>492</v>
      </c>
      <c r="B503" s="707" t="s">
        <v>1223</v>
      </c>
      <c r="C503" s="710"/>
      <c r="D503" s="354"/>
      <c r="E503" s="362"/>
      <c r="F503" s="353"/>
      <c r="G503" s="358">
        <f>SF!I793</f>
        <v>0</v>
      </c>
      <c r="H503" s="354" t="s">
        <v>102</v>
      </c>
      <c r="I503" s="355">
        <f>SF!K793</f>
        <v>1058.68</v>
      </c>
      <c r="J503" s="353">
        <f>ROUND(G503*I503,0)</f>
        <v>0</v>
      </c>
      <c r="K503" s="1912"/>
      <c r="L503" s="1912"/>
      <c r="M503" s="708" t="s">
        <v>2321</v>
      </c>
      <c r="N503" s="223"/>
      <c r="O503" s="706">
        <f t="shared" si="79"/>
        <v>0</v>
      </c>
    </row>
    <row r="504" spans="1:15" s="360" customFormat="1" ht="15" hidden="1">
      <c r="A504" s="356" t="s">
        <v>492</v>
      </c>
      <c r="B504" s="707" t="s">
        <v>1223</v>
      </c>
      <c r="C504" s="710"/>
      <c r="D504" s="354"/>
      <c r="E504" s="362"/>
      <c r="F504" s="353"/>
      <c r="G504" s="358">
        <f>SF!I799</f>
        <v>0</v>
      </c>
      <c r="H504" s="354" t="s">
        <v>102</v>
      </c>
      <c r="I504" s="355">
        <f>SF!K799</f>
        <v>1100.49</v>
      </c>
      <c r="J504" s="353">
        <f>ROUND(G504*I504,0)</f>
        <v>0</v>
      </c>
      <c r="K504" s="1913"/>
      <c r="L504" s="1913"/>
      <c r="M504" s="708" t="s">
        <v>2322</v>
      </c>
      <c r="N504" s="223"/>
      <c r="O504" s="706">
        <f t="shared" si="79"/>
        <v>0</v>
      </c>
    </row>
    <row r="505" spans="1:15" s="360" customFormat="1" ht="15" hidden="1">
      <c r="A505" s="356" t="s">
        <v>533</v>
      </c>
      <c r="B505" s="707" t="s">
        <v>707</v>
      </c>
      <c r="C505" s="711"/>
      <c r="D505" s="354"/>
      <c r="E505" s="660"/>
      <c r="F505" s="353"/>
      <c r="G505" s="358">
        <f>SF!I807</f>
        <v>0</v>
      </c>
      <c r="H505" s="354" t="s">
        <v>102</v>
      </c>
      <c r="I505" s="355">
        <f>SF!K807</f>
        <v>21.43</v>
      </c>
      <c r="J505" s="353">
        <f t="shared" si="78"/>
        <v>0</v>
      </c>
      <c r="K505" s="1911">
        <f>IF((J505+J506+J507+J508)&gt;(F505+F506+F507+F508),(J505+J506+J507+J508)-(F505+F506+F507+F508),0)</f>
        <v>0</v>
      </c>
      <c r="L505" s="1911">
        <f>IF((J505+J506+J507+J508)&lt;(F505+F506+F507+F508),(F505+F506+F507+F508)-(J505+J506+J507+J508),0)</f>
        <v>0</v>
      </c>
      <c r="M505" s="708" t="s">
        <v>2226</v>
      </c>
      <c r="N505" s="223"/>
      <c r="O505" s="706">
        <f t="shared" si="79"/>
        <v>0</v>
      </c>
    </row>
    <row r="506" spans="1:15" s="360" customFormat="1" ht="15" hidden="1">
      <c r="A506" s="356" t="s">
        <v>533</v>
      </c>
      <c r="B506" s="707" t="s">
        <v>707</v>
      </c>
      <c r="C506" s="711"/>
      <c r="D506" s="354"/>
      <c r="E506" s="660"/>
      <c r="F506" s="353"/>
      <c r="G506" s="358">
        <f>SF!I815</f>
        <v>0</v>
      </c>
      <c r="H506" s="354" t="s">
        <v>102</v>
      </c>
      <c r="I506" s="355">
        <f>SF!K815</f>
        <v>22.88</v>
      </c>
      <c r="J506" s="353">
        <f t="shared" ref="J506" si="80">ROUND(G506*I506,0)</f>
        <v>0</v>
      </c>
      <c r="K506" s="1912"/>
      <c r="L506" s="1912"/>
      <c r="M506" s="708" t="s">
        <v>2308</v>
      </c>
      <c r="N506" s="223"/>
      <c r="O506" s="706">
        <f t="shared" si="79"/>
        <v>0</v>
      </c>
    </row>
    <row r="507" spans="1:15" s="360" customFormat="1" ht="15" hidden="1">
      <c r="A507" s="356" t="s">
        <v>533</v>
      </c>
      <c r="B507" s="707" t="s">
        <v>707</v>
      </c>
      <c r="C507" s="711"/>
      <c r="D507" s="354"/>
      <c r="E507" s="660"/>
      <c r="F507" s="353"/>
      <c r="G507" s="358">
        <f>SF!I823</f>
        <v>0</v>
      </c>
      <c r="H507" s="354" t="s">
        <v>102</v>
      </c>
      <c r="I507" s="355">
        <f>SF!K823</f>
        <v>25.95</v>
      </c>
      <c r="J507" s="353">
        <f>ROUND(G507*I507,0)</f>
        <v>0</v>
      </c>
      <c r="K507" s="1912"/>
      <c r="L507" s="1912"/>
      <c r="M507" s="708" t="s">
        <v>2321</v>
      </c>
      <c r="N507" s="223"/>
      <c r="O507" s="706">
        <f t="shared" si="79"/>
        <v>0</v>
      </c>
    </row>
    <row r="508" spans="1:15" s="360" customFormat="1" ht="15" hidden="1">
      <c r="A508" s="356" t="s">
        <v>533</v>
      </c>
      <c r="B508" s="707" t="s">
        <v>707</v>
      </c>
      <c r="C508" s="711"/>
      <c r="D508" s="354"/>
      <c r="E508" s="660"/>
      <c r="F508" s="353"/>
      <c r="G508" s="358">
        <f>SF!I831</f>
        <v>0</v>
      </c>
      <c r="H508" s="354" t="s">
        <v>102</v>
      </c>
      <c r="I508" s="355">
        <f>SF!K831</f>
        <v>27.91</v>
      </c>
      <c r="J508" s="353">
        <f>ROUND(G508*I508,0)</f>
        <v>0</v>
      </c>
      <c r="K508" s="1913"/>
      <c r="L508" s="1913"/>
      <c r="M508" s="708" t="s">
        <v>2322</v>
      </c>
      <c r="N508" s="223"/>
      <c r="O508" s="706">
        <f t="shared" si="79"/>
        <v>0</v>
      </c>
    </row>
    <row r="509" spans="1:15" s="360" customFormat="1" ht="15" hidden="1">
      <c r="A509" s="356" t="s">
        <v>529</v>
      </c>
      <c r="B509" s="707" t="s">
        <v>888</v>
      </c>
      <c r="C509" s="710"/>
      <c r="D509" s="354"/>
      <c r="E509" s="362"/>
      <c r="F509" s="353"/>
      <c r="G509" s="358">
        <f>SF!I839</f>
        <v>0</v>
      </c>
      <c r="H509" s="354" t="s">
        <v>102</v>
      </c>
      <c r="I509" s="355">
        <f>SF!K839</f>
        <v>164.74</v>
      </c>
      <c r="J509" s="353">
        <f t="shared" si="78"/>
        <v>0</v>
      </c>
      <c r="K509" s="1911">
        <f>IF((J509+J510+J511+J512)&gt;(F509+F510+F511+F512),(J509+J510+J511+J512)-(F509+F510+F511+F512),0)</f>
        <v>0</v>
      </c>
      <c r="L509" s="1911">
        <f>IF((J509+J510+J511+J512)&lt;(F509+F510+F511+F512),(F509+F510+F511+F512)-(J509+J510+J511+J512),0)</f>
        <v>0</v>
      </c>
      <c r="M509" s="708" t="s">
        <v>2226</v>
      </c>
      <c r="N509" s="223"/>
      <c r="O509" s="706">
        <f t="shared" si="79"/>
        <v>0</v>
      </c>
    </row>
    <row r="510" spans="1:15" s="360" customFormat="1" ht="15" hidden="1">
      <c r="A510" s="356" t="s">
        <v>1143</v>
      </c>
      <c r="B510" s="707" t="s">
        <v>888</v>
      </c>
      <c r="C510" s="710"/>
      <c r="D510" s="354"/>
      <c r="E510" s="362"/>
      <c r="F510" s="353"/>
      <c r="G510" s="358">
        <f>SF!I847</f>
        <v>0</v>
      </c>
      <c r="H510" s="354" t="s">
        <v>102</v>
      </c>
      <c r="I510" s="355">
        <f>SF!K847</f>
        <v>173.39</v>
      </c>
      <c r="J510" s="353">
        <f>ROUND(G510*I510,0)</f>
        <v>0</v>
      </c>
      <c r="K510" s="1912"/>
      <c r="L510" s="1912"/>
      <c r="M510" s="708" t="s">
        <v>2308</v>
      </c>
      <c r="N510" s="223"/>
      <c r="O510" s="706">
        <f t="shared" si="79"/>
        <v>0</v>
      </c>
    </row>
    <row r="511" spans="1:15" s="360" customFormat="1" ht="15" hidden="1">
      <c r="A511" s="356" t="s">
        <v>1143</v>
      </c>
      <c r="B511" s="707" t="s">
        <v>888</v>
      </c>
      <c r="C511" s="710"/>
      <c r="D511" s="354"/>
      <c r="E511" s="362"/>
      <c r="F511" s="353"/>
      <c r="G511" s="358">
        <f>SF!I855</f>
        <v>0</v>
      </c>
      <c r="H511" s="354" t="s">
        <v>102</v>
      </c>
      <c r="I511" s="355">
        <f>SF!K855</f>
        <v>179.94</v>
      </c>
      <c r="J511" s="353">
        <f>ROUND(G511*I511,0)</f>
        <v>0</v>
      </c>
      <c r="K511" s="1912"/>
      <c r="L511" s="1912"/>
      <c r="M511" s="708" t="s">
        <v>2321</v>
      </c>
      <c r="N511" s="223"/>
      <c r="O511" s="706">
        <f t="shared" si="79"/>
        <v>0</v>
      </c>
    </row>
    <row r="512" spans="1:15" s="360" customFormat="1" ht="51" hidden="1">
      <c r="A512" s="356" t="s">
        <v>532</v>
      </c>
      <c r="B512" s="707" t="s">
        <v>3287</v>
      </c>
      <c r="C512" s="710"/>
      <c r="D512" s="354"/>
      <c r="E512" s="362"/>
      <c r="F512" s="353"/>
      <c r="G512" s="358">
        <f>SF!I863</f>
        <v>0</v>
      </c>
      <c r="H512" s="354" t="s">
        <v>102</v>
      </c>
      <c r="I512" s="355">
        <f>SF!K863</f>
        <v>194.34</v>
      </c>
      <c r="J512" s="353">
        <f>ROUND(G512*I512,0)</f>
        <v>0</v>
      </c>
      <c r="K512" s="1913"/>
      <c r="L512" s="1913"/>
      <c r="M512" s="1139" t="s">
        <v>2322</v>
      </c>
      <c r="N512" s="223"/>
      <c r="O512" s="1138">
        <f t="shared" si="79"/>
        <v>0</v>
      </c>
    </row>
    <row r="513" spans="1:15" s="360" customFormat="1" ht="15" hidden="1">
      <c r="A513" s="356" t="s">
        <v>645</v>
      </c>
      <c r="B513" s="707" t="s">
        <v>571</v>
      </c>
      <c r="C513" s="710"/>
      <c r="D513" s="354"/>
      <c r="E513" s="362"/>
      <c r="F513" s="353"/>
      <c r="G513" s="358">
        <f>SF!I871</f>
        <v>0</v>
      </c>
      <c r="H513" s="354" t="s">
        <v>102</v>
      </c>
      <c r="I513" s="355">
        <f>SF!K871</f>
        <v>140.87</v>
      </c>
      <c r="J513" s="353">
        <f t="shared" si="78"/>
        <v>0</v>
      </c>
      <c r="K513" s="1911">
        <f>IF((J513+J514+J515+J516)&gt;(F513+F514+F515+F516),(J513+J514+J515+J516)-(F513+F514+F515+F516),0)</f>
        <v>0</v>
      </c>
      <c r="L513" s="1911">
        <f>IF((J513+J514+J515+J516)&lt;(F513+F514+F515+F516),(F513+F514+F515+F516)-(J513+J514+J515+J516),0)</f>
        <v>0</v>
      </c>
      <c r="M513" s="708" t="s">
        <v>2226</v>
      </c>
      <c r="N513" s="223"/>
      <c r="O513" s="706">
        <f t="shared" si="79"/>
        <v>0</v>
      </c>
    </row>
    <row r="514" spans="1:15" s="360" customFormat="1" ht="15" hidden="1">
      <c r="A514" s="356" t="s">
        <v>1580</v>
      </c>
      <c r="B514" s="707" t="s">
        <v>571</v>
      </c>
      <c r="C514" s="710"/>
      <c r="D514" s="354"/>
      <c r="E514" s="362"/>
      <c r="F514" s="353"/>
      <c r="G514" s="358">
        <f>SF!I883</f>
        <v>0</v>
      </c>
      <c r="H514" s="354" t="s">
        <v>102</v>
      </c>
      <c r="I514" s="355">
        <f>SF!K883</f>
        <v>149.66</v>
      </c>
      <c r="J514" s="353">
        <f>ROUND(G514*I514,0)</f>
        <v>0</v>
      </c>
      <c r="K514" s="1912"/>
      <c r="L514" s="1912"/>
      <c r="M514" s="708" t="s">
        <v>2308</v>
      </c>
      <c r="N514" s="223"/>
      <c r="O514" s="706">
        <f t="shared" si="79"/>
        <v>0</v>
      </c>
    </row>
    <row r="515" spans="1:15" s="360" customFormat="1" ht="15" hidden="1">
      <c r="A515" s="356" t="s">
        <v>645</v>
      </c>
      <c r="B515" s="707" t="s">
        <v>571</v>
      </c>
      <c r="C515" s="710"/>
      <c r="D515" s="354"/>
      <c r="E515" s="362"/>
      <c r="F515" s="353"/>
      <c r="G515" s="358">
        <f>SF!I891</f>
        <v>0</v>
      </c>
      <c r="H515" s="354" t="s">
        <v>102</v>
      </c>
      <c r="I515" s="355">
        <f>SF!K891</f>
        <v>156.4</v>
      </c>
      <c r="J515" s="353">
        <f>ROUND(G515*I515,0)</f>
        <v>0</v>
      </c>
      <c r="K515" s="1912"/>
      <c r="L515" s="1912"/>
      <c r="M515" s="708" t="s">
        <v>2321</v>
      </c>
      <c r="N515" s="223"/>
      <c r="O515" s="706">
        <f t="shared" si="79"/>
        <v>0</v>
      </c>
    </row>
    <row r="516" spans="1:15" s="360" customFormat="1" ht="51" hidden="1">
      <c r="A516" s="356" t="s">
        <v>1583</v>
      </c>
      <c r="B516" s="707" t="s">
        <v>3288</v>
      </c>
      <c r="C516" s="710"/>
      <c r="D516" s="354"/>
      <c r="E516" s="362"/>
      <c r="F516" s="353"/>
      <c r="G516" s="358">
        <f>SF!I899</f>
        <v>0</v>
      </c>
      <c r="H516" s="354" t="s">
        <v>102</v>
      </c>
      <c r="I516" s="355">
        <f>SF!K899</f>
        <v>169.89</v>
      </c>
      <c r="J516" s="353">
        <f>ROUND(G516*I516,0)</f>
        <v>0</v>
      </c>
      <c r="K516" s="1913"/>
      <c r="L516" s="1913"/>
      <c r="M516" s="1139" t="s">
        <v>2322</v>
      </c>
      <c r="N516" s="223"/>
      <c r="O516" s="1138">
        <f t="shared" si="79"/>
        <v>0</v>
      </c>
    </row>
    <row r="517" spans="1:15" s="360" customFormat="1" ht="15" hidden="1">
      <c r="A517" s="356" t="s">
        <v>1587</v>
      </c>
      <c r="B517" s="707" t="s">
        <v>1227</v>
      </c>
      <c r="C517" s="711"/>
      <c r="D517" s="354"/>
      <c r="E517" s="660"/>
      <c r="F517" s="353"/>
      <c r="G517" s="358">
        <f>SF!I906</f>
        <v>0</v>
      </c>
      <c r="H517" s="354" t="s">
        <v>102</v>
      </c>
      <c r="I517" s="355">
        <f>SF!K906</f>
        <v>192.71</v>
      </c>
      <c r="J517" s="353">
        <f t="shared" si="78"/>
        <v>0</v>
      </c>
      <c r="K517" s="1911">
        <f>IF((J517+J518+J519+J520)&gt;(F517+F518+F519+F520),(J517+J518+J519+J520)-(F517+F518+F519+F520),0)</f>
        <v>0</v>
      </c>
      <c r="L517" s="1911">
        <f>IF((J517+J518+J519+J520)&lt;(F517+F518+F519+F520),(F517+F518+F519+F520)-(J517+J518+J519+J520),0)</f>
        <v>0</v>
      </c>
      <c r="M517" s="708" t="s">
        <v>2226</v>
      </c>
      <c r="N517" s="223"/>
      <c r="O517" s="706">
        <f t="shared" si="79"/>
        <v>0</v>
      </c>
    </row>
    <row r="518" spans="1:15" s="360" customFormat="1" ht="15" hidden="1">
      <c r="A518" s="356" t="s">
        <v>1145</v>
      </c>
      <c r="B518" s="707" t="s">
        <v>1227</v>
      </c>
      <c r="C518" s="711"/>
      <c r="D518" s="354"/>
      <c r="E518" s="660"/>
      <c r="F518" s="353"/>
      <c r="G518" s="358">
        <f>SF!I914</f>
        <v>0</v>
      </c>
      <c r="H518" s="354" t="s">
        <v>102</v>
      </c>
      <c r="I518" s="355">
        <f>SF!K914</f>
        <v>206.39</v>
      </c>
      <c r="J518" s="353">
        <f>ROUND(G518*I518,0)</f>
        <v>0</v>
      </c>
      <c r="K518" s="1912"/>
      <c r="L518" s="1912"/>
      <c r="M518" s="708" t="s">
        <v>2308</v>
      </c>
      <c r="N518" s="223"/>
      <c r="O518" s="706">
        <f t="shared" si="79"/>
        <v>0</v>
      </c>
    </row>
    <row r="519" spans="1:15" s="360" customFormat="1" ht="15" hidden="1">
      <c r="A519" s="356" t="s">
        <v>1587</v>
      </c>
      <c r="B519" s="707" t="s">
        <v>1227</v>
      </c>
      <c r="C519" s="711"/>
      <c r="D519" s="354"/>
      <c r="E519" s="660"/>
      <c r="F519" s="353"/>
      <c r="G519" s="358">
        <f>SF!I921</f>
        <v>0</v>
      </c>
      <c r="H519" s="354" t="s">
        <v>102</v>
      </c>
      <c r="I519" s="355">
        <f>SF!K921</f>
        <v>216.76</v>
      </c>
      <c r="J519" s="353">
        <f>ROUND(G519*I519,0)</f>
        <v>0</v>
      </c>
      <c r="K519" s="1912"/>
      <c r="L519" s="1912"/>
      <c r="M519" s="708" t="s">
        <v>2321</v>
      </c>
      <c r="N519" s="223"/>
      <c r="O519" s="706">
        <f t="shared" si="79"/>
        <v>0</v>
      </c>
    </row>
    <row r="520" spans="1:15" s="360" customFormat="1" ht="51" hidden="1">
      <c r="A520" s="356" t="s">
        <v>533</v>
      </c>
      <c r="B520" s="707" t="s">
        <v>3289</v>
      </c>
      <c r="C520" s="711"/>
      <c r="D520" s="354"/>
      <c r="E520" s="660"/>
      <c r="F520" s="353"/>
      <c r="G520" s="358">
        <f>SF!I937</f>
        <v>0</v>
      </c>
      <c r="H520" s="354" t="s">
        <v>102</v>
      </c>
      <c r="I520" s="355">
        <f>SF!K937</f>
        <v>233.59</v>
      </c>
      <c r="J520" s="353">
        <f>ROUND(G520*I520,0)</f>
        <v>0</v>
      </c>
      <c r="K520" s="1913"/>
      <c r="L520" s="1913"/>
      <c r="M520" s="1139" t="s">
        <v>2322</v>
      </c>
      <c r="N520" s="223"/>
      <c r="O520" s="1138">
        <f t="shared" si="79"/>
        <v>0</v>
      </c>
    </row>
    <row r="521" spans="1:15" s="360" customFormat="1" ht="38.25" hidden="1">
      <c r="A521" s="356" t="s">
        <v>534</v>
      </c>
      <c r="B521" s="707" t="s">
        <v>3292</v>
      </c>
      <c r="C521" s="719"/>
      <c r="D521" s="221"/>
      <c r="E521" s="660"/>
      <c r="F521" s="353"/>
      <c r="G521" s="429">
        <f>SF!I943</f>
        <v>0</v>
      </c>
      <c r="H521" s="221" t="s">
        <v>29</v>
      </c>
      <c r="I521" s="430">
        <f>SF!K943</f>
        <v>64288.5</v>
      </c>
      <c r="J521" s="353">
        <f t="shared" ref="J521" si="81">ROUND(G521*I521,0)</f>
        <v>0</v>
      </c>
      <c r="K521" s="1911">
        <f>IF((J521+J522+J523+J524)&gt;(F521+F522+F523+F524),(J521+J522+J523+J524)-(F521+F522+F523+F524),0)</f>
        <v>0</v>
      </c>
      <c r="L521" s="1911">
        <f>IF((J521+J522+J523+J524)&lt;(F521+F522+F523+F524),(F521+F522+F523+F524)-(J521+J522+J523+J524),0)</f>
        <v>0</v>
      </c>
      <c r="M521" s="1139" t="s">
        <v>2226</v>
      </c>
      <c r="N521" s="223"/>
      <c r="O521" s="1138">
        <f t="shared" si="79"/>
        <v>0</v>
      </c>
    </row>
    <row r="522" spans="1:15" s="360" customFormat="1" ht="15" hidden="1">
      <c r="A522" s="356" t="s">
        <v>1594</v>
      </c>
      <c r="B522" s="707" t="s">
        <v>477</v>
      </c>
      <c r="C522" s="719"/>
      <c r="D522" s="221"/>
      <c r="E522" s="660"/>
      <c r="F522" s="353"/>
      <c r="G522" s="429">
        <f>SF!I948</f>
        <v>0</v>
      </c>
      <c r="H522" s="221" t="s">
        <v>29</v>
      </c>
      <c r="I522" s="430">
        <f>SF!K948</f>
        <v>64635</v>
      </c>
      <c r="J522" s="353">
        <f>ROUND(G522*I522,0)</f>
        <v>0</v>
      </c>
      <c r="K522" s="1912"/>
      <c r="L522" s="1912"/>
      <c r="M522" s="708" t="s">
        <v>2308</v>
      </c>
      <c r="N522" s="223"/>
      <c r="O522" s="706">
        <f t="shared" si="79"/>
        <v>0</v>
      </c>
    </row>
    <row r="523" spans="1:15" s="360" customFormat="1" ht="15" hidden="1">
      <c r="A523" s="356" t="s">
        <v>1578</v>
      </c>
      <c r="B523" s="707" t="s">
        <v>477</v>
      </c>
      <c r="C523" s="719"/>
      <c r="D523" s="221"/>
      <c r="E523" s="660"/>
      <c r="F523" s="353"/>
      <c r="G523" s="429">
        <f>SF!I954</f>
        <v>0</v>
      </c>
      <c r="H523" s="221" t="s">
        <v>29</v>
      </c>
      <c r="I523" s="430">
        <f>SF!K954</f>
        <v>82189.5</v>
      </c>
      <c r="J523" s="353">
        <f>ROUND(G523*I523,0)</f>
        <v>0</v>
      </c>
      <c r="K523" s="1912"/>
      <c r="L523" s="1912"/>
      <c r="M523" s="708" t="s">
        <v>2321</v>
      </c>
      <c r="N523" s="223"/>
      <c r="O523" s="706">
        <f t="shared" si="79"/>
        <v>0</v>
      </c>
    </row>
    <row r="524" spans="1:15" s="360" customFormat="1" ht="15" hidden="1">
      <c r="A524" s="356" t="s">
        <v>1578</v>
      </c>
      <c r="B524" s="707" t="s">
        <v>477</v>
      </c>
      <c r="C524" s="719"/>
      <c r="D524" s="221"/>
      <c r="E524" s="660"/>
      <c r="F524" s="353"/>
      <c r="G524" s="429">
        <f>SF!I960</f>
        <v>0</v>
      </c>
      <c r="H524" s="221" t="s">
        <v>29</v>
      </c>
      <c r="I524" s="430">
        <f>SF!K960</f>
        <v>95016</v>
      </c>
      <c r="J524" s="353">
        <f>ROUND(G524*I524,0)</f>
        <v>0</v>
      </c>
      <c r="K524" s="1913"/>
      <c r="L524" s="1913"/>
      <c r="M524" s="708" t="s">
        <v>2322</v>
      </c>
      <c r="N524" s="223"/>
      <c r="O524" s="706">
        <f t="shared" ref="O524:O588" si="82">F524-J524</f>
        <v>0</v>
      </c>
    </row>
    <row r="525" spans="1:15" ht="15">
      <c r="A525" s="1472"/>
      <c r="B525" s="1473" t="s">
        <v>890</v>
      </c>
      <c r="C525" s="1474"/>
      <c r="D525" s="1475"/>
      <c r="E525" s="1476"/>
      <c r="F525" s="1477"/>
      <c r="G525" s="1478"/>
      <c r="H525" s="1479"/>
      <c r="I525" s="1480"/>
      <c r="J525" s="1481"/>
      <c r="K525" s="1482"/>
      <c r="L525" s="1482"/>
      <c r="M525" s="1445" t="s">
        <v>2226</v>
      </c>
      <c r="N525" s="1446"/>
      <c r="O525" s="1447">
        <v>1</v>
      </c>
    </row>
    <row r="526" spans="1:15" s="1448" customFormat="1" ht="51">
      <c r="A526" s="1436" t="s">
        <v>494</v>
      </c>
      <c r="B526" s="1437" t="s">
        <v>3298</v>
      </c>
      <c r="C526" s="1474"/>
      <c r="D526" s="1503"/>
      <c r="E526" s="1235"/>
      <c r="F526" s="1440">
        <f t="shared" ref="F526" si="83">ROUND(C526*E526,0)</f>
        <v>0</v>
      </c>
      <c r="G526" s="1453">
        <f>WORK!I2010</f>
        <v>1</v>
      </c>
      <c r="H526" s="1439" t="s">
        <v>115</v>
      </c>
      <c r="I526" s="1454">
        <f>WORK!K2010</f>
        <v>20396.340000000004</v>
      </c>
      <c r="J526" s="1450">
        <f t="shared" ref="J526:J542" si="84">ROUND(G526*I526,0)</f>
        <v>20396</v>
      </c>
      <c r="K526" s="1911">
        <f>IF((J526+J527+J528+J529)&gt;(F526+F527+F528+F529),(J526+J527+J528+J529)-(F526+F527+F528+F529),0)</f>
        <v>20396</v>
      </c>
      <c r="L526" s="1911">
        <f>IF((J526+J527+J528+J529)&lt;(F526+F527+F528+F529),(F526+F527+F528+F529)-(J526+J527+J528+J529),0)</f>
        <v>0</v>
      </c>
      <c r="M526" s="1445" t="s">
        <v>2226</v>
      </c>
      <c r="N526" s="1446"/>
      <c r="O526" s="1447">
        <f t="shared" si="82"/>
        <v>-20396</v>
      </c>
    </row>
    <row r="527" spans="1:15" s="1448" customFormat="1" ht="15" hidden="1">
      <c r="A527" s="1436" t="s">
        <v>510</v>
      </c>
      <c r="B527" s="1437" t="s">
        <v>1229</v>
      </c>
      <c r="C527" s="1455"/>
      <c r="D527" s="1439"/>
      <c r="E527" s="1221"/>
      <c r="F527" s="1450"/>
      <c r="G527" s="1453">
        <f>WORK!I2144</f>
        <v>0</v>
      </c>
      <c r="H527" s="1439" t="s">
        <v>115</v>
      </c>
      <c r="I527" s="1454">
        <f>WORK!K2144</f>
        <v>20396.340000000004</v>
      </c>
      <c r="J527" s="1450">
        <f>ROUND(G527*I527,0)</f>
        <v>0</v>
      </c>
      <c r="K527" s="1912"/>
      <c r="L527" s="1912"/>
      <c r="M527" s="1451" t="s">
        <v>2308</v>
      </c>
      <c r="N527" s="1446"/>
      <c r="O527" s="1452">
        <f t="shared" si="82"/>
        <v>0</v>
      </c>
    </row>
    <row r="528" spans="1:15" s="1448" customFormat="1" ht="15" hidden="1">
      <c r="A528" s="1436" t="s">
        <v>515</v>
      </c>
      <c r="B528" s="1437" t="s">
        <v>1229</v>
      </c>
      <c r="C528" s="1455"/>
      <c r="D528" s="1439"/>
      <c r="E528" s="1221"/>
      <c r="F528" s="1450"/>
      <c r="G528" s="1453">
        <f>WORK!I2286</f>
        <v>0</v>
      </c>
      <c r="H528" s="1439" t="s">
        <v>115</v>
      </c>
      <c r="I528" s="1454">
        <f>WORK!K2286</f>
        <v>24683.69</v>
      </c>
      <c r="J528" s="1450">
        <f>ROUND(G528*I528,0)</f>
        <v>0</v>
      </c>
      <c r="K528" s="1912"/>
      <c r="L528" s="1912"/>
      <c r="M528" s="1451" t="s">
        <v>2321</v>
      </c>
      <c r="N528" s="1446"/>
      <c r="O528" s="1452">
        <f t="shared" si="82"/>
        <v>0</v>
      </c>
    </row>
    <row r="529" spans="1:15" s="360" customFormat="1" ht="51" hidden="1">
      <c r="A529" s="356" t="s">
        <v>521</v>
      </c>
      <c r="B529" s="707" t="s">
        <v>3298</v>
      </c>
      <c r="C529" s="710"/>
      <c r="D529" s="354"/>
      <c r="E529" s="10"/>
      <c r="F529" s="353"/>
      <c r="G529" s="358">
        <f>WORK!I2421</f>
        <v>0</v>
      </c>
      <c r="H529" s="354" t="s">
        <v>115</v>
      </c>
      <c r="I529" s="355">
        <f>WORK!K2421</f>
        <v>22903.660000000003</v>
      </c>
      <c r="J529" s="353">
        <f>ROUND(G529*I529,0)</f>
        <v>0</v>
      </c>
      <c r="K529" s="1913"/>
      <c r="L529" s="1913"/>
      <c r="M529" s="1139" t="s">
        <v>2322</v>
      </c>
      <c r="N529" s="223"/>
      <c r="O529" s="1138">
        <f t="shared" si="82"/>
        <v>0</v>
      </c>
    </row>
    <row r="530" spans="1:15" s="360" customFormat="1" ht="15" hidden="1">
      <c r="A530" s="356" t="s">
        <v>508</v>
      </c>
      <c r="B530" s="707" t="s">
        <v>2004</v>
      </c>
      <c r="C530" s="862"/>
      <c r="D530" s="860"/>
      <c r="E530" s="863"/>
      <c r="F530" s="353"/>
      <c r="G530" s="358">
        <f>WORK!I2025</f>
        <v>0</v>
      </c>
      <c r="H530" s="354" t="s">
        <v>115</v>
      </c>
      <c r="I530" s="355">
        <f>WORK!K2025</f>
        <v>14099.53</v>
      </c>
      <c r="J530" s="353">
        <f t="shared" si="84"/>
        <v>0</v>
      </c>
      <c r="K530" s="1911">
        <f>IF((J530+J531+J532+J533)&gt;(F530+F531+F532+F533),(J530+J531+J532+J533)-(F530+F531+F532+F533),0)</f>
        <v>0</v>
      </c>
      <c r="L530" s="1911">
        <f>IF((J530+J531+J532+J533)&lt;(F530+F531+F532+F533),(F530+F531+F532+F533)-(J530+J531+J532+J533),0)</f>
        <v>0</v>
      </c>
      <c r="M530" s="708" t="s">
        <v>2226</v>
      </c>
      <c r="N530" s="223"/>
      <c r="O530" s="706">
        <f t="shared" si="82"/>
        <v>0</v>
      </c>
    </row>
    <row r="531" spans="1:15" s="360" customFormat="1" ht="15" hidden="1">
      <c r="A531" s="356" t="s">
        <v>485</v>
      </c>
      <c r="B531" s="707" t="s">
        <v>2004</v>
      </c>
      <c r="C531" s="710"/>
      <c r="D531" s="354"/>
      <c r="E531" s="362"/>
      <c r="F531" s="353"/>
      <c r="G531" s="358">
        <f>WORK!I2159</f>
        <v>0</v>
      </c>
      <c r="H531" s="354" t="s">
        <v>115</v>
      </c>
      <c r="I531" s="355">
        <f>WORK!K2159</f>
        <v>14099.53</v>
      </c>
      <c r="J531" s="353">
        <f>ROUND(G531*I531,0)</f>
        <v>0</v>
      </c>
      <c r="K531" s="1912"/>
      <c r="L531" s="1912"/>
      <c r="M531" s="708" t="s">
        <v>2308</v>
      </c>
      <c r="N531" s="223"/>
      <c r="O531" s="706">
        <f t="shared" si="82"/>
        <v>0</v>
      </c>
    </row>
    <row r="532" spans="1:15" s="360" customFormat="1" ht="15" hidden="1">
      <c r="A532" s="356" t="s">
        <v>485</v>
      </c>
      <c r="B532" s="707" t="s">
        <v>2004</v>
      </c>
      <c r="C532" s="710"/>
      <c r="D532" s="354"/>
      <c r="E532" s="362"/>
      <c r="F532" s="353"/>
      <c r="G532" s="358">
        <f>WORK!I2301</f>
        <v>0</v>
      </c>
      <c r="H532" s="354" t="s">
        <v>115</v>
      </c>
      <c r="I532" s="355">
        <f>WORK!K2301</f>
        <v>8918.9600000000009</v>
      </c>
      <c r="J532" s="353">
        <f>ROUND(G532*I532,0)</f>
        <v>0</v>
      </c>
      <c r="K532" s="1912"/>
      <c r="L532" s="1912"/>
      <c r="M532" s="708" t="s">
        <v>2321</v>
      </c>
      <c r="N532" s="223"/>
      <c r="O532" s="706">
        <f t="shared" si="82"/>
        <v>0</v>
      </c>
    </row>
    <row r="533" spans="1:15" s="360" customFormat="1" ht="15" hidden="1">
      <c r="A533" s="356" t="s">
        <v>485</v>
      </c>
      <c r="B533" s="707" t="s">
        <v>2004</v>
      </c>
      <c r="C533" s="710"/>
      <c r="D533" s="354"/>
      <c r="E533" s="362"/>
      <c r="F533" s="353"/>
      <c r="G533" s="358">
        <f>WORK!I2436</f>
        <v>0</v>
      </c>
      <c r="H533" s="354" t="s">
        <v>115</v>
      </c>
      <c r="I533" s="355">
        <f>WORK!K2436</f>
        <v>15875.19</v>
      </c>
      <c r="J533" s="353">
        <f>ROUND(G533*I533,0)</f>
        <v>0</v>
      </c>
      <c r="K533" s="1913"/>
      <c r="L533" s="1913"/>
      <c r="M533" s="708" t="s">
        <v>2322</v>
      </c>
      <c r="N533" s="223"/>
      <c r="O533" s="706">
        <f t="shared" si="82"/>
        <v>0</v>
      </c>
    </row>
    <row r="534" spans="1:15" s="360" customFormat="1" ht="15" hidden="1">
      <c r="A534" s="356"/>
      <c r="B534" s="707" t="s">
        <v>2005</v>
      </c>
      <c r="C534" s="711"/>
      <c r="D534" s="354"/>
      <c r="E534" s="10"/>
      <c r="F534" s="353"/>
      <c r="G534" s="358">
        <f>WORK!I2030</f>
        <v>0</v>
      </c>
      <c r="H534" s="354" t="s">
        <v>115</v>
      </c>
      <c r="I534" s="355">
        <f>WORK!K2030</f>
        <v>13359.1</v>
      </c>
      <c r="J534" s="353">
        <f t="shared" si="84"/>
        <v>0</v>
      </c>
      <c r="K534" s="1911">
        <f>IF((J534+J535+J536+J537)&gt;(F534+F535+F536+F537),(J534+J535+J536+J537)-(F534+F535+F536+F537),0)</f>
        <v>0</v>
      </c>
      <c r="L534" s="1911">
        <f>IF((J534+J535+J536+J537)&lt;(F534+F535+F536+F537),(F534+F535+F536+F537)-(J534+J535+J536+J537),0)</f>
        <v>0</v>
      </c>
      <c r="M534" s="708" t="s">
        <v>2226</v>
      </c>
      <c r="N534" s="223"/>
      <c r="O534" s="706">
        <f t="shared" si="82"/>
        <v>0</v>
      </c>
    </row>
    <row r="535" spans="1:15" s="360" customFormat="1" ht="15" hidden="1">
      <c r="A535" s="356"/>
      <c r="B535" s="707" t="s">
        <v>2005</v>
      </c>
      <c r="C535" s="711"/>
      <c r="D535" s="354"/>
      <c r="E535" s="10"/>
      <c r="F535" s="353"/>
      <c r="G535" s="358">
        <f>WORK!I2164</f>
        <v>0</v>
      </c>
      <c r="H535" s="354" t="s">
        <v>115</v>
      </c>
      <c r="I535" s="355">
        <f>WORK!K2164</f>
        <v>13359.1</v>
      </c>
      <c r="J535" s="353">
        <f>ROUND(G535*I535,0)</f>
        <v>0</v>
      </c>
      <c r="K535" s="1912"/>
      <c r="L535" s="1912"/>
      <c r="M535" s="708" t="s">
        <v>2308</v>
      </c>
      <c r="N535" s="223"/>
      <c r="O535" s="706">
        <f t="shared" si="82"/>
        <v>0</v>
      </c>
    </row>
    <row r="536" spans="1:15" s="360" customFormat="1" ht="15" hidden="1">
      <c r="A536" s="356"/>
      <c r="B536" s="707" t="s">
        <v>2005</v>
      </c>
      <c r="C536" s="711"/>
      <c r="D536" s="354"/>
      <c r="E536" s="10"/>
      <c r="F536" s="353"/>
      <c r="G536" s="358">
        <f>WORK!I2306</f>
        <v>0</v>
      </c>
      <c r="H536" s="354" t="s">
        <v>115</v>
      </c>
      <c r="I536" s="355">
        <f>WORK!K2306</f>
        <v>7973.17</v>
      </c>
      <c r="J536" s="353">
        <f>ROUND(G536*I536,0)</f>
        <v>0</v>
      </c>
      <c r="K536" s="1912"/>
      <c r="L536" s="1912"/>
      <c r="M536" s="708" t="s">
        <v>2321</v>
      </c>
      <c r="N536" s="223"/>
      <c r="O536" s="706">
        <f t="shared" si="82"/>
        <v>0</v>
      </c>
    </row>
    <row r="537" spans="1:15" s="360" customFormat="1" ht="15" hidden="1">
      <c r="A537" s="356"/>
      <c r="B537" s="707" t="s">
        <v>2005</v>
      </c>
      <c r="C537" s="711"/>
      <c r="D537" s="354"/>
      <c r="E537" s="10"/>
      <c r="F537" s="353"/>
      <c r="G537" s="358">
        <f>WORK!I2441</f>
        <v>0</v>
      </c>
      <c r="H537" s="354" t="s">
        <v>115</v>
      </c>
      <c r="I537" s="355">
        <f>WORK!K2441</f>
        <v>15037.220000000001</v>
      </c>
      <c r="J537" s="353">
        <f>ROUND(G537*I537,0)</f>
        <v>0</v>
      </c>
      <c r="K537" s="1913"/>
      <c r="L537" s="1913"/>
      <c r="M537" s="708" t="s">
        <v>2322</v>
      </c>
      <c r="N537" s="223"/>
      <c r="O537" s="706">
        <f t="shared" si="82"/>
        <v>0</v>
      </c>
    </row>
    <row r="538" spans="1:15" s="360" customFormat="1" ht="15" hidden="1">
      <c r="A538" s="356" t="s">
        <v>1144</v>
      </c>
      <c r="B538" s="707" t="s">
        <v>2004</v>
      </c>
      <c r="C538" s="711"/>
      <c r="D538" s="354"/>
      <c r="E538" s="10"/>
      <c r="F538" s="353"/>
      <c r="G538" s="358">
        <f>WORK!I2035</f>
        <v>0</v>
      </c>
      <c r="H538" s="354" t="s">
        <v>115</v>
      </c>
      <c r="I538" s="355">
        <f>WORK!K2035</f>
        <v>8905.99</v>
      </c>
      <c r="J538" s="353">
        <f t="shared" si="84"/>
        <v>0</v>
      </c>
      <c r="K538" s="1911">
        <f>IF((J538+J539+J540+J541)&gt;(F538+F539+F540+F541),(J538+J539+J540+J541)-(F538+F539+F540+F541),0)</f>
        <v>0</v>
      </c>
      <c r="L538" s="1911">
        <f>IF((J538+J539+J540+J541)&lt;(F538+F539+F540+F541),(F538+F539+F540+F541)-(J538+J539+J540+J541),0)</f>
        <v>0</v>
      </c>
      <c r="M538" s="708" t="s">
        <v>2226</v>
      </c>
      <c r="N538" s="223"/>
      <c r="O538" s="706">
        <f t="shared" si="82"/>
        <v>0</v>
      </c>
    </row>
    <row r="539" spans="1:15" s="360" customFormat="1" ht="15" hidden="1">
      <c r="A539" s="356" t="s">
        <v>1144</v>
      </c>
      <c r="B539" s="707" t="s">
        <v>2004</v>
      </c>
      <c r="C539" s="711"/>
      <c r="D539" s="354"/>
      <c r="E539" s="10"/>
      <c r="F539" s="353"/>
      <c r="G539" s="358">
        <f>WORK!I2169</f>
        <v>0</v>
      </c>
      <c r="H539" s="354" t="s">
        <v>115</v>
      </c>
      <c r="I539" s="355">
        <f>WORK!K2169</f>
        <v>8905.99</v>
      </c>
      <c r="J539" s="353">
        <f>ROUND(G539*I539,0)</f>
        <v>0</v>
      </c>
      <c r="K539" s="1912"/>
      <c r="L539" s="1912"/>
      <c r="M539" s="708" t="s">
        <v>2308</v>
      </c>
      <c r="N539" s="223"/>
      <c r="O539" s="706">
        <f t="shared" si="82"/>
        <v>0</v>
      </c>
    </row>
    <row r="540" spans="1:15" s="360" customFormat="1" ht="15" hidden="1">
      <c r="A540" s="356" t="s">
        <v>1144</v>
      </c>
      <c r="B540" s="707" t="s">
        <v>2004</v>
      </c>
      <c r="C540" s="711"/>
      <c r="D540" s="354"/>
      <c r="E540" s="10"/>
      <c r="F540" s="353"/>
      <c r="G540" s="358">
        <f>WORK!I2311</f>
        <v>0</v>
      </c>
      <c r="H540" s="354" t="s">
        <v>115</v>
      </c>
      <c r="I540" s="355">
        <f>WORK!K2311</f>
        <v>9185.3799999999992</v>
      </c>
      <c r="J540" s="353">
        <f>ROUND(G540*I540,0)</f>
        <v>0</v>
      </c>
      <c r="K540" s="1912"/>
      <c r="L540" s="1912"/>
      <c r="M540" s="708" t="s">
        <v>2321</v>
      </c>
      <c r="N540" s="223"/>
      <c r="O540" s="706">
        <f t="shared" si="82"/>
        <v>0</v>
      </c>
    </row>
    <row r="541" spans="1:15" s="360" customFormat="1" ht="15" hidden="1">
      <c r="A541" s="356" t="s">
        <v>1144</v>
      </c>
      <c r="B541" s="707" t="s">
        <v>2004</v>
      </c>
      <c r="C541" s="711"/>
      <c r="D541" s="354"/>
      <c r="E541" s="10"/>
      <c r="F541" s="353"/>
      <c r="G541" s="358">
        <f>WORK!I2446</f>
        <v>0</v>
      </c>
      <c r="H541" s="354" t="s">
        <v>115</v>
      </c>
      <c r="I541" s="355">
        <f>WORK!K2446</f>
        <v>10330.61</v>
      </c>
      <c r="J541" s="353">
        <f>ROUND(G541*I541,0)</f>
        <v>0</v>
      </c>
      <c r="K541" s="1913"/>
      <c r="L541" s="1913"/>
      <c r="M541" s="708" t="s">
        <v>2322</v>
      </c>
      <c r="N541" s="223"/>
      <c r="O541" s="706">
        <f t="shared" si="82"/>
        <v>0</v>
      </c>
    </row>
    <row r="542" spans="1:15" s="360" customFormat="1" ht="15" hidden="1">
      <c r="A542" s="356" t="s">
        <v>1582</v>
      </c>
      <c r="B542" s="707" t="s">
        <v>2006</v>
      </c>
      <c r="C542" s="554"/>
      <c r="D542" s="354"/>
      <c r="E542" s="10"/>
      <c r="F542" s="353"/>
      <c r="G542" s="358">
        <f>WORK!I2040</f>
        <v>0</v>
      </c>
      <c r="H542" s="354" t="s">
        <v>115</v>
      </c>
      <c r="I542" s="355">
        <f>WORK!K2040</f>
        <v>6334.76</v>
      </c>
      <c r="J542" s="353">
        <f t="shared" si="84"/>
        <v>0</v>
      </c>
      <c r="K542" s="1911">
        <f>IF((J542+J543+J544+J545)&gt;(F542+F543+F544+F545),(J542+J543+J544+J545)-(F542+F543+F544+F545),0)</f>
        <v>0</v>
      </c>
      <c r="L542" s="1911">
        <f>IF((J542+J543+J544+J545)&lt;(F542+F543+F544+F545),(F542+F543+F544+F545)-(J542+J543+J544+J545),0)</f>
        <v>0</v>
      </c>
      <c r="M542" s="708" t="s">
        <v>2226</v>
      </c>
      <c r="N542" s="223"/>
      <c r="O542" s="706">
        <f t="shared" si="82"/>
        <v>0</v>
      </c>
    </row>
    <row r="543" spans="1:15" s="360" customFormat="1" ht="15" hidden="1">
      <c r="A543" s="356" t="s">
        <v>1582</v>
      </c>
      <c r="B543" s="707" t="s">
        <v>2006</v>
      </c>
      <c r="C543" s="554"/>
      <c r="D543" s="354"/>
      <c r="E543" s="10"/>
      <c r="F543" s="353"/>
      <c r="G543" s="358">
        <f>WORK!I2174</f>
        <v>0</v>
      </c>
      <c r="H543" s="354" t="s">
        <v>115</v>
      </c>
      <c r="I543" s="355">
        <f>WORK!K2174</f>
        <v>6334.76</v>
      </c>
      <c r="J543" s="353">
        <f t="shared" ref="J543:J563" si="85">ROUND(G543*I543,0)</f>
        <v>0</v>
      </c>
      <c r="K543" s="1912"/>
      <c r="L543" s="1912"/>
      <c r="M543" s="708" t="s">
        <v>2308</v>
      </c>
      <c r="N543" s="223"/>
      <c r="O543" s="706">
        <f t="shared" si="82"/>
        <v>0</v>
      </c>
    </row>
    <row r="544" spans="1:15" s="360" customFormat="1" ht="15" hidden="1">
      <c r="A544" s="356" t="s">
        <v>1582</v>
      </c>
      <c r="B544" s="707" t="s">
        <v>2006</v>
      </c>
      <c r="C544" s="554"/>
      <c r="D544" s="354"/>
      <c r="E544" s="10"/>
      <c r="F544" s="353"/>
      <c r="G544" s="358">
        <f>WORK!I2316</f>
        <v>0</v>
      </c>
      <c r="H544" s="354" t="s">
        <v>115</v>
      </c>
      <c r="I544" s="355">
        <f>WORK!K2316</f>
        <v>6584.41</v>
      </c>
      <c r="J544" s="353">
        <f>ROUND(G544*I544,0)</f>
        <v>0</v>
      </c>
      <c r="K544" s="1912"/>
      <c r="L544" s="1912"/>
      <c r="M544" s="708" t="s">
        <v>2321</v>
      </c>
      <c r="N544" s="223"/>
      <c r="O544" s="706">
        <f t="shared" si="82"/>
        <v>0</v>
      </c>
    </row>
    <row r="545" spans="1:15" s="360" customFormat="1" ht="15" hidden="1">
      <c r="A545" s="356" t="s">
        <v>1582</v>
      </c>
      <c r="B545" s="707" t="s">
        <v>2006</v>
      </c>
      <c r="C545" s="554"/>
      <c r="D545" s="354"/>
      <c r="E545" s="10"/>
      <c r="F545" s="353"/>
      <c r="G545" s="358">
        <f>WORK!I2451</f>
        <v>0</v>
      </c>
      <c r="H545" s="354" t="s">
        <v>115</v>
      </c>
      <c r="I545" s="355">
        <f>WORK!K2451</f>
        <v>7015.49</v>
      </c>
      <c r="J545" s="353">
        <f>ROUND(G545*I545,0)</f>
        <v>0</v>
      </c>
      <c r="K545" s="1913"/>
      <c r="L545" s="1913"/>
      <c r="M545" s="708" t="s">
        <v>2322</v>
      </c>
      <c r="N545" s="223"/>
      <c r="O545" s="706">
        <f t="shared" si="82"/>
        <v>0</v>
      </c>
    </row>
    <row r="546" spans="1:15" s="360" customFormat="1" ht="15" hidden="1" customHeight="1">
      <c r="A546" s="356" t="s">
        <v>1589</v>
      </c>
      <c r="B546" s="707" t="s">
        <v>1228</v>
      </c>
      <c r="C546" s="711"/>
      <c r="D546" s="354"/>
      <c r="E546" s="10"/>
      <c r="F546" s="353"/>
      <c r="G546" s="358">
        <f>WORK!I2015</f>
        <v>0</v>
      </c>
      <c r="H546" s="354" t="s">
        <v>115</v>
      </c>
      <c r="I546" s="355">
        <f>WORK!K2015</f>
        <v>10891.57</v>
      </c>
      <c r="J546" s="353">
        <f t="shared" si="85"/>
        <v>0</v>
      </c>
      <c r="K546" s="1911">
        <f>IF((J546+J547+J548+J549)&gt;(F546+F547+F548+F549),(J546+J547+J548+J549)-(F546+F547+F548+F549),0)</f>
        <v>0</v>
      </c>
      <c r="L546" s="1911">
        <f>IF((J546+J547+J548+J549)&lt;(F546+F547+F548+F549),(F546+F547+F548+F549)-(J546+J547+J548+J549),0)</f>
        <v>0</v>
      </c>
      <c r="M546" s="708" t="s">
        <v>2226</v>
      </c>
      <c r="N546" s="223"/>
      <c r="O546" s="706">
        <f t="shared" si="82"/>
        <v>0</v>
      </c>
    </row>
    <row r="547" spans="1:15" s="360" customFormat="1" ht="15" hidden="1" customHeight="1">
      <c r="A547" s="356" t="s">
        <v>1597</v>
      </c>
      <c r="B547" s="707" t="s">
        <v>1228</v>
      </c>
      <c r="C547" s="711"/>
      <c r="D547" s="354"/>
      <c r="E547" s="10"/>
      <c r="F547" s="353"/>
      <c r="G547" s="358">
        <f>WORK!I2149</f>
        <v>0</v>
      </c>
      <c r="H547" s="354" t="s">
        <v>115</v>
      </c>
      <c r="I547" s="355">
        <f>WORK!K2149</f>
        <v>4180.6099999999997</v>
      </c>
      <c r="J547" s="353">
        <f t="shared" si="85"/>
        <v>0</v>
      </c>
      <c r="K547" s="1912"/>
      <c r="L547" s="1912"/>
      <c r="M547" s="708" t="s">
        <v>2308</v>
      </c>
      <c r="N547" s="223"/>
      <c r="O547" s="706">
        <f t="shared" si="82"/>
        <v>0</v>
      </c>
    </row>
    <row r="548" spans="1:15" s="360" customFormat="1" ht="15" hidden="1" customHeight="1">
      <c r="A548" s="356" t="s">
        <v>1589</v>
      </c>
      <c r="B548" s="707" t="s">
        <v>1228</v>
      </c>
      <c r="C548" s="711"/>
      <c r="D548" s="354"/>
      <c r="E548" s="10"/>
      <c r="F548" s="353"/>
      <c r="G548" s="358">
        <f>WORK!I2291</f>
        <v>0</v>
      </c>
      <c r="H548" s="354" t="s">
        <v>115</v>
      </c>
      <c r="I548" s="355">
        <f>WORK!K2291</f>
        <v>11215.33</v>
      </c>
      <c r="J548" s="353">
        <f>ROUND(G548*I548,0)</f>
        <v>0</v>
      </c>
      <c r="K548" s="1912"/>
      <c r="L548" s="1912"/>
      <c r="M548" s="708" t="s">
        <v>2321</v>
      </c>
      <c r="N548" s="223"/>
      <c r="O548" s="706">
        <f t="shared" si="82"/>
        <v>0</v>
      </c>
    </row>
    <row r="549" spans="1:15" s="360" customFormat="1" ht="51" hidden="1">
      <c r="A549" s="356" t="s">
        <v>644</v>
      </c>
      <c r="B549" s="707" t="s">
        <v>3298</v>
      </c>
      <c r="C549" s="711"/>
      <c r="D549" s="354"/>
      <c r="E549" s="10"/>
      <c r="F549" s="353"/>
      <c r="G549" s="358">
        <f>WORK!I2426</f>
        <v>0</v>
      </c>
      <c r="H549" s="354" t="s">
        <v>115</v>
      </c>
      <c r="I549" s="355">
        <f>WORK!K2426</f>
        <v>11464.42</v>
      </c>
      <c r="J549" s="353">
        <f>ROUND(G549*I549,0)</f>
        <v>0</v>
      </c>
      <c r="K549" s="1913"/>
      <c r="L549" s="1913"/>
      <c r="M549" s="1139" t="s">
        <v>2322</v>
      </c>
      <c r="N549" s="223"/>
      <c r="O549" s="1138">
        <f t="shared" si="82"/>
        <v>0</v>
      </c>
    </row>
    <row r="550" spans="1:15" s="360" customFormat="1" ht="15" hidden="1" customHeight="1">
      <c r="A550" s="356" t="s">
        <v>1590</v>
      </c>
      <c r="B550" s="707" t="s">
        <v>1228</v>
      </c>
      <c r="C550" s="711"/>
      <c r="D550" s="354"/>
      <c r="E550" s="10"/>
      <c r="F550" s="353"/>
      <c r="G550" s="358">
        <f>WORK!I2020</f>
        <v>0</v>
      </c>
      <c r="H550" s="354" t="s">
        <v>115</v>
      </c>
      <c r="I550" s="355">
        <f>WORK!K2020</f>
        <v>9855.7799999999988</v>
      </c>
      <c r="J550" s="353">
        <f t="shared" si="85"/>
        <v>0</v>
      </c>
      <c r="K550" s="1911">
        <f>IF((J550+J551+J552+J553)&gt;(F550+F551+F552+F553),(J550+J551+J552+J553)-(F550+F551+F552+F553),0)</f>
        <v>0</v>
      </c>
      <c r="L550" s="1911">
        <f>IF((J550+J551+J552+J553)&lt;(F550+F551+F552+F553),(F550+F551+F552+F553)-(J550+J551+J552+J553),0)</f>
        <v>0</v>
      </c>
      <c r="M550" s="708" t="s">
        <v>2226</v>
      </c>
      <c r="N550" s="223"/>
      <c r="O550" s="706">
        <f t="shared" si="82"/>
        <v>0</v>
      </c>
    </row>
    <row r="551" spans="1:15" s="360" customFormat="1" ht="15" hidden="1" customHeight="1">
      <c r="A551" s="356" t="s">
        <v>1593</v>
      </c>
      <c r="B551" s="707" t="s">
        <v>1228</v>
      </c>
      <c r="C551" s="711"/>
      <c r="D551" s="354"/>
      <c r="E551" s="10"/>
      <c r="F551" s="353"/>
      <c r="G551" s="358">
        <f>WORK!I2154</f>
        <v>0</v>
      </c>
      <c r="H551" s="354" t="s">
        <v>115</v>
      </c>
      <c r="I551" s="355">
        <f>WORK!K2154</f>
        <v>9855.7799999999988</v>
      </c>
      <c r="J551" s="353">
        <f t="shared" si="85"/>
        <v>0</v>
      </c>
      <c r="K551" s="1912"/>
      <c r="L551" s="1912"/>
      <c r="M551" s="708" t="s">
        <v>2308</v>
      </c>
      <c r="N551" s="223"/>
      <c r="O551" s="706">
        <f t="shared" si="82"/>
        <v>0</v>
      </c>
    </row>
    <row r="552" spans="1:15" s="360" customFormat="1" ht="15" hidden="1" customHeight="1">
      <c r="A552" s="356" t="s">
        <v>1590</v>
      </c>
      <c r="B552" s="707" t="s">
        <v>1228</v>
      </c>
      <c r="C552" s="711"/>
      <c r="D552" s="354"/>
      <c r="E552" s="10"/>
      <c r="F552" s="353"/>
      <c r="G552" s="358">
        <f>WORK!I2296</f>
        <v>0</v>
      </c>
      <c r="H552" s="354" t="s">
        <v>115</v>
      </c>
      <c r="I552" s="355">
        <f>WORK!K2296</f>
        <v>10134.49</v>
      </c>
      <c r="J552" s="353">
        <f>ROUND(G552*I552,0)</f>
        <v>0</v>
      </c>
      <c r="K552" s="1912"/>
      <c r="L552" s="1912"/>
      <c r="M552" s="708" t="s">
        <v>2321</v>
      </c>
      <c r="N552" s="223"/>
      <c r="O552" s="706">
        <f t="shared" si="82"/>
        <v>0</v>
      </c>
    </row>
    <row r="553" spans="1:15" s="360" customFormat="1" ht="15" hidden="1" customHeight="1">
      <c r="A553" s="356" t="s">
        <v>1590</v>
      </c>
      <c r="B553" s="707" t="s">
        <v>1228</v>
      </c>
      <c r="C553" s="711"/>
      <c r="D553" s="354"/>
      <c r="E553" s="10"/>
      <c r="F553" s="353"/>
      <c r="G553" s="358">
        <f>WORK!I2431</f>
        <v>0</v>
      </c>
      <c r="H553" s="354" t="s">
        <v>115</v>
      </c>
      <c r="I553" s="355">
        <f>WORK!K2431</f>
        <v>11442.58</v>
      </c>
      <c r="J553" s="353">
        <f>ROUND(G553*I553,0)</f>
        <v>0</v>
      </c>
      <c r="K553" s="1913"/>
      <c r="L553" s="1913"/>
      <c r="M553" s="708" t="s">
        <v>2322</v>
      </c>
      <c r="N553" s="223"/>
      <c r="O553" s="706">
        <f t="shared" si="82"/>
        <v>0</v>
      </c>
    </row>
    <row r="554" spans="1:15" s="360" customFormat="1" ht="51" hidden="1">
      <c r="A554" s="356" t="s">
        <v>1577</v>
      </c>
      <c r="B554" s="707" t="s">
        <v>3299</v>
      </c>
      <c r="C554" s="720"/>
      <c r="D554" s="916" t="s">
        <v>115</v>
      </c>
      <c r="E554" s="570">
        <v>8697.7999999999993</v>
      </c>
      <c r="F554" s="917">
        <f t="shared" ref="F554" si="86">ROUND(C554*E554,0)</f>
        <v>0</v>
      </c>
      <c r="G554" s="358">
        <f>WORK!I2047</f>
        <v>0</v>
      </c>
      <c r="H554" s="354" t="s">
        <v>115</v>
      </c>
      <c r="I554" s="355">
        <f>WORK!K2047</f>
        <v>15555.64</v>
      </c>
      <c r="J554" s="353">
        <f t="shared" si="85"/>
        <v>0</v>
      </c>
      <c r="K554" s="1911">
        <f>IF((J554+J555+J556+J557)&gt;(F554+F555+F556+F557),(J554+J555+J556+J557)-(F554+F555+F556+F557),0)</f>
        <v>0</v>
      </c>
      <c r="L554" s="1911">
        <f>IF((J554+J555+J556+J557)&lt;(F554+F555+F556+F557),(F554+F555+F556+F557)-(J554+J555+J556+J557),0)</f>
        <v>0</v>
      </c>
      <c r="M554" s="1139" t="s">
        <v>2226</v>
      </c>
      <c r="N554" s="223"/>
      <c r="O554" s="1138">
        <f t="shared" si="82"/>
        <v>0</v>
      </c>
    </row>
    <row r="555" spans="1:15" s="360" customFormat="1" ht="15" hidden="1">
      <c r="A555" s="356" t="s">
        <v>529</v>
      </c>
      <c r="B555" s="707" t="s">
        <v>963</v>
      </c>
      <c r="C555" s="554"/>
      <c r="D555" s="354"/>
      <c r="E555" s="10"/>
      <c r="F555" s="353"/>
      <c r="G555" s="358">
        <f>WORK!I2182</f>
        <v>0</v>
      </c>
      <c r="H555" s="354" t="s">
        <v>115</v>
      </c>
      <c r="I555" s="355">
        <f>WORK!K2182</f>
        <v>15555.64</v>
      </c>
      <c r="J555" s="353">
        <f t="shared" si="85"/>
        <v>0</v>
      </c>
      <c r="K555" s="1912"/>
      <c r="L555" s="1912"/>
      <c r="M555" s="708" t="s">
        <v>2308</v>
      </c>
      <c r="N555" s="223"/>
      <c r="O555" s="706">
        <f t="shared" si="82"/>
        <v>0</v>
      </c>
    </row>
    <row r="556" spans="1:15" s="360" customFormat="1" ht="15" hidden="1">
      <c r="A556" s="356" t="s">
        <v>529</v>
      </c>
      <c r="B556" s="707" t="s">
        <v>963</v>
      </c>
      <c r="C556" s="554"/>
      <c r="D556" s="354"/>
      <c r="E556" s="10"/>
      <c r="F556" s="353"/>
      <c r="G556" s="358">
        <f>WORK!I2323</f>
        <v>0</v>
      </c>
      <c r="H556" s="354" t="s">
        <v>115</v>
      </c>
      <c r="I556" s="355">
        <f>WORK!K2323</f>
        <v>16143.809999999998</v>
      </c>
      <c r="J556" s="353">
        <f>ROUND(G556*I556,0)</f>
        <v>0</v>
      </c>
      <c r="K556" s="1912"/>
      <c r="L556" s="1912"/>
      <c r="M556" s="708" t="s">
        <v>2321</v>
      </c>
      <c r="N556" s="223"/>
      <c r="O556" s="706">
        <f t="shared" si="82"/>
        <v>0</v>
      </c>
    </row>
    <row r="557" spans="1:15" s="360" customFormat="1" ht="15" hidden="1">
      <c r="A557" s="356" t="s">
        <v>529</v>
      </c>
      <c r="B557" s="707" t="s">
        <v>963</v>
      </c>
      <c r="C557" s="554"/>
      <c r="D557" s="354"/>
      <c r="E557" s="10"/>
      <c r="F557" s="353"/>
      <c r="G557" s="358">
        <f>WORK!I2458</f>
        <v>0</v>
      </c>
      <c r="H557" s="354" t="s">
        <v>115</v>
      </c>
      <c r="I557" s="355">
        <f>WORK!K2458</f>
        <v>17517.36</v>
      </c>
      <c r="J557" s="353">
        <f>ROUND(G557*I557,0)</f>
        <v>0</v>
      </c>
      <c r="K557" s="1913"/>
      <c r="L557" s="1913"/>
      <c r="M557" s="708" t="s">
        <v>2322</v>
      </c>
      <c r="N557" s="223"/>
      <c r="O557" s="706">
        <f t="shared" si="82"/>
        <v>0</v>
      </c>
    </row>
    <row r="558" spans="1:15" s="360" customFormat="1" ht="51" hidden="1">
      <c r="A558" s="356" t="s">
        <v>1584</v>
      </c>
      <c r="B558" s="707" t="s">
        <v>3299</v>
      </c>
      <c r="C558" s="720"/>
      <c r="D558" s="916" t="s">
        <v>115</v>
      </c>
      <c r="E558" s="570">
        <v>7175.5</v>
      </c>
      <c r="F558" s="917">
        <f t="shared" ref="F558" si="87">ROUND(C558*E558,0)</f>
        <v>0</v>
      </c>
      <c r="G558" s="358">
        <f>WORK!I2054</f>
        <v>0</v>
      </c>
      <c r="H558" s="354" t="s">
        <v>115</v>
      </c>
      <c r="I558" s="355">
        <f>WORK!K2054</f>
        <v>9631.65</v>
      </c>
      <c r="J558" s="353">
        <f t="shared" si="85"/>
        <v>0</v>
      </c>
      <c r="K558" s="1911">
        <f>IF((J558+J559+J560+J561)&gt;(F558+F559+F560+F561),(J558+J559+J560+J561)-(F558+F559+F560+F561),0)</f>
        <v>0</v>
      </c>
      <c r="L558" s="1911">
        <f>IF((J558+J559+J560+J561)&lt;(F558+F559+F560+F561),(F558+F559+F560+F561)-(J558+J559+J560+J561),0)</f>
        <v>0</v>
      </c>
      <c r="M558" s="1139" t="s">
        <v>2226</v>
      </c>
      <c r="N558" s="223"/>
      <c r="O558" s="1138">
        <f t="shared" si="82"/>
        <v>0</v>
      </c>
    </row>
    <row r="559" spans="1:15" s="360" customFormat="1" ht="15" hidden="1">
      <c r="A559" s="356" t="s">
        <v>1148</v>
      </c>
      <c r="B559" s="707" t="s">
        <v>964</v>
      </c>
      <c r="C559" s="709"/>
      <c r="D559" s="354"/>
      <c r="E559" s="10"/>
      <c r="F559" s="353"/>
      <c r="G559" s="358">
        <f>WORK!I2190</f>
        <v>0</v>
      </c>
      <c r="H559" s="354" t="s">
        <v>115</v>
      </c>
      <c r="I559" s="355">
        <f>WORK!K2190</f>
        <v>4472.53</v>
      </c>
      <c r="J559" s="353">
        <f t="shared" si="85"/>
        <v>0</v>
      </c>
      <c r="K559" s="1912"/>
      <c r="L559" s="1912"/>
      <c r="M559" s="708" t="s">
        <v>2308</v>
      </c>
      <c r="N559" s="223"/>
      <c r="O559" s="706">
        <f t="shared" si="82"/>
        <v>0</v>
      </c>
    </row>
    <row r="560" spans="1:15" s="360" customFormat="1" ht="15" hidden="1">
      <c r="A560" s="356" t="s">
        <v>1592</v>
      </c>
      <c r="B560" s="707" t="s">
        <v>964</v>
      </c>
      <c r="C560" s="709"/>
      <c r="D560" s="354"/>
      <c r="E560" s="10"/>
      <c r="F560" s="353"/>
      <c r="G560" s="358">
        <f>WORK!I2330</f>
        <v>0</v>
      </c>
      <c r="H560" s="354" t="s">
        <v>115</v>
      </c>
      <c r="I560" s="355">
        <f>WORK!K2330</f>
        <v>9936.0399999999991</v>
      </c>
      <c r="J560" s="353">
        <f>ROUND(G560*I560,0)</f>
        <v>0</v>
      </c>
      <c r="K560" s="1912"/>
      <c r="L560" s="1912"/>
      <c r="M560" s="708" t="s">
        <v>2321</v>
      </c>
      <c r="N560" s="223"/>
      <c r="O560" s="706">
        <f t="shared" si="82"/>
        <v>0</v>
      </c>
    </row>
    <row r="561" spans="1:15" s="360" customFormat="1" ht="15" hidden="1">
      <c r="A561" s="356" t="s">
        <v>1592</v>
      </c>
      <c r="B561" s="707" t="s">
        <v>964</v>
      </c>
      <c r="C561" s="709"/>
      <c r="D561" s="354"/>
      <c r="E561" s="10"/>
      <c r="F561" s="353"/>
      <c r="G561" s="358">
        <f>WORK!I2465</f>
        <v>0</v>
      </c>
      <c r="H561" s="354" t="s">
        <v>115</v>
      </c>
      <c r="I561" s="355">
        <f>WORK!K2465</f>
        <v>11186.3</v>
      </c>
      <c r="J561" s="353">
        <f>ROUND(G561*I561,0)</f>
        <v>0</v>
      </c>
      <c r="K561" s="1913"/>
      <c r="L561" s="1913"/>
      <c r="M561" s="708" t="s">
        <v>2322</v>
      </c>
      <c r="N561" s="223"/>
      <c r="O561" s="706">
        <f t="shared" si="82"/>
        <v>0</v>
      </c>
    </row>
    <row r="562" spans="1:15" s="360" customFormat="1" ht="38.25" hidden="1">
      <c r="A562" s="356" t="s">
        <v>1585</v>
      </c>
      <c r="B562" s="707" t="s">
        <v>3300</v>
      </c>
      <c r="C562" s="1114"/>
      <c r="D562" s="916" t="s">
        <v>102</v>
      </c>
      <c r="E562" s="920">
        <v>407</v>
      </c>
      <c r="F562" s="917">
        <f t="shared" ref="F562" si="88">ROUND(C562*E562,0)</f>
        <v>0</v>
      </c>
      <c r="G562" s="358">
        <f>WORK!I2059</f>
        <v>0</v>
      </c>
      <c r="H562" s="354" t="s">
        <v>102</v>
      </c>
      <c r="I562" s="355">
        <f>WORK!K2059</f>
        <v>6011.2</v>
      </c>
      <c r="J562" s="353">
        <f t="shared" si="85"/>
        <v>0</v>
      </c>
      <c r="K562" s="1911">
        <f>IF((J562+J563+J564+J565)&gt;(F562+F563+F564+F565),(J562+J563+J564+J565)-(F562+F563+F564+F565),0)</f>
        <v>0</v>
      </c>
      <c r="L562" s="1911">
        <f>IF((J562+J563+J564+J565)&lt;(F562+F563+F564+F565),(F562+F563+F564+F565)-(J562+J563+J564+J565),0)</f>
        <v>0</v>
      </c>
      <c r="M562" s="1139" t="s">
        <v>2226</v>
      </c>
      <c r="N562" s="223"/>
      <c r="O562" s="1138">
        <f t="shared" si="82"/>
        <v>0</v>
      </c>
    </row>
    <row r="563" spans="1:15" s="360" customFormat="1" ht="15" hidden="1">
      <c r="A563" s="356" t="s">
        <v>512</v>
      </c>
      <c r="B563" s="707" t="s">
        <v>2037</v>
      </c>
      <c r="C563" s="554"/>
      <c r="D563" s="354"/>
      <c r="E563" s="10"/>
      <c r="F563" s="353"/>
      <c r="G563" s="358">
        <f>WORK!I2199</f>
        <v>0</v>
      </c>
      <c r="H563" s="354" t="s">
        <v>102</v>
      </c>
      <c r="I563" s="355">
        <f>WORK!K2199</f>
        <v>5930.61</v>
      </c>
      <c r="J563" s="353">
        <f t="shared" si="85"/>
        <v>0</v>
      </c>
      <c r="K563" s="1912"/>
      <c r="L563" s="1912"/>
      <c r="M563" s="708" t="s">
        <v>2308</v>
      </c>
      <c r="N563" s="223"/>
      <c r="O563" s="706">
        <f t="shared" si="82"/>
        <v>0</v>
      </c>
    </row>
    <row r="564" spans="1:15" s="1448" customFormat="1" ht="15" hidden="1">
      <c r="A564" s="1436" t="s">
        <v>1522</v>
      </c>
      <c r="B564" s="1437" t="s">
        <v>2037</v>
      </c>
      <c r="C564" s="1337"/>
      <c r="D564" s="1439"/>
      <c r="E564" s="1221"/>
      <c r="F564" s="1450"/>
      <c r="G564" s="1453">
        <f>WORK!I2336</f>
        <v>0</v>
      </c>
      <c r="H564" s="1439" t="s">
        <v>102</v>
      </c>
      <c r="I564" s="1454">
        <f>WORK!K2336</f>
        <v>5976.6</v>
      </c>
      <c r="J564" s="1450">
        <f>ROUND(G564*I564,0)</f>
        <v>0</v>
      </c>
      <c r="K564" s="1912"/>
      <c r="L564" s="1912"/>
      <c r="M564" s="1451" t="s">
        <v>2321</v>
      </c>
      <c r="N564" s="1446"/>
      <c r="O564" s="1452">
        <f t="shared" si="82"/>
        <v>0</v>
      </c>
    </row>
    <row r="565" spans="1:15" s="1448" customFormat="1" ht="38.25" hidden="1">
      <c r="A565" s="1436" t="s">
        <v>516</v>
      </c>
      <c r="B565" s="1437" t="s">
        <v>3406</v>
      </c>
      <c r="C565" s="1337"/>
      <c r="D565" s="1439"/>
      <c r="E565" s="1221"/>
      <c r="F565" s="1450"/>
      <c r="G565" s="1453">
        <f>WORK!I2470</f>
        <v>0</v>
      </c>
      <c r="H565" s="1439" t="s">
        <v>102</v>
      </c>
      <c r="I565" s="1454">
        <f>WORK!K2470</f>
        <v>6869.57</v>
      </c>
      <c r="J565" s="1450">
        <f>ROUND(G565*I565,0)</f>
        <v>0</v>
      </c>
      <c r="K565" s="1913"/>
      <c r="L565" s="1913"/>
      <c r="M565" s="1451" t="s">
        <v>2322</v>
      </c>
      <c r="N565" s="1446"/>
      <c r="O565" s="1452">
        <f t="shared" si="82"/>
        <v>0</v>
      </c>
    </row>
    <row r="566" spans="1:15" s="360" customFormat="1" ht="15" hidden="1">
      <c r="A566" s="356" t="s">
        <v>1147</v>
      </c>
      <c r="B566" s="707" t="s">
        <v>2038</v>
      </c>
      <c r="C566" s="554"/>
      <c r="D566" s="354"/>
      <c r="E566" s="10"/>
      <c r="F566" s="353"/>
      <c r="G566" s="358">
        <f>WORK!I2066</f>
        <v>0</v>
      </c>
      <c r="H566" s="354" t="s">
        <v>102</v>
      </c>
      <c r="I566" s="355">
        <f>WORK!K2066</f>
        <v>5617.52</v>
      </c>
      <c r="J566" s="353">
        <f t="shared" ref="J566" si="89">ROUND(G566*I566,0)</f>
        <v>0</v>
      </c>
      <c r="K566" s="1911">
        <f>IF((J566+J567+J568+J569)&gt;(F566+F567+F568+F569),(J566+J567+J568+J569)-(F566+F567+F568+F569),0)</f>
        <v>0</v>
      </c>
      <c r="L566" s="1911">
        <f>IF((J566+J567+J568+J569)&lt;(F566+F567+F568+F569),(F566+F567+F568+F569)-(J566+J567+J568+J569),0)</f>
        <v>0</v>
      </c>
      <c r="M566" s="708" t="s">
        <v>2226</v>
      </c>
      <c r="N566" s="223"/>
      <c r="O566" s="706">
        <f t="shared" si="82"/>
        <v>0</v>
      </c>
    </row>
    <row r="567" spans="1:15" s="360" customFormat="1" ht="15" hidden="1">
      <c r="A567" s="356" t="s">
        <v>1147</v>
      </c>
      <c r="B567" s="707" t="s">
        <v>2038</v>
      </c>
      <c r="C567" s="554"/>
      <c r="D567" s="354"/>
      <c r="E567" s="10"/>
      <c r="F567" s="353"/>
      <c r="G567" s="358">
        <f>WORK!I2206</f>
        <v>0</v>
      </c>
      <c r="H567" s="354" t="s">
        <v>102</v>
      </c>
      <c r="I567" s="355">
        <f>WORK!K2206</f>
        <v>5617.52</v>
      </c>
      <c r="J567" s="353">
        <f>ROUND(G567*I567,0)</f>
        <v>0</v>
      </c>
      <c r="K567" s="1912"/>
      <c r="L567" s="1912"/>
      <c r="M567" s="708" t="s">
        <v>2308</v>
      </c>
      <c r="N567" s="223"/>
      <c r="O567" s="706">
        <f t="shared" si="82"/>
        <v>0</v>
      </c>
    </row>
    <row r="568" spans="1:15" s="360" customFormat="1" ht="15" hidden="1">
      <c r="A568" s="356" t="s">
        <v>1147</v>
      </c>
      <c r="B568" s="707" t="s">
        <v>2038</v>
      </c>
      <c r="C568" s="554"/>
      <c r="D568" s="354"/>
      <c r="E568" s="10"/>
      <c r="F568" s="353"/>
      <c r="G568" s="358">
        <f>WORK!I2343</f>
        <v>0</v>
      </c>
      <c r="H568" s="354" t="s">
        <v>102</v>
      </c>
      <c r="I568" s="355">
        <f>WORK!K2343</f>
        <v>5663.52</v>
      </c>
      <c r="J568" s="353">
        <f>ROUND(G568*I568,0)</f>
        <v>0</v>
      </c>
      <c r="K568" s="1912"/>
      <c r="L568" s="1912"/>
      <c r="M568" s="708" t="s">
        <v>2321</v>
      </c>
      <c r="N568" s="223"/>
      <c r="O568" s="706">
        <f t="shared" si="82"/>
        <v>0</v>
      </c>
    </row>
    <row r="569" spans="1:15" s="360" customFormat="1" ht="15" hidden="1">
      <c r="A569" s="356" t="s">
        <v>1147</v>
      </c>
      <c r="B569" s="707" t="s">
        <v>2038</v>
      </c>
      <c r="C569" s="554"/>
      <c r="D569" s="354"/>
      <c r="E569" s="10"/>
      <c r="F569" s="353"/>
      <c r="G569" s="358">
        <f>WORK!I2477</f>
        <v>0</v>
      </c>
      <c r="H569" s="354" t="s">
        <v>102</v>
      </c>
      <c r="I569" s="355">
        <f>WORK!K2477</f>
        <v>6508.85</v>
      </c>
      <c r="J569" s="353">
        <f>ROUND(G569*I569,0)</f>
        <v>0</v>
      </c>
      <c r="K569" s="1913"/>
      <c r="L569" s="1913"/>
      <c r="M569" s="708" t="s">
        <v>2322</v>
      </c>
      <c r="N569" s="223"/>
      <c r="O569" s="706">
        <f t="shared" si="82"/>
        <v>0</v>
      </c>
    </row>
    <row r="570" spans="1:15" s="360" customFormat="1" ht="51" hidden="1">
      <c r="A570" s="356" t="s">
        <v>1143</v>
      </c>
      <c r="B570" s="707" t="s">
        <v>3301</v>
      </c>
      <c r="C570" s="1114"/>
      <c r="D570" s="916" t="s">
        <v>277</v>
      </c>
      <c r="E570" s="570">
        <v>2770</v>
      </c>
      <c r="F570" s="917">
        <f>ROUND(C570*E570/1,0)</f>
        <v>0</v>
      </c>
      <c r="G570" s="358"/>
      <c r="H570" s="354"/>
      <c r="I570" s="355"/>
      <c r="J570" s="353">
        <f t="shared" ref="J570" si="90">ROUND(G570*I570,0)</f>
        <v>0</v>
      </c>
      <c r="K570" s="743">
        <f t="shared" ref="K570" si="91">IF(J570&gt;F570,J570-F570,0)</f>
        <v>0</v>
      </c>
      <c r="L570" s="368">
        <f t="shared" ref="L570" si="92">IF(J570&lt;F570,F570-J570,0)</f>
        <v>0</v>
      </c>
      <c r="M570" s="1139" t="s">
        <v>2226</v>
      </c>
      <c r="N570" s="223"/>
      <c r="O570" s="1138">
        <f t="shared" si="82"/>
        <v>0</v>
      </c>
    </row>
    <row r="571" spans="1:15" s="360" customFormat="1" ht="38.25" hidden="1">
      <c r="A571" s="356" t="s">
        <v>1586</v>
      </c>
      <c r="B571" s="707" t="s">
        <v>3302</v>
      </c>
      <c r="C571" s="720"/>
      <c r="D571" s="916" t="s">
        <v>102</v>
      </c>
      <c r="E571" s="570">
        <v>7288</v>
      </c>
      <c r="F571" s="917">
        <f t="shared" ref="F571" si="93">ROUND(C571*E571,0)</f>
        <v>0</v>
      </c>
      <c r="G571" s="358">
        <f>WORK!I2073</f>
        <v>0</v>
      </c>
      <c r="H571" s="354" t="s">
        <v>102</v>
      </c>
      <c r="I571" s="355">
        <f>WORK!K2073</f>
        <v>8058</v>
      </c>
      <c r="J571" s="353">
        <f t="shared" ref="J571:J619" si="94">ROUND(G571*I571,0)</f>
        <v>0</v>
      </c>
      <c r="K571" s="1911">
        <f>IF((J571+J572+J573+J574)&gt;(F571+F572+F573+F574),(J571+J572+J573+J574)-(F571+F572+F573+F574),0)</f>
        <v>0</v>
      </c>
      <c r="L571" s="1911">
        <f>IF((J571+J572+J573+J574)&lt;(F571+F572+F573+F574),(F571+F572+F573+F574)-(J571+J572+J573+J574),0)</f>
        <v>0</v>
      </c>
      <c r="M571" s="1139" t="s">
        <v>2226</v>
      </c>
      <c r="N571" s="223"/>
      <c r="O571" s="1138">
        <f t="shared" si="82"/>
        <v>0</v>
      </c>
    </row>
    <row r="572" spans="1:15" s="360" customFormat="1" ht="25.5" hidden="1">
      <c r="A572" s="356" t="s">
        <v>512</v>
      </c>
      <c r="B572" s="707" t="s">
        <v>965</v>
      </c>
      <c r="C572" s="554"/>
      <c r="D572" s="354"/>
      <c r="E572" s="10"/>
      <c r="F572" s="353"/>
      <c r="G572" s="1147">
        <f>WORK!I2212</f>
        <v>0</v>
      </c>
      <c r="H572" s="1314" t="s">
        <v>102</v>
      </c>
      <c r="I572" s="910">
        <f>WORK!K2212</f>
        <v>8058</v>
      </c>
      <c r="J572" s="1315">
        <f>ROUND(G572*I572,0)</f>
        <v>0</v>
      </c>
      <c r="K572" s="1912"/>
      <c r="L572" s="1912"/>
      <c r="M572" s="708" t="s">
        <v>2308</v>
      </c>
      <c r="N572" s="223"/>
      <c r="O572" s="706">
        <f t="shared" si="82"/>
        <v>0</v>
      </c>
    </row>
    <row r="573" spans="1:15" s="1448" customFormat="1" ht="25.5" hidden="1">
      <c r="A573" s="1436" t="s">
        <v>512</v>
      </c>
      <c r="B573" s="1437" t="s">
        <v>965</v>
      </c>
      <c r="C573" s="1337"/>
      <c r="D573" s="1439"/>
      <c r="E573" s="1221"/>
      <c r="F573" s="1450"/>
      <c r="G573" s="1453">
        <f>WORK!I2349</f>
        <v>0</v>
      </c>
      <c r="H573" s="1439" t="s">
        <v>102</v>
      </c>
      <c r="I573" s="1454">
        <f>WORK!K2349</f>
        <v>8058</v>
      </c>
      <c r="J573" s="1450">
        <f>ROUND(G573*I573,0)</f>
        <v>0</v>
      </c>
      <c r="K573" s="1912"/>
      <c r="L573" s="1912"/>
      <c r="M573" s="1451" t="s">
        <v>2321</v>
      </c>
      <c r="N573" s="1446"/>
      <c r="O573" s="1452">
        <f t="shared" si="82"/>
        <v>0</v>
      </c>
    </row>
    <row r="574" spans="1:15" s="360" customFormat="1" ht="38.25" hidden="1">
      <c r="A574" s="356" t="s">
        <v>513</v>
      </c>
      <c r="B574" s="707" t="s">
        <v>3302</v>
      </c>
      <c r="C574" s="554"/>
      <c r="D574" s="354"/>
      <c r="E574" s="10"/>
      <c r="F574" s="353"/>
      <c r="G574" s="1147">
        <f>WORK!I2483</f>
        <v>0</v>
      </c>
      <c r="H574" s="1314" t="s">
        <v>102</v>
      </c>
      <c r="I574" s="910">
        <f>WORK!K2483</f>
        <v>8622</v>
      </c>
      <c r="J574" s="1315">
        <f>ROUND(G574*I574,0)</f>
        <v>0</v>
      </c>
      <c r="K574" s="1913"/>
      <c r="L574" s="1913"/>
      <c r="M574" s="1139" t="s">
        <v>2322</v>
      </c>
      <c r="N574" s="223"/>
      <c r="O574" s="1138">
        <f t="shared" si="82"/>
        <v>0</v>
      </c>
    </row>
    <row r="575" spans="1:15" s="1448" customFormat="1" ht="25.5">
      <c r="A575" s="1436" t="s">
        <v>495</v>
      </c>
      <c r="B575" s="1437" t="s">
        <v>965</v>
      </c>
      <c r="C575" s="1449"/>
      <c r="D575" s="1439"/>
      <c r="E575" s="1221"/>
      <c r="F575" s="1450"/>
      <c r="G575" s="1453">
        <f>WORK!I2077</f>
        <v>15.84</v>
      </c>
      <c r="H575" s="1439" t="s">
        <v>102</v>
      </c>
      <c r="I575" s="1454">
        <f>WORK!K2077</f>
        <v>6038</v>
      </c>
      <c r="J575" s="1450">
        <f t="shared" si="94"/>
        <v>95642</v>
      </c>
      <c r="K575" s="1911">
        <f>IF((J575+J576+J577+J578)&gt;(F575+F576+F577+F578),(J575+J576+J577+J578)-(F575+F576+F577+F578),0)</f>
        <v>95642</v>
      </c>
      <c r="L575" s="1911">
        <f>IF((J575+J576+J577+J578)&lt;(F575+F576+F577+F578),(F575+F576+F577+F578)-(J575+J576+J577+J578),0)</f>
        <v>0</v>
      </c>
      <c r="M575" s="1451" t="s">
        <v>2226</v>
      </c>
      <c r="N575" s="1446"/>
      <c r="O575" s="1452">
        <f t="shared" si="82"/>
        <v>-95642</v>
      </c>
    </row>
    <row r="576" spans="1:15" s="360" customFormat="1" ht="25.5" hidden="1">
      <c r="A576" s="356" t="s">
        <v>1146</v>
      </c>
      <c r="B576" s="707" t="s">
        <v>965</v>
      </c>
      <c r="C576" s="709"/>
      <c r="D576" s="354"/>
      <c r="E576" s="10"/>
      <c r="F576" s="353"/>
      <c r="G576" s="358">
        <f>WORK!I2216</f>
        <v>0</v>
      </c>
      <c r="H576" s="354" t="s">
        <v>102</v>
      </c>
      <c r="I576" s="355">
        <f>WORK!K2216</f>
        <v>6038</v>
      </c>
      <c r="J576" s="353">
        <f>ROUND(G576*I576,0)</f>
        <v>0</v>
      </c>
      <c r="K576" s="1912"/>
      <c r="L576" s="1912"/>
      <c r="M576" s="708" t="s">
        <v>2308</v>
      </c>
      <c r="N576" s="223"/>
      <c r="O576" s="706">
        <f t="shared" si="82"/>
        <v>0</v>
      </c>
    </row>
    <row r="577" spans="1:15" s="360" customFormat="1" ht="25.5" hidden="1">
      <c r="A577" s="356" t="s">
        <v>1145</v>
      </c>
      <c r="B577" s="707" t="s">
        <v>965</v>
      </c>
      <c r="C577" s="709"/>
      <c r="D577" s="354"/>
      <c r="E577" s="10"/>
      <c r="F577" s="353"/>
      <c r="G577" s="358">
        <f>WORK!I2353</f>
        <v>0</v>
      </c>
      <c r="H577" s="354" t="s">
        <v>102</v>
      </c>
      <c r="I577" s="355">
        <f>WORK!K2353</f>
        <v>6038</v>
      </c>
      <c r="J577" s="353">
        <f>ROUND(G577*I577,0)</f>
        <v>0</v>
      </c>
      <c r="K577" s="1912"/>
      <c r="L577" s="1912"/>
      <c r="M577" s="708" t="s">
        <v>2321</v>
      </c>
      <c r="N577" s="223"/>
      <c r="O577" s="706">
        <f t="shared" si="82"/>
        <v>0</v>
      </c>
    </row>
    <row r="578" spans="1:15" s="1448" customFormat="1" ht="25.5" hidden="1">
      <c r="A578" s="1436" t="s">
        <v>517</v>
      </c>
      <c r="B578" s="1437" t="s">
        <v>965</v>
      </c>
      <c r="C578" s="1449"/>
      <c r="D578" s="1439"/>
      <c r="E578" s="1221"/>
      <c r="F578" s="1450"/>
      <c r="G578" s="1453">
        <f>WORK!I2487</f>
        <v>0</v>
      </c>
      <c r="H578" s="1439" t="s">
        <v>102</v>
      </c>
      <c r="I578" s="1454">
        <f>WORK!K2487</f>
        <v>6460</v>
      </c>
      <c r="J578" s="1450">
        <f>ROUND(G578*I578,0)</f>
        <v>0</v>
      </c>
      <c r="K578" s="1913"/>
      <c r="L578" s="1913"/>
      <c r="M578" s="1451" t="s">
        <v>2322</v>
      </c>
      <c r="N578" s="1446"/>
      <c r="O578" s="1452">
        <f t="shared" si="82"/>
        <v>0</v>
      </c>
    </row>
    <row r="579" spans="1:15" s="360" customFormat="1" ht="25.5" hidden="1">
      <c r="A579" s="356" t="s">
        <v>1579</v>
      </c>
      <c r="B579" s="707" t="s">
        <v>966</v>
      </c>
      <c r="C579" s="709"/>
      <c r="D579" s="354"/>
      <c r="E579" s="10"/>
      <c r="F579" s="353"/>
      <c r="G579" s="358">
        <f>WORK!I2081</f>
        <v>0</v>
      </c>
      <c r="H579" s="354" t="s">
        <v>102</v>
      </c>
      <c r="I579" s="355">
        <f>WORK!K2081</f>
        <v>5830</v>
      </c>
      <c r="J579" s="353">
        <f t="shared" si="94"/>
        <v>0</v>
      </c>
      <c r="K579" s="1911">
        <f>IF((J579+J580+J581+J582)&gt;(F579+F580+F581+F582),(J579+J580+J581+J582)-(F579+F580+F581+F582),0)</f>
        <v>0</v>
      </c>
      <c r="L579" s="1911">
        <f>IF((J579+J580+J581+J582)&lt;(F579+F580+F581+F582),(F579+F580+F581+F582)-(J579+J580+J581+J582),0)</f>
        <v>0</v>
      </c>
      <c r="M579" s="708" t="s">
        <v>2226</v>
      </c>
      <c r="N579" s="223"/>
      <c r="O579" s="706">
        <f t="shared" si="82"/>
        <v>0</v>
      </c>
    </row>
    <row r="580" spans="1:15" s="360" customFormat="1" ht="25.5" hidden="1">
      <c r="A580" s="356" t="s">
        <v>1579</v>
      </c>
      <c r="B580" s="707" t="s">
        <v>966</v>
      </c>
      <c r="C580" s="709"/>
      <c r="D580" s="354"/>
      <c r="E580" s="10"/>
      <c r="F580" s="353"/>
      <c r="G580" s="358">
        <f>WORK!I2222</f>
        <v>0</v>
      </c>
      <c r="H580" s="354" t="s">
        <v>102</v>
      </c>
      <c r="I580" s="355">
        <f>WORK!K2222</f>
        <v>5830</v>
      </c>
      <c r="J580" s="353">
        <f>ROUND(G580*I580,0)</f>
        <v>0</v>
      </c>
      <c r="K580" s="1912"/>
      <c r="L580" s="1912"/>
      <c r="M580" s="708" t="s">
        <v>2308</v>
      </c>
      <c r="N580" s="223"/>
      <c r="O580" s="706">
        <f t="shared" si="82"/>
        <v>0</v>
      </c>
    </row>
    <row r="581" spans="1:15" s="360" customFormat="1" ht="25.5" hidden="1">
      <c r="A581" s="356" t="s">
        <v>1579</v>
      </c>
      <c r="B581" s="707" t="s">
        <v>966</v>
      </c>
      <c r="C581" s="709"/>
      <c r="D581" s="354"/>
      <c r="E581" s="10"/>
      <c r="F581" s="353"/>
      <c r="G581" s="358">
        <f>WORK!I2357</f>
        <v>0</v>
      </c>
      <c r="H581" s="354" t="s">
        <v>102</v>
      </c>
      <c r="I581" s="355">
        <f>WORK!K2357</f>
        <v>5830</v>
      </c>
      <c r="J581" s="353">
        <f>ROUND(G581*I581,0)</f>
        <v>0</v>
      </c>
      <c r="K581" s="1912"/>
      <c r="L581" s="1912"/>
      <c r="M581" s="708" t="s">
        <v>2321</v>
      </c>
      <c r="N581" s="223"/>
      <c r="O581" s="706">
        <f t="shared" si="82"/>
        <v>0</v>
      </c>
    </row>
    <row r="582" spans="1:15" s="360" customFormat="1" ht="25.5" hidden="1">
      <c r="A582" s="356" t="s">
        <v>1579</v>
      </c>
      <c r="B582" s="707" t="s">
        <v>966</v>
      </c>
      <c r="C582" s="709"/>
      <c r="D582" s="354"/>
      <c r="E582" s="10"/>
      <c r="F582" s="353"/>
      <c r="G582" s="358">
        <f>WORK!I2491</f>
        <v>0</v>
      </c>
      <c r="H582" s="354" t="s">
        <v>102</v>
      </c>
      <c r="I582" s="355">
        <f>WORK!K2491</f>
        <v>6238</v>
      </c>
      <c r="J582" s="353">
        <f>ROUND(G582*I582,0)</f>
        <v>0</v>
      </c>
      <c r="K582" s="1913"/>
      <c r="L582" s="1913"/>
      <c r="M582" s="708" t="s">
        <v>2322</v>
      </c>
      <c r="N582" s="223"/>
      <c r="O582" s="706">
        <f t="shared" si="82"/>
        <v>0</v>
      </c>
    </row>
    <row r="583" spans="1:15" s="360" customFormat="1" ht="15" hidden="1">
      <c r="A583" s="356"/>
      <c r="B583" s="707" t="s">
        <v>2294</v>
      </c>
      <c r="C583" s="709"/>
      <c r="D583" s="354"/>
      <c r="E583" s="10"/>
      <c r="F583" s="353"/>
      <c r="G583" s="358">
        <f>WORK!I2086</f>
        <v>0</v>
      </c>
      <c r="H583" s="354" t="s">
        <v>102</v>
      </c>
      <c r="I583" s="355">
        <f>WORK!K2086</f>
        <v>3797</v>
      </c>
      <c r="J583" s="353">
        <f t="shared" si="94"/>
        <v>0</v>
      </c>
      <c r="K583" s="1911">
        <f>IF((J583+J584+J585+J586)&gt;(F583+F584+F585+F586),(J583+J584+J585+J586)-(F583+F584+F585+F586),0)</f>
        <v>0</v>
      </c>
      <c r="L583" s="1911">
        <f>IF((J583+J584+J585+J586)&lt;(F583+F584+F585+F586),(F583+F584+F585+F586)-(J583+J584+J585+J586),0)</f>
        <v>0</v>
      </c>
      <c r="M583" s="708" t="s">
        <v>2226</v>
      </c>
      <c r="N583" s="223"/>
      <c r="O583" s="706">
        <f t="shared" si="82"/>
        <v>0</v>
      </c>
    </row>
    <row r="584" spans="1:15" s="360" customFormat="1" ht="15" hidden="1">
      <c r="A584" s="356"/>
      <c r="B584" s="707" t="s">
        <v>2294</v>
      </c>
      <c r="C584" s="709"/>
      <c r="D584" s="354"/>
      <c r="E584" s="10"/>
      <c r="F584" s="353"/>
      <c r="G584" s="358">
        <f>WORK!I2227</f>
        <v>0</v>
      </c>
      <c r="H584" s="354" t="s">
        <v>102</v>
      </c>
      <c r="I584" s="355">
        <f>WORK!K2227</f>
        <v>3797</v>
      </c>
      <c r="J584" s="353">
        <f>ROUND(G584*I584,0)</f>
        <v>0</v>
      </c>
      <c r="K584" s="1912"/>
      <c r="L584" s="1912"/>
      <c r="M584" s="708" t="s">
        <v>2308</v>
      </c>
      <c r="N584" s="223"/>
      <c r="O584" s="706">
        <f t="shared" si="82"/>
        <v>0</v>
      </c>
    </row>
    <row r="585" spans="1:15" s="360" customFormat="1" ht="15" hidden="1">
      <c r="A585" s="356"/>
      <c r="B585" s="707" t="s">
        <v>2294</v>
      </c>
      <c r="C585" s="709"/>
      <c r="D585" s="354"/>
      <c r="E585" s="10"/>
      <c r="F585" s="353"/>
      <c r="G585" s="358">
        <f>WORK!I2362</f>
        <v>0</v>
      </c>
      <c r="H585" s="354" t="s">
        <v>102</v>
      </c>
      <c r="I585" s="355">
        <f>WORK!K2362</f>
        <v>3797</v>
      </c>
      <c r="J585" s="353">
        <f>ROUND(G585*I585,0)</f>
        <v>0</v>
      </c>
      <c r="K585" s="1912"/>
      <c r="L585" s="1912"/>
      <c r="M585" s="708" t="s">
        <v>2321</v>
      </c>
      <c r="N585" s="223"/>
      <c r="O585" s="706">
        <f t="shared" si="82"/>
        <v>0</v>
      </c>
    </row>
    <row r="586" spans="1:15" s="360" customFormat="1" ht="15" hidden="1">
      <c r="A586" s="356"/>
      <c r="B586" s="707" t="s">
        <v>2294</v>
      </c>
      <c r="C586" s="709"/>
      <c r="D586" s="354"/>
      <c r="E586" s="10"/>
      <c r="F586" s="353"/>
      <c r="G586" s="358">
        <f>WORK!I2496</f>
        <v>0</v>
      </c>
      <c r="H586" s="354" t="s">
        <v>102</v>
      </c>
      <c r="I586" s="355">
        <f>WORK!K2496</f>
        <v>4062</v>
      </c>
      <c r="J586" s="353">
        <f>ROUND(G586*I586,0)</f>
        <v>0</v>
      </c>
      <c r="K586" s="1913"/>
      <c r="L586" s="1913"/>
      <c r="M586" s="708" t="s">
        <v>2322</v>
      </c>
      <c r="N586" s="223"/>
      <c r="O586" s="706">
        <f t="shared" si="82"/>
        <v>0</v>
      </c>
    </row>
    <row r="587" spans="1:15" s="360" customFormat="1" ht="15" hidden="1">
      <c r="A587" s="356" t="s">
        <v>1147</v>
      </c>
      <c r="B587" s="707" t="s">
        <v>712</v>
      </c>
      <c r="C587" s="710"/>
      <c r="D587" s="354"/>
      <c r="E587" s="362"/>
      <c r="F587" s="353"/>
      <c r="G587" s="358">
        <f>WORK!I2091</f>
        <v>0</v>
      </c>
      <c r="H587" s="354" t="s">
        <v>115</v>
      </c>
      <c r="I587" s="355">
        <f>WORK!K2091</f>
        <v>494.94</v>
      </c>
      <c r="J587" s="353">
        <f t="shared" si="94"/>
        <v>0</v>
      </c>
      <c r="K587" s="1911">
        <f>IF((J587+J588+J589+J590)&gt;(F587+F588+F589+F590),(J587+J588+J589+J590)-(F587+F588+F589+F590),0)</f>
        <v>0</v>
      </c>
      <c r="L587" s="1911">
        <f>IF((J587+J588+J589+J590)&lt;(F587+F588+F589+F590),(F587+F588+F589+F590)-(J587+J588+J589+J590),0)</f>
        <v>0</v>
      </c>
      <c r="M587" s="708" t="s">
        <v>2226</v>
      </c>
      <c r="N587" s="223"/>
      <c r="O587" s="706">
        <f t="shared" si="82"/>
        <v>0</v>
      </c>
    </row>
    <row r="588" spans="1:15" s="360" customFormat="1" ht="15" hidden="1">
      <c r="A588" s="356" t="s">
        <v>1147</v>
      </c>
      <c r="B588" s="707" t="s">
        <v>712</v>
      </c>
      <c r="C588" s="710"/>
      <c r="D588" s="354"/>
      <c r="E588" s="362"/>
      <c r="F588" s="353"/>
      <c r="G588" s="358">
        <f>WORK!I2232</f>
        <v>0</v>
      </c>
      <c r="H588" s="354" t="s">
        <v>115</v>
      </c>
      <c r="I588" s="355">
        <f>WORK!K2232</f>
        <v>494.64</v>
      </c>
      <c r="J588" s="353">
        <f>ROUND(G588*I588,0)</f>
        <v>0</v>
      </c>
      <c r="K588" s="1912"/>
      <c r="L588" s="1912"/>
      <c r="M588" s="708" t="s">
        <v>2308</v>
      </c>
      <c r="N588" s="223"/>
      <c r="O588" s="706">
        <f t="shared" si="82"/>
        <v>0</v>
      </c>
    </row>
    <row r="589" spans="1:15" s="360" customFormat="1" ht="15" hidden="1">
      <c r="A589" s="356" t="s">
        <v>1147</v>
      </c>
      <c r="B589" s="707" t="s">
        <v>712</v>
      </c>
      <c r="C589" s="710"/>
      <c r="D589" s="354"/>
      <c r="E589" s="362"/>
      <c r="F589" s="353"/>
      <c r="G589" s="358">
        <f>WORK!I2367</f>
        <v>0</v>
      </c>
      <c r="H589" s="354" t="s">
        <v>115</v>
      </c>
      <c r="I589" s="355">
        <f>WORK!K2367</f>
        <v>520.87</v>
      </c>
      <c r="J589" s="353">
        <f>ROUND(G589*I589,0)</f>
        <v>0</v>
      </c>
      <c r="K589" s="1912"/>
      <c r="L589" s="1912"/>
      <c r="M589" s="708" t="s">
        <v>2321</v>
      </c>
      <c r="N589" s="223"/>
      <c r="O589" s="706">
        <f t="shared" ref="O589:O653" si="95">F589-J589</f>
        <v>0</v>
      </c>
    </row>
    <row r="590" spans="1:15" s="360" customFormat="1" ht="15" hidden="1">
      <c r="A590" s="356" t="s">
        <v>1147</v>
      </c>
      <c r="B590" s="707" t="s">
        <v>712</v>
      </c>
      <c r="C590" s="710"/>
      <c r="D590" s="354"/>
      <c r="E590" s="362"/>
      <c r="F590" s="353"/>
      <c r="G590" s="358">
        <f>WORK!I2501</f>
        <v>0</v>
      </c>
      <c r="H590" s="354" t="s">
        <v>115</v>
      </c>
      <c r="I590" s="355">
        <f>WORK!K2501</f>
        <v>576.98</v>
      </c>
      <c r="J590" s="353">
        <f>ROUND(G590*I590,0)</f>
        <v>0</v>
      </c>
      <c r="K590" s="1913"/>
      <c r="L590" s="1913"/>
      <c r="M590" s="708" t="s">
        <v>2322</v>
      </c>
      <c r="N590" s="223"/>
      <c r="O590" s="706">
        <f t="shared" si="95"/>
        <v>0</v>
      </c>
    </row>
    <row r="591" spans="1:15" s="1448" customFormat="1" ht="15">
      <c r="A591" s="1436" t="s">
        <v>1517</v>
      </c>
      <c r="B591" s="1437" t="s">
        <v>932</v>
      </c>
      <c r="C591" s="1483"/>
      <c r="D591" s="1439"/>
      <c r="E591" s="1484"/>
      <c r="F591" s="1450"/>
      <c r="G591" s="1453">
        <f>WORK!I2096</f>
        <v>2.16</v>
      </c>
      <c r="H591" s="1439" t="s">
        <v>102</v>
      </c>
      <c r="I591" s="1454">
        <f>WORK!K2096</f>
        <v>513.1</v>
      </c>
      <c r="J591" s="1450">
        <f t="shared" si="94"/>
        <v>1108</v>
      </c>
      <c r="K591" s="1911">
        <f>IF((J591+J592+J593+J594)&gt;(F591+F592+F593+F594),(J591+J592+J593+J594)-(F591+F592+F593+F594),0)</f>
        <v>1108</v>
      </c>
      <c r="L591" s="1911">
        <f>IF((J591+J592+J593+J594)&lt;(F591+F592+F593+F594),(F591+F592+F593+F594)-(J591+J592+J593+J594),0)</f>
        <v>0</v>
      </c>
      <c r="M591" s="1451" t="s">
        <v>2226</v>
      </c>
      <c r="N591" s="1446"/>
      <c r="O591" s="1452">
        <f t="shared" si="95"/>
        <v>-1108</v>
      </c>
    </row>
    <row r="592" spans="1:15" s="360" customFormat="1" ht="15" hidden="1">
      <c r="A592" s="356" t="s">
        <v>514</v>
      </c>
      <c r="B592" s="707" t="s">
        <v>932</v>
      </c>
      <c r="C592" s="633"/>
      <c r="D592" s="354"/>
      <c r="E592" s="622"/>
      <c r="F592" s="353"/>
      <c r="G592" s="358">
        <f>WORK!I2237</f>
        <v>0</v>
      </c>
      <c r="H592" s="354" t="s">
        <v>102</v>
      </c>
      <c r="I592" s="355">
        <f>WORK!K2237</f>
        <v>529.5</v>
      </c>
      <c r="J592" s="353">
        <f>ROUND(G592*I592,0)</f>
        <v>0</v>
      </c>
      <c r="K592" s="1912"/>
      <c r="L592" s="1912"/>
      <c r="M592" s="708" t="s">
        <v>2308</v>
      </c>
      <c r="N592" s="223"/>
      <c r="O592" s="706">
        <f t="shared" si="95"/>
        <v>0</v>
      </c>
    </row>
    <row r="593" spans="1:15" s="1448" customFormat="1" ht="15" hidden="1">
      <c r="A593" s="1436" t="s">
        <v>513</v>
      </c>
      <c r="B593" s="1437" t="s">
        <v>932</v>
      </c>
      <c r="C593" s="1483"/>
      <c r="D593" s="1439"/>
      <c r="E593" s="1484"/>
      <c r="F593" s="1450"/>
      <c r="G593" s="1453">
        <f>WORK!I2372</f>
        <v>0</v>
      </c>
      <c r="H593" s="1439" t="s">
        <v>102</v>
      </c>
      <c r="I593" s="1454">
        <f>WORK!K2372</f>
        <v>554.35</v>
      </c>
      <c r="J593" s="1450">
        <f>ROUND(G593*I593,0)</f>
        <v>0</v>
      </c>
      <c r="K593" s="1912"/>
      <c r="L593" s="1912"/>
      <c r="M593" s="1451" t="s">
        <v>2321</v>
      </c>
      <c r="N593" s="1446"/>
      <c r="O593" s="1452">
        <f t="shared" si="95"/>
        <v>0</v>
      </c>
    </row>
    <row r="594" spans="1:15" s="360" customFormat="1" ht="15" hidden="1">
      <c r="A594" s="356" t="s">
        <v>518</v>
      </c>
      <c r="B594" s="707" t="s">
        <v>932</v>
      </c>
      <c r="C594" s="633"/>
      <c r="D594" s="354"/>
      <c r="E594" s="622"/>
      <c r="F594" s="353"/>
      <c r="G594" s="358">
        <f>WORK!I2506</f>
        <v>0</v>
      </c>
      <c r="H594" s="354" t="s">
        <v>102</v>
      </c>
      <c r="I594" s="355">
        <f>WORK!K2506</f>
        <v>604.07999999999993</v>
      </c>
      <c r="J594" s="353">
        <f>ROUND(G594*I594,0)</f>
        <v>0</v>
      </c>
      <c r="K594" s="1913"/>
      <c r="L594" s="1913"/>
      <c r="M594" s="708" t="s">
        <v>2322</v>
      </c>
      <c r="N594" s="223"/>
      <c r="O594" s="706">
        <f t="shared" si="95"/>
        <v>0</v>
      </c>
    </row>
    <row r="595" spans="1:15" s="1448" customFormat="1" ht="51">
      <c r="A595" s="1436" t="s">
        <v>1518</v>
      </c>
      <c r="B595" s="1437" t="s">
        <v>3303</v>
      </c>
      <c r="C595" s="1455"/>
      <c r="D595" s="1439"/>
      <c r="E595" s="1456"/>
      <c r="F595" s="1450"/>
      <c r="G595" s="1453">
        <f>WORK!I2101</f>
        <v>385</v>
      </c>
      <c r="H595" s="1439" t="s">
        <v>872</v>
      </c>
      <c r="I595" s="1454">
        <f>WORK!K2101</f>
        <v>84.009999999999991</v>
      </c>
      <c r="J595" s="1450">
        <f t="shared" si="94"/>
        <v>32344</v>
      </c>
      <c r="K595" s="1911">
        <f>IF((J595+J596+J597+J598)&gt;(F595+F596+F597+F598),(J595+J596+J597+J598)-(F595+F596+F597+F598),0)</f>
        <v>32344</v>
      </c>
      <c r="L595" s="1911">
        <f>IF((J595+J596+J597+J598)&lt;(F595+F596+F597+F598),(F595+F596+F597+F598)-(J595+J596+J597+J598),0)</f>
        <v>0</v>
      </c>
      <c r="M595" s="1445" t="s">
        <v>2226</v>
      </c>
      <c r="N595" s="1446"/>
      <c r="O595" s="1447">
        <f t="shared" si="95"/>
        <v>-32344</v>
      </c>
    </row>
    <row r="596" spans="1:15" s="1448" customFormat="1" ht="51" hidden="1">
      <c r="A596" s="1436" t="s">
        <v>514</v>
      </c>
      <c r="B596" s="1437" t="s">
        <v>185</v>
      </c>
      <c r="C596" s="1455"/>
      <c r="D596" s="1439"/>
      <c r="E596" s="1456"/>
      <c r="F596" s="1450"/>
      <c r="G596" s="1453">
        <f>WORK!I2242</f>
        <v>0</v>
      </c>
      <c r="H596" s="1439" t="s">
        <v>872</v>
      </c>
      <c r="I596" s="1454">
        <f>WORK!K2242</f>
        <v>82.8</v>
      </c>
      <c r="J596" s="1450">
        <f>ROUND(G596*I596,0)</f>
        <v>0</v>
      </c>
      <c r="K596" s="1912"/>
      <c r="L596" s="1912"/>
      <c r="M596" s="1451" t="s">
        <v>2308</v>
      </c>
      <c r="N596" s="1446"/>
      <c r="O596" s="1452">
        <f t="shared" si="95"/>
        <v>0</v>
      </c>
    </row>
    <row r="597" spans="1:15" s="1448" customFormat="1" ht="15" hidden="1">
      <c r="A597" s="1436" t="s">
        <v>518</v>
      </c>
      <c r="B597" s="1437" t="s">
        <v>542</v>
      </c>
      <c r="C597" s="1455"/>
      <c r="D597" s="1439"/>
      <c r="E597" s="1456"/>
      <c r="F597" s="1450"/>
      <c r="G597" s="1453">
        <f>WORK!I2377</f>
        <v>0</v>
      </c>
      <c r="H597" s="1439" t="s">
        <v>872</v>
      </c>
      <c r="I597" s="1454">
        <f>WORK!K2377</f>
        <v>95.89</v>
      </c>
      <c r="J597" s="1450">
        <f>ROUND(G597*I597,0)</f>
        <v>0</v>
      </c>
      <c r="K597" s="1912"/>
      <c r="L597" s="1912"/>
      <c r="M597" s="1451" t="s">
        <v>2321</v>
      </c>
      <c r="N597" s="1446"/>
      <c r="O597" s="1452">
        <f t="shared" si="95"/>
        <v>0</v>
      </c>
    </row>
    <row r="598" spans="1:15" s="360" customFormat="1" ht="51" hidden="1">
      <c r="A598" s="356" t="s">
        <v>519</v>
      </c>
      <c r="B598" s="707" t="s">
        <v>3303</v>
      </c>
      <c r="C598" s="710"/>
      <c r="D598" s="354"/>
      <c r="E598" s="362"/>
      <c r="F598" s="353"/>
      <c r="G598" s="358">
        <f>WORK!I2511</f>
        <v>0</v>
      </c>
      <c r="H598" s="354" t="s">
        <v>872</v>
      </c>
      <c r="I598" s="355">
        <f>WORK!K2511</f>
        <v>110.99</v>
      </c>
      <c r="J598" s="353">
        <f>ROUND(G598*I598,0)</f>
        <v>0</v>
      </c>
      <c r="K598" s="1913"/>
      <c r="L598" s="1913"/>
      <c r="M598" s="1139" t="s">
        <v>2322</v>
      </c>
      <c r="N598" s="223"/>
      <c r="O598" s="1138">
        <f t="shared" si="95"/>
        <v>0</v>
      </c>
    </row>
    <row r="599" spans="1:15" s="360" customFormat="1" ht="15" hidden="1">
      <c r="A599" s="356" t="s">
        <v>1594</v>
      </c>
      <c r="B599" s="707" t="s">
        <v>542</v>
      </c>
      <c r="C599" s="709"/>
      <c r="D599" s="354"/>
      <c r="E599" s="362"/>
      <c r="F599" s="353"/>
      <c r="G599" s="358">
        <f>WORK!I2108</f>
        <v>0</v>
      </c>
      <c r="H599" s="354" t="s">
        <v>102</v>
      </c>
      <c r="I599" s="355">
        <f>WORK!K2108</f>
        <v>2353.58</v>
      </c>
      <c r="J599" s="353">
        <f t="shared" si="94"/>
        <v>0</v>
      </c>
      <c r="K599" s="1911">
        <f>IF((J599+J600+J601+J602)&gt;(F599+F600+F601+F602),(J599+J600+J601+J602)-(F599+F600+F601+F602),0)</f>
        <v>0</v>
      </c>
      <c r="L599" s="1911">
        <f>IF((J599+J600+J601+J602)&lt;(F599+F600+F601+F602),(F599+F600+F601+F602)-(J599+J600+J601+J602),0)</f>
        <v>0</v>
      </c>
      <c r="M599" s="708" t="s">
        <v>2226</v>
      </c>
      <c r="N599" s="223"/>
      <c r="O599" s="706">
        <f t="shared" si="95"/>
        <v>0</v>
      </c>
    </row>
    <row r="600" spans="1:15" s="360" customFormat="1" ht="15" hidden="1">
      <c r="A600" s="356" t="s">
        <v>514</v>
      </c>
      <c r="B600" s="707" t="s">
        <v>542</v>
      </c>
      <c r="C600" s="709"/>
      <c r="D600" s="354"/>
      <c r="E600" s="362"/>
      <c r="F600" s="353"/>
      <c r="G600" s="1147">
        <f>WORK!I2247</f>
        <v>0</v>
      </c>
      <c r="H600" s="1314" t="s">
        <v>102</v>
      </c>
      <c r="I600" s="910">
        <f>WORK!K2247</f>
        <v>2324.02</v>
      </c>
      <c r="J600" s="1315">
        <f>ROUND(G600*I600,0)</f>
        <v>0</v>
      </c>
      <c r="K600" s="1912"/>
      <c r="L600" s="1912"/>
      <c r="M600" s="708" t="s">
        <v>2308</v>
      </c>
      <c r="N600" s="223"/>
      <c r="O600" s="706">
        <f t="shared" si="95"/>
        <v>0</v>
      </c>
    </row>
    <row r="601" spans="1:15" s="360" customFormat="1" ht="15" hidden="1">
      <c r="A601" s="356" t="s">
        <v>1522</v>
      </c>
      <c r="B601" s="707" t="s">
        <v>542</v>
      </c>
      <c r="C601" s="709"/>
      <c r="D601" s="354"/>
      <c r="E601" s="362"/>
      <c r="F601" s="353"/>
      <c r="G601" s="358">
        <f>WORK!I2382</f>
        <v>0</v>
      </c>
      <c r="H601" s="354" t="s">
        <v>102</v>
      </c>
      <c r="I601" s="355">
        <f>WORK!K2382</f>
        <v>2719.44</v>
      </c>
      <c r="J601" s="353">
        <f>ROUND(G601*I601,0)</f>
        <v>0</v>
      </c>
      <c r="K601" s="1912"/>
      <c r="L601" s="1912"/>
      <c r="M601" s="708" t="s">
        <v>2321</v>
      </c>
      <c r="N601" s="223"/>
      <c r="O601" s="706">
        <f t="shared" si="95"/>
        <v>0</v>
      </c>
    </row>
    <row r="602" spans="1:15" s="360" customFormat="1" ht="15" hidden="1">
      <c r="A602" s="356" t="s">
        <v>1594</v>
      </c>
      <c r="B602" s="707" t="s">
        <v>542</v>
      </c>
      <c r="C602" s="709"/>
      <c r="D602" s="354"/>
      <c r="E602" s="362"/>
      <c r="F602" s="353"/>
      <c r="G602" s="358">
        <f>WORK!I2518</f>
        <v>0</v>
      </c>
      <c r="H602" s="354" t="s">
        <v>102</v>
      </c>
      <c r="I602" s="355">
        <f>WORK!K2518</f>
        <v>3138.49</v>
      </c>
      <c r="J602" s="353">
        <f>ROUND(G602*I602,0)</f>
        <v>0</v>
      </c>
      <c r="K602" s="1913"/>
      <c r="L602" s="1913"/>
      <c r="M602" s="708" t="s">
        <v>2322</v>
      </c>
      <c r="N602" s="223"/>
      <c r="O602" s="706">
        <f t="shared" si="95"/>
        <v>0</v>
      </c>
    </row>
    <row r="603" spans="1:15" s="360" customFormat="1" ht="15" hidden="1">
      <c r="A603" s="356" t="s">
        <v>518</v>
      </c>
      <c r="B603" s="707" t="s">
        <v>632</v>
      </c>
      <c r="C603" s="633"/>
      <c r="D603" s="354"/>
      <c r="E603" s="622"/>
      <c r="F603" s="353"/>
      <c r="G603" s="358">
        <f>WORK!I2113</f>
        <v>0</v>
      </c>
      <c r="H603" s="354"/>
      <c r="I603" s="355">
        <f>WORK!K2113</f>
        <v>106.5</v>
      </c>
      <c r="J603" s="353">
        <f t="shared" si="94"/>
        <v>0</v>
      </c>
      <c r="K603" s="1911">
        <f>IF((J603+J604+J605+J606)&gt;(F603+F604+F605+F606),(J603+J604+J605+J606)-(F603+F604+F605+F606),0)</f>
        <v>0</v>
      </c>
      <c r="L603" s="1911">
        <f>IF((J603+J604+J605+J606)&lt;(F603+F604+F605+F606),(F603+F604+F605+F606)-(J603+J604+J605+J606),0)</f>
        <v>0</v>
      </c>
      <c r="M603" s="708" t="s">
        <v>2226</v>
      </c>
      <c r="N603" s="223"/>
      <c r="O603" s="706">
        <f t="shared" si="95"/>
        <v>0</v>
      </c>
    </row>
    <row r="604" spans="1:15" s="360" customFormat="1" ht="15" hidden="1">
      <c r="A604" s="356" t="s">
        <v>518</v>
      </c>
      <c r="B604" s="707" t="s">
        <v>632</v>
      </c>
      <c r="C604" s="633"/>
      <c r="D604" s="354"/>
      <c r="E604" s="622"/>
      <c r="F604" s="353"/>
      <c r="G604" s="358">
        <f>WORK!I2252</f>
        <v>0</v>
      </c>
      <c r="H604" s="354"/>
      <c r="I604" s="355">
        <f>WORK!K2252</f>
        <v>106.5</v>
      </c>
      <c r="J604" s="353">
        <f>ROUND(G604*I604,0)</f>
        <v>0</v>
      </c>
      <c r="K604" s="1912"/>
      <c r="L604" s="1912"/>
      <c r="M604" s="708" t="s">
        <v>2308</v>
      </c>
      <c r="N604" s="223"/>
      <c r="O604" s="706">
        <f t="shared" si="95"/>
        <v>0</v>
      </c>
    </row>
    <row r="605" spans="1:15" s="360" customFormat="1" ht="15" hidden="1">
      <c r="A605" s="356" t="s">
        <v>518</v>
      </c>
      <c r="B605" s="707" t="s">
        <v>632</v>
      </c>
      <c r="C605" s="633"/>
      <c r="D605" s="354"/>
      <c r="E605" s="622"/>
      <c r="F605" s="353"/>
      <c r="G605" s="358">
        <f>WORK!I2387</f>
        <v>0</v>
      </c>
      <c r="H605" s="354"/>
      <c r="I605" s="355">
        <f>WORK!K2387</f>
        <v>114.65</v>
      </c>
      <c r="J605" s="353">
        <f>ROUND(G605*I605,0)</f>
        <v>0</v>
      </c>
      <c r="K605" s="1912"/>
      <c r="L605" s="1912"/>
      <c r="M605" s="708" t="s">
        <v>2321</v>
      </c>
      <c r="N605" s="223"/>
      <c r="O605" s="706">
        <f t="shared" si="95"/>
        <v>0</v>
      </c>
    </row>
    <row r="606" spans="1:15" s="360" customFormat="1" ht="15" hidden="1">
      <c r="A606" s="356" t="s">
        <v>518</v>
      </c>
      <c r="B606" s="707" t="s">
        <v>632</v>
      </c>
      <c r="C606" s="633"/>
      <c r="D606" s="354"/>
      <c r="E606" s="622"/>
      <c r="F606" s="353"/>
      <c r="G606" s="358">
        <f>WORK!I2523</f>
        <v>0</v>
      </c>
      <c r="H606" s="354"/>
      <c r="I606" s="355">
        <f>WORK!K2523</f>
        <v>126.9</v>
      </c>
      <c r="J606" s="353">
        <f>ROUND(G606*I606,0)</f>
        <v>0</v>
      </c>
      <c r="K606" s="1913"/>
      <c r="L606" s="1913"/>
      <c r="M606" s="708" t="s">
        <v>2322</v>
      </c>
      <c r="N606" s="223"/>
      <c r="O606" s="706">
        <f t="shared" si="95"/>
        <v>0</v>
      </c>
    </row>
    <row r="607" spans="1:15" s="1448" customFormat="1" ht="15">
      <c r="A607" s="1436" t="s">
        <v>1519</v>
      </c>
      <c r="B607" s="1437" t="s">
        <v>2007</v>
      </c>
      <c r="C607" s="1483"/>
      <c r="D607" s="1439"/>
      <c r="E607" s="1484"/>
      <c r="F607" s="1450"/>
      <c r="G607" s="1453">
        <f>WORK!I2120</f>
        <v>10.98</v>
      </c>
      <c r="H607" s="1439" t="s">
        <v>102</v>
      </c>
      <c r="I607" s="1454">
        <f>WORK!K2120</f>
        <v>2839.34</v>
      </c>
      <c r="J607" s="1450">
        <f t="shared" si="94"/>
        <v>31176</v>
      </c>
      <c r="K607" s="1911">
        <f>IF((J607+J608+J609+J610)&gt;(F607+F608+F609+F610),(J607+J608+J609+J610)-(F607+F608+F609+F610),0)</f>
        <v>31176</v>
      </c>
      <c r="L607" s="1911">
        <f>IF((J607+J608+J609+J610)&lt;(F607+F608+F609+F610),(F607+F608+F609+F610)-(J607+J608+J609+J610),0)</f>
        <v>0</v>
      </c>
      <c r="M607" s="1451" t="s">
        <v>2226</v>
      </c>
      <c r="N607" s="1446"/>
      <c r="O607" s="1452">
        <f t="shared" si="95"/>
        <v>-31176</v>
      </c>
    </row>
    <row r="608" spans="1:15" s="360" customFormat="1" ht="15" hidden="1">
      <c r="A608" s="356" t="s">
        <v>1153</v>
      </c>
      <c r="B608" s="707" t="s">
        <v>2007</v>
      </c>
      <c r="C608" s="633"/>
      <c r="D608" s="354"/>
      <c r="E608" s="622"/>
      <c r="F608" s="353"/>
      <c r="G608" s="358">
        <f>WORK!I2259</f>
        <v>0</v>
      </c>
      <c r="H608" s="354" t="s">
        <v>102</v>
      </c>
      <c r="I608" s="355">
        <f>WORK!K2259</f>
        <v>2839.34</v>
      </c>
      <c r="J608" s="353">
        <f>ROUND(G608*I608,0)</f>
        <v>0</v>
      </c>
      <c r="K608" s="1912"/>
      <c r="L608" s="1912"/>
      <c r="M608" s="708" t="s">
        <v>2308</v>
      </c>
      <c r="N608" s="223"/>
      <c r="O608" s="706">
        <f t="shared" si="95"/>
        <v>0</v>
      </c>
    </row>
    <row r="609" spans="1:15" s="1448" customFormat="1" ht="15" hidden="1">
      <c r="A609" s="1436" t="s">
        <v>519</v>
      </c>
      <c r="B609" s="1437" t="s">
        <v>2007</v>
      </c>
      <c r="C609" s="1483"/>
      <c r="D609" s="1439"/>
      <c r="E609" s="1484"/>
      <c r="F609" s="1450"/>
      <c r="G609" s="1453">
        <f>WORK!I2394</f>
        <v>0</v>
      </c>
      <c r="H609" s="1439" t="s">
        <v>102</v>
      </c>
      <c r="I609" s="1454">
        <f>WORK!K2394</f>
        <v>3034.69</v>
      </c>
      <c r="J609" s="1450">
        <f>ROUND(G609*I609,0)</f>
        <v>0</v>
      </c>
      <c r="K609" s="1912"/>
      <c r="L609" s="1912"/>
      <c r="M609" s="1451" t="s">
        <v>2321</v>
      </c>
      <c r="N609" s="1446"/>
      <c r="O609" s="1452">
        <f t="shared" si="95"/>
        <v>0</v>
      </c>
    </row>
    <row r="610" spans="1:15" s="360" customFormat="1" ht="38.25" hidden="1">
      <c r="A610" s="356" t="s">
        <v>646</v>
      </c>
      <c r="B610" s="707" t="s">
        <v>3304</v>
      </c>
      <c r="C610" s="633"/>
      <c r="D610" s="354"/>
      <c r="E610" s="622"/>
      <c r="F610" s="353"/>
      <c r="G610" s="358">
        <f>WORK!I2533</f>
        <v>0</v>
      </c>
      <c r="H610" s="354" t="s">
        <v>102</v>
      </c>
      <c r="I610" s="355">
        <f>WORK!K2533</f>
        <v>3345.94</v>
      </c>
      <c r="J610" s="353">
        <f>ROUND(G610*I610,0)</f>
        <v>0</v>
      </c>
      <c r="K610" s="1913"/>
      <c r="L610" s="1913"/>
      <c r="M610" s="1139" t="s">
        <v>2322</v>
      </c>
      <c r="N610" s="223"/>
      <c r="O610" s="1138">
        <f t="shared" si="95"/>
        <v>0</v>
      </c>
    </row>
    <row r="611" spans="1:15" s="360" customFormat="1" ht="15" hidden="1">
      <c r="A611" s="356" t="s">
        <v>642</v>
      </c>
      <c r="B611" s="707" t="s">
        <v>2083</v>
      </c>
      <c r="C611" s="633"/>
      <c r="D611" s="354"/>
      <c r="E611" s="622"/>
      <c r="F611" s="353"/>
      <c r="G611" s="358">
        <f>WORK!I2128</f>
        <v>0</v>
      </c>
      <c r="H611" s="354" t="s">
        <v>102</v>
      </c>
      <c r="I611" s="355">
        <f>WORK!K2128</f>
        <v>1258.8900000000001</v>
      </c>
      <c r="J611" s="353">
        <f t="shared" si="94"/>
        <v>0</v>
      </c>
      <c r="K611" s="1911">
        <f>IF((J611+J612+J613+J614)&gt;(F611+F612+F613+F614),(J611+J612+J613+J614)-(F611+F612+F613+F614),0)</f>
        <v>0</v>
      </c>
      <c r="L611" s="1911">
        <f>IF((J611+J612+J613+J614)&lt;(F611+F612+F613+F614),(F611+F612+F613+F614)-(J611+J612+J613+J614),0)</f>
        <v>0</v>
      </c>
      <c r="M611" s="708" t="s">
        <v>2226</v>
      </c>
      <c r="N611" s="223"/>
      <c r="O611" s="706">
        <f t="shared" si="95"/>
        <v>0</v>
      </c>
    </row>
    <row r="612" spans="1:15" s="360" customFormat="1" ht="15" hidden="1">
      <c r="A612" s="356" t="s">
        <v>642</v>
      </c>
      <c r="B612" s="707" t="s">
        <v>2083</v>
      </c>
      <c r="C612" s="633"/>
      <c r="D612" s="354"/>
      <c r="E612" s="622"/>
      <c r="F612" s="353"/>
      <c r="G612" s="358">
        <f>WORK!I2267</f>
        <v>0</v>
      </c>
      <c r="H612" s="354" t="s">
        <v>102</v>
      </c>
      <c r="I612" s="355">
        <f>WORK!K2267</f>
        <v>1258.8900000000001</v>
      </c>
      <c r="J612" s="353">
        <f>ROUND(G612*I612,0)</f>
        <v>0</v>
      </c>
      <c r="K612" s="1912"/>
      <c r="L612" s="1912"/>
      <c r="M612" s="708" t="s">
        <v>2308</v>
      </c>
      <c r="N612" s="223"/>
      <c r="O612" s="706">
        <f t="shared" si="95"/>
        <v>0</v>
      </c>
    </row>
    <row r="613" spans="1:15" s="360" customFormat="1" ht="15" hidden="1">
      <c r="A613" s="356" t="s">
        <v>642</v>
      </c>
      <c r="B613" s="707" t="s">
        <v>2083</v>
      </c>
      <c r="C613" s="633"/>
      <c r="D613" s="354"/>
      <c r="E613" s="622"/>
      <c r="F613" s="353"/>
      <c r="G613" s="358">
        <f>WORK!I2402</f>
        <v>0</v>
      </c>
      <c r="H613" s="354" t="s">
        <v>102</v>
      </c>
      <c r="I613" s="355">
        <f>WORK!K2402</f>
        <v>1357.37</v>
      </c>
      <c r="J613" s="353">
        <f>ROUND(G613*I613,0)</f>
        <v>0</v>
      </c>
      <c r="K613" s="1912"/>
      <c r="L613" s="1912"/>
      <c r="M613" s="708" t="s">
        <v>2321</v>
      </c>
      <c r="N613" s="223"/>
      <c r="O613" s="706">
        <f t="shared" si="95"/>
        <v>0</v>
      </c>
    </row>
    <row r="614" spans="1:15" s="360" customFormat="1" ht="15" hidden="1">
      <c r="A614" s="356" t="s">
        <v>642</v>
      </c>
      <c r="B614" s="707" t="s">
        <v>2083</v>
      </c>
      <c r="C614" s="633"/>
      <c r="D614" s="354"/>
      <c r="E614" s="622"/>
      <c r="F614" s="353"/>
      <c r="G614" s="358">
        <f>WORK!I2541</f>
        <v>0</v>
      </c>
      <c r="H614" s="354" t="s">
        <v>102</v>
      </c>
      <c r="I614" s="355">
        <f>WORK!K2541</f>
        <v>1514.34</v>
      </c>
      <c r="J614" s="353">
        <f>ROUND(G614*I614,0)</f>
        <v>0</v>
      </c>
      <c r="K614" s="1913"/>
      <c r="L614" s="1913"/>
      <c r="M614" s="708" t="s">
        <v>2322</v>
      </c>
      <c r="N614" s="223"/>
      <c r="O614" s="706">
        <f t="shared" si="95"/>
        <v>0</v>
      </c>
    </row>
    <row r="615" spans="1:15" s="360" customFormat="1" ht="15" hidden="1">
      <c r="A615" s="356" t="s">
        <v>642</v>
      </c>
      <c r="B615" s="707" t="s">
        <v>2297</v>
      </c>
      <c r="C615" s="633"/>
      <c r="D615" s="354"/>
      <c r="E615" s="622"/>
      <c r="F615" s="353"/>
      <c r="G615" s="358">
        <f>WORK!I2133</f>
        <v>0</v>
      </c>
      <c r="H615" s="354" t="s">
        <v>872</v>
      </c>
      <c r="I615" s="355">
        <f>WORK!K2133</f>
        <v>470.28</v>
      </c>
      <c r="J615" s="353">
        <f t="shared" ref="J615" si="96">ROUND(G615*I615,0)</f>
        <v>0</v>
      </c>
      <c r="K615" s="1911">
        <f>IF((J615+J616+J617+J618)&gt;(F615+F616+F617+F618),(J615+J616+J617+J618)-(F615+F616+F617+F618),0)</f>
        <v>0</v>
      </c>
      <c r="L615" s="1911">
        <f>IF((J615+J616+J617+J618)&lt;(F615+F616+F617+F618),(F615+F616+F617+F618)-(J615+J616+J617+J618),0)</f>
        <v>0</v>
      </c>
      <c r="M615" s="708" t="s">
        <v>2226</v>
      </c>
      <c r="N615" s="223"/>
      <c r="O615" s="706">
        <f t="shared" si="95"/>
        <v>0</v>
      </c>
    </row>
    <row r="616" spans="1:15" s="360" customFormat="1" ht="15" hidden="1">
      <c r="A616" s="356" t="s">
        <v>642</v>
      </c>
      <c r="B616" s="707" t="s">
        <v>2297</v>
      </c>
      <c r="C616" s="633"/>
      <c r="D616" s="354"/>
      <c r="E616" s="622"/>
      <c r="F616" s="353"/>
      <c r="G616" s="358">
        <f>WORK!I2272</f>
        <v>0</v>
      </c>
      <c r="H616" s="354" t="s">
        <v>872</v>
      </c>
      <c r="I616" s="355">
        <f>WORK!K2272</f>
        <v>470.28</v>
      </c>
      <c r="J616" s="353">
        <f>ROUND(G616*I616,0)</f>
        <v>0</v>
      </c>
      <c r="K616" s="1912"/>
      <c r="L616" s="1912"/>
      <c r="M616" s="708" t="s">
        <v>2308</v>
      </c>
      <c r="N616" s="223"/>
      <c r="O616" s="706">
        <f t="shared" si="95"/>
        <v>0</v>
      </c>
    </row>
    <row r="617" spans="1:15" s="360" customFormat="1" ht="15" hidden="1">
      <c r="A617" s="356" t="s">
        <v>642</v>
      </c>
      <c r="B617" s="707" t="s">
        <v>2297</v>
      </c>
      <c r="C617" s="633"/>
      <c r="D617" s="354"/>
      <c r="E617" s="622"/>
      <c r="F617" s="353"/>
      <c r="G617" s="358">
        <f>WORK!I2407</f>
        <v>0</v>
      </c>
      <c r="H617" s="354" t="s">
        <v>872</v>
      </c>
      <c r="I617" s="355">
        <f>WORK!K2407</f>
        <v>508</v>
      </c>
      <c r="J617" s="353">
        <f>ROUND(G617*I617,0)</f>
        <v>0</v>
      </c>
      <c r="K617" s="1912"/>
      <c r="L617" s="1912"/>
      <c r="M617" s="708" t="s">
        <v>2321</v>
      </c>
      <c r="N617" s="223"/>
      <c r="O617" s="706">
        <f t="shared" si="95"/>
        <v>0</v>
      </c>
    </row>
    <row r="618" spans="1:15" s="360" customFormat="1" ht="15" hidden="1">
      <c r="A618" s="356" t="s">
        <v>642</v>
      </c>
      <c r="B618" s="707" t="s">
        <v>2297</v>
      </c>
      <c r="C618" s="633"/>
      <c r="D618" s="354"/>
      <c r="E618" s="622"/>
      <c r="F618" s="353"/>
      <c r="G618" s="358">
        <f>WORK!I2546</f>
        <v>0</v>
      </c>
      <c r="H618" s="354" t="s">
        <v>872</v>
      </c>
      <c r="I618" s="355">
        <f>WORK!K2546</f>
        <v>568.35</v>
      </c>
      <c r="J618" s="353">
        <f>ROUND(G618*I618,0)</f>
        <v>0</v>
      </c>
      <c r="K618" s="1913"/>
      <c r="L618" s="1913"/>
      <c r="M618" s="708" t="s">
        <v>2322</v>
      </c>
      <c r="N618" s="223"/>
      <c r="O618" s="706">
        <f t="shared" si="95"/>
        <v>0</v>
      </c>
    </row>
    <row r="619" spans="1:15" s="1448" customFormat="1" ht="15">
      <c r="A619" s="1436" t="s">
        <v>1520</v>
      </c>
      <c r="B619" s="1437" t="s">
        <v>962</v>
      </c>
      <c r="C619" s="1449"/>
      <c r="D619" s="1355"/>
      <c r="E619" s="1221"/>
      <c r="F619" s="1450"/>
      <c r="G619" s="1485">
        <f>WORK!I2138</f>
        <v>10.5</v>
      </c>
      <c r="H619" s="1355" t="s">
        <v>277</v>
      </c>
      <c r="I619" s="1486">
        <f>WORK!K2138</f>
        <v>412</v>
      </c>
      <c r="J619" s="1450">
        <f t="shared" si="94"/>
        <v>4326</v>
      </c>
      <c r="K619" s="1911">
        <f>IF((J619+J620+J621+J622)&gt;(F619+F620+F621+F622),(J619+J620+J621+J622)-(F619+F620+F621+F622),0)</f>
        <v>4326</v>
      </c>
      <c r="L619" s="1911">
        <f>IF((J619+J620+J621+J622)&lt;(F619+F620+F621+F622),(F619+F620+F621+F622)-(J619+J620+J621+J622),0)</f>
        <v>0</v>
      </c>
      <c r="M619" s="1451" t="s">
        <v>2226</v>
      </c>
      <c r="N619" s="1446"/>
      <c r="O619" s="1452">
        <f t="shared" si="95"/>
        <v>-4326</v>
      </c>
    </row>
    <row r="620" spans="1:15" s="360" customFormat="1" ht="15" hidden="1">
      <c r="A620" s="356" t="s">
        <v>1151</v>
      </c>
      <c r="B620" s="707" t="s">
        <v>962</v>
      </c>
      <c r="C620" s="709"/>
      <c r="D620" s="221"/>
      <c r="E620" s="10"/>
      <c r="F620" s="353"/>
      <c r="G620" s="429">
        <f>WORK!I2280</f>
        <v>0</v>
      </c>
      <c r="H620" s="221" t="s">
        <v>277</v>
      </c>
      <c r="I620" s="430">
        <f>WORK!K2280</f>
        <v>412</v>
      </c>
      <c r="J620" s="353">
        <f>ROUND(G620*I620,0)</f>
        <v>0</v>
      </c>
      <c r="K620" s="1912"/>
      <c r="L620" s="1912"/>
      <c r="M620" s="708" t="s">
        <v>2308</v>
      </c>
      <c r="N620" s="223"/>
      <c r="O620" s="706">
        <f t="shared" si="95"/>
        <v>0</v>
      </c>
    </row>
    <row r="621" spans="1:15" s="1448" customFormat="1" ht="15" hidden="1">
      <c r="A621" s="1436" t="s">
        <v>516</v>
      </c>
      <c r="B621" s="1437" t="s">
        <v>962</v>
      </c>
      <c r="C621" s="1449"/>
      <c r="D621" s="1355"/>
      <c r="E621" s="1221"/>
      <c r="F621" s="1450"/>
      <c r="G621" s="1485">
        <f>WORK!I2415</f>
        <v>0</v>
      </c>
      <c r="H621" s="1355" t="s">
        <v>277</v>
      </c>
      <c r="I621" s="1486">
        <f>WORK!K2415</f>
        <v>438</v>
      </c>
      <c r="J621" s="1450">
        <f>ROUND(G621*I621,0)</f>
        <v>0</v>
      </c>
      <c r="K621" s="1912"/>
      <c r="L621" s="1912"/>
      <c r="M621" s="1451" t="s">
        <v>2321</v>
      </c>
      <c r="N621" s="1446"/>
      <c r="O621" s="1452">
        <f t="shared" si="95"/>
        <v>0</v>
      </c>
    </row>
    <row r="622" spans="1:15" s="360" customFormat="1" ht="15" hidden="1">
      <c r="A622" s="356" t="s">
        <v>1151</v>
      </c>
      <c r="B622" s="707" t="s">
        <v>962</v>
      </c>
      <c r="C622" s="709"/>
      <c r="D622" s="221"/>
      <c r="E622" s="10"/>
      <c r="F622" s="353"/>
      <c r="G622" s="429">
        <f>WORK!I2554</f>
        <v>0</v>
      </c>
      <c r="H622" s="221" t="s">
        <v>277</v>
      </c>
      <c r="I622" s="430">
        <f>WORK!K2554</f>
        <v>453</v>
      </c>
      <c r="J622" s="353">
        <f>ROUND(G622*I622,0)</f>
        <v>0</v>
      </c>
      <c r="K622" s="1913"/>
      <c r="L622" s="1913"/>
      <c r="M622" s="708" t="s">
        <v>2322</v>
      </c>
      <c r="N622" s="223"/>
      <c r="O622" s="706">
        <f t="shared" si="95"/>
        <v>0</v>
      </c>
    </row>
    <row r="623" spans="1:15" ht="25.5">
      <c r="A623" s="1472"/>
      <c r="B623" s="1473" t="s">
        <v>523</v>
      </c>
      <c r="C623" s="1487"/>
      <c r="D623" s="1488"/>
      <c r="E623" s="1489"/>
      <c r="F623" s="1477"/>
      <c r="G623" s="1490"/>
      <c r="H623" s="1491"/>
      <c r="I623" s="1492"/>
      <c r="J623" s="1481">
        <f t="shared" ref="J623" si="97">ROUND(G623*I623,0)</f>
        <v>0</v>
      </c>
      <c r="K623" s="1482"/>
      <c r="L623" s="1482"/>
      <c r="M623" s="1445" t="s">
        <v>2226</v>
      </c>
      <c r="N623" s="1446"/>
      <c r="O623" s="1447">
        <v>1</v>
      </c>
    </row>
    <row r="624" spans="1:15" s="1448" customFormat="1" ht="38.25">
      <c r="A624" s="1436" t="s">
        <v>1521</v>
      </c>
      <c r="B624" s="1437" t="s">
        <v>3305</v>
      </c>
      <c r="C624" s="1493">
        <v>30</v>
      </c>
      <c r="D624" s="1439" t="s">
        <v>277</v>
      </c>
      <c r="E624" s="1494">
        <v>193</v>
      </c>
      <c r="F624" s="1440">
        <f t="shared" ref="F624" si="98">ROUND(C624*E624,0)</f>
        <v>5790</v>
      </c>
      <c r="G624" s="1457">
        <f>WORK!I2560</f>
        <v>0</v>
      </c>
      <c r="H624" s="1458" t="s">
        <v>277</v>
      </c>
      <c r="I624" s="1459">
        <f>WORK!K2560</f>
        <v>193</v>
      </c>
      <c r="J624" s="1450">
        <f t="shared" ref="J624:J637" si="99">ROUND(G624*I624,0)</f>
        <v>0</v>
      </c>
      <c r="K624" s="1911">
        <f>IF((J624+J625+J626+J627)&gt;(F624+F625+F626+F627),(J624+J625+J626+J627)-(F624+F625+F626+F627),0)</f>
        <v>0</v>
      </c>
      <c r="L624" s="1911">
        <f>IF((J624+J625+J626+J627)&lt;(F624+F625+F626+F627),(F624+F625+F626+F627)-(J624+J625+J626+J627),0)</f>
        <v>5790</v>
      </c>
      <c r="M624" s="1445" t="s">
        <v>2226</v>
      </c>
      <c r="N624" s="1446"/>
      <c r="O624" s="1447">
        <f t="shared" si="95"/>
        <v>5790</v>
      </c>
    </row>
    <row r="625" spans="1:15" s="360" customFormat="1" ht="15" hidden="1">
      <c r="A625" s="356" t="s">
        <v>1518</v>
      </c>
      <c r="B625" s="707" t="s">
        <v>543</v>
      </c>
      <c r="C625" s="729"/>
      <c r="D625" s="354"/>
      <c r="E625" s="730"/>
      <c r="F625" s="353"/>
      <c r="G625" s="358">
        <f>WORK!I2698</f>
        <v>0</v>
      </c>
      <c r="H625" s="354" t="s">
        <v>277</v>
      </c>
      <c r="I625" s="355">
        <f>WORK!K2698</f>
        <v>193</v>
      </c>
      <c r="J625" s="353">
        <f t="shared" si="99"/>
        <v>0</v>
      </c>
      <c r="K625" s="1912"/>
      <c r="L625" s="1912"/>
      <c r="M625" s="708" t="s">
        <v>2308</v>
      </c>
      <c r="N625" s="223"/>
      <c r="O625" s="706">
        <f t="shared" si="95"/>
        <v>0</v>
      </c>
    </row>
    <row r="626" spans="1:15" s="360" customFormat="1" ht="15" hidden="1">
      <c r="A626" s="356" t="s">
        <v>1518</v>
      </c>
      <c r="B626" s="707" t="s">
        <v>543</v>
      </c>
      <c r="C626" s="729"/>
      <c r="D626" s="354"/>
      <c r="E626" s="730"/>
      <c r="F626" s="353"/>
      <c r="G626" s="358">
        <f>WORK!I2836</f>
        <v>0</v>
      </c>
      <c r="H626" s="354" t="s">
        <v>277</v>
      </c>
      <c r="I626" s="355">
        <f>WORK!K2836</f>
        <v>202</v>
      </c>
      <c r="J626" s="353">
        <f>ROUND(G626*I626,0)</f>
        <v>0</v>
      </c>
      <c r="K626" s="1912"/>
      <c r="L626" s="1912"/>
      <c r="M626" s="708" t="s">
        <v>2321</v>
      </c>
      <c r="N626" s="223"/>
      <c r="O626" s="706">
        <f t="shared" si="95"/>
        <v>0</v>
      </c>
    </row>
    <row r="627" spans="1:15" s="360" customFormat="1" ht="38.25" hidden="1">
      <c r="A627" s="356" t="s">
        <v>1589</v>
      </c>
      <c r="B627" s="707" t="s">
        <v>3305</v>
      </c>
      <c r="C627" s="729"/>
      <c r="D627" s="354"/>
      <c r="E627" s="730"/>
      <c r="F627" s="353"/>
      <c r="G627" s="358">
        <f>WORK!I2978</f>
        <v>0</v>
      </c>
      <c r="H627" s="354" t="s">
        <v>277</v>
      </c>
      <c r="I627" s="355">
        <f>WORK!K2978</f>
        <v>214</v>
      </c>
      <c r="J627" s="353">
        <f>ROUND(G627*I627,0)</f>
        <v>0</v>
      </c>
      <c r="K627" s="1913"/>
      <c r="L627" s="1913"/>
      <c r="M627" s="1139" t="s">
        <v>2322</v>
      </c>
      <c r="N627" s="223"/>
      <c r="O627" s="1138">
        <f t="shared" si="95"/>
        <v>0</v>
      </c>
    </row>
    <row r="628" spans="1:15" s="1448" customFormat="1" ht="38.25">
      <c r="A628" s="1436" t="s">
        <v>497</v>
      </c>
      <c r="B628" s="1437" t="s">
        <v>3306</v>
      </c>
      <c r="C628" s="1493">
        <v>30</v>
      </c>
      <c r="D628" s="1439" t="s">
        <v>277</v>
      </c>
      <c r="E628" s="1494">
        <v>123</v>
      </c>
      <c r="F628" s="1440">
        <f t="shared" ref="F628" si="100">ROUND(C628*E628,0)</f>
        <v>3690</v>
      </c>
      <c r="G628" s="1457">
        <f>WORK!I2565</f>
        <v>0</v>
      </c>
      <c r="H628" s="1458" t="s">
        <v>277</v>
      </c>
      <c r="I628" s="1459">
        <f>WORK!K2565</f>
        <v>123</v>
      </c>
      <c r="J628" s="1450">
        <f t="shared" si="99"/>
        <v>0</v>
      </c>
      <c r="K628" s="1911">
        <f>IF((J628+J629+J630+J631)&gt;(F628+F629+F630+F631),(J628+J629+J630+J631)-(F628+F629+F630+F631),0)</f>
        <v>0</v>
      </c>
      <c r="L628" s="1911">
        <f>IF((J628+J629+J630+J631)&lt;(F628+F629+F630+F631),(F628+F629+F630+F631)-(J628+J629+J630+J631),0)</f>
        <v>3690</v>
      </c>
      <c r="M628" s="1445" t="s">
        <v>2226</v>
      </c>
      <c r="N628" s="1446"/>
      <c r="O628" s="1447">
        <f t="shared" si="95"/>
        <v>3690</v>
      </c>
    </row>
    <row r="629" spans="1:15" s="360" customFormat="1" ht="15" hidden="1">
      <c r="A629" s="356" t="s">
        <v>1152</v>
      </c>
      <c r="B629" s="707" t="s">
        <v>544</v>
      </c>
      <c r="C629" s="729"/>
      <c r="D629" s="354"/>
      <c r="E629" s="730"/>
      <c r="F629" s="353"/>
      <c r="G629" s="358">
        <f>WORK!I2703</f>
        <v>0</v>
      </c>
      <c r="H629" s="354" t="s">
        <v>277</v>
      </c>
      <c r="I629" s="355">
        <f>WORK!K2703</f>
        <v>123</v>
      </c>
      <c r="J629" s="353">
        <f t="shared" si="99"/>
        <v>0</v>
      </c>
      <c r="K629" s="1912"/>
      <c r="L629" s="1912"/>
      <c r="M629" s="708" t="s">
        <v>2308</v>
      </c>
      <c r="N629" s="223"/>
      <c r="O629" s="706">
        <f t="shared" si="95"/>
        <v>0</v>
      </c>
    </row>
    <row r="630" spans="1:15" s="360" customFormat="1" ht="15" hidden="1">
      <c r="A630" s="356" t="s">
        <v>1146</v>
      </c>
      <c r="B630" s="707" t="s">
        <v>544</v>
      </c>
      <c r="C630" s="729"/>
      <c r="D630" s="354"/>
      <c r="E630" s="730"/>
      <c r="F630" s="353"/>
      <c r="G630" s="358">
        <f>WORK!I2841</f>
        <v>0</v>
      </c>
      <c r="H630" s="354" t="s">
        <v>277</v>
      </c>
      <c r="I630" s="355">
        <f>WORK!K2841</f>
        <v>129</v>
      </c>
      <c r="J630" s="353">
        <f>ROUND(G630*I630,0)</f>
        <v>0</v>
      </c>
      <c r="K630" s="1912"/>
      <c r="L630" s="1912"/>
      <c r="M630" s="708" t="s">
        <v>2321</v>
      </c>
      <c r="N630" s="223"/>
      <c r="O630" s="706">
        <f t="shared" si="95"/>
        <v>0</v>
      </c>
    </row>
    <row r="631" spans="1:15" s="360" customFormat="1" ht="38.25" hidden="1">
      <c r="A631" s="356" t="s">
        <v>1591</v>
      </c>
      <c r="B631" s="707" t="s">
        <v>3306</v>
      </c>
      <c r="C631" s="729"/>
      <c r="D631" s="354"/>
      <c r="E631" s="730"/>
      <c r="F631" s="353"/>
      <c r="G631" s="358">
        <f>WORK!I2983</f>
        <v>0</v>
      </c>
      <c r="H631" s="354" t="s">
        <v>277</v>
      </c>
      <c r="I631" s="355">
        <f>WORK!K2983</f>
        <v>136</v>
      </c>
      <c r="J631" s="353">
        <f>ROUND(G631*I631,0)</f>
        <v>0</v>
      </c>
      <c r="K631" s="1913"/>
      <c r="L631" s="1913"/>
      <c r="M631" s="1139" t="s">
        <v>2322</v>
      </c>
      <c r="N631" s="223"/>
      <c r="O631" s="1138">
        <f t="shared" si="95"/>
        <v>0</v>
      </c>
    </row>
    <row r="632" spans="1:15" s="360" customFormat="1" ht="15" hidden="1">
      <c r="A632" s="356" t="s">
        <v>514</v>
      </c>
      <c r="B632" s="707" t="s">
        <v>2008</v>
      </c>
      <c r="C632" s="864"/>
      <c r="D632" s="354"/>
      <c r="E632" s="730"/>
      <c r="F632" s="353"/>
      <c r="G632" s="358">
        <f>WORK!I2570</f>
        <v>0</v>
      </c>
      <c r="H632" s="354" t="s">
        <v>277</v>
      </c>
      <c r="I632" s="355">
        <f>WORK!K2570</f>
        <v>85</v>
      </c>
      <c r="J632" s="353">
        <f t="shared" si="99"/>
        <v>0</v>
      </c>
      <c r="K632" s="1911">
        <f>IF((J632+J633+J634+J635)&gt;(F632+F633+F634+F635),(J632+J633+J634+J635)-(F632+F633+F634+F635),0)</f>
        <v>0</v>
      </c>
      <c r="L632" s="1911">
        <f>IF((J632+J633+J634+J635)&lt;(F632+F633+F634+F635),(F632+F633+F634+F635)-(J632+J633+J634+J635),0)</f>
        <v>0</v>
      </c>
      <c r="M632" s="708" t="s">
        <v>2226</v>
      </c>
      <c r="N632" s="223"/>
      <c r="O632" s="706">
        <f t="shared" si="95"/>
        <v>0</v>
      </c>
    </row>
    <row r="633" spans="1:15" s="360" customFormat="1" ht="15" hidden="1">
      <c r="A633" s="356" t="s">
        <v>1155</v>
      </c>
      <c r="B633" s="707" t="s">
        <v>2008</v>
      </c>
      <c r="C633" s="729"/>
      <c r="D633" s="354"/>
      <c r="E633" s="730"/>
      <c r="F633" s="353"/>
      <c r="G633" s="358">
        <f>WORK!I2708</f>
        <v>0</v>
      </c>
      <c r="H633" s="354" t="s">
        <v>277</v>
      </c>
      <c r="I633" s="355">
        <f>WORK!K2708</f>
        <v>85</v>
      </c>
      <c r="J633" s="353">
        <f t="shared" si="99"/>
        <v>0</v>
      </c>
      <c r="K633" s="1912"/>
      <c r="L633" s="1912"/>
      <c r="M633" s="708" t="s">
        <v>2308</v>
      </c>
      <c r="N633" s="223"/>
      <c r="O633" s="706">
        <f t="shared" si="95"/>
        <v>0</v>
      </c>
    </row>
    <row r="634" spans="1:15" s="360" customFormat="1" ht="15" hidden="1">
      <c r="A634" s="356" t="s">
        <v>515</v>
      </c>
      <c r="B634" s="707" t="s">
        <v>2008</v>
      </c>
      <c r="C634" s="729"/>
      <c r="D634" s="354"/>
      <c r="E634" s="730"/>
      <c r="F634" s="353"/>
      <c r="G634" s="358">
        <f>WORK!I2847</f>
        <v>0</v>
      </c>
      <c r="H634" s="354" t="s">
        <v>277</v>
      </c>
      <c r="I634" s="355">
        <f>WORK!K2847</f>
        <v>89</v>
      </c>
      <c r="J634" s="353">
        <f>ROUND(G634*I634,0)</f>
        <v>0</v>
      </c>
      <c r="K634" s="1912"/>
      <c r="L634" s="1912"/>
      <c r="M634" s="708" t="s">
        <v>2321</v>
      </c>
      <c r="N634" s="223"/>
      <c r="O634" s="706">
        <f t="shared" si="95"/>
        <v>0</v>
      </c>
    </row>
    <row r="635" spans="1:15" s="360" customFormat="1" ht="15" hidden="1">
      <c r="A635" s="356" t="s">
        <v>1597</v>
      </c>
      <c r="B635" s="707" t="s">
        <v>2008</v>
      </c>
      <c r="C635" s="729"/>
      <c r="D635" s="354"/>
      <c r="E635" s="730"/>
      <c r="F635" s="353"/>
      <c r="G635" s="358">
        <f>WORK!I2988</f>
        <v>0</v>
      </c>
      <c r="H635" s="354" t="s">
        <v>277</v>
      </c>
      <c r="I635" s="355">
        <f>WORK!K2988</f>
        <v>94</v>
      </c>
      <c r="J635" s="353">
        <f>ROUND(G635*I635,0)</f>
        <v>0</v>
      </c>
      <c r="K635" s="1913"/>
      <c r="L635" s="1913"/>
      <c r="M635" s="708" t="s">
        <v>2322</v>
      </c>
      <c r="N635" s="223"/>
      <c r="O635" s="706">
        <f t="shared" si="95"/>
        <v>0</v>
      </c>
    </row>
    <row r="636" spans="1:15" s="1448" customFormat="1" ht="38.25">
      <c r="A636" s="1436" t="s">
        <v>498</v>
      </c>
      <c r="B636" s="1437" t="s">
        <v>3307</v>
      </c>
      <c r="C636" s="1493">
        <v>5</v>
      </c>
      <c r="D636" s="1439" t="s">
        <v>277</v>
      </c>
      <c r="E636" s="1494">
        <v>85</v>
      </c>
      <c r="F636" s="1440">
        <f t="shared" ref="F636" si="101">ROUND(C636*E636,0)</f>
        <v>425</v>
      </c>
      <c r="G636" s="1457">
        <f>WORK!I2575</f>
        <v>0</v>
      </c>
      <c r="H636" s="1458" t="s">
        <v>277</v>
      </c>
      <c r="I636" s="1459">
        <f>WORK!K2575</f>
        <v>24</v>
      </c>
      <c r="J636" s="1450">
        <f t="shared" si="99"/>
        <v>0</v>
      </c>
      <c r="K636" s="1911">
        <f>IF((J636+J637+J638+J639)&gt;(F636+F637+F638+F639),(J636+J637+J638+J639)-(F636+F637+F638+F639),0)</f>
        <v>0</v>
      </c>
      <c r="L636" s="1911">
        <f>IF((J636+J637+J638+J639)&lt;(F636+F637+F638+F639),(F636+F637+F638+F639)-(J636+J637+J638+J639),0)</f>
        <v>425</v>
      </c>
      <c r="M636" s="1445" t="s">
        <v>2226</v>
      </c>
      <c r="N636" s="1446"/>
      <c r="O636" s="1447">
        <f t="shared" si="95"/>
        <v>425</v>
      </c>
    </row>
    <row r="637" spans="1:15" s="360" customFormat="1" ht="15" hidden="1">
      <c r="A637" s="356" t="s">
        <v>1153</v>
      </c>
      <c r="B637" s="707" t="s">
        <v>1256</v>
      </c>
      <c r="C637" s="633"/>
      <c r="D637" s="354"/>
      <c r="E637" s="622"/>
      <c r="F637" s="353"/>
      <c r="G637" s="358">
        <f>WORK!I2713</f>
        <v>0</v>
      </c>
      <c r="H637" s="354" t="s">
        <v>277</v>
      </c>
      <c r="I637" s="355">
        <f>WORK!K2713</f>
        <v>24</v>
      </c>
      <c r="J637" s="353">
        <f t="shared" si="99"/>
        <v>0</v>
      </c>
      <c r="K637" s="1912"/>
      <c r="L637" s="1912"/>
      <c r="M637" s="708" t="s">
        <v>2308</v>
      </c>
      <c r="N637" s="223"/>
      <c r="O637" s="706">
        <f t="shared" si="95"/>
        <v>0</v>
      </c>
    </row>
    <row r="638" spans="1:15" s="360" customFormat="1" ht="15" hidden="1">
      <c r="A638" s="356" t="s">
        <v>1153</v>
      </c>
      <c r="B638" s="707" t="s">
        <v>1256</v>
      </c>
      <c r="C638" s="633"/>
      <c r="D638" s="354"/>
      <c r="E638" s="622"/>
      <c r="F638" s="353"/>
      <c r="G638" s="358">
        <f>WORK!I2852</f>
        <v>0</v>
      </c>
      <c r="H638" s="354" t="s">
        <v>277</v>
      </c>
      <c r="I638" s="355">
        <f>WORK!K2852</f>
        <v>33</v>
      </c>
      <c r="J638" s="353">
        <f>ROUND(G638*I638,0)</f>
        <v>0</v>
      </c>
      <c r="K638" s="1912"/>
      <c r="L638" s="1912"/>
      <c r="M638" s="708" t="s">
        <v>2321</v>
      </c>
      <c r="N638" s="223"/>
      <c r="O638" s="706">
        <f t="shared" si="95"/>
        <v>0</v>
      </c>
    </row>
    <row r="639" spans="1:15" s="360" customFormat="1" ht="15" hidden="1">
      <c r="A639" s="356" t="s">
        <v>1153</v>
      </c>
      <c r="B639" s="707" t="s">
        <v>1256</v>
      </c>
      <c r="C639" s="633"/>
      <c r="D639" s="354"/>
      <c r="E639" s="622"/>
      <c r="F639" s="353"/>
      <c r="G639" s="358">
        <f>WORK!I2993</f>
        <v>0</v>
      </c>
      <c r="H639" s="354" t="s">
        <v>277</v>
      </c>
      <c r="I639" s="355">
        <f>WORK!K2993</f>
        <v>35</v>
      </c>
      <c r="J639" s="353">
        <f>ROUND(G639*I639,0)</f>
        <v>0</v>
      </c>
      <c r="K639" s="1913"/>
      <c r="L639" s="1913"/>
      <c r="M639" s="708" t="s">
        <v>2322</v>
      </c>
      <c r="N639" s="223"/>
      <c r="O639" s="706">
        <f t="shared" si="95"/>
        <v>0</v>
      </c>
    </row>
    <row r="640" spans="1:15" s="1448" customFormat="1" ht="38.25">
      <c r="A640" s="1436" t="s">
        <v>499</v>
      </c>
      <c r="B640" s="1437" t="s">
        <v>3308</v>
      </c>
      <c r="C640" s="1493">
        <v>5</v>
      </c>
      <c r="D640" s="1439" t="s">
        <v>277</v>
      </c>
      <c r="E640" s="1494">
        <v>53</v>
      </c>
      <c r="F640" s="1440">
        <f>ROUND(C640*E640,0)</f>
        <v>265</v>
      </c>
      <c r="G640" s="1457"/>
      <c r="H640" s="1458"/>
      <c r="I640" s="1459"/>
      <c r="J640" s="1450"/>
      <c r="K640" s="1495">
        <f t="shared" ref="K640" si="102">IF(J640&gt;F640,J640-F640,0)</f>
        <v>0</v>
      </c>
      <c r="L640" s="1496">
        <f t="shared" ref="L640" si="103">IF(J640&lt;F640,F640-J640,0)</f>
        <v>265</v>
      </c>
      <c r="M640" s="1445" t="s">
        <v>2226</v>
      </c>
      <c r="N640" s="1446"/>
      <c r="O640" s="1447">
        <f t="shared" si="95"/>
        <v>265</v>
      </c>
    </row>
    <row r="641" spans="1:15" s="1448" customFormat="1" ht="25.5">
      <c r="A641" s="1436" t="s">
        <v>500</v>
      </c>
      <c r="B641" s="1437" t="s">
        <v>3309</v>
      </c>
      <c r="C641" s="1493">
        <v>70</v>
      </c>
      <c r="D641" s="1439" t="s">
        <v>277</v>
      </c>
      <c r="E641" s="1494">
        <v>31</v>
      </c>
      <c r="F641" s="1440">
        <f t="shared" ref="F641" si="104">ROUND(C641*E641,0)</f>
        <v>2170</v>
      </c>
      <c r="G641" s="1457">
        <f>WORK!I2580</f>
        <v>0</v>
      </c>
      <c r="H641" s="1458" t="s">
        <v>277</v>
      </c>
      <c r="I641" s="1459">
        <f>WORK!K2580</f>
        <v>31</v>
      </c>
      <c r="J641" s="1450">
        <f t="shared" ref="J641" si="105">ROUND(G641*I641,0)</f>
        <v>0</v>
      </c>
      <c r="K641" s="1911">
        <f>IF((J641+J642+J643+J644)&gt;(F641+F642+F643+F644),(J641+J642+J643+J644)-(F641+F642+F643+F644),0)</f>
        <v>0</v>
      </c>
      <c r="L641" s="1911">
        <f>IF((J641+J642+J643+J644)&lt;(F641+F642+F643+F644),(F641+F642+F643+F644)-(J641+J642+J643+J644),0)</f>
        <v>2170</v>
      </c>
      <c r="M641" s="1445" t="s">
        <v>2226</v>
      </c>
      <c r="N641" s="1446"/>
      <c r="O641" s="1447">
        <f t="shared" si="95"/>
        <v>2170</v>
      </c>
    </row>
    <row r="642" spans="1:15" s="360" customFormat="1" ht="15" hidden="1">
      <c r="A642" s="356" t="s">
        <v>2701</v>
      </c>
      <c r="B642" s="707" t="s">
        <v>545</v>
      </c>
      <c r="C642" s="729"/>
      <c r="D642" s="354"/>
      <c r="E642" s="730"/>
      <c r="F642" s="353"/>
      <c r="G642" s="358">
        <f>WORK!I2718</f>
        <v>0</v>
      </c>
      <c r="H642" s="354" t="s">
        <v>277</v>
      </c>
      <c r="I642" s="355">
        <f>WORK!K2718</f>
        <v>31</v>
      </c>
      <c r="J642" s="353">
        <f>ROUND(G642*I642,0)</f>
        <v>0</v>
      </c>
      <c r="K642" s="1912"/>
      <c r="L642" s="1912"/>
      <c r="M642" s="708" t="s">
        <v>2308</v>
      </c>
      <c r="N642" s="223"/>
      <c r="O642" s="706">
        <f t="shared" si="95"/>
        <v>0</v>
      </c>
    </row>
    <row r="643" spans="1:15" s="360" customFormat="1" ht="15" hidden="1">
      <c r="A643" s="356" t="s">
        <v>518</v>
      </c>
      <c r="B643" s="707" t="s">
        <v>545</v>
      </c>
      <c r="C643" s="729"/>
      <c r="D643" s="354"/>
      <c r="E643" s="730"/>
      <c r="F643" s="353"/>
      <c r="G643" s="358">
        <f>WORK!I2858</f>
        <v>0</v>
      </c>
      <c r="H643" s="354" t="s">
        <v>277</v>
      </c>
      <c r="I643" s="355">
        <f>WORK!K2858</f>
        <v>33</v>
      </c>
      <c r="J643" s="353">
        <f>ROUND(G643*I643,0)</f>
        <v>0</v>
      </c>
      <c r="K643" s="1912"/>
      <c r="L643" s="1912"/>
      <c r="M643" s="708" t="s">
        <v>2321</v>
      </c>
      <c r="N643" s="223"/>
      <c r="O643" s="706">
        <f t="shared" si="95"/>
        <v>0</v>
      </c>
    </row>
    <row r="644" spans="1:15" s="360" customFormat="1" ht="25.5" hidden="1">
      <c r="A644" s="356" t="s">
        <v>1593</v>
      </c>
      <c r="B644" s="707" t="s">
        <v>3309</v>
      </c>
      <c r="C644" s="729"/>
      <c r="D644" s="354"/>
      <c r="E644" s="730"/>
      <c r="F644" s="353"/>
      <c r="G644" s="358">
        <f>WORK!I2998</f>
        <v>0</v>
      </c>
      <c r="H644" s="354" t="s">
        <v>277</v>
      </c>
      <c r="I644" s="355">
        <f>WORK!K2998</f>
        <v>33</v>
      </c>
      <c r="J644" s="353">
        <f>ROUND(G644*I644,0)</f>
        <v>0</v>
      </c>
      <c r="K644" s="1913"/>
      <c r="L644" s="1913"/>
      <c r="M644" s="1139" t="s">
        <v>2322</v>
      </c>
      <c r="N644" s="223"/>
      <c r="O644" s="1138">
        <f t="shared" si="95"/>
        <v>0</v>
      </c>
    </row>
    <row r="645" spans="1:15" s="1448" customFormat="1" ht="25.5">
      <c r="A645" s="1436" t="s">
        <v>501</v>
      </c>
      <c r="B645" s="1437" t="s">
        <v>3310</v>
      </c>
      <c r="C645" s="1493">
        <v>4</v>
      </c>
      <c r="D645" s="1439" t="s">
        <v>115</v>
      </c>
      <c r="E645" s="1494">
        <v>349</v>
      </c>
      <c r="F645" s="1440">
        <f t="shared" ref="F645" si="106">ROUND(C645*E645,0)</f>
        <v>1396</v>
      </c>
      <c r="G645" s="1457">
        <f>WORK!I2585</f>
        <v>0</v>
      </c>
      <c r="H645" s="1458" t="s">
        <v>115</v>
      </c>
      <c r="I645" s="1459">
        <f>WORK!K2585</f>
        <v>349</v>
      </c>
      <c r="J645" s="1450">
        <f t="shared" ref="J645:J737" si="107">ROUND(G645*I645,0)</f>
        <v>0</v>
      </c>
      <c r="K645" s="1911">
        <f>IF((J645+J646+J647+J648)&gt;(F645+F646+F647+F648),(J645+J646+J647+J648)-(F645+F646+F647+F648),0)</f>
        <v>0</v>
      </c>
      <c r="L645" s="1911">
        <f>IF((J645+J646+J647+J648)&lt;(F645+F646+F647+F648),(F645+F646+F647+F648)-(J645+J646+J647+J648),0)</f>
        <v>1396</v>
      </c>
      <c r="M645" s="1445" t="s">
        <v>2226</v>
      </c>
      <c r="N645" s="1446"/>
      <c r="O645" s="1447">
        <f t="shared" si="95"/>
        <v>1396</v>
      </c>
    </row>
    <row r="646" spans="1:15" s="360" customFormat="1" ht="15" hidden="1">
      <c r="A646" s="356" t="s">
        <v>1158</v>
      </c>
      <c r="B646" s="707" t="s">
        <v>546</v>
      </c>
      <c r="C646" s="729"/>
      <c r="D646" s="354"/>
      <c r="E646" s="730"/>
      <c r="F646" s="353"/>
      <c r="G646" s="358">
        <f>WORK!I2723</f>
        <v>0</v>
      </c>
      <c r="H646" s="354" t="s">
        <v>115</v>
      </c>
      <c r="I646" s="355">
        <f>WORK!K2723</f>
        <v>349</v>
      </c>
      <c r="J646" s="353">
        <f>ROUND(G646*I646,0)</f>
        <v>0</v>
      </c>
      <c r="K646" s="1912"/>
      <c r="L646" s="1912"/>
      <c r="M646" s="708" t="s">
        <v>2308</v>
      </c>
      <c r="N646" s="223"/>
      <c r="O646" s="706">
        <f t="shared" si="95"/>
        <v>0</v>
      </c>
    </row>
    <row r="647" spans="1:15" s="360" customFormat="1" ht="15" hidden="1">
      <c r="A647" s="356" t="s">
        <v>1152</v>
      </c>
      <c r="B647" s="707" t="s">
        <v>546</v>
      </c>
      <c r="C647" s="729"/>
      <c r="D647" s="354"/>
      <c r="E647" s="730"/>
      <c r="F647" s="353"/>
      <c r="G647" s="358">
        <f>WORK!I2863</f>
        <v>0</v>
      </c>
      <c r="H647" s="354" t="s">
        <v>115</v>
      </c>
      <c r="I647" s="355">
        <f>WORK!K2863</f>
        <v>366</v>
      </c>
      <c r="J647" s="353">
        <f>ROUND(G647*I647,0)</f>
        <v>0</v>
      </c>
      <c r="K647" s="1912"/>
      <c r="L647" s="1912"/>
      <c r="M647" s="708" t="s">
        <v>2321</v>
      </c>
      <c r="N647" s="223"/>
      <c r="O647" s="706">
        <f t="shared" si="95"/>
        <v>0</v>
      </c>
    </row>
    <row r="648" spans="1:15" s="360" customFormat="1" ht="15" hidden="1">
      <c r="A648" s="356" t="s">
        <v>1152</v>
      </c>
      <c r="B648" s="707" t="s">
        <v>546</v>
      </c>
      <c r="C648" s="729"/>
      <c r="D648" s="354"/>
      <c r="E648" s="730"/>
      <c r="F648" s="353"/>
      <c r="G648" s="358">
        <f>WORK!I3003</f>
        <v>0</v>
      </c>
      <c r="H648" s="354" t="s">
        <v>115</v>
      </c>
      <c r="I648" s="355">
        <f>WORK!K3003</f>
        <v>387</v>
      </c>
      <c r="J648" s="353">
        <f>ROUND(G648*I648,0)</f>
        <v>0</v>
      </c>
      <c r="K648" s="1913"/>
      <c r="L648" s="1913"/>
      <c r="M648" s="708" t="s">
        <v>2322</v>
      </c>
      <c r="N648" s="223"/>
      <c r="O648" s="706">
        <f t="shared" si="95"/>
        <v>0</v>
      </c>
    </row>
    <row r="649" spans="1:15" s="1448" customFormat="1" ht="25.5">
      <c r="A649" s="1436" t="s">
        <v>502</v>
      </c>
      <c r="B649" s="1437" t="s">
        <v>685</v>
      </c>
      <c r="C649" s="1493">
        <v>2</v>
      </c>
      <c r="D649" s="1439" t="s">
        <v>115</v>
      </c>
      <c r="E649" s="1494">
        <v>3758</v>
      </c>
      <c r="F649" s="1440">
        <f t="shared" ref="F649" si="108">ROUND(C649*E649,0)</f>
        <v>7516</v>
      </c>
      <c r="G649" s="1457">
        <f>WORK!I2590</f>
        <v>0</v>
      </c>
      <c r="H649" s="1458" t="s">
        <v>115</v>
      </c>
      <c r="I649" s="1459">
        <f>WORK!K2590</f>
        <v>1483</v>
      </c>
      <c r="J649" s="1450">
        <f t="shared" si="107"/>
        <v>0</v>
      </c>
      <c r="K649" s="1911">
        <f>IF((J649+J650+J651+J652)&gt;(F649+F650+F651+F652),(J649+J650+J651+J652)-(F649+F650+F651+F652),0)</f>
        <v>0</v>
      </c>
      <c r="L649" s="1911">
        <f>IF((J649+J650+J651+J652)&lt;(F649+F650+F651+F652),(F649+F650+F651+F652)-(J649+J650+J651+J652),0)</f>
        <v>7516</v>
      </c>
      <c r="M649" s="1445" t="s">
        <v>2226</v>
      </c>
      <c r="N649" s="1446"/>
      <c r="O649" s="1447">
        <f t="shared" si="95"/>
        <v>7516</v>
      </c>
    </row>
    <row r="650" spans="1:15" s="360" customFormat="1" ht="25.5" hidden="1">
      <c r="A650" s="356" t="s">
        <v>1157</v>
      </c>
      <c r="B650" s="707" t="s">
        <v>713</v>
      </c>
      <c r="C650" s="729"/>
      <c r="D650" s="354"/>
      <c r="E650" s="730"/>
      <c r="F650" s="353"/>
      <c r="G650" s="358">
        <f>WORK!I2728</f>
        <v>0</v>
      </c>
      <c r="H650" s="354" t="s">
        <v>115</v>
      </c>
      <c r="I650" s="355">
        <f>WORK!K2728</f>
        <v>2769</v>
      </c>
      <c r="J650" s="353">
        <f>ROUND(G650*I650,0)</f>
        <v>0</v>
      </c>
      <c r="K650" s="1912"/>
      <c r="L650" s="1912"/>
      <c r="M650" s="708" t="s">
        <v>2308</v>
      </c>
      <c r="N650" s="223"/>
      <c r="O650" s="706">
        <f t="shared" si="95"/>
        <v>0</v>
      </c>
    </row>
    <row r="651" spans="1:15" s="360" customFormat="1" ht="25.5" hidden="1">
      <c r="A651" s="356" t="s">
        <v>499</v>
      </c>
      <c r="B651" s="707" t="s">
        <v>713</v>
      </c>
      <c r="C651" s="729"/>
      <c r="D651" s="354"/>
      <c r="E651" s="730"/>
      <c r="F651" s="353"/>
      <c r="G651" s="358">
        <f>WORK!I2868</f>
        <v>0</v>
      </c>
      <c r="H651" s="354" t="s">
        <v>115</v>
      </c>
      <c r="I651" s="355">
        <f>WORK!K2868</f>
        <v>1554</v>
      </c>
      <c r="J651" s="353">
        <f>ROUND(G651*I651,0)</f>
        <v>0</v>
      </c>
      <c r="K651" s="1912"/>
      <c r="L651" s="1912"/>
      <c r="M651" s="708" t="s">
        <v>2321</v>
      </c>
      <c r="N651" s="223"/>
      <c r="O651" s="706">
        <f t="shared" si="95"/>
        <v>0</v>
      </c>
    </row>
    <row r="652" spans="1:15" s="360" customFormat="1" ht="25.5" hidden="1">
      <c r="A652" s="356" t="s">
        <v>499</v>
      </c>
      <c r="B652" s="707" t="s">
        <v>713</v>
      </c>
      <c r="C652" s="729"/>
      <c r="D652" s="354"/>
      <c r="E652" s="730"/>
      <c r="F652" s="353"/>
      <c r="G652" s="358">
        <f>WORK!I3008</f>
        <v>0</v>
      </c>
      <c r="H652" s="354" t="s">
        <v>115</v>
      </c>
      <c r="I652" s="355">
        <f>WORK!K3008</f>
        <v>1644</v>
      </c>
      <c r="J652" s="353">
        <f>ROUND(G652*I652,0)</f>
        <v>0</v>
      </c>
      <c r="K652" s="1913"/>
      <c r="L652" s="1913"/>
      <c r="M652" s="708" t="s">
        <v>2322</v>
      </c>
      <c r="N652" s="223"/>
      <c r="O652" s="706">
        <f t="shared" si="95"/>
        <v>0</v>
      </c>
    </row>
    <row r="653" spans="1:15" s="1448" customFormat="1" ht="38.25">
      <c r="A653" s="1436" t="s">
        <v>503</v>
      </c>
      <c r="B653" s="1437" t="s">
        <v>3311</v>
      </c>
      <c r="C653" s="1493">
        <v>70</v>
      </c>
      <c r="D653" s="1439" t="s">
        <v>277</v>
      </c>
      <c r="E653" s="1494">
        <v>136.66666666666666</v>
      </c>
      <c r="F653" s="1440">
        <f t="shared" ref="F653" si="109">ROUND(C653*E653,0)</f>
        <v>9567</v>
      </c>
      <c r="G653" s="1457">
        <f>WORK!I2595</f>
        <v>0</v>
      </c>
      <c r="H653" s="1458" t="s">
        <v>277</v>
      </c>
      <c r="I653" s="1459">
        <f>WORK!K2595</f>
        <v>136.66666666666666</v>
      </c>
      <c r="J653" s="1450">
        <f t="shared" si="107"/>
        <v>0</v>
      </c>
      <c r="K653" s="1911">
        <f>IF((J653+J654+J655+J656)&gt;(F653+F654+F655+F656),(J653+J654+J655+J656)-(F653+F654+F655+F656),0)</f>
        <v>0</v>
      </c>
      <c r="L653" s="1911">
        <f>IF((J653+J654+J655+J656)&lt;(F653+F654+F655+F656),(F653+F654+F655+F656)-(J653+J654+J655+J656),0)</f>
        <v>9567</v>
      </c>
      <c r="M653" s="1445" t="s">
        <v>2226</v>
      </c>
      <c r="N653" s="1446"/>
      <c r="O653" s="1447">
        <f t="shared" si="95"/>
        <v>9567</v>
      </c>
    </row>
    <row r="654" spans="1:15" s="360" customFormat="1" ht="15" hidden="1">
      <c r="A654" s="356" t="s">
        <v>2703</v>
      </c>
      <c r="B654" s="707" t="s">
        <v>547</v>
      </c>
      <c r="C654" s="729"/>
      <c r="D654" s="354"/>
      <c r="E654" s="730"/>
      <c r="F654" s="353"/>
      <c r="G654" s="358">
        <f>WORK!I2733</f>
        <v>0</v>
      </c>
      <c r="H654" s="354" t="s">
        <v>277</v>
      </c>
      <c r="I654" s="355">
        <f>WORK!K2733</f>
        <v>136.66666666666666</v>
      </c>
      <c r="J654" s="353">
        <f>ROUND(G654*I654,0)</f>
        <v>0</v>
      </c>
      <c r="K654" s="1912"/>
      <c r="L654" s="1912"/>
      <c r="M654" s="708" t="s">
        <v>2308</v>
      </c>
      <c r="N654" s="223"/>
      <c r="O654" s="706">
        <f t="shared" ref="O654:O720" si="110">F654-J654</f>
        <v>0</v>
      </c>
    </row>
    <row r="655" spans="1:15" s="360" customFormat="1" ht="15" hidden="1">
      <c r="A655" s="356" t="s">
        <v>522</v>
      </c>
      <c r="B655" s="707" t="s">
        <v>547</v>
      </c>
      <c r="C655" s="729"/>
      <c r="D655" s="354"/>
      <c r="E655" s="730"/>
      <c r="F655" s="353"/>
      <c r="G655" s="358">
        <f>WORK!I2874</f>
        <v>0</v>
      </c>
      <c r="H655" s="354" t="s">
        <v>277</v>
      </c>
      <c r="I655" s="355">
        <f>WORK!K2874</f>
        <v>142</v>
      </c>
      <c r="J655" s="353">
        <f>ROUND(G655*I655,0)</f>
        <v>0</v>
      </c>
      <c r="K655" s="1912"/>
      <c r="L655" s="1912"/>
      <c r="M655" s="708" t="s">
        <v>2321</v>
      </c>
      <c r="N655" s="223"/>
      <c r="O655" s="706">
        <f t="shared" si="110"/>
        <v>0</v>
      </c>
    </row>
    <row r="656" spans="1:15" s="360" customFormat="1" ht="38.25" hidden="1">
      <c r="A656" s="356" t="s">
        <v>1594</v>
      </c>
      <c r="B656" s="707" t="s">
        <v>3311</v>
      </c>
      <c r="C656" s="729"/>
      <c r="D656" s="354"/>
      <c r="E656" s="730"/>
      <c r="F656" s="353"/>
      <c r="G656" s="358">
        <f>WORK!I3013</f>
        <v>0</v>
      </c>
      <c r="H656" s="354" t="s">
        <v>277</v>
      </c>
      <c r="I656" s="355">
        <f>WORK!K3013</f>
        <v>149</v>
      </c>
      <c r="J656" s="353">
        <f>ROUND(G656*I656,0)</f>
        <v>0</v>
      </c>
      <c r="K656" s="1913"/>
      <c r="L656" s="1913"/>
      <c r="M656" s="1139" t="s">
        <v>2322</v>
      </c>
      <c r="N656" s="223"/>
      <c r="O656" s="1138">
        <f t="shared" si="110"/>
        <v>0</v>
      </c>
    </row>
    <row r="657" spans="1:15" s="1448" customFormat="1" ht="38.25">
      <c r="A657" s="1436" t="s">
        <v>504</v>
      </c>
      <c r="B657" s="1437" t="s">
        <v>3312</v>
      </c>
      <c r="C657" s="1493">
        <v>10</v>
      </c>
      <c r="D657" s="1439" t="s">
        <v>277</v>
      </c>
      <c r="E657" s="1494">
        <v>129.66666666666666</v>
      </c>
      <c r="F657" s="1440">
        <f t="shared" ref="F657" si="111">ROUND(C657*E657,0)</f>
        <v>1297</v>
      </c>
      <c r="G657" s="1457">
        <f>WORK!I2600</f>
        <v>0</v>
      </c>
      <c r="H657" s="1458" t="s">
        <v>277</v>
      </c>
      <c r="I657" s="1459">
        <f>WORK!K2600</f>
        <v>129.66666666666666</v>
      </c>
      <c r="J657" s="1450">
        <f t="shared" si="107"/>
        <v>0</v>
      </c>
      <c r="K657" s="1911">
        <f>IF((J657+J658+J659+J660)&gt;(F657+F658+F659+F660),(J657+J658+J659+J660)-(F657+F658+F659+F660),0)</f>
        <v>0</v>
      </c>
      <c r="L657" s="1911">
        <f>IF((J657+J658+J659+J660)&lt;(F657+F658+F659+F660),(F657+F658+F659+F660)-(J657+J658+J659+J660),0)</f>
        <v>1297</v>
      </c>
      <c r="M657" s="1445" t="s">
        <v>2226</v>
      </c>
      <c r="N657" s="1446"/>
      <c r="O657" s="1447">
        <f t="shared" si="110"/>
        <v>1297</v>
      </c>
    </row>
    <row r="658" spans="1:15" s="360" customFormat="1" ht="15" hidden="1">
      <c r="A658" s="356" t="s">
        <v>1259</v>
      </c>
      <c r="B658" s="707" t="s">
        <v>548</v>
      </c>
      <c r="C658" s="729"/>
      <c r="D658" s="354"/>
      <c r="E658" s="730"/>
      <c r="F658" s="353"/>
      <c r="G658" s="358">
        <f>WORK!I2738</f>
        <v>0</v>
      </c>
      <c r="H658" s="354" t="s">
        <v>277</v>
      </c>
      <c r="I658" s="355">
        <f>WORK!K2738</f>
        <v>129.66666666666666</v>
      </c>
      <c r="J658" s="353">
        <f>ROUND(G658*I658,0)</f>
        <v>0</v>
      </c>
      <c r="K658" s="1912"/>
      <c r="L658" s="1912"/>
      <c r="M658" s="708" t="s">
        <v>2308</v>
      </c>
      <c r="N658" s="223"/>
      <c r="O658" s="706">
        <f t="shared" si="110"/>
        <v>0</v>
      </c>
    </row>
    <row r="659" spans="1:15" s="360" customFormat="1" ht="15" hidden="1">
      <c r="A659" s="356" t="s">
        <v>1259</v>
      </c>
      <c r="B659" s="707" t="s">
        <v>548</v>
      </c>
      <c r="C659" s="729"/>
      <c r="D659" s="354"/>
      <c r="E659" s="730"/>
      <c r="F659" s="353"/>
      <c r="G659" s="358">
        <f>WORK!I2879</f>
        <v>0</v>
      </c>
      <c r="H659" s="354" t="s">
        <v>277</v>
      </c>
      <c r="I659" s="355">
        <f>WORK!K2879</f>
        <v>135</v>
      </c>
      <c r="J659" s="353">
        <f>ROUND(G659*I659,0)</f>
        <v>0</v>
      </c>
      <c r="K659" s="1912"/>
      <c r="L659" s="1912"/>
      <c r="M659" s="708" t="s">
        <v>2321</v>
      </c>
      <c r="N659" s="223"/>
      <c r="O659" s="706">
        <f t="shared" si="110"/>
        <v>0</v>
      </c>
    </row>
    <row r="660" spans="1:15" s="360" customFormat="1" ht="15" hidden="1">
      <c r="A660" s="356" t="s">
        <v>1259</v>
      </c>
      <c r="B660" s="707" t="s">
        <v>548</v>
      </c>
      <c r="C660" s="729"/>
      <c r="D660" s="354"/>
      <c r="E660" s="730"/>
      <c r="F660" s="353"/>
      <c r="G660" s="358">
        <f>WORK!I3018</f>
        <v>0</v>
      </c>
      <c r="H660" s="354" t="s">
        <v>277</v>
      </c>
      <c r="I660" s="355">
        <f>WORK!K3018</f>
        <v>141.66666666666666</v>
      </c>
      <c r="J660" s="353">
        <f>ROUND(G660*I660,0)</f>
        <v>0</v>
      </c>
      <c r="K660" s="1913"/>
      <c r="L660" s="1913"/>
      <c r="M660" s="708" t="s">
        <v>2322</v>
      </c>
      <c r="N660" s="223"/>
      <c r="O660" s="706">
        <f t="shared" si="110"/>
        <v>0</v>
      </c>
    </row>
    <row r="661" spans="1:15" s="1448" customFormat="1" ht="38.25">
      <c r="A661" s="1436" t="s">
        <v>506</v>
      </c>
      <c r="B661" s="1437" t="s">
        <v>3313</v>
      </c>
      <c r="C661" s="1493">
        <v>6</v>
      </c>
      <c r="D661" s="1439" t="s">
        <v>277</v>
      </c>
      <c r="E661" s="1494">
        <v>81.333333333333329</v>
      </c>
      <c r="F661" s="1440">
        <f t="shared" ref="F661" si="112">ROUND(C661*E661,0)</f>
        <v>488</v>
      </c>
      <c r="G661" s="1457">
        <f>WORK!I2605</f>
        <v>0</v>
      </c>
      <c r="H661" s="1458" t="s">
        <v>277</v>
      </c>
      <c r="I661" s="1459">
        <f>WORK!K2605</f>
        <v>81.333333333333329</v>
      </c>
      <c r="J661" s="1450">
        <f t="shared" si="107"/>
        <v>0</v>
      </c>
      <c r="K661" s="1911">
        <f>IF((J661+J662+J663+J664)&gt;(F661+F662+F663+F664),(J661+J662+J663+J664)-(F661+F662+F663+F664),0)</f>
        <v>0</v>
      </c>
      <c r="L661" s="1911">
        <f>IF((J661+J662+J663+J664)&lt;(F661+F662+F663+F664),(F661+F662+F663+F664)-(J661+J662+J663+J664),0)</f>
        <v>488</v>
      </c>
      <c r="M661" s="1445" t="s">
        <v>2226</v>
      </c>
      <c r="N661" s="1446"/>
      <c r="O661" s="1447">
        <f t="shared" si="110"/>
        <v>488</v>
      </c>
    </row>
    <row r="662" spans="1:15" s="360" customFormat="1" ht="15" hidden="1">
      <c r="A662" s="356" t="s">
        <v>2705</v>
      </c>
      <c r="B662" s="707" t="s">
        <v>549</v>
      </c>
      <c r="C662" s="729"/>
      <c r="D662" s="354"/>
      <c r="E662" s="730"/>
      <c r="F662" s="353"/>
      <c r="G662" s="358">
        <f>WORK!I2743</f>
        <v>0</v>
      </c>
      <c r="H662" s="354" t="s">
        <v>277</v>
      </c>
      <c r="I662" s="355">
        <f>WORK!K2743</f>
        <v>81.333333333333329</v>
      </c>
      <c r="J662" s="353">
        <f>ROUND(G662*I662,0)</f>
        <v>0</v>
      </c>
      <c r="K662" s="1912"/>
      <c r="L662" s="1912"/>
      <c r="M662" s="708" t="s">
        <v>2308</v>
      </c>
      <c r="N662" s="223"/>
      <c r="O662" s="706">
        <f t="shared" si="110"/>
        <v>0</v>
      </c>
    </row>
    <row r="663" spans="1:15" s="360" customFormat="1" ht="15" hidden="1">
      <c r="A663" s="356" t="s">
        <v>526</v>
      </c>
      <c r="B663" s="707" t="s">
        <v>549</v>
      </c>
      <c r="C663" s="729"/>
      <c r="D663" s="354"/>
      <c r="E663" s="730"/>
      <c r="F663" s="353"/>
      <c r="G663" s="358">
        <f>WORK!I2885</f>
        <v>0</v>
      </c>
      <c r="H663" s="354" t="s">
        <v>277</v>
      </c>
      <c r="I663" s="355">
        <f>WORK!K2885</f>
        <v>84.666666666666671</v>
      </c>
      <c r="J663" s="353">
        <f>ROUND(G663*I663,0)</f>
        <v>0</v>
      </c>
      <c r="K663" s="1912"/>
      <c r="L663" s="1912"/>
      <c r="M663" s="708" t="s">
        <v>2321</v>
      </c>
      <c r="N663" s="223"/>
      <c r="O663" s="706">
        <f t="shared" si="110"/>
        <v>0</v>
      </c>
    </row>
    <row r="664" spans="1:15" s="360" customFormat="1" ht="38.25" hidden="1">
      <c r="A664" s="356" t="s">
        <v>1597</v>
      </c>
      <c r="B664" s="707" t="s">
        <v>3313</v>
      </c>
      <c r="C664" s="729"/>
      <c r="D664" s="354"/>
      <c r="E664" s="730"/>
      <c r="F664" s="353"/>
      <c r="G664" s="358">
        <f>WORK!I3023</f>
        <v>0</v>
      </c>
      <c r="H664" s="354" t="s">
        <v>277</v>
      </c>
      <c r="I664" s="355">
        <f>WORK!K3023</f>
        <v>89</v>
      </c>
      <c r="J664" s="353">
        <f>ROUND(G664*I664,0)</f>
        <v>0</v>
      </c>
      <c r="K664" s="1913"/>
      <c r="L664" s="1913"/>
      <c r="M664" s="1139" t="s">
        <v>2322</v>
      </c>
      <c r="N664" s="223"/>
      <c r="O664" s="1138">
        <f t="shared" si="110"/>
        <v>0</v>
      </c>
    </row>
    <row r="665" spans="1:15" s="1448" customFormat="1" ht="25.5">
      <c r="A665" s="1436" t="s">
        <v>508</v>
      </c>
      <c r="B665" s="1437" t="s">
        <v>3314</v>
      </c>
      <c r="C665" s="1493">
        <v>86</v>
      </c>
      <c r="D665" s="1439" t="s">
        <v>277</v>
      </c>
      <c r="E665" s="1494">
        <v>70</v>
      </c>
      <c r="F665" s="1440">
        <f t="shared" ref="F665" si="113">ROUND(C665*E665,0)</f>
        <v>6020</v>
      </c>
      <c r="G665" s="1457">
        <f>WORK!I2611</f>
        <v>0</v>
      </c>
      <c r="H665" s="1458" t="s">
        <v>277</v>
      </c>
      <c r="I665" s="1459">
        <f>WORK!K2611</f>
        <v>70</v>
      </c>
      <c r="J665" s="1450">
        <f t="shared" si="107"/>
        <v>0</v>
      </c>
      <c r="K665" s="1911">
        <f>IF((J665+J666+J667+J668)&gt;(F665+F666+F667+F668),(J665+J666+J667+J668)-(F665+F666+F667+F668),0)</f>
        <v>0</v>
      </c>
      <c r="L665" s="1911">
        <f>IF((J665+J666+J667+J668)&lt;(F665+F666+F667+F668),(F665+F666+F667+F668)-(J665+J666+J667+J668),0)</f>
        <v>6020</v>
      </c>
      <c r="M665" s="1445" t="s">
        <v>2226</v>
      </c>
      <c r="N665" s="1446"/>
      <c r="O665" s="1447">
        <f t="shared" si="110"/>
        <v>6020</v>
      </c>
    </row>
    <row r="666" spans="1:15" s="360" customFormat="1" ht="15" hidden="1">
      <c r="A666" s="356" t="s">
        <v>2707</v>
      </c>
      <c r="B666" s="707" t="s">
        <v>550</v>
      </c>
      <c r="C666" s="729"/>
      <c r="D666" s="354"/>
      <c r="E666" s="730"/>
      <c r="F666" s="353"/>
      <c r="G666" s="358">
        <f>WORK!I2749</f>
        <v>0</v>
      </c>
      <c r="H666" s="354" t="s">
        <v>277</v>
      </c>
      <c r="I666" s="355">
        <f>WORK!K2749</f>
        <v>70</v>
      </c>
      <c r="J666" s="353">
        <f>ROUND(G666*I666,0)</f>
        <v>0</v>
      </c>
      <c r="K666" s="1912"/>
      <c r="L666" s="1912"/>
      <c r="M666" s="708" t="s">
        <v>2308</v>
      </c>
      <c r="N666" s="223"/>
      <c r="O666" s="706">
        <f t="shared" si="110"/>
        <v>0</v>
      </c>
    </row>
    <row r="667" spans="1:15" s="360" customFormat="1" ht="15" hidden="1">
      <c r="A667" s="356" t="s">
        <v>1581</v>
      </c>
      <c r="B667" s="707" t="s">
        <v>550</v>
      </c>
      <c r="C667" s="729"/>
      <c r="D667" s="354"/>
      <c r="E667" s="730"/>
      <c r="F667" s="353"/>
      <c r="G667" s="358">
        <f>WORK!I2891</f>
        <v>0</v>
      </c>
      <c r="H667" s="354" t="s">
        <v>277</v>
      </c>
      <c r="I667" s="355">
        <f>WORK!K2891</f>
        <v>74</v>
      </c>
      <c r="J667" s="353">
        <f>ROUND(G667*I667,0)</f>
        <v>0</v>
      </c>
      <c r="K667" s="1912"/>
      <c r="L667" s="1912"/>
      <c r="M667" s="708" t="s">
        <v>2321</v>
      </c>
      <c r="N667" s="223"/>
      <c r="O667" s="706">
        <f t="shared" si="110"/>
        <v>0</v>
      </c>
    </row>
    <row r="668" spans="1:15" s="360" customFormat="1" ht="25.5" hidden="1">
      <c r="A668" s="356" t="s">
        <v>1147</v>
      </c>
      <c r="B668" s="707" t="s">
        <v>3314</v>
      </c>
      <c r="C668" s="729"/>
      <c r="D668" s="354"/>
      <c r="E668" s="730"/>
      <c r="F668" s="353"/>
      <c r="G668" s="358">
        <f>WORK!I3029</f>
        <v>0</v>
      </c>
      <c r="H668" s="354" t="s">
        <v>277</v>
      </c>
      <c r="I668" s="355">
        <f>WORK!K3029</f>
        <v>79</v>
      </c>
      <c r="J668" s="353">
        <f>ROUND(G668*I668,0)</f>
        <v>0</v>
      </c>
      <c r="K668" s="1913"/>
      <c r="L668" s="1913"/>
      <c r="M668" s="1139" t="s">
        <v>2322</v>
      </c>
      <c r="N668" s="223"/>
      <c r="O668" s="1138">
        <f t="shared" si="110"/>
        <v>0</v>
      </c>
    </row>
    <row r="669" spans="1:15" s="1448" customFormat="1" ht="38.25">
      <c r="A669" s="1436" t="s">
        <v>510</v>
      </c>
      <c r="B669" s="1437" t="s">
        <v>3407</v>
      </c>
      <c r="C669" s="1493">
        <v>3</v>
      </c>
      <c r="D669" s="1439" t="s">
        <v>115</v>
      </c>
      <c r="E669" s="1494">
        <v>3238</v>
      </c>
      <c r="F669" s="1440">
        <f t="shared" ref="F669:F670" si="114">ROUND(C669*E669,0)</f>
        <v>9714</v>
      </c>
      <c r="G669" s="1457"/>
      <c r="H669" s="1458"/>
      <c r="I669" s="1459"/>
      <c r="J669" s="1450"/>
      <c r="K669" s="1495">
        <f t="shared" ref="K669" si="115">IF(J669&gt;F669,J669-F669,0)</f>
        <v>0</v>
      </c>
      <c r="L669" s="1496">
        <f t="shared" ref="L669" si="116">IF(J669&lt;F669,F669-J669,0)</f>
        <v>9714</v>
      </c>
      <c r="M669" s="1445" t="s">
        <v>2226</v>
      </c>
      <c r="N669" s="1446"/>
      <c r="O669" s="1447">
        <f t="shared" si="110"/>
        <v>9714</v>
      </c>
    </row>
    <row r="670" spans="1:15" s="1448" customFormat="1" ht="38.25">
      <c r="A670" s="1436" t="s">
        <v>1522</v>
      </c>
      <c r="B670" s="1437" t="s">
        <v>3315</v>
      </c>
      <c r="C670" s="1493">
        <v>2</v>
      </c>
      <c r="D670" s="1439" t="s">
        <v>115</v>
      </c>
      <c r="E670" s="1494">
        <v>4776</v>
      </c>
      <c r="F670" s="1440">
        <f t="shared" si="114"/>
        <v>9552</v>
      </c>
      <c r="G670" s="1457">
        <f>WORK!I2616</f>
        <v>0</v>
      </c>
      <c r="H670" s="1458" t="s">
        <v>115</v>
      </c>
      <c r="I670" s="1459">
        <f>WORK!K2616</f>
        <v>4776</v>
      </c>
      <c r="J670" s="1450">
        <f t="shared" si="107"/>
        <v>0</v>
      </c>
      <c r="K670" s="1911">
        <f>IF((J670+J671+J672+J673)&gt;(F670+F671+F672+F673),(J670+J671+J672+J673)-(F670+F671+F672+F673),0)</f>
        <v>0</v>
      </c>
      <c r="L670" s="1911">
        <f>IF((J670+J671+J672+J673)&lt;(F670+F671+F672+F673),(F670+F671+F672+F673)-(J670+J671+J672+J673),0)</f>
        <v>9552</v>
      </c>
      <c r="M670" s="1445" t="s">
        <v>2226</v>
      </c>
      <c r="N670" s="1446"/>
      <c r="O670" s="1447">
        <f t="shared" si="110"/>
        <v>9552</v>
      </c>
    </row>
    <row r="671" spans="1:15" s="360" customFormat="1" ht="15" hidden="1">
      <c r="A671" s="356" t="s">
        <v>2709</v>
      </c>
      <c r="B671" s="707" t="s">
        <v>551</v>
      </c>
      <c r="C671" s="554"/>
      <c r="D671" s="354"/>
      <c r="E671" s="16"/>
      <c r="F671" s="353"/>
      <c r="G671" s="358">
        <f>WORK!I2754</f>
        <v>0</v>
      </c>
      <c r="H671" s="354" t="s">
        <v>115</v>
      </c>
      <c r="I671" s="355">
        <f>WORK!K2754</f>
        <v>4776</v>
      </c>
      <c r="J671" s="353">
        <f>ROUND(G671*I671,0)</f>
        <v>0</v>
      </c>
      <c r="K671" s="1912"/>
      <c r="L671" s="1912"/>
      <c r="M671" s="708" t="s">
        <v>2308</v>
      </c>
      <c r="N671" s="223"/>
      <c r="O671" s="706">
        <f t="shared" si="110"/>
        <v>0</v>
      </c>
    </row>
    <row r="672" spans="1:15" s="360" customFormat="1" ht="15" hidden="1">
      <c r="A672" s="356" t="s">
        <v>1158</v>
      </c>
      <c r="B672" s="707" t="s">
        <v>551</v>
      </c>
      <c r="C672" s="554"/>
      <c r="D672" s="354"/>
      <c r="E672" s="16"/>
      <c r="F672" s="353"/>
      <c r="G672" s="358">
        <f>WORK!I2896</f>
        <v>0</v>
      </c>
      <c r="H672" s="354" t="s">
        <v>115</v>
      </c>
      <c r="I672" s="355">
        <f>WORK!K2896</f>
        <v>5006</v>
      </c>
      <c r="J672" s="353">
        <f>ROUND(G672*I672,0)</f>
        <v>0</v>
      </c>
      <c r="K672" s="1912"/>
      <c r="L672" s="1912"/>
      <c r="M672" s="708" t="s">
        <v>2321</v>
      </c>
      <c r="N672" s="223"/>
      <c r="O672" s="706">
        <f t="shared" si="110"/>
        <v>0</v>
      </c>
    </row>
    <row r="673" spans="1:15" s="360" customFormat="1" ht="38.25" hidden="1">
      <c r="A673" s="356" t="s">
        <v>1150</v>
      </c>
      <c r="B673" s="707" t="s">
        <v>3315</v>
      </c>
      <c r="C673" s="554"/>
      <c r="D673" s="354"/>
      <c r="E673" s="16"/>
      <c r="F673" s="353"/>
      <c r="G673" s="358">
        <f>WORK!I3034</f>
        <v>0</v>
      </c>
      <c r="H673" s="354" t="s">
        <v>115</v>
      </c>
      <c r="I673" s="355">
        <f>WORK!K3034</f>
        <v>5297</v>
      </c>
      <c r="J673" s="353">
        <f>ROUND(G673*I673,0)</f>
        <v>0</v>
      </c>
      <c r="K673" s="1913"/>
      <c r="L673" s="1913"/>
      <c r="M673" s="1139" t="s">
        <v>2322</v>
      </c>
      <c r="N673" s="223"/>
      <c r="O673" s="1138">
        <f t="shared" si="110"/>
        <v>0</v>
      </c>
    </row>
    <row r="674" spans="1:15" s="360" customFormat="1" ht="15" hidden="1">
      <c r="A674" s="356" t="s">
        <v>644</v>
      </c>
      <c r="B674" s="707" t="s">
        <v>633</v>
      </c>
      <c r="C674" s="554"/>
      <c r="D674" s="354"/>
      <c r="E674" s="16"/>
      <c r="F674" s="353"/>
      <c r="G674" s="358">
        <f>WORK!I2621</f>
        <v>0</v>
      </c>
      <c r="H674" s="354" t="s">
        <v>115</v>
      </c>
      <c r="I674" s="355">
        <f>WORK!K2621</f>
        <v>934</v>
      </c>
      <c r="J674" s="353">
        <f t="shared" si="107"/>
        <v>0</v>
      </c>
      <c r="K674" s="1911">
        <f>IF((J674+J675+J676+J677)&gt;(F674+F675+F676+F677),(J674+J675+J676+J677)-(F674+F675+F676+F677),0)</f>
        <v>0</v>
      </c>
      <c r="L674" s="1911">
        <f>IF((J674+J675+J676+J677)&lt;(F674+F675+F676+F677),(F674+F675+F676+F677)-(J674+J675+J676+J677),0)</f>
        <v>0</v>
      </c>
      <c r="M674" s="708" t="s">
        <v>2226</v>
      </c>
      <c r="N674" s="223"/>
      <c r="O674" s="706">
        <f t="shared" si="110"/>
        <v>0</v>
      </c>
    </row>
    <row r="675" spans="1:15" s="360" customFormat="1" ht="15" hidden="1">
      <c r="A675" s="356" t="s">
        <v>644</v>
      </c>
      <c r="B675" s="707" t="s">
        <v>633</v>
      </c>
      <c r="C675" s="554"/>
      <c r="D675" s="354"/>
      <c r="E675" s="16"/>
      <c r="F675" s="353"/>
      <c r="G675" s="358">
        <f>WORK!I2759</f>
        <v>0</v>
      </c>
      <c r="H675" s="354" t="s">
        <v>115</v>
      </c>
      <c r="I675" s="355">
        <f>WORK!K2759</f>
        <v>934</v>
      </c>
      <c r="J675" s="353">
        <f>ROUND(G675*I675,0)</f>
        <v>0</v>
      </c>
      <c r="K675" s="1912"/>
      <c r="L675" s="1912"/>
      <c r="M675" s="708" t="s">
        <v>2308</v>
      </c>
      <c r="N675" s="223"/>
      <c r="O675" s="706">
        <f t="shared" si="110"/>
        <v>0</v>
      </c>
    </row>
    <row r="676" spans="1:15" s="360" customFormat="1" ht="15" hidden="1">
      <c r="A676" s="356" t="s">
        <v>644</v>
      </c>
      <c r="B676" s="707" t="s">
        <v>633</v>
      </c>
      <c r="C676" s="554"/>
      <c r="D676" s="354"/>
      <c r="E676" s="16"/>
      <c r="F676" s="353"/>
      <c r="G676" s="358">
        <f>WORK!I2901</f>
        <v>0</v>
      </c>
      <c r="H676" s="354" t="s">
        <v>115</v>
      </c>
      <c r="I676" s="355">
        <f>WORK!K2901</f>
        <v>979</v>
      </c>
      <c r="J676" s="353">
        <f>ROUND(G676*I676,0)</f>
        <v>0</v>
      </c>
      <c r="K676" s="1912"/>
      <c r="L676" s="1912"/>
      <c r="M676" s="708" t="s">
        <v>2321</v>
      </c>
      <c r="N676" s="223"/>
      <c r="O676" s="706">
        <f t="shared" si="110"/>
        <v>0</v>
      </c>
    </row>
    <row r="677" spans="1:15" s="360" customFormat="1" ht="15" hidden="1">
      <c r="A677" s="356" t="s">
        <v>644</v>
      </c>
      <c r="B677" s="707" t="s">
        <v>633</v>
      </c>
      <c r="C677" s="554"/>
      <c r="D677" s="354"/>
      <c r="E677" s="16"/>
      <c r="F677" s="353"/>
      <c r="G677" s="358">
        <f>WORK!I3039</f>
        <v>0</v>
      </c>
      <c r="H677" s="354" t="s">
        <v>115</v>
      </c>
      <c r="I677" s="355">
        <f>WORK!K3039</f>
        <v>1036</v>
      </c>
      <c r="J677" s="353">
        <f>ROUND(G677*I677,0)</f>
        <v>0</v>
      </c>
      <c r="K677" s="1913"/>
      <c r="L677" s="1913"/>
      <c r="M677" s="708" t="s">
        <v>2322</v>
      </c>
      <c r="N677" s="223"/>
      <c r="O677" s="706">
        <f t="shared" si="110"/>
        <v>0</v>
      </c>
    </row>
    <row r="678" spans="1:15" s="1448" customFormat="1" ht="38.25">
      <c r="A678" s="1436" t="s">
        <v>512</v>
      </c>
      <c r="B678" s="1437" t="s">
        <v>3316</v>
      </c>
      <c r="C678" s="1493">
        <v>2</v>
      </c>
      <c r="D678" s="1439" t="s">
        <v>115</v>
      </c>
      <c r="E678" s="1494">
        <v>1827</v>
      </c>
      <c r="F678" s="1440">
        <f t="shared" ref="F678" si="117">ROUND(C678*E678,0)</f>
        <v>3654</v>
      </c>
      <c r="G678" s="1457">
        <f>WORK!I2631</f>
        <v>0</v>
      </c>
      <c r="H678" s="1458" t="s">
        <v>115</v>
      </c>
      <c r="I678" s="1459">
        <f>WORK!K2631</f>
        <v>1827</v>
      </c>
      <c r="J678" s="1450">
        <f t="shared" si="107"/>
        <v>0</v>
      </c>
      <c r="K678" s="1911">
        <f>IF((J678+J679+J680+J681)&gt;(F678+F679+F680+F681),(J678+J679+J680+J681)-(F678+F679+F680+F681),0)</f>
        <v>0</v>
      </c>
      <c r="L678" s="1911">
        <f>IF((J678+J679+J680+J681)&lt;(F678+F679+F680+F681),(F678+F679+F680+F681)-(J678+J679+J680+J681),0)</f>
        <v>3654</v>
      </c>
      <c r="M678" s="1445" t="s">
        <v>2226</v>
      </c>
      <c r="N678" s="1446"/>
      <c r="O678" s="1447">
        <f t="shared" si="110"/>
        <v>3654</v>
      </c>
    </row>
    <row r="679" spans="1:15" s="360" customFormat="1" ht="15" hidden="1">
      <c r="A679" s="356" t="s">
        <v>2711</v>
      </c>
      <c r="B679" s="707" t="s">
        <v>634</v>
      </c>
      <c r="C679" s="554"/>
      <c r="D679" s="354"/>
      <c r="E679" s="16"/>
      <c r="F679" s="353"/>
      <c r="G679" s="358">
        <f>WORK!I2769</f>
        <v>0</v>
      </c>
      <c r="H679" s="354" t="s">
        <v>115</v>
      </c>
      <c r="I679" s="355">
        <f>WORK!K2769</f>
        <v>1827</v>
      </c>
      <c r="J679" s="353">
        <f>ROUND(G679*I679,0)</f>
        <v>0</v>
      </c>
      <c r="K679" s="1912"/>
      <c r="L679" s="1912"/>
      <c r="M679" s="708" t="s">
        <v>2308</v>
      </c>
      <c r="N679" s="223"/>
      <c r="O679" s="706">
        <f t="shared" si="110"/>
        <v>0</v>
      </c>
    </row>
    <row r="680" spans="1:15" s="360" customFormat="1" ht="15" hidden="1">
      <c r="A680" s="356" t="s">
        <v>1158</v>
      </c>
      <c r="B680" s="707" t="s">
        <v>634</v>
      </c>
      <c r="C680" s="554"/>
      <c r="D680" s="354"/>
      <c r="E680" s="16"/>
      <c r="F680" s="353"/>
      <c r="G680" s="358">
        <f>WORK!I2911</f>
        <v>0</v>
      </c>
      <c r="H680" s="354" t="s">
        <v>115</v>
      </c>
      <c r="I680" s="355">
        <f>WORK!K2911</f>
        <v>1915</v>
      </c>
      <c r="J680" s="353">
        <f>ROUND(G680*I680,0)</f>
        <v>0</v>
      </c>
      <c r="K680" s="1912"/>
      <c r="L680" s="1912"/>
      <c r="M680" s="708" t="s">
        <v>2321</v>
      </c>
      <c r="N680" s="223"/>
      <c r="O680" s="706">
        <f t="shared" si="110"/>
        <v>0</v>
      </c>
    </row>
    <row r="681" spans="1:15" s="360" customFormat="1" ht="15" hidden="1">
      <c r="A681" s="356" t="s">
        <v>1158</v>
      </c>
      <c r="B681" s="707" t="s">
        <v>634</v>
      </c>
      <c r="C681" s="554"/>
      <c r="D681" s="354"/>
      <c r="E681" s="16"/>
      <c r="F681" s="353"/>
      <c r="G681" s="358">
        <f>WORK!I3049</f>
        <v>0</v>
      </c>
      <c r="H681" s="354" t="s">
        <v>115</v>
      </c>
      <c r="I681" s="355">
        <f>WORK!K3049</f>
        <v>2025</v>
      </c>
      <c r="J681" s="353">
        <f>ROUND(G681*I681,0)</f>
        <v>0</v>
      </c>
      <c r="K681" s="1913"/>
      <c r="L681" s="1913"/>
      <c r="M681" s="708" t="s">
        <v>2322</v>
      </c>
      <c r="N681" s="223"/>
      <c r="O681" s="706">
        <f t="shared" si="110"/>
        <v>0</v>
      </c>
    </row>
    <row r="682" spans="1:15" s="360" customFormat="1" ht="15" hidden="1">
      <c r="A682" s="356" t="s">
        <v>1598</v>
      </c>
      <c r="B682" s="707" t="s">
        <v>1257</v>
      </c>
      <c r="C682" s="554"/>
      <c r="D682" s="354"/>
      <c r="E682" s="16"/>
      <c r="F682" s="353"/>
      <c r="G682" s="358">
        <f>WORK!I2626</f>
        <v>0</v>
      </c>
      <c r="H682" s="354" t="s">
        <v>115</v>
      </c>
      <c r="I682" s="355">
        <f>WORK!K2626</f>
        <v>2385</v>
      </c>
      <c r="J682" s="353">
        <f t="shared" si="107"/>
        <v>0</v>
      </c>
      <c r="K682" s="1911">
        <f>IF((J682+J683+J684+J685)&gt;(F682+F683+F684+F685),(J682+J683+J684+J685)-(F682+F683+F684+F685),0)</f>
        <v>0</v>
      </c>
      <c r="L682" s="1911">
        <f>IF((J682+J683+J684+J685)&lt;(F682+F683+F684+F685),(F682+F683+F684+F685)-(J682+J683+J684+J685),0)</f>
        <v>0</v>
      </c>
      <c r="M682" s="708" t="s">
        <v>2226</v>
      </c>
      <c r="N682" s="223"/>
      <c r="O682" s="706">
        <f t="shared" si="110"/>
        <v>0</v>
      </c>
    </row>
    <row r="683" spans="1:15" s="360" customFormat="1" ht="15" hidden="1">
      <c r="A683" s="356" t="s">
        <v>2708</v>
      </c>
      <c r="B683" s="707" t="s">
        <v>1257</v>
      </c>
      <c r="C683" s="554"/>
      <c r="D683" s="354"/>
      <c r="E683" s="16"/>
      <c r="F683" s="353"/>
      <c r="G683" s="358">
        <f>WORK!I2764</f>
        <v>0</v>
      </c>
      <c r="H683" s="354" t="s">
        <v>115</v>
      </c>
      <c r="I683" s="355">
        <f>WORK!K2764</f>
        <v>2385</v>
      </c>
      <c r="J683" s="353">
        <f>ROUND(G683*I683,0)</f>
        <v>0</v>
      </c>
      <c r="K683" s="1912"/>
      <c r="L683" s="1912"/>
      <c r="M683" s="708" t="s">
        <v>2308</v>
      </c>
      <c r="N683" s="223"/>
      <c r="O683" s="706">
        <f t="shared" si="110"/>
        <v>0</v>
      </c>
    </row>
    <row r="684" spans="1:15" s="360" customFormat="1" ht="15" hidden="1">
      <c r="A684" s="356" t="s">
        <v>1598</v>
      </c>
      <c r="B684" s="707" t="s">
        <v>1257</v>
      </c>
      <c r="C684" s="554"/>
      <c r="D684" s="354"/>
      <c r="E684" s="16"/>
      <c r="F684" s="353"/>
      <c r="G684" s="358">
        <f>WORK!I2906</f>
        <v>0</v>
      </c>
      <c r="H684" s="354" t="s">
        <v>115</v>
      </c>
      <c r="I684" s="355">
        <f>WORK!K2906</f>
        <v>2499</v>
      </c>
      <c r="J684" s="353">
        <f>ROUND(G684*I684,0)</f>
        <v>0</v>
      </c>
      <c r="K684" s="1912"/>
      <c r="L684" s="1912"/>
      <c r="M684" s="708" t="s">
        <v>2321</v>
      </c>
      <c r="N684" s="223"/>
      <c r="O684" s="706">
        <f t="shared" si="110"/>
        <v>0</v>
      </c>
    </row>
    <row r="685" spans="1:15" s="360" customFormat="1" ht="15" hidden="1">
      <c r="A685" s="356" t="s">
        <v>1598</v>
      </c>
      <c r="B685" s="707" t="s">
        <v>1257</v>
      </c>
      <c r="C685" s="554"/>
      <c r="D685" s="354"/>
      <c r="E685" s="16"/>
      <c r="F685" s="353"/>
      <c r="G685" s="358">
        <f>WORK!I3044</f>
        <v>0</v>
      </c>
      <c r="H685" s="354" t="s">
        <v>115</v>
      </c>
      <c r="I685" s="355">
        <f>WORK!K3044</f>
        <v>2644</v>
      </c>
      <c r="J685" s="353">
        <f>ROUND(G685*I685,0)</f>
        <v>0</v>
      </c>
      <c r="K685" s="1913"/>
      <c r="L685" s="1913"/>
      <c r="M685" s="708" t="s">
        <v>2322</v>
      </c>
      <c r="N685" s="223"/>
      <c r="O685" s="706">
        <f t="shared" si="110"/>
        <v>0</v>
      </c>
    </row>
    <row r="686" spans="1:15" s="1448" customFormat="1" ht="25.5">
      <c r="A686" s="1436" t="s">
        <v>513</v>
      </c>
      <c r="B686" s="1437" t="s">
        <v>3317</v>
      </c>
      <c r="C686" s="1493">
        <v>4</v>
      </c>
      <c r="D686" s="1439" t="s">
        <v>115</v>
      </c>
      <c r="E686" s="1494">
        <v>115</v>
      </c>
      <c r="F686" s="1440">
        <f t="shared" ref="F686" si="118">ROUND(C686*E686,0)</f>
        <v>460</v>
      </c>
      <c r="G686" s="1457">
        <f>WORK!I2636</f>
        <v>0</v>
      </c>
      <c r="H686" s="1458" t="s">
        <v>115</v>
      </c>
      <c r="I686" s="1459">
        <f>WORK!K2636</f>
        <v>122</v>
      </c>
      <c r="J686" s="1450">
        <f t="shared" si="107"/>
        <v>0</v>
      </c>
      <c r="K686" s="1911">
        <f>IF((J686+J687+J688+J689)&gt;(F686+F687+F688+F689),(J686+J687+J688+J689)-(F686+F687+F688+F689),0)</f>
        <v>0</v>
      </c>
      <c r="L686" s="1911">
        <f>IF((J686+J687+J688+J689)&lt;(F686+F687+F688+F689),(F686+F687+F688+F689)-(J686+J687+J688+J689),0)</f>
        <v>460</v>
      </c>
      <c r="M686" s="1445" t="s">
        <v>2226</v>
      </c>
      <c r="N686" s="1446"/>
      <c r="O686" s="1447">
        <f t="shared" si="110"/>
        <v>460</v>
      </c>
    </row>
    <row r="687" spans="1:15" s="360" customFormat="1" ht="15" hidden="1">
      <c r="A687" s="356" t="s">
        <v>1159</v>
      </c>
      <c r="B687" s="707" t="s">
        <v>719</v>
      </c>
      <c r="C687" s="729"/>
      <c r="D687" s="354"/>
      <c r="E687" s="730"/>
      <c r="F687" s="353"/>
      <c r="G687" s="358">
        <f>WORK!I2774</f>
        <v>0</v>
      </c>
      <c r="H687" s="354" t="s">
        <v>115</v>
      </c>
      <c r="I687" s="355">
        <f>WORK!K2774</f>
        <v>86</v>
      </c>
      <c r="J687" s="353">
        <f>ROUND(G687*I687,0)</f>
        <v>0</v>
      </c>
      <c r="K687" s="1912"/>
      <c r="L687" s="1912"/>
      <c r="M687" s="708" t="s">
        <v>2308</v>
      </c>
      <c r="N687" s="223"/>
      <c r="O687" s="706">
        <f t="shared" si="110"/>
        <v>0</v>
      </c>
    </row>
    <row r="688" spans="1:15" s="360" customFormat="1" ht="15" hidden="1">
      <c r="A688" s="356" t="s">
        <v>1260</v>
      </c>
      <c r="B688" s="707" t="s">
        <v>719</v>
      </c>
      <c r="C688" s="729"/>
      <c r="D688" s="354"/>
      <c r="E688" s="730"/>
      <c r="F688" s="353"/>
      <c r="G688" s="358">
        <f>WORK!I2916</f>
        <v>0</v>
      </c>
      <c r="H688" s="354" t="s">
        <v>115</v>
      </c>
      <c r="I688" s="355">
        <f>WORK!K2916</f>
        <v>89</v>
      </c>
      <c r="J688" s="353">
        <f>ROUND(G688*I688,0)</f>
        <v>0</v>
      </c>
      <c r="K688" s="1912"/>
      <c r="L688" s="1912"/>
      <c r="M688" s="708" t="s">
        <v>2321</v>
      </c>
      <c r="N688" s="223"/>
      <c r="O688" s="706">
        <f t="shared" si="110"/>
        <v>0</v>
      </c>
    </row>
    <row r="689" spans="1:15" s="360" customFormat="1" ht="25.5" hidden="1">
      <c r="A689" s="356" t="s">
        <v>2585</v>
      </c>
      <c r="B689" s="707" t="s">
        <v>3317</v>
      </c>
      <c r="C689" s="729"/>
      <c r="D689" s="354"/>
      <c r="E689" s="730"/>
      <c r="F689" s="353"/>
      <c r="G689" s="358">
        <f>WORK!I3054</f>
        <v>0</v>
      </c>
      <c r="H689" s="354" t="s">
        <v>115</v>
      </c>
      <c r="I689" s="355">
        <f>WORK!K3054</f>
        <v>93</v>
      </c>
      <c r="J689" s="353">
        <f>ROUND(G689*I689,0)</f>
        <v>0</v>
      </c>
      <c r="K689" s="1913"/>
      <c r="L689" s="1913"/>
      <c r="M689" s="1139" t="s">
        <v>2322</v>
      </c>
      <c r="N689" s="223"/>
      <c r="O689" s="1138">
        <f t="shared" si="110"/>
        <v>0</v>
      </c>
    </row>
    <row r="690" spans="1:15" s="1448" customFormat="1" ht="25.5">
      <c r="A690" s="1436" t="s">
        <v>514</v>
      </c>
      <c r="B690" s="1437" t="s">
        <v>3317</v>
      </c>
      <c r="C690" s="1493">
        <v>4</v>
      </c>
      <c r="D690" s="1439" t="s">
        <v>115</v>
      </c>
      <c r="E690" s="1494">
        <v>117</v>
      </c>
      <c r="F690" s="1440">
        <f t="shared" ref="F690:F691" si="119">ROUND(C690*E690,0)</f>
        <v>468</v>
      </c>
      <c r="G690" s="1457"/>
      <c r="H690" s="1458"/>
      <c r="I690" s="1459"/>
      <c r="J690" s="1450"/>
      <c r="K690" s="1495">
        <f t="shared" ref="K690" si="120">IF(J690&gt;F690,J690-F690,0)</f>
        <v>0</v>
      </c>
      <c r="L690" s="1496">
        <f t="shared" ref="L690" si="121">IF(J690&lt;F690,F690-J690,0)</f>
        <v>468</v>
      </c>
      <c r="M690" s="1445" t="s">
        <v>2226</v>
      </c>
      <c r="N690" s="1446"/>
      <c r="O690" s="1447">
        <f t="shared" si="110"/>
        <v>468</v>
      </c>
    </row>
    <row r="691" spans="1:15" s="1448" customFormat="1" ht="25.5">
      <c r="A691" s="1436" t="s">
        <v>515</v>
      </c>
      <c r="B691" s="1437" t="s">
        <v>3318</v>
      </c>
      <c r="C691" s="1493">
        <v>1000</v>
      </c>
      <c r="D691" s="1439" t="s">
        <v>291</v>
      </c>
      <c r="E691" s="1494">
        <v>6</v>
      </c>
      <c r="F691" s="1440">
        <f t="shared" si="119"/>
        <v>6000</v>
      </c>
      <c r="G691" s="1457">
        <f>WORK!I2641</f>
        <v>0</v>
      </c>
      <c r="H691" s="1458" t="s">
        <v>574</v>
      </c>
      <c r="I691" s="1459">
        <f>WORK!K2641</f>
        <v>6</v>
      </c>
      <c r="J691" s="1450">
        <f t="shared" si="107"/>
        <v>0</v>
      </c>
      <c r="K691" s="1911">
        <f>IF((J691+J692+J693+J694)&gt;(F691+F692+F693+F694),(J691+J692+J693+J694)-(F691+F692+F693+F694),0)</f>
        <v>0</v>
      </c>
      <c r="L691" s="1911">
        <f>IF((J691+J692+J693+J694)&lt;(F691+F692+F693+F694),(F691+F692+F693+F694)-(J691+J692+J693+J694),0)</f>
        <v>6000</v>
      </c>
      <c r="M691" s="1445" t="s">
        <v>2226</v>
      </c>
      <c r="N691" s="1446"/>
      <c r="O691" s="1447">
        <f t="shared" si="110"/>
        <v>6000</v>
      </c>
    </row>
    <row r="692" spans="1:15" s="360" customFormat="1" ht="15" hidden="1">
      <c r="A692" s="356" t="s">
        <v>1160</v>
      </c>
      <c r="B692" s="707" t="s">
        <v>552</v>
      </c>
      <c r="C692" s="729"/>
      <c r="D692" s="354"/>
      <c r="E692" s="730"/>
      <c r="F692" s="353"/>
      <c r="G692" s="358">
        <f>WORK!I2779</f>
        <v>0</v>
      </c>
      <c r="H692" s="354" t="s">
        <v>574</v>
      </c>
      <c r="I692" s="355">
        <f>WORK!K2779</f>
        <v>6</v>
      </c>
      <c r="J692" s="353">
        <f t="shared" ref="J692" si="122">ROUND(G692*I692,0)</f>
        <v>0</v>
      </c>
      <c r="K692" s="1912"/>
      <c r="L692" s="1912"/>
      <c r="M692" s="708" t="s">
        <v>2308</v>
      </c>
      <c r="N692" s="223"/>
      <c r="O692" s="706">
        <f t="shared" si="110"/>
        <v>0</v>
      </c>
    </row>
    <row r="693" spans="1:15" s="360" customFormat="1" ht="15" hidden="1">
      <c r="A693" s="356" t="s">
        <v>1260</v>
      </c>
      <c r="B693" s="707" t="s">
        <v>552</v>
      </c>
      <c r="C693" s="729"/>
      <c r="D693" s="354"/>
      <c r="E693" s="730"/>
      <c r="F693" s="353"/>
      <c r="G693" s="358">
        <f>WORK!I2921</f>
        <v>0</v>
      </c>
      <c r="H693" s="354" t="s">
        <v>574</v>
      </c>
      <c r="I693" s="355">
        <f>WORK!K2921</f>
        <v>6</v>
      </c>
      <c r="J693" s="353">
        <f>ROUND(G693*I693,0)</f>
        <v>0</v>
      </c>
      <c r="K693" s="1912"/>
      <c r="L693" s="1912"/>
      <c r="M693" s="708" t="s">
        <v>2321</v>
      </c>
      <c r="N693" s="223"/>
      <c r="O693" s="706">
        <f t="shared" si="110"/>
        <v>0</v>
      </c>
    </row>
    <row r="694" spans="1:15" s="360" customFormat="1" ht="25.5" hidden="1">
      <c r="A694" s="356" t="s">
        <v>2586</v>
      </c>
      <c r="B694" s="707" t="s">
        <v>3318</v>
      </c>
      <c r="C694" s="729"/>
      <c r="D694" s="354"/>
      <c r="E694" s="730"/>
      <c r="F694" s="353"/>
      <c r="G694" s="358">
        <f>WORK!I3059</f>
        <v>0</v>
      </c>
      <c r="H694" s="354" t="s">
        <v>574</v>
      </c>
      <c r="I694" s="355">
        <f>WORK!K3059</f>
        <v>9.5</v>
      </c>
      <c r="J694" s="353">
        <f>ROUND(G694*I694,0)</f>
        <v>0</v>
      </c>
      <c r="K694" s="1913"/>
      <c r="L694" s="1913"/>
      <c r="M694" s="1139" t="s">
        <v>2322</v>
      </c>
      <c r="N694" s="223"/>
      <c r="O694" s="1138">
        <f t="shared" si="110"/>
        <v>0</v>
      </c>
    </row>
    <row r="695" spans="1:15" s="1448" customFormat="1" ht="63.75">
      <c r="A695" s="1436" t="s">
        <v>516</v>
      </c>
      <c r="B695" s="1757" t="s">
        <v>365</v>
      </c>
      <c r="C695" s="1493">
        <v>2</v>
      </c>
      <c r="D695" s="1439" t="s">
        <v>115</v>
      </c>
      <c r="E695" s="1494">
        <v>1051</v>
      </c>
      <c r="F695" s="1440">
        <f t="shared" ref="F695:F697" si="123">ROUND(C695*E695,0)</f>
        <v>2102</v>
      </c>
      <c r="G695" s="1457"/>
      <c r="H695" s="1458"/>
      <c r="I695" s="1459"/>
      <c r="J695" s="1450"/>
      <c r="K695" s="1495">
        <f t="shared" ref="K695:K696" si="124">IF(J695&gt;F695,J695-F695,0)</f>
        <v>0</v>
      </c>
      <c r="L695" s="1496">
        <f t="shared" ref="L695:L696" si="125">IF(J695&lt;F695,F695-J695,0)</f>
        <v>2102</v>
      </c>
      <c r="M695" s="1445" t="s">
        <v>2226</v>
      </c>
      <c r="N695" s="1446"/>
      <c r="O695" s="1447">
        <f t="shared" si="110"/>
        <v>2102</v>
      </c>
    </row>
    <row r="696" spans="1:15" s="1448" customFormat="1" ht="38.25">
      <c r="A696" s="1436" t="s">
        <v>517</v>
      </c>
      <c r="B696" s="1757" t="s">
        <v>3408</v>
      </c>
      <c r="C696" s="1493">
        <v>30</v>
      </c>
      <c r="D696" s="1439" t="s">
        <v>115</v>
      </c>
      <c r="E696" s="1494">
        <v>480.33333333333331</v>
      </c>
      <c r="F696" s="1440">
        <f t="shared" si="123"/>
        <v>14410</v>
      </c>
      <c r="G696" s="1457"/>
      <c r="H696" s="1458"/>
      <c r="I696" s="1459"/>
      <c r="J696" s="1450"/>
      <c r="K696" s="1495">
        <f t="shared" si="124"/>
        <v>0</v>
      </c>
      <c r="L696" s="1496">
        <f t="shared" si="125"/>
        <v>14410</v>
      </c>
      <c r="M696" s="1445" t="s">
        <v>2226</v>
      </c>
      <c r="N696" s="1446"/>
      <c r="O696" s="1447">
        <f t="shared" si="110"/>
        <v>14410</v>
      </c>
    </row>
    <row r="697" spans="1:15" s="360" customFormat="1" ht="25.5" hidden="1">
      <c r="A697" s="356" t="s">
        <v>2700</v>
      </c>
      <c r="B697" s="707" t="s">
        <v>3319</v>
      </c>
      <c r="C697" s="921"/>
      <c r="D697" s="916" t="s">
        <v>277</v>
      </c>
      <c r="E697" s="922">
        <v>420</v>
      </c>
      <c r="F697" s="917">
        <f t="shared" si="123"/>
        <v>0</v>
      </c>
      <c r="G697" s="358">
        <f>WORK!I2644</f>
        <v>0</v>
      </c>
      <c r="H697" s="354" t="s">
        <v>277</v>
      </c>
      <c r="I697" s="355">
        <f>WORK!K2644</f>
        <v>446.4</v>
      </c>
      <c r="J697" s="353">
        <f t="shared" si="107"/>
        <v>0</v>
      </c>
      <c r="K697" s="1911">
        <f>IF((J697+J698+J699+J700)&gt;(F697+F698+F699+F700),(J697+J698+J699+J700)-(F697+F698+F699+F700),0)</f>
        <v>0</v>
      </c>
      <c r="L697" s="1911">
        <f>IF((J697+J698+J699+J700)&lt;(F697+F698+F699+F700),(F697+F698+F699+F700)-(J697+J698+J699+J700),0)</f>
        <v>0</v>
      </c>
      <c r="M697" s="1139" t="s">
        <v>2226</v>
      </c>
      <c r="N697" s="223"/>
      <c r="O697" s="1138">
        <f t="shared" si="110"/>
        <v>0</v>
      </c>
    </row>
    <row r="698" spans="1:15" s="360" customFormat="1" ht="15" hidden="1">
      <c r="A698" s="356" t="s">
        <v>1161</v>
      </c>
      <c r="B698" s="707" t="s">
        <v>553</v>
      </c>
      <c r="C698" s="729"/>
      <c r="D698" s="354"/>
      <c r="E698" s="730"/>
      <c r="F698" s="353"/>
      <c r="G698" s="358">
        <f>WORK!I2782</f>
        <v>0</v>
      </c>
      <c r="H698" s="354" t="s">
        <v>277</v>
      </c>
      <c r="I698" s="355">
        <f>WORK!K2782</f>
        <v>446.4</v>
      </c>
      <c r="J698" s="353">
        <f>ROUND(G698*I698,0)</f>
        <v>0</v>
      </c>
      <c r="K698" s="1912"/>
      <c r="L698" s="1912"/>
      <c r="M698" s="708" t="s">
        <v>2308</v>
      </c>
      <c r="N698" s="223"/>
      <c r="O698" s="706">
        <f t="shared" si="110"/>
        <v>0</v>
      </c>
    </row>
    <row r="699" spans="1:15" s="360" customFormat="1" ht="15" hidden="1">
      <c r="A699" s="356" t="s">
        <v>1160</v>
      </c>
      <c r="B699" s="707" t="s">
        <v>553</v>
      </c>
      <c r="C699" s="729"/>
      <c r="D699" s="354"/>
      <c r="E699" s="730"/>
      <c r="F699" s="353"/>
      <c r="G699" s="358">
        <f>WORK!I2924</f>
        <v>0</v>
      </c>
      <c r="H699" s="354" t="s">
        <v>277</v>
      </c>
      <c r="I699" s="355">
        <f>WORK!K2924</f>
        <v>470</v>
      </c>
      <c r="J699" s="353">
        <f>ROUND(G699*I699,0)</f>
        <v>0</v>
      </c>
      <c r="K699" s="1912"/>
      <c r="L699" s="1912"/>
      <c r="M699" s="708" t="s">
        <v>2321</v>
      </c>
      <c r="N699" s="223"/>
      <c r="O699" s="706">
        <f t="shared" si="110"/>
        <v>0</v>
      </c>
    </row>
    <row r="700" spans="1:15" s="360" customFormat="1" ht="15" hidden="1">
      <c r="A700" s="356" t="s">
        <v>1160</v>
      </c>
      <c r="B700" s="707" t="s">
        <v>553</v>
      </c>
      <c r="C700" s="729"/>
      <c r="D700" s="354"/>
      <c r="E700" s="730"/>
      <c r="F700" s="353"/>
      <c r="G700" s="358">
        <f>WORK!I3062</f>
        <v>0</v>
      </c>
      <c r="H700" s="354" t="s">
        <v>277</v>
      </c>
      <c r="I700" s="355">
        <f>WORK!K3062</f>
        <v>446.4</v>
      </c>
      <c r="J700" s="353">
        <f>ROUND(G700*I700,0)</f>
        <v>0</v>
      </c>
      <c r="K700" s="1913"/>
      <c r="L700" s="1913"/>
      <c r="M700" s="708" t="s">
        <v>2322</v>
      </c>
      <c r="N700" s="223"/>
      <c r="O700" s="706">
        <f t="shared" si="110"/>
        <v>0</v>
      </c>
    </row>
    <row r="701" spans="1:15" s="360" customFormat="1" ht="25.5" hidden="1">
      <c r="A701" s="356" t="s">
        <v>1157</v>
      </c>
      <c r="B701" s="707" t="s">
        <v>3319</v>
      </c>
      <c r="C701" s="633"/>
      <c r="D701" s="354"/>
      <c r="E701" s="622"/>
      <c r="F701" s="353"/>
      <c r="G701" s="358">
        <f>WORK!I2645</f>
        <v>0</v>
      </c>
      <c r="H701" s="354" t="s">
        <v>277</v>
      </c>
      <c r="I701" s="355">
        <f>WORK!K2645</f>
        <v>477.6</v>
      </c>
      <c r="J701" s="353">
        <f t="shared" si="107"/>
        <v>0</v>
      </c>
      <c r="K701" s="1911">
        <f>IF((J701+J702+J703+J704)&gt;(F701+F702+F703+F704),(J701+J702+J703+J704)-(F701+F702+F703+F704),0)</f>
        <v>0</v>
      </c>
      <c r="L701" s="1911">
        <f>IF((J701+J702+J703+J704)&lt;(F701+F702+F703+F704),(F701+F702+F703+F704)-(J701+J702+J703+J704),0)</f>
        <v>0</v>
      </c>
      <c r="M701" s="1139" t="s">
        <v>2226</v>
      </c>
      <c r="N701" s="223"/>
      <c r="O701" s="1138">
        <f t="shared" si="110"/>
        <v>0</v>
      </c>
    </row>
    <row r="702" spans="1:15" s="360" customFormat="1" ht="15" hidden="1">
      <c r="A702" s="356" t="s">
        <v>524</v>
      </c>
      <c r="B702" s="707" t="s">
        <v>553</v>
      </c>
      <c r="C702" s="633"/>
      <c r="D702" s="354"/>
      <c r="E702" s="622"/>
      <c r="F702" s="353"/>
      <c r="G702" s="358">
        <f>WORK!I2783</f>
        <v>0</v>
      </c>
      <c r="H702" s="354" t="s">
        <v>277</v>
      </c>
      <c r="I702" s="355">
        <f>WORK!K2783</f>
        <v>477.6</v>
      </c>
      <c r="J702" s="353">
        <f>ROUND(G702*I702,0)</f>
        <v>0</v>
      </c>
      <c r="K702" s="1912"/>
      <c r="L702" s="1912"/>
      <c r="M702" s="708" t="s">
        <v>2308</v>
      </c>
      <c r="N702" s="223"/>
      <c r="O702" s="706">
        <f t="shared" si="110"/>
        <v>0</v>
      </c>
    </row>
    <row r="703" spans="1:15" s="360" customFormat="1" ht="15" hidden="1">
      <c r="A703" s="356" t="s">
        <v>524</v>
      </c>
      <c r="B703" s="707" t="s">
        <v>553</v>
      </c>
      <c r="C703" s="633"/>
      <c r="D703" s="354"/>
      <c r="E703" s="622"/>
      <c r="F703" s="353"/>
      <c r="G703" s="358">
        <f>WORK!I2925</f>
        <v>0</v>
      </c>
      <c r="H703" s="354" t="s">
        <v>277</v>
      </c>
      <c r="I703" s="355">
        <f>WORK!K2925</f>
        <v>502</v>
      </c>
      <c r="J703" s="353">
        <f>ROUND(G703*I703,0)</f>
        <v>0</v>
      </c>
      <c r="K703" s="1912"/>
      <c r="L703" s="1912"/>
      <c r="M703" s="708" t="s">
        <v>2321</v>
      </c>
      <c r="N703" s="223"/>
      <c r="O703" s="706">
        <f t="shared" si="110"/>
        <v>0</v>
      </c>
    </row>
    <row r="704" spans="1:15" s="360" customFormat="1" ht="15" hidden="1">
      <c r="A704" s="356" t="s">
        <v>524</v>
      </c>
      <c r="B704" s="707" t="s">
        <v>553</v>
      </c>
      <c r="C704" s="633"/>
      <c r="D704" s="354"/>
      <c r="E704" s="622"/>
      <c r="F704" s="353"/>
      <c r="G704" s="358">
        <f>WORK!I3063</f>
        <v>0</v>
      </c>
      <c r="H704" s="354" t="s">
        <v>277</v>
      </c>
      <c r="I704" s="355">
        <f>WORK!K3063</f>
        <v>477.6</v>
      </c>
      <c r="J704" s="353">
        <f>ROUND(G704*I704,0)</f>
        <v>0</v>
      </c>
      <c r="K704" s="1913"/>
      <c r="L704" s="1913"/>
      <c r="M704" s="708" t="s">
        <v>2322</v>
      </c>
      <c r="N704" s="223"/>
      <c r="O704" s="706">
        <f t="shared" si="110"/>
        <v>0</v>
      </c>
    </row>
    <row r="705" spans="1:15" s="360" customFormat="1" ht="15" hidden="1">
      <c r="A705" s="356" t="s">
        <v>525</v>
      </c>
      <c r="B705" s="707" t="s">
        <v>553</v>
      </c>
      <c r="C705" s="633"/>
      <c r="D705" s="354"/>
      <c r="E705" s="622"/>
      <c r="F705" s="353"/>
      <c r="G705" s="358">
        <f>WORK!I2646</f>
        <v>0</v>
      </c>
      <c r="H705" s="354" t="s">
        <v>277</v>
      </c>
      <c r="I705" s="355">
        <f>WORK!K2646</f>
        <v>600</v>
      </c>
      <c r="J705" s="353">
        <f t="shared" si="107"/>
        <v>0</v>
      </c>
      <c r="K705" s="1911">
        <f>IF((J705+J706+J707+J708)&gt;(F705+F706+F707+F708),(J705+J706+J707+J708)-(F705+F706+F707+F708),0)</f>
        <v>0</v>
      </c>
      <c r="L705" s="1911">
        <f>IF((J705+J706+J707+J708)&lt;(F705+F706+F707+F708),(F705+F706+F707+F708)-(J705+J706+J707+J708),0)</f>
        <v>0</v>
      </c>
      <c r="M705" s="708" t="s">
        <v>2226</v>
      </c>
      <c r="N705" s="223"/>
      <c r="O705" s="706">
        <f t="shared" si="110"/>
        <v>0</v>
      </c>
    </row>
    <row r="706" spans="1:15" s="360" customFormat="1" ht="15" hidden="1">
      <c r="A706" s="356" t="s">
        <v>525</v>
      </c>
      <c r="B706" s="707" t="s">
        <v>553</v>
      </c>
      <c r="C706" s="633"/>
      <c r="D706" s="354"/>
      <c r="E706" s="622"/>
      <c r="F706" s="353"/>
      <c r="G706" s="358">
        <f>WORK!I2784</f>
        <v>0</v>
      </c>
      <c r="H706" s="354" t="s">
        <v>277</v>
      </c>
      <c r="I706" s="355">
        <f>WORK!K2784</f>
        <v>535.70000000000005</v>
      </c>
      <c r="J706" s="353">
        <f>ROUND(G706*I706,0)</f>
        <v>0</v>
      </c>
      <c r="K706" s="1912"/>
      <c r="L706" s="1912"/>
      <c r="M706" s="708" t="s">
        <v>2308</v>
      </c>
      <c r="N706" s="223"/>
      <c r="O706" s="706">
        <f t="shared" si="110"/>
        <v>0</v>
      </c>
    </row>
    <row r="707" spans="1:15" s="360" customFormat="1" ht="15" hidden="1">
      <c r="A707" s="356" t="s">
        <v>525</v>
      </c>
      <c r="B707" s="707" t="s">
        <v>553</v>
      </c>
      <c r="C707" s="633"/>
      <c r="D707" s="354"/>
      <c r="E707" s="622"/>
      <c r="F707" s="353"/>
      <c r="G707" s="358">
        <f>WORK!I2926</f>
        <v>0</v>
      </c>
      <c r="H707" s="354" t="s">
        <v>277</v>
      </c>
      <c r="I707" s="355">
        <f>WORK!K2926</f>
        <v>563</v>
      </c>
      <c r="J707" s="353">
        <f>ROUND(G707*I707,0)</f>
        <v>0</v>
      </c>
      <c r="K707" s="1912"/>
      <c r="L707" s="1912"/>
      <c r="M707" s="708" t="s">
        <v>2321</v>
      </c>
      <c r="N707" s="223"/>
      <c r="O707" s="706">
        <f t="shared" si="110"/>
        <v>0</v>
      </c>
    </row>
    <row r="708" spans="1:15" s="360" customFormat="1" ht="15" hidden="1">
      <c r="A708" s="356" t="s">
        <v>525</v>
      </c>
      <c r="B708" s="707" t="s">
        <v>553</v>
      </c>
      <c r="C708" s="633"/>
      <c r="D708" s="354"/>
      <c r="E708" s="622"/>
      <c r="F708" s="353"/>
      <c r="G708" s="358">
        <f>WORK!I3064</f>
        <v>0</v>
      </c>
      <c r="H708" s="354" t="s">
        <v>277</v>
      </c>
      <c r="I708" s="355">
        <f>WORK!K3064</f>
        <v>535.70000000000005</v>
      </c>
      <c r="J708" s="353">
        <f>ROUND(G708*I708,0)</f>
        <v>0</v>
      </c>
      <c r="K708" s="1913"/>
      <c r="L708" s="1913"/>
      <c r="M708" s="708" t="s">
        <v>2322</v>
      </c>
      <c r="N708" s="223"/>
      <c r="O708" s="706">
        <f t="shared" si="110"/>
        <v>0</v>
      </c>
    </row>
    <row r="709" spans="1:15" s="360" customFormat="1" ht="25.5" hidden="1">
      <c r="A709" s="356" t="s">
        <v>2701</v>
      </c>
      <c r="B709" s="707" t="s">
        <v>3320</v>
      </c>
      <c r="C709" s="921"/>
      <c r="D709" s="916" t="s">
        <v>277</v>
      </c>
      <c r="E709" s="922">
        <v>636</v>
      </c>
      <c r="F709" s="917">
        <f t="shared" ref="F709" si="126">ROUND(C709*E709,0)</f>
        <v>0</v>
      </c>
      <c r="G709" s="358">
        <f>WORK!I2652</f>
        <v>0</v>
      </c>
      <c r="H709" s="354" t="s">
        <v>277</v>
      </c>
      <c r="I709" s="355">
        <f>WORK!K2652</f>
        <v>325</v>
      </c>
      <c r="J709" s="353">
        <f t="shared" si="107"/>
        <v>0</v>
      </c>
      <c r="K709" s="1911">
        <f>IF((J709+J710+J711+J712)&gt;(F709+F710+F711+F712),(J709+J710+J711+J712)-(F709+F710+F711+F712),0)</f>
        <v>0</v>
      </c>
      <c r="L709" s="1911">
        <f>IF((J709+J710+J711+J712)&lt;(F709+F710+F711+F712),(F709+F710+F711+F712)-(J709+J710+J711+J712),0)</f>
        <v>0</v>
      </c>
      <c r="M709" s="1139" t="s">
        <v>2226</v>
      </c>
      <c r="N709" s="223"/>
      <c r="O709" s="1138">
        <f t="shared" si="110"/>
        <v>0</v>
      </c>
    </row>
    <row r="710" spans="1:15" s="360" customFormat="1" ht="15" hidden="1">
      <c r="A710" s="356" t="s">
        <v>1599</v>
      </c>
      <c r="B710" s="707" t="s">
        <v>554</v>
      </c>
      <c r="C710" s="729"/>
      <c r="D710" s="354"/>
      <c r="E710" s="730"/>
      <c r="F710" s="353"/>
      <c r="G710" s="358">
        <f>WORK!I2790</f>
        <v>0</v>
      </c>
      <c r="H710" s="354" t="s">
        <v>277</v>
      </c>
      <c r="I710" s="355">
        <f>WORK!K2790</f>
        <v>325</v>
      </c>
      <c r="J710" s="353">
        <f>ROUND(G710*I710,0)</f>
        <v>0</v>
      </c>
      <c r="K710" s="1912"/>
      <c r="L710" s="1912"/>
      <c r="M710" s="708" t="s">
        <v>2308</v>
      </c>
      <c r="N710" s="223"/>
      <c r="O710" s="706">
        <f t="shared" si="110"/>
        <v>0</v>
      </c>
    </row>
    <row r="711" spans="1:15" s="360" customFormat="1" ht="15" hidden="1">
      <c r="A711" s="356" t="s">
        <v>1261</v>
      </c>
      <c r="B711" s="707" t="s">
        <v>554</v>
      </c>
      <c r="C711" s="729"/>
      <c r="D711" s="354"/>
      <c r="E711" s="730"/>
      <c r="F711" s="353"/>
      <c r="G711" s="358">
        <f>WORK!I2932</f>
        <v>0</v>
      </c>
      <c r="H711" s="354" t="s">
        <v>277</v>
      </c>
      <c r="I711" s="355">
        <f>WORK!K2932</f>
        <v>342</v>
      </c>
      <c r="J711" s="353">
        <f>ROUND(G711*I711,0)</f>
        <v>0</v>
      </c>
      <c r="K711" s="1912"/>
      <c r="L711" s="1912"/>
      <c r="M711" s="708" t="s">
        <v>2321</v>
      </c>
      <c r="N711" s="223"/>
      <c r="O711" s="706">
        <f t="shared" si="110"/>
        <v>0</v>
      </c>
    </row>
    <row r="712" spans="1:15" s="360" customFormat="1" ht="15" hidden="1">
      <c r="A712" s="356" t="s">
        <v>1261</v>
      </c>
      <c r="B712" s="707" t="s">
        <v>554</v>
      </c>
      <c r="C712" s="729"/>
      <c r="D712" s="354"/>
      <c r="E712" s="730"/>
      <c r="F712" s="353"/>
      <c r="G712" s="358">
        <f>WORK!I3070</f>
        <v>0</v>
      </c>
      <c r="H712" s="354" t="s">
        <v>277</v>
      </c>
      <c r="I712" s="355">
        <f>WORK!K3070</f>
        <v>325</v>
      </c>
      <c r="J712" s="353">
        <f>ROUND(G712*I712,0)</f>
        <v>0</v>
      </c>
      <c r="K712" s="1913"/>
      <c r="L712" s="1913"/>
      <c r="M712" s="708" t="s">
        <v>2322</v>
      </c>
      <c r="N712" s="223"/>
      <c r="O712" s="706">
        <f t="shared" si="110"/>
        <v>0</v>
      </c>
    </row>
    <row r="713" spans="1:15" s="360" customFormat="1" ht="51" hidden="1">
      <c r="A713" s="356" t="s">
        <v>2702</v>
      </c>
      <c r="B713" s="707" t="s">
        <v>3321</v>
      </c>
      <c r="C713" s="921"/>
      <c r="D713" s="916" t="s">
        <v>115</v>
      </c>
      <c r="E713" s="922">
        <v>16700</v>
      </c>
      <c r="F713" s="917">
        <f t="shared" ref="F713" si="127">ROUND(C713*E713,0)</f>
        <v>0</v>
      </c>
      <c r="G713" s="358">
        <f>WORK!I2657</f>
        <v>0</v>
      </c>
      <c r="H713" s="354" t="s">
        <v>115</v>
      </c>
      <c r="I713" s="355">
        <f>WORK!K2657</f>
        <v>18409</v>
      </c>
      <c r="J713" s="353">
        <f t="shared" si="107"/>
        <v>0</v>
      </c>
      <c r="K713" s="1911">
        <f>IF((J713+J714+J715+J716)&gt;(F713+F714+F715+F716),(J713+J714+J715+J716)-(F713+F714+F715+F716),0)</f>
        <v>0</v>
      </c>
      <c r="L713" s="1911">
        <f>IF((J713+J714+J715+J716)&lt;(F713+F714+F715+F716),(F713+F714+F715+F716)-(J713+J714+J715+J716),0)</f>
        <v>0</v>
      </c>
      <c r="M713" s="1139" t="s">
        <v>2226</v>
      </c>
      <c r="N713" s="223"/>
      <c r="O713" s="1138">
        <f t="shared" si="110"/>
        <v>0</v>
      </c>
    </row>
    <row r="714" spans="1:15" s="360" customFormat="1" ht="15" hidden="1">
      <c r="A714" s="356" t="s">
        <v>1600</v>
      </c>
      <c r="B714" s="707" t="s">
        <v>635</v>
      </c>
      <c r="C714" s="729"/>
      <c r="D714" s="354"/>
      <c r="E714" s="730"/>
      <c r="F714" s="353"/>
      <c r="G714" s="358">
        <f>WORK!I2795</f>
        <v>0</v>
      </c>
      <c r="H714" s="354" t="s">
        <v>115</v>
      </c>
      <c r="I714" s="355">
        <f>WORK!K2795</f>
        <v>18526</v>
      </c>
      <c r="J714" s="353">
        <f>ROUND(G714*I714,0)</f>
        <v>0</v>
      </c>
      <c r="K714" s="1912"/>
      <c r="L714" s="1912"/>
      <c r="M714" s="708" t="s">
        <v>2308</v>
      </c>
      <c r="N714" s="223"/>
      <c r="O714" s="706">
        <f t="shared" si="110"/>
        <v>0</v>
      </c>
    </row>
    <row r="715" spans="1:15" s="360" customFormat="1" ht="15" hidden="1">
      <c r="A715" s="356" t="s">
        <v>1161</v>
      </c>
      <c r="B715" s="707" t="s">
        <v>635</v>
      </c>
      <c r="C715" s="729"/>
      <c r="D715" s="354"/>
      <c r="E715" s="730"/>
      <c r="F715" s="353"/>
      <c r="G715" s="358">
        <f>WORK!I2937</f>
        <v>0</v>
      </c>
      <c r="H715" s="354" t="s">
        <v>115</v>
      </c>
      <c r="I715" s="355">
        <f>WORK!K2937</f>
        <v>18370</v>
      </c>
      <c r="J715" s="353">
        <f>ROUND(G715*I715,0)</f>
        <v>0</v>
      </c>
      <c r="K715" s="1912"/>
      <c r="L715" s="1912"/>
      <c r="M715" s="708" t="s">
        <v>2321</v>
      </c>
      <c r="N715" s="223"/>
      <c r="O715" s="706">
        <f t="shared" si="110"/>
        <v>0</v>
      </c>
    </row>
    <row r="716" spans="1:15" s="360" customFormat="1" ht="15" hidden="1">
      <c r="A716" s="356" t="s">
        <v>1161</v>
      </c>
      <c r="B716" s="707" t="s">
        <v>635</v>
      </c>
      <c r="C716" s="729"/>
      <c r="D716" s="354"/>
      <c r="E716" s="730"/>
      <c r="F716" s="353"/>
      <c r="G716" s="358">
        <f>WORK!I3075</f>
        <v>0</v>
      </c>
      <c r="H716" s="354" t="s">
        <v>115</v>
      </c>
      <c r="I716" s="355">
        <f>WORK!K3075</f>
        <v>18370</v>
      </c>
      <c r="J716" s="353">
        <f>ROUND(G716*I716,0)</f>
        <v>0</v>
      </c>
      <c r="K716" s="1913"/>
      <c r="L716" s="1913"/>
      <c r="M716" s="708" t="s">
        <v>2322</v>
      </c>
      <c r="N716" s="223"/>
      <c r="O716" s="706">
        <f t="shared" si="110"/>
        <v>0</v>
      </c>
    </row>
    <row r="717" spans="1:15" s="360" customFormat="1" ht="38.25" hidden="1">
      <c r="A717" s="356" t="s">
        <v>1158</v>
      </c>
      <c r="B717" s="707" t="s">
        <v>591</v>
      </c>
      <c r="C717" s="921"/>
      <c r="D717" s="916" t="s">
        <v>277</v>
      </c>
      <c r="E717" s="922">
        <v>64</v>
      </c>
      <c r="F717" s="917">
        <f t="shared" ref="F717" si="128">ROUND(C717*E717,0)</f>
        <v>0</v>
      </c>
      <c r="G717" s="358">
        <f>WORK!I2662</f>
        <v>0</v>
      </c>
      <c r="H717" s="354" t="s">
        <v>277</v>
      </c>
      <c r="I717" s="355">
        <f>WORK!K2662</f>
        <v>64</v>
      </c>
      <c r="J717" s="353">
        <f t="shared" si="107"/>
        <v>0</v>
      </c>
      <c r="K717" s="1911">
        <f>IF((J717+J718+J719+J720)&gt;(F717+F718+F719+F720),(J717+J718+J719+J720)-(F717+F718+F719+F720),0)</f>
        <v>0</v>
      </c>
      <c r="L717" s="1911">
        <f>IF((J717+J718+J719+J720)&lt;(F717+F718+F719+F720),(F717+F718+F719+F720)-(J717+J718+J719+J720),0)</f>
        <v>0</v>
      </c>
      <c r="M717" s="1139" t="s">
        <v>2226</v>
      </c>
      <c r="N717" s="223"/>
      <c r="O717" s="1138">
        <f t="shared" si="110"/>
        <v>0</v>
      </c>
    </row>
    <row r="718" spans="1:15" s="360" customFormat="1" ht="15" hidden="1">
      <c r="A718" s="356" t="s">
        <v>2039</v>
      </c>
      <c r="B718" s="707" t="s">
        <v>636</v>
      </c>
      <c r="C718" s="729"/>
      <c r="D718" s="354"/>
      <c r="E718" s="730"/>
      <c r="F718" s="353"/>
      <c r="G718" s="358">
        <f>WORK!I2800</f>
        <v>0</v>
      </c>
      <c r="H718" s="354" t="s">
        <v>277</v>
      </c>
      <c r="I718" s="355">
        <f>WORK!K2800</f>
        <v>59</v>
      </c>
      <c r="J718" s="353">
        <f>ROUND(G718*I718,0)</f>
        <v>0</v>
      </c>
      <c r="K718" s="1912"/>
      <c r="L718" s="1912"/>
      <c r="M718" s="708" t="s">
        <v>2308</v>
      </c>
      <c r="N718" s="223"/>
      <c r="O718" s="706">
        <f t="shared" si="110"/>
        <v>0</v>
      </c>
    </row>
    <row r="719" spans="1:15" s="360" customFormat="1" ht="15" hidden="1">
      <c r="A719" s="356" t="s">
        <v>1599</v>
      </c>
      <c r="B719" s="707" t="s">
        <v>636</v>
      </c>
      <c r="C719" s="729"/>
      <c r="D719" s="354"/>
      <c r="E719" s="730"/>
      <c r="F719" s="353"/>
      <c r="G719" s="358">
        <f>WORK!I2942</f>
        <v>0</v>
      </c>
      <c r="H719" s="354" t="s">
        <v>277</v>
      </c>
      <c r="I719" s="355">
        <f>WORK!K2942</f>
        <v>73</v>
      </c>
      <c r="J719" s="353">
        <f>ROUND(G719*I719,0)</f>
        <v>0</v>
      </c>
      <c r="K719" s="1912"/>
      <c r="L719" s="1912"/>
      <c r="M719" s="708" t="s">
        <v>2321</v>
      </c>
      <c r="N719" s="223"/>
      <c r="O719" s="706">
        <f t="shared" si="110"/>
        <v>0</v>
      </c>
    </row>
    <row r="720" spans="1:15" s="360" customFormat="1" ht="15" hidden="1">
      <c r="A720" s="356" t="s">
        <v>1599</v>
      </c>
      <c r="B720" s="707" t="s">
        <v>636</v>
      </c>
      <c r="C720" s="729"/>
      <c r="D720" s="354"/>
      <c r="E720" s="730"/>
      <c r="F720" s="353"/>
      <c r="G720" s="358">
        <f>WORK!I3080</f>
        <v>0</v>
      </c>
      <c r="H720" s="354" t="s">
        <v>277</v>
      </c>
      <c r="I720" s="355">
        <f>WORK!K3080</f>
        <v>85</v>
      </c>
      <c r="J720" s="353">
        <f>ROUND(G720*I720,0)</f>
        <v>0</v>
      </c>
      <c r="K720" s="1913"/>
      <c r="L720" s="1913"/>
      <c r="M720" s="708" t="s">
        <v>2322</v>
      </c>
      <c r="N720" s="223"/>
      <c r="O720" s="706">
        <f t="shared" si="110"/>
        <v>0</v>
      </c>
    </row>
    <row r="721" spans="1:15" s="360" customFormat="1" ht="15" hidden="1">
      <c r="A721" s="356" t="s">
        <v>1259</v>
      </c>
      <c r="B721" s="707" t="s">
        <v>284</v>
      </c>
      <c r="C721" s="921"/>
      <c r="D721" s="916" t="s">
        <v>115</v>
      </c>
      <c r="E721" s="922">
        <v>109</v>
      </c>
      <c r="F721" s="917">
        <f t="shared" ref="F721" si="129">ROUND(C721*E721,0)</f>
        <v>0</v>
      </c>
      <c r="G721" s="358">
        <f>WORK!I2667</f>
        <v>0</v>
      </c>
      <c r="H721" s="354" t="s">
        <v>115</v>
      </c>
      <c r="I721" s="355">
        <f>WORK!K2667</f>
        <v>109</v>
      </c>
      <c r="J721" s="353">
        <f t="shared" si="107"/>
        <v>0</v>
      </c>
      <c r="K721" s="1911">
        <f>IF((J721+J722+J723+J724)&gt;(F721+F722+F723+F724),(J721+J722+J723+J724)-(F721+F722+F723+F724),0)</f>
        <v>0</v>
      </c>
      <c r="L721" s="1911">
        <f>IF((J721+J722+J723+J724)&lt;(F721+F722+F723+F724),(F721+F722+F723+F724)-(J721+J722+J723+J724),0)</f>
        <v>0</v>
      </c>
      <c r="M721" s="1139" t="s">
        <v>2226</v>
      </c>
      <c r="N721" s="223"/>
      <c r="O721" s="1138"/>
    </row>
    <row r="722" spans="1:15" s="360" customFormat="1" ht="15" hidden="1">
      <c r="A722" s="356" t="s">
        <v>2040</v>
      </c>
      <c r="B722" s="707" t="s">
        <v>284</v>
      </c>
      <c r="C722" s="729"/>
      <c r="D722" s="354"/>
      <c r="E722" s="730"/>
      <c r="F722" s="353"/>
      <c r="G722" s="358">
        <f>WORK!I2805</f>
        <v>0</v>
      </c>
      <c r="H722" s="354" t="s">
        <v>115</v>
      </c>
      <c r="I722" s="355">
        <f>WORK!K2805</f>
        <v>300</v>
      </c>
      <c r="J722" s="353">
        <f>ROUND(G722*I722,0)</f>
        <v>0</v>
      </c>
      <c r="K722" s="1912"/>
      <c r="L722" s="1912"/>
      <c r="M722" s="708" t="s">
        <v>2308</v>
      </c>
      <c r="N722" s="223"/>
      <c r="O722" s="706">
        <f t="shared" ref="O722:O786" si="130">F722-J722</f>
        <v>0</v>
      </c>
    </row>
    <row r="723" spans="1:15" s="360" customFormat="1" ht="15" hidden="1">
      <c r="A723" s="356" t="s">
        <v>1600</v>
      </c>
      <c r="B723" s="707" t="s">
        <v>284</v>
      </c>
      <c r="C723" s="729"/>
      <c r="D723" s="354"/>
      <c r="E723" s="730"/>
      <c r="F723" s="353"/>
      <c r="G723" s="358">
        <f>WORK!I2947</f>
        <v>0</v>
      </c>
      <c r="H723" s="354" t="s">
        <v>115</v>
      </c>
      <c r="I723" s="355">
        <f>WORK!K2947</f>
        <v>315</v>
      </c>
      <c r="J723" s="353">
        <f>ROUND(G723*I723,0)</f>
        <v>0</v>
      </c>
      <c r="K723" s="1912"/>
      <c r="L723" s="1912"/>
      <c r="M723" s="708" t="s">
        <v>2321</v>
      </c>
      <c r="N723" s="223"/>
      <c r="O723" s="706">
        <f t="shared" si="130"/>
        <v>0</v>
      </c>
    </row>
    <row r="724" spans="1:15" s="360" customFormat="1" ht="15" hidden="1">
      <c r="A724" s="356" t="s">
        <v>1600</v>
      </c>
      <c r="B724" s="707" t="s">
        <v>284</v>
      </c>
      <c r="C724" s="729"/>
      <c r="D724" s="354"/>
      <c r="E724" s="730"/>
      <c r="F724" s="353"/>
      <c r="G724" s="358">
        <f>WORK!I3085</f>
        <v>0</v>
      </c>
      <c r="H724" s="354" t="s">
        <v>115</v>
      </c>
      <c r="I724" s="355">
        <f>WORK!K3085</f>
        <v>300</v>
      </c>
      <c r="J724" s="353">
        <f>ROUND(G724*I724,0)</f>
        <v>0</v>
      </c>
      <c r="K724" s="1913"/>
      <c r="L724" s="1913"/>
      <c r="M724" s="708" t="s">
        <v>2322</v>
      </c>
      <c r="N724" s="223"/>
      <c r="O724" s="706">
        <f t="shared" si="130"/>
        <v>0</v>
      </c>
    </row>
    <row r="725" spans="1:15" s="360" customFormat="1" ht="15" hidden="1">
      <c r="A725" s="356" t="s">
        <v>1598</v>
      </c>
      <c r="B725" s="707" t="s">
        <v>285</v>
      </c>
      <c r="C725" s="921"/>
      <c r="D725" s="916" t="s">
        <v>115</v>
      </c>
      <c r="E725" s="922">
        <v>198</v>
      </c>
      <c r="F725" s="917">
        <f t="shared" ref="F725" si="131">ROUND(C725*E725,0)</f>
        <v>0</v>
      </c>
      <c r="G725" s="358">
        <f>WORK!I2672</f>
        <v>0</v>
      </c>
      <c r="H725" s="354" t="s">
        <v>115</v>
      </c>
      <c r="I725" s="355">
        <f>WORK!K2672</f>
        <v>198</v>
      </c>
      <c r="J725" s="353">
        <f t="shared" si="107"/>
        <v>0</v>
      </c>
      <c r="K725" s="1911">
        <f>IF((J725+J726+J727+J728)&gt;(F725+F726+F727+F728),(J725+J726+J727+J728)-(F725+F726+F727+F728),0)</f>
        <v>0</v>
      </c>
      <c r="L725" s="1911">
        <f>IF((J725+J726+J727+J728)&lt;(F725+F726+F727+F728),(F725+F726+F727+F728)-(J725+J726+J727+J728),0)</f>
        <v>0</v>
      </c>
      <c r="M725" s="1139" t="s">
        <v>2226</v>
      </c>
      <c r="N725" s="223"/>
      <c r="O725" s="1138"/>
    </row>
    <row r="726" spans="1:15" s="360" customFormat="1" ht="15" hidden="1">
      <c r="A726" s="356" t="s">
        <v>1163</v>
      </c>
      <c r="B726" s="707" t="s">
        <v>285</v>
      </c>
      <c r="C726" s="729"/>
      <c r="D726" s="354"/>
      <c r="E726" s="730"/>
      <c r="F726" s="353"/>
      <c r="G726" s="358">
        <f>WORK!I2810</f>
        <v>0</v>
      </c>
      <c r="H726" s="354" t="s">
        <v>115</v>
      </c>
      <c r="I726" s="355">
        <f>WORK!K2810</f>
        <v>400</v>
      </c>
      <c r="J726" s="353">
        <f>ROUND(G726*I726,0)</f>
        <v>0</v>
      </c>
      <c r="K726" s="1912"/>
      <c r="L726" s="1912"/>
      <c r="M726" s="708" t="s">
        <v>2308</v>
      </c>
      <c r="N726" s="223"/>
      <c r="O726" s="706">
        <f t="shared" si="130"/>
        <v>0</v>
      </c>
    </row>
    <row r="727" spans="1:15" s="360" customFormat="1" ht="15" hidden="1">
      <c r="A727" s="356" t="s">
        <v>2039</v>
      </c>
      <c r="B727" s="707" t="s">
        <v>285</v>
      </c>
      <c r="C727" s="729"/>
      <c r="D727" s="354"/>
      <c r="E727" s="730"/>
      <c r="F727" s="353"/>
      <c r="G727" s="358">
        <f>WORK!I2952</f>
        <v>0</v>
      </c>
      <c r="H727" s="354" t="s">
        <v>115</v>
      </c>
      <c r="I727" s="355">
        <f>WORK!K2952</f>
        <v>420</v>
      </c>
      <c r="J727" s="353">
        <f>ROUND(G727*I727,0)</f>
        <v>0</v>
      </c>
      <c r="K727" s="1912"/>
      <c r="L727" s="1912"/>
      <c r="M727" s="708" t="s">
        <v>2321</v>
      </c>
      <c r="N727" s="223"/>
      <c r="O727" s="706">
        <f t="shared" si="130"/>
        <v>0</v>
      </c>
    </row>
    <row r="728" spans="1:15" s="360" customFormat="1" ht="15" hidden="1">
      <c r="A728" s="356" t="s">
        <v>2039</v>
      </c>
      <c r="B728" s="707" t="s">
        <v>285</v>
      </c>
      <c r="C728" s="729"/>
      <c r="D728" s="354"/>
      <c r="E728" s="730"/>
      <c r="F728" s="353"/>
      <c r="G728" s="358">
        <f>WORK!I3090</f>
        <v>0</v>
      </c>
      <c r="H728" s="354" t="s">
        <v>115</v>
      </c>
      <c r="I728" s="355">
        <f>WORK!K3090</f>
        <v>400</v>
      </c>
      <c r="J728" s="353">
        <f>ROUND(G728*I728,0)</f>
        <v>0</v>
      </c>
      <c r="K728" s="1913"/>
      <c r="L728" s="1913"/>
      <c r="M728" s="708" t="s">
        <v>2322</v>
      </c>
      <c r="N728" s="223"/>
      <c r="O728" s="706">
        <f t="shared" si="130"/>
        <v>0</v>
      </c>
    </row>
    <row r="729" spans="1:15" s="360" customFormat="1" ht="15" hidden="1">
      <c r="A729" s="356" t="s">
        <v>2703</v>
      </c>
      <c r="B729" s="707" t="s">
        <v>286</v>
      </c>
      <c r="C729" s="921"/>
      <c r="D729" s="916" t="s">
        <v>115</v>
      </c>
      <c r="E729" s="922">
        <v>22</v>
      </c>
      <c r="F729" s="917">
        <f t="shared" ref="F729" si="132">ROUND(C729*E729,0)</f>
        <v>0</v>
      </c>
      <c r="G729" s="358">
        <f>WORK!I2677</f>
        <v>0</v>
      </c>
      <c r="H729" s="354" t="s">
        <v>115</v>
      </c>
      <c r="I729" s="355">
        <f>WORK!K2677</f>
        <v>22</v>
      </c>
      <c r="J729" s="353">
        <f t="shared" si="107"/>
        <v>0</v>
      </c>
      <c r="K729" s="1911">
        <f>IF((J729+J730+J731+J732)&gt;(F729+F730+F731+F732),(J729+J730+J731+J732)-(F729+F730+F731+F732),0)</f>
        <v>0</v>
      </c>
      <c r="L729" s="1911">
        <f>IF((J729+J730+J731+J732)&lt;(F729+F730+F731+F732),(F729+F730+F731+F732)-(J729+J730+J731+J732),0)</f>
        <v>0</v>
      </c>
      <c r="M729" s="1139" t="s">
        <v>2226</v>
      </c>
      <c r="N729" s="223"/>
      <c r="O729" s="1138"/>
    </row>
    <row r="730" spans="1:15" s="360" customFormat="1" ht="15" hidden="1">
      <c r="A730" s="356" t="s">
        <v>2042</v>
      </c>
      <c r="B730" s="707" t="s">
        <v>286</v>
      </c>
      <c r="C730" s="729"/>
      <c r="D730" s="354"/>
      <c r="E730" s="730"/>
      <c r="F730" s="353"/>
      <c r="G730" s="358">
        <f>WORK!I2815</f>
        <v>0</v>
      </c>
      <c r="H730" s="354" t="s">
        <v>115</v>
      </c>
      <c r="I730" s="355">
        <f>WORK!K2815</f>
        <v>70</v>
      </c>
      <c r="J730" s="353">
        <f>ROUND(G730*I730,0)</f>
        <v>0</v>
      </c>
      <c r="K730" s="1912"/>
      <c r="L730" s="1912"/>
      <c r="M730" s="708" t="s">
        <v>2308</v>
      </c>
      <c r="N730" s="223"/>
      <c r="O730" s="706">
        <f t="shared" si="130"/>
        <v>0</v>
      </c>
    </row>
    <row r="731" spans="1:15" s="360" customFormat="1" ht="15" hidden="1">
      <c r="A731" s="356" t="s">
        <v>1163</v>
      </c>
      <c r="B731" s="707" t="s">
        <v>286</v>
      </c>
      <c r="C731" s="729"/>
      <c r="D731" s="354"/>
      <c r="E731" s="730"/>
      <c r="F731" s="353"/>
      <c r="G731" s="358">
        <f>WORK!I2957</f>
        <v>0</v>
      </c>
      <c r="H731" s="354" t="s">
        <v>115</v>
      </c>
      <c r="I731" s="355">
        <f>WORK!K2957</f>
        <v>73</v>
      </c>
      <c r="J731" s="353">
        <f>ROUND(G731*I731,0)</f>
        <v>0</v>
      </c>
      <c r="K731" s="1912"/>
      <c r="L731" s="1912"/>
      <c r="M731" s="708" t="s">
        <v>2321</v>
      </c>
      <c r="N731" s="223"/>
      <c r="O731" s="706">
        <f t="shared" si="130"/>
        <v>0</v>
      </c>
    </row>
    <row r="732" spans="1:15" s="360" customFormat="1" ht="15" hidden="1">
      <c r="A732" s="356" t="s">
        <v>1163</v>
      </c>
      <c r="B732" s="707" t="s">
        <v>286</v>
      </c>
      <c r="C732" s="729"/>
      <c r="D732" s="354"/>
      <c r="E732" s="730"/>
      <c r="F732" s="353"/>
      <c r="G732" s="358">
        <f>WORK!I3095</f>
        <v>0</v>
      </c>
      <c r="H732" s="354" t="s">
        <v>115</v>
      </c>
      <c r="I732" s="355">
        <f>WORK!K3095</f>
        <v>77</v>
      </c>
      <c r="J732" s="353">
        <f>ROUND(G732*I732,0)</f>
        <v>0</v>
      </c>
      <c r="K732" s="1913"/>
      <c r="L732" s="1913"/>
      <c r="M732" s="708" t="s">
        <v>2322</v>
      </c>
      <c r="N732" s="223"/>
      <c r="O732" s="706">
        <f t="shared" si="130"/>
        <v>0</v>
      </c>
    </row>
    <row r="733" spans="1:15" s="360" customFormat="1" ht="15" hidden="1">
      <c r="A733" s="356" t="s">
        <v>1260</v>
      </c>
      <c r="B733" s="707" t="s">
        <v>287</v>
      </c>
      <c r="C733" s="921"/>
      <c r="D733" s="916" t="s">
        <v>115</v>
      </c>
      <c r="E733" s="922">
        <v>145.19999999999999</v>
      </c>
      <c r="F733" s="917">
        <f t="shared" ref="F733" si="133">ROUND(C733*E733,0)</f>
        <v>0</v>
      </c>
      <c r="G733" s="358">
        <f>WORK!I2682</f>
        <v>0</v>
      </c>
      <c r="H733" s="354" t="s">
        <v>115</v>
      </c>
      <c r="I733" s="355">
        <f>WORK!K2682</f>
        <v>145.19999999999999</v>
      </c>
      <c r="J733" s="353">
        <f t="shared" si="107"/>
        <v>0</v>
      </c>
      <c r="K733" s="1911">
        <f>IF((J733+J734+J735+J736)&gt;(F733+F734+F735+F736),(J733+J734+J735+J736)-(F733+F734+F735+F736),0)</f>
        <v>0</v>
      </c>
      <c r="L733" s="1911">
        <f>IF((J733+J734+J735+J736)&lt;(F733+F734+F735+F736),(F733+F734+F735+F736)-(J733+J734+J735+J736),0)</f>
        <v>0</v>
      </c>
      <c r="M733" s="1139" t="s">
        <v>2226</v>
      </c>
      <c r="N733" s="223"/>
      <c r="O733" s="1138"/>
    </row>
    <row r="734" spans="1:15" s="360" customFormat="1" ht="15" hidden="1">
      <c r="A734" s="356" t="s">
        <v>2043</v>
      </c>
      <c r="B734" s="707" t="s">
        <v>287</v>
      </c>
      <c r="C734" s="729"/>
      <c r="D734" s="354"/>
      <c r="E734" s="730"/>
      <c r="F734" s="353"/>
      <c r="G734" s="358">
        <f>WORK!I2820</f>
        <v>0</v>
      </c>
      <c r="H734" s="354" t="s">
        <v>115</v>
      </c>
      <c r="I734" s="355">
        <f>WORK!K2820</f>
        <v>175</v>
      </c>
      <c r="J734" s="353">
        <f>ROUND(G734*I734,0)</f>
        <v>0</v>
      </c>
      <c r="K734" s="1912"/>
      <c r="L734" s="1912"/>
      <c r="M734" s="708" t="s">
        <v>2308</v>
      </c>
      <c r="N734" s="223"/>
      <c r="O734" s="706">
        <f t="shared" si="130"/>
        <v>0</v>
      </c>
    </row>
    <row r="735" spans="1:15" s="360" customFormat="1" ht="15" hidden="1">
      <c r="A735" s="356" t="s">
        <v>2042</v>
      </c>
      <c r="B735" s="707" t="s">
        <v>287</v>
      </c>
      <c r="C735" s="729"/>
      <c r="D735" s="354"/>
      <c r="E735" s="730"/>
      <c r="F735" s="353"/>
      <c r="G735" s="358">
        <f>WORK!I2962</f>
        <v>0</v>
      </c>
      <c r="H735" s="354" t="s">
        <v>115</v>
      </c>
      <c r="I735" s="355">
        <f>WORK!K2962</f>
        <v>177</v>
      </c>
      <c r="J735" s="353">
        <f>ROUND(G735*I735,0)</f>
        <v>0</v>
      </c>
      <c r="K735" s="1912"/>
      <c r="L735" s="1912"/>
      <c r="M735" s="708" t="s">
        <v>2321</v>
      </c>
      <c r="N735" s="223"/>
      <c r="O735" s="706">
        <f t="shared" si="130"/>
        <v>0</v>
      </c>
    </row>
    <row r="736" spans="1:15" s="360" customFormat="1" ht="15" hidden="1">
      <c r="A736" s="356" t="s">
        <v>2042</v>
      </c>
      <c r="B736" s="707" t="s">
        <v>287</v>
      </c>
      <c r="C736" s="729"/>
      <c r="D736" s="354"/>
      <c r="E736" s="730"/>
      <c r="F736" s="353"/>
      <c r="G736" s="358">
        <f>WORK!I3100</f>
        <v>0</v>
      </c>
      <c r="H736" s="354" t="s">
        <v>115</v>
      </c>
      <c r="I736" s="355">
        <f>WORK!K3100</f>
        <v>194</v>
      </c>
      <c r="J736" s="353">
        <f>ROUND(G736*I736,0)</f>
        <v>0</v>
      </c>
      <c r="K736" s="1913"/>
      <c r="L736" s="1913"/>
      <c r="M736" s="708" t="s">
        <v>2322</v>
      </c>
      <c r="N736" s="223"/>
      <c r="O736" s="706">
        <f t="shared" si="130"/>
        <v>0</v>
      </c>
    </row>
    <row r="737" spans="1:15" s="360" customFormat="1" ht="51" hidden="1">
      <c r="A737" s="356" t="s">
        <v>2704</v>
      </c>
      <c r="B737" s="707" t="s">
        <v>288</v>
      </c>
      <c r="C737" s="921"/>
      <c r="D737" s="916" t="s">
        <v>277</v>
      </c>
      <c r="E737" s="922">
        <v>55</v>
      </c>
      <c r="F737" s="917">
        <f t="shared" ref="F737" si="134">ROUND(C737*E737,0)</f>
        <v>0</v>
      </c>
      <c r="G737" s="358">
        <f>WORK!I2687</f>
        <v>0</v>
      </c>
      <c r="H737" s="354" t="s">
        <v>277</v>
      </c>
      <c r="I737" s="355">
        <f>WORK!K2687</f>
        <v>80</v>
      </c>
      <c r="J737" s="353">
        <f t="shared" si="107"/>
        <v>0</v>
      </c>
      <c r="K737" s="1911">
        <f>IF((J737+J738+J739+J740)&gt;(F737+F738+F739+F740),(J737+J738+J739+J740)-(F737+F738+F739+F740),0)</f>
        <v>0</v>
      </c>
      <c r="L737" s="1911">
        <f>IF((J737+J738+J739+J740)&lt;(F737+F738+F739+F740),(F737+F738+F739+F740)-(J737+J738+J739+J740),0)</f>
        <v>0</v>
      </c>
      <c r="M737" s="1139" t="s">
        <v>2226</v>
      </c>
      <c r="N737" s="223"/>
      <c r="O737" s="1138">
        <f t="shared" si="130"/>
        <v>0</v>
      </c>
    </row>
    <row r="738" spans="1:15" s="360" customFormat="1" ht="15" hidden="1">
      <c r="A738" s="356" t="s">
        <v>2045</v>
      </c>
      <c r="B738" s="707" t="s">
        <v>637</v>
      </c>
      <c r="C738" s="729"/>
      <c r="D738" s="354"/>
      <c r="E738" s="730"/>
      <c r="F738" s="353"/>
      <c r="G738" s="358">
        <f>WORK!I2825</f>
        <v>0</v>
      </c>
      <c r="H738" s="354" t="s">
        <v>277</v>
      </c>
      <c r="I738" s="355">
        <f>WORK!K2825</f>
        <v>80</v>
      </c>
      <c r="J738" s="353">
        <f>ROUND(G738*I738,0)</f>
        <v>0</v>
      </c>
      <c r="K738" s="1912"/>
      <c r="L738" s="1912"/>
      <c r="M738" s="708" t="s">
        <v>2308</v>
      </c>
      <c r="N738" s="223"/>
      <c r="O738" s="706">
        <f t="shared" si="130"/>
        <v>0</v>
      </c>
    </row>
    <row r="739" spans="1:15" s="360" customFormat="1" ht="15" hidden="1">
      <c r="A739" s="356" t="s">
        <v>1163</v>
      </c>
      <c r="B739" s="707" t="s">
        <v>637</v>
      </c>
      <c r="C739" s="729"/>
      <c r="D739" s="354"/>
      <c r="E739" s="730"/>
      <c r="F739" s="353"/>
      <c r="G739" s="358">
        <f>WORK!I2967</f>
        <v>0</v>
      </c>
      <c r="H739" s="354" t="s">
        <v>277</v>
      </c>
      <c r="I739" s="355">
        <f>WORK!K2967</f>
        <v>92</v>
      </c>
      <c r="J739" s="353">
        <f>ROUND(G739*I739,0)</f>
        <v>0</v>
      </c>
      <c r="K739" s="1912"/>
      <c r="L739" s="1912"/>
      <c r="M739" s="708" t="s">
        <v>2321</v>
      </c>
      <c r="N739" s="223"/>
      <c r="O739" s="706">
        <f t="shared" si="130"/>
        <v>0</v>
      </c>
    </row>
    <row r="740" spans="1:15" s="360" customFormat="1" ht="15" hidden="1">
      <c r="A740" s="356" t="s">
        <v>1163</v>
      </c>
      <c r="B740" s="707" t="s">
        <v>637</v>
      </c>
      <c r="C740" s="729"/>
      <c r="D740" s="354"/>
      <c r="E740" s="730"/>
      <c r="F740" s="353"/>
      <c r="G740" s="358">
        <f>WORK!I3105</f>
        <v>0</v>
      </c>
      <c r="H740" s="354" t="s">
        <v>277</v>
      </c>
      <c r="I740" s="355">
        <f>WORK!K3105</f>
        <v>105</v>
      </c>
      <c r="J740" s="353">
        <f>ROUND(G740*I740,0)</f>
        <v>0</v>
      </c>
      <c r="K740" s="1913"/>
      <c r="L740" s="1913"/>
      <c r="M740" s="708" t="s">
        <v>2322</v>
      </c>
      <c r="N740" s="223"/>
      <c r="O740" s="706">
        <f t="shared" si="130"/>
        <v>0</v>
      </c>
    </row>
    <row r="741" spans="1:15" s="360" customFormat="1" ht="25.5" hidden="1">
      <c r="A741" s="356" t="s">
        <v>2705</v>
      </c>
      <c r="B741" s="707" t="s">
        <v>3322</v>
      </c>
      <c r="C741" s="921"/>
      <c r="D741" s="916" t="s">
        <v>115</v>
      </c>
      <c r="E741" s="922">
        <v>4500</v>
      </c>
      <c r="F741" s="917">
        <f t="shared" ref="F741" si="135">ROUND(C741*E741,0)</f>
        <v>0</v>
      </c>
      <c r="G741" s="358">
        <f>WORK!I2692</f>
        <v>0</v>
      </c>
      <c r="H741" s="354" t="s">
        <v>115</v>
      </c>
      <c r="I741" s="355">
        <f>WORK!K2692</f>
        <v>4500</v>
      </c>
      <c r="J741" s="353">
        <f t="shared" ref="J741" si="136">ROUND(G741*I741,0)</f>
        <v>0</v>
      </c>
      <c r="K741" s="1911">
        <f>IF((J741+J742+J743+J744)&gt;(F741+F742+F743+F744),(J741+J742+J743+J744)-(F741+F742+F743+F744),0)</f>
        <v>0</v>
      </c>
      <c r="L741" s="1911">
        <f>IF((J741+J742+J743+J744)&lt;(F741+F742+F743+F744),(F741+F742+F743+F744)-(J741+J742+J743+J744),0)</f>
        <v>0</v>
      </c>
      <c r="M741" s="1139" t="s">
        <v>2226</v>
      </c>
      <c r="N741" s="223"/>
      <c r="O741" s="1138"/>
    </row>
    <row r="742" spans="1:15" s="360" customFormat="1" ht="15" hidden="1">
      <c r="A742" s="356" t="s">
        <v>2046</v>
      </c>
      <c r="B742" s="707" t="s">
        <v>638</v>
      </c>
      <c r="C742" s="729"/>
      <c r="D742" s="354"/>
      <c r="E742" s="730"/>
      <c r="F742" s="353"/>
      <c r="G742" s="358">
        <f>WORK!I2830</f>
        <v>0</v>
      </c>
      <c r="H742" s="354" t="s">
        <v>115</v>
      </c>
      <c r="I742" s="355">
        <f>WORK!K2830</f>
        <v>4500</v>
      </c>
      <c r="J742" s="353">
        <f>ROUND(G742*I742,0)</f>
        <v>0</v>
      </c>
      <c r="K742" s="1912"/>
      <c r="L742" s="1912"/>
      <c r="M742" s="708" t="s">
        <v>2308</v>
      </c>
      <c r="N742" s="223"/>
      <c r="O742" s="706">
        <f t="shared" si="130"/>
        <v>0</v>
      </c>
    </row>
    <row r="743" spans="1:15" s="360" customFormat="1" ht="15" hidden="1">
      <c r="A743" s="356" t="s">
        <v>2042</v>
      </c>
      <c r="B743" s="707" t="s">
        <v>638</v>
      </c>
      <c r="C743" s="729"/>
      <c r="D743" s="354"/>
      <c r="E743" s="730"/>
      <c r="F743" s="353"/>
      <c r="G743" s="358">
        <f>WORK!I2972</f>
        <v>0</v>
      </c>
      <c r="H743" s="354" t="s">
        <v>115</v>
      </c>
      <c r="I743" s="355">
        <f>WORK!K2972</f>
        <v>4950</v>
      </c>
      <c r="J743" s="353">
        <f>ROUND(G743*I743,0)</f>
        <v>0</v>
      </c>
      <c r="K743" s="1912"/>
      <c r="L743" s="1912"/>
      <c r="M743" s="708" t="s">
        <v>2321</v>
      </c>
      <c r="N743" s="223"/>
      <c r="O743" s="706">
        <f t="shared" si="130"/>
        <v>0</v>
      </c>
    </row>
    <row r="744" spans="1:15" s="360" customFormat="1" ht="15" hidden="1">
      <c r="A744" s="356" t="s">
        <v>2042</v>
      </c>
      <c r="B744" s="707" t="s">
        <v>638</v>
      </c>
      <c r="C744" s="729"/>
      <c r="D744" s="354"/>
      <c r="E744" s="730"/>
      <c r="F744" s="353"/>
      <c r="G744" s="358">
        <f>WORK!I3110</f>
        <v>0</v>
      </c>
      <c r="H744" s="354" t="s">
        <v>115</v>
      </c>
      <c r="I744" s="355">
        <f>WORK!K3110</f>
        <v>5445</v>
      </c>
      <c r="J744" s="353">
        <f>ROUND(G744*I744,0)</f>
        <v>0</v>
      </c>
      <c r="K744" s="1913"/>
      <c r="L744" s="1913"/>
      <c r="M744" s="708" t="s">
        <v>2322</v>
      </c>
      <c r="N744" s="223"/>
      <c r="O744" s="706">
        <f t="shared" si="130"/>
        <v>0</v>
      </c>
    </row>
    <row r="745" spans="1:15" s="360" customFormat="1" ht="25.5" hidden="1">
      <c r="A745" s="356" t="s">
        <v>2706</v>
      </c>
      <c r="B745" s="707" t="s">
        <v>3310</v>
      </c>
      <c r="C745" s="921"/>
      <c r="D745" s="916" t="s">
        <v>115</v>
      </c>
      <c r="E745" s="922">
        <v>223</v>
      </c>
      <c r="F745" s="917">
        <f t="shared" ref="F745" si="137">ROUND(C745*E745,0)</f>
        <v>0</v>
      </c>
      <c r="G745" s="358"/>
      <c r="H745" s="354"/>
      <c r="I745" s="355"/>
      <c r="J745" s="353">
        <f t="shared" ref="J745" si="138">ROUND(G745*I745,0)</f>
        <v>0</v>
      </c>
      <c r="K745" s="743">
        <f t="shared" ref="K745" si="139">IF(J745&gt;F745,J745-F745,0)</f>
        <v>0</v>
      </c>
      <c r="L745" s="368">
        <f t="shared" ref="L745" si="140">IF(J745&lt;F745,F745-J745,0)</f>
        <v>0</v>
      </c>
      <c r="M745" s="1139" t="s">
        <v>2226</v>
      </c>
      <c r="N745" s="223"/>
      <c r="O745" s="1138">
        <f t="shared" si="130"/>
        <v>0</v>
      </c>
    </row>
    <row r="746" spans="1:15" ht="15">
      <c r="A746" s="1472"/>
      <c r="B746" s="1473" t="s">
        <v>426</v>
      </c>
      <c r="C746" s="1487"/>
      <c r="D746" s="1497"/>
      <c r="E746" s="1498"/>
      <c r="F746" s="1477"/>
      <c r="G746" s="1490"/>
      <c r="H746" s="1499"/>
      <c r="I746" s="1492"/>
      <c r="J746" s="1481"/>
      <c r="K746" s="1482"/>
      <c r="L746" s="1482"/>
      <c r="M746" s="1445" t="s">
        <v>2226</v>
      </c>
      <c r="N746" s="1446"/>
      <c r="O746" s="1447">
        <v>1</v>
      </c>
    </row>
    <row r="747" spans="1:15" s="1448" customFormat="1" ht="38.25">
      <c r="A747" s="1436" t="s">
        <v>518</v>
      </c>
      <c r="B747" s="1437" t="s">
        <v>3323</v>
      </c>
      <c r="C747" s="1336">
        <v>88</v>
      </c>
      <c r="D747" s="1439" t="s">
        <v>277</v>
      </c>
      <c r="E747" s="1221">
        <v>57.7</v>
      </c>
      <c r="F747" s="1440">
        <f t="shared" ref="F747" si="141">ROUND(C747*E747,0)</f>
        <v>5078</v>
      </c>
      <c r="G747" s="1453">
        <f>WORK!I3118</f>
        <v>60</v>
      </c>
      <c r="H747" s="1439" t="s">
        <v>277</v>
      </c>
      <c r="I747" s="1454">
        <f>WORK!K3118</f>
        <v>71.040000000000006</v>
      </c>
      <c r="J747" s="1450">
        <f t="shared" ref="J747:J895" si="142">ROUND(G747*I747,0)</f>
        <v>4262</v>
      </c>
      <c r="K747" s="1911">
        <f>IF((J747+J748+J749+J750)&gt;(F747+F748+F749+F750),(J747+J748+J749+J750)-(F747+F748+F749+F750),0)</f>
        <v>0</v>
      </c>
      <c r="L747" s="1911">
        <f>IF((J747+J748+J749+J750)&lt;(F747+F748+F749+F750),(F747+F748+F749+F750)-(J747+J748+J749+J750),0)</f>
        <v>816</v>
      </c>
      <c r="M747" s="1445" t="s">
        <v>2226</v>
      </c>
      <c r="N747" s="1446"/>
      <c r="O747" s="1447">
        <f t="shared" si="130"/>
        <v>816</v>
      </c>
    </row>
    <row r="748" spans="1:15" s="360" customFormat="1" ht="38.25" hidden="1">
      <c r="A748" s="356" t="s">
        <v>533</v>
      </c>
      <c r="B748" s="707" t="s">
        <v>3323</v>
      </c>
      <c r="C748" s="709"/>
      <c r="D748" s="354"/>
      <c r="E748" s="10"/>
      <c r="F748" s="353"/>
      <c r="G748" s="1147">
        <f>WORK!I3338</f>
        <v>0</v>
      </c>
      <c r="H748" s="1314" t="s">
        <v>277</v>
      </c>
      <c r="I748" s="910">
        <f>WORK!K3338</f>
        <v>64.86</v>
      </c>
      <c r="J748" s="1315">
        <f>ROUND(G748*I748,0)</f>
        <v>0</v>
      </c>
      <c r="K748" s="1912"/>
      <c r="L748" s="1912"/>
      <c r="M748" s="708" t="s">
        <v>2308</v>
      </c>
      <c r="N748" s="223"/>
      <c r="O748" s="706">
        <f t="shared" si="130"/>
        <v>0</v>
      </c>
    </row>
    <row r="749" spans="1:15" s="360" customFormat="1" ht="15" hidden="1">
      <c r="A749" s="356" t="s">
        <v>1261</v>
      </c>
      <c r="B749" s="707" t="s">
        <v>555</v>
      </c>
      <c r="C749" s="709"/>
      <c r="D749" s="354"/>
      <c r="E749" s="10"/>
      <c r="F749" s="353"/>
      <c r="G749" s="358">
        <f>WORK!I3557</f>
        <v>0</v>
      </c>
      <c r="H749" s="354" t="s">
        <v>277</v>
      </c>
      <c r="I749" s="355">
        <f>WORK!K3557</f>
        <v>69.88</v>
      </c>
      <c r="J749" s="353">
        <f>ROUND(G749*I749,0)</f>
        <v>0</v>
      </c>
      <c r="K749" s="1912"/>
      <c r="L749" s="1912"/>
      <c r="M749" s="708" t="s">
        <v>2321</v>
      </c>
      <c r="N749" s="223"/>
      <c r="O749" s="706">
        <f t="shared" si="130"/>
        <v>0</v>
      </c>
    </row>
    <row r="750" spans="1:15" s="360" customFormat="1" ht="15" hidden="1">
      <c r="A750" s="356" t="s">
        <v>1261</v>
      </c>
      <c r="B750" s="707" t="s">
        <v>555</v>
      </c>
      <c r="C750" s="709"/>
      <c r="D750" s="354"/>
      <c r="E750" s="10"/>
      <c r="F750" s="353"/>
      <c r="G750" s="358">
        <f>WORK!I3777</f>
        <v>0</v>
      </c>
      <c r="H750" s="354" t="s">
        <v>277</v>
      </c>
      <c r="I750" s="355">
        <f>WORK!K3777</f>
        <v>80.180000000000007</v>
      </c>
      <c r="J750" s="353">
        <f>ROUND(G750*I750,0)</f>
        <v>0</v>
      </c>
      <c r="K750" s="1913"/>
      <c r="L750" s="1913"/>
      <c r="M750" s="708" t="s">
        <v>2322</v>
      </c>
      <c r="N750" s="223"/>
      <c r="O750" s="706">
        <f t="shared" si="130"/>
        <v>0</v>
      </c>
    </row>
    <row r="751" spans="1:15" s="1448" customFormat="1" ht="38.25">
      <c r="A751" s="1436" t="s">
        <v>519</v>
      </c>
      <c r="B751" s="1437" t="s">
        <v>3323</v>
      </c>
      <c r="C751" s="1336">
        <v>85</v>
      </c>
      <c r="D751" s="1439" t="s">
        <v>277</v>
      </c>
      <c r="E751" s="1221">
        <v>72.2</v>
      </c>
      <c r="F751" s="1440">
        <f t="shared" ref="F751" si="143">ROUND(C751*E751,0)</f>
        <v>6137</v>
      </c>
      <c r="G751" s="1453">
        <f>WORK!I3125</f>
        <v>60</v>
      </c>
      <c r="H751" s="1439" t="s">
        <v>277</v>
      </c>
      <c r="I751" s="1454">
        <f>WORK!K3125</f>
        <v>79.19</v>
      </c>
      <c r="J751" s="1450">
        <f t="shared" si="142"/>
        <v>4751</v>
      </c>
      <c r="K751" s="1911">
        <f>IF((J751+J752+J753+J754)&gt;(F751+F752+F753+F754),(J751+J752+J753+J754)-(F751+F752+F753+F754),0)</f>
        <v>0</v>
      </c>
      <c r="L751" s="1911">
        <f>IF((J751+J752+J753+J754)&lt;(F751+F752+F753+F754),(F751+F752+F753+F754)-(J751+J752+J753+J754),0)</f>
        <v>1386</v>
      </c>
      <c r="M751" s="1445" t="s">
        <v>2226</v>
      </c>
      <c r="N751" s="1446"/>
      <c r="O751" s="1447">
        <f t="shared" si="130"/>
        <v>1386</v>
      </c>
    </row>
    <row r="752" spans="1:15" s="360" customFormat="1" ht="15" hidden="1">
      <c r="A752" s="356" t="s">
        <v>2050</v>
      </c>
      <c r="B752" s="707" t="s">
        <v>555</v>
      </c>
      <c r="C752" s="709"/>
      <c r="D752" s="354"/>
      <c r="E752" s="10"/>
      <c r="F752" s="353"/>
      <c r="G752" s="358">
        <f>WORK!I3344</f>
        <v>0</v>
      </c>
      <c r="H752" s="354" t="s">
        <v>277</v>
      </c>
      <c r="I752" s="355">
        <f>WORK!K3344</f>
        <v>73.41</v>
      </c>
      <c r="J752" s="353">
        <f>ROUND(G752*I752,0)</f>
        <v>0</v>
      </c>
      <c r="K752" s="1912"/>
      <c r="L752" s="1912"/>
      <c r="M752" s="708" t="s">
        <v>2308</v>
      </c>
      <c r="N752" s="223"/>
      <c r="O752" s="706">
        <f t="shared" si="130"/>
        <v>0</v>
      </c>
    </row>
    <row r="753" spans="1:15" s="1448" customFormat="1" ht="15" hidden="1">
      <c r="A753" s="1436" t="s">
        <v>643</v>
      </c>
      <c r="B753" s="1437" t="s">
        <v>555</v>
      </c>
      <c r="C753" s="1449"/>
      <c r="D753" s="1439"/>
      <c r="E753" s="1221"/>
      <c r="F753" s="1450"/>
      <c r="G753" s="1453">
        <f>WORK!I3564</f>
        <v>0</v>
      </c>
      <c r="H753" s="1439" t="s">
        <v>277</v>
      </c>
      <c r="I753" s="1454">
        <f>WORK!K3564</f>
        <v>79.430000000000007</v>
      </c>
      <c r="J753" s="1450">
        <f>ROUND(G753*I753,0)</f>
        <v>0</v>
      </c>
      <c r="K753" s="1912"/>
      <c r="L753" s="1912"/>
      <c r="M753" s="1451" t="s">
        <v>2321</v>
      </c>
      <c r="N753" s="1446"/>
      <c r="O753" s="1452">
        <f t="shared" si="130"/>
        <v>0</v>
      </c>
    </row>
    <row r="754" spans="1:15" s="1448" customFormat="1" ht="38.25" hidden="1">
      <c r="A754" s="1436" t="s">
        <v>1584</v>
      </c>
      <c r="B754" s="1437" t="s">
        <v>3323</v>
      </c>
      <c r="C754" s="1449"/>
      <c r="D754" s="1439"/>
      <c r="E754" s="1221"/>
      <c r="F754" s="1450"/>
      <c r="G754" s="1453">
        <f>WORK!I3784</f>
        <v>0</v>
      </c>
      <c r="H754" s="1439" t="s">
        <v>277</v>
      </c>
      <c r="I754" s="1454">
        <f>WORK!K3784</f>
        <v>89.61</v>
      </c>
      <c r="J754" s="1450">
        <f>ROUND(G754*I754,0)</f>
        <v>0</v>
      </c>
      <c r="K754" s="1913"/>
      <c r="L754" s="1913"/>
      <c r="M754" s="1445" t="s">
        <v>2322</v>
      </c>
      <c r="N754" s="1446"/>
      <c r="O754" s="1447">
        <f t="shared" si="130"/>
        <v>0</v>
      </c>
    </row>
    <row r="755" spans="1:15" s="1448" customFormat="1" ht="15">
      <c r="A755" s="1436" t="s">
        <v>520</v>
      </c>
      <c r="B755" s="1437" t="s">
        <v>572</v>
      </c>
      <c r="C755" s="1336">
        <v>88</v>
      </c>
      <c r="D755" s="1439" t="s">
        <v>277</v>
      </c>
      <c r="E755" s="1221">
        <v>55</v>
      </c>
      <c r="F755" s="1440">
        <f t="shared" ref="F755" si="144">ROUND(C755*E755,0)</f>
        <v>4840</v>
      </c>
      <c r="G755" s="1457">
        <f>WORK!I3133</f>
        <v>0</v>
      </c>
      <c r="H755" s="1458" t="s">
        <v>277</v>
      </c>
      <c r="I755" s="1459">
        <f>WORK!K3133</f>
        <v>55</v>
      </c>
      <c r="J755" s="1450">
        <f t="shared" si="142"/>
        <v>0</v>
      </c>
      <c r="K755" s="1911">
        <f>IF((J755+J756+J757+J758)&gt;(F755+F756+F757+F758),(J755+J756+J757+J758)-(F755+F756+F757+F758),0)</f>
        <v>0</v>
      </c>
      <c r="L755" s="1911">
        <f>IF((J755+J756+J757+J758)&lt;(F755+F756+F757+F758),(F755+F756+F757+F758)-(J755+J756+J757+J758),0)</f>
        <v>4840</v>
      </c>
      <c r="M755" s="1445" t="s">
        <v>2226</v>
      </c>
      <c r="N755" s="1446"/>
      <c r="O755" s="1447">
        <f t="shared" si="130"/>
        <v>4840</v>
      </c>
    </row>
    <row r="756" spans="1:15" s="360" customFormat="1" ht="15" hidden="1">
      <c r="A756" s="356" t="s">
        <v>517</v>
      </c>
      <c r="B756" s="707" t="s">
        <v>572</v>
      </c>
      <c r="C756" s="709"/>
      <c r="D756" s="354"/>
      <c r="E756" s="10"/>
      <c r="F756" s="353"/>
      <c r="G756" s="358">
        <f>WORK!I3352</f>
        <v>0</v>
      </c>
      <c r="H756" s="354" t="s">
        <v>277</v>
      </c>
      <c r="I756" s="355">
        <f>WORK!K3352</f>
        <v>55</v>
      </c>
      <c r="J756" s="353">
        <f>ROUND(G756*I756,0)</f>
        <v>0</v>
      </c>
      <c r="K756" s="1912"/>
      <c r="L756" s="1912"/>
      <c r="M756" s="708" t="s">
        <v>2308</v>
      </c>
      <c r="N756" s="223"/>
      <c r="O756" s="706">
        <f t="shared" si="130"/>
        <v>0</v>
      </c>
    </row>
    <row r="757" spans="1:15" s="360" customFormat="1" ht="15" hidden="1">
      <c r="A757" s="356" t="s">
        <v>517</v>
      </c>
      <c r="B757" s="707" t="s">
        <v>572</v>
      </c>
      <c r="C757" s="709"/>
      <c r="D757" s="354"/>
      <c r="E757" s="10"/>
      <c r="F757" s="353"/>
      <c r="G757" s="358">
        <f>WORK!I3572</f>
        <v>0</v>
      </c>
      <c r="H757" s="354" t="s">
        <v>277</v>
      </c>
      <c r="I757" s="355">
        <f>WORK!K3572</f>
        <v>58</v>
      </c>
      <c r="J757" s="353">
        <f>ROUND(G757*I757,0)</f>
        <v>0</v>
      </c>
      <c r="K757" s="1912"/>
      <c r="L757" s="1912"/>
      <c r="M757" s="708" t="s">
        <v>2321</v>
      </c>
      <c r="N757" s="223"/>
      <c r="O757" s="706">
        <f t="shared" si="130"/>
        <v>0</v>
      </c>
    </row>
    <row r="758" spans="1:15" s="360" customFormat="1" ht="15" hidden="1">
      <c r="A758" s="356" t="s">
        <v>517</v>
      </c>
      <c r="B758" s="707" t="s">
        <v>572</v>
      </c>
      <c r="C758" s="709"/>
      <c r="D758" s="354"/>
      <c r="E758" s="10"/>
      <c r="F758" s="353"/>
      <c r="G758" s="358">
        <f>WORK!I3792</f>
        <v>0</v>
      </c>
      <c r="H758" s="354" t="s">
        <v>277</v>
      </c>
      <c r="I758" s="355">
        <f>WORK!K3792</f>
        <v>64</v>
      </c>
      <c r="J758" s="353">
        <f>ROUND(G758*I758,0)</f>
        <v>0</v>
      </c>
      <c r="K758" s="1913"/>
      <c r="L758" s="1913"/>
      <c r="M758" s="708" t="s">
        <v>2322</v>
      </c>
      <c r="N758" s="223"/>
      <c r="O758" s="706">
        <f t="shared" si="130"/>
        <v>0</v>
      </c>
    </row>
    <row r="759" spans="1:15" s="1448" customFormat="1" ht="15">
      <c r="A759" s="1436" t="s">
        <v>521</v>
      </c>
      <c r="B759" s="1437" t="s">
        <v>556</v>
      </c>
      <c r="C759" s="1483"/>
      <c r="D759" s="1439"/>
      <c r="E759" s="1484"/>
      <c r="F759" s="1450"/>
      <c r="G759" s="1453">
        <f>WORK!I3138</f>
        <v>1</v>
      </c>
      <c r="H759" s="1439" t="s">
        <v>115</v>
      </c>
      <c r="I759" s="1454">
        <f>WORK!K3138</f>
        <v>205</v>
      </c>
      <c r="J759" s="1450">
        <f t="shared" si="142"/>
        <v>205</v>
      </c>
      <c r="K759" s="1911">
        <f>IF((J759+J760+J761+J762)&gt;(F759+F760+F761+F762),(J759+J760+J761+J762)-(F759+F760+F761+F762),0)</f>
        <v>205</v>
      </c>
      <c r="L759" s="1911">
        <f>IF((J759+J760+J761+J762)&lt;(F759+F760+F761+F762),(F759+F760+F761+F762)-(J759+J760+J761+J762),0)</f>
        <v>0</v>
      </c>
      <c r="M759" s="1451" t="s">
        <v>2226</v>
      </c>
      <c r="N759" s="1446"/>
      <c r="O759" s="1452">
        <f t="shared" si="130"/>
        <v>-205</v>
      </c>
    </row>
    <row r="760" spans="1:15" s="360" customFormat="1" ht="15" hidden="1">
      <c r="A760" s="356" t="s">
        <v>2052</v>
      </c>
      <c r="B760" s="707" t="s">
        <v>556</v>
      </c>
      <c r="C760" s="633"/>
      <c r="D760" s="354"/>
      <c r="E760" s="622"/>
      <c r="F760" s="353"/>
      <c r="G760" s="358">
        <f>WORK!I3357</f>
        <v>0</v>
      </c>
      <c r="H760" s="354" t="s">
        <v>115</v>
      </c>
      <c r="I760" s="355">
        <f>WORK!K3357</f>
        <v>205</v>
      </c>
      <c r="J760" s="353">
        <f>ROUND(G760*I760,0)</f>
        <v>0</v>
      </c>
      <c r="K760" s="1912"/>
      <c r="L760" s="1912"/>
      <c r="M760" s="708" t="s">
        <v>2308</v>
      </c>
      <c r="N760" s="223"/>
      <c r="O760" s="706">
        <f t="shared" si="130"/>
        <v>0</v>
      </c>
    </row>
    <row r="761" spans="1:15" s="1448" customFormat="1" ht="15" hidden="1">
      <c r="A761" s="1436" t="s">
        <v>1577</v>
      </c>
      <c r="B761" s="1437" t="s">
        <v>556</v>
      </c>
      <c r="C761" s="1483"/>
      <c r="D761" s="1439"/>
      <c r="E761" s="1484"/>
      <c r="F761" s="1450"/>
      <c r="G761" s="1453">
        <f>WORK!I3577</f>
        <v>0</v>
      </c>
      <c r="H761" s="1439" t="s">
        <v>115</v>
      </c>
      <c r="I761" s="1454">
        <f>WORK!K3577</f>
        <v>226</v>
      </c>
      <c r="J761" s="1450">
        <f>ROUND(G761*I761,0)</f>
        <v>0</v>
      </c>
      <c r="K761" s="1912"/>
      <c r="L761" s="1912"/>
      <c r="M761" s="1451" t="s">
        <v>2321</v>
      </c>
      <c r="N761" s="1446"/>
      <c r="O761" s="1452">
        <f t="shared" si="130"/>
        <v>0</v>
      </c>
    </row>
    <row r="762" spans="1:15" s="1448" customFormat="1" ht="15" hidden="1">
      <c r="A762" s="1436" t="s">
        <v>1143</v>
      </c>
      <c r="B762" s="1437" t="s">
        <v>556</v>
      </c>
      <c r="C762" s="1483"/>
      <c r="D762" s="1439"/>
      <c r="E762" s="1484"/>
      <c r="F762" s="1450"/>
      <c r="G762" s="1453">
        <f>WORK!I3797</f>
        <v>0</v>
      </c>
      <c r="H762" s="1439" t="s">
        <v>115</v>
      </c>
      <c r="I762" s="1454">
        <f>WORK!K3797</f>
        <v>245</v>
      </c>
      <c r="J762" s="1450">
        <f>ROUND(G762*I762,0)</f>
        <v>0</v>
      </c>
      <c r="K762" s="1913"/>
      <c r="L762" s="1913"/>
      <c r="M762" s="1445" t="s">
        <v>2322</v>
      </c>
      <c r="N762" s="1446"/>
      <c r="O762" s="1447">
        <f t="shared" si="130"/>
        <v>0</v>
      </c>
    </row>
    <row r="763" spans="1:15" s="1448" customFormat="1" ht="15">
      <c r="A763" s="1436" t="s">
        <v>522</v>
      </c>
      <c r="B763" s="1437" t="s">
        <v>639</v>
      </c>
      <c r="C763" s="1483"/>
      <c r="D763" s="1439"/>
      <c r="E763" s="1484"/>
      <c r="F763" s="1450"/>
      <c r="G763" s="1453">
        <f>WORK!I3143</f>
        <v>10</v>
      </c>
      <c r="H763" s="1439" t="s">
        <v>115</v>
      </c>
      <c r="I763" s="1454">
        <f>WORK!K3143</f>
        <v>170</v>
      </c>
      <c r="J763" s="1450">
        <f t="shared" si="142"/>
        <v>1700</v>
      </c>
      <c r="K763" s="1911">
        <f>IF((J763+J764+J765+J766)&gt;(F763+F764+F765+F766),(J763+J764+J765+J766)-(F763+F764+F765+F766),0)</f>
        <v>1700</v>
      </c>
      <c r="L763" s="1911">
        <f>IF((J763+J764+J765+J766)&lt;(F763+F764+F765+F766),(F763+F764+F765+F766)-(J763+J764+J765+J766),0)</f>
        <v>0</v>
      </c>
      <c r="M763" s="1451" t="s">
        <v>2226</v>
      </c>
      <c r="N763" s="1446"/>
      <c r="O763" s="1452">
        <f t="shared" si="130"/>
        <v>-1700</v>
      </c>
    </row>
    <row r="764" spans="1:15" s="360" customFormat="1" ht="15" hidden="1">
      <c r="A764" s="356" t="s">
        <v>2722</v>
      </c>
      <c r="B764" s="707" t="s">
        <v>639</v>
      </c>
      <c r="C764" s="633"/>
      <c r="D764" s="354"/>
      <c r="E764" s="622"/>
      <c r="F764" s="353"/>
      <c r="G764" s="358">
        <f>WORK!I3362</f>
        <v>0</v>
      </c>
      <c r="H764" s="354" t="s">
        <v>115</v>
      </c>
      <c r="I764" s="355">
        <f>WORK!K3362</f>
        <v>170</v>
      </c>
      <c r="J764" s="353">
        <f>ROUND(G764*I764,0)</f>
        <v>0</v>
      </c>
      <c r="K764" s="1912"/>
      <c r="L764" s="1912"/>
      <c r="M764" s="708" t="s">
        <v>2308</v>
      </c>
      <c r="N764" s="223"/>
      <c r="O764" s="706">
        <f t="shared" si="130"/>
        <v>0</v>
      </c>
    </row>
    <row r="765" spans="1:15" s="360" customFormat="1" ht="15" hidden="1">
      <c r="A765" s="356" t="s">
        <v>1599</v>
      </c>
      <c r="B765" s="707" t="s">
        <v>639</v>
      </c>
      <c r="C765" s="633"/>
      <c r="D765" s="354"/>
      <c r="E765" s="622"/>
      <c r="F765" s="353"/>
      <c r="G765" s="358">
        <f>WORK!I3582</f>
        <v>0</v>
      </c>
      <c r="H765" s="354" t="s">
        <v>115</v>
      </c>
      <c r="I765" s="355">
        <f>WORK!K3582</f>
        <v>187</v>
      </c>
      <c r="J765" s="353">
        <f>ROUND(G765*I765,0)</f>
        <v>0</v>
      </c>
      <c r="K765" s="1912"/>
      <c r="L765" s="1912"/>
      <c r="M765" s="708" t="s">
        <v>2321</v>
      </c>
      <c r="N765" s="223"/>
      <c r="O765" s="706">
        <f t="shared" si="130"/>
        <v>0</v>
      </c>
    </row>
    <row r="766" spans="1:15" s="1448" customFormat="1" ht="15" hidden="1">
      <c r="A766" s="1436" t="s">
        <v>1586</v>
      </c>
      <c r="B766" s="1437" t="s">
        <v>639</v>
      </c>
      <c r="C766" s="1483"/>
      <c r="D766" s="1439"/>
      <c r="E766" s="1484"/>
      <c r="F766" s="1450"/>
      <c r="G766" s="1453">
        <f>WORK!I3802</f>
        <v>0</v>
      </c>
      <c r="H766" s="1439" t="s">
        <v>115</v>
      </c>
      <c r="I766" s="1454">
        <f>WORK!K3802</f>
        <v>203</v>
      </c>
      <c r="J766" s="1450">
        <f>ROUND(G766*I766,0)</f>
        <v>0</v>
      </c>
      <c r="K766" s="1913"/>
      <c r="L766" s="1913"/>
      <c r="M766" s="1445" t="s">
        <v>2322</v>
      </c>
      <c r="N766" s="1446"/>
      <c r="O766" s="1447">
        <f t="shared" si="130"/>
        <v>0</v>
      </c>
    </row>
    <row r="767" spans="1:15" s="360" customFormat="1" ht="15" hidden="1">
      <c r="A767" s="356" t="s">
        <v>2084</v>
      </c>
      <c r="B767" s="707" t="s">
        <v>714</v>
      </c>
      <c r="C767" s="633"/>
      <c r="D767" s="354"/>
      <c r="E767" s="622"/>
      <c r="F767" s="353"/>
      <c r="G767" s="358">
        <f>WORK!I3148</f>
        <v>0</v>
      </c>
      <c r="H767" s="354" t="s">
        <v>115</v>
      </c>
      <c r="I767" s="355">
        <f>WORK!K3148</f>
        <v>130</v>
      </c>
      <c r="J767" s="353">
        <f t="shared" si="142"/>
        <v>0</v>
      </c>
      <c r="K767" s="1911">
        <f>IF((J767+J768+J769+J770)&gt;(F767+F768+F769+F770),(J767+J768+J769+J770)-(F767+F768+F769+F770),0)</f>
        <v>0</v>
      </c>
      <c r="L767" s="1911">
        <f>IF((J767+J768+J769+J770)&lt;(F767+F768+F769+F770),(F767+F768+F769+F770)-(J767+J768+J769+J770),0)</f>
        <v>0</v>
      </c>
      <c r="M767" s="708" t="s">
        <v>2226</v>
      </c>
      <c r="N767" s="223"/>
      <c r="O767" s="706">
        <f t="shared" si="130"/>
        <v>0</v>
      </c>
    </row>
    <row r="768" spans="1:15" s="360" customFormat="1" ht="15" hidden="1">
      <c r="A768" s="356" t="s">
        <v>2053</v>
      </c>
      <c r="B768" s="707" t="s">
        <v>714</v>
      </c>
      <c r="C768" s="633"/>
      <c r="D768" s="354"/>
      <c r="E768" s="622"/>
      <c r="F768" s="353"/>
      <c r="G768" s="358">
        <f>WORK!I3367</f>
        <v>0</v>
      </c>
      <c r="H768" s="354" t="s">
        <v>115</v>
      </c>
      <c r="I768" s="355">
        <f>WORK!K3367</f>
        <v>130</v>
      </c>
      <c r="J768" s="353">
        <f>ROUND(G768*I768,0)</f>
        <v>0</v>
      </c>
      <c r="K768" s="1912"/>
      <c r="L768" s="1912"/>
      <c r="M768" s="708" t="s">
        <v>2308</v>
      </c>
      <c r="N768" s="223"/>
      <c r="O768" s="706">
        <f t="shared" si="130"/>
        <v>0</v>
      </c>
    </row>
    <row r="769" spans="1:15" s="360" customFormat="1" ht="15" hidden="1">
      <c r="A769" s="356" t="s">
        <v>2084</v>
      </c>
      <c r="B769" s="707" t="s">
        <v>714</v>
      </c>
      <c r="C769" s="633"/>
      <c r="D769" s="354"/>
      <c r="E769" s="622"/>
      <c r="F769" s="353"/>
      <c r="G769" s="358">
        <f>WORK!I3587</f>
        <v>0</v>
      </c>
      <c r="H769" s="354" t="s">
        <v>115</v>
      </c>
      <c r="I769" s="355">
        <f>WORK!K3587</f>
        <v>143</v>
      </c>
      <c r="J769" s="353">
        <f>ROUND(G769*I769,0)</f>
        <v>0</v>
      </c>
      <c r="K769" s="1912"/>
      <c r="L769" s="1912"/>
      <c r="M769" s="708" t="s">
        <v>2321</v>
      </c>
      <c r="N769" s="223"/>
      <c r="O769" s="706">
        <f t="shared" si="130"/>
        <v>0</v>
      </c>
    </row>
    <row r="770" spans="1:15" s="360" customFormat="1" ht="15" hidden="1">
      <c r="A770" s="356" t="s">
        <v>1590</v>
      </c>
      <c r="B770" s="707" t="s">
        <v>714</v>
      </c>
      <c r="C770" s="633"/>
      <c r="D770" s="354"/>
      <c r="E770" s="622"/>
      <c r="F770" s="353"/>
      <c r="G770" s="358">
        <f>WORK!I3807</f>
        <v>0</v>
      </c>
      <c r="H770" s="354" t="s">
        <v>115</v>
      </c>
      <c r="I770" s="355">
        <f>WORK!K3807</f>
        <v>155</v>
      </c>
      <c r="J770" s="353">
        <f>ROUND(G770*I770,0)</f>
        <v>0</v>
      </c>
      <c r="K770" s="1913"/>
      <c r="L770" s="1913"/>
      <c r="M770" s="708" t="s">
        <v>2322</v>
      </c>
      <c r="N770" s="223"/>
      <c r="O770" s="706">
        <f t="shared" si="130"/>
        <v>0</v>
      </c>
    </row>
    <row r="771" spans="1:15" s="360" customFormat="1" ht="15" hidden="1">
      <c r="A771" s="356" t="s">
        <v>1600</v>
      </c>
      <c r="B771" s="707" t="s">
        <v>796</v>
      </c>
      <c r="C771" s="633"/>
      <c r="D771" s="354"/>
      <c r="E771" s="622"/>
      <c r="F771" s="353"/>
      <c r="G771" s="358">
        <f>WORK!I3166</f>
        <v>0</v>
      </c>
      <c r="H771" s="354" t="s">
        <v>115</v>
      </c>
      <c r="I771" s="355">
        <f>WORK!K3166</f>
        <v>95</v>
      </c>
      <c r="J771" s="353">
        <f t="shared" si="142"/>
        <v>0</v>
      </c>
      <c r="K771" s="1911">
        <f>IF((J771+J772+J773+J774)&gt;(F771+F772+F773+F774),(J771+J772+J773+J774)-(F771+F772+F773+F774),0)</f>
        <v>0</v>
      </c>
      <c r="L771" s="1911">
        <f>IF((J771+J772+J773+J774)&lt;(F771+F772+F773+F774),(F771+F772+F773+F774)-(J771+J772+J773+J774),0)</f>
        <v>0</v>
      </c>
      <c r="M771" s="708" t="s">
        <v>2226</v>
      </c>
      <c r="N771" s="223"/>
      <c r="O771" s="706">
        <f t="shared" si="130"/>
        <v>0</v>
      </c>
    </row>
    <row r="772" spans="1:15" s="360" customFormat="1" ht="15" hidden="1">
      <c r="A772" s="356" t="s">
        <v>2720</v>
      </c>
      <c r="B772" s="707" t="s">
        <v>796</v>
      </c>
      <c r="C772" s="633"/>
      <c r="D772" s="354"/>
      <c r="E772" s="622"/>
      <c r="F772" s="353"/>
      <c r="G772" s="358">
        <f>WORK!I3385</f>
        <v>0</v>
      </c>
      <c r="H772" s="354" t="s">
        <v>115</v>
      </c>
      <c r="I772" s="355">
        <f>WORK!K3385</f>
        <v>95</v>
      </c>
      <c r="J772" s="353">
        <f>ROUND(G772*I772,0)</f>
        <v>0</v>
      </c>
      <c r="K772" s="1912"/>
      <c r="L772" s="1912"/>
      <c r="M772" s="708" t="s">
        <v>2308</v>
      </c>
      <c r="N772" s="223"/>
      <c r="O772" s="706">
        <f t="shared" si="130"/>
        <v>0</v>
      </c>
    </row>
    <row r="773" spans="1:15" s="360" customFormat="1" ht="15" hidden="1">
      <c r="A773" s="356" t="s">
        <v>1600</v>
      </c>
      <c r="B773" s="707" t="s">
        <v>796</v>
      </c>
      <c r="C773" s="633"/>
      <c r="D773" s="354"/>
      <c r="E773" s="622"/>
      <c r="F773" s="353"/>
      <c r="G773" s="358">
        <f>WORK!I3605</f>
        <v>0</v>
      </c>
      <c r="H773" s="354" t="s">
        <v>115</v>
      </c>
      <c r="I773" s="355">
        <f>WORK!K3605</f>
        <v>105</v>
      </c>
      <c r="J773" s="353">
        <f>ROUND(G773*I773,0)</f>
        <v>0</v>
      </c>
      <c r="K773" s="1912"/>
      <c r="L773" s="1912"/>
      <c r="M773" s="708" t="s">
        <v>2321</v>
      </c>
      <c r="N773" s="223"/>
      <c r="O773" s="706">
        <f t="shared" si="130"/>
        <v>0</v>
      </c>
    </row>
    <row r="774" spans="1:15" s="360" customFormat="1" ht="15" hidden="1">
      <c r="A774" s="356" t="s">
        <v>1600</v>
      </c>
      <c r="B774" s="707" t="s">
        <v>796</v>
      </c>
      <c r="C774" s="633"/>
      <c r="D774" s="354"/>
      <c r="E774" s="622"/>
      <c r="F774" s="353"/>
      <c r="G774" s="358">
        <f>WORK!I3825</f>
        <v>0</v>
      </c>
      <c r="H774" s="354" t="s">
        <v>115</v>
      </c>
      <c r="I774" s="355">
        <f>WORK!K3825</f>
        <v>114</v>
      </c>
      <c r="J774" s="353">
        <f>ROUND(G774*I774,0)</f>
        <v>0</v>
      </c>
      <c r="K774" s="1913"/>
      <c r="L774" s="1913"/>
      <c r="M774" s="708" t="s">
        <v>2322</v>
      </c>
      <c r="N774" s="223"/>
      <c r="O774" s="706">
        <f t="shared" si="130"/>
        <v>0</v>
      </c>
    </row>
    <row r="775" spans="1:15" s="360" customFormat="1" ht="15" hidden="1">
      <c r="A775" s="356" t="s">
        <v>2050</v>
      </c>
      <c r="B775" s="707" t="s">
        <v>640</v>
      </c>
      <c r="C775" s="633"/>
      <c r="D775" s="354"/>
      <c r="E775" s="622"/>
      <c r="F775" s="353"/>
      <c r="G775" s="358">
        <f>WORK!I3161</f>
        <v>0</v>
      </c>
      <c r="H775" s="354" t="s">
        <v>115</v>
      </c>
      <c r="I775" s="355">
        <f>WORK!K3161</f>
        <v>335</v>
      </c>
      <c r="J775" s="353">
        <f t="shared" si="142"/>
        <v>0</v>
      </c>
      <c r="K775" s="1911">
        <f>IF((J775+J776+J777+J778)&gt;(F775+F776+F777+F778),(J775+J776+J777+J778)-(F775+F776+F777+F778),0)</f>
        <v>0</v>
      </c>
      <c r="L775" s="1911">
        <f>IF((J775+J776+J777+J778)&lt;(F775+F776+F777+F778),(F775+F776+F777+F778)-(J775+J776+J777+J778),0)</f>
        <v>0</v>
      </c>
      <c r="M775" s="708" t="s">
        <v>2226</v>
      </c>
      <c r="N775" s="223"/>
      <c r="O775" s="706">
        <f t="shared" si="130"/>
        <v>0</v>
      </c>
    </row>
    <row r="776" spans="1:15" s="360" customFormat="1" ht="15" hidden="1">
      <c r="A776" s="356" t="s">
        <v>2050</v>
      </c>
      <c r="B776" s="707" t="s">
        <v>640</v>
      </c>
      <c r="C776" s="633"/>
      <c r="D776" s="354"/>
      <c r="E776" s="622"/>
      <c r="F776" s="353"/>
      <c r="G776" s="358">
        <f>WORK!I3380</f>
        <v>0</v>
      </c>
      <c r="H776" s="354" t="s">
        <v>115</v>
      </c>
      <c r="I776" s="355">
        <f>WORK!K3380</f>
        <v>335</v>
      </c>
      <c r="J776" s="353">
        <f>ROUND(G776*I776,0)</f>
        <v>0</v>
      </c>
      <c r="K776" s="1912"/>
      <c r="L776" s="1912"/>
      <c r="M776" s="708" t="s">
        <v>2308</v>
      </c>
      <c r="N776" s="223"/>
      <c r="O776" s="706">
        <f t="shared" si="130"/>
        <v>0</v>
      </c>
    </row>
    <row r="777" spans="1:15" s="360" customFormat="1" ht="15" hidden="1">
      <c r="A777" s="356" t="s">
        <v>2050</v>
      </c>
      <c r="B777" s="707" t="s">
        <v>640</v>
      </c>
      <c r="C777" s="633"/>
      <c r="D777" s="354"/>
      <c r="E777" s="622"/>
      <c r="F777" s="353"/>
      <c r="G777" s="358">
        <f>WORK!I3600</f>
        <v>0</v>
      </c>
      <c r="H777" s="354" t="s">
        <v>115</v>
      </c>
      <c r="I777" s="355">
        <f>WORK!K3600</f>
        <v>369</v>
      </c>
      <c r="J777" s="353">
        <f>ROUND(G777*I777,0)</f>
        <v>0</v>
      </c>
      <c r="K777" s="1912"/>
      <c r="L777" s="1912"/>
      <c r="M777" s="708" t="s">
        <v>2321</v>
      </c>
      <c r="N777" s="223"/>
      <c r="O777" s="706">
        <f t="shared" si="130"/>
        <v>0</v>
      </c>
    </row>
    <row r="778" spans="1:15" s="360" customFormat="1" ht="15" hidden="1">
      <c r="A778" s="356" t="s">
        <v>2050</v>
      </c>
      <c r="B778" s="707" t="s">
        <v>640</v>
      </c>
      <c r="C778" s="633"/>
      <c r="D778" s="354"/>
      <c r="E778" s="622"/>
      <c r="F778" s="353"/>
      <c r="G778" s="358">
        <f>WORK!I3820</f>
        <v>0</v>
      </c>
      <c r="H778" s="354" t="s">
        <v>115</v>
      </c>
      <c r="I778" s="355">
        <f>WORK!K3820</f>
        <v>400</v>
      </c>
      <c r="J778" s="353">
        <f>ROUND(G778*I778,0)</f>
        <v>0</v>
      </c>
      <c r="K778" s="1913"/>
      <c r="L778" s="1913"/>
      <c r="M778" s="708" t="s">
        <v>2322</v>
      </c>
      <c r="N778" s="223"/>
      <c r="O778" s="706">
        <f t="shared" si="130"/>
        <v>0</v>
      </c>
    </row>
    <row r="779" spans="1:15" s="360" customFormat="1" ht="15" hidden="1">
      <c r="A779" s="356" t="s">
        <v>2051</v>
      </c>
      <c r="B779" s="707" t="s">
        <v>1514</v>
      </c>
      <c r="C779" s="633"/>
      <c r="D779" s="354"/>
      <c r="E779" s="622"/>
      <c r="F779" s="353"/>
      <c r="G779" s="358">
        <f>WORK!I3156</f>
        <v>0</v>
      </c>
      <c r="H779" s="354" t="s">
        <v>115</v>
      </c>
      <c r="I779" s="355">
        <f>WORK!K3156</f>
        <v>300</v>
      </c>
      <c r="J779" s="353">
        <f t="shared" si="142"/>
        <v>0</v>
      </c>
      <c r="K779" s="1911">
        <f>IF((J779+J780+J781+J782)&gt;(F779+F780+F781+F782),(J779+J780+J781+J782)-(F779+F780+F781+F782),0)</f>
        <v>0</v>
      </c>
      <c r="L779" s="1911">
        <f>IF((J779+J780+J781+J782)&lt;(F779+F780+F781+F782),(F779+F780+F781+F782)-(J779+J780+J781+J782),0)</f>
        <v>0</v>
      </c>
      <c r="M779" s="708" t="s">
        <v>2226</v>
      </c>
      <c r="N779" s="223"/>
      <c r="O779" s="706">
        <f t="shared" si="130"/>
        <v>0</v>
      </c>
    </row>
    <row r="780" spans="1:15" s="360" customFormat="1" ht="15" hidden="1">
      <c r="A780" s="356" t="s">
        <v>2051</v>
      </c>
      <c r="B780" s="707" t="s">
        <v>1514</v>
      </c>
      <c r="C780" s="633"/>
      <c r="D780" s="354"/>
      <c r="E780" s="622"/>
      <c r="F780" s="353"/>
      <c r="G780" s="358">
        <f>WORK!I3375</f>
        <v>0</v>
      </c>
      <c r="H780" s="354" t="s">
        <v>115</v>
      </c>
      <c r="I780" s="355">
        <f>WORK!K3375</f>
        <v>300</v>
      </c>
      <c r="J780" s="353">
        <f>ROUND(G780*I780,0)</f>
        <v>0</v>
      </c>
      <c r="K780" s="1912"/>
      <c r="L780" s="1912"/>
      <c r="M780" s="708" t="s">
        <v>2308</v>
      </c>
      <c r="N780" s="223"/>
      <c r="O780" s="706">
        <f t="shared" si="130"/>
        <v>0</v>
      </c>
    </row>
    <row r="781" spans="1:15" s="360" customFormat="1" ht="15" hidden="1">
      <c r="A781" s="356" t="s">
        <v>2051</v>
      </c>
      <c r="B781" s="707" t="s">
        <v>1514</v>
      </c>
      <c r="C781" s="633"/>
      <c r="D781" s="354"/>
      <c r="E781" s="622"/>
      <c r="F781" s="353"/>
      <c r="G781" s="358">
        <f>WORK!I3595</f>
        <v>0</v>
      </c>
      <c r="H781" s="354" t="s">
        <v>115</v>
      </c>
      <c r="I781" s="355">
        <f>WORK!K3595</f>
        <v>331</v>
      </c>
      <c r="J781" s="353">
        <f>ROUND(G781*I781,0)</f>
        <v>0</v>
      </c>
      <c r="K781" s="1912"/>
      <c r="L781" s="1912"/>
      <c r="M781" s="708" t="s">
        <v>2321</v>
      </c>
      <c r="N781" s="223"/>
      <c r="O781" s="706">
        <f t="shared" si="130"/>
        <v>0</v>
      </c>
    </row>
    <row r="782" spans="1:15" s="360" customFormat="1" ht="15" hidden="1">
      <c r="A782" s="356" t="s">
        <v>2051</v>
      </c>
      <c r="B782" s="707" t="s">
        <v>1514</v>
      </c>
      <c r="C782" s="633"/>
      <c r="D782" s="354"/>
      <c r="E782" s="622"/>
      <c r="F782" s="353"/>
      <c r="G782" s="358">
        <f>WORK!I3815</f>
        <v>0</v>
      </c>
      <c r="H782" s="354" t="s">
        <v>115</v>
      </c>
      <c r="I782" s="355">
        <f>WORK!K3815</f>
        <v>359</v>
      </c>
      <c r="J782" s="353">
        <f>ROUND(G782*I782,0)</f>
        <v>0</v>
      </c>
      <c r="K782" s="1913"/>
      <c r="L782" s="1913"/>
      <c r="M782" s="708" t="s">
        <v>2322</v>
      </c>
      <c r="N782" s="223"/>
      <c r="O782" s="706">
        <f t="shared" si="130"/>
        <v>0</v>
      </c>
    </row>
    <row r="783" spans="1:15" s="360" customFormat="1" ht="15" hidden="1">
      <c r="A783" s="356" t="s">
        <v>2084</v>
      </c>
      <c r="B783" s="707" t="s">
        <v>557</v>
      </c>
      <c r="C783" s="633"/>
      <c r="D783" s="354"/>
      <c r="E783" s="622"/>
      <c r="F783" s="353"/>
      <c r="G783" s="358">
        <f>WORK!I3171</f>
        <v>0</v>
      </c>
      <c r="H783" s="354" t="s">
        <v>115</v>
      </c>
      <c r="I783" s="355">
        <f>WORK!K3171</f>
        <v>57</v>
      </c>
      <c r="J783" s="353">
        <f t="shared" si="142"/>
        <v>0</v>
      </c>
      <c r="K783" s="1911">
        <f>IF((J783+J784+J785+J786)&gt;(F783+F784+F785+F786),(J783+J784+J785+J786)-(F783+F784+F785+F786),0)</f>
        <v>0</v>
      </c>
      <c r="L783" s="1911">
        <f>IF((J783+J784+J785+J786)&lt;(F783+F784+F785+F786),(F783+F784+F785+F786)-(J783+J784+J785+J786),0)</f>
        <v>0</v>
      </c>
      <c r="M783" s="708" t="s">
        <v>2226</v>
      </c>
      <c r="N783" s="223"/>
      <c r="O783" s="706">
        <f t="shared" si="130"/>
        <v>0</v>
      </c>
    </row>
    <row r="784" spans="1:15" s="360" customFormat="1" ht="15" hidden="1">
      <c r="A784" s="356" t="s">
        <v>2723</v>
      </c>
      <c r="B784" s="707" t="s">
        <v>557</v>
      </c>
      <c r="C784" s="633"/>
      <c r="D784" s="354"/>
      <c r="E784" s="622"/>
      <c r="F784" s="353"/>
      <c r="G784" s="358">
        <f>WORK!I3390</f>
        <v>0</v>
      </c>
      <c r="H784" s="354" t="s">
        <v>115</v>
      </c>
      <c r="I784" s="355">
        <f>WORK!K3390</f>
        <v>57</v>
      </c>
      <c r="J784" s="353">
        <f>ROUND(G784*I784,0)</f>
        <v>0</v>
      </c>
      <c r="K784" s="1912"/>
      <c r="L784" s="1912"/>
      <c r="M784" s="708" t="s">
        <v>2308</v>
      </c>
      <c r="N784" s="223"/>
      <c r="O784" s="706">
        <f t="shared" si="130"/>
        <v>0</v>
      </c>
    </row>
    <row r="785" spans="1:15" s="360" customFormat="1" ht="15" hidden="1">
      <c r="A785" s="356" t="s">
        <v>2084</v>
      </c>
      <c r="B785" s="707" t="s">
        <v>557</v>
      </c>
      <c r="C785" s="633"/>
      <c r="D785" s="354"/>
      <c r="E785" s="622"/>
      <c r="F785" s="353"/>
      <c r="G785" s="358">
        <f>WORK!I3610</f>
        <v>0</v>
      </c>
      <c r="H785" s="354" t="s">
        <v>115</v>
      </c>
      <c r="I785" s="355">
        <f>WORK!K3610</f>
        <v>63</v>
      </c>
      <c r="J785" s="353">
        <f>ROUND(G785*I785,0)</f>
        <v>0</v>
      </c>
      <c r="K785" s="1912"/>
      <c r="L785" s="1912"/>
      <c r="M785" s="708" t="s">
        <v>2321</v>
      </c>
      <c r="N785" s="223"/>
      <c r="O785" s="706">
        <f t="shared" si="130"/>
        <v>0</v>
      </c>
    </row>
    <row r="786" spans="1:15" s="360" customFormat="1" ht="15" hidden="1">
      <c r="A786" s="356" t="s">
        <v>2084</v>
      </c>
      <c r="B786" s="707" t="s">
        <v>557</v>
      </c>
      <c r="C786" s="633"/>
      <c r="D786" s="354"/>
      <c r="E786" s="622"/>
      <c r="F786" s="353"/>
      <c r="G786" s="358">
        <f>WORK!I3830</f>
        <v>0</v>
      </c>
      <c r="H786" s="354" t="s">
        <v>115</v>
      </c>
      <c r="I786" s="355">
        <f>WORK!K3830</f>
        <v>68</v>
      </c>
      <c r="J786" s="353">
        <f>ROUND(G786*I786,0)</f>
        <v>0</v>
      </c>
      <c r="K786" s="1913"/>
      <c r="L786" s="1913"/>
      <c r="M786" s="708" t="s">
        <v>2322</v>
      </c>
      <c r="N786" s="223"/>
      <c r="O786" s="706">
        <f t="shared" si="130"/>
        <v>0</v>
      </c>
    </row>
    <row r="787" spans="1:15" s="1448" customFormat="1" ht="38.25">
      <c r="A787" s="1436" t="s">
        <v>524</v>
      </c>
      <c r="B787" s="1437" t="s">
        <v>3324</v>
      </c>
      <c r="C787" s="1336">
        <v>35</v>
      </c>
      <c r="D787" s="1439" t="s">
        <v>568</v>
      </c>
      <c r="E787" s="1221">
        <v>522</v>
      </c>
      <c r="F787" s="1440">
        <f t="shared" ref="F787" si="145">ROUND(C787*E787,0)</f>
        <v>18270</v>
      </c>
      <c r="G787" s="1457">
        <f>WORK!I3177</f>
        <v>10</v>
      </c>
      <c r="H787" s="1458" t="s">
        <v>568</v>
      </c>
      <c r="I787" s="1459">
        <f>WORK!K3177</f>
        <v>383.5</v>
      </c>
      <c r="J787" s="1450">
        <f t="shared" si="142"/>
        <v>3835</v>
      </c>
      <c r="K787" s="1911">
        <f>IF((J787+J788+J789+J790)&gt;(F787+F788+F789+F790),(J787+J788+J789+J790)-(F787+F788+F789+F790),0)</f>
        <v>0</v>
      </c>
      <c r="L787" s="1911">
        <f>IF((J787+J788+J789+J790)&lt;(F787+F788+F789+F790),(F787+F788+F789+F790)-(J787+J788+J789+J790),0)</f>
        <v>14435</v>
      </c>
      <c r="M787" s="1445" t="s">
        <v>2226</v>
      </c>
      <c r="N787" s="1446"/>
      <c r="O787" s="1447">
        <f t="shared" ref="O787:O850" si="146">F787-J787</f>
        <v>14435</v>
      </c>
    </row>
    <row r="788" spans="1:15" s="360" customFormat="1" ht="15" hidden="1">
      <c r="A788" s="356" t="s">
        <v>2724</v>
      </c>
      <c r="B788" s="707" t="s">
        <v>558</v>
      </c>
      <c r="C788" s="709"/>
      <c r="D788" s="354"/>
      <c r="E788" s="10"/>
      <c r="F788" s="353"/>
      <c r="G788" s="358">
        <f>WORK!I3395</f>
        <v>0</v>
      </c>
      <c r="H788" s="354" t="s">
        <v>568</v>
      </c>
      <c r="I788" s="355">
        <f>WORK!K3395</f>
        <v>395.5</v>
      </c>
      <c r="J788" s="353">
        <f>ROUND(G788*I788,0)</f>
        <v>0</v>
      </c>
      <c r="K788" s="1912"/>
      <c r="L788" s="1912"/>
      <c r="M788" s="708" t="s">
        <v>2308</v>
      </c>
      <c r="N788" s="223"/>
      <c r="O788" s="706">
        <f t="shared" si="146"/>
        <v>0</v>
      </c>
    </row>
    <row r="789" spans="1:15" s="1448" customFormat="1" ht="15" hidden="1">
      <c r="A789" s="1436" t="s">
        <v>1585</v>
      </c>
      <c r="B789" s="1437" t="s">
        <v>558</v>
      </c>
      <c r="C789" s="1449"/>
      <c r="D789" s="1439"/>
      <c r="E789" s="1221"/>
      <c r="F789" s="1450"/>
      <c r="G789" s="1453">
        <f>WORK!I3616</f>
        <v>0</v>
      </c>
      <c r="H789" s="1439" t="s">
        <v>568</v>
      </c>
      <c r="I789" s="1454">
        <f>WORK!K3616</f>
        <v>436.33</v>
      </c>
      <c r="J789" s="1450">
        <f>ROUND(G789*I789,0)</f>
        <v>0</v>
      </c>
      <c r="K789" s="1912"/>
      <c r="L789" s="1912"/>
      <c r="M789" s="1451" t="s">
        <v>2321</v>
      </c>
      <c r="N789" s="1446"/>
      <c r="O789" s="1452">
        <f t="shared" si="146"/>
        <v>0</v>
      </c>
    </row>
    <row r="790" spans="1:15" s="1448" customFormat="1" ht="38.25" hidden="1">
      <c r="A790" s="1436" t="s">
        <v>1587</v>
      </c>
      <c r="B790" s="1437" t="s">
        <v>3324</v>
      </c>
      <c r="C790" s="1449"/>
      <c r="D790" s="1439"/>
      <c r="E790" s="1221"/>
      <c r="F790" s="1450"/>
      <c r="G790" s="1453">
        <f>WORK!I3836</f>
        <v>0</v>
      </c>
      <c r="H790" s="1439" t="s">
        <v>568</v>
      </c>
      <c r="I790" s="1454">
        <f>WORK!K3836</f>
        <v>481.67</v>
      </c>
      <c r="J790" s="1450">
        <f>ROUND(G790*I790,0)</f>
        <v>0</v>
      </c>
      <c r="K790" s="1913"/>
      <c r="L790" s="1913"/>
      <c r="M790" s="1445" t="s">
        <v>2322</v>
      </c>
      <c r="N790" s="1446"/>
      <c r="O790" s="1447">
        <f t="shared" si="146"/>
        <v>0</v>
      </c>
    </row>
    <row r="791" spans="1:15" s="1448" customFormat="1" ht="38.25">
      <c r="A791" s="1436" t="s">
        <v>525</v>
      </c>
      <c r="B791" s="1437" t="s">
        <v>3325</v>
      </c>
      <c r="C791" s="1421"/>
      <c r="D791" s="1781" t="s">
        <v>568</v>
      </c>
      <c r="E791" s="1221">
        <v>564</v>
      </c>
      <c r="F791" s="1440">
        <f t="shared" ref="F791" si="147">ROUND(C791*E791,0)</f>
        <v>0</v>
      </c>
      <c r="G791" s="1453">
        <f>WORK!I3182</f>
        <v>8</v>
      </c>
      <c r="H791" s="1439" t="s">
        <v>568</v>
      </c>
      <c r="I791" s="1454">
        <f>WORK!K3182</f>
        <v>402.5</v>
      </c>
      <c r="J791" s="1450">
        <f t="shared" si="142"/>
        <v>3220</v>
      </c>
      <c r="K791" s="1911">
        <f>IF((J791+J792+J793+J794)&gt;(F791+F792+F793+F794),(J791+J792+J793+J794)-(F791+F792+F793+F794),0)</f>
        <v>3220</v>
      </c>
      <c r="L791" s="1911">
        <f>IF((J791+J792+J793+J794)&lt;(F791+F792+F793+F794),(F791+F792+F793+F794)-(J791+J792+J793+J794),0)</f>
        <v>0</v>
      </c>
      <c r="M791" s="1445" t="s">
        <v>2226</v>
      </c>
      <c r="N791" s="1446"/>
      <c r="O791" s="1447">
        <f t="shared" si="146"/>
        <v>-3220</v>
      </c>
    </row>
    <row r="792" spans="1:15" s="360" customFormat="1" ht="15" hidden="1">
      <c r="A792" s="356" t="s">
        <v>522</v>
      </c>
      <c r="B792" s="707" t="s">
        <v>558</v>
      </c>
      <c r="C792" s="709"/>
      <c r="D792" s="354"/>
      <c r="E792" s="10"/>
      <c r="F792" s="353"/>
      <c r="G792" s="358">
        <f>WORK!I3402</f>
        <v>0</v>
      </c>
      <c r="H792" s="354" t="s">
        <v>568</v>
      </c>
      <c r="I792" s="355">
        <f>WORK!K3402</f>
        <v>414.5</v>
      </c>
      <c r="J792" s="353">
        <f>ROUND(G792*I792,0)</f>
        <v>0</v>
      </c>
      <c r="K792" s="1912"/>
      <c r="L792" s="1912"/>
      <c r="M792" s="708" t="s">
        <v>2308</v>
      </c>
      <c r="N792" s="223"/>
      <c r="O792" s="706">
        <f t="shared" si="146"/>
        <v>0</v>
      </c>
    </row>
    <row r="793" spans="1:15" s="1448" customFormat="1" ht="15" hidden="1">
      <c r="A793" s="1436" t="s">
        <v>1143</v>
      </c>
      <c r="B793" s="1437" t="s">
        <v>558</v>
      </c>
      <c r="C793" s="1449"/>
      <c r="D793" s="1439"/>
      <c r="E793" s="1221"/>
      <c r="F793" s="1450"/>
      <c r="G793" s="1453">
        <f>WORK!I3621</f>
        <v>0</v>
      </c>
      <c r="H793" s="1439" t="s">
        <v>568</v>
      </c>
      <c r="I793" s="1454">
        <f>WORK!K3621</f>
        <v>457.33</v>
      </c>
      <c r="J793" s="1450">
        <f>ROUND(G793*I793,0)</f>
        <v>0</v>
      </c>
      <c r="K793" s="1912"/>
      <c r="L793" s="1912"/>
      <c r="M793" s="1451" t="s">
        <v>2321</v>
      </c>
      <c r="N793" s="1446"/>
      <c r="O793" s="1452">
        <f t="shared" si="146"/>
        <v>0</v>
      </c>
    </row>
    <row r="794" spans="1:15" s="1448" customFormat="1" ht="38.25" hidden="1">
      <c r="A794" s="1436" t="s">
        <v>1588</v>
      </c>
      <c r="B794" s="1437" t="s">
        <v>3325</v>
      </c>
      <c r="C794" s="1449"/>
      <c r="D794" s="1439"/>
      <c r="E794" s="1221"/>
      <c r="F794" s="1450"/>
      <c r="G794" s="1453">
        <f>WORK!I3841</f>
        <v>0</v>
      </c>
      <c r="H794" s="1439" t="s">
        <v>568</v>
      </c>
      <c r="I794" s="1454">
        <f>WORK!K3841</f>
        <v>503.67</v>
      </c>
      <c r="J794" s="1450">
        <f>ROUND(G794*I794,0)</f>
        <v>0</v>
      </c>
      <c r="K794" s="1913"/>
      <c r="L794" s="1913"/>
      <c r="M794" s="1445" t="s">
        <v>2322</v>
      </c>
      <c r="N794" s="1446"/>
      <c r="O794" s="1447">
        <f t="shared" si="146"/>
        <v>0</v>
      </c>
    </row>
    <row r="795" spans="1:15" s="360" customFormat="1" ht="15" hidden="1">
      <c r="A795" s="356" t="s">
        <v>2040</v>
      </c>
      <c r="B795" s="707" t="s">
        <v>2273</v>
      </c>
      <c r="C795" s="709"/>
      <c r="D795" s="354"/>
      <c r="E795" s="10"/>
      <c r="F795" s="353"/>
      <c r="G795" s="358">
        <f>WORK!I3188</f>
        <v>0</v>
      </c>
      <c r="H795" s="354" t="s">
        <v>277</v>
      </c>
      <c r="I795" s="355">
        <f>WORK!K3188</f>
        <v>18.59</v>
      </c>
      <c r="J795" s="353">
        <f t="shared" si="142"/>
        <v>0</v>
      </c>
      <c r="K795" s="1911">
        <f>IF((J795+J796+J797+J798)&gt;(F795+F796+F797+F798),(J795+J796+J797+J798)-(F795+F796+F797+F798),0)</f>
        <v>0</v>
      </c>
      <c r="L795" s="1911">
        <f>IF((J795+J796+J797+J798)&lt;(F795+F796+F797+F798),(F795+F796+F797+F798)-(J795+J796+J797+J798),0)</f>
        <v>0</v>
      </c>
      <c r="M795" s="708" t="s">
        <v>2226</v>
      </c>
      <c r="N795" s="223"/>
      <c r="O795" s="706">
        <f t="shared" si="146"/>
        <v>0</v>
      </c>
    </row>
    <row r="796" spans="1:15" s="360" customFormat="1" ht="15" hidden="1">
      <c r="A796" s="356" t="s">
        <v>2725</v>
      </c>
      <c r="B796" s="707" t="s">
        <v>2273</v>
      </c>
      <c r="C796" s="709"/>
      <c r="D796" s="354"/>
      <c r="E796" s="10"/>
      <c r="F796" s="353"/>
      <c r="G796" s="358">
        <f>WORK!I3408</f>
        <v>0</v>
      </c>
      <c r="H796" s="354" t="s">
        <v>277</v>
      </c>
      <c r="I796" s="355">
        <f>WORK!K3408</f>
        <v>19.09</v>
      </c>
      <c r="J796" s="353">
        <f>ROUND(G796*I796,0)</f>
        <v>0</v>
      </c>
      <c r="K796" s="1912"/>
      <c r="L796" s="1912"/>
      <c r="M796" s="708" t="s">
        <v>2308</v>
      </c>
      <c r="N796" s="223"/>
      <c r="O796" s="706">
        <f t="shared" si="146"/>
        <v>0</v>
      </c>
    </row>
    <row r="797" spans="1:15" s="360" customFormat="1" ht="15" hidden="1">
      <c r="A797" s="356" t="s">
        <v>2040</v>
      </c>
      <c r="B797" s="707" t="s">
        <v>2273</v>
      </c>
      <c r="C797" s="709"/>
      <c r="D797" s="354"/>
      <c r="E797" s="10"/>
      <c r="F797" s="353"/>
      <c r="G797" s="358">
        <f>WORK!I3627</f>
        <v>0</v>
      </c>
      <c r="H797" s="354" t="s">
        <v>277</v>
      </c>
      <c r="I797" s="355">
        <f>WORK!K3627</f>
        <v>21.19</v>
      </c>
      <c r="J797" s="353">
        <f>ROUND(G797*I797,0)</f>
        <v>0</v>
      </c>
      <c r="K797" s="1912"/>
      <c r="L797" s="1912"/>
      <c r="M797" s="708" t="s">
        <v>2321</v>
      </c>
      <c r="N797" s="223"/>
      <c r="O797" s="706">
        <f t="shared" si="146"/>
        <v>0</v>
      </c>
    </row>
    <row r="798" spans="1:15" s="360" customFormat="1" ht="15" hidden="1">
      <c r="A798" s="356" t="s">
        <v>646</v>
      </c>
      <c r="B798" s="707" t="s">
        <v>2273</v>
      </c>
      <c r="C798" s="709"/>
      <c r="D798" s="354"/>
      <c r="E798" s="10"/>
      <c r="F798" s="353"/>
      <c r="G798" s="358">
        <f>WORK!I3846</f>
        <v>0</v>
      </c>
      <c r="H798" s="354" t="s">
        <v>277</v>
      </c>
      <c r="I798" s="355">
        <f>WORK!K3846</f>
        <v>23.55</v>
      </c>
      <c r="J798" s="353">
        <f>ROUND(G798*I798,0)</f>
        <v>0</v>
      </c>
      <c r="K798" s="1913"/>
      <c r="L798" s="1913"/>
      <c r="M798" s="708" t="s">
        <v>2322</v>
      </c>
      <c r="N798" s="223"/>
      <c r="O798" s="706">
        <f t="shared" si="146"/>
        <v>0</v>
      </c>
    </row>
    <row r="799" spans="1:15" s="1448" customFormat="1" ht="63.75">
      <c r="A799" s="1436" t="s">
        <v>526</v>
      </c>
      <c r="B799" s="1437" t="s">
        <v>2264</v>
      </c>
      <c r="C799" s="1336">
        <v>30</v>
      </c>
      <c r="D799" s="1439" t="s">
        <v>277</v>
      </c>
      <c r="E799" s="1221">
        <v>67</v>
      </c>
      <c r="F799" s="1440">
        <f t="shared" ref="F799" si="148">ROUND(C799*E799,0)</f>
        <v>2010</v>
      </c>
      <c r="G799" s="1457">
        <f>WORK!I3193</f>
        <v>0</v>
      </c>
      <c r="H799" s="1458" t="s">
        <v>277</v>
      </c>
      <c r="I799" s="1459">
        <f>WORK!K3193</f>
        <v>60.7</v>
      </c>
      <c r="J799" s="1450">
        <f t="shared" ref="J799" si="149">ROUND(G799*I799,0)</f>
        <v>0</v>
      </c>
      <c r="K799" s="1911">
        <f>IF((J799+J800+J801+J802)&gt;(F799+F800+F801+F802),(J799+J800+J801+J802)-(F799+F800+F801+F802),0)</f>
        <v>0</v>
      </c>
      <c r="L799" s="1911">
        <f>IF((J799+J800+J801+J802)&lt;(F799+F800+F801+F802),(F799+F800+F801+F802)-(J799+J800+J801+J802),0)</f>
        <v>2010</v>
      </c>
      <c r="M799" s="1445" t="s">
        <v>2226</v>
      </c>
      <c r="N799" s="1446"/>
      <c r="O799" s="1447">
        <f t="shared" si="146"/>
        <v>2010</v>
      </c>
    </row>
    <row r="800" spans="1:15" s="360" customFormat="1" ht="15" hidden="1">
      <c r="A800" s="356" t="s">
        <v>2041</v>
      </c>
      <c r="B800" s="707" t="s">
        <v>2274</v>
      </c>
      <c r="C800" s="709"/>
      <c r="D800" s="354"/>
      <c r="E800" s="10"/>
      <c r="F800" s="353"/>
      <c r="G800" s="358">
        <f>WORK!I3413</f>
        <v>0</v>
      </c>
      <c r="H800" s="354" t="s">
        <v>277</v>
      </c>
      <c r="I800" s="355">
        <f>WORK!K3413</f>
        <v>60.7</v>
      </c>
      <c r="J800" s="353">
        <f>ROUND(G800*I800,0)</f>
        <v>0</v>
      </c>
      <c r="K800" s="1912"/>
      <c r="L800" s="1912"/>
      <c r="M800" s="708" t="s">
        <v>2308</v>
      </c>
      <c r="N800" s="223"/>
      <c r="O800" s="706">
        <f t="shared" si="146"/>
        <v>0</v>
      </c>
    </row>
    <row r="801" spans="1:15" s="360" customFormat="1" ht="15" hidden="1">
      <c r="A801" s="356" t="s">
        <v>2041</v>
      </c>
      <c r="B801" s="707" t="s">
        <v>2274</v>
      </c>
      <c r="C801" s="709"/>
      <c r="D801" s="354"/>
      <c r="E801" s="10"/>
      <c r="F801" s="353"/>
      <c r="G801" s="358">
        <f>WORK!I3632</f>
        <v>0</v>
      </c>
      <c r="H801" s="354" t="s">
        <v>277</v>
      </c>
      <c r="I801" s="355">
        <f>WORK!K3632</f>
        <v>69.83</v>
      </c>
      <c r="J801" s="353">
        <f>ROUND(G801*I801,0)</f>
        <v>0</v>
      </c>
      <c r="K801" s="1912"/>
      <c r="L801" s="1912"/>
      <c r="M801" s="708" t="s">
        <v>2321</v>
      </c>
      <c r="N801" s="223"/>
      <c r="O801" s="706">
        <f t="shared" si="146"/>
        <v>0</v>
      </c>
    </row>
    <row r="802" spans="1:15" s="360" customFormat="1" ht="15" hidden="1">
      <c r="A802" s="356" t="s">
        <v>524</v>
      </c>
      <c r="B802" s="707" t="s">
        <v>2274</v>
      </c>
      <c r="C802" s="709"/>
      <c r="D802" s="354"/>
      <c r="E802" s="10"/>
      <c r="F802" s="353"/>
      <c r="G802" s="358">
        <f>WORK!I3855</f>
        <v>0</v>
      </c>
      <c r="H802" s="354" t="s">
        <v>277</v>
      </c>
      <c r="I802" s="355">
        <f>WORK!K3855</f>
        <v>79.48</v>
      </c>
      <c r="J802" s="353">
        <f>ROUND(G802*I802,0)</f>
        <v>0</v>
      </c>
      <c r="K802" s="1913"/>
      <c r="L802" s="1913"/>
      <c r="M802" s="708" t="s">
        <v>2322</v>
      </c>
      <c r="N802" s="223"/>
      <c r="O802" s="706">
        <f t="shared" si="146"/>
        <v>0</v>
      </c>
    </row>
    <row r="803" spans="1:15" s="1448" customFormat="1" ht="63.75">
      <c r="A803" s="1436" t="s">
        <v>527</v>
      </c>
      <c r="B803" s="1437" t="s">
        <v>429</v>
      </c>
      <c r="C803" s="1336">
        <v>100</v>
      </c>
      <c r="D803" s="1439" t="s">
        <v>277</v>
      </c>
      <c r="E803" s="1221">
        <v>85.6</v>
      </c>
      <c r="F803" s="1440">
        <f t="shared" ref="F803" si="150">ROUND(C803*E803,0)</f>
        <v>8560</v>
      </c>
      <c r="G803" s="1453">
        <f>WORK!I3200</f>
        <v>60</v>
      </c>
      <c r="H803" s="1439" t="s">
        <v>277</v>
      </c>
      <c r="I803" s="1454">
        <f>WORK!K3200</f>
        <v>64.873099999999994</v>
      </c>
      <c r="J803" s="1450">
        <f t="shared" si="142"/>
        <v>3892</v>
      </c>
      <c r="K803" s="1911">
        <f>IF((J803+J804+J805+J806)&gt;(F803+F804+F805+F806),(J803+J804+J805+J806)-(F803+F804+F805+F806),0)</f>
        <v>0</v>
      </c>
      <c r="L803" s="1911">
        <f>IF((J803+J804+J805+J806)&lt;(F803+F804+F805+F806),(F803+F804+F805+F806)-(J803+J804+J805+J806),0)</f>
        <v>4668</v>
      </c>
      <c r="M803" s="1445" t="s">
        <v>2226</v>
      </c>
      <c r="N803" s="1446"/>
      <c r="O803" s="1447">
        <f t="shared" si="146"/>
        <v>4668</v>
      </c>
    </row>
    <row r="804" spans="1:15" s="360" customFormat="1" ht="15" hidden="1">
      <c r="A804" s="356" t="s">
        <v>2726</v>
      </c>
      <c r="B804" s="707" t="s">
        <v>559</v>
      </c>
      <c r="C804" s="709"/>
      <c r="D804" s="354"/>
      <c r="E804" s="10"/>
      <c r="F804" s="353"/>
      <c r="G804" s="358">
        <f>WORK!I3418</f>
        <v>0</v>
      </c>
      <c r="H804" s="354" t="s">
        <v>277</v>
      </c>
      <c r="I804" s="355">
        <f>WORK!K3418</f>
        <v>65.868499999999997</v>
      </c>
      <c r="J804" s="353">
        <f>ROUND(G804*I804,0)</f>
        <v>0</v>
      </c>
      <c r="K804" s="1912"/>
      <c r="L804" s="1912"/>
      <c r="M804" s="708" t="s">
        <v>2308</v>
      </c>
      <c r="N804" s="223"/>
      <c r="O804" s="706">
        <f t="shared" si="146"/>
        <v>0</v>
      </c>
    </row>
    <row r="805" spans="1:15" s="1448" customFormat="1" ht="15" hidden="1">
      <c r="A805" s="1436" t="s">
        <v>1587</v>
      </c>
      <c r="B805" s="1437" t="s">
        <v>559</v>
      </c>
      <c r="C805" s="1449"/>
      <c r="D805" s="1439"/>
      <c r="E805" s="1221"/>
      <c r="F805" s="1450"/>
      <c r="G805" s="1453">
        <f>WORK!I3639</f>
        <v>0</v>
      </c>
      <c r="H805" s="1439" t="s">
        <v>277</v>
      </c>
      <c r="I805" s="1454">
        <f>WORK!K3639</f>
        <v>74.22399999999999</v>
      </c>
      <c r="J805" s="1450">
        <f>ROUND(G805*I805,0)</f>
        <v>0</v>
      </c>
      <c r="K805" s="1912"/>
      <c r="L805" s="1912"/>
      <c r="M805" s="1451" t="s">
        <v>2321</v>
      </c>
      <c r="N805" s="1446"/>
      <c r="O805" s="1452">
        <f t="shared" si="146"/>
        <v>0</v>
      </c>
    </row>
    <row r="806" spans="1:15" s="1448" customFormat="1" ht="63.75" hidden="1">
      <c r="A806" s="1436" t="s">
        <v>1589</v>
      </c>
      <c r="B806" s="1437" t="s">
        <v>429</v>
      </c>
      <c r="C806" s="1449"/>
      <c r="D806" s="1439"/>
      <c r="E806" s="1221"/>
      <c r="F806" s="1450"/>
      <c r="G806" s="1453">
        <f>WORK!I3862</f>
        <v>0</v>
      </c>
      <c r="H806" s="1439" t="s">
        <v>277</v>
      </c>
      <c r="I806" s="1454">
        <f>WORK!K3862</f>
        <v>83.333500000000001</v>
      </c>
      <c r="J806" s="1450">
        <f>ROUND(G806*I806,0)</f>
        <v>0</v>
      </c>
      <c r="K806" s="1913"/>
      <c r="L806" s="1913"/>
      <c r="M806" s="1445" t="s">
        <v>2322</v>
      </c>
      <c r="N806" s="1446"/>
      <c r="O806" s="1447">
        <f t="shared" si="146"/>
        <v>0</v>
      </c>
    </row>
    <row r="807" spans="1:15" s="1448" customFormat="1" ht="63.75">
      <c r="A807" s="1436" t="s">
        <v>1581</v>
      </c>
      <c r="B807" s="1437" t="s">
        <v>430</v>
      </c>
      <c r="C807" s="1336">
        <v>60</v>
      </c>
      <c r="D807" s="1439" t="s">
        <v>277</v>
      </c>
      <c r="E807" s="1221">
        <v>113</v>
      </c>
      <c r="F807" s="1440">
        <f t="shared" ref="F807" si="151">ROUND(C807*E807,0)</f>
        <v>6780</v>
      </c>
      <c r="G807" s="1457">
        <f>WORK!I3205</f>
        <v>0</v>
      </c>
      <c r="H807" s="1458" t="s">
        <v>277</v>
      </c>
      <c r="I807" s="1459">
        <f>WORK!K3205</f>
        <v>98.56</v>
      </c>
      <c r="J807" s="1450">
        <f t="shared" si="142"/>
        <v>0</v>
      </c>
      <c r="K807" s="1911">
        <f>IF((J807+J808+J809+J810)&gt;(F807+F808+F809+F810),(J807+J808+J809+J810)-(F807+F808+F809+F810),0)</f>
        <v>0</v>
      </c>
      <c r="L807" s="1911">
        <f>IF((J807+J808+J809+J810)&lt;(F807+F808+F809+F810),(F807+F808+F809+F810)-(J807+J808+J809+J810),0)</f>
        <v>6780</v>
      </c>
      <c r="M807" s="1445" t="s">
        <v>2226</v>
      </c>
      <c r="N807" s="1446"/>
      <c r="O807" s="1447">
        <f t="shared" si="146"/>
        <v>6780</v>
      </c>
    </row>
    <row r="808" spans="1:15" s="360" customFormat="1" ht="15" hidden="1">
      <c r="A808" s="356" t="s">
        <v>2058</v>
      </c>
      <c r="B808" s="707" t="s">
        <v>560</v>
      </c>
      <c r="C808" s="709"/>
      <c r="D808" s="354"/>
      <c r="E808" s="10"/>
      <c r="F808" s="353"/>
      <c r="G808" s="358">
        <f>WORK!I3423</f>
        <v>0</v>
      </c>
      <c r="H808" s="354" t="s">
        <v>277</v>
      </c>
      <c r="I808" s="355">
        <f>WORK!K3423</f>
        <v>100.05</v>
      </c>
      <c r="J808" s="353">
        <f>ROUND(G808*I808,0)</f>
        <v>0</v>
      </c>
      <c r="K808" s="1912"/>
      <c r="L808" s="1912"/>
      <c r="M808" s="708" t="s">
        <v>2308</v>
      </c>
      <c r="N808" s="223"/>
      <c r="O808" s="706">
        <f t="shared" si="146"/>
        <v>0</v>
      </c>
    </row>
    <row r="809" spans="1:15" s="360" customFormat="1" ht="15" hidden="1">
      <c r="A809" s="356" t="s">
        <v>2041</v>
      </c>
      <c r="B809" s="707" t="s">
        <v>560</v>
      </c>
      <c r="C809" s="709"/>
      <c r="D809" s="354"/>
      <c r="E809" s="10"/>
      <c r="F809" s="353"/>
      <c r="G809" s="358">
        <f>WORK!I3644</f>
        <v>0</v>
      </c>
      <c r="H809" s="354" t="s">
        <v>277</v>
      </c>
      <c r="I809" s="355">
        <f>WORK!K3644</f>
        <v>112.78</v>
      </c>
      <c r="J809" s="353">
        <f>ROUND(G809*I809,0)</f>
        <v>0</v>
      </c>
      <c r="K809" s="1912"/>
      <c r="L809" s="1912"/>
      <c r="M809" s="708" t="s">
        <v>2321</v>
      </c>
      <c r="N809" s="223"/>
      <c r="O809" s="706">
        <f t="shared" si="146"/>
        <v>0</v>
      </c>
    </row>
    <row r="810" spans="1:15" s="360" customFormat="1" ht="15" hidden="1">
      <c r="A810" s="356" t="s">
        <v>2041</v>
      </c>
      <c r="B810" s="707" t="s">
        <v>560</v>
      </c>
      <c r="C810" s="709"/>
      <c r="D810" s="354"/>
      <c r="E810" s="10"/>
      <c r="F810" s="353"/>
      <c r="G810" s="358">
        <f>WORK!I3867</f>
        <v>0</v>
      </c>
      <c r="H810" s="354" t="s">
        <v>277</v>
      </c>
      <c r="I810" s="355">
        <f>WORK!K3867</f>
        <v>126.65</v>
      </c>
      <c r="J810" s="353">
        <f>ROUND(G810*I810,0)</f>
        <v>0</v>
      </c>
      <c r="K810" s="1913"/>
      <c r="L810" s="1913"/>
      <c r="M810" s="708" t="s">
        <v>2322</v>
      </c>
      <c r="N810" s="223"/>
      <c r="O810" s="706">
        <f t="shared" si="146"/>
        <v>0</v>
      </c>
    </row>
    <row r="811" spans="1:15" s="1448" customFormat="1" ht="51">
      <c r="A811" s="1436" t="s">
        <v>528</v>
      </c>
      <c r="B811" s="1437" t="s">
        <v>882</v>
      </c>
      <c r="C811" s="1336">
        <v>75</v>
      </c>
      <c r="D811" s="1439" t="s">
        <v>277</v>
      </c>
      <c r="E811" s="1221">
        <v>297.8</v>
      </c>
      <c r="F811" s="1440">
        <f t="shared" ref="F811" si="152">ROUND(C811*E811,0)</f>
        <v>22335</v>
      </c>
      <c r="G811" s="1457">
        <f>WORK!I3210</f>
        <v>0</v>
      </c>
      <c r="H811" s="1458" t="s">
        <v>277</v>
      </c>
      <c r="I811" s="1459">
        <f>WORK!K3210</f>
        <v>50.795000000000002</v>
      </c>
      <c r="J811" s="1450">
        <f t="shared" si="142"/>
        <v>0</v>
      </c>
      <c r="K811" s="1911">
        <f>IF((J811+J812+J813+J814)&gt;(F811+F812+F813+F814),(J811+J812+J813+J814)-(F811+F812+F813+F814),0)</f>
        <v>0</v>
      </c>
      <c r="L811" s="1911">
        <f>IF((J811+J812+J813+J814)&lt;(F811+F812+F813+F814),(F811+F812+F813+F814)-(J811+J812+J813+J814),0)</f>
        <v>22335</v>
      </c>
      <c r="M811" s="1445" t="s">
        <v>2226</v>
      </c>
      <c r="N811" s="1446"/>
      <c r="O811" s="1447">
        <f t="shared" si="146"/>
        <v>22335</v>
      </c>
    </row>
    <row r="812" spans="1:15" s="360" customFormat="1" ht="15" hidden="1">
      <c r="A812" s="356" t="s">
        <v>2727</v>
      </c>
      <c r="B812" s="707" t="s">
        <v>833</v>
      </c>
      <c r="C812" s="709"/>
      <c r="D812" s="354"/>
      <c r="E812" s="10"/>
      <c r="F812" s="353"/>
      <c r="G812" s="358">
        <f>WORK!I3428</f>
        <v>0</v>
      </c>
      <c r="H812" s="354" t="s">
        <v>277</v>
      </c>
      <c r="I812" s="355">
        <f>WORK!K3428</f>
        <v>54.465000000000003</v>
      </c>
      <c r="J812" s="353">
        <f>ROUND(G812*I812,0)</f>
        <v>0</v>
      </c>
      <c r="K812" s="1912"/>
      <c r="L812" s="1912"/>
      <c r="M812" s="708" t="s">
        <v>2308</v>
      </c>
      <c r="N812" s="223"/>
      <c r="O812" s="706">
        <f t="shared" si="146"/>
        <v>0</v>
      </c>
    </row>
    <row r="813" spans="1:15" s="1448" customFormat="1" ht="15" hidden="1">
      <c r="A813" s="1436" t="s">
        <v>1144</v>
      </c>
      <c r="B813" s="1437" t="s">
        <v>833</v>
      </c>
      <c r="C813" s="1449"/>
      <c r="D813" s="1439"/>
      <c r="E813" s="1221"/>
      <c r="F813" s="1450"/>
      <c r="G813" s="1453">
        <f>WORK!I3649</f>
        <v>0</v>
      </c>
      <c r="H813" s="1439" t="s">
        <v>277</v>
      </c>
      <c r="I813" s="1454">
        <f>WORK!K3649</f>
        <v>56.313999999999993</v>
      </c>
      <c r="J813" s="1450">
        <f>ROUND(G813*I813,0)</f>
        <v>0</v>
      </c>
      <c r="K813" s="1912"/>
      <c r="L813" s="1912"/>
      <c r="M813" s="1451" t="s">
        <v>2321</v>
      </c>
      <c r="N813" s="1446"/>
      <c r="O813" s="1452">
        <f t="shared" si="146"/>
        <v>0</v>
      </c>
    </row>
    <row r="814" spans="1:15" s="360" customFormat="1" ht="15" hidden="1">
      <c r="A814" s="356" t="s">
        <v>2043</v>
      </c>
      <c r="B814" s="707" t="s">
        <v>833</v>
      </c>
      <c r="C814" s="709"/>
      <c r="D814" s="354"/>
      <c r="E814" s="10"/>
      <c r="F814" s="353"/>
      <c r="G814" s="358">
        <f>WORK!I3872</f>
        <v>0</v>
      </c>
      <c r="H814" s="354" t="s">
        <v>277</v>
      </c>
      <c r="I814" s="355">
        <f>WORK!K3872</f>
        <v>64.563000000000002</v>
      </c>
      <c r="J814" s="353">
        <f>ROUND(G814*I814,0)</f>
        <v>0</v>
      </c>
      <c r="K814" s="1913"/>
      <c r="L814" s="1913"/>
      <c r="M814" s="708" t="s">
        <v>2322</v>
      </c>
      <c r="N814" s="223"/>
      <c r="O814" s="706">
        <f t="shared" si="146"/>
        <v>0</v>
      </c>
    </row>
    <row r="815" spans="1:15" s="1448" customFormat="1" ht="15">
      <c r="A815" s="1436" t="s">
        <v>1582</v>
      </c>
      <c r="B815" s="1437" t="s">
        <v>437</v>
      </c>
      <c r="C815" s="1483"/>
      <c r="D815" s="1439"/>
      <c r="E815" s="1484"/>
      <c r="F815" s="1450"/>
      <c r="G815" s="1453">
        <f>WORK!I3215</f>
        <v>1</v>
      </c>
      <c r="H815" s="1439" t="s">
        <v>115</v>
      </c>
      <c r="I815" s="1454">
        <f>WORK!K3215</f>
        <v>190</v>
      </c>
      <c r="J815" s="1450">
        <f t="shared" si="142"/>
        <v>190</v>
      </c>
      <c r="K815" s="1911">
        <f>IF((J815+J816+J817+J818)&gt;(F815+F816+F817+F818),(J815+J816+J817+J818)-(F815+F816+F817+F818),0)</f>
        <v>190</v>
      </c>
      <c r="L815" s="1911">
        <f>IF((J815+J816+J817+J818)&lt;(F815+F816+F817+F818),(F815+F816+F817+F818)-(J815+J816+J817+J818),0)</f>
        <v>0</v>
      </c>
      <c r="M815" s="1451" t="s">
        <v>2226</v>
      </c>
      <c r="N815" s="1446"/>
      <c r="O815" s="1452">
        <f t="shared" si="146"/>
        <v>-190</v>
      </c>
    </row>
    <row r="816" spans="1:15" s="360" customFormat="1" ht="15" hidden="1">
      <c r="A816" s="356" t="s">
        <v>2196</v>
      </c>
      <c r="B816" s="707" t="s">
        <v>437</v>
      </c>
      <c r="C816" s="633"/>
      <c r="D816" s="354"/>
      <c r="E816" s="622"/>
      <c r="F816" s="353"/>
      <c r="G816" s="358">
        <f>WORK!I3433</f>
        <v>0</v>
      </c>
      <c r="H816" s="354" t="s">
        <v>115</v>
      </c>
      <c r="I816" s="355">
        <f>WORK!K3433</f>
        <v>190</v>
      </c>
      <c r="J816" s="353">
        <f>ROUND(G816*I816,0)</f>
        <v>0</v>
      </c>
      <c r="K816" s="1912"/>
      <c r="L816" s="1912"/>
      <c r="M816" s="708" t="s">
        <v>2308</v>
      </c>
      <c r="N816" s="223"/>
      <c r="O816" s="706">
        <f t="shared" si="146"/>
        <v>0</v>
      </c>
    </row>
    <row r="817" spans="1:15" s="1448" customFormat="1" ht="15" hidden="1">
      <c r="A817" s="1436" t="s">
        <v>1589</v>
      </c>
      <c r="B817" s="1437" t="s">
        <v>437</v>
      </c>
      <c r="C817" s="1483"/>
      <c r="D817" s="1439"/>
      <c r="E817" s="1484"/>
      <c r="F817" s="1450"/>
      <c r="G817" s="1453">
        <f>WORK!I3654</f>
        <v>0</v>
      </c>
      <c r="H817" s="1439" t="s">
        <v>115</v>
      </c>
      <c r="I817" s="1454">
        <f>WORK!K3654</f>
        <v>209</v>
      </c>
      <c r="J817" s="1450">
        <f>ROUND(G817*I817,0)</f>
        <v>0</v>
      </c>
      <c r="K817" s="1912"/>
      <c r="L817" s="1912"/>
      <c r="M817" s="1451" t="s">
        <v>2321</v>
      </c>
      <c r="N817" s="1446"/>
      <c r="O817" s="1452">
        <f t="shared" si="146"/>
        <v>0</v>
      </c>
    </row>
    <row r="818" spans="1:15" s="1448" customFormat="1" ht="15" hidden="1">
      <c r="A818" s="1436" t="s">
        <v>647</v>
      </c>
      <c r="B818" s="1437" t="s">
        <v>437</v>
      </c>
      <c r="C818" s="1483"/>
      <c r="D818" s="1439"/>
      <c r="E818" s="1484"/>
      <c r="F818" s="1450"/>
      <c r="G818" s="1453">
        <f>WORK!I3877</f>
        <v>0</v>
      </c>
      <c r="H818" s="1439" t="s">
        <v>115</v>
      </c>
      <c r="I818" s="1454">
        <f>WORK!K3877</f>
        <v>209</v>
      </c>
      <c r="J818" s="1450">
        <f>ROUND(G818*I818,0)</f>
        <v>0</v>
      </c>
      <c r="K818" s="1913"/>
      <c r="L818" s="1913"/>
      <c r="M818" s="1445" t="s">
        <v>2322</v>
      </c>
      <c r="N818" s="1446"/>
      <c r="O818" s="1447">
        <f t="shared" si="146"/>
        <v>0</v>
      </c>
    </row>
    <row r="819" spans="1:15" s="1448" customFormat="1" ht="15">
      <c r="A819" s="1436" t="s">
        <v>529</v>
      </c>
      <c r="B819" s="1437" t="s">
        <v>615</v>
      </c>
      <c r="C819" s="1483"/>
      <c r="D819" s="1439"/>
      <c r="E819" s="1484"/>
      <c r="F819" s="1450"/>
      <c r="G819" s="1453">
        <f>WORK!I3220</f>
        <v>10</v>
      </c>
      <c r="H819" s="1439" t="s">
        <v>115</v>
      </c>
      <c r="I819" s="1454">
        <f>WORK!K3220</f>
        <v>155</v>
      </c>
      <c r="J819" s="1450">
        <f t="shared" si="142"/>
        <v>1550</v>
      </c>
      <c r="K819" s="1911">
        <f>IF((J819+J820+J821+J822)&gt;(F819+F820+F821+F822),(J819+J820+J821+J822)-(F819+F820+F821+F822),0)</f>
        <v>1550</v>
      </c>
      <c r="L819" s="1911">
        <f>IF((J819+J820+J821+J822)&lt;(F819+F820+F821+F822),(F819+F820+F821+F822)-(J819+J820+J821+J822),0)</f>
        <v>0</v>
      </c>
      <c r="M819" s="1451" t="s">
        <v>2226</v>
      </c>
      <c r="N819" s="1446"/>
      <c r="O819" s="1452">
        <f t="shared" si="146"/>
        <v>-1550</v>
      </c>
    </row>
    <row r="820" spans="1:15" s="360" customFormat="1" ht="15" hidden="1">
      <c r="A820" s="356" t="s">
        <v>2728</v>
      </c>
      <c r="B820" s="707" t="s">
        <v>615</v>
      </c>
      <c r="C820" s="633"/>
      <c r="D820" s="354"/>
      <c r="E820" s="622"/>
      <c r="F820" s="353"/>
      <c r="G820" s="358">
        <f>WORK!I3438</f>
        <v>0</v>
      </c>
      <c r="H820" s="354" t="s">
        <v>115</v>
      </c>
      <c r="I820" s="355">
        <f>WORK!K3438</f>
        <v>155</v>
      </c>
      <c r="J820" s="353">
        <f>ROUND(G820*I820,0)</f>
        <v>0</v>
      </c>
      <c r="K820" s="1912"/>
      <c r="L820" s="1912"/>
      <c r="M820" s="708" t="s">
        <v>2308</v>
      </c>
      <c r="N820" s="223"/>
      <c r="O820" s="706">
        <f t="shared" si="146"/>
        <v>0</v>
      </c>
    </row>
    <row r="821" spans="1:15" s="360" customFormat="1" ht="15" hidden="1">
      <c r="A821" s="356" t="s">
        <v>2045</v>
      </c>
      <c r="B821" s="707" t="s">
        <v>615</v>
      </c>
      <c r="C821" s="633"/>
      <c r="D821" s="354"/>
      <c r="E821" s="622"/>
      <c r="F821" s="353"/>
      <c r="G821" s="358">
        <f>WORK!I3659</f>
        <v>0</v>
      </c>
      <c r="H821" s="354" t="s">
        <v>115</v>
      </c>
      <c r="I821" s="355">
        <f>WORK!K3659</f>
        <v>171</v>
      </c>
      <c r="J821" s="353">
        <f>ROUND(G821*I821,0)</f>
        <v>0</v>
      </c>
      <c r="K821" s="1912"/>
      <c r="L821" s="1912"/>
      <c r="M821" s="708" t="s">
        <v>2321</v>
      </c>
      <c r="N821" s="223"/>
      <c r="O821" s="706">
        <f t="shared" si="146"/>
        <v>0</v>
      </c>
    </row>
    <row r="822" spans="1:15" s="1448" customFormat="1" ht="15" hidden="1">
      <c r="A822" s="1436" t="s">
        <v>1592</v>
      </c>
      <c r="B822" s="1437" t="s">
        <v>615</v>
      </c>
      <c r="C822" s="1483"/>
      <c r="D822" s="1439"/>
      <c r="E822" s="1484"/>
      <c r="F822" s="1450"/>
      <c r="G822" s="1453">
        <f>WORK!I3882</f>
        <v>0</v>
      </c>
      <c r="H822" s="1439" t="s">
        <v>115</v>
      </c>
      <c r="I822" s="1454">
        <f>WORK!K3882</f>
        <v>171</v>
      </c>
      <c r="J822" s="1450">
        <f>ROUND(G822*I822,0)</f>
        <v>0</v>
      </c>
      <c r="K822" s="1913"/>
      <c r="L822" s="1913"/>
      <c r="M822" s="1445" t="s">
        <v>2322</v>
      </c>
      <c r="N822" s="1446"/>
      <c r="O822" s="1447">
        <f t="shared" si="146"/>
        <v>0</v>
      </c>
    </row>
    <row r="823" spans="1:15" s="360" customFormat="1" ht="15" hidden="1">
      <c r="A823" s="356" t="s">
        <v>2085</v>
      </c>
      <c r="B823" s="707" t="s">
        <v>694</v>
      </c>
      <c r="C823" s="633"/>
      <c r="D823" s="354"/>
      <c r="E823" s="622"/>
      <c r="F823" s="353"/>
      <c r="G823" s="358">
        <f>WORK!I3225</f>
        <v>0</v>
      </c>
      <c r="H823" s="354" t="s">
        <v>115</v>
      </c>
      <c r="I823" s="355">
        <f>WORK!K3225</f>
        <v>120</v>
      </c>
      <c r="J823" s="353">
        <f t="shared" si="142"/>
        <v>0</v>
      </c>
      <c r="K823" s="1911">
        <f>IF((J823+J824+J825+J826)&gt;(F823+F824+F825+F826),(J823+J824+J825+J826)-(F823+F824+F825+F826),0)</f>
        <v>0</v>
      </c>
      <c r="L823" s="1911">
        <f>IF((J823+J824+J825+J826)&lt;(F823+F824+F825+F826),(F823+F824+F825+F826)-(J823+J824+J825+J826),0)</f>
        <v>0</v>
      </c>
      <c r="M823" s="708" t="s">
        <v>2226</v>
      </c>
      <c r="N823" s="223"/>
      <c r="O823" s="706">
        <f t="shared" si="146"/>
        <v>0</v>
      </c>
    </row>
    <row r="824" spans="1:15" s="360" customFormat="1" ht="15" hidden="1">
      <c r="A824" s="356" t="s">
        <v>2729</v>
      </c>
      <c r="B824" s="707" t="s">
        <v>694</v>
      </c>
      <c r="C824" s="633"/>
      <c r="D824" s="354"/>
      <c r="E824" s="622"/>
      <c r="F824" s="353"/>
      <c r="G824" s="358">
        <f>WORK!I3443</f>
        <v>0</v>
      </c>
      <c r="H824" s="354" t="s">
        <v>115</v>
      </c>
      <c r="I824" s="355">
        <f>WORK!K3443</f>
        <v>120</v>
      </c>
      <c r="J824" s="353">
        <f>ROUND(G824*I824,0)</f>
        <v>0</v>
      </c>
      <c r="K824" s="1912"/>
      <c r="L824" s="1912"/>
      <c r="M824" s="708" t="s">
        <v>2308</v>
      </c>
      <c r="N824" s="223"/>
      <c r="O824" s="706">
        <f t="shared" si="146"/>
        <v>0</v>
      </c>
    </row>
    <row r="825" spans="1:15" s="360" customFormat="1" ht="15" hidden="1">
      <c r="A825" s="356" t="s">
        <v>2085</v>
      </c>
      <c r="B825" s="707" t="s">
        <v>694</v>
      </c>
      <c r="C825" s="633"/>
      <c r="D825" s="354"/>
      <c r="E825" s="622"/>
      <c r="F825" s="353"/>
      <c r="G825" s="358">
        <f>WORK!I3664</f>
        <v>0</v>
      </c>
      <c r="H825" s="354" t="s">
        <v>115</v>
      </c>
      <c r="I825" s="355">
        <f>WORK!K3664</f>
        <v>132</v>
      </c>
      <c r="J825" s="353">
        <f>ROUND(G825*I825,0)</f>
        <v>0</v>
      </c>
      <c r="K825" s="1912"/>
      <c r="L825" s="1912"/>
      <c r="M825" s="708" t="s">
        <v>2321</v>
      </c>
      <c r="N825" s="223"/>
      <c r="O825" s="706">
        <f t="shared" si="146"/>
        <v>0</v>
      </c>
    </row>
    <row r="826" spans="1:15" s="360" customFormat="1" ht="15" hidden="1">
      <c r="A826" s="356" t="s">
        <v>2085</v>
      </c>
      <c r="B826" s="707" t="s">
        <v>694</v>
      </c>
      <c r="C826" s="633"/>
      <c r="D826" s="354"/>
      <c r="E826" s="622"/>
      <c r="F826" s="353"/>
      <c r="G826" s="358">
        <f>WORK!I3887</f>
        <v>0</v>
      </c>
      <c r="H826" s="354" t="s">
        <v>115</v>
      </c>
      <c r="I826" s="355">
        <f>WORK!K3887</f>
        <v>132</v>
      </c>
      <c r="J826" s="353">
        <f>ROUND(G826*I826,0)</f>
        <v>0</v>
      </c>
      <c r="K826" s="1913"/>
      <c r="L826" s="1913"/>
      <c r="M826" s="708" t="s">
        <v>2322</v>
      </c>
      <c r="N826" s="223"/>
      <c r="O826" s="706">
        <f t="shared" si="146"/>
        <v>0</v>
      </c>
    </row>
    <row r="827" spans="1:15" s="360" customFormat="1" ht="15" hidden="1">
      <c r="A827" s="356" t="s">
        <v>2046</v>
      </c>
      <c r="B827" s="707" t="s">
        <v>792</v>
      </c>
      <c r="C827" s="633"/>
      <c r="D827" s="354"/>
      <c r="E827" s="622"/>
      <c r="F827" s="353"/>
      <c r="G827" s="358">
        <f>WORK!I3235</f>
        <v>0</v>
      </c>
      <c r="H827" s="354" t="s">
        <v>115</v>
      </c>
      <c r="I827" s="355">
        <f>WORK!K3235</f>
        <v>80</v>
      </c>
      <c r="J827" s="353">
        <f t="shared" si="142"/>
        <v>0</v>
      </c>
      <c r="K827" s="1911">
        <f>IF((J827+J828+J829+J830)&gt;(F827+F828+F829+F830),(J827+J828+J829+J830)-(F827+F828+F829+F830),0)</f>
        <v>0</v>
      </c>
      <c r="L827" s="1911">
        <f>IF((J827+J828+J829+J830)&lt;(F827+F828+F829+F830),(F827+F828+F829+F830)-(J827+J828+J829+J830),0)</f>
        <v>0</v>
      </c>
      <c r="M827" s="708" t="s">
        <v>2226</v>
      </c>
      <c r="N827" s="223"/>
      <c r="O827" s="706">
        <f t="shared" si="146"/>
        <v>0</v>
      </c>
    </row>
    <row r="828" spans="1:15" s="360" customFormat="1" ht="15" hidden="1">
      <c r="A828" s="356" t="s">
        <v>2053</v>
      </c>
      <c r="B828" s="707" t="s">
        <v>792</v>
      </c>
      <c r="C828" s="633"/>
      <c r="D828" s="354"/>
      <c r="E828" s="622"/>
      <c r="F828" s="353"/>
      <c r="G828" s="358">
        <f>WORK!I3453</f>
        <v>0</v>
      </c>
      <c r="H828" s="354" t="s">
        <v>115</v>
      </c>
      <c r="I828" s="355">
        <f>WORK!K3453</f>
        <v>80</v>
      </c>
      <c r="J828" s="353">
        <f>ROUND(G828*I828,0)</f>
        <v>0</v>
      </c>
      <c r="K828" s="1912"/>
      <c r="L828" s="1912"/>
      <c r="M828" s="708" t="s">
        <v>2308</v>
      </c>
      <c r="N828" s="223"/>
      <c r="O828" s="706">
        <f t="shared" si="146"/>
        <v>0</v>
      </c>
    </row>
    <row r="829" spans="1:15" s="360" customFormat="1" ht="15" hidden="1">
      <c r="A829" s="356" t="s">
        <v>2046</v>
      </c>
      <c r="B829" s="707" t="s">
        <v>792</v>
      </c>
      <c r="C829" s="633"/>
      <c r="D829" s="354"/>
      <c r="E829" s="622"/>
      <c r="F829" s="353"/>
      <c r="G829" s="358">
        <f>WORK!I3674</f>
        <v>0</v>
      </c>
      <c r="H829" s="354" t="s">
        <v>115</v>
      </c>
      <c r="I829" s="355">
        <f>WORK!K3674</f>
        <v>88</v>
      </c>
      <c r="J829" s="353">
        <f>ROUND(G829*I829,0)</f>
        <v>0</v>
      </c>
      <c r="K829" s="1912"/>
      <c r="L829" s="1912"/>
      <c r="M829" s="708" t="s">
        <v>2321</v>
      </c>
      <c r="N829" s="223"/>
      <c r="O829" s="706">
        <f t="shared" si="146"/>
        <v>0</v>
      </c>
    </row>
    <row r="830" spans="1:15" s="360" customFormat="1" ht="15" hidden="1">
      <c r="A830" s="356" t="s">
        <v>2046</v>
      </c>
      <c r="B830" s="707" t="s">
        <v>792</v>
      </c>
      <c r="C830" s="633"/>
      <c r="D830" s="354"/>
      <c r="E830" s="622"/>
      <c r="F830" s="353"/>
      <c r="G830" s="358">
        <f>WORK!I3897</f>
        <v>0</v>
      </c>
      <c r="H830" s="354" t="s">
        <v>115</v>
      </c>
      <c r="I830" s="355">
        <f>WORK!K3897</f>
        <v>88</v>
      </c>
      <c r="J830" s="353">
        <f>ROUND(G830*I830,0)</f>
        <v>0</v>
      </c>
      <c r="K830" s="1913"/>
      <c r="L830" s="1913"/>
      <c r="M830" s="708" t="s">
        <v>2322</v>
      </c>
      <c r="N830" s="223"/>
      <c r="O830" s="706">
        <f t="shared" si="146"/>
        <v>0</v>
      </c>
    </row>
    <row r="831" spans="1:15" s="360" customFormat="1" ht="15" hidden="1">
      <c r="A831" s="356" t="s">
        <v>525</v>
      </c>
      <c r="B831" s="707" t="s">
        <v>617</v>
      </c>
      <c r="C831" s="633"/>
      <c r="D831" s="354"/>
      <c r="E831" s="622"/>
      <c r="F831" s="353"/>
      <c r="G831" s="358">
        <f>WORK!I3230</f>
        <v>0</v>
      </c>
      <c r="H831" s="354" t="s">
        <v>115</v>
      </c>
      <c r="I831" s="355">
        <f>WORK!K3230</f>
        <v>310</v>
      </c>
      <c r="J831" s="353">
        <f t="shared" si="142"/>
        <v>0</v>
      </c>
      <c r="K831" s="1911">
        <f>IF((J831+J832+J833+J834)&gt;(F831+F832+F833+F834),(J831+J832+J833+J834)-(F831+F832+F833+F834),0)</f>
        <v>0</v>
      </c>
      <c r="L831" s="1911">
        <f>IF((J831+J832+J833+J834)&lt;(F831+F832+F833+F834),(F831+F832+F833+F834)-(J831+J832+J833+J834),0)</f>
        <v>0</v>
      </c>
      <c r="M831" s="708" t="s">
        <v>2226</v>
      </c>
      <c r="N831" s="223"/>
      <c r="O831" s="706">
        <f t="shared" si="146"/>
        <v>0</v>
      </c>
    </row>
    <row r="832" spans="1:15" s="360" customFormat="1" ht="15" hidden="1">
      <c r="A832" s="356" t="s">
        <v>525</v>
      </c>
      <c r="B832" s="707" t="s">
        <v>617</v>
      </c>
      <c r="C832" s="633"/>
      <c r="D832" s="354"/>
      <c r="E832" s="622"/>
      <c r="F832" s="353"/>
      <c r="G832" s="358">
        <f>WORK!I3448</f>
        <v>0</v>
      </c>
      <c r="H832" s="354" t="s">
        <v>115</v>
      </c>
      <c r="I832" s="355">
        <f>WORK!K3448</f>
        <v>310</v>
      </c>
      <c r="J832" s="353">
        <f>ROUND(G832*I832,0)</f>
        <v>0</v>
      </c>
      <c r="K832" s="1912"/>
      <c r="L832" s="1912"/>
      <c r="M832" s="708" t="s">
        <v>2308</v>
      </c>
      <c r="N832" s="223"/>
      <c r="O832" s="706">
        <f t="shared" si="146"/>
        <v>0</v>
      </c>
    </row>
    <row r="833" spans="1:15" s="360" customFormat="1" ht="15" hidden="1">
      <c r="A833" s="356" t="s">
        <v>525</v>
      </c>
      <c r="B833" s="707" t="s">
        <v>617</v>
      </c>
      <c r="C833" s="633"/>
      <c r="D833" s="354"/>
      <c r="E833" s="622"/>
      <c r="F833" s="353"/>
      <c r="G833" s="358">
        <f>WORK!I3669</f>
        <v>0</v>
      </c>
      <c r="H833" s="354" t="s">
        <v>115</v>
      </c>
      <c r="I833" s="355">
        <f>WORK!K3669</f>
        <v>341</v>
      </c>
      <c r="J833" s="353">
        <f>ROUND(G833*I833,0)</f>
        <v>0</v>
      </c>
      <c r="K833" s="1912"/>
      <c r="L833" s="1912"/>
      <c r="M833" s="708" t="s">
        <v>2321</v>
      </c>
      <c r="N833" s="223"/>
      <c r="O833" s="706">
        <f t="shared" si="146"/>
        <v>0</v>
      </c>
    </row>
    <row r="834" spans="1:15" s="360" customFormat="1" ht="15" hidden="1">
      <c r="A834" s="356" t="s">
        <v>525</v>
      </c>
      <c r="B834" s="707" t="s">
        <v>617</v>
      </c>
      <c r="C834" s="633"/>
      <c r="D834" s="354"/>
      <c r="E834" s="622"/>
      <c r="F834" s="353"/>
      <c r="G834" s="358">
        <f>WORK!I3892</f>
        <v>0</v>
      </c>
      <c r="H834" s="354" t="s">
        <v>115</v>
      </c>
      <c r="I834" s="355">
        <f>WORK!K3892</f>
        <v>341</v>
      </c>
      <c r="J834" s="353">
        <f>ROUND(G834*I834,0)</f>
        <v>0</v>
      </c>
      <c r="K834" s="1913"/>
      <c r="L834" s="1913"/>
      <c r="M834" s="708" t="s">
        <v>2322</v>
      </c>
      <c r="N834" s="223"/>
      <c r="O834" s="706">
        <f t="shared" si="146"/>
        <v>0</v>
      </c>
    </row>
    <row r="835" spans="1:15" s="360" customFormat="1" ht="15" hidden="1">
      <c r="A835" s="356" t="s">
        <v>2046</v>
      </c>
      <c r="B835" s="707" t="s">
        <v>439</v>
      </c>
      <c r="C835" s="633"/>
      <c r="D835" s="354"/>
      <c r="E835" s="622"/>
      <c r="F835" s="353"/>
      <c r="G835" s="358">
        <f>WORK!I3240</f>
        <v>0</v>
      </c>
      <c r="H835" s="354" t="s">
        <v>115</v>
      </c>
      <c r="I835" s="355">
        <f>WORK!K3240</f>
        <v>60</v>
      </c>
      <c r="J835" s="353">
        <f t="shared" si="142"/>
        <v>0</v>
      </c>
      <c r="K835" s="1911">
        <f>IF((J835+J836+J837+J838)&gt;(F835+F836+F837+F838),(J835+J836+J837+J838)-(F835+F836+F837+F838),0)</f>
        <v>0</v>
      </c>
      <c r="L835" s="1911">
        <f>IF((J835+J836+J837+J838)&lt;(F835+F836+F837+F838),(F835+F836+F837+F838)-(J835+J836+J837+J838),0)</f>
        <v>0</v>
      </c>
      <c r="M835" s="708" t="s">
        <v>2226</v>
      </c>
      <c r="N835" s="223"/>
      <c r="O835" s="706">
        <f t="shared" si="146"/>
        <v>0</v>
      </c>
    </row>
    <row r="836" spans="1:15" s="360" customFormat="1" ht="15" hidden="1">
      <c r="A836" s="356" t="s">
        <v>2730</v>
      </c>
      <c r="B836" s="707" t="s">
        <v>439</v>
      </c>
      <c r="C836" s="633"/>
      <c r="D836" s="354"/>
      <c r="E836" s="622"/>
      <c r="F836" s="353"/>
      <c r="G836" s="358">
        <f>WORK!I3458</f>
        <v>0</v>
      </c>
      <c r="H836" s="354" t="s">
        <v>115</v>
      </c>
      <c r="I836" s="355">
        <f>WORK!K3458</f>
        <v>60</v>
      </c>
      <c r="J836" s="353">
        <f>ROUND(G836*I836,0)</f>
        <v>0</v>
      </c>
      <c r="K836" s="1912"/>
      <c r="L836" s="1912"/>
      <c r="M836" s="708" t="s">
        <v>2308</v>
      </c>
      <c r="N836" s="223"/>
      <c r="O836" s="706">
        <f t="shared" si="146"/>
        <v>0</v>
      </c>
    </row>
    <row r="837" spans="1:15" s="360" customFormat="1" ht="15" hidden="1">
      <c r="A837" s="356" t="s">
        <v>2046</v>
      </c>
      <c r="B837" s="707" t="s">
        <v>439</v>
      </c>
      <c r="C837" s="633"/>
      <c r="D837" s="354"/>
      <c r="E837" s="622"/>
      <c r="F837" s="353"/>
      <c r="G837" s="358">
        <f>WORK!I3679</f>
        <v>0</v>
      </c>
      <c r="H837" s="354" t="s">
        <v>115</v>
      </c>
      <c r="I837" s="355">
        <f>WORK!K3679</f>
        <v>66</v>
      </c>
      <c r="J837" s="353">
        <f>ROUND(G837*I837,0)</f>
        <v>0</v>
      </c>
      <c r="K837" s="1912"/>
      <c r="L837" s="1912"/>
      <c r="M837" s="708" t="s">
        <v>2321</v>
      </c>
      <c r="N837" s="223"/>
      <c r="O837" s="706">
        <f t="shared" si="146"/>
        <v>0</v>
      </c>
    </row>
    <row r="838" spans="1:15" s="360" customFormat="1" ht="15" hidden="1">
      <c r="A838" s="356" t="s">
        <v>2046</v>
      </c>
      <c r="B838" s="707" t="s">
        <v>439</v>
      </c>
      <c r="C838" s="633"/>
      <c r="D838" s="354"/>
      <c r="E838" s="622"/>
      <c r="F838" s="353"/>
      <c r="G838" s="358">
        <f>WORK!I3902</f>
        <v>0</v>
      </c>
      <c r="H838" s="354" t="s">
        <v>115</v>
      </c>
      <c r="I838" s="355">
        <f>WORK!K3902</f>
        <v>66</v>
      </c>
      <c r="J838" s="353">
        <f>ROUND(G838*I838,0)</f>
        <v>0</v>
      </c>
      <c r="K838" s="1913"/>
      <c r="L838" s="1913"/>
      <c r="M838" s="708" t="s">
        <v>2322</v>
      </c>
      <c r="N838" s="223"/>
      <c r="O838" s="706">
        <f t="shared" si="146"/>
        <v>0</v>
      </c>
    </row>
    <row r="839" spans="1:15" s="1448" customFormat="1" ht="25.5">
      <c r="A839" s="1436" t="s">
        <v>530</v>
      </c>
      <c r="B839" s="1437" t="s">
        <v>3326</v>
      </c>
      <c r="C839" s="1336">
        <v>15</v>
      </c>
      <c r="D839" s="1439" t="s">
        <v>115</v>
      </c>
      <c r="E839" s="1221">
        <v>431</v>
      </c>
      <c r="F839" s="1440">
        <f t="shared" ref="F839" si="153">ROUND(C839*E839,0)</f>
        <v>6465</v>
      </c>
      <c r="G839" s="1453">
        <f>WORK!I3250</f>
        <v>11</v>
      </c>
      <c r="H839" s="1439" t="s">
        <v>115</v>
      </c>
      <c r="I839" s="1454">
        <f>WORK!K3250</f>
        <v>105.53100000000001</v>
      </c>
      <c r="J839" s="1450">
        <f t="shared" si="142"/>
        <v>1161</v>
      </c>
      <c r="K839" s="1911">
        <f>IF((J839+J840+J841+J842)&gt;(F839+F840+F841+F842),(J839+J840+J841+J842)-(F839+F840+F841+F842),0)</f>
        <v>0</v>
      </c>
      <c r="L839" s="1911">
        <f>IF((J839+J840+J841+J842)&lt;(F839+F840+F841+F842),(F839+F840+F841+F842)-(J839+J840+J841+J842),0)</f>
        <v>5304</v>
      </c>
      <c r="M839" s="1445" t="s">
        <v>2226</v>
      </c>
      <c r="N839" s="1446"/>
      <c r="O839" s="1447">
        <f t="shared" si="146"/>
        <v>5304</v>
      </c>
    </row>
    <row r="840" spans="1:15" s="360" customFormat="1" ht="15" hidden="1">
      <c r="A840" s="356" t="s">
        <v>2731</v>
      </c>
      <c r="B840" s="707" t="s">
        <v>561</v>
      </c>
      <c r="C840" s="709"/>
      <c r="D840" s="354"/>
      <c r="E840" s="10"/>
      <c r="F840" s="353"/>
      <c r="G840" s="358">
        <f>WORK!I3468</f>
        <v>0</v>
      </c>
      <c r="H840" s="354" t="s">
        <v>115</v>
      </c>
      <c r="I840" s="355">
        <f>WORK!K3468</f>
        <v>109.685</v>
      </c>
      <c r="J840" s="353">
        <f>ROUND(G840*I840,0)</f>
        <v>0</v>
      </c>
      <c r="K840" s="1912"/>
      <c r="L840" s="1912"/>
      <c r="M840" s="708" t="s">
        <v>2308</v>
      </c>
      <c r="N840" s="223"/>
      <c r="O840" s="706">
        <f t="shared" si="146"/>
        <v>0</v>
      </c>
    </row>
    <row r="841" spans="1:15" s="1448" customFormat="1" ht="15" hidden="1">
      <c r="A841" s="1436" t="s">
        <v>1591</v>
      </c>
      <c r="B841" s="1437" t="s">
        <v>561</v>
      </c>
      <c r="C841" s="1449"/>
      <c r="D841" s="1439"/>
      <c r="E841" s="1221"/>
      <c r="F841" s="1450"/>
      <c r="G841" s="1453">
        <f>WORK!I3689</f>
        <v>0</v>
      </c>
      <c r="H841" s="1439" t="s">
        <v>115</v>
      </c>
      <c r="I841" s="1454">
        <f>WORK!K3689</f>
        <v>118.04</v>
      </c>
      <c r="J841" s="1450">
        <f>ROUND(G841*I841,0)</f>
        <v>0</v>
      </c>
      <c r="K841" s="1912"/>
      <c r="L841" s="1912"/>
      <c r="M841" s="1451" t="s">
        <v>2321</v>
      </c>
      <c r="N841" s="1446"/>
      <c r="O841" s="1452">
        <f t="shared" si="146"/>
        <v>0</v>
      </c>
    </row>
    <row r="842" spans="1:15" s="1448" customFormat="1" ht="25.5" hidden="1">
      <c r="A842" s="1436" t="s">
        <v>1593</v>
      </c>
      <c r="B842" s="1437" t="s">
        <v>3326</v>
      </c>
      <c r="C842" s="1449"/>
      <c r="D842" s="1439"/>
      <c r="E842" s="1221"/>
      <c r="F842" s="1450"/>
      <c r="G842" s="1453">
        <f>WORK!I3912</f>
        <v>0</v>
      </c>
      <c r="H842" s="1439" t="s">
        <v>115</v>
      </c>
      <c r="I842" s="1454">
        <f>WORK!K3912</f>
        <v>125.73500000000001</v>
      </c>
      <c r="J842" s="1450">
        <f>ROUND(G842*I842,0)</f>
        <v>0</v>
      </c>
      <c r="K842" s="1913"/>
      <c r="L842" s="1913"/>
      <c r="M842" s="1445" t="s">
        <v>2322</v>
      </c>
      <c r="N842" s="1446"/>
      <c r="O842" s="1447">
        <f t="shared" si="146"/>
        <v>0</v>
      </c>
    </row>
    <row r="843" spans="1:15" s="360" customFormat="1" ht="15" hidden="1">
      <c r="A843" s="356" t="s">
        <v>2048</v>
      </c>
      <c r="B843" s="707" t="s">
        <v>1258</v>
      </c>
      <c r="C843" s="733"/>
      <c r="D843" s="354"/>
      <c r="E843" s="10"/>
      <c r="F843" s="353"/>
      <c r="G843" s="358">
        <f>WORK!I3245</f>
        <v>0</v>
      </c>
      <c r="H843" s="354" t="s">
        <v>115</v>
      </c>
      <c r="I843" s="355">
        <f>WORK!K3245</f>
        <v>344.3</v>
      </c>
      <c r="J843" s="353">
        <f t="shared" si="142"/>
        <v>0</v>
      </c>
      <c r="K843" s="1911">
        <f>IF((J843+J844+J845+J846)&gt;(F843+F844+F845+F846),(J843+J844+J845+J846)-(F843+F844+F845+F846),0)</f>
        <v>0</v>
      </c>
      <c r="L843" s="1911">
        <f>IF((J843+J844+J845+J846)&lt;(F843+F844+F845+F846),(F843+F844+F845+F846)-(J843+J844+J845+J846),0)</f>
        <v>0</v>
      </c>
      <c r="M843" s="708" t="s">
        <v>2226</v>
      </c>
      <c r="N843" s="223"/>
      <c r="O843" s="706">
        <f t="shared" si="146"/>
        <v>0</v>
      </c>
    </row>
    <row r="844" spans="1:15" s="360" customFormat="1" ht="15" hidden="1">
      <c r="A844" s="356" t="s">
        <v>2732</v>
      </c>
      <c r="B844" s="707" t="s">
        <v>1258</v>
      </c>
      <c r="C844" s="733"/>
      <c r="D844" s="354"/>
      <c r="E844" s="10"/>
      <c r="F844" s="353"/>
      <c r="G844" s="358">
        <f>WORK!I3463</f>
        <v>0</v>
      </c>
      <c r="H844" s="354" t="s">
        <v>115</v>
      </c>
      <c r="I844" s="355">
        <f>WORK!K3463</f>
        <v>375.5</v>
      </c>
      <c r="J844" s="353">
        <f>ROUND(G844*I844,0)</f>
        <v>0</v>
      </c>
      <c r="K844" s="1912"/>
      <c r="L844" s="1912"/>
      <c r="M844" s="708" t="s">
        <v>2308</v>
      </c>
      <c r="N844" s="223"/>
      <c r="O844" s="706">
        <f t="shared" si="146"/>
        <v>0</v>
      </c>
    </row>
    <row r="845" spans="1:15" s="360" customFormat="1" ht="15" hidden="1">
      <c r="A845" s="356" t="s">
        <v>2048</v>
      </c>
      <c r="B845" s="707" t="s">
        <v>1258</v>
      </c>
      <c r="C845" s="733"/>
      <c r="D845" s="354"/>
      <c r="E845" s="10"/>
      <c r="F845" s="353"/>
      <c r="G845" s="358">
        <f>WORK!I3684</f>
        <v>0</v>
      </c>
      <c r="H845" s="354" t="s">
        <v>115</v>
      </c>
      <c r="I845" s="355">
        <f>WORK!K3684</f>
        <v>410</v>
      </c>
      <c r="J845" s="353">
        <f>ROUND(G845*I845,0)</f>
        <v>0</v>
      </c>
      <c r="K845" s="1912"/>
      <c r="L845" s="1912"/>
      <c r="M845" s="708" t="s">
        <v>2321</v>
      </c>
      <c r="N845" s="223"/>
      <c r="O845" s="706">
        <f t="shared" si="146"/>
        <v>0</v>
      </c>
    </row>
    <row r="846" spans="1:15" s="360" customFormat="1" ht="15" hidden="1">
      <c r="A846" s="356" t="s">
        <v>2048</v>
      </c>
      <c r="B846" s="707" t="s">
        <v>1258</v>
      </c>
      <c r="C846" s="733"/>
      <c r="D846" s="354"/>
      <c r="E846" s="10"/>
      <c r="F846" s="353"/>
      <c r="G846" s="358">
        <f>WORK!I3907</f>
        <v>0</v>
      </c>
      <c r="H846" s="354" t="s">
        <v>115</v>
      </c>
      <c r="I846" s="355">
        <f>WORK!K3907</f>
        <v>422.5</v>
      </c>
      <c r="J846" s="353">
        <f>ROUND(G846*I846,0)</f>
        <v>0</v>
      </c>
      <c r="K846" s="1913"/>
      <c r="L846" s="1913"/>
      <c r="M846" s="708" t="s">
        <v>2322</v>
      </c>
      <c r="N846" s="223"/>
      <c r="O846" s="706">
        <f t="shared" si="146"/>
        <v>0</v>
      </c>
    </row>
    <row r="847" spans="1:15" s="360" customFormat="1" ht="15" hidden="1">
      <c r="A847" s="356" t="s">
        <v>646</v>
      </c>
      <c r="B847" s="707" t="s">
        <v>641</v>
      </c>
      <c r="C847" s="633"/>
      <c r="D847" s="354"/>
      <c r="E847" s="622"/>
      <c r="F847" s="353"/>
      <c r="G847" s="358">
        <f>WORK!I3255</f>
        <v>0</v>
      </c>
      <c r="H847" s="354" t="s">
        <v>115</v>
      </c>
      <c r="I847" s="355">
        <f>WORK!K3255</f>
        <v>99.531000000000006</v>
      </c>
      <c r="J847" s="353">
        <f t="shared" si="142"/>
        <v>0</v>
      </c>
      <c r="K847" s="1911">
        <f>IF((J847+J848+J849+J850)&gt;(F847+F848+F849+F850),(J847+J848+J849+J850)-(F847+F848+F849+F850),0)</f>
        <v>0</v>
      </c>
      <c r="L847" s="1911">
        <f>IF((J847+J848+J849+J850)&lt;(F847+F848+F849+F850),(F847+F848+F849+F850)-(J847+J848+J849+J850),0)</f>
        <v>0</v>
      </c>
      <c r="M847" s="708" t="s">
        <v>2226</v>
      </c>
      <c r="N847" s="223"/>
      <c r="O847" s="706">
        <f t="shared" si="146"/>
        <v>0</v>
      </c>
    </row>
    <row r="848" spans="1:15" s="360" customFormat="1" ht="15" hidden="1">
      <c r="A848" s="356" t="s">
        <v>646</v>
      </c>
      <c r="B848" s="707" t="s">
        <v>641</v>
      </c>
      <c r="C848" s="633"/>
      <c r="D848" s="354"/>
      <c r="E848" s="622"/>
      <c r="F848" s="353"/>
      <c r="G848" s="358">
        <f>WORK!I3473</f>
        <v>0</v>
      </c>
      <c r="H848" s="354" t="s">
        <v>115</v>
      </c>
      <c r="I848" s="355">
        <f>WORK!K3473</f>
        <v>103.685</v>
      </c>
      <c r="J848" s="353">
        <f>ROUND(G848*I848,0)</f>
        <v>0</v>
      </c>
      <c r="K848" s="1912"/>
      <c r="L848" s="1912"/>
      <c r="M848" s="708" t="s">
        <v>2308</v>
      </c>
      <c r="N848" s="223"/>
      <c r="O848" s="706">
        <f t="shared" si="146"/>
        <v>0</v>
      </c>
    </row>
    <row r="849" spans="1:15" s="360" customFormat="1" ht="15" hidden="1">
      <c r="A849" s="356" t="s">
        <v>646</v>
      </c>
      <c r="B849" s="707" t="s">
        <v>641</v>
      </c>
      <c r="C849" s="633"/>
      <c r="D849" s="354"/>
      <c r="E849" s="622"/>
      <c r="F849" s="353"/>
      <c r="G849" s="358">
        <f>WORK!I3694</f>
        <v>0</v>
      </c>
      <c r="H849" s="354" t="s">
        <v>115</v>
      </c>
      <c r="I849" s="355">
        <f>WORK!K3694</f>
        <v>112.04</v>
      </c>
      <c r="J849" s="353">
        <f>ROUND(G849*I849,0)</f>
        <v>0</v>
      </c>
      <c r="K849" s="1912"/>
      <c r="L849" s="1912"/>
      <c r="M849" s="708" t="s">
        <v>2321</v>
      </c>
      <c r="N849" s="223"/>
      <c r="O849" s="706">
        <f t="shared" si="146"/>
        <v>0</v>
      </c>
    </row>
    <row r="850" spans="1:15" s="360" customFormat="1" ht="15" hidden="1">
      <c r="A850" s="356" t="s">
        <v>646</v>
      </c>
      <c r="B850" s="707" t="s">
        <v>641</v>
      </c>
      <c r="C850" s="633"/>
      <c r="D850" s="354"/>
      <c r="E850" s="622"/>
      <c r="F850" s="353"/>
      <c r="G850" s="358">
        <f>WORK!I3917</f>
        <v>0</v>
      </c>
      <c r="H850" s="354" t="s">
        <v>115</v>
      </c>
      <c r="I850" s="355">
        <f>WORK!K3917</f>
        <v>119.73500000000001</v>
      </c>
      <c r="J850" s="353">
        <f>ROUND(G850*I850,0)</f>
        <v>0</v>
      </c>
      <c r="K850" s="1913"/>
      <c r="L850" s="1913"/>
      <c r="M850" s="708" t="s">
        <v>2322</v>
      </c>
      <c r="N850" s="223"/>
      <c r="O850" s="706">
        <f t="shared" si="146"/>
        <v>0</v>
      </c>
    </row>
    <row r="851" spans="1:15" s="360" customFormat="1" ht="15" hidden="1">
      <c r="A851" s="356" t="s">
        <v>2049</v>
      </c>
      <c r="B851" s="707" t="s">
        <v>624</v>
      </c>
      <c r="C851" s="633"/>
      <c r="D851" s="354"/>
      <c r="E851" s="622"/>
      <c r="F851" s="353"/>
      <c r="G851" s="358">
        <f>WORK!I3260</f>
        <v>0</v>
      </c>
      <c r="H851" s="354" t="s">
        <v>115</v>
      </c>
      <c r="I851" s="355">
        <f>WORK!K3260</f>
        <v>18</v>
      </c>
      <c r="J851" s="353">
        <f t="shared" si="142"/>
        <v>0</v>
      </c>
      <c r="K851" s="1911">
        <f>IF((J851+J852+J853+J854)&gt;(F851+F852+F853+F854),(J851+J852+J853+J854)-(F851+F852+F853+F854),0)</f>
        <v>0</v>
      </c>
      <c r="L851" s="1911">
        <f>IF((J851+J852+J853+J854)&lt;(F851+F852+F853+F854),(F851+F852+F853+F854)-(J851+J852+J853+J854),0)</f>
        <v>0</v>
      </c>
      <c r="M851" s="708" t="s">
        <v>2226</v>
      </c>
      <c r="N851" s="223"/>
      <c r="O851" s="706">
        <f t="shared" ref="O851:O1147" si="154">F851-J851</f>
        <v>0</v>
      </c>
    </row>
    <row r="852" spans="1:15" s="360" customFormat="1" ht="15" hidden="1">
      <c r="A852" s="356" t="s">
        <v>2733</v>
      </c>
      <c r="B852" s="707" t="s">
        <v>624</v>
      </c>
      <c r="C852" s="633"/>
      <c r="D852" s="354"/>
      <c r="E852" s="622"/>
      <c r="F852" s="353"/>
      <c r="G852" s="358">
        <f>WORK!I3478</f>
        <v>0</v>
      </c>
      <c r="H852" s="354" t="s">
        <v>115</v>
      </c>
      <c r="I852" s="355">
        <f>WORK!K3478</f>
        <v>18</v>
      </c>
      <c r="J852" s="353">
        <f t="shared" ref="J852" si="155">ROUND(G852*I852,0)</f>
        <v>0</v>
      </c>
      <c r="K852" s="1912"/>
      <c r="L852" s="1912"/>
      <c r="M852" s="708" t="s">
        <v>2308</v>
      </c>
      <c r="N852" s="223"/>
      <c r="O852" s="706">
        <f t="shared" si="154"/>
        <v>0</v>
      </c>
    </row>
    <row r="853" spans="1:15" s="360" customFormat="1" ht="15" hidden="1">
      <c r="A853" s="356" t="s">
        <v>2049</v>
      </c>
      <c r="B853" s="707" t="s">
        <v>624</v>
      </c>
      <c r="C853" s="633"/>
      <c r="D853" s="354"/>
      <c r="E853" s="622"/>
      <c r="F853" s="353"/>
      <c r="G853" s="358">
        <f>WORK!I3699</f>
        <v>0</v>
      </c>
      <c r="H853" s="354" t="s">
        <v>115</v>
      </c>
      <c r="I853" s="355">
        <f>WORK!K3699</f>
        <v>20</v>
      </c>
      <c r="J853" s="353">
        <f>ROUND(G853*I853,0)</f>
        <v>0</v>
      </c>
      <c r="K853" s="1912"/>
      <c r="L853" s="1912"/>
      <c r="M853" s="708" t="s">
        <v>2321</v>
      </c>
      <c r="N853" s="223"/>
      <c r="O853" s="706">
        <f t="shared" si="154"/>
        <v>0</v>
      </c>
    </row>
    <row r="854" spans="1:15" s="360" customFormat="1" ht="15" hidden="1">
      <c r="A854" s="356" t="s">
        <v>2049</v>
      </c>
      <c r="B854" s="707" t="s">
        <v>624</v>
      </c>
      <c r="C854" s="633"/>
      <c r="D854" s="354"/>
      <c r="E854" s="622"/>
      <c r="F854" s="353"/>
      <c r="G854" s="358">
        <f>WORK!I3922</f>
        <v>0</v>
      </c>
      <c r="H854" s="354" t="s">
        <v>115</v>
      </c>
      <c r="I854" s="355">
        <f>WORK!K3922</f>
        <v>21</v>
      </c>
      <c r="J854" s="353">
        <f>ROUND(G854*I854,0)</f>
        <v>0</v>
      </c>
      <c r="K854" s="1913"/>
      <c r="L854" s="1913"/>
      <c r="M854" s="708" t="s">
        <v>2322</v>
      </c>
      <c r="N854" s="223"/>
      <c r="O854" s="706">
        <f t="shared" si="154"/>
        <v>0</v>
      </c>
    </row>
    <row r="855" spans="1:15" s="1448" customFormat="1" ht="25.5">
      <c r="A855" s="1436" t="s">
        <v>531</v>
      </c>
      <c r="B855" s="1437" t="s">
        <v>3326</v>
      </c>
      <c r="C855" s="1336">
        <v>10</v>
      </c>
      <c r="D855" s="1439" t="s">
        <v>115</v>
      </c>
      <c r="E855" s="1221">
        <v>67</v>
      </c>
      <c r="F855" s="1440">
        <f t="shared" ref="F855" si="156">ROUND(C855*E855,0)</f>
        <v>670</v>
      </c>
      <c r="G855" s="1453">
        <f>WORK!I3265</f>
        <v>2</v>
      </c>
      <c r="H855" s="1439" t="s">
        <v>115</v>
      </c>
      <c r="I855" s="1454">
        <f>WORK!K3265</f>
        <v>177.65</v>
      </c>
      <c r="J855" s="1450">
        <f t="shared" si="142"/>
        <v>355</v>
      </c>
      <c r="K855" s="1911">
        <f>IF((J855+J856+J857+J858)&gt;(F855+F856+F857+F858),(J855+J856+J857+J858)-(F855+F856+F857+F858),0)</f>
        <v>0</v>
      </c>
      <c r="L855" s="1911">
        <f>IF((J855+J856+J857+J858)&lt;(F855+F856+F857+F858),(F855+F856+F857+F858)-(J855+J856+J857+J858),0)</f>
        <v>315</v>
      </c>
      <c r="M855" s="1445" t="s">
        <v>2226</v>
      </c>
      <c r="N855" s="1446"/>
      <c r="O855" s="1447">
        <f t="shared" si="154"/>
        <v>315</v>
      </c>
    </row>
    <row r="856" spans="1:15" s="360" customFormat="1" ht="15" hidden="1">
      <c r="A856" s="356" t="s">
        <v>2734</v>
      </c>
      <c r="B856" s="707" t="s">
        <v>562</v>
      </c>
      <c r="C856" s="709"/>
      <c r="D856" s="354"/>
      <c r="E856" s="10"/>
      <c r="F856" s="353"/>
      <c r="G856" s="358">
        <f>WORK!I3483</f>
        <v>0</v>
      </c>
      <c r="H856" s="354" t="s">
        <v>115</v>
      </c>
      <c r="I856" s="355">
        <f>WORK!K3483</f>
        <v>120.75</v>
      </c>
      <c r="J856" s="353">
        <f>ROUND(G856*I856,0)</f>
        <v>0</v>
      </c>
      <c r="K856" s="1912"/>
      <c r="L856" s="1912"/>
      <c r="M856" s="708" t="s">
        <v>2308</v>
      </c>
      <c r="N856" s="223"/>
      <c r="O856" s="706">
        <f t="shared" si="154"/>
        <v>0</v>
      </c>
    </row>
    <row r="857" spans="1:15" s="1448" customFormat="1" ht="15" hidden="1">
      <c r="A857" s="1436" t="s">
        <v>1592</v>
      </c>
      <c r="B857" s="1437" t="s">
        <v>562</v>
      </c>
      <c r="C857" s="1449"/>
      <c r="D857" s="1439"/>
      <c r="E857" s="1221"/>
      <c r="F857" s="1450"/>
      <c r="G857" s="1453">
        <f>WORK!I3704</f>
        <v>0</v>
      </c>
      <c r="H857" s="1439" t="s">
        <v>115</v>
      </c>
      <c r="I857" s="1454">
        <f>WORK!K3704</f>
        <v>122</v>
      </c>
      <c r="J857" s="1450">
        <f>ROUND(G857*I857,0)</f>
        <v>0</v>
      </c>
      <c r="K857" s="1912"/>
      <c r="L857" s="1912"/>
      <c r="M857" s="1451" t="s">
        <v>2321</v>
      </c>
      <c r="N857" s="1446"/>
      <c r="O857" s="1452">
        <f t="shared" si="154"/>
        <v>0</v>
      </c>
    </row>
    <row r="858" spans="1:15" s="1448" customFormat="1" ht="38.25" hidden="1">
      <c r="A858" s="1436" t="s">
        <v>1580</v>
      </c>
      <c r="B858" s="1437" t="s">
        <v>1268</v>
      </c>
      <c r="C858" s="1449"/>
      <c r="D858" s="1439"/>
      <c r="E858" s="1221"/>
      <c r="F858" s="1450"/>
      <c r="G858" s="1453">
        <f>WORK!I3927</f>
        <v>0</v>
      </c>
      <c r="H858" s="1439" t="s">
        <v>115</v>
      </c>
      <c r="I858" s="1454">
        <f>WORK!K3927</f>
        <v>127.25</v>
      </c>
      <c r="J858" s="1450">
        <f>ROUND(G858*I858,0)</f>
        <v>0</v>
      </c>
      <c r="K858" s="1913"/>
      <c r="L858" s="1913"/>
      <c r="M858" s="1445" t="s">
        <v>2322</v>
      </c>
      <c r="N858" s="1446"/>
      <c r="O858" s="1447">
        <f t="shared" si="154"/>
        <v>0</v>
      </c>
    </row>
    <row r="859" spans="1:15" s="1448" customFormat="1" ht="38.25">
      <c r="A859" s="1436" t="s">
        <v>532</v>
      </c>
      <c r="B859" s="1437" t="s">
        <v>3327</v>
      </c>
      <c r="C859" s="1336">
        <v>6</v>
      </c>
      <c r="D859" s="1439" t="s">
        <v>115</v>
      </c>
      <c r="E859" s="1221">
        <v>2457</v>
      </c>
      <c r="F859" s="1440">
        <f t="shared" ref="F859" si="157">ROUND(C859*E859,0)</f>
        <v>14742</v>
      </c>
      <c r="G859" s="1453">
        <f>WORK!I3270</f>
        <v>3</v>
      </c>
      <c r="H859" s="1439" t="s">
        <v>115</v>
      </c>
      <c r="I859" s="1454">
        <f>WORK!K3270</f>
        <v>2636.625</v>
      </c>
      <c r="J859" s="1450">
        <f t="shared" si="142"/>
        <v>7910</v>
      </c>
      <c r="K859" s="1911">
        <f t="shared" ref="K859" si="158">IF((J859+J860+J861+J862)&gt;(F859+F860+F861+F862),(J859+J860+J861+J862)-(F859+F860+F861+F862),0)</f>
        <v>0</v>
      </c>
      <c r="L859" s="1911">
        <f t="shared" ref="L859" si="159">IF((J859+J860+J861+J862)&lt;(F859+F860+F861+F862),(F859+F860+F861+F862)-(J859+F860+J861+J862),0)</f>
        <v>6832</v>
      </c>
      <c r="M859" s="1445" t="s">
        <v>2226</v>
      </c>
      <c r="N859" s="1446"/>
      <c r="O859" s="1447">
        <f t="shared" si="154"/>
        <v>6832</v>
      </c>
    </row>
    <row r="860" spans="1:15" s="360" customFormat="1" ht="15" hidden="1">
      <c r="A860" s="356" t="s">
        <v>2058</v>
      </c>
      <c r="B860" s="707" t="s">
        <v>563</v>
      </c>
      <c r="C860" s="733"/>
      <c r="D860" s="354"/>
      <c r="E860" s="10"/>
      <c r="F860" s="353"/>
      <c r="G860" s="358">
        <f>WORK!I3489</f>
        <v>0</v>
      </c>
      <c r="H860" s="354" t="s">
        <v>115</v>
      </c>
      <c r="I860" s="355">
        <f>WORK!K3489</f>
        <v>2644.375</v>
      </c>
      <c r="J860" s="353">
        <f>ROUND(G860*I860,0)</f>
        <v>0</v>
      </c>
      <c r="K860" s="1912"/>
      <c r="L860" s="1912"/>
      <c r="M860" s="708" t="s">
        <v>2308</v>
      </c>
      <c r="N860" s="223"/>
      <c r="O860" s="706">
        <f t="shared" si="154"/>
        <v>0</v>
      </c>
    </row>
    <row r="861" spans="1:15" s="1448" customFormat="1" ht="15" hidden="1">
      <c r="A861" s="1436" t="s">
        <v>1593</v>
      </c>
      <c r="B861" s="1437" t="s">
        <v>563</v>
      </c>
      <c r="C861" s="1500"/>
      <c r="D861" s="1439"/>
      <c r="E861" s="1221"/>
      <c r="F861" s="1450"/>
      <c r="G861" s="1453">
        <f>WORK!I3709</f>
        <v>0</v>
      </c>
      <c r="H861" s="1439" t="s">
        <v>115</v>
      </c>
      <c r="I861" s="1454">
        <f>WORK!K3709</f>
        <v>3020.3799999999997</v>
      </c>
      <c r="J861" s="1450">
        <f>ROUND(G861*I861,0)</f>
        <v>0</v>
      </c>
      <c r="K861" s="1912"/>
      <c r="L861" s="1912"/>
      <c r="M861" s="1451" t="s">
        <v>2321</v>
      </c>
      <c r="N861" s="1446"/>
      <c r="O861" s="1452">
        <f t="shared" si="154"/>
        <v>0</v>
      </c>
    </row>
    <row r="862" spans="1:15" s="1448" customFormat="1" ht="38.25" hidden="1">
      <c r="A862" s="1436" t="s">
        <v>1594</v>
      </c>
      <c r="B862" s="1437" t="s">
        <v>3327</v>
      </c>
      <c r="C862" s="1500"/>
      <c r="D862" s="1439"/>
      <c r="E862" s="1221"/>
      <c r="F862" s="1450"/>
      <c r="G862" s="1453">
        <f>WORK!I3932</f>
        <v>0</v>
      </c>
      <c r="H862" s="1439" t="s">
        <v>115</v>
      </c>
      <c r="I862" s="1454">
        <f>WORK!K3932</f>
        <v>3312.1849999999999</v>
      </c>
      <c r="J862" s="1450">
        <f>ROUND(G862*I862,0)</f>
        <v>0</v>
      </c>
      <c r="K862" s="1913"/>
      <c r="L862" s="1913"/>
      <c r="M862" s="1445" t="s">
        <v>2322</v>
      </c>
      <c r="N862" s="1446"/>
      <c r="O862" s="1447">
        <f t="shared" si="154"/>
        <v>0</v>
      </c>
    </row>
    <row r="863" spans="1:15" s="360" customFormat="1" ht="15" hidden="1">
      <c r="A863" s="356" t="s">
        <v>646</v>
      </c>
      <c r="B863" s="707" t="s">
        <v>563</v>
      </c>
      <c r="C863" s="552"/>
      <c r="D863" s="354"/>
      <c r="E863" s="10"/>
      <c r="F863" s="353"/>
      <c r="G863" s="358">
        <f>WORK!I3280</f>
        <v>0</v>
      </c>
      <c r="H863" s="354" t="s">
        <v>115</v>
      </c>
      <c r="I863" s="355">
        <f>WORK!K3280</f>
        <v>2323</v>
      </c>
      <c r="J863" s="353">
        <f t="shared" si="142"/>
        <v>0</v>
      </c>
      <c r="K863" s="1911">
        <f>IF((J863+J864+J865+J866)&gt;(F863+F864+F865+F866),(J863+J864+J865+J866)-(F863+F864+F865+F866),0)</f>
        <v>0</v>
      </c>
      <c r="L863" s="1911">
        <f>IF((J863+J864+J865+J866)&lt;(F863+F864+F865+F866),(F863+F864+F865+F866)-(J863+J864+J865+J866),0)</f>
        <v>0</v>
      </c>
      <c r="M863" s="708" t="s">
        <v>2226</v>
      </c>
      <c r="N863" s="223"/>
      <c r="O863" s="706">
        <f t="shared" si="154"/>
        <v>0</v>
      </c>
    </row>
    <row r="864" spans="1:15" s="360" customFormat="1" ht="15" hidden="1">
      <c r="A864" s="356" t="s">
        <v>2735</v>
      </c>
      <c r="B864" s="707" t="s">
        <v>563</v>
      </c>
      <c r="C864" s="709"/>
      <c r="D864" s="354"/>
      <c r="E864" s="10"/>
      <c r="F864" s="353"/>
      <c r="G864" s="358">
        <f>WORK!I3499</f>
        <v>0</v>
      </c>
      <c r="H864" s="354" t="s">
        <v>115</v>
      </c>
      <c r="I864" s="355">
        <f>WORK!K3499</f>
        <v>2323</v>
      </c>
      <c r="J864" s="353">
        <f>ROUND(G864*I864,0)</f>
        <v>0</v>
      </c>
      <c r="K864" s="1912"/>
      <c r="L864" s="1912"/>
      <c r="M864" s="708" t="s">
        <v>2308</v>
      </c>
      <c r="N864" s="223"/>
      <c r="O864" s="706">
        <f t="shared" si="154"/>
        <v>0</v>
      </c>
    </row>
    <row r="865" spans="1:15" s="360" customFormat="1" ht="15" hidden="1">
      <c r="A865" s="356" t="s">
        <v>2052</v>
      </c>
      <c r="B865" s="707" t="s">
        <v>563</v>
      </c>
      <c r="C865" s="709"/>
      <c r="D865" s="354"/>
      <c r="E865" s="10"/>
      <c r="F865" s="353"/>
      <c r="G865" s="358">
        <f>WORK!I3719</f>
        <v>0</v>
      </c>
      <c r="H865" s="354" t="s">
        <v>115</v>
      </c>
      <c r="I865" s="355">
        <f>WORK!K3719</f>
        <v>2671.45</v>
      </c>
      <c r="J865" s="353">
        <f>ROUND(G865*I865,0)</f>
        <v>0</v>
      </c>
      <c r="K865" s="1912"/>
      <c r="L865" s="1912"/>
      <c r="M865" s="708" t="s">
        <v>2321</v>
      </c>
      <c r="N865" s="223"/>
      <c r="O865" s="706">
        <f t="shared" si="154"/>
        <v>0</v>
      </c>
    </row>
    <row r="866" spans="1:15" s="360" customFormat="1" ht="15" hidden="1">
      <c r="A866" s="356" t="s">
        <v>2052</v>
      </c>
      <c r="B866" s="707" t="s">
        <v>563</v>
      </c>
      <c r="C866" s="709"/>
      <c r="D866" s="354"/>
      <c r="E866" s="10"/>
      <c r="F866" s="353"/>
      <c r="G866" s="358">
        <f>WORK!I3949</f>
        <v>0</v>
      </c>
      <c r="H866" s="354" t="s">
        <v>115</v>
      </c>
      <c r="I866" s="355">
        <f>WORK!K3949</f>
        <v>2941.12</v>
      </c>
      <c r="J866" s="353">
        <f>ROUND(G866*I866,0)</f>
        <v>0</v>
      </c>
      <c r="K866" s="1913"/>
      <c r="L866" s="1913"/>
      <c r="M866" s="708" t="s">
        <v>2322</v>
      </c>
      <c r="N866" s="223"/>
      <c r="O866" s="706">
        <f t="shared" si="154"/>
        <v>0</v>
      </c>
    </row>
    <row r="867" spans="1:15" s="1448" customFormat="1" ht="38.25">
      <c r="A867" s="1436" t="s">
        <v>1583</v>
      </c>
      <c r="B867" s="1437" t="s">
        <v>947</v>
      </c>
      <c r="C867" s="1336">
        <v>6</v>
      </c>
      <c r="D867" s="1439" t="s">
        <v>115</v>
      </c>
      <c r="E867" s="1221">
        <v>497</v>
      </c>
      <c r="F867" s="1440">
        <f t="shared" ref="F867" si="160">ROUND(C867*E867,0)</f>
        <v>2982</v>
      </c>
      <c r="G867" s="1457">
        <f>WORK!I3285</f>
        <v>0</v>
      </c>
      <c r="H867" s="1458" t="s">
        <v>115</v>
      </c>
      <c r="I867" s="1459">
        <f>WORK!K3285</f>
        <v>237.5</v>
      </c>
      <c r="J867" s="1450">
        <f t="shared" si="142"/>
        <v>0</v>
      </c>
      <c r="K867" s="1911">
        <f>IF((J867+J868+J869+J870)&gt;(F867+F868+F869+F870),(J867+J868+J869+J870)-(F867+F868+F869+F870),0)</f>
        <v>0</v>
      </c>
      <c r="L867" s="1911">
        <f>IF((J867+J868+J869+J870)&lt;(F867+F868+F869+F870),(F867+F868+F869+F870)-(J867+J868+J869+J870),0)</f>
        <v>2982</v>
      </c>
      <c r="M867" s="1445" t="s">
        <v>2226</v>
      </c>
      <c r="N867" s="1446"/>
      <c r="O867" s="1447">
        <f t="shared" si="154"/>
        <v>2982</v>
      </c>
    </row>
    <row r="868" spans="1:15" s="360" customFormat="1" ht="15" hidden="1">
      <c r="A868" s="356" t="s">
        <v>2736</v>
      </c>
      <c r="B868" s="707" t="s">
        <v>831</v>
      </c>
      <c r="C868" s="709"/>
      <c r="D868" s="354"/>
      <c r="E868" s="10"/>
      <c r="F868" s="353"/>
      <c r="G868" s="358">
        <f>WORK!I3504</f>
        <v>0</v>
      </c>
      <c r="H868" s="354" t="s">
        <v>115</v>
      </c>
      <c r="I868" s="355">
        <f>WORK!K3504</f>
        <v>241</v>
      </c>
      <c r="J868" s="353">
        <f>ROUND(G868*I868,0)</f>
        <v>0</v>
      </c>
      <c r="K868" s="1912"/>
      <c r="L868" s="1912"/>
      <c r="M868" s="708" t="s">
        <v>2308</v>
      </c>
      <c r="N868" s="223"/>
      <c r="O868" s="706">
        <f t="shared" si="154"/>
        <v>0</v>
      </c>
    </row>
    <row r="869" spans="1:15" s="360" customFormat="1" ht="15" hidden="1">
      <c r="A869" s="356" t="s">
        <v>2053</v>
      </c>
      <c r="B869" s="707" t="s">
        <v>831</v>
      </c>
      <c r="C869" s="709"/>
      <c r="D869" s="354"/>
      <c r="E869" s="10"/>
      <c r="F869" s="353"/>
      <c r="G869" s="358">
        <f>WORK!I3724</f>
        <v>0</v>
      </c>
      <c r="H869" s="354" t="s">
        <v>115</v>
      </c>
      <c r="I869" s="355">
        <f>WORK!K3724</f>
        <v>263</v>
      </c>
      <c r="J869" s="353">
        <f>ROUND(G869*I869,0)</f>
        <v>0</v>
      </c>
      <c r="K869" s="1912"/>
      <c r="L869" s="1912"/>
      <c r="M869" s="708" t="s">
        <v>2321</v>
      </c>
      <c r="N869" s="223"/>
      <c r="O869" s="706">
        <f t="shared" si="154"/>
        <v>0</v>
      </c>
    </row>
    <row r="870" spans="1:15" s="360" customFormat="1" ht="15" hidden="1">
      <c r="A870" s="356" t="s">
        <v>2053</v>
      </c>
      <c r="B870" s="707" t="s">
        <v>831</v>
      </c>
      <c r="C870" s="709"/>
      <c r="D870" s="354"/>
      <c r="E870" s="10"/>
      <c r="F870" s="353"/>
      <c r="G870" s="358">
        <f>WORK!I3961</f>
        <v>0</v>
      </c>
      <c r="H870" s="354" t="s">
        <v>115</v>
      </c>
      <c r="I870" s="355">
        <f>WORK!K3961</f>
        <v>278</v>
      </c>
      <c r="J870" s="353">
        <f>ROUND(G870*I870,0)</f>
        <v>0</v>
      </c>
      <c r="K870" s="1913"/>
      <c r="L870" s="1913"/>
      <c r="M870" s="708" t="s">
        <v>2322</v>
      </c>
      <c r="N870" s="223"/>
      <c r="O870" s="706">
        <f t="shared" si="154"/>
        <v>0</v>
      </c>
    </row>
    <row r="871" spans="1:15" s="1448" customFormat="1" ht="38.25">
      <c r="A871" s="1436" t="s">
        <v>533</v>
      </c>
      <c r="B871" s="1437" t="s">
        <v>948</v>
      </c>
      <c r="C871" s="1336">
        <v>6</v>
      </c>
      <c r="D871" s="1439" t="s">
        <v>115</v>
      </c>
      <c r="E871" s="1221">
        <v>272.8</v>
      </c>
      <c r="F871" s="1440">
        <f t="shared" ref="F871" si="161">ROUND(C871*E871,0)</f>
        <v>1637</v>
      </c>
      <c r="G871" s="1457">
        <f>WORK!I3290</f>
        <v>0</v>
      </c>
      <c r="H871" s="1458" t="s">
        <v>115</v>
      </c>
      <c r="I871" s="1459">
        <f>WORK!K3290</f>
        <v>133.625</v>
      </c>
      <c r="J871" s="1450">
        <f t="shared" si="142"/>
        <v>0</v>
      </c>
      <c r="K871" s="1911">
        <f>IF((J871+J872+J873+J874)&gt;(F871+F872+F873+F874),(J871+J872+J873+J874)-(F871+F872+F873+F874),0)</f>
        <v>0</v>
      </c>
      <c r="L871" s="1911">
        <f>IF((J871+J872+J873+J874)&lt;(F871+F872+F873+F874),(F871+F872+F873+F874)-(J871+J872+J873+J874),0)</f>
        <v>1637</v>
      </c>
      <c r="M871" s="1445" t="s">
        <v>2226</v>
      </c>
      <c r="N871" s="1446"/>
      <c r="O871" s="1447">
        <f t="shared" si="154"/>
        <v>1637</v>
      </c>
    </row>
    <row r="872" spans="1:15" s="360" customFormat="1" ht="15" hidden="1">
      <c r="A872" s="356" t="s">
        <v>2060</v>
      </c>
      <c r="B872" s="707" t="s">
        <v>967</v>
      </c>
      <c r="C872" s="709"/>
      <c r="D872" s="354"/>
      <c r="E872" s="10"/>
      <c r="F872" s="353"/>
      <c r="G872" s="358">
        <f>WORK!I3509</f>
        <v>0</v>
      </c>
      <c r="H872" s="354" t="s">
        <v>115</v>
      </c>
      <c r="I872" s="355">
        <f>WORK!K3509</f>
        <v>141.375</v>
      </c>
      <c r="J872" s="353">
        <f>ROUND(G872*I872,0)</f>
        <v>0</v>
      </c>
      <c r="K872" s="1912"/>
      <c r="L872" s="1912"/>
      <c r="M872" s="708" t="s">
        <v>2308</v>
      </c>
      <c r="N872" s="223"/>
      <c r="O872" s="706">
        <f t="shared" si="154"/>
        <v>0</v>
      </c>
    </row>
    <row r="873" spans="1:15" s="360" customFormat="1" ht="15" hidden="1">
      <c r="A873" s="356" t="s">
        <v>2054</v>
      </c>
      <c r="B873" s="707" t="s">
        <v>967</v>
      </c>
      <c r="C873" s="709"/>
      <c r="D873" s="354"/>
      <c r="E873" s="10"/>
      <c r="F873" s="353"/>
      <c r="G873" s="358">
        <f>WORK!I3729</f>
        <v>0</v>
      </c>
      <c r="H873" s="354" t="s">
        <v>115</v>
      </c>
      <c r="I873" s="355">
        <f>WORK!K3729</f>
        <v>158.43</v>
      </c>
      <c r="J873" s="353">
        <f>ROUND(G873*I873,0)</f>
        <v>0</v>
      </c>
      <c r="K873" s="1912"/>
      <c r="L873" s="1912"/>
      <c r="M873" s="708" t="s">
        <v>2321</v>
      </c>
      <c r="N873" s="223"/>
      <c r="O873" s="706">
        <f t="shared" si="154"/>
        <v>0</v>
      </c>
    </row>
    <row r="874" spans="1:15" s="360" customFormat="1" ht="15" hidden="1">
      <c r="A874" s="356" t="s">
        <v>2054</v>
      </c>
      <c r="B874" s="707" t="s">
        <v>967</v>
      </c>
      <c r="C874" s="709"/>
      <c r="D874" s="354"/>
      <c r="E874" s="10"/>
      <c r="F874" s="353"/>
      <c r="G874" s="358">
        <f>WORK!I3973</f>
        <v>0</v>
      </c>
      <c r="H874" s="354" t="s">
        <v>115</v>
      </c>
      <c r="I874" s="355">
        <f>WORK!K3973</f>
        <v>163.065</v>
      </c>
      <c r="J874" s="353">
        <f>ROUND(G874*I874,0)</f>
        <v>0</v>
      </c>
      <c r="K874" s="1913"/>
      <c r="L874" s="1913"/>
      <c r="M874" s="708" t="s">
        <v>2322</v>
      </c>
      <c r="N874" s="223"/>
      <c r="O874" s="706">
        <f t="shared" si="154"/>
        <v>0</v>
      </c>
    </row>
    <row r="875" spans="1:15" s="1448" customFormat="1" ht="38.25">
      <c r="A875" s="1436" t="s">
        <v>534</v>
      </c>
      <c r="B875" s="1437" t="s">
        <v>950</v>
      </c>
      <c r="C875" s="1336">
        <v>6</v>
      </c>
      <c r="D875" s="1439" t="s">
        <v>115</v>
      </c>
      <c r="E875" s="1221">
        <v>132</v>
      </c>
      <c r="F875" s="1440">
        <f t="shared" ref="F875" si="162">ROUND(C875*E875,0)</f>
        <v>792</v>
      </c>
      <c r="G875" s="1457">
        <f>WORK!I3297</f>
        <v>0</v>
      </c>
      <c r="H875" s="1458" t="s">
        <v>115</v>
      </c>
      <c r="I875" s="1459">
        <f>WORK!K3297</f>
        <v>126.80000000000001</v>
      </c>
      <c r="J875" s="1450">
        <f t="shared" si="142"/>
        <v>0</v>
      </c>
      <c r="K875" s="1911">
        <f>IF((J875+J876+J877+J878)&gt;(F875+F876+F877+F878),(J875+J876+J877+J878)-(F875+F876+F877+F878),0)</f>
        <v>0</v>
      </c>
      <c r="L875" s="1911">
        <f>IF((J875+J876+J877+J878)&lt;(F875+F876+F877+F878),(F875+F876+F877+F878)-(J875+J876+J877+J878),0)</f>
        <v>792</v>
      </c>
      <c r="M875" s="1445" t="s">
        <v>2226</v>
      </c>
      <c r="N875" s="1446"/>
      <c r="O875" s="1447">
        <f t="shared" si="154"/>
        <v>792</v>
      </c>
    </row>
    <row r="876" spans="1:15" s="360" customFormat="1" ht="15" hidden="1">
      <c r="A876" s="356" t="s">
        <v>642</v>
      </c>
      <c r="B876" s="707" t="s">
        <v>832</v>
      </c>
      <c r="C876" s="709"/>
      <c r="D876" s="354"/>
      <c r="E876" s="10"/>
      <c r="F876" s="353"/>
      <c r="G876" s="358">
        <f>WORK!I3516</f>
        <v>0</v>
      </c>
      <c r="H876" s="354" t="s">
        <v>115</v>
      </c>
      <c r="I876" s="355">
        <f>WORK!K3516</f>
        <v>129.5</v>
      </c>
      <c r="J876" s="353">
        <f>ROUND(G876*I876,0)</f>
        <v>0</v>
      </c>
      <c r="K876" s="1912"/>
      <c r="L876" s="1912"/>
      <c r="M876" s="708" t="s">
        <v>2308</v>
      </c>
      <c r="N876" s="223"/>
      <c r="O876" s="706">
        <f t="shared" si="154"/>
        <v>0</v>
      </c>
    </row>
    <row r="877" spans="1:15" s="360" customFormat="1" ht="15" hidden="1">
      <c r="A877" s="356" t="s">
        <v>642</v>
      </c>
      <c r="B877" s="707" t="s">
        <v>832</v>
      </c>
      <c r="C877" s="709"/>
      <c r="D877" s="354"/>
      <c r="E877" s="10"/>
      <c r="F877" s="353"/>
      <c r="G877" s="358">
        <f>WORK!I3736</f>
        <v>0</v>
      </c>
      <c r="H877" s="354" t="s">
        <v>115</v>
      </c>
      <c r="I877" s="355">
        <f>WORK!K3736</f>
        <v>147</v>
      </c>
      <c r="J877" s="353">
        <f>ROUND(G877*I877,0)</f>
        <v>0</v>
      </c>
      <c r="K877" s="1912"/>
      <c r="L877" s="1912"/>
      <c r="M877" s="708" t="s">
        <v>2321</v>
      </c>
      <c r="N877" s="223"/>
      <c r="O877" s="706">
        <f t="shared" si="154"/>
        <v>0</v>
      </c>
    </row>
    <row r="878" spans="1:15" s="360" customFormat="1" ht="15" hidden="1">
      <c r="A878" s="356" t="s">
        <v>642</v>
      </c>
      <c r="B878" s="707" t="s">
        <v>832</v>
      </c>
      <c r="C878" s="709"/>
      <c r="D878" s="354"/>
      <c r="E878" s="10"/>
      <c r="F878" s="353"/>
      <c r="G878" s="358">
        <f>WORK!I3980</f>
        <v>0</v>
      </c>
      <c r="H878" s="354" t="s">
        <v>115</v>
      </c>
      <c r="I878" s="355">
        <f>WORK!K3980</f>
        <v>161.5</v>
      </c>
      <c r="J878" s="353">
        <f>ROUND(G878*I878,0)</f>
        <v>0</v>
      </c>
      <c r="K878" s="1913"/>
      <c r="L878" s="1913"/>
      <c r="M878" s="708" t="s">
        <v>2322</v>
      </c>
      <c r="N878" s="223"/>
      <c r="O878" s="706">
        <f t="shared" si="154"/>
        <v>0</v>
      </c>
    </row>
    <row r="879" spans="1:15" s="360" customFormat="1" ht="15" hidden="1">
      <c r="A879" s="356" t="s">
        <v>2055</v>
      </c>
      <c r="B879" s="707" t="s">
        <v>1576</v>
      </c>
      <c r="C879" s="733"/>
      <c r="D879" s="354"/>
      <c r="E879" s="10"/>
      <c r="F879" s="353"/>
      <c r="G879" s="358">
        <f>WORK!I3275</f>
        <v>0</v>
      </c>
      <c r="H879" s="354" t="s">
        <v>115</v>
      </c>
      <c r="I879" s="355">
        <f>WORK!K3275</f>
        <v>252.38800000000001</v>
      </c>
      <c r="J879" s="353">
        <f t="shared" si="142"/>
        <v>0</v>
      </c>
      <c r="K879" s="1911">
        <f>IF((J879+J880+J881+J882)&gt;(F879+F880+F881+F882),(J879+J880+J881+J882)-(F879+F880+F881+F882),0)</f>
        <v>0</v>
      </c>
      <c r="L879" s="1911">
        <f>IF((J879+J880+J881+J882)&lt;(F879+F880+F881+F882),(F879+F880+F881+F882)-(J879+J880+J881+J882),0)</f>
        <v>0</v>
      </c>
      <c r="M879" s="708" t="s">
        <v>2226</v>
      </c>
      <c r="N879" s="223"/>
      <c r="O879" s="706">
        <f t="shared" si="154"/>
        <v>0</v>
      </c>
    </row>
    <row r="880" spans="1:15" s="360" customFormat="1" ht="15" hidden="1">
      <c r="A880" s="356" t="s">
        <v>2737</v>
      </c>
      <c r="B880" s="707" t="s">
        <v>1576</v>
      </c>
      <c r="C880" s="733"/>
      <c r="D880" s="354"/>
      <c r="E880" s="10"/>
      <c r="F880" s="353"/>
      <c r="G880" s="358">
        <f>WORK!I3494</f>
        <v>0</v>
      </c>
      <c r="H880" s="354" t="s">
        <v>115</v>
      </c>
      <c r="I880" s="355">
        <f>WORK!K3494</f>
        <v>195.17000000000002</v>
      </c>
      <c r="J880" s="353">
        <f>ROUND(G880*I880,0)</f>
        <v>0</v>
      </c>
      <c r="K880" s="1912"/>
      <c r="L880" s="1912"/>
      <c r="M880" s="708" t="s">
        <v>2308</v>
      </c>
      <c r="N880" s="223"/>
      <c r="O880" s="706">
        <f t="shared" si="154"/>
        <v>0</v>
      </c>
    </row>
    <row r="881" spans="1:15" s="360" customFormat="1" ht="15" hidden="1">
      <c r="A881" s="356" t="s">
        <v>2055</v>
      </c>
      <c r="B881" s="707" t="s">
        <v>1576</v>
      </c>
      <c r="C881" s="733"/>
      <c r="D881" s="354"/>
      <c r="E881" s="10"/>
      <c r="F881" s="353"/>
      <c r="G881" s="358">
        <f>WORK!I3714</f>
        <v>0</v>
      </c>
      <c r="H881" s="354" t="s">
        <v>115</v>
      </c>
      <c r="I881" s="355">
        <f>WORK!K3714</f>
        <v>208.13000000000002</v>
      </c>
      <c r="J881" s="353">
        <f>ROUND(G881*I881,0)</f>
        <v>0</v>
      </c>
      <c r="K881" s="1912"/>
      <c r="L881" s="1912"/>
      <c r="M881" s="708" t="s">
        <v>2321</v>
      </c>
      <c r="N881" s="223"/>
      <c r="O881" s="706">
        <f t="shared" si="154"/>
        <v>0</v>
      </c>
    </row>
    <row r="882" spans="1:15" s="360" customFormat="1" ht="15" hidden="1">
      <c r="A882" s="356" t="s">
        <v>2055</v>
      </c>
      <c r="B882" s="707" t="s">
        <v>1576</v>
      </c>
      <c r="C882" s="733"/>
      <c r="D882" s="354"/>
      <c r="E882" s="10"/>
      <c r="F882" s="353"/>
      <c r="G882" s="358">
        <f>WORK!I3937</f>
        <v>0</v>
      </c>
      <c r="H882" s="354" t="s">
        <v>115</v>
      </c>
      <c r="I882" s="355">
        <f>WORK!K3937</f>
        <v>230.73000000000002</v>
      </c>
      <c r="J882" s="353">
        <f>ROUND(G882*I882,0)</f>
        <v>0</v>
      </c>
      <c r="K882" s="1913"/>
      <c r="L882" s="1913"/>
      <c r="M882" s="708" t="s">
        <v>2322</v>
      </c>
      <c r="N882" s="223"/>
      <c r="O882" s="706">
        <f t="shared" si="154"/>
        <v>0</v>
      </c>
    </row>
    <row r="883" spans="1:15" s="1448" customFormat="1" ht="51">
      <c r="A883" s="1436" t="s">
        <v>642</v>
      </c>
      <c r="B883" s="1437" t="s">
        <v>442</v>
      </c>
      <c r="C883" s="1336">
        <v>10</v>
      </c>
      <c r="D883" s="1439" t="s">
        <v>115</v>
      </c>
      <c r="E883" s="1501">
        <v>405</v>
      </c>
      <c r="F883" s="1440">
        <f t="shared" ref="F883" si="163">ROUND(C883*E883,0)</f>
        <v>4050</v>
      </c>
      <c r="G883" s="1453">
        <f>WORK!I3302</f>
        <v>8</v>
      </c>
      <c r="H883" s="1439" t="s">
        <v>115</v>
      </c>
      <c r="I883" s="1454">
        <f>WORK!K3302</f>
        <v>404.1</v>
      </c>
      <c r="J883" s="1450">
        <f t="shared" si="142"/>
        <v>3233</v>
      </c>
      <c r="K883" s="1911">
        <f>IF((J883+J884+J885+J886)&gt;(F883+F884+F885+F886),(J883+J884+J885+J886)-(F883+F884+F885+F886),0)</f>
        <v>0</v>
      </c>
      <c r="L883" s="1911">
        <f>IF((J883+J884+J885+J886)&lt;(F883+F884+F885+F886),(F883+F884+F885+F886)-(J883+J884+J885+J886),0)</f>
        <v>817</v>
      </c>
      <c r="M883" s="1445" t="s">
        <v>2226</v>
      </c>
      <c r="N883" s="1446"/>
      <c r="O883" s="1447">
        <f t="shared" si="154"/>
        <v>817</v>
      </c>
    </row>
    <row r="884" spans="1:15" s="360" customFormat="1" ht="15" hidden="1">
      <c r="A884" s="356" t="s">
        <v>2738</v>
      </c>
      <c r="B884" s="707" t="s">
        <v>564</v>
      </c>
      <c r="C884" s="709"/>
      <c r="D884" s="354"/>
      <c r="E884" s="10"/>
      <c r="F884" s="353"/>
      <c r="G884" s="358">
        <f>WORK!I3521</f>
        <v>0</v>
      </c>
      <c r="H884" s="354" t="s">
        <v>115</v>
      </c>
      <c r="I884" s="355">
        <f>WORK!K3521</f>
        <v>410.5</v>
      </c>
      <c r="J884" s="353">
        <f>ROUND(G884*I884,0)</f>
        <v>0</v>
      </c>
      <c r="K884" s="1912"/>
      <c r="L884" s="1912"/>
      <c r="M884" s="708" t="s">
        <v>2308</v>
      </c>
      <c r="N884" s="223"/>
      <c r="O884" s="706">
        <f t="shared" si="154"/>
        <v>0</v>
      </c>
    </row>
    <row r="885" spans="1:15" s="1448" customFormat="1" ht="15" hidden="1">
      <c r="A885" s="1436" t="s">
        <v>1595</v>
      </c>
      <c r="B885" s="1437" t="s">
        <v>564</v>
      </c>
      <c r="C885" s="1449"/>
      <c r="D885" s="1439"/>
      <c r="E885" s="1221"/>
      <c r="F885" s="1450"/>
      <c r="G885" s="1453">
        <f>WORK!I3741</f>
        <v>0</v>
      </c>
      <c r="H885" s="1439" t="s">
        <v>115</v>
      </c>
      <c r="I885" s="1454">
        <f>WORK!K3741</f>
        <v>395.93</v>
      </c>
      <c r="J885" s="1450">
        <f>ROUND(G885*I885,0)</f>
        <v>0</v>
      </c>
      <c r="K885" s="1912"/>
      <c r="L885" s="1912"/>
      <c r="M885" s="1451" t="s">
        <v>2321</v>
      </c>
      <c r="N885" s="1446"/>
      <c r="O885" s="1452">
        <f t="shared" si="154"/>
        <v>0</v>
      </c>
    </row>
    <row r="886" spans="1:15" s="1448" customFormat="1" ht="51" hidden="1">
      <c r="A886" s="1436" t="s">
        <v>1147</v>
      </c>
      <c r="B886" s="1437" t="s">
        <v>442</v>
      </c>
      <c r="C886" s="1449"/>
      <c r="D886" s="1439"/>
      <c r="E886" s="1221"/>
      <c r="F886" s="1450"/>
      <c r="G886" s="1453">
        <f>WORK!I3985</f>
        <v>0</v>
      </c>
      <c r="H886" s="1439" t="s">
        <v>115</v>
      </c>
      <c r="I886" s="1454">
        <f>WORK!K3985</f>
        <v>406.44</v>
      </c>
      <c r="J886" s="1450">
        <f>ROUND(G886*I886,0)</f>
        <v>0</v>
      </c>
      <c r="K886" s="1913"/>
      <c r="L886" s="1913"/>
      <c r="M886" s="1445" t="s">
        <v>2322</v>
      </c>
      <c r="N886" s="1446"/>
      <c r="O886" s="1447">
        <f t="shared" si="154"/>
        <v>0</v>
      </c>
    </row>
    <row r="887" spans="1:15" s="360" customFormat="1" ht="15" hidden="1">
      <c r="A887" s="356" t="s">
        <v>2060</v>
      </c>
      <c r="B887" s="707" t="s">
        <v>2275</v>
      </c>
      <c r="C887" s="733"/>
      <c r="D887" s="354"/>
      <c r="E887" s="10"/>
      <c r="F887" s="353"/>
      <c r="G887" s="358">
        <f>WORK!I3307</f>
        <v>0</v>
      </c>
      <c r="H887" s="354" t="s">
        <v>115</v>
      </c>
      <c r="I887" s="355">
        <f>WORK!K3307</f>
        <v>1980</v>
      </c>
      <c r="J887" s="353">
        <f t="shared" si="142"/>
        <v>0</v>
      </c>
      <c r="K887" s="1911">
        <f>IF((J887+J888+J889+J890)&gt;(F887+F888+F889+F890),(J887+J888+J889+J890)-(F887+F888+F889+F890),0)</f>
        <v>0</v>
      </c>
      <c r="L887" s="1911">
        <f>IF((J887+J888+J889+J890)&lt;(F887+F888+F889+F890),(F887+F888+F889+F890)-(J887+J888+J889+J890),0)</f>
        <v>0</v>
      </c>
      <c r="M887" s="708" t="s">
        <v>2226</v>
      </c>
      <c r="N887" s="223"/>
      <c r="O887" s="706">
        <f t="shared" si="154"/>
        <v>0</v>
      </c>
    </row>
    <row r="888" spans="1:15" s="360" customFormat="1" ht="15" hidden="1">
      <c r="A888" s="356" t="s">
        <v>2060</v>
      </c>
      <c r="B888" s="707" t="s">
        <v>2275</v>
      </c>
      <c r="C888" s="733"/>
      <c r="D888" s="354"/>
      <c r="E888" s="10"/>
      <c r="F888" s="353"/>
      <c r="G888" s="358">
        <f>WORK!I3526</f>
        <v>0</v>
      </c>
      <c r="H888" s="354" t="s">
        <v>115</v>
      </c>
      <c r="I888" s="355">
        <f>WORK!K3526</f>
        <v>1980</v>
      </c>
      <c r="J888" s="353">
        <f>ROUND(G888*I888,0)</f>
        <v>0</v>
      </c>
      <c r="K888" s="1912"/>
      <c r="L888" s="1912"/>
      <c r="M888" s="708" t="s">
        <v>2308</v>
      </c>
      <c r="N888" s="223"/>
      <c r="O888" s="706">
        <f t="shared" si="154"/>
        <v>0</v>
      </c>
    </row>
    <row r="889" spans="1:15" s="360" customFormat="1" ht="15" hidden="1">
      <c r="A889" s="356" t="s">
        <v>2060</v>
      </c>
      <c r="B889" s="707" t="s">
        <v>2275</v>
      </c>
      <c r="C889" s="733"/>
      <c r="D889" s="354"/>
      <c r="E889" s="10"/>
      <c r="F889" s="353"/>
      <c r="G889" s="358">
        <f>WORK!I3746</f>
        <v>0</v>
      </c>
      <c r="H889" s="354" t="s">
        <v>115</v>
      </c>
      <c r="I889" s="355">
        <f>WORK!K3746</f>
        <v>1822</v>
      </c>
      <c r="J889" s="353">
        <f>ROUND(G889*I889,0)</f>
        <v>0</v>
      </c>
      <c r="K889" s="1912"/>
      <c r="L889" s="1912"/>
      <c r="M889" s="708" t="s">
        <v>2321</v>
      </c>
      <c r="N889" s="223"/>
      <c r="O889" s="706">
        <f t="shared" si="154"/>
        <v>0</v>
      </c>
    </row>
    <row r="890" spans="1:15" s="360" customFormat="1" ht="15" hidden="1">
      <c r="A890" s="356" t="s">
        <v>2060</v>
      </c>
      <c r="B890" s="707" t="s">
        <v>2275</v>
      </c>
      <c r="C890" s="733"/>
      <c r="D890" s="354"/>
      <c r="E890" s="10"/>
      <c r="F890" s="353"/>
      <c r="G890" s="358">
        <f>WORK!I3990</f>
        <v>0</v>
      </c>
      <c r="H890" s="354" t="s">
        <v>115</v>
      </c>
      <c r="I890" s="355">
        <f>WORK!K3990</f>
        <v>1822</v>
      </c>
      <c r="J890" s="353">
        <f>ROUND(G890*I890,0)</f>
        <v>0</v>
      </c>
      <c r="K890" s="1913"/>
      <c r="L890" s="1913"/>
      <c r="M890" s="708" t="s">
        <v>2322</v>
      </c>
      <c r="N890" s="223"/>
      <c r="O890" s="706">
        <f t="shared" si="154"/>
        <v>0</v>
      </c>
    </row>
    <row r="891" spans="1:15" s="360" customFormat="1" ht="15" hidden="1">
      <c r="A891" s="356" t="s">
        <v>2060</v>
      </c>
      <c r="B891" s="707" t="s">
        <v>2276</v>
      </c>
      <c r="C891" s="733"/>
      <c r="D891" s="354"/>
      <c r="E891" s="10"/>
      <c r="F891" s="353"/>
      <c r="G891" s="358">
        <f>WORK!I3312</f>
        <v>0</v>
      </c>
      <c r="H891" s="354" t="s">
        <v>115</v>
      </c>
      <c r="I891" s="355">
        <f>WORK!K3312</f>
        <v>5900</v>
      </c>
      <c r="J891" s="353">
        <f t="shared" ref="J891" si="164">ROUND(G891*I891,0)</f>
        <v>0</v>
      </c>
      <c r="K891" s="1911">
        <f>IF((J891+J892+J893+J894)&gt;(F891+F892+F893+F894),(J891+J892+J893+J894)-(F891+F892+F893+F894),0)</f>
        <v>0</v>
      </c>
      <c r="L891" s="1911">
        <f>IF((J891+J892+J893+J894)&lt;(F891+F892+F893+F894),(F891+F892+F893+F894)-(J891+J892+J893+J894),0)</f>
        <v>0</v>
      </c>
      <c r="M891" s="708" t="s">
        <v>2226</v>
      </c>
      <c r="N891" s="223"/>
      <c r="O891" s="706">
        <f t="shared" si="154"/>
        <v>0</v>
      </c>
    </row>
    <row r="892" spans="1:15" s="360" customFormat="1" ht="15" hidden="1">
      <c r="A892" s="356" t="s">
        <v>2060</v>
      </c>
      <c r="B892" s="707" t="s">
        <v>2276</v>
      </c>
      <c r="C892" s="733"/>
      <c r="D892" s="354"/>
      <c r="E892" s="10"/>
      <c r="F892" s="353"/>
      <c r="G892" s="358">
        <f>WORK!I3531</f>
        <v>0</v>
      </c>
      <c r="H892" s="354" t="s">
        <v>115</v>
      </c>
      <c r="I892" s="355">
        <f>WORK!K3531</f>
        <v>5900</v>
      </c>
      <c r="J892" s="353">
        <f>ROUND(G892*I892,0)</f>
        <v>0</v>
      </c>
      <c r="K892" s="1912"/>
      <c r="L892" s="1912"/>
      <c r="M892" s="708" t="s">
        <v>2308</v>
      </c>
      <c r="N892" s="223"/>
      <c r="O892" s="706">
        <f t="shared" si="154"/>
        <v>0</v>
      </c>
    </row>
    <row r="893" spans="1:15" s="360" customFormat="1" ht="15" hidden="1">
      <c r="A893" s="356" t="s">
        <v>2060</v>
      </c>
      <c r="B893" s="707" t="s">
        <v>2276</v>
      </c>
      <c r="C893" s="733"/>
      <c r="D893" s="354"/>
      <c r="E893" s="10"/>
      <c r="F893" s="353"/>
      <c r="G893" s="358">
        <f>WORK!I3751</f>
        <v>0</v>
      </c>
      <c r="H893" s="354" t="s">
        <v>115</v>
      </c>
      <c r="I893" s="355">
        <f>WORK!K3751</f>
        <v>5428</v>
      </c>
      <c r="J893" s="353">
        <f>ROUND(G893*I893,0)</f>
        <v>0</v>
      </c>
      <c r="K893" s="1912"/>
      <c r="L893" s="1912"/>
      <c r="M893" s="708" t="s">
        <v>2321</v>
      </c>
      <c r="N893" s="223"/>
      <c r="O893" s="706">
        <f t="shared" si="154"/>
        <v>0</v>
      </c>
    </row>
    <row r="894" spans="1:15" s="360" customFormat="1" ht="15" hidden="1">
      <c r="A894" s="356" t="s">
        <v>2060</v>
      </c>
      <c r="B894" s="707" t="s">
        <v>2276</v>
      </c>
      <c r="C894" s="733"/>
      <c r="D894" s="354"/>
      <c r="E894" s="10"/>
      <c r="F894" s="353"/>
      <c r="G894" s="358">
        <f>WORK!I3995</f>
        <v>0</v>
      </c>
      <c r="H894" s="354" t="s">
        <v>115</v>
      </c>
      <c r="I894" s="355">
        <f>WORK!K3995</f>
        <v>5428</v>
      </c>
      <c r="J894" s="353">
        <f>ROUND(G894*I894,0)</f>
        <v>0</v>
      </c>
      <c r="K894" s="1913"/>
      <c r="L894" s="1913"/>
      <c r="M894" s="708" t="s">
        <v>2322</v>
      </c>
      <c r="N894" s="223"/>
      <c r="O894" s="706">
        <f t="shared" si="154"/>
        <v>0</v>
      </c>
    </row>
    <row r="895" spans="1:15" s="1448" customFormat="1" ht="15">
      <c r="A895" s="1436" t="s">
        <v>643</v>
      </c>
      <c r="B895" s="1437" t="s">
        <v>715</v>
      </c>
      <c r="C895" s="1336"/>
      <c r="D895" s="1439"/>
      <c r="E895" s="1221"/>
      <c r="F895" s="1450"/>
      <c r="G895" s="1453">
        <f>WORK!I3322</f>
        <v>1</v>
      </c>
      <c r="H895" s="1439" t="s">
        <v>115</v>
      </c>
      <c r="I895" s="1454">
        <f>WORK!K3322</f>
        <v>2936</v>
      </c>
      <c r="J895" s="1450">
        <f t="shared" si="142"/>
        <v>2936</v>
      </c>
      <c r="K895" s="1911">
        <f>IF((J895+J896+J897+J898)&gt;(F895+F896+F897+F898),(J895+J896+J897+J898)-(F895+F896+F897+F898),0)</f>
        <v>2936</v>
      </c>
      <c r="L895" s="1911">
        <f>IF((J895+J896+J897+J898)&lt;(F895+F896+F897+F898),(F895+F896+F897+F898)-(J895+J896+J897+J898),0)</f>
        <v>0</v>
      </c>
      <c r="M895" s="1451" t="s">
        <v>2226</v>
      </c>
      <c r="N895" s="1446"/>
      <c r="O895" s="1452">
        <f t="shared" si="154"/>
        <v>-2936</v>
      </c>
    </row>
    <row r="896" spans="1:15" s="360" customFormat="1" ht="15" hidden="1">
      <c r="A896" s="356" t="s">
        <v>2739</v>
      </c>
      <c r="B896" s="707" t="s">
        <v>715</v>
      </c>
      <c r="C896" s="633"/>
      <c r="D896" s="354"/>
      <c r="E896" s="622"/>
      <c r="F896" s="353"/>
      <c r="G896" s="358">
        <f>WORK!I3541</f>
        <v>0</v>
      </c>
      <c r="H896" s="354" t="s">
        <v>115</v>
      </c>
      <c r="I896" s="355">
        <f>WORK!K3541</f>
        <v>2995</v>
      </c>
      <c r="J896" s="353">
        <f>ROUND(G896*I896,0)</f>
        <v>0</v>
      </c>
      <c r="K896" s="1912"/>
      <c r="L896" s="1912"/>
      <c r="M896" s="708" t="s">
        <v>2308</v>
      </c>
      <c r="N896" s="223"/>
      <c r="O896" s="706">
        <f t="shared" si="154"/>
        <v>0</v>
      </c>
    </row>
    <row r="897" spans="1:15" s="1448" customFormat="1" ht="15" hidden="1">
      <c r="A897" s="1436" t="s">
        <v>1596</v>
      </c>
      <c r="B897" s="1437" t="s">
        <v>715</v>
      </c>
      <c r="C897" s="1483"/>
      <c r="D897" s="1439"/>
      <c r="E897" s="1484"/>
      <c r="F897" s="1450"/>
      <c r="G897" s="1453">
        <f>WORK!I3761</f>
        <v>0</v>
      </c>
      <c r="H897" s="1439" t="s">
        <v>115</v>
      </c>
      <c r="I897" s="1454">
        <f>WORK!K3761</f>
        <v>3255</v>
      </c>
      <c r="J897" s="1450">
        <f>ROUND(G897*I897,0)</f>
        <v>0</v>
      </c>
      <c r="K897" s="1912"/>
      <c r="L897" s="1912"/>
      <c r="M897" s="1451" t="s">
        <v>2321</v>
      </c>
      <c r="N897" s="1446"/>
      <c r="O897" s="1452">
        <f t="shared" si="154"/>
        <v>0</v>
      </c>
    </row>
    <row r="898" spans="1:15" s="1448" customFormat="1" ht="38.25" hidden="1">
      <c r="A898" s="1436" t="s">
        <v>1148</v>
      </c>
      <c r="B898" s="1437" t="s">
        <v>3328</v>
      </c>
      <c r="C898" s="1483"/>
      <c r="D898" s="1439"/>
      <c r="E898" s="1484"/>
      <c r="F898" s="1450"/>
      <c r="G898" s="1453">
        <f>WORK!I4005</f>
        <v>0</v>
      </c>
      <c r="H898" s="1439" t="s">
        <v>115</v>
      </c>
      <c r="I898" s="1454">
        <f>WORK!K4005</f>
        <v>3662</v>
      </c>
      <c r="J898" s="1450">
        <f>ROUND(G898*I898,0)</f>
        <v>0</v>
      </c>
      <c r="K898" s="1913"/>
      <c r="L898" s="1913"/>
      <c r="M898" s="1445" t="s">
        <v>2322</v>
      </c>
      <c r="N898" s="1446"/>
      <c r="O898" s="1447">
        <f t="shared" si="154"/>
        <v>0</v>
      </c>
    </row>
    <row r="899" spans="1:15" s="1448" customFormat="1" ht="25.5">
      <c r="A899" s="1436" t="s">
        <v>644</v>
      </c>
      <c r="B899" s="1437" t="s">
        <v>794</v>
      </c>
      <c r="C899" s="1336">
        <v>2</v>
      </c>
      <c r="D899" s="1439" t="s">
        <v>115</v>
      </c>
      <c r="E899" s="1221">
        <v>2076</v>
      </c>
      <c r="F899" s="1440">
        <f t="shared" ref="F899" si="165">ROUND(C899*E899,0)</f>
        <v>4152</v>
      </c>
      <c r="G899" s="1457">
        <f>WORK!I3317</f>
        <v>0</v>
      </c>
      <c r="H899" s="1458" t="s">
        <v>115</v>
      </c>
      <c r="I899" s="1459">
        <f>WORK!K3317</f>
        <v>1290</v>
      </c>
      <c r="J899" s="1450">
        <f t="shared" ref="J899" si="166">ROUND(G899*I899,0)</f>
        <v>0</v>
      </c>
      <c r="K899" s="1911">
        <f>IF((J899+J900+J901+J902)&gt;(F899+F900+F901+F902),(J899+J900+J901+J902)-(F899+F900+F901+F902),0)</f>
        <v>0</v>
      </c>
      <c r="L899" s="1911">
        <f>IF((J899+J900+J901+J902)&lt;(F899+F900+F901+F902),(F899+F900+F901+F902)-(J899+J900+J901+J902),0)</f>
        <v>4152</v>
      </c>
      <c r="M899" s="1445" t="s">
        <v>2226</v>
      </c>
      <c r="N899" s="1446"/>
      <c r="O899" s="1447">
        <f t="shared" si="154"/>
        <v>4152</v>
      </c>
    </row>
    <row r="900" spans="1:15" s="360" customFormat="1" ht="15" hidden="1">
      <c r="A900" s="356" t="s">
        <v>1577</v>
      </c>
      <c r="B900" s="707" t="s">
        <v>797</v>
      </c>
      <c r="C900" s="709"/>
      <c r="D900" s="354"/>
      <c r="E900" s="10"/>
      <c r="F900" s="353"/>
      <c r="G900" s="358">
        <f>WORK!I3536</f>
        <v>0</v>
      </c>
      <c r="H900" s="354" t="s">
        <v>115</v>
      </c>
      <c r="I900" s="355">
        <f>WORK!K3536</f>
        <v>1290</v>
      </c>
      <c r="J900" s="353">
        <f t="shared" ref="J900:J910" si="167">ROUND(G900*I900,0)</f>
        <v>0</v>
      </c>
      <c r="K900" s="1912"/>
      <c r="L900" s="1912"/>
      <c r="M900" s="708" t="s">
        <v>2308</v>
      </c>
      <c r="N900" s="223"/>
      <c r="O900" s="706">
        <f t="shared" si="154"/>
        <v>0</v>
      </c>
    </row>
    <row r="901" spans="1:15" s="360" customFormat="1" ht="15" hidden="1">
      <c r="A901" s="356" t="s">
        <v>1577</v>
      </c>
      <c r="B901" s="707" t="s">
        <v>797</v>
      </c>
      <c r="C901" s="709"/>
      <c r="D901" s="354"/>
      <c r="E901" s="10"/>
      <c r="F901" s="353"/>
      <c r="G901" s="358">
        <f>WORK!I3756</f>
        <v>0</v>
      </c>
      <c r="H901" s="354" t="s">
        <v>115</v>
      </c>
      <c r="I901" s="355">
        <f>WORK!K3756</f>
        <v>1484</v>
      </c>
      <c r="J901" s="353">
        <f t="shared" si="167"/>
        <v>0</v>
      </c>
      <c r="K901" s="1912"/>
      <c r="L901" s="1912"/>
      <c r="M901" s="708" t="s">
        <v>2321</v>
      </c>
      <c r="N901" s="223"/>
      <c r="O901" s="706">
        <f t="shared" si="154"/>
        <v>0</v>
      </c>
    </row>
    <row r="902" spans="1:15" s="360" customFormat="1" ht="15" hidden="1">
      <c r="A902" s="356" t="s">
        <v>1577</v>
      </c>
      <c r="B902" s="707" t="s">
        <v>797</v>
      </c>
      <c r="C902" s="709"/>
      <c r="D902" s="354"/>
      <c r="E902" s="10"/>
      <c r="F902" s="353"/>
      <c r="G902" s="358">
        <f>WORK!I4000</f>
        <v>0</v>
      </c>
      <c r="H902" s="354" t="s">
        <v>115</v>
      </c>
      <c r="I902" s="355">
        <f>WORK!K4000</f>
        <v>1634</v>
      </c>
      <c r="J902" s="353">
        <f t="shared" si="167"/>
        <v>0</v>
      </c>
      <c r="K902" s="1913"/>
      <c r="L902" s="1913"/>
      <c r="M902" s="708" t="s">
        <v>2322</v>
      </c>
      <c r="N902" s="223"/>
      <c r="O902" s="706">
        <f t="shared" si="154"/>
        <v>0</v>
      </c>
    </row>
    <row r="903" spans="1:15" s="1448" customFormat="1" ht="15">
      <c r="A903" s="1436" t="s">
        <v>1577</v>
      </c>
      <c r="B903" s="1437" t="s">
        <v>2464</v>
      </c>
      <c r="C903" s="1500"/>
      <c r="D903" s="1439"/>
      <c r="E903" s="1221"/>
      <c r="F903" s="1450"/>
      <c r="G903" s="1453">
        <f>WORK!I3327</f>
        <v>1</v>
      </c>
      <c r="H903" s="1439" t="s">
        <v>115</v>
      </c>
      <c r="I903" s="1454">
        <f>WORK!K3327</f>
        <v>886.80000000000007</v>
      </c>
      <c r="J903" s="1450">
        <f t="shared" si="167"/>
        <v>887</v>
      </c>
      <c r="K903" s="1911">
        <f>IF((J903+J904+J905+J906)&gt;(F903+F904+F905+F906),(J903+J904+J905+J906)-(F903+F904+F905+F906),0)</f>
        <v>887</v>
      </c>
      <c r="L903" s="1911">
        <f>IF((J903+J904+J905+J906)&lt;(F903+F904+F905+F906),(F903+F904+F905+F906)-(J903+J904+J905+J906),0)</f>
        <v>0</v>
      </c>
      <c r="M903" s="1451" t="s">
        <v>2226</v>
      </c>
      <c r="N903" s="1446"/>
      <c r="O903" s="1452">
        <f t="shared" si="154"/>
        <v>-887</v>
      </c>
    </row>
    <row r="904" spans="1:15" s="360" customFormat="1" ht="15" hidden="1">
      <c r="A904" s="356" t="s">
        <v>2798</v>
      </c>
      <c r="B904" s="707" t="s">
        <v>2464</v>
      </c>
      <c r="C904" s="733"/>
      <c r="D904" s="354"/>
      <c r="E904" s="10"/>
      <c r="F904" s="353"/>
      <c r="G904" s="358">
        <f>WORK!I3546</f>
        <v>0</v>
      </c>
      <c r="H904" s="354" t="s">
        <v>115</v>
      </c>
      <c r="I904" s="355">
        <f>WORK!K3546</f>
        <v>905</v>
      </c>
      <c r="J904" s="353">
        <f t="shared" si="167"/>
        <v>0</v>
      </c>
      <c r="K904" s="1912"/>
      <c r="L904" s="1912"/>
      <c r="M904" s="708" t="s">
        <v>2308</v>
      </c>
      <c r="N904" s="223"/>
      <c r="O904" s="706">
        <f t="shared" si="154"/>
        <v>0</v>
      </c>
    </row>
    <row r="905" spans="1:15" s="1448" customFormat="1" ht="15" hidden="1">
      <c r="A905" s="1436" t="s">
        <v>1146</v>
      </c>
      <c r="B905" s="1437" t="s">
        <v>2464</v>
      </c>
      <c r="C905" s="1500"/>
      <c r="D905" s="1439"/>
      <c r="E905" s="1221"/>
      <c r="F905" s="1450"/>
      <c r="G905" s="1453">
        <f>WORK!I3766</f>
        <v>0</v>
      </c>
      <c r="H905" s="1439" t="s">
        <v>115</v>
      </c>
      <c r="I905" s="1454">
        <f>WORK!K3766</f>
        <v>1005.6</v>
      </c>
      <c r="J905" s="1450">
        <f t="shared" si="167"/>
        <v>0</v>
      </c>
      <c r="K905" s="1912"/>
      <c r="L905" s="1912"/>
      <c r="M905" s="1451" t="s">
        <v>2321</v>
      </c>
      <c r="N905" s="1446"/>
      <c r="O905" s="1452">
        <f t="shared" si="154"/>
        <v>0</v>
      </c>
    </row>
    <row r="906" spans="1:15" s="1448" customFormat="1" ht="63.75" hidden="1">
      <c r="A906" s="1436" t="s">
        <v>1150</v>
      </c>
      <c r="B906" s="1437" t="s">
        <v>941</v>
      </c>
      <c r="C906" s="1500"/>
      <c r="D906" s="1439"/>
      <c r="E906" s="1221"/>
      <c r="F906" s="1450"/>
      <c r="G906" s="1453">
        <f>WORK!I4010</f>
        <v>0</v>
      </c>
      <c r="H906" s="1439" t="s">
        <v>115</v>
      </c>
      <c r="I906" s="1454">
        <f>WORK!K4010</f>
        <v>1089.96</v>
      </c>
      <c r="J906" s="1450">
        <f t="shared" si="167"/>
        <v>0</v>
      </c>
      <c r="K906" s="1913"/>
      <c r="L906" s="1913"/>
      <c r="M906" s="1445" t="s">
        <v>2322</v>
      </c>
      <c r="N906" s="1446"/>
      <c r="O906" s="1447">
        <f t="shared" si="154"/>
        <v>0</v>
      </c>
    </row>
    <row r="907" spans="1:15" s="1448" customFormat="1" ht="38.25">
      <c r="A907" s="1436" t="s">
        <v>1584</v>
      </c>
      <c r="B907" s="1437" t="s">
        <v>3329</v>
      </c>
      <c r="C907" s="1336">
        <v>1</v>
      </c>
      <c r="D907" s="1439" t="s">
        <v>115</v>
      </c>
      <c r="E907" s="1221">
        <v>3390</v>
      </c>
      <c r="F907" s="1440">
        <f t="shared" ref="F907" si="168">ROUND(C907*E907,0)</f>
        <v>3390</v>
      </c>
      <c r="G907" s="1457">
        <f>WORK!I3332</f>
        <v>0</v>
      </c>
      <c r="H907" s="1458" t="s">
        <v>115</v>
      </c>
      <c r="I907" s="1459">
        <f>WORK!K3332</f>
        <v>3404.82</v>
      </c>
      <c r="J907" s="1450">
        <f t="shared" si="167"/>
        <v>0</v>
      </c>
      <c r="K907" s="1911">
        <f>IF((J907+J908+J909+J910)&gt;(F907+F908+F909+F910),(J907+J908+J909+J910)-(F907+F908+F909+F910),0)</f>
        <v>0</v>
      </c>
      <c r="L907" s="1911">
        <f>IF((J907+J908+J909+J910)&lt;(F907+F908+F909+F910),(F907+F908+F909+F910)-(J907+J908+J909+J910),0)</f>
        <v>3390</v>
      </c>
      <c r="M907" s="1445" t="s">
        <v>2226</v>
      </c>
      <c r="N907" s="1446"/>
      <c r="O907" s="1447">
        <f t="shared" si="154"/>
        <v>3390</v>
      </c>
    </row>
    <row r="908" spans="1:15" s="360" customFormat="1" ht="15" hidden="1">
      <c r="A908" s="356" t="s">
        <v>2799</v>
      </c>
      <c r="B908" s="707" t="s">
        <v>565</v>
      </c>
      <c r="C908" s="709"/>
      <c r="D908" s="354"/>
      <c r="E908" s="10"/>
      <c r="F908" s="353"/>
      <c r="G908" s="358">
        <f>WORK!I3551</f>
        <v>0</v>
      </c>
      <c r="H908" s="354" t="s">
        <v>115</v>
      </c>
      <c r="I908" s="355">
        <f>WORK!K3551</f>
        <v>3432.82</v>
      </c>
      <c r="J908" s="353">
        <f t="shared" si="167"/>
        <v>0</v>
      </c>
      <c r="K908" s="1912"/>
      <c r="L908" s="1912"/>
      <c r="M908" s="708" t="s">
        <v>2308</v>
      </c>
      <c r="N908" s="223"/>
      <c r="O908" s="706">
        <f t="shared" si="154"/>
        <v>0</v>
      </c>
    </row>
    <row r="909" spans="1:15" s="1448" customFormat="1" ht="15" hidden="1">
      <c r="A909" s="1436" t="s">
        <v>1148</v>
      </c>
      <c r="B909" s="1437" t="s">
        <v>565</v>
      </c>
      <c r="C909" s="1449"/>
      <c r="D909" s="1439"/>
      <c r="E909" s="1221"/>
      <c r="F909" s="1450"/>
      <c r="G909" s="1453">
        <f>WORK!I3771</f>
        <v>0</v>
      </c>
      <c r="H909" s="1439" t="s">
        <v>115</v>
      </c>
      <c r="I909" s="1454">
        <f>WORK!K3771</f>
        <v>3771.9349999999999</v>
      </c>
      <c r="J909" s="1450">
        <f t="shared" si="167"/>
        <v>0</v>
      </c>
      <c r="K909" s="1912"/>
      <c r="L909" s="1912"/>
      <c r="M909" s="1451" t="s">
        <v>2321</v>
      </c>
      <c r="N909" s="1446"/>
      <c r="O909" s="1452">
        <f t="shared" si="154"/>
        <v>0</v>
      </c>
    </row>
    <row r="910" spans="1:15" s="360" customFormat="1" ht="38.25" hidden="1">
      <c r="A910" s="356" t="s">
        <v>1151</v>
      </c>
      <c r="B910" s="707" t="s">
        <v>3329</v>
      </c>
      <c r="C910" s="709"/>
      <c r="D910" s="354"/>
      <c r="E910" s="10"/>
      <c r="F910" s="353"/>
      <c r="G910" s="358">
        <f>WORK!I4014</f>
        <v>0</v>
      </c>
      <c r="H910" s="354" t="s">
        <v>115</v>
      </c>
      <c r="I910" s="355">
        <f>WORK!K4014</f>
        <v>4142.4250000000002</v>
      </c>
      <c r="J910" s="353">
        <f t="shared" si="167"/>
        <v>0</v>
      </c>
      <c r="K910" s="1913"/>
      <c r="L910" s="1913"/>
      <c r="M910" s="1139" t="s">
        <v>2322</v>
      </c>
      <c r="N910" s="223"/>
      <c r="O910" s="1138">
        <f t="shared" si="154"/>
        <v>0</v>
      </c>
    </row>
    <row r="911" spans="1:15" s="1448" customFormat="1" ht="15">
      <c r="A911" s="1436" t="s">
        <v>1585</v>
      </c>
      <c r="B911" s="1757" t="s">
        <v>2458</v>
      </c>
      <c r="C911" s="1336">
        <v>1</v>
      </c>
      <c r="D911" s="1439" t="s">
        <v>115</v>
      </c>
      <c r="E911" s="1221">
        <v>1227</v>
      </c>
      <c r="F911" s="1440">
        <f t="shared" ref="F911:F915" si="169">ROUND(C911*E911,0)</f>
        <v>1227</v>
      </c>
      <c r="G911" s="1453"/>
      <c r="H911" s="1439"/>
      <c r="I911" s="1454"/>
      <c r="J911" s="1450"/>
      <c r="K911" s="1495">
        <f t="shared" ref="K911:K916" si="170">IF(J911&gt;F911,J911-F911,0)</f>
        <v>0</v>
      </c>
      <c r="L911" s="1496">
        <f t="shared" ref="L911:L916" si="171">IF(J911&lt;F911,F911-J911,0)</f>
        <v>1227</v>
      </c>
      <c r="M911" s="1445" t="s">
        <v>2226</v>
      </c>
      <c r="N911" s="1446"/>
      <c r="O911" s="1447">
        <f t="shared" si="154"/>
        <v>1227</v>
      </c>
    </row>
    <row r="912" spans="1:15" s="1448" customFormat="1" ht="15">
      <c r="A912" s="1436" t="s">
        <v>1143</v>
      </c>
      <c r="B912" s="1757" t="s">
        <v>2584</v>
      </c>
      <c r="C912" s="1336">
        <v>1</v>
      </c>
      <c r="D912" s="1439" t="s">
        <v>115</v>
      </c>
      <c r="E912" s="1221">
        <v>10532</v>
      </c>
      <c r="F912" s="1440">
        <f t="shared" si="169"/>
        <v>10532</v>
      </c>
      <c r="G912" s="1453"/>
      <c r="H912" s="1439"/>
      <c r="I912" s="1454"/>
      <c r="J912" s="1450">
        <f t="shared" ref="J912" si="172">ROUND(G912*I912,0)</f>
        <v>0</v>
      </c>
      <c r="K912" s="1495">
        <f t="shared" si="170"/>
        <v>0</v>
      </c>
      <c r="L912" s="1496">
        <f t="shared" si="171"/>
        <v>10532</v>
      </c>
      <c r="M912" s="1445" t="s">
        <v>2226</v>
      </c>
      <c r="N912" s="1446"/>
      <c r="O912" s="1447">
        <f t="shared" si="154"/>
        <v>10532</v>
      </c>
    </row>
    <row r="913" spans="1:15" s="1448" customFormat="1" ht="15">
      <c r="A913" s="1436" t="s">
        <v>1586</v>
      </c>
      <c r="B913" s="1757" t="s">
        <v>2459</v>
      </c>
      <c r="C913" s="1336">
        <v>10</v>
      </c>
      <c r="D913" s="1439" t="s">
        <v>115</v>
      </c>
      <c r="E913" s="1221">
        <v>113.6</v>
      </c>
      <c r="F913" s="1440">
        <f t="shared" si="169"/>
        <v>1136</v>
      </c>
      <c r="G913" s="1453"/>
      <c r="H913" s="1439"/>
      <c r="I913" s="1454"/>
      <c r="J913" s="1450"/>
      <c r="K913" s="1495">
        <f t="shared" si="170"/>
        <v>0</v>
      </c>
      <c r="L913" s="1496">
        <f t="shared" si="171"/>
        <v>1136</v>
      </c>
      <c r="M913" s="1445" t="s">
        <v>2226</v>
      </c>
      <c r="N913" s="1446"/>
      <c r="O913" s="1447">
        <f t="shared" si="154"/>
        <v>1136</v>
      </c>
    </row>
    <row r="914" spans="1:15" s="1448" customFormat="1" ht="15">
      <c r="A914" s="1436" t="s">
        <v>645</v>
      </c>
      <c r="B914" s="1757" t="s">
        <v>2460</v>
      </c>
      <c r="C914" s="1336">
        <v>100</v>
      </c>
      <c r="D914" s="1439" t="s">
        <v>277</v>
      </c>
      <c r="E914" s="1221">
        <v>32</v>
      </c>
      <c r="F914" s="1440">
        <f t="shared" si="169"/>
        <v>3200</v>
      </c>
      <c r="G914" s="1453"/>
      <c r="H914" s="1439"/>
      <c r="I914" s="1454"/>
      <c r="J914" s="1450"/>
      <c r="K914" s="1495">
        <f t="shared" si="170"/>
        <v>0</v>
      </c>
      <c r="L914" s="1496">
        <f t="shared" si="171"/>
        <v>3200</v>
      </c>
      <c r="M914" s="1445" t="s">
        <v>2226</v>
      </c>
      <c r="N914" s="1446"/>
      <c r="O914" s="1447">
        <f t="shared" si="154"/>
        <v>3200</v>
      </c>
    </row>
    <row r="915" spans="1:15" s="1448" customFormat="1" ht="15">
      <c r="A915" s="1436" t="s">
        <v>1587</v>
      </c>
      <c r="B915" s="1757" t="s">
        <v>2461</v>
      </c>
      <c r="C915" s="1336">
        <v>60</v>
      </c>
      <c r="D915" s="1439" t="s">
        <v>277</v>
      </c>
      <c r="E915" s="1221">
        <v>29.7</v>
      </c>
      <c r="F915" s="1440">
        <f t="shared" si="169"/>
        <v>1782</v>
      </c>
      <c r="G915" s="1453"/>
      <c r="H915" s="1439"/>
      <c r="I915" s="1454"/>
      <c r="J915" s="1450"/>
      <c r="K915" s="1495">
        <f t="shared" si="170"/>
        <v>0</v>
      </c>
      <c r="L915" s="1496">
        <f t="shared" si="171"/>
        <v>1782</v>
      </c>
      <c r="M915" s="1445" t="s">
        <v>2226</v>
      </c>
      <c r="N915" s="1446"/>
      <c r="O915" s="1447">
        <f t="shared" si="154"/>
        <v>1782</v>
      </c>
    </row>
    <row r="916" spans="1:15" s="360" customFormat="1" ht="15" hidden="1">
      <c r="A916" s="356" t="s">
        <v>2051</v>
      </c>
      <c r="B916" s="707" t="s">
        <v>3211</v>
      </c>
      <c r="C916" s="633"/>
      <c r="D916" s="354"/>
      <c r="E916" s="622"/>
      <c r="F916" s="353"/>
      <c r="G916" s="358"/>
      <c r="H916" s="354"/>
      <c r="I916" s="355"/>
      <c r="J916" s="353">
        <f t="shared" ref="J916" si="173">ROUND(G916*I916,0)</f>
        <v>0</v>
      </c>
      <c r="K916" s="743">
        <f t="shared" si="170"/>
        <v>0</v>
      </c>
      <c r="L916" s="368">
        <f t="shared" si="171"/>
        <v>0</v>
      </c>
      <c r="M916" s="1139" t="s">
        <v>2226</v>
      </c>
      <c r="N916" s="223"/>
      <c r="O916" s="1138">
        <f>F916-J916</f>
        <v>0</v>
      </c>
    </row>
    <row r="917" spans="1:15" s="26" customFormat="1" ht="15" hidden="1">
      <c r="A917" s="23"/>
      <c r="B917" s="882" t="s">
        <v>2477</v>
      </c>
      <c r="C917" s="739"/>
      <c r="D917" s="224"/>
      <c r="E917" s="29"/>
      <c r="F917" s="865"/>
      <c r="G917" s="28"/>
      <c r="H917" s="224"/>
      <c r="I917" s="37"/>
      <c r="J917" s="223"/>
      <c r="K917" s="876"/>
      <c r="L917" s="877"/>
      <c r="M917" s="878"/>
      <c r="N917" s="223"/>
      <c r="O917" s="706"/>
    </row>
    <row r="918" spans="1:15" s="360" customFormat="1" ht="15" hidden="1">
      <c r="A918" s="356" t="s">
        <v>460</v>
      </c>
      <c r="B918" s="707" t="s">
        <v>537</v>
      </c>
      <c r="C918" s="633"/>
      <c r="D918" s="354"/>
      <c r="E918" s="622"/>
      <c r="F918" s="353"/>
      <c r="G918" s="358">
        <f>'3.60 lakhs'!I14</f>
        <v>0</v>
      </c>
      <c r="H918" s="354" t="s">
        <v>102</v>
      </c>
      <c r="I918" s="355">
        <f>'3.60 lakhs'!K14</f>
        <v>6.06</v>
      </c>
      <c r="J918" s="353">
        <f t="shared" ref="J918:J943" si="174">ROUND(G918*I918,0)</f>
        <v>0</v>
      </c>
      <c r="K918" s="743">
        <f t="shared" ref="K918:K981" si="175">IF(J918&gt;F918,J918-F918,0)</f>
        <v>0</v>
      </c>
      <c r="L918" s="368">
        <f t="shared" ref="L918:L981" si="176">IF(J918&lt;F918,F918-J918,0)</f>
        <v>0</v>
      </c>
      <c r="M918" s="708" t="s">
        <v>2322</v>
      </c>
      <c r="N918" s="223"/>
      <c r="O918" s="706">
        <f>F918-J918</f>
        <v>0</v>
      </c>
    </row>
    <row r="919" spans="1:15" s="360" customFormat="1" ht="15" hidden="1">
      <c r="A919" s="356" t="s">
        <v>460</v>
      </c>
      <c r="B919" s="707" t="s">
        <v>471</v>
      </c>
      <c r="C919" s="709"/>
      <c r="D919" s="354"/>
      <c r="E919" s="10"/>
      <c r="F919" s="353"/>
      <c r="G919" s="358">
        <f>'3.60 lakhs'!I20</f>
        <v>0</v>
      </c>
      <c r="H919" s="354" t="s">
        <v>5</v>
      </c>
      <c r="I919" s="355">
        <f>'3.60 lakhs'!K20</f>
        <v>144.26</v>
      </c>
      <c r="J919" s="353">
        <f t="shared" si="174"/>
        <v>0</v>
      </c>
      <c r="K919" s="743">
        <f t="shared" si="175"/>
        <v>0</v>
      </c>
      <c r="L919" s="368">
        <f t="shared" si="176"/>
        <v>0</v>
      </c>
      <c r="M919" s="708" t="s">
        <v>2322</v>
      </c>
      <c r="N919" s="223"/>
      <c r="O919" s="706">
        <f t="shared" ref="O919:O982" si="177">F919-J919</f>
        <v>0</v>
      </c>
    </row>
    <row r="920" spans="1:15" s="360" customFormat="1" ht="15" hidden="1">
      <c r="A920" s="356" t="s">
        <v>463</v>
      </c>
      <c r="B920" s="707" t="s">
        <v>538</v>
      </c>
      <c r="C920" s="709"/>
      <c r="D920" s="354"/>
      <c r="E920" s="10"/>
      <c r="F920" s="353"/>
      <c r="G920" s="358">
        <f>'3.60 lakhs'!I25</f>
        <v>0</v>
      </c>
      <c r="H920" s="354" t="s">
        <v>5</v>
      </c>
      <c r="I920" s="355">
        <f>'3.60 lakhs'!K25</f>
        <v>4583.3100000000004</v>
      </c>
      <c r="J920" s="353">
        <f t="shared" si="174"/>
        <v>0</v>
      </c>
      <c r="K920" s="743">
        <f t="shared" si="175"/>
        <v>0</v>
      </c>
      <c r="L920" s="368">
        <f t="shared" si="176"/>
        <v>0</v>
      </c>
      <c r="M920" s="708" t="s">
        <v>2322</v>
      </c>
      <c r="N920" s="223"/>
      <c r="O920" s="706">
        <f t="shared" si="177"/>
        <v>0</v>
      </c>
    </row>
    <row r="921" spans="1:15" s="360" customFormat="1" ht="15" hidden="1">
      <c r="A921" s="356" t="s">
        <v>463</v>
      </c>
      <c r="B921" s="707" t="s">
        <v>539</v>
      </c>
      <c r="C921" s="633"/>
      <c r="D921" s="354"/>
      <c r="E921" s="622"/>
      <c r="F921" s="353"/>
      <c r="G921" s="358">
        <f>'3.60 lakhs'!I34</f>
        <v>0</v>
      </c>
      <c r="H921" s="354" t="s">
        <v>5</v>
      </c>
      <c r="I921" s="355">
        <f>'3.60 lakhs'!K34</f>
        <v>4431.03</v>
      </c>
      <c r="J921" s="353">
        <f t="shared" si="174"/>
        <v>0</v>
      </c>
      <c r="K921" s="743">
        <f t="shared" si="175"/>
        <v>0</v>
      </c>
      <c r="L921" s="368">
        <f t="shared" si="176"/>
        <v>0</v>
      </c>
      <c r="M921" s="708" t="s">
        <v>2322</v>
      </c>
      <c r="N921" s="223"/>
      <c r="O921" s="706">
        <f t="shared" si="177"/>
        <v>0</v>
      </c>
    </row>
    <row r="922" spans="1:15" s="360" customFormat="1" ht="15" hidden="1">
      <c r="A922" s="356" t="s">
        <v>462</v>
      </c>
      <c r="B922" s="707" t="s">
        <v>1219</v>
      </c>
      <c r="C922" s="710"/>
      <c r="D922" s="354"/>
      <c r="E922" s="362"/>
      <c r="F922" s="353"/>
      <c r="G922" s="358">
        <f>'3.60 lakhs'!I40</f>
        <v>0</v>
      </c>
      <c r="H922" s="354" t="s">
        <v>5</v>
      </c>
      <c r="I922" s="355">
        <f>'3.60 lakhs'!K40</f>
        <v>216.13</v>
      </c>
      <c r="J922" s="353">
        <f t="shared" si="174"/>
        <v>0</v>
      </c>
      <c r="K922" s="743">
        <f t="shared" si="175"/>
        <v>0</v>
      </c>
      <c r="L922" s="368">
        <f t="shared" si="176"/>
        <v>0</v>
      </c>
      <c r="M922" s="708" t="s">
        <v>2322</v>
      </c>
      <c r="N922" s="223"/>
      <c r="O922" s="706">
        <f t="shared" si="177"/>
        <v>0</v>
      </c>
    </row>
    <row r="923" spans="1:15" s="360" customFormat="1" ht="15" hidden="1">
      <c r="A923" s="356" t="s">
        <v>464</v>
      </c>
      <c r="B923" s="707" t="s">
        <v>716</v>
      </c>
      <c r="C923" s="710"/>
      <c r="D923" s="354"/>
      <c r="E923" s="362"/>
      <c r="F923" s="353"/>
      <c r="G923" s="358">
        <f>'3.60 lakhs'!I46</f>
        <v>0</v>
      </c>
      <c r="H923" s="354" t="s">
        <v>5</v>
      </c>
      <c r="I923" s="355">
        <f>'3.60 lakhs'!K46</f>
        <v>272.13</v>
      </c>
      <c r="J923" s="353">
        <f t="shared" si="174"/>
        <v>0</v>
      </c>
      <c r="K923" s="743">
        <f t="shared" si="175"/>
        <v>0</v>
      </c>
      <c r="L923" s="368">
        <f t="shared" si="176"/>
        <v>0</v>
      </c>
      <c r="M923" s="708" t="s">
        <v>2322</v>
      </c>
      <c r="N923" s="223"/>
      <c r="O923" s="706">
        <f t="shared" si="177"/>
        <v>0</v>
      </c>
    </row>
    <row r="924" spans="1:15" s="360" customFormat="1" ht="15" hidden="1">
      <c r="A924" s="356" t="s">
        <v>466</v>
      </c>
      <c r="B924" s="707" t="s">
        <v>704</v>
      </c>
      <c r="C924" s="709"/>
      <c r="D924" s="354"/>
      <c r="E924" s="10"/>
      <c r="F924" s="353"/>
      <c r="G924" s="358">
        <f>'3.60 lakhs'!I52</f>
        <v>0</v>
      </c>
      <c r="H924" s="354" t="s">
        <v>5</v>
      </c>
      <c r="I924" s="355">
        <f>'3.60 lakhs'!K52</f>
        <v>1603.13</v>
      </c>
      <c r="J924" s="353">
        <f t="shared" si="174"/>
        <v>0</v>
      </c>
      <c r="K924" s="743">
        <f t="shared" si="175"/>
        <v>0</v>
      </c>
      <c r="L924" s="368">
        <f t="shared" si="176"/>
        <v>0</v>
      </c>
      <c r="M924" s="708" t="s">
        <v>2322</v>
      </c>
      <c r="N924" s="223"/>
      <c r="O924" s="706">
        <f t="shared" si="177"/>
        <v>0</v>
      </c>
    </row>
    <row r="925" spans="1:15" s="360" customFormat="1" ht="15" hidden="1">
      <c r="A925" s="356" t="s">
        <v>326</v>
      </c>
      <c r="B925" s="707" t="s">
        <v>540</v>
      </c>
      <c r="C925" s="711"/>
      <c r="D925" s="354"/>
      <c r="E925" s="10"/>
      <c r="F925" s="353"/>
      <c r="G925" s="358">
        <f>'3.60 lakhs'!I59</f>
        <v>0</v>
      </c>
      <c r="H925" s="354" t="s">
        <v>5</v>
      </c>
      <c r="I925" s="355">
        <f>'3.60 lakhs'!K59</f>
        <v>284.39999999999998</v>
      </c>
      <c r="J925" s="353">
        <f t="shared" si="174"/>
        <v>0</v>
      </c>
      <c r="K925" s="743">
        <f t="shared" si="175"/>
        <v>0</v>
      </c>
      <c r="L925" s="368">
        <f t="shared" si="176"/>
        <v>0</v>
      </c>
      <c r="M925" s="708" t="s">
        <v>2322</v>
      </c>
      <c r="N925" s="223"/>
      <c r="O925" s="706">
        <f t="shared" si="177"/>
        <v>0</v>
      </c>
    </row>
    <row r="926" spans="1:15" s="360" customFormat="1" ht="25.5" hidden="1">
      <c r="A926" s="356" t="s">
        <v>465</v>
      </c>
      <c r="B926" s="707" t="s">
        <v>2066</v>
      </c>
      <c r="C926" s="709"/>
      <c r="D926" s="354"/>
      <c r="E926" s="10"/>
      <c r="F926" s="353"/>
      <c r="G926" s="358">
        <f>'3.60 lakhs'!I64</f>
        <v>0</v>
      </c>
      <c r="H926" s="354" t="s">
        <v>5</v>
      </c>
      <c r="I926" s="355">
        <f>'3.60 lakhs'!K64</f>
        <v>8062.18</v>
      </c>
      <c r="J926" s="353">
        <f t="shared" si="174"/>
        <v>0</v>
      </c>
      <c r="K926" s="743">
        <f t="shared" si="175"/>
        <v>0</v>
      </c>
      <c r="L926" s="368">
        <f t="shared" si="176"/>
        <v>0</v>
      </c>
      <c r="M926" s="708" t="s">
        <v>2322</v>
      </c>
      <c r="N926" s="223"/>
      <c r="O926" s="706">
        <f t="shared" si="177"/>
        <v>0</v>
      </c>
    </row>
    <row r="927" spans="1:15" s="360" customFormat="1" ht="15" hidden="1">
      <c r="A927" s="356" t="s">
        <v>466</v>
      </c>
      <c r="B927" s="707" t="s">
        <v>2067</v>
      </c>
      <c r="C927" s="711"/>
      <c r="D927" s="354"/>
      <c r="E927" s="10"/>
      <c r="F927" s="353"/>
      <c r="G927" s="358">
        <f>'3.60 lakhs'!I69</f>
        <v>0</v>
      </c>
      <c r="H927" s="354" t="s">
        <v>5</v>
      </c>
      <c r="I927" s="355">
        <f>'3.60 lakhs'!K69</f>
        <v>8501.18</v>
      </c>
      <c r="J927" s="353">
        <f t="shared" si="174"/>
        <v>0</v>
      </c>
      <c r="K927" s="743">
        <f t="shared" si="175"/>
        <v>0</v>
      </c>
      <c r="L927" s="368">
        <f t="shared" si="176"/>
        <v>0</v>
      </c>
      <c r="M927" s="708" t="s">
        <v>2322</v>
      </c>
      <c r="N927" s="223"/>
      <c r="O927" s="706">
        <f t="shared" si="177"/>
        <v>0</v>
      </c>
    </row>
    <row r="928" spans="1:15" s="360" customFormat="1" ht="15" hidden="1">
      <c r="A928" s="356" t="s">
        <v>467</v>
      </c>
      <c r="B928" s="707" t="s">
        <v>2068</v>
      </c>
      <c r="C928" s="709"/>
      <c r="D928" s="354"/>
      <c r="E928" s="10"/>
      <c r="F928" s="353"/>
      <c r="G928" s="358">
        <f>'3.60 lakhs'!I81</f>
        <v>0</v>
      </c>
      <c r="H928" s="354" t="s">
        <v>5</v>
      </c>
      <c r="I928" s="355">
        <f>'3.60 lakhs'!K81</f>
        <v>10417.6</v>
      </c>
      <c r="J928" s="353">
        <f t="shared" si="174"/>
        <v>0</v>
      </c>
      <c r="K928" s="743">
        <f t="shared" si="175"/>
        <v>0</v>
      </c>
      <c r="L928" s="368">
        <f t="shared" si="176"/>
        <v>0</v>
      </c>
      <c r="M928" s="708" t="s">
        <v>2322</v>
      </c>
      <c r="N928" s="223"/>
      <c r="O928" s="706">
        <f t="shared" si="177"/>
        <v>0</v>
      </c>
    </row>
    <row r="929" spans="1:16" s="360" customFormat="1" ht="15" hidden="1">
      <c r="A929" s="356" t="s">
        <v>468</v>
      </c>
      <c r="B929" s="707" t="s">
        <v>2069</v>
      </c>
      <c r="C929" s="709"/>
      <c r="D929" s="354"/>
      <c r="E929" s="10"/>
      <c r="F929" s="353"/>
      <c r="G929" s="358">
        <f>'3.60 lakhs'!I89</f>
        <v>0</v>
      </c>
      <c r="H929" s="354" t="s">
        <v>5</v>
      </c>
      <c r="I929" s="355">
        <f>'3.60 lakhs'!K89</f>
        <v>10162.18</v>
      </c>
      <c r="J929" s="353">
        <f t="shared" si="174"/>
        <v>0</v>
      </c>
      <c r="K929" s="743">
        <f t="shared" si="175"/>
        <v>0</v>
      </c>
      <c r="L929" s="368">
        <f t="shared" si="176"/>
        <v>0</v>
      </c>
      <c r="M929" s="708" t="s">
        <v>2322</v>
      </c>
      <c r="N929" s="223"/>
      <c r="O929" s="706">
        <f t="shared" si="177"/>
        <v>0</v>
      </c>
    </row>
    <row r="930" spans="1:16" s="360" customFormat="1" ht="15" hidden="1">
      <c r="A930" s="356" t="s">
        <v>326</v>
      </c>
      <c r="B930" s="707" t="s">
        <v>2070</v>
      </c>
      <c r="C930" s="709"/>
      <c r="D930" s="428"/>
      <c r="E930" s="10"/>
      <c r="F930" s="353"/>
      <c r="G930" s="358">
        <f>'3.60 lakhs'!I97</f>
        <v>0</v>
      </c>
      <c r="H930" s="428" t="s">
        <v>5</v>
      </c>
      <c r="I930" s="355">
        <f>'3.60 lakhs'!K97</f>
        <v>9921.19</v>
      </c>
      <c r="J930" s="353">
        <f t="shared" si="174"/>
        <v>0</v>
      </c>
      <c r="K930" s="743">
        <f t="shared" si="175"/>
        <v>0</v>
      </c>
      <c r="L930" s="368">
        <f t="shared" si="176"/>
        <v>0</v>
      </c>
      <c r="M930" s="708" t="s">
        <v>2322</v>
      </c>
      <c r="N930" s="223"/>
      <c r="O930" s="706">
        <f t="shared" si="177"/>
        <v>0</v>
      </c>
      <c r="P930" s="712"/>
    </row>
    <row r="931" spans="1:16" s="360" customFormat="1" ht="15" hidden="1">
      <c r="A931" s="356" t="s">
        <v>469</v>
      </c>
      <c r="B931" s="707" t="s">
        <v>2071</v>
      </c>
      <c r="C931" s="711"/>
      <c r="D931" s="354"/>
      <c r="E931" s="10"/>
      <c r="F931" s="353"/>
      <c r="G931" s="358">
        <f>'3.60 lakhs'!I109</f>
        <v>0</v>
      </c>
      <c r="H931" s="354" t="s">
        <v>102</v>
      </c>
      <c r="I931" s="355">
        <f>'3.60 lakhs'!K109</f>
        <v>1202.4000000000001</v>
      </c>
      <c r="J931" s="353">
        <f t="shared" si="174"/>
        <v>0</v>
      </c>
      <c r="K931" s="743">
        <f t="shared" si="175"/>
        <v>0</v>
      </c>
      <c r="L931" s="368">
        <f t="shared" si="176"/>
        <v>0</v>
      </c>
      <c r="M931" s="708" t="s">
        <v>2322</v>
      </c>
      <c r="N931" s="223"/>
      <c r="O931" s="706">
        <f t="shared" si="177"/>
        <v>0</v>
      </c>
    </row>
    <row r="932" spans="1:16" s="360" customFormat="1" ht="15" hidden="1">
      <c r="A932" s="356" t="s">
        <v>472</v>
      </c>
      <c r="B932" s="707" t="s">
        <v>2072</v>
      </c>
      <c r="C932" s="709"/>
      <c r="D932" s="354"/>
      <c r="E932" s="10"/>
      <c r="F932" s="353"/>
      <c r="G932" s="358">
        <f>'3.60 lakhs'!I103</f>
        <v>0</v>
      </c>
      <c r="H932" s="354" t="s">
        <v>102</v>
      </c>
      <c r="I932" s="355">
        <f>'3.60 lakhs'!K103</f>
        <v>1345.28</v>
      </c>
      <c r="J932" s="353">
        <f t="shared" si="174"/>
        <v>0</v>
      </c>
      <c r="K932" s="743">
        <f t="shared" si="175"/>
        <v>0</v>
      </c>
      <c r="L932" s="368">
        <f t="shared" si="176"/>
        <v>0</v>
      </c>
      <c r="M932" s="708" t="s">
        <v>2322</v>
      </c>
      <c r="N932" s="223"/>
      <c r="O932" s="706">
        <f t="shared" si="177"/>
        <v>0</v>
      </c>
    </row>
    <row r="933" spans="1:16" s="360" customFormat="1" ht="15" hidden="1">
      <c r="A933" s="356" t="s">
        <v>469</v>
      </c>
      <c r="B933" s="707" t="s">
        <v>2073</v>
      </c>
      <c r="C933" s="710"/>
      <c r="D933" s="354"/>
      <c r="E933" s="362"/>
      <c r="F933" s="353"/>
      <c r="G933" s="358">
        <f>'3.60 lakhs'!I115</f>
        <v>0</v>
      </c>
      <c r="H933" s="354" t="s">
        <v>102</v>
      </c>
      <c r="I933" s="355">
        <f>'3.60 lakhs'!K115</f>
        <v>1059.52</v>
      </c>
      <c r="J933" s="353">
        <f t="shared" si="174"/>
        <v>0</v>
      </c>
      <c r="K933" s="743">
        <f t="shared" si="175"/>
        <v>0</v>
      </c>
      <c r="L933" s="368">
        <f t="shared" si="176"/>
        <v>0</v>
      </c>
      <c r="M933" s="708" t="s">
        <v>2322</v>
      </c>
      <c r="N933" s="223"/>
      <c r="O933" s="706">
        <f t="shared" si="177"/>
        <v>0</v>
      </c>
    </row>
    <row r="934" spans="1:16" s="360" customFormat="1" ht="15" hidden="1">
      <c r="A934" s="356" t="s">
        <v>469</v>
      </c>
      <c r="B934" s="707" t="s">
        <v>2074</v>
      </c>
      <c r="C934" s="711"/>
      <c r="D934" s="354"/>
      <c r="E934" s="10"/>
      <c r="F934" s="353"/>
      <c r="G934" s="358">
        <f>'3.60 lakhs'!I121</f>
        <v>0</v>
      </c>
      <c r="H934" s="354" t="s">
        <v>102</v>
      </c>
      <c r="I934" s="355">
        <f>'3.60 lakhs'!K121</f>
        <v>526.29999999999995</v>
      </c>
      <c r="J934" s="353">
        <f t="shared" si="174"/>
        <v>0</v>
      </c>
      <c r="K934" s="743">
        <f t="shared" si="175"/>
        <v>0</v>
      </c>
      <c r="L934" s="368">
        <f t="shared" si="176"/>
        <v>0</v>
      </c>
      <c r="M934" s="708" t="s">
        <v>2322</v>
      </c>
      <c r="N934" s="223"/>
      <c r="O934" s="706">
        <f t="shared" si="177"/>
        <v>0</v>
      </c>
    </row>
    <row r="935" spans="1:16" s="360" customFormat="1" ht="15" hidden="1">
      <c r="A935" s="356" t="s">
        <v>475</v>
      </c>
      <c r="B935" s="707" t="s">
        <v>2075</v>
      </c>
      <c r="C935" s="711"/>
      <c r="D935" s="354"/>
      <c r="E935" s="362"/>
      <c r="F935" s="353"/>
      <c r="G935" s="358">
        <f>'3.60 lakhs'!I128</f>
        <v>0</v>
      </c>
      <c r="H935" s="354" t="s">
        <v>102</v>
      </c>
      <c r="I935" s="355">
        <f>'3.60 lakhs'!K128</f>
        <v>385.15</v>
      </c>
      <c r="J935" s="353">
        <f t="shared" si="174"/>
        <v>0</v>
      </c>
      <c r="K935" s="743">
        <f t="shared" si="175"/>
        <v>0</v>
      </c>
      <c r="L935" s="368">
        <f t="shared" si="176"/>
        <v>0</v>
      </c>
      <c r="M935" s="708" t="s">
        <v>2322</v>
      </c>
      <c r="N935" s="223"/>
      <c r="O935" s="706">
        <f t="shared" si="177"/>
        <v>0</v>
      </c>
    </row>
    <row r="936" spans="1:16" s="360" customFormat="1" ht="15" hidden="1">
      <c r="A936" s="356" t="s">
        <v>475</v>
      </c>
      <c r="B936" s="707" t="s">
        <v>2076</v>
      </c>
      <c r="C936" s="709"/>
      <c r="D936" s="354"/>
      <c r="E936" s="10"/>
      <c r="F936" s="353"/>
      <c r="G936" s="358">
        <f>'3.60 lakhs'!I137</f>
        <v>0</v>
      </c>
      <c r="H936" s="354" t="s">
        <v>5</v>
      </c>
      <c r="I936" s="355">
        <f>'3.60 lakhs'!K137</f>
        <v>10584.6</v>
      </c>
      <c r="J936" s="353">
        <f t="shared" si="174"/>
        <v>0</v>
      </c>
      <c r="K936" s="743">
        <f t="shared" si="175"/>
        <v>0</v>
      </c>
      <c r="L936" s="368">
        <f t="shared" si="176"/>
        <v>0</v>
      </c>
      <c r="M936" s="708" t="s">
        <v>2322</v>
      </c>
      <c r="N936" s="223"/>
      <c r="O936" s="706">
        <f t="shared" si="177"/>
        <v>0</v>
      </c>
    </row>
    <row r="937" spans="1:16" s="360" customFormat="1" ht="15" hidden="1">
      <c r="A937" s="356" t="s">
        <v>478</v>
      </c>
      <c r="B937" s="707" t="s">
        <v>2077</v>
      </c>
      <c r="C937" s="554"/>
      <c r="D937" s="354"/>
      <c r="E937" s="10"/>
      <c r="F937" s="353"/>
      <c r="G937" s="358">
        <f>'3.60 lakhs'!I143</f>
        <v>0</v>
      </c>
      <c r="H937" s="354" t="s">
        <v>277</v>
      </c>
      <c r="I937" s="355">
        <f>'3.60 lakhs'!K143</f>
        <v>518.52</v>
      </c>
      <c r="J937" s="353">
        <f t="shared" si="174"/>
        <v>0</v>
      </c>
      <c r="K937" s="743">
        <f t="shared" si="175"/>
        <v>0</v>
      </c>
      <c r="L937" s="368">
        <f t="shared" si="176"/>
        <v>0</v>
      </c>
      <c r="M937" s="708" t="s">
        <v>2322</v>
      </c>
      <c r="N937" s="223"/>
      <c r="O937" s="706">
        <f t="shared" si="177"/>
        <v>0</v>
      </c>
    </row>
    <row r="938" spans="1:16" s="360" customFormat="1" ht="15" hidden="1">
      <c r="A938" s="356" t="s">
        <v>480</v>
      </c>
      <c r="B938" s="707" t="s">
        <v>1480</v>
      </c>
      <c r="C938" s="709"/>
      <c r="D938" s="221"/>
      <c r="E938" s="10"/>
      <c r="F938" s="353"/>
      <c r="G938" s="358">
        <f>'3.60 lakhs'!I149</f>
        <v>0</v>
      </c>
      <c r="H938" s="221" t="s">
        <v>102</v>
      </c>
      <c r="I938" s="355">
        <f>'3.60 lakhs'!K149</f>
        <v>315.69</v>
      </c>
      <c r="J938" s="353">
        <f t="shared" si="174"/>
        <v>0</v>
      </c>
      <c r="K938" s="743">
        <f t="shared" si="175"/>
        <v>0</v>
      </c>
      <c r="L938" s="368">
        <f t="shared" si="176"/>
        <v>0</v>
      </c>
      <c r="M938" s="708" t="s">
        <v>2322</v>
      </c>
      <c r="N938" s="223"/>
      <c r="O938" s="706">
        <f t="shared" si="177"/>
        <v>0</v>
      </c>
    </row>
    <row r="939" spans="1:16" s="360" customFormat="1" ht="15" hidden="1">
      <c r="A939" s="356" t="s">
        <v>476</v>
      </c>
      <c r="B939" s="707" t="s">
        <v>1481</v>
      </c>
      <c r="C939" s="709"/>
      <c r="D939" s="221"/>
      <c r="E939" s="10"/>
      <c r="F939" s="353"/>
      <c r="G939" s="358">
        <f>'3.60 lakhs'!I155</f>
        <v>0</v>
      </c>
      <c r="H939" s="221" t="s">
        <v>102</v>
      </c>
      <c r="I939" s="355">
        <f>'3.60 lakhs'!K155</f>
        <v>405.78</v>
      </c>
      <c r="J939" s="353">
        <f t="shared" si="174"/>
        <v>0</v>
      </c>
      <c r="K939" s="743">
        <f t="shared" si="175"/>
        <v>0</v>
      </c>
      <c r="L939" s="368">
        <f t="shared" si="176"/>
        <v>0</v>
      </c>
      <c r="M939" s="708" t="s">
        <v>2322</v>
      </c>
      <c r="N939" s="223"/>
      <c r="O939" s="706">
        <f t="shared" si="177"/>
        <v>0</v>
      </c>
    </row>
    <row r="940" spans="1:16" s="360" customFormat="1" ht="15" hidden="1">
      <c r="A940" s="356" t="s">
        <v>475</v>
      </c>
      <c r="B940" s="707" t="s">
        <v>2078</v>
      </c>
      <c r="C940" s="633"/>
      <c r="D940" s="354"/>
      <c r="E940" s="622"/>
      <c r="F940" s="353"/>
      <c r="G940" s="358">
        <f>'3.60 lakhs'!I256</f>
        <v>0</v>
      </c>
      <c r="H940" s="354" t="s">
        <v>5</v>
      </c>
      <c r="I940" s="355">
        <f>'3.60 lakhs'!K256</f>
        <v>5601.67</v>
      </c>
      <c r="J940" s="353">
        <f t="shared" si="174"/>
        <v>0</v>
      </c>
      <c r="K940" s="743">
        <f t="shared" si="175"/>
        <v>0</v>
      </c>
      <c r="L940" s="368">
        <f t="shared" si="176"/>
        <v>0</v>
      </c>
      <c r="M940" s="708" t="s">
        <v>2322</v>
      </c>
      <c r="N940" s="223"/>
      <c r="O940" s="706">
        <f t="shared" si="177"/>
        <v>0</v>
      </c>
    </row>
    <row r="941" spans="1:16" s="360" customFormat="1" ht="15" hidden="1">
      <c r="A941" s="356" t="s">
        <v>476</v>
      </c>
      <c r="B941" s="707" t="s">
        <v>1220</v>
      </c>
      <c r="C941" s="709"/>
      <c r="D941" s="354"/>
      <c r="E941" s="10"/>
      <c r="F941" s="353"/>
      <c r="G941" s="358">
        <f>'3.60 lakhs'!I162</f>
        <v>0</v>
      </c>
      <c r="H941" s="354" t="s">
        <v>5</v>
      </c>
      <c r="I941" s="355">
        <f>'3.60 lakhs'!K162</f>
        <v>3828.3500000000004</v>
      </c>
      <c r="J941" s="353">
        <f t="shared" si="174"/>
        <v>0</v>
      </c>
      <c r="K941" s="743">
        <f t="shared" si="175"/>
        <v>0</v>
      </c>
      <c r="L941" s="368">
        <f t="shared" si="176"/>
        <v>0</v>
      </c>
      <c r="M941" s="708" t="s">
        <v>2322</v>
      </c>
      <c r="N941" s="223"/>
      <c r="O941" s="706">
        <f t="shared" si="177"/>
        <v>0</v>
      </c>
    </row>
    <row r="942" spans="1:16" s="360" customFormat="1" ht="15" hidden="1">
      <c r="A942" s="356" t="s">
        <v>479</v>
      </c>
      <c r="B942" s="707" t="s">
        <v>828</v>
      </c>
      <c r="C942" s="709"/>
      <c r="D942" s="354"/>
      <c r="E942" s="10"/>
      <c r="F942" s="353"/>
      <c r="G942" s="358">
        <f>'3.60 lakhs'!I170</f>
        <v>0</v>
      </c>
      <c r="H942" s="354" t="s">
        <v>5</v>
      </c>
      <c r="I942" s="355">
        <f>'3.60 lakhs'!K170</f>
        <v>6869.83</v>
      </c>
      <c r="J942" s="353">
        <f t="shared" si="174"/>
        <v>0</v>
      </c>
      <c r="K942" s="743">
        <f t="shared" si="175"/>
        <v>0</v>
      </c>
      <c r="L942" s="368">
        <f t="shared" si="176"/>
        <v>0</v>
      </c>
      <c r="M942" s="708" t="s">
        <v>2322</v>
      </c>
      <c r="N942" s="223"/>
      <c r="O942" s="706">
        <f t="shared" si="177"/>
        <v>0</v>
      </c>
    </row>
    <row r="943" spans="1:16" s="360" customFormat="1" ht="15" hidden="1">
      <c r="A943" s="356" t="s">
        <v>480</v>
      </c>
      <c r="B943" s="707" t="s">
        <v>829</v>
      </c>
      <c r="C943" s="709"/>
      <c r="D943" s="354"/>
      <c r="E943" s="10"/>
      <c r="F943" s="353"/>
      <c r="G943" s="358">
        <f>'3.60 lakhs'!I178</f>
        <v>0</v>
      </c>
      <c r="H943" s="354" t="s">
        <v>5</v>
      </c>
      <c r="I943" s="355">
        <f>'3.60 lakhs'!K178</f>
        <v>6926.2300000000005</v>
      </c>
      <c r="J943" s="353">
        <f t="shared" si="174"/>
        <v>0</v>
      </c>
      <c r="K943" s="743">
        <f t="shared" si="175"/>
        <v>0</v>
      </c>
      <c r="L943" s="368">
        <f t="shared" si="176"/>
        <v>0</v>
      </c>
      <c r="M943" s="708" t="s">
        <v>2322</v>
      </c>
      <c r="N943" s="223"/>
      <c r="O943" s="706">
        <f t="shared" si="177"/>
        <v>0</v>
      </c>
    </row>
    <row r="944" spans="1:16" s="360" customFormat="1" ht="25.5" hidden="1">
      <c r="A944" s="356" t="s">
        <v>484</v>
      </c>
      <c r="B944" s="707" t="s">
        <v>705</v>
      </c>
      <c r="C944" s="709"/>
      <c r="D944" s="354"/>
      <c r="E944" s="10"/>
      <c r="F944" s="353"/>
      <c r="G944" s="358">
        <f>'3.60 lakhs'!I185</f>
        <v>0</v>
      </c>
      <c r="H944" s="354" t="s">
        <v>102</v>
      </c>
      <c r="I944" s="355">
        <f>'3.60 lakhs'!K185</f>
        <v>881.3</v>
      </c>
      <c r="J944" s="353">
        <f>ROUND(G944*I944/1,0)</f>
        <v>0</v>
      </c>
      <c r="K944" s="743">
        <f t="shared" si="175"/>
        <v>0</v>
      </c>
      <c r="L944" s="368">
        <f t="shared" si="176"/>
        <v>0</v>
      </c>
      <c r="M944" s="708" t="s">
        <v>2322</v>
      </c>
      <c r="N944" s="223"/>
      <c r="O944" s="706">
        <f t="shared" si="177"/>
        <v>0</v>
      </c>
    </row>
    <row r="945" spans="1:15" s="360" customFormat="1" ht="15" hidden="1">
      <c r="A945" s="356" t="s">
        <v>482</v>
      </c>
      <c r="B945" s="707" t="s">
        <v>1222</v>
      </c>
      <c r="C945" s="709"/>
      <c r="D945" s="354"/>
      <c r="E945" s="10"/>
      <c r="F945" s="353"/>
      <c r="G945" s="358">
        <f>'3.60 lakhs'!I193</f>
        <v>0</v>
      </c>
      <c r="H945" s="354" t="s">
        <v>102</v>
      </c>
      <c r="I945" s="355">
        <f>'3.60 lakhs'!K193</f>
        <v>6281.3700000000008</v>
      </c>
      <c r="J945" s="353">
        <f>ROUND(G945*I945/1,0)</f>
        <v>0</v>
      </c>
      <c r="K945" s="743">
        <f t="shared" si="175"/>
        <v>0</v>
      </c>
      <c r="L945" s="368">
        <f t="shared" si="176"/>
        <v>0</v>
      </c>
      <c r="M945" s="708" t="s">
        <v>2322</v>
      </c>
      <c r="N945" s="223"/>
      <c r="O945" s="706">
        <f t="shared" si="177"/>
        <v>0</v>
      </c>
    </row>
    <row r="946" spans="1:15" s="360" customFormat="1" ht="15" hidden="1">
      <c r="A946" s="356" t="s">
        <v>479</v>
      </c>
      <c r="B946" s="707" t="s">
        <v>1215</v>
      </c>
      <c r="C946" s="711"/>
      <c r="D946" s="354"/>
      <c r="E946" s="660"/>
      <c r="F946" s="353"/>
      <c r="G946" s="358">
        <f>'3.60 lakhs'!I200</f>
        <v>0</v>
      </c>
      <c r="H946" s="354" t="s">
        <v>102</v>
      </c>
      <c r="I946" s="355">
        <f>'3.60 lakhs'!K200</f>
        <v>2232.9699999999998</v>
      </c>
      <c r="J946" s="353">
        <f>ROUND(G946*I946/1,0)</f>
        <v>0</v>
      </c>
      <c r="K946" s="743">
        <f t="shared" si="175"/>
        <v>0</v>
      </c>
      <c r="L946" s="368">
        <f t="shared" si="176"/>
        <v>0</v>
      </c>
      <c r="M946" s="708" t="s">
        <v>2322</v>
      </c>
      <c r="N946" s="223"/>
      <c r="O946" s="706">
        <f t="shared" si="177"/>
        <v>0</v>
      </c>
    </row>
    <row r="947" spans="1:15" s="360" customFormat="1" ht="15" hidden="1">
      <c r="A947" s="356" t="s">
        <v>484</v>
      </c>
      <c r="B947" s="707" t="s">
        <v>481</v>
      </c>
      <c r="C947" s="709"/>
      <c r="D947" s="354"/>
      <c r="E947" s="10"/>
      <c r="F947" s="353"/>
      <c r="G947" s="358">
        <f>'3.60 lakhs'!I209</f>
        <v>0</v>
      </c>
      <c r="H947" s="354" t="s">
        <v>102</v>
      </c>
      <c r="I947" s="355">
        <f>'3.60 lakhs'!K209</f>
        <v>318.2</v>
      </c>
      <c r="J947" s="353">
        <f t="shared" ref="J947:J986" si="178">ROUND(G947*I947,0)</f>
        <v>0</v>
      </c>
      <c r="K947" s="743">
        <f t="shared" si="175"/>
        <v>0</v>
      </c>
      <c r="L947" s="368">
        <f t="shared" si="176"/>
        <v>0</v>
      </c>
      <c r="M947" s="708" t="s">
        <v>2322</v>
      </c>
      <c r="N947" s="223"/>
      <c r="O947" s="706">
        <f t="shared" si="177"/>
        <v>0</v>
      </c>
    </row>
    <row r="948" spans="1:15" s="360" customFormat="1" ht="15" hidden="1">
      <c r="A948" s="356" t="s">
        <v>483</v>
      </c>
      <c r="B948" s="707" t="s">
        <v>505</v>
      </c>
      <c r="C948" s="710"/>
      <c r="D948" s="354"/>
      <c r="E948" s="362"/>
      <c r="F948" s="353"/>
      <c r="G948" s="358">
        <f>'3.60 lakhs'!I219</f>
        <v>0</v>
      </c>
      <c r="H948" s="354" t="s">
        <v>102</v>
      </c>
      <c r="I948" s="355">
        <f>'3.60 lakhs'!K219</f>
        <v>294.70999999999998</v>
      </c>
      <c r="J948" s="353">
        <f t="shared" si="178"/>
        <v>0</v>
      </c>
      <c r="K948" s="743">
        <f t="shared" si="175"/>
        <v>0</v>
      </c>
      <c r="L948" s="368">
        <f t="shared" si="176"/>
        <v>0</v>
      </c>
      <c r="M948" s="708" t="s">
        <v>2322</v>
      </c>
      <c r="N948" s="223"/>
      <c r="O948" s="706">
        <f t="shared" si="177"/>
        <v>0</v>
      </c>
    </row>
    <row r="949" spans="1:15" s="360" customFormat="1" ht="15" hidden="1">
      <c r="A949" s="356" t="s">
        <v>484</v>
      </c>
      <c r="B949" s="707" t="s">
        <v>631</v>
      </c>
      <c r="C949" s="633"/>
      <c r="D949" s="354"/>
      <c r="E949" s="362"/>
      <c r="F949" s="353"/>
      <c r="G949" s="358">
        <f>'3.60 lakhs'!I226</f>
        <v>0</v>
      </c>
      <c r="H949" s="354" t="s">
        <v>102</v>
      </c>
      <c r="I949" s="355">
        <f>'3.60 lakhs'!K226</f>
        <v>314.89999999999998</v>
      </c>
      <c r="J949" s="353">
        <f t="shared" si="178"/>
        <v>0</v>
      </c>
      <c r="K949" s="743">
        <f t="shared" si="175"/>
        <v>0</v>
      </c>
      <c r="L949" s="368">
        <f t="shared" si="176"/>
        <v>0</v>
      </c>
      <c r="M949" s="708" t="s">
        <v>2322</v>
      </c>
      <c r="N949" s="223"/>
      <c r="O949" s="706">
        <f t="shared" si="177"/>
        <v>0</v>
      </c>
    </row>
    <row r="950" spans="1:15" s="360" customFormat="1" ht="15" hidden="1">
      <c r="A950" s="356" t="s">
        <v>486</v>
      </c>
      <c r="B950" s="707" t="s">
        <v>830</v>
      </c>
      <c r="C950" s="709"/>
      <c r="D950" s="354"/>
      <c r="E950" s="10"/>
      <c r="F950" s="353"/>
      <c r="G950" s="358">
        <f>'3.60 lakhs'!I233</f>
        <v>0</v>
      </c>
      <c r="H950" s="354" t="s">
        <v>102</v>
      </c>
      <c r="I950" s="355">
        <f>'3.60 lakhs'!K233</f>
        <v>388.21</v>
      </c>
      <c r="J950" s="353">
        <f t="shared" si="178"/>
        <v>0</v>
      </c>
      <c r="K950" s="743">
        <f t="shared" si="175"/>
        <v>0</v>
      </c>
      <c r="L950" s="368">
        <f t="shared" si="176"/>
        <v>0</v>
      </c>
      <c r="M950" s="708" t="s">
        <v>2322</v>
      </c>
      <c r="N950" s="223"/>
      <c r="O950" s="706">
        <f t="shared" si="177"/>
        <v>0</v>
      </c>
    </row>
    <row r="951" spans="1:15" s="360" customFormat="1" ht="15" hidden="1">
      <c r="A951" s="356" t="s">
        <v>488</v>
      </c>
      <c r="B951" s="707" t="s">
        <v>541</v>
      </c>
      <c r="C951" s="709"/>
      <c r="D951" s="354"/>
      <c r="E951" s="10"/>
      <c r="F951" s="353"/>
      <c r="G951" s="358">
        <f>'3.60 lakhs'!I249</f>
        <v>0</v>
      </c>
      <c r="H951" s="354" t="s">
        <v>102</v>
      </c>
      <c r="I951" s="355">
        <f>'3.60 lakhs'!K249</f>
        <v>404.02</v>
      </c>
      <c r="J951" s="353">
        <f t="shared" si="178"/>
        <v>0</v>
      </c>
      <c r="K951" s="743">
        <f t="shared" si="175"/>
        <v>0</v>
      </c>
      <c r="L951" s="368">
        <f t="shared" si="176"/>
        <v>0</v>
      </c>
      <c r="M951" s="708" t="s">
        <v>2322</v>
      </c>
      <c r="N951" s="223"/>
      <c r="O951" s="706">
        <f t="shared" si="177"/>
        <v>0</v>
      </c>
    </row>
    <row r="952" spans="1:15" s="360" customFormat="1" ht="15" hidden="1">
      <c r="A952" s="356" t="s">
        <v>461</v>
      </c>
      <c r="B952" s="707" t="s">
        <v>507</v>
      </c>
      <c r="C952" s="709"/>
      <c r="D952" s="354"/>
      <c r="E952" s="10"/>
      <c r="F952" s="353"/>
      <c r="G952" s="358">
        <f>'3.60 lakhs'!I268</f>
        <v>0</v>
      </c>
      <c r="H952" s="354" t="s">
        <v>102</v>
      </c>
      <c r="I952" s="355">
        <f>'3.60 lakhs'!K268</f>
        <v>1067.3599999999999</v>
      </c>
      <c r="J952" s="353">
        <f t="shared" si="178"/>
        <v>0</v>
      </c>
      <c r="K952" s="743">
        <f t="shared" si="175"/>
        <v>0</v>
      </c>
      <c r="L952" s="368">
        <f t="shared" si="176"/>
        <v>0</v>
      </c>
      <c r="M952" s="708" t="s">
        <v>2322</v>
      </c>
      <c r="N952" s="223"/>
      <c r="O952" s="706">
        <f t="shared" si="177"/>
        <v>0</v>
      </c>
    </row>
    <row r="953" spans="1:15" s="360" customFormat="1" ht="15" hidden="1">
      <c r="A953" s="356" t="s">
        <v>462</v>
      </c>
      <c r="B953" s="707" t="s">
        <v>1482</v>
      </c>
      <c r="C953" s="709"/>
      <c r="D953" s="354"/>
      <c r="E953" s="10"/>
      <c r="F953" s="353"/>
      <c r="G953" s="358">
        <f>'3.60 lakhs'!I291</f>
        <v>0</v>
      </c>
      <c r="H953" s="354" t="s">
        <v>102</v>
      </c>
      <c r="I953" s="355">
        <f>'3.60 lakhs'!K291</f>
        <v>1062.03</v>
      </c>
      <c r="J953" s="353">
        <f t="shared" si="178"/>
        <v>0</v>
      </c>
      <c r="K953" s="743">
        <f t="shared" si="175"/>
        <v>0</v>
      </c>
      <c r="L953" s="368">
        <f t="shared" si="176"/>
        <v>0</v>
      </c>
      <c r="M953" s="708" t="s">
        <v>2322</v>
      </c>
      <c r="N953" s="223"/>
      <c r="O953" s="706">
        <f t="shared" si="177"/>
        <v>0</v>
      </c>
    </row>
    <row r="954" spans="1:15" s="360" customFormat="1" ht="15" hidden="1">
      <c r="A954" s="356" t="s">
        <v>492</v>
      </c>
      <c r="B954" s="707" t="s">
        <v>708</v>
      </c>
      <c r="C954" s="710"/>
      <c r="D954" s="354"/>
      <c r="E954" s="362"/>
      <c r="F954" s="353"/>
      <c r="G954" s="358">
        <f>'3.60 lakhs'!I298</f>
        <v>0</v>
      </c>
      <c r="H954" s="354" t="s">
        <v>77</v>
      </c>
      <c r="I954" s="355">
        <f>'3.60 lakhs'!K298</f>
        <v>3115.07</v>
      </c>
      <c r="J954" s="353">
        <f t="shared" si="178"/>
        <v>0</v>
      </c>
      <c r="K954" s="743">
        <f t="shared" si="175"/>
        <v>0</v>
      </c>
      <c r="L954" s="368">
        <f t="shared" si="176"/>
        <v>0</v>
      </c>
      <c r="M954" s="708" t="s">
        <v>2322</v>
      </c>
      <c r="N954" s="223"/>
      <c r="O954" s="706">
        <f t="shared" si="177"/>
        <v>0</v>
      </c>
    </row>
    <row r="955" spans="1:15" s="360" customFormat="1" ht="15" hidden="1">
      <c r="A955" s="356" t="s">
        <v>493</v>
      </c>
      <c r="B955" s="707" t="s">
        <v>709</v>
      </c>
      <c r="C955" s="710"/>
      <c r="D955" s="354"/>
      <c r="E955" s="362"/>
      <c r="F955" s="353"/>
      <c r="G955" s="358">
        <f>'3.60 lakhs'!I306</f>
        <v>0</v>
      </c>
      <c r="H955" s="354" t="s">
        <v>102</v>
      </c>
      <c r="I955" s="355">
        <f>'3.60 lakhs'!K306</f>
        <v>2905.43</v>
      </c>
      <c r="J955" s="353">
        <f t="shared" si="178"/>
        <v>0</v>
      </c>
      <c r="K955" s="743">
        <f t="shared" si="175"/>
        <v>0</v>
      </c>
      <c r="L955" s="368">
        <f t="shared" si="176"/>
        <v>0</v>
      </c>
      <c r="M955" s="708" t="s">
        <v>2322</v>
      </c>
      <c r="N955" s="223"/>
      <c r="O955" s="706">
        <f t="shared" si="177"/>
        <v>0</v>
      </c>
    </row>
    <row r="956" spans="1:15" s="360" customFormat="1" ht="15" hidden="1">
      <c r="A956" s="356" t="s">
        <v>498</v>
      </c>
      <c r="B956" s="707" t="s">
        <v>710</v>
      </c>
      <c r="C956" s="711"/>
      <c r="D956" s="354"/>
      <c r="E956" s="362"/>
      <c r="F956" s="353"/>
      <c r="G956" s="358">
        <f>'3.60 lakhs'!I313</f>
        <v>0</v>
      </c>
      <c r="H956" s="354" t="s">
        <v>102</v>
      </c>
      <c r="I956" s="355">
        <f>'3.60 lakhs'!K313</f>
        <v>744.7</v>
      </c>
      <c r="J956" s="353">
        <f t="shared" si="178"/>
        <v>0</v>
      </c>
      <c r="K956" s="743">
        <f t="shared" si="175"/>
        <v>0</v>
      </c>
      <c r="L956" s="368">
        <f t="shared" si="176"/>
        <v>0</v>
      </c>
      <c r="M956" s="708" t="s">
        <v>2322</v>
      </c>
      <c r="N956" s="223"/>
      <c r="O956" s="706">
        <f t="shared" si="177"/>
        <v>0</v>
      </c>
    </row>
    <row r="957" spans="1:15" s="360" customFormat="1" ht="15" hidden="1">
      <c r="A957" s="356" t="s">
        <v>499</v>
      </c>
      <c r="B957" s="707" t="s">
        <v>711</v>
      </c>
      <c r="C957" s="710"/>
      <c r="D957" s="354"/>
      <c r="E957" s="362"/>
      <c r="F957" s="353"/>
      <c r="G957" s="358">
        <f>'3.60 lakhs'!I320</f>
        <v>0</v>
      </c>
      <c r="H957" s="354" t="s">
        <v>102</v>
      </c>
      <c r="I957" s="355">
        <f>'3.60 lakhs'!K320</f>
        <v>750.18</v>
      </c>
      <c r="J957" s="353">
        <f t="shared" si="178"/>
        <v>0</v>
      </c>
      <c r="K957" s="743">
        <f t="shared" si="175"/>
        <v>0</v>
      </c>
      <c r="L957" s="368">
        <f t="shared" si="176"/>
        <v>0</v>
      </c>
      <c r="M957" s="708" t="s">
        <v>2322</v>
      </c>
      <c r="N957" s="223"/>
      <c r="O957" s="706">
        <f t="shared" si="177"/>
        <v>0</v>
      </c>
    </row>
    <row r="958" spans="1:15" s="360" customFormat="1" ht="15" hidden="1">
      <c r="A958" s="356" t="s">
        <v>463</v>
      </c>
      <c r="B958" s="707" t="s">
        <v>511</v>
      </c>
      <c r="C958" s="709"/>
      <c r="D958" s="354"/>
      <c r="E958" s="10"/>
      <c r="F958" s="353"/>
      <c r="G958" s="358">
        <f>'3.60 lakhs'!I333</f>
        <v>0</v>
      </c>
      <c r="H958" s="354" t="s">
        <v>102</v>
      </c>
      <c r="I958" s="355">
        <f>'3.60 lakhs'!K333</f>
        <v>801.83</v>
      </c>
      <c r="J958" s="353">
        <f t="shared" si="178"/>
        <v>0</v>
      </c>
      <c r="K958" s="743">
        <f t="shared" si="175"/>
        <v>0</v>
      </c>
      <c r="L958" s="368">
        <f t="shared" si="176"/>
        <v>0</v>
      </c>
      <c r="M958" s="708" t="s">
        <v>2322</v>
      </c>
      <c r="N958" s="223"/>
      <c r="O958" s="706">
        <f t="shared" si="177"/>
        <v>0</v>
      </c>
    </row>
    <row r="959" spans="1:15" s="360" customFormat="1" ht="15" hidden="1">
      <c r="A959" s="356" t="s">
        <v>464</v>
      </c>
      <c r="B959" s="707" t="s">
        <v>570</v>
      </c>
      <c r="C959" s="709"/>
      <c r="D959" s="354"/>
      <c r="E959" s="10"/>
      <c r="F959" s="353"/>
      <c r="G959" s="358">
        <f>'3.60 lakhs'!I341</f>
        <v>0</v>
      </c>
      <c r="H959" s="354" t="s">
        <v>102</v>
      </c>
      <c r="I959" s="355">
        <f>'3.60 lakhs'!K341</f>
        <v>518.15</v>
      </c>
      <c r="J959" s="353">
        <f t="shared" si="178"/>
        <v>0</v>
      </c>
      <c r="K959" s="743">
        <f t="shared" si="175"/>
        <v>0</v>
      </c>
      <c r="L959" s="368">
        <f t="shared" si="176"/>
        <v>0</v>
      </c>
      <c r="M959" s="708" t="s">
        <v>2322</v>
      </c>
      <c r="N959" s="223"/>
      <c r="O959" s="706">
        <f t="shared" si="177"/>
        <v>0</v>
      </c>
    </row>
    <row r="960" spans="1:15" s="360" customFormat="1" ht="15" hidden="1">
      <c r="A960" s="356" t="s">
        <v>487</v>
      </c>
      <c r="B960" s="707" t="s">
        <v>1223</v>
      </c>
      <c r="C960" s="710"/>
      <c r="D960" s="354"/>
      <c r="E960" s="362"/>
      <c r="F960" s="353"/>
      <c r="G960" s="358">
        <f>'3.60 lakhs'!I348</f>
        <v>0</v>
      </c>
      <c r="H960" s="354" t="s">
        <v>102</v>
      </c>
      <c r="I960" s="355">
        <f>'3.60 lakhs'!K348</f>
        <v>1017.93</v>
      </c>
      <c r="J960" s="353">
        <f t="shared" si="178"/>
        <v>0</v>
      </c>
      <c r="K960" s="743">
        <f t="shared" si="175"/>
        <v>0</v>
      </c>
      <c r="L960" s="368">
        <f t="shared" si="176"/>
        <v>0</v>
      </c>
      <c r="M960" s="708" t="s">
        <v>2322</v>
      </c>
      <c r="N960" s="223"/>
      <c r="O960" s="706">
        <f t="shared" si="177"/>
        <v>0</v>
      </c>
    </row>
    <row r="961" spans="1:15" s="360" customFormat="1" ht="15" hidden="1">
      <c r="A961" s="356"/>
      <c r="B961" s="707" t="s">
        <v>2271</v>
      </c>
      <c r="C961" s="710"/>
      <c r="D961" s="354"/>
      <c r="E961" s="362"/>
      <c r="F961" s="353"/>
      <c r="G961" s="358">
        <f>'3.60 lakhs'!I355</f>
        <v>0</v>
      </c>
      <c r="H961" s="354" t="s">
        <v>102</v>
      </c>
      <c r="I961" s="355">
        <f>'3.60 lakhs'!K355</f>
        <v>610</v>
      </c>
      <c r="J961" s="353">
        <f t="shared" si="178"/>
        <v>0</v>
      </c>
      <c r="K961" s="743">
        <f t="shared" si="175"/>
        <v>0</v>
      </c>
      <c r="L961" s="368">
        <f t="shared" si="176"/>
        <v>0</v>
      </c>
      <c r="M961" s="708" t="s">
        <v>2322</v>
      </c>
      <c r="N961" s="223"/>
      <c r="O961" s="706">
        <f t="shared" si="177"/>
        <v>0</v>
      </c>
    </row>
    <row r="962" spans="1:15" s="360" customFormat="1" ht="15" hidden="1">
      <c r="A962" s="356"/>
      <c r="B962" s="707" t="s">
        <v>2272</v>
      </c>
      <c r="C962" s="710"/>
      <c r="D962" s="354"/>
      <c r="E962" s="362"/>
      <c r="F962" s="353"/>
      <c r="G962" s="358">
        <f>'3.60 lakhs'!I362</f>
        <v>0</v>
      </c>
      <c r="H962" s="354" t="s">
        <v>102</v>
      </c>
      <c r="I962" s="355">
        <f>'3.60 lakhs'!K362</f>
        <v>345.47</v>
      </c>
      <c r="J962" s="353">
        <f t="shared" si="178"/>
        <v>0</v>
      </c>
      <c r="K962" s="743">
        <f t="shared" si="175"/>
        <v>0</v>
      </c>
      <c r="L962" s="368">
        <f t="shared" si="176"/>
        <v>0</v>
      </c>
      <c r="M962" s="708" t="s">
        <v>2322</v>
      </c>
      <c r="N962" s="223"/>
      <c r="O962" s="706">
        <f t="shared" si="177"/>
        <v>0</v>
      </c>
    </row>
    <row r="963" spans="1:15" s="360" customFormat="1" ht="15" hidden="1">
      <c r="A963" s="356" t="s">
        <v>491</v>
      </c>
      <c r="B963" s="707" t="s">
        <v>959</v>
      </c>
      <c r="C963" s="710"/>
      <c r="D963" s="354"/>
      <c r="E963" s="362"/>
      <c r="F963" s="353"/>
      <c r="G963" s="358">
        <f>'3.60 lakhs'!I369</f>
        <v>0</v>
      </c>
      <c r="H963" s="354" t="s">
        <v>102</v>
      </c>
      <c r="I963" s="355">
        <f>'3.60 lakhs'!K369</f>
        <v>24.05</v>
      </c>
      <c r="J963" s="353">
        <f t="shared" si="178"/>
        <v>0</v>
      </c>
      <c r="K963" s="743">
        <f t="shared" si="175"/>
        <v>0</v>
      </c>
      <c r="L963" s="368">
        <f t="shared" si="176"/>
        <v>0</v>
      </c>
      <c r="M963" s="708" t="s">
        <v>2322</v>
      </c>
      <c r="N963" s="223"/>
      <c r="O963" s="706">
        <f t="shared" si="177"/>
        <v>0</v>
      </c>
    </row>
    <row r="964" spans="1:15" s="360" customFormat="1" ht="15" hidden="1">
      <c r="A964" s="356" t="s">
        <v>495</v>
      </c>
      <c r="B964" s="707" t="s">
        <v>960</v>
      </c>
      <c r="C964" s="710"/>
      <c r="D964" s="354"/>
      <c r="E964" s="362"/>
      <c r="F964" s="353"/>
      <c r="G964" s="358">
        <f>'3.60 lakhs'!I376</f>
        <v>0</v>
      </c>
      <c r="H964" s="354" t="s">
        <v>102</v>
      </c>
      <c r="I964" s="355">
        <f>'3.60 lakhs'!K376</f>
        <v>173.73</v>
      </c>
      <c r="J964" s="353">
        <f t="shared" si="178"/>
        <v>0</v>
      </c>
      <c r="K964" s="743">
        <f t="shared" si="175"/>
        <v>0</v>
      </c>
      <c r="L964" s="368">
        <f t="shared" si="176"/>
        <v>0</v>
      </c>
      <c r="M964" s="708" t="s">
        <v>2322</v>
      </c>
      <c r="N964" s="223"/>
      <c r="O964" s="706">
        <f t="shared" si="177"/>
        <v>0</v>
      </c>
    </row>
    <row r="965" spans="1:15" s="360" customFormat="1" ht="15" hidden="1">
      <c r="A965" s="356" t="s">
        <v>1518</v>
      </c>
      <c r="B965" s="707" t="s">
        <v>1165</v>
      </c>
      <c r="C965" s="709"/>
      <c r="D965" s="354"/>
      <c r="E965" s="10"/>
      <c r="F965" s="353"/>
      <c r="G965" s="358">
        <f>'3.60 lakhs'!I383</f>
        <v>0</v>
      </c>
      <c r="H965" s="354" t="s">
        <v>102</v>
      </c>
      <c r="I965" s="355">
        <f>'3.60 lakhs'!K383</f>
        <v>146.82</v>
      </c>
      <c r="J965" s="353">
        <f t="shared" si="178"/>
        <v>0</v>
      </c>
      <c r="K965" s="743">
        <f t="shared" si="175"/>
        <v>0</v>
      </c>
      <c r="L965" s="368">
        <f t="shared" si="176"/>
        <v>0</v>
      </c>
      <c r="M965" s="708" t="s">
        <v>2322</v>
      </c>
      <c r="N965" s="223"/>
      <c r="O965" s="706">
        <f t="shared" si="177"/>
        <v>0</v>
      </c>
    </row>
    <row r="966" spans="1:15" s="360" customFormat="1" ht="15" hidden="1">
      <c r="A966" s="356" t="s">
        <v>1520</v>
      </c>
      <c r="B966" s="707" t="s">
        <v>1166</v>
      </c>
      <c r="C966" s="709"/>
      <c r="D966" s="354"/>
      <c r="E966" s="10"/>
      <c r="F966" s="353"/>
      <c r="G966" s="358">
        <f>'3.60 lakhs'!I418</f>
        <v>0</v>
      </c>
      <c r="H966" s="354" t="s">
        <v>102</v>
      </c>
      <c r="I966" s="355">
        <f>'3.60 lakhs'!K418</f>
        <v>200.84</v>
      </c>
      <c r="J966" s="353">
        <f t="shared" si="178"/>
        <v>0</v>
      </c>
      <c r="K966" s="743">
        <f t="shared" si="175"/>
        <v>0</v>
      </c>
      <c r="L966" s="368">
        <f t="shared" si="176"/>
        <v>0</v>
      </c>
      <c r="M966" s="708" t="s">
        <v>2322</v>
      </c>
      <c r="N966" s="223"/>
      <c r="O966" s="706">
        <f t="shared" si="177"/>
        <v>0</v>
      </c>
    </row>
    <row r="967" spans="1:15" s="360" customFormat="1" ht="25.5" hidden="1">
      <c r="A967" s="356" t="s">
        <v>491</v>
      </c>
      <c r="B967" s="707" t="s">
        <v>1224</v>
      </c>
      <c r="C967" s="710"/>
      <c r="D967" s="354"/>
      <c r="E967" s="362"/>
      <c r="F967" s="353"/>
      <c r="G967" s="358">
        <f>'3.60 lakhs'!I429</f>
        <v>0</v>
      </c>
      <c r="H967" s="354" t="s">
        <v>102</v>
      </c>
      <c r="I967" s="355">
        <f>'3.60 lakhs'!K429</f>
        <v>968.78</v>
      </c>
      <c r="J967" s="353">
        <f t="shared" si="178"/>
        <v>0</v>
      </c>
      <c r="K967" s="743">
        <f t="shared" si="175"/>
        <v>0</v>
      </c>
      <c r="L967" s="368">
        <f t="shared" si="176"/>
        <v>0</v>
      </c>
      <c r="M967" s="708" t="s">
        <v>2322</v>
      </c>
      <c r="N967" s="223"/>
      <c r="O967" s="706">
        <f t="shared" si="177"/>
        <v>0</v>
      </c>
    </row>
    <row r="968" spans="1:15" s="360" customFormat="1" ht="25.5" hidden="1">
      <c r="A968" s="356" t="s">
        <v>497</v>
      </c>
      <c r="B968" s="707" t="s">
        <v>706</v>
      </c>
      <c r="C968" s="554"/>
      <c r="D968" s="221"/>
      <c r="E968" s="10"/>
      <c r="F968" s="353"/>
      <c r="G968" s="429">
        <f>'3.60 lakhs'!I434</f>
        <v>0</v>
      </c>
      <c r="H968" s="221" t="s">
        <v>102</v>
      </c>
      <c r="I968" s="430">
        <f>'3.60 lakhs'!K434</f>
        <v>4025</v>
      </c>
      <c r="J968" s="353">
        <f t="shared" si="178"/>
        <v>0</v>
      </c>
      <c r="K968" s="743">
        <f t="shared" si="175"/>
        <v>0</v>
      </c>
      <c r="L968" s="368">
        <f t="shared" si="176"/>
        <v>0</v>
      </c>
      <c r="M968" s="708" t="s">
        <v>2322</v>
      </c>
      <c r="N968" s="223"/>
      <c r="O968" s="706">
        <f t="shared" si="177"/>
        <v>0</v>
      </c>
    </row>
    <row r="969" spans="1:15" s="360" customFormat="1" ht="25.5" hidden="1">
      <c r="A969" s="356" t="s">
        <v>492</v>
      </c>
      <c r="B969" s="707" t="s">
        <v>961</v>
      </c>
      <c r="C969" s="554"/>
      <c r="D969" s="354"/>
      <c r="E969" s="10"/>
      <c r="F969" s="353"/>
      <c r="G969" s="358">
        <f>'3.60 lakhs'!I424</f>
        <v>0</v>
      </c>
      <c r="H969" s="354" t="s">
        <v>102</v>
      </c>
      <c r="I969" s="355">
        <f>'3.60 lakhs'!K424</f>
        <v>149.86000000000001</v>
      </c>
      <c r="J969" s="353">
        <f t="shared" si="178"/>
        <v>0</v>
      </c>
      <c r="K969" s="743">
        <f t="shared" si="175"/>
        <v>0</v>
      </c>
      <c r="L969" s="368">
        <f t="shared" si="176"/>
        <v>0</v>
      </c>
      <c r="M969" s="708" t="s">
        <v>2322</v>
      </c>
      <c r="N969" s="223"/>
      <c r="O969" s="706">
        <f t="shared" si="177"/>
        <v>0</v>
      </c>
    </row>
    <row r="970" spans="1:15" s="360" customFormat="1" ht="15" hidden="1">
      <c r="A970" s="356" t="s">
        <v>492</v>
      </c>
      <c r="B970" s="707" t="s">
        <v>1483</v>
      </c>
      <c r="C970" s="633"/>
      <c r="D970" s="354"/>
      <c r="E970" s="622"/>
      <c r="F970" s="353"/>
      <c r="G970" s="358">
        <f>'3.60 lakhs'!I439</f>
        <v>0</v>
      </c>
      <c r="H970" s="354" t="s">
        <v>115</v>
      </c>
      <c r="I970" s="355">
        <f>'3.60 lakhs'!K439</f>
        <v>666.66</v>
      </c>
      <c r="J970" s="353">
        <f t="shared" si="178"/>
        <v>0</v>
      </c>
      <c r="K970" s="743">
        <f t="shared" si="175"/>
        <v>0</v>
      </c>
      <c r="L970" s="368">
        <f t="shared" si="176"/>
        <v>0</v>
      </c>
      <c r="M970" s="708" t="s">
        <v>2322</v>
      </c>
      <c r="N970" s="223"/>
      <c r="O970" s="706">
        <f t="shared" si="177"/>
        <v>0</v>
      </c>
    </row>
    <row r="971" spans="1:15" s="360" customFormat="1" ht="15" hidden="1">
      <c r="A971" s="356" t="s">
        <v>465</v>
      </c>
      <c r="B971" s="707" t="s">
        <v>1484</v>
      </c>
      <c r="C971" s="633"/>
      <c r="D971" s="354"/>
      <c r="E971" s="622"/>
      <c r="F971" s="353"/>
      <c r="G971" s="358">
        <f>'3.60 lakhs'!I444</f>
        <v>0</v>
      </c>
      <c r="H971" s="354" t="s">
        <v>115</v>
      </c>
      <c r="I971" s="355">
        <f>'3.60 lakhs'!K444</f>
        <v>500</v>
      </c>
      <c r="J971" s="353">
        <f t="shared" si="178"/>
        <v>0</v>
      </c>
      <c r="K971" s="743">
        <f t="shared" si="175"/>
        <v>0</v>
      </c>
      <c r="L971" s="368">
        <f t="shared" si="176"/>
        <v>0</v>
      </c>
      <c r="M971" s="708" t="s">
        <v>2322</v>
      </c>
      <c r="N971" s="223"/>
      <c r="O971" s="706">
        <f t="shared" si="177"/>
        <v>0</v>
      </c>
    </row>
    <row r="972" spans="1:15" s="360" customFormat="1" ht="15" hidden="1">
      <c r="A972" s="356" t="s">
        <v>466</v>
      </c>
      <c r="B972" s="707" t="s">
        <v>1485</v>
      </c>
      <c r="C972" s="633"/>
      <c r="D972" s="354"/>
      <c r="E972" s="622"/>
      <c r="F972" s="353"/>
      <c r="G972" s="358">
        <f>'3.60 lakhs'!I449</f>
        <v>0</v>
      </c>
      <c r="H972" s="354" t="s">
        <v>115</v>
      </c>
      <c r="I972" s="355">
        <f>'3.60 lakhs'!K449</f>
        <v>130</v>
      </c>
      <c r="J972" s="353">
        <f t="shared" si="178"/>
        <v>0</v>
      </c>
      <c r="K972" s="743">
        <f t="shared" si="175"/>
        <v>0</v>
      </c>
      <c r="L972" s="368">
        <f t="shared" si="176"/>
        <v>0</v>
      </c>
      <c r="M972" s="708" t="s">
        <v>2322</v>
      </c>
      <c r="N972" s="223"/>
      <c r="O972" s="706">
        <f t="shared" si="177"/>
        <v>0</v>
      </c>
    </row>
    <row r="973" spans="1:15" s="360" customFormat="1" ht="15" hidden="1">
      <c r="A973" s="356" t="s">
        <v>503</v>
      </c>
      <c r="B973" s="707" t="s">
        <v>477</v>
      </c>
      <c r="C973" s="554"/>
      <c r="D973" s="221"/>
      <c r="E973" s="10"/>
      <c r="F973" s="353"/>
      <c r="G973" s="429">
        <f>'3.60 lakhs'!I456</f>
        <v>0</v>
      </c>
      <c r="H973" s="221" t="s">
        <v>29</v>
      </c>
      <c r="I973" s="430">
        <f>'3.60 lakhs'!K456</f>
        <v>89280</v>
      </c>
      <c r="J973" s="353">
        <f t="shared" si="178"/>
        <v>0</v>
      </c>
      <c r="K973" s="743">
        <f t="shared" si="175"/>
        <v>0</v>
      </c>
      <c r="L973" s="368">
        <f t="shared" si="176"/>
        <v>0</v>
      </c>
      <c r="M973" s="708" t="s">
        <v>2322</v>
      </c>
      <c r="N973" s="223"/>
      <c r="O973" s="706">
        <f t="shared" si="177"/>
        <v>0</v>
      </c>
    </row>
    <row r="974" spans="1:15" s="360" customFormat="1" ht="15" hidden="1">
      <c r="A974" s="356" t="s">
        <v>495</v>
      </c>
      <c r="B974" s="707" t="s">
        <v>2068</v>
      </c>
      <c r="C974" s="709"/>
      <c r="D974" s="354"/>
      <c r="E974" s="10"/>
      <c r="F974" s="353"/>
      <c r="G974" s="358">
        <f>'3.60 lakhs'!I462</f>
        <v>0</v>
      </c>
      <c r="H974" s="354" t="s">
        <v>5</v>
      </c>
      <c r="I974" s="355">
        <f>'3.60 lakhs'!K462</f>
        <v>11192.01</v>
      </c>
      <c r="J974" s="353">
        <f t="shared" si="178"/>
        <v>0</v>
      </c>
      <c r="K974" s="743">
        <f t="shared" si="175"/>
        <v>0</v>
      </c>
      <c r="L974" s="368">
        <f t="shared" si="176"/>
        <v>0</v>
      </c>
      <c r="M974" s="708" t="s">
        <v>2322</v>
      </c>
      <c r="N974" s="223"/>
      <c r="O974" s="706">
        <f t="shared" si="177"/>
        <v>0</v>
      </c>
    </row>
    <row r="975" spans="1:15" s="360" customFormat="1" ht="15" hidden="1">
      <c r="A975" s="356" t="s">
        <v>1517</v>
      </c>
      <c r="B975" s="707" t="s">
        <v>2070</v>
      </c>
      <c r="C975" s="709"/>
      <c r="D975" s="354"/>
      <c r="E975" s="10"/>
      <c r="F975" s="353"/>
      <c r="G975" s="358">
        <f>'3.60 lakhs'!I468</f>
        <v>0</v>
      </c>
      <c r="H975" s="354" t="s">
        <v>5</v>
      </c>
      <c r="I975" s="355">
        <f>'3.60 lakhs'!K468</f>
        <v>10490.18</v>
      </c>
      <c r="J975" s="353">
        <f t="shared" si="178"/>
        <v>0</v>
      </c>
      <c r="K975" s="743">
        <f t="shared" si="175"/>
        <v>0</v>
      </c>
      <c r="L975" s="368">
        <f t="shared" si="176"/>
        <v>0</v>
      </c>
      <c r="M975" s="708" t="s">
        <v>2322</v>
      </c>
      <c r="N975" s="223"/>
      <c r="O975" s="706">
        <f t="shared" si="177"/>
        <v>0</v>
      </c>
    </row>
    <row r="976" spans="1:15" s="360" customFormat="1" ht="15" hidden="1">
      <c r="A976" s="356" t="s">
        <v>1518</v>
      </c>
      <c r="B976" s="707" t="s">
        <v>2071</v>
      </c>
      <c r="C976" s="709"/>
      <c r="D976" s="354"/>
      <c r="E976" s="10"/>
      <c r="F976" s="353"/>
      <c r="G976" s="358">
        <f>'3.60 lakhs'!I479</f>
        <v>0</v>
      </c>
      <c r="H976" s="354" t="s">
        <v>102</v>
      </c>
      <c r="I976" s="355">
        <f>'3.60 lakhs'!K479</f>
        <v>1395.89</v>
      </c>
      <c r="J976" s="353">
        <f t="shared" si="178"/>
        <v>0</v>
      </c>
      <c r="K976" s="743">
        <f t="shared" si="175"/>
        <v>0</v>
      </c>
      <c r="L976" s="368">
        <f t="shared" si="176"/>
        <v>0</v>
      </c>
      <c r="M976" s="708" t="s">
        <v>2322</v>
      </c>
      <c r="N976" s="223"/>
      <c r="O976" s="706">
        <f t="shared" si="177"/>
        <v>0</v>
      </c>
    </row>
    <row r="977" spans="1:15" s="360" customFormat="1" ht="15" hidden="1">
      <c r="A977" s="356" t="s">
        <v>487</v>
      </c>
      <c r="B977" s="707" t="s">
        <v>2073</v>
      </c>
      <c r="C977" s="633"/>
      <c r="D977" s="354"/>
      <c r="E977" s="622"/>
      <c r="F977" s="353"/>
      <c r="G977" s="358">
        <f>'3.60 lakhs'!I484</f>
        <v>0</v>
      </c>
      <c r="H977" s="354" t="s">
        <v>102</v>
      </c>
      <c r="I977" s="355">
        <f>'3.60 lakhs'!K484</f>
        <v>1253.01</v>
      </c>
      <c r="J977" s="353">
        <f t="shared" si="178"/>
        <v>0</v>
      </c>
      <c r="K977" s="743">
        <f t="shared" si="175"/>
        <v>0</v>
      </c>
      <c r="L977" s="368">
        <f t="shared" si="176"/>
        <v>0</v>
      </c>
      <c r="M977" s="708" t="s">
        <v>2322</v>
      </c>
      <c r="N977" s="223"/>
      <c r="O977" s="706">
        <f t="shared" si="177"/>
        <v>0</v>
      </c>
    </row>
    <row r="978" spans="1:15" s="360" customFormat="1" ht="15" hidden="1">
      <c r="A978" s="356" t="s">
        <v>1519</v>
      </c>
      <c r="B978" s="707" t="s">
        <v>2072</v>
      </c>
      <c r="C978" s="554"/>
      <c r="D978" s="221"/>
      <c r="E978" s="10"/>
      <c r="F978" s="353"/>
      <c r="G978" s="358">
        <f>'3.60 lakhs'!I473</f>
        <v>0</v>
      </c>
      <c r="H978" s="221" t="s">
        <v>102</v>
      </c>
      <c r="I978" s="355">
        <f>'3.60 lakhs'!K473</f>
        <v>1538.77</v>
      </c>
      <c r="J978" s="353">
        <f t="shared" si="178"/>
        <v>0</v>
      </c>
      <c r="K978" s="743">
        <f t="shared" si="175"/>
        <v>0</v>
      </c>
      <c r="L978" s="368">
        <f t="shared" si="176"/>
        <v>0</v>
      </c>
      <c r="M978" s="708" t="s">
        <v>2322</v>
      </c>
      <c r="N978" s="223"/>
      <c r="O978" s="706">
        <f t="shared" si="177"/>
        <v>0</v>
      </c>
    </row>
    <row r="979" spans="1:15" s="360" customFormat="1" ht="15" hidden="1">
      <c r="A979" s="356" t="s">
        <v>517</v>
      </c>
      <c r="B979" s="707" t="s">
        <v>2079</v>
      </c>
      <c r="C979" s="711"/>
      <c r="D979" s="221"/>
      <c r="E979" s="660"/>
      <c r="F979" s="353"/>
      <c r="G979" s="358">
        <f>'3.60 lakhs'!I490</f>
        <v>0</v>
      </c>
      <c r="H979" s="221" t="s">
        <v>102</v>
      </c>
      <c r="I979" s="355">
        <f>'3.60 lakhs'!K490</f>
        <v>694.54</v>
      </c>
      <c r="J979" s="353">
        <f t="shared" si="178"/>
        <v>0</v>
      </c>
      <c r="K979" s="743">
        <f t="shared" si="175"/>
        <v>0</v>
      </c>
      <c r="L979" s="368">
        <f t="shared" si="176"/>
        <v>0</v>
      </c>
      <c r="M979" s="708" t="s">
        <v>2322</v>
      </c>
      <c r="N979" s="223"/>
      <c r="O979" s="706">
        <f t="shared" si="177"/>
        <v>0</v>
      </c>
    </row>
    <row r="980" spans="1:15" s="360" customFormat="1" ht="15" hidden="1">
      <c r="A980" s="356" t="s">
        <v>517</v>
      </c>
      <c r="B980" s="707" t="s">
        <v>2080</v>
      </c>
      <c r="C980" s="711"/>
      <c r="D980" s="221"/>
      <c r="E980" s="660"/>
      <c r="F980" s="353"/>
      <c r="G980" s="358">
        <f>'3.60 lakhs'!I496</f>
        <v>0</v>
      </c>
      <c r="H980" s="221" t="s">
        <v>102</v>
      </c>
      <c r="I980" s="355">
        <f>'3.60 lakhs'!K496</f>
        <v>553.39</v>
      </c>
      <c r="J980" s="353">
        <f t="shared" si="178"/>
        <v>0</v>
      </c>
      <c r="K980" s="743">
        <f t="shared" si="175"/>
        <v>0</v>
      </c>
      <c r="L980" s="368">
        <f t="shared" si="176"/>
        <v>0</v>
      </c>
      <c r="M980" s="708" t="s">
        <v>2322</v>
      </c>
      <c r="N980" s="223"/>
      <c r="O980" s="706">
        <f t="shared" si="177"/>
        <v>0</v>
      </c>
    </row>
    <row r="981" spans="1:15" s="360" customFormat="1" ht="15" hidden="1">
      <c r="A981" s="356" t="s">
        <v>513</v>
      </c>
      <c r="B981" s="707" t="s">
        <v>2076</v>
      </c>
      <c r="C981" s="709"/>
      <c r="D981" s="354"/>
      <c r="E981" s="10"/>
      <c r="F981" s="353"/>
      <c r="G981" s="358">
        <f>'3.60 lakhs'!I502</f>
        <v>0</v>
      </c>
      <c r="H981" s="354" t="s">
        <v>5</v>
      </c>
      <c r="I981" s="355">
        <f>'3.60 lakhs'!K502</f>
        <v>11212.51</v>
      </c>
      <c r="J981" s="353">
        <f t="shared" si="178"/>
        <v>0</v>
      </c>
      <c r="K981" s="743">
        <f t="shared" si="175"/>
        <v>0</v>
      </c>
      <c r="L981" s="368">
        <f t="shared" si="176"/>
        <v>0</v>
      </c>
      <c r="M981" s="708" t="s">
        <v>2322</v>
      </c>
      <c r="N981" s="223"/>
      <c r="O981" s="706">
        <f t="shared" si="177"/>
        <v>0</v>
      </c>
    </row>
    <row r="982" spans="1:15" s="360" customFormat="1" ht="15" hidden="1">
      <c r="A982" s="356" t="s">
        <v>515</v>
      </c>
      <c r="B982" s="707" t="s">
        <v>2077</v>
      </c>
      <c r="C982" s="554"/>
      <c r="D982" s="221"/>
      <c r="E982" s="10"/>
      <c r="F982" s="353"/>
      <c r="G982" s="358">
        <f>'3.60 lakhs'!I508</f>
        <v>0</v>
      </c>
      <c r="H982" s="221" t="s">
        <v>277</v>
      </c>
      <c r="I982" s="355">
        <f>'3.60 lakhs'!K508</f>
        <v>630.35</v>
      </c>
      <c r="J982" s="353">
        <f t="shared" si="178"/>
        <v>0</v>
      </c>
      <c r="K982" s="743">
        <f t="shared" ref="K982:K1045" si="179">IF(J982&gt;F982,J982-F982,0)</f>
        <v>0</v>
      </c>
      <c r="L982" s="368">
        <f t="shared" ref="L982:L1045" si="180">IF(J982&lt;F982,F982-J982,0)</f>
        <v>0</v>
      </c>
      <c r="M982" s="708" t="s">
        <v>2322</v>
      </c>
      <c r="N982" s="223"/>
      <c r="O982" s="706">
        <f t="shared" si="177"/>
        <v>0</v>
      </c>
    </row>
    <row r="983" spans="1:15" s="360" customFormat="1" ht="15" hidden="1">
      <c r="A983" s="356" t="s">
        <v>497</v>
      </c>
      <c r="B983" s="707" t="s">
        <v>1480</v>
      </c>
      <c r="C983" s="711"/>
      <c r="D983" s="221"/>
      <c r="E983" s="10"/>
      <c r="F983" s="353"/>
      <c r="G983" s="358">
        <f>'3.60 lakhs'!I514</f>
        <v>0</v>
      </c>
      <c r="H983" s="221" t="s">
        <v>102</v>
      </c>
      <c r="I983" s="355">
        <f>'3.60 lakhs'!K514</f>
        <v>339.16</v>
      </c>
      <c r="J983" s="353">
        <f t="shared" si="178"/>
        <v>0</v>
      </c>
      <c r="K983" s="743">
        <f t="shared" si="179"/>
        <v>0</v>
      </c>
      <c r="L983" s="368">
        <f t="shared" si="180"/>
        <v>0</v>
      </c>
      <c r="M983" s="708" t="s">
        <v>2322</v>
      </c>
      <c r="N983" s="223"/>
      <c r="O983" s="706">
        <f t="shared" ref="O983:O1046" si="181">F983-J983</f>
        <v>0</v>
      </c>
    </row>
    <row r="984" spans="1:15" s="360" customFormat="1" ht="15" hidden="1">
      <c r="A984" s="356" t="s">
        <v>520</v>
      </c>
      <c r="B984" s="707" t="s">
        <v>1481</v>
      </c>
      <c r="C984" s="711"/>
      <c r="D984" s="221"/>
      <c r="E984" s="660"/>
      <c r="F984" s="353"/>
      <c r="G984" s="358">
        <f>'3.60 lakhs'!I520</f>
        <v>0</v>
      </c>
      <c r="H984" s="221" t="s">
        <v>102</v>
      </c>
      <c r="I984" s="355">
        <f>'3.60 lakhs'!K520</f>
        <v>438.06</v>
      </c>
      <c r="J984" s="353">
        <f t="shared" si="178"/>
        <v>0</v>
      </c>
      <c r="K984" s="743">
        <f t="shared" si="179"/>
        <v>0</v>
      </c>
      <c r="L984" s="368">
        <f t="shared" si="180"/>
        <v>0</v>
      </c>
      <c r="M984" s="708" t="s">
        <v>2322</v>
      </c>
      <c r="N984" s="223"/>
      <c r="O984" s="706">
        <f t="shared" si="181"/>
        <v>0</v>
      </c>
    </row>
    <row r="985" spans="1:15" s="360" customFormat="1" ht="15" hidden="1">
      <c r="A985" s="356" t="s">
        <v>519</v>
      </c>
      <c r="B985" s="707" t="s">
        <v>829</v>
      </c>
      <c r="C985" s="709"/>
      <c r="D985" s="354"/>
      <c r="E985" s="10"/>
      <c r="F985" s="353"/>
      <c r="G985" s="358">
        <f>'3.60 lakhs'!I532</f>
        <v>0</v>
      </c>
      <c r="H985" s="354" t="s">
        <v>5</v>
      </c>
      <c r="I985" s="355">
        <f>'3.60 lakhs'!K532</f>
        <v>7283.96</v>
      </c>
      <c r="J985" s="353">
        <f t="shared" si="178"/>
        <v>0</v>
      </c>
      <c r="K985" s="743">
        <f t="shared" si="179"/>
        <v>0</v>
      </c>
      <c r="L985" s="368">
        <f t="shared" si="180"/>
        <v>0</v>
      </c>
      <c r="M985" s="708" t="s">
        <v>2322</v>
      </c>
      <c r="N985" s="223"/>
      <c r="O985" s="706">
        <f t="shared" si="181"/>
        <v>0</v>
      </c>
    </row>
    <row r="986" spans="1:15" s="360" customFormat="1" ht="15" hidden="1">
      <c r="A986" s="356" t="s">
        <v>491</v>
      </c>
      <c r="B986" s="707" t="s">
        <v>828</v>
      </c>
      <c r="C986" s="709"/>
      <c r="D986" s="354"/>
      <c r="E986" s="10"/>
      <c r="F986" s="353"/>
      <c r="G986" s="358">
        <f>'3.60 lakhs'!I526</f>
        <v>0</v>
      </c>
      <c r="H986" s="354" t="s">
        <v>5</v>
      </c>
      <c r="I986" s="355">
        <f>'3.60 lakhs'!K526</f>
        <v>7227.5599999999995</v>
      </c>
      <c r="J986" s="353">
        <f t="shared" si="178"/>
        <v>0</v>
      </c>
      <c r="K986" s="743">
        <f t="shared" si="179"/>
        <v>0</v>
      </c>
      <c r="L986" s="368">
        <f t="shared" si="180"/>
        <v>0</v>
      </c>
      <c r="M986" s="708" t="s">
        <v>2322</v>
      </c>
      <c r="N986" s="223"/>
      <c r="O986" s="706">
        <f t="shared" si="181"/>
        <v>0</v>
      </c>
    </row>
    <row r="987" spans="1:15" s="360" customFormat="1" ht="25.5" hidden="1">
      <c r="A987" s="356" t="s">
        <v>521</v>
      </c>
      <c r="B987" s="707" t="s">
        <v>705</v>
      </c>
      <c r="C987" s="709"/>
      <c r="D987" s="354"/>
      <c r="E987" s="10"/>
      <c r="F987" s="353"/>
      <c r="G987" s="358">
        <f>'3.60 lakhs'!I539</f>
        <v>0</v>
      </c>
      <c r="H987" s="354" t="s">
        <v>102</v>
      </c>
      <c r="I987" s="355">
        <f>'3.60 lakhs'!K539</f>
        <v>945.26</v>
      </c>
      <c r="J987" s="353">
        <f>ROUND(G987*I987/1,0)</f>
        <v>0</v>
      </c>
      <c r="K987" s="743">
        <f t="shared" si="179"/>
        <v>0</v>
      </c>
      <c r="L987" s="368">
        <f t="shared" si="180"/>
        <v>0</v>
      </c>
      <c r="M987" s="708" t="s">
        <v>2322</v>
      </c>
      <c r="N987" s="223"/>
      <c r="O987" s="706">
        <f t="shared" si="181"/>
        <v>0</v>
      </c>
    </row>
    <row r="988" spans="1:15" s="360" customFormat="1" ht="15" hidden="1">
      <c r="A988" s="356" t="s">
        <v>483</v>
      </c>
      <c r="B988" s="707" t="s">
        <v>1222</v>
      </c>
      <c r="C988" s="709"/>
      <c r="D988" s="354"/>
      <c r="E988" s="10"/>
      <c r="F988" s="353"/>
      <c r="G988" s="358">
        <f>'3.60 lakhs'!I546</f>
        <v>0</v>
      </c>
      <c r="H988" s="354" t="s">
        <v>102</v>
      </c>
      <c r="I988" s="355">
        <f>'3.60 lakhs'!K546</f>
        <v>6718.55</v>
      </c>
      <c r="J988" s="353">
        <f>ROUND(G988*I988/1,0)</f>
        <v>0</v>
      </c>
      <c r="K988" s="743">
        <f t="shared" si="179"/>
        <v>0</v>
      </c>
      <c r="L988" s="368">
        <f t="shared" si="180"/>
        <v>0</v>
      </c>
      <c r="M988" s="708" t="s">
        <v>2322</v>
      </c>
      <c r="N988" s="223"/>
      <c r="O988" s="706">
        <f t="shared" si="181"/>
        <v>0</v>
      </c>
    </row>
    <row r="989" spans="1:15" s="360" customFormat="1" ht="15" hidden="1">
      <c r="A989" s="356" t="s">
        <v>484</v>
      </c>
      <c r="B989" s="707" t="s">
        <v>1215</v>
      </c>
      <c r="C989" s="711"/>
      <c r="D989" s="354"/>
      <c r="E989" s="660"/>
      <c r="F989" s="353"/>
      <c r="G989" s="358">
        <f>'3.60 lakhs'!I552</f>
        <v>0</v>
      </c>
      <c r="H989" s="354" t="s">
        <v>102</v>
      </c>
      <c r="I989" s="355">
        <f>'3.60 lakhs'!K552</f>
        <v>2346.34</v>
      </c>
      <c r="J989" s="353">
        <f>ROUND(G989*I989/1,0)</f>
        <v>0</v>
      </c>
      <c r="K989" s="743">
        <f t="shared" si="179"/>
        <v>0</v>
      </c>
      <c r="L989" s="368">
        <f t="shared" si="180"/>
        <v>0</v>
      </c>
      <c r="M989" s="708" t="s">
        <v>2322</v>
      </c>
      <c r="N989" s="223"/>
      <c r="O989" s="706">
        <f t="shared" si="181"/>
        <v>0</v>
      </c>
    </row>
    <row r="990" spans="1:15" s="360" customFormat="1" ht="15" hidden="1">
      <c r="A990" s="356" t="s">
        <v>516</v>
      </c>
      <c r="B990" s="707" t="s">
        <v>481</v>
      </c>
      <c r="C990" s="709"/>
      <c r="D990" s="354"/>
      <c r="E990" s="10"/>
      <c r="F990" s="353"/>
      <c r="G990" s="358">
        <f>'3.60 lakhs'!I559</f>
        <v>0</v>
      </c>
      <c r="H990" s="354" t="s">
        <v>102</v>
      </c>
      <c r="I990" s="355">
        <f>'3.60 lakhs'!K559</f>
        <v>351.17</v>
      </c>
      <c r="J990" s="353">
        <f t="shared" ref="J990:J1022" si="182">ROUND(G990*I990,0)</f>
        <v>0</v>
      </c>
      <c r="K990" s="743">
        <f t="shared" si="179"/>
        <v>0</v>
      </c>
      <c r="L990" s="368">
        <f t="shared" si="180"/>
        <v>0</v>
      </c>
      <c r="M990" s="708" t="s">
        <v>2322</v>
      </c>
      <c r="N990" s="223"/>
      <c r="O990" s="706">
        <f t="shared" si="181"/>
        <v>0</v>
      </c>
    </row>
    <row r="991" spans="1:15" s="360" customFormat="1" ht="15" hidden="1">
      <c r="A991" s="356" t="s">
        <v>516</v>
      </c>
      <c r="B991" s="707" t="s">
        <v>505</v>
      </c>
      <c r="C991" s="633"/>
      <c r="D991" s="354"/>
      <c r="E991" s="362"/>
      <c r="F991" s="353"/>
      <c r="G991" s="358">
        <f>'3.60 lakhs'!I567</f>
        <v>0</v>
      </c>
      <c r="H991" s="354" t="s">
        <v>102</v>
      </c>
      <c r="I991" s="355">
        <f>'3.60 lakhs'!K567</f>
        <v>323.04000000000002</v>
      </c>
      <c r="J991" s="353">
        <f t="shared" si="182"/>
        <v>0</v>
      </c>
      <c r="K991" s="743">
        <f t="shared" si="179"/>
        <v>0</v>
      </c>
      <c r="L991" s="368">
        <f t="shared" si="180"/>
        <v>0</v>
      </c>
      <c r="M991" s="708" t="s">
        <v>2322</v>
      </c>
      <c r="N991" s="223"/>
      <c r="O991" s="706">
        <f t="shared" si="181"/>
        <v>0</v>
      </c>
    </row>
    <row r="992" spans="1:15" s="360" customFormat="1" ht="15" hidden="1">
      <c r="A992" s="356" t="s">
        <v>517</v>
      </c>
      <c r="B992" s="707" t="s">
        <v>805</v>
      </c>
      <c r="C992" s="633"/>
      <c r="D992" s="354"/>
      <c r="E992" s="362"/>
      <c r="F992" s="353"/>
      <c r="G992" s="358">
        <f>'3.60 lakhs'!I575</f>
        <v>0</v>
      </c>
      <c r="H992" s="354" t="s">
        <v>102</v>
      </c>
      <c r="I992" s="355">
        <f>'3.60 lakhs'!K575</f>
        <v>343.23</v>
      </c>
      <c r="J992" s="353">
        <f t="shared" si="182"/>
        <v>0</v>
      </c>
      <c r="K992" s="743">
        <f t="shared" si="179"/>
        <v>0</v>
      </c>
      <c r="L992" s="368">
        <f t="shared" si="180"/>
        <v>0</v>
      </c>
      <c r="M992" s="708" t="s">
        <v>2322</v>
      </c>
      <c r="N992" s="223"/>
      <c r="O992" s="706">
        <f t="shared" si="181"/>
        <v>0</v>
      </c>
    </row>
    <row r="993" spans="1:15" s="360" customFormat="1" ht="15" hidden="1">
      <c r="A993" s="356" t="s">
        <v>518</v>
      </c>
      <c r="B993" s="707" t="s">
        <v>830</v>
      </c>
      <c r="C993" s="709"/>
      <c r="D993" s="354"/>
      <c r="E993" s="10"/>
      <c r="F993" s="353"/>
      <c r="G993" s="358">
        <f>'3.60 lakhs'!I582</f>
        <v>0</v>
      </c>
      <c r="H993" s="354" t="s">
        <v>102</v>
      </c>
      <c r="I993" s="355">
        <f>'3.60 lakhs'!K582</f>
        <v>425.82</v>
      </c>
      <c r="J993" s="353">
        <f t="shared" si="182"/>
        <v>0</v>
      </c>
      <c r="K993" s="743">
        <f t="shared" si="179"/>
        <v>0</v>
      </c>
      <c r="L993" s="368">
        <f t="shared" si="180"/>
        <v>0</v>
      </c>
      <c r="M993" s="708" t="s">
        <v>2322</v>
      </c>
      <c r="N993" s="223"/>
      <c r="O993" s="706">
        <f t="shared" si="181"/>
        <v>0</v>
      </c>
    </row>
    <row r="994" spans="1:15" s="360" customFormat="1" ht="15" hidden="1">
      <c r="A994" s="356" t="s">
        <v>520</v>
      </c>
      <c r="B994" s="707" t="s">
        <v>541</v>
      </c>
      <c r="C994" s="709"/>
      <c r="D994" s="354"/>
      <c r="E994" s="10"/>
      <c r="F994" s="353"/>
      <c r="G994" s="358">
        <f>'3.60 lakhs'!I589</f>
        <v>0</v>
      </c>
      <c r="H994" s="354" t="s">
        <v>102</v>
      </c>
      <c r="I994" s="355">
        <f>'3.60 lakhs'!K589</f>
        <v>441.63</v>
      </c>
      <c r="J994" s="353">
        <f t="shared" si="182"/>
        <v>0</v>
      </c>
      <c r="K994" s="743">
        <f t="shared" si="179"/>
        <v>0</v>
      </c>
      <c r="L994" s="368">
        <f t="shared" si="180"/>
        <v>0</v>
      </c>
      <c r="M994" s="708" t="s">
        <v>2322</v>
      </c>
      <c r="N994" s="223"/>
      <c r="O994" s="706">
        <f t="shared" si="181"/>
        <v>0</v>
      </c>
    </row>
    <row r="995" spans="1:15" s="360" customFormat="1" ht="15" hidden="1">
      <c r="A995" s="356" t="s">
        <v>503</v>
      </c>
      <c r="B995" s="707" t="s">
        <v>2078</v>
      </c>
      <c r="C995" s="633"/>
      <c r="D995" s="354"/>
      <c r="E995" s="622"/>
      <c r="F995" s="353"/>
      <c r="G995" s="358">
        <f>'3.60 lakhs'!I596</f>
        <v>0</v>
      </c>
      <c r="H995" s="354" t="s">
        <v>5</v>
      </c>
      <c r="I995" s="355">
        <f>'3.60 lakhs'!K596</f>
        <v>5722.81</v>
      </c>
      <c r="J995" s="353">
        <f t="shared" si="182"/>
        <v>0</v>
      </c>
      <c r="K995" s="743">
        <f t="shared" si="179"/>
        <v>0</v>
      </c>
      <c r="L995" s="368">
        <f t="shared" si="180"/>
        <v>0</v>
      </c>
      <c r="M995" s="708" t="s">
        <v>2322</v>
      </c>
      <c r="N995" s="223"/>
      <c r="O995" s="706">
        <f t="shared" si="181"/>
        <v>0</v>
      </c>
    </row>
    <row r="996" spans="1:15" s="360" customFormat="1" ht="15" hidden="1">
      <c r="A996" s="356" t="s">
        <v>522</v>
      </c>
      <c r="B996" s="707" t="s">
        <v>507</v>
      </c>
      <c r="C996" s="709"/>
      <c r="D996" s="354"/>
      <c r="E996" s="10"/>
      <c r="F996" s="353"/>
      <c r="G996" s="358">
        <f>'3.60 lakhs'!I603</f>
        <v>0</v>
      </c>
      <c r="H996" s="354" t="s">
        <v>102</v>
      </c>
      <c r="I996" s="355">
        <f>'3.60 lakhs'!K603</f>
        <v>1103.3900000000001</v>
      </c>
      <c r="J996" s="353">
        <f t="shared" si="182"/>
        <v>0</v>
      </c>
      <c r="K996" s="743">
        <f t="shared" si="179"/>
        <v>0</v>
      </c>
      <c r="L996" s="368">
        <f t="shared" si="180"/>
        <v>0</v>
      </c>
      <c r="M996" s="708" t="s">
        <v>2322</v>
      </c>
      <c r="N996" s="223"/>
      <c r="O996" s="706">
        <f t="shared" si="181"/>
        <v>0</v>
      </c>
    </row>
    <row r="997" spans="1:15" s="360" customFormat="1" ht="15" hidden="1">
      <c r="A997" s="356" t="s">
        <v>525</v>
      </c>
      <c r="B997" s="707" t="s">
        <v>509</v>
      </c>
      <c r="C997" s="709"/>
      <c r="D997" s="354"/>
      <c r="E997" s="10"/>
      <c r="F997" s="353"/>
      <c r="G997" s="358">
        <f>'3.60 lakhs'!I610</f>
        <v>0</v>
      </c>
      <c r="H997" s="354" t="s">
        <v>102</v>
      </c>
      <c r="I997" s="355">
        <f>'3.60 lakhs'!K610</f>
        <v>1098.05</v>
      </c>
      <c r="J997" s="353">
        <f t="shared" si="182"/>
        <v>0</v>
      </c>
      <c r="K997" s="743">
        <f t="shared" si="179"/>
        <v>0</v>
      </c>
      <c r="L997" s="368">
        <f t="shared" si="180"/>
        <v>0</v>
      </c>
      <c r="M997" s="708" t="s">
        <v>2322</v>
      </c>
      <c r="N997" s="223"/>
      <c r="O997" s="706">
        <f t="shared" si="181"/>
        <v>0</v>
      </c>
    </row>
    <row r="998" spans="1:15" s="360" customFormat="1" ht="15" hidden="1">
      <c r="A998" s="356" t="s">
        <v>526</v>
      </c>
      <c r="B998" s="707" t="s">
        <v>708</v>
      </c>
      <c r="C998" s="710"/>
      <c r="D998" s="354"/>
      <c r="E998" s="362"/>
      <c r="F998" s="353"/>
      <c r="G998" s="358">
        <f>'3.60 lakhs'!I617</f>
        <v>0</v>
      </c>
      <c r="H998" s="354" t="s">
        <v>77</v>
      </c>
      <c r="I998" s="355">
        <f>'3.60 lakhs'!K617</f>
        <v>3181.62</v>
      </c>
      <c r="J998" s="353">
        <f t="shared" si="182"/>
        <v>0</v>
      </c>
      <c r="K998" s="743">
        <f t="shared" si="179"/>
        <v>0</v>
      </c>
      <c r="L998" s="368">
        <f t="shared" si="180"/>
        <v>0</v>
      </c>
      <c r="M998" s="708" t="s">
        <v>2322</v>
      </c>
      <c r="N998" s="223"/>
      <c r="O998" s="706">
        <f t="shared" si="181"/>
        <v>0</v>
      </c>
    </row>
    <row r="999" spans="1:15" s="360" customFormat="1" ht="15" hidden="1">
      <c r="A999" s="356" t="s">
        <v>527</v>
      </c>
      <c r="B999" s="707" t="s">
        <v>877</v>
      </c>
      <c r="C999" s="710"/>
      <c r="D999" s="354"/>
      <c r="E999" s="362"/>
      <c r="F999" s="353"/>
      <c r="G999" s="358">
        <f>'3.60 lakhs'!I624</f>
        <v>0</v>
      </c>
      <c r="H999" s="354" t="s">
        <v>102</v>
      </c>
      <c r="I999" s="355">
        <f>'3.60 lakhs'!K624</f>
        <v>2950.54</v>
      </c>
      <c r="J999" s="353">
        <f t="shared" si="182"/>
        <v>0</v>
      </c>
      <c r="K999" s="743">
        <f t="shared" si="179"/>
        <v>0</v>
      </c>
      <c r="L999" s="368">
        <f t="shared" si="180"/>
        <v>0</v>
      </c>
      <c r="M999" s="708" t="s">
        <v>2322</v>
      </c>
      <c r="N999" s="223"/>
      <c r="O999" s="706">
        <f t="shared" si="181"/>
        <v>0</v>
      </c>
    </row>
    <row r="1000" spans="1:15" s="360" customFormat="1" ht="15" hidden="1">
      <c r="A1000" s="356" t="s">
        <v>529</v>
      </c>
      <c r="B1000" s="707" t="s">
        <v>710</v>
      </c>
      <c r="C1000" s="710"/>
      <c r="D1000" s="354"/>
      <c r="E1000" s="362"/>
      <c r="F1000" s="353"/>
      <c r="G1000" s="358">
        <f>'3.60 lakhs'!I632</f>
        <v>0</v>
      </c>
      <c r="H1000" s="354" t="s">
        <v>102</v>
      </c>
      <c r="I1000" s="355">
        <f>'3.60 lakhs'!K632</f>
        <v>780.73</v>
      </c>
      <c r="J1000" s="353">
        <f t="shared" si="182"/>
        <v>0</v>
      </c>
      <c r="K1000" s="743">
        <f t="shared" si="179"/>
        <v>0</v>
      </c>
      <c r="L1000" s="368">
        <f t="shared" si="180"/>
        <v>0</v>
      </c>
      <c r="M1000" s="708" t="s">
        <v>2322</v>
      </c>
      <c r="N1000" s="223"/>
      <c r="O1000" s="706">
        <f t="shared" si="181"/>
        <v>0</v>
      </c>
    </row>
    <row r="1001" spans="1:15" s="360" customFormat="1" ht="15" hidden="1">
      <c r="A1001" s="356" t="s">
        <v>530</v>
      </c>
      <c r="B1001" s="707" t="s">
        <v>711</v>
      </c>
      <c r="C1001" s="710"/>
      <c r="D1001" s="354"/>
      <c r="E1001" s="362"/>
      <c r="F1001" s="353"/>
      <c r="G1001" s="358">
        <f>'3.60 lakhs'!I639</f>
        <v>0</v>
      </c>
      <c r="H1001" s="354" t="s">
        <v>102</v>
      </c>
      <c r="I1001" s="355">
        <f>'3.60 lakhs'!K639</f>
        <v>786.2</v>
      </c>
      <c r="J1001" s="353">
        <f t="shared" si="182"/>
        <v>0</v>
      </c>
      <c r="K1001" s="743">
        <f t="shared" si="179"/>
        <v>0</v>
      </c>
      <c r="L1001" s="368">
        <f t="shared" si="180"/>
        <v>0</v>
      </c>
      <c r="M1001" s="708" t="s">
        <v>2322</v>
      </c>
      <c r="N1001" s="223"/>
      <c r="O1001" s="706">
        <f t="shared" si="181"/>
        <v>0</v>
      </c>
    </row>
    <row r="1002" spans="1:15" s="360" customFormat="1" ht="15" hidden="1">
      <c r="A1002" s="356" t="s">
        <v>528</v>
      </c>
      <c r="B1002" s="707" t="s">
        <v>511</v>
      </c>
      <c r="C1002" s="709"/>
      <c r="D1002" s="354"/>
      <c r="E1002" s="10"/>
      <c r="F1002" s="353"/>
      <c r="G1002" s="358">
        <f>'3.60 lakhs'!I646</f>
        <v>0</v>
      </c>
      <c r="H1002" s="354" t="s">
        <v>102</v>
      </c>
      <c r="I1002" s="355">
        <f>'3.60 lakhs'!K646</f>
        <v>837.86</v>
      </c>
      <c r="J1002" s="353">
        <f t="shared" si="182"/>
        <v>0</v>
      </c>
      <c r="K1002" s="743">
        <f t="shared" si="179"/>
        <v>0</v>
      </c>
      <c r="L1002" s="368">
        <f t="shared" si="180"/>
        <v>0</v>
      </c>
      <c r="M1002" s="708" t="s">
        <v>2322</v>
      </c>
      <c r="N1002" s="223"/>
      <c r="O1002" s="706">
        <f t="shared" si="181"/>
        <v>0</v>
      </c>
    </row>
    <row r="1003" spans="1:15" s="360" customFormat="1" ht="15" hidden="1">
      <c r="A1003" s="356" t="s">
        <v>529</v>
      </c>
      <c r="B1003" s="707" t="s">
        <v>570</v>
      </c>
      <c r="C1003" s="709"/>
      <c r="D1003" s="354"/>
      <c r="E1003" s="10"/>
      <c r="F1003" s="353"/>
      <c r="G1003" s="358">
        <f>'3.60 lakhs'!I653</f>
        <v>0</v>
      </c>
      <c r="H1003" s="354" t="s">
        <v>102</v>
      </c>
      <c r="I1003" s="355">
        <f>'3.60 lakhs'!K653</f>
        <v>527.21</v>
      </c>
      <c r="J1003" s="353">
        <f t="shared" si="182"/>
        <v>0</v>
      </c>
      <c r="K1003" s="743">
        <f t="shared" si="179"/>
        <v>0</v>
      </c>
      <c r="L1003" s="368">
        <f t="shared" si="180"/>
        <v>0</v>
      </c>
      <c r="M1003" s="708" t="s">
        <v>2322</v>
      </c>
      <c r="N1003" s="223"/>
      <c r="O1003" s="706">
        <f t="shared" si="181"/>
        <v>0</v>
      </c>
    </row>
    <row r="1004" spans="1:15" s="360" customFormat="1" ht="15" hidden="1">
      <c r="A1004" s="356" t="s">
        <v>492</v>
      </c>
      <c r="B1004" s="707" t="s">
        <v>1223</v>
      </c>
      <c r="C1004" s="710"/>
      <c r="D1004" s="354"/>
      <c r="E1004" s="362"/>
      <c r="F1004" s="353"/>
      <c r="G1004" s="358">
        <f>'3.60 lakhs'!I661</f>
        <v>0</v>
      </c>
      <c r="H1004" s="354" t="s">
        <v>102</v>
      </c>
      <c r="I1004" s="355">
        <f>'3.60 lakhs'!K661</f>
        <v>1059.21</v>
      </c>
      <c r="J1004" s="353">
        <f t="shared" si="182"/>
        <v>0</v>
      </c>
      <c r="K1004" s="743">
        <f t="shared" si="179"/>
        <v>0</v>
      </c>
      <c r="L1004" s="368">
        <f t="shared" si="180"/>
        <v>0</v>
      </c>
      <c r="M1004" s="708" t="s">
        <v>2322</v>
      </c>
      <c r="N1004" s="223"/>
      <c r="O1004" s="706">
        <f t="shared" si="181"/>
        <v>0</v>
      </c>
    </row>
    <row r="1005" spans="1:15" s="360" customFormat="1" ht="15" hidden="1">
      <c r="A1005" s="356" t="s">
        <v>533</v>
      </c>
      <c r="B1005" s="707" t="s">
        <v>707</v>
      </c>
      <c r="C1005" s="711"/>
      <c r="D1005" s="354"/>
      <c r="E1005" s="660"/>
      <c r="F1005" s="353"/>
      <c r="G1005" s="358">
        <f>'3.60 lakhs'!I670</f>
        <v>0</v>
      </c>
      <c r="H1005" s="354" t="s">
        <v>102</v>
      </c>
      <c r="I1005" s="355">
        <f>'3.60 lakhs'!K670</f>
        <v>25.98</v>
      </c>
      <c r="J1005" s="353">
        <f t="shared" si="182"/>
        <v>0</v>
      </c>
      <c r="K1005" s="743">
        <f t="shared" si="179"/>
        <v>0</v>
      </c>
      <c r="L1005" s="368">
        <f t="shared" si="180"/>
        <v>0</v>
      </c>
      <c r="M1005" s="708" t="s">
        <v>2322</v>
      </c>
      <c r="N1005" s="223"/>
      <c r="O1005" s="706">
        <f t="shared" si="181"/>
        <v>0</v>
      </c>
    </row>
    <row r="1006" spans="1:15" s="360" customFormat="1" ht="15" hidden="1">
      <c r="A1006" s="356" t="s">
        <v>530</v>
      </c>
      <c r="B1006" s="707" t="s">
        <v>888</v>
      </c>
      <c r="C1006" s="710"/>
      <c r="D1006" s="354"/>
      <c r="E1006" s="362"/>
      <c r="F1006" s="353"/>
      <c r="G1006" s="358">
        <f>'3.60 lakhs'!I680</f>
        <v>0</v>
      </c>
      <c r="H1006" s="354" t="s">
        <v>102</v>
      </c>
      <c r="I1006" s="355">
        <f>'3.60 lakhs'!K680</f>
        <v>184.03</v>
      </c>
      <c r="J1006" s="353">
        <f t="shared" si="182"/>
        <v>0</v>
      </c>
      <c r="K1006" s="743">
        <f t="shared" si="179"/>
        <v>0</v>
      </c>
      <c r="L1006" s="368">
        <f t="shared" si="180"/>
        <v>0</v>
      </c>
      <c r="M1006" s="708" t="s">
        <v>2322</v>
      </c>
      <c r="N1006" s="223"/>
      <c r="O1006" s="706">
        <f t="shared" si="181"/>
        <v>0</v>
      </c>
    </row>
    <row r="1007" spans="1:15" s="360" customFormat="1" ht="15" hidden="1">
      <c r="A1007" s="356" t="s">
        <v>532</v>
      </c>
      <c r="B1007" s="707" t="s">
        <v>571</v>
      </c>
      <c r="C1007" s="709"/>
      <c r="D1007" s="354"/>
      <c r="E1007" s="10"/>
      <c r="F1007" s="353"/>
      <c r="G1007" s="358">
        <f>'3.60 lakhs'!I689</f>
        <v>0</v>
      </c>
      <c r="H1007" s="354" t="s">
        <v>102</v>
      </c>
      <c r="I1007" s="355">
        <f>'3.60 lakhs'!K689</f>
        <v>158.36000000000001</v>
      </c>
      <c r="J1007" s="353">
        <f t="shared" si="182"/>
        <v>0</v>
      </c>
      <c r="K1007" s="743">
        <f t="shared" si="179"/>
        <v>0</v>
      </c>
      <c r="L1007" s="368">
        <f t="shared" si="180"/>
        <v>0</v>
      </c>
      <c r="M1007" s="708" t="s">
        <v>2322</v>
      </c>
      <c r="N1007" s="223"/>
      <c r="O1007" s="706">
        <f t="shared" si="181"/>
        <v>0</v>
      </c>
    </row>
    <row r="1008" spans="1:15" s="360" customFormat="1" ht="15" hidden="1">
      <c r="A1008" s="356" t="s">
        <v>533</v>
      </c>
      <c r="B1008" s="707" t="s">
        <v>1227</v>
      </c>
      <c r="C1008" s="709"/>
      <c r="D1008" s="354"/>
      <c r="E1008" s="10"/>
      <c r="F1008" s="353"/>
      <c r="G1008" s="358">
        <f>'3.60 lakhs'!I696</f>
        <v>0</v>
      </c>
      <c r="H1008" s="354" t="s">
        <v>102</v>
      </c>
      <c r="I1008" s="355">
        <f>'3.60 lakhs'!K696</f>
        <v>217.22</v>
      </c>
      <c r="J1008" s="353">
        <f t="shared" si="182"/>
        <v>0</v>
      </c>
      <c r="K1008" s="743">
        <f t="shared" si="179"/>
        <v>0</v>
      </c>
      <c r="L1008" s="368">
        <f t="shared" si="180"/>
        <v>0</v>
      </c>
      <c r="M1008" s="708" t="s">
        <v>2322</v>
      </c>
      <c r="N1008" s="223"/>
      <c r="O1008" s="706">
        <f t="shared" si="181"/>
        <v>0</v>
      </c>
    </row>
    <row r="1009" spans="1:15" s="360" customFormat="1" ht="15" hidden="1">
      <c r="A1009" s="356" t="s">
        <v>1143</v>
      </c>
      <c r="B1009" s="707" t="s">
        <v>477</v>
      </c>
      <c r="C1009" s="554"/>
      <c r="D1009" s="221"/>
      <c r="E1009" s="10"/>
      <c r="F1009" s="353"/>
      <c r="G1009" s="429">
        <f>'3.60 lakhs'!I703</f>
        <v>0</v>
      </c>
      <c r="H1009" s="221" t="s">
        <v>29</v>
      </c>
      <c r="I1009" s="430">
        <f>'3.60 lakhs'!K703</f>
        <v>90555</v>
      </c>
      <c r="J1009" s="353">
        <f t="shared" si="182"/>
        <v>0</v>
      </c>
      <c r="K1009" s="743">
        <f t="shared" si="179"/>
        <v>0</v>
      </c>
      <c r="L1009" s="368">
        <f t="shared" si="180"/>
        <v>0</v>
      </c>
      <c r="M1009" s="708" t="s">
        <v>2322</v>
      </c>
      <c r="N1009" s="223"/>
      <c r="O1009" s="706">
        <f t="shared" si="181"/>
        <v>0</v>
      </c>
    </row>
    <row r="1010" spans="1:15" s="360" customFormat="1" ht="15" hidden="1">
      <c r="A1010" s="356" t="s">
        <v>1586</v>
      </c>
      <c r="B1010" s="707" t="s">
        <v>2068</v>
      </c>
      <c r="C1010" s="711"/>
      <c r="D1010" s="354"/>
      <c r="E1010" s="660"/>
      <c r="F1010" s="353"/>
      <c r="G1010" s="358">
        <f>'3.60 lakhs'!I709</f>
        <v>0</v>
      </c>
      <c r="H1010" s="354" t="s">
        <v>5</v>
      </c>
      <c r="I1010" s="355">
        <f>'3.60 lakhs'!K709</f>
        <v>12013.61</v>
      </c>
      <c r="J1010" s="353">
        <f t="shared" si="182"/>
        <v>0</v>
      </c>
      <c r="K1010" s="743">
        <f t="shared" si="179"/>
        <v>0</v>
      </c>
      <c r="L1010" s="368">
        <f t="shared" si="180"/>
        <v>0</v>
      </c>
      <c r="M1010" s="708" t="s">
        <v>2322</v>
      </c>
      <c r="N1010" s="223"/>
      <c r="O1010" s="706">
        <f t="shared" si="181"/>
        <v>0</v>
      </c>
    </row>
    <row r="1011" spans="1:15" s="360" customFormat="1" ht="15" hidden="1">
      <c r="A1011" s="356" t="s">
        <v>645</v>
      </c>
      <c r="B1011" s="707" t="s">
        <v>2070</v>
      </c>
      <c r="C1011" s="711"/>
      <c r="D1011" s="354"/>
      <c r="E1011" s="660"/>
      <c r="F1011" s="353"/>
      <c r="G1011" s="358">
        <f>'3.60 lakhs'!I715</f>
        <v>0</v>
      </c>
      <c r="H1011" s="354" t="s">
        <v>5</v>
      </c>
      <c r="I1011" s="355">
        <f>'3.60 lakhs'!K715</f>
        <v>11098.560000000001</v>
      </c>
      <c r="J1011" s="353">
        <f t="shared" si="182"/>
        <v>0</v>
      </c>
      <c r="K1011" s="743">
        <f t="shared" si="179"/>
        <v>0</v>
      </c>
      <c r="L1011" s="368">
        <f t="shared" si="180"/>
        <v>0</v>
      </c>
      <c r="M1011" s="708" t="s">
        <v>2322</v>
      </c>
      <c r="N1011" s="223"/>
      <c r="O1011" s="706">
        <f t="shared" si="181"/>
        <v>0</v>
      </c>
    </row>
    <row r="1012" spans="1:15" s="360" customFormat="1" ht="15" hidden="1">
      <c r="A1012" s="356" t="s">
        <v>1587</v>
      </c>
      <c r="B1012" s="707" t="s">
        <v>2071</v>
      </c>
      <c r="C1012" s="711"/>
      <c r="D1012" s="354"/>
      <c r="E1012" s="660"/>
      <c r="F1012" s="353"/>
      <c r="G1012" s="358">
        <f>'3.60 lakhs'!I726</f>
        <v>0</v>
      </c>
      <c r="H1012" s="354" t="s">
        <v>102</v>
      </c>
      <c r="I1012" s="355">
        <f>'3.60 lakhs'!K726</f>
        <v>1594.17</v>
      </c>
      <c r="J1012" s="353">
        <f t="shared" si="182"/>
        <v>0</v>
      </c>
      <c r="K1012" s="743">
        <f t="shared" si="179"/>
        <v>0</v>
      </c>
      <c r="L1012" s="368">
        <f t="shared" si="180"/>
        <v>0</v>
      </c>
      <c r="M1012" s="708" t="s">
        <v>2322</v>
      </c>
      <c r="N1012" s="223"/>
      <c r="O1012" s="706">
        <f t="shared" si="181"/>
        <v>0</v>
      </c>
    </row>
    <row r="1013" spans="1:15" s="360" customFormat="1" ht="15" hidden="1">
      <c r="A1013" s="356" t="s">
        <v>487</v>
      </c>
      <c r="B1013" s="707" t="s">
        <v>2073</v>
      </c>
      <c r="C1013" s="633"/>
      <c r="D1013" s="354"/>
      <c r="E1013" s="622"/>
      <c r="F1013" s="353"/>
      <c r="G1013" s="358">
        <f>'3.60 lakhs'!I731</f>
        <v>0</v>
      </c>
      <c r="H1013" s="354" t="s">
        <v>102</v>
      </c>
      <c r="I1013" s="355">
        <f>'3.60 lakhs'!K731</f>
        <v>1451.29</v>
      </c>
      <c r="J1013" s="353">
        <f t="shared" si="182"/>
        <v>0</v>
      </c>
      <c r="K1013" s="743">
        <f t="shared" si="179"/>
        <v>0</v>
      </c>
      <c r="L1013" s="368">
        <f t="shared" si="180"/>
        <v>0</v>
      </c>
      <c r="M1013" s="708" t="s">
        <v>2322</v>
      </c>
      <c r="N1013" s="223"/>
      <c r="O1013" s="706">
        <f t="shared" si="181"/>
        <v>0</v>
      </c>
    </row>
    <row r="1014" spans="1:15" s="360" customFormat="1" ht="15" hidden="1">
      <c r="A1014" s="356" t="s">
        <v>516</v>
      </c>
      <c r="B1014" s="707" t="s">
        <v>2072</v>
      </c>
      <c r="C1014" s="711"/>
      <c r="D1014" s="221"/>
      <c r="E1014" s="660"/>
      <c r="F1014" s="353"/>
      <c r="G1014" s="358">
        <f>'3.60 lakhs'!I721</f>
        <v>0</v>
      </c>
      <c r="H1014" s="221" t="s">
        <v>102</v>
      </c>
      <c r="I1014" s="355">
        <f>'3.60 lakhs'!K721</f>
        <v>1737.05</v>
      </c>
      <c r="J1014" s="353">
        <f t="shared" si="182"/>
        <v>0</v>
      </c>
      <c r="K1014" s="743">
        <f t="shared" si="179"/>
        <v>0</v>
      </c>
      <c r="L1014" s="368">
        <f t="shared" si="180"/>
        <v>0</v>
      </c>
      <c r="M1014" s="708" t="s">
        <v>2322</v>
      </c>
      <c r="N1014" s="223"/>
      <c r="O1014" s="706">
        <f t="shared" si="181"/>
        <v>0</v>
      </c>
    </row>
    <row r="1015" spans="1:15" s="360" customFormat="1" ht="15" hidden="1">
      <c r="A1015" s="356" t="s">
        <v>517</v>
      </c>
      <c r="B1015" s="707" t="s">
        <v>2079</v>
      </c>
      <c r="C1015" s="711"/>
      <c r="D1015" s="221"/>
      <c r="E1015" s="660"/>
      <c r="F1015" s="353"/>
      <c r="G1015" s="358">
        <f>'3.60 lakhs'!I737</f>
        <v>0</v>
      </c>
      <c r="H1015" s="221" t="s">
        <v>102</v>
      </c>
      <c r="I1015" s="355">
        <f>'3.60 lakhs'!K737</f>
        <v>865.17</v>
      </c>
      <c r="J1015" s="353">
        <f t="shared" si="182"/>
        <v>0</v>
      </c>
      <c r="K1015" s="743">
        <f t="shared" si="179"/>
        <v>0</v>
      </c>
      <c r="L1015" s="368">
        <f t="shared" si="180"/>
        <v>0</v>
      </c>
      <c r="M1015" s="708" t="s">
        <v>2322</v>
      </c>
      <c r="N1015" s="223"/>
      <c r="O1015" s="706">
        <f t="shared" si="181"/>
        <v>0</v>
      </c>
    </row>
    <row r="1016" spans="1:15" s="360" customFormat="1" ht="15" hidden="1">
      <c r="A1016" s="356" t="s">
        <v>517</v>
      </c>
      <c r="B1016" s="707" t="s">
        <v>2080</v>
      </c>
      <c r="C1016" s="711"/>
      <c r="D1016" s="221"/>
      <c r="E1016" s="660"/>
      <c r="F1016" s="353"/>
      <c r="G1016" s="358">
        <f>'3.60 lakhs'!I743</f>
        <v>0</v>
      </c>
      <c r="H1016" s="221" t="s">
        <v>102</v>
      </c>
      <c r="I1016" s="355">
        <f>'3.60 lakhs'!K743</f>
        <v>724.02</v>
      </c>
      <c r="J1016" s="353">
        <f t="shared" si="182"/>
        <v>0</v>
      </c>
      <c r="K1016" s="743">
        <f t="shared" si="179"/>
        <v>0</v>
      </c>
      <c r="L1016" s="368">
        <f t="shared" si="180"/>
        <v>0</v>
      </c>
      <c r="M1016" s="708" t="s">
        <v>2322</v>
      </c>
      <c r="N1016" s="223"/>
      <c r="O1016" s="706">
        <f t="shared" si="181"/>
        <v>0</v>
      </c>
    </row>
    <row r="1017" spans="1:15" s="360" customFormat="1" ht="15" hidden="1">
      <c r="A1017" s="356" t="s">
        <v>518</v>
      </c>
      <c r="B1017" s="707" t="s">
        <v>2076</v>
      </c>
      <c r="C1017" s="711"/>
      <c r="D1017" s="354"/>
      <c r="E1017" s="660"/>
      <c r="F1017" s="353"/>
      <c r="G1017" s="358">
        <f>'3.60 lakhs'!I750</f>
        <v>0</v>
      </c>
      <c r="H1017" s="354" t="s">
        <v>5</v>
      </c>
      <c r="I1017" s="355">
        <f>'3.60 lakhs'!K750</f>
        <v>11874.810000000001</v>
      </c>
      <c r="J1017" s="353">
        <f t="shared" si="182"/>
        <v>0</v>
      </c>
      <c r="K1017" s="743">
        <f t="shared" si="179"/>
        <v>0</v>
      </c>
      <c r="L1017" s="368">
        <f t="shared" si="180"/>
        <v>0</v>
      </c>
      <c r="M1017" s="708" t="s">
        <v>2322</v>
      </c>
      <c r="N1017" s="223"/>
      <c r="O1017" s="706">
        <f t="shared" si="181"/>
        <v>0</v>
      </c>
    </row>
    <row r="1018" spans="1:15" s="360" customFormat="1" ht="15" hidden="1">
      <c r="A1018" s="356" t="s">
        <v>519</v>
      </c>
      <c r="B1018" s="707" t="s">
        <v>2077</v>
      </c>
      <c r="C1018" s="711"/>
      <c r="D1018" s="221"/>
      <c r="E1018" s="660"/>
      <c r="F1018" s="353"/>
      <c r="G1018" s="358">
        <f>'3.60 lakhs'!I755</f>
        <v>0</v>
      </c>
      <c r="H1018" s="221" t="s">
        <v>277</v>
      </c>
      <c r="I1018" s="355">
        <f>'3.60 lakhs'!K755</f>
        <v>744.7299999999999</v>
      </c>
      <c r="J1018" s="353">
        <f t="shared" si="182"/>
        <v>0</v>
      </c>
      <c r="K1018" s="743">
        <f t="shared" si="179"/>
        <v>0</v>
      </c>
      <c r="L1018" s="368">
        <f t="shared" si="180"/>
        <v>0</v>
      </c>
      <c r="M1018" s="708" t="s">
        <v>2322</v>
      </c>
      <c r="N1018" s="223"/>
      <c r="O1018" s="706">
        <f t="shared" si="181"/>
        <v>0</v>
      </c>
    </row>
    <row r="1019" spans="1:15" s="360" customFormat="1" ht="15" hidden="1">
      <c r="A1019" s="356" t="s">
        <v>519</v>
      </c>
      <c r="B1019" s="707" t="s">
        <v>1480</v>
      </c>
      <c r="C1019" s="711"/>
      <c r="D1019" s="221"/>
      <c r="E1019" s="660"/>
      <c r="F1019" s="353"/>
      <c r="G1019" s="358">
        <f>'3.60 lakhs'!I760</f>
        <v>0</v>
      </c>
      <c r="H1019" s="221" t="s">
        <v>102</v>
      </c>
      <c r="I1019" s="355">
        <f>'3.60 lakhs'!K760</f>
        <v>362.63</v>
      </c>
      <c r="J1019" s="353">
        <f t="shared" si="182"/>
        <v>0</v>
      </c>
      <c r="K1019" s="743">
        <f t="shared" si="179"/>
        <v>0</v>
      </c>
      <c r="L1019" s="368">
        <f t="shared" si="180"/>
        <v>0</v>
      </c>
      <c r="M1019" s="708" t="s">
        <v>2322</v>
      </c>
      <c r="N1019" s="223"/>
      <c r="O1019" s="706">
        <f t="shared" si="181"/>
        <v>0</v>
      </c>
    </row>
    <row r="1020" spans="1:15" s="360" customFormat="1" ht="15" hidden="1">
      <c r="A1020" s="356" t="s">
        <v>520</v>
      </c>
      <c r="B1020" s="707" t="s">
        <v>1481</v>
      </c>
      <c r="C1020" s="711"/>
      <c r="D1020" s="221"/>
      <c r="E1020" s="660"/>
      <c r="F1020" s="353"/>
      <c r="G1020" s="358">
        <f>'3.60 lakhs'!I766</f>
        <v>0</v>
      </c>
      <c r="H1020" s="221" t="s">
        <v>102</v>
      </c>
      <c r="I1020" s="355">
        <f>'3.60 lakhs'!K766</f>
        <v>470.34</v>
      </c>
      <c r="J1020" s="353">
        <f t="shared" si="182"/>
        <v>0</v>
      </c>
      <c r="K1020" s="743">
        <f t="shared" si="179"/>
        <v>0</v>
      </c>
      <c r="L1020" s="368">
        <f t="shared" si="180"/>
        <v>0</v>
      </c>
      <c r="M1020" s="708" t="s">
        <v>2322</v>
      </c>
      <c r="N1020" s="223"/>
      <c r="O1020" s="706">
        <f t="shared" si="181"/>
        <v>0</v>
      </c>
    </row>
    <row r="1021" spans="1:15" s="360" customFormat="1" ht="15" hidden="1">
      <c r="A1021" s="356" t="s">
        <v>1588</v>
      </c>
      <c r="B1021" s="707" t="s">
        <v>829</v>
      </c>
      <c r="C1021" s="711"/>
      <c r="D1021" s="354"/>
      <c r="E1021" s="660"/>
      <c r="F1021" s="353"/>
      <c r="G1021" s="358">
        <f>'3.60 lakhs'!I779</f>
        <v>0</v>
      </c>
      <c r="H1021" s="354" t="s">
        <v>5</v>
      </c>
      <c r="I1021" s="355">
        <f>'3.60 lakhs'!K779</f>
        <v>7673.4</v>
      </c>
      <c r="J1021" s="353">
        <f t="shared" si="182"/>
        <v>0</v>
      </c>
      <c r="K1021" s="743">
        <f t="shared" si="179"/>
        <v>0</v>
      </c>
      <c r="L1021" s="368">
        <f t="shared" si="180"/>
        <v>0</v>
      </c>
      <c r="M1021" s="708" t="s">
        <v>2322</v>
      </c>
      <c r="N1021" s="223"/>
      <c r="O1021" s="706">
        <f t="shared" si="181"/>
        <v>0</v>
      </c>
    </row>
    <row r="1022" spans="1:15" s="360" customFormat="1" ht="15" hidden="1">
      <c r="A1022" s="356" t="s">
        <v>491</v>
      </c>
      <c r="B1022" s="707" t="s">
        <v>828</v>
      </c>
      <c r="C1022" s="709"/>
      <c r="D1022" s="354"/>
      <c r="E1022" s="10"/>
      <c r="F1022" s="353"/>
      <c r="G1022" s="358">
        <f>'3.60 lakhs'!I774</f>
        <v>0</v>
      </c>
      <c r="H1022" s="354" t="s">
        <v>5</v>
      </c>
      <c r="I1022" s="355">
        <f>'3.60 lakhs'!K774</f>
        <v>7616.9999999999991</v>
      </c>
      <c r="J1022" s="353">
        <f t="shared" si="182"/>
        <v>0</v>
      </c>
      <c r="K1022" s="743">
        <f t="shared" si="179"/>
        <v>0</v>
      </c>
      <c r="L1022" s="368">
        <f t="shared" si="180"/>
        <v>0</v>
      </c>
      <c r="M1022" s="708" t="s">
        <v>2322</v>
      </c>
      <c r="N1022" s="223"/>
      <c r="O1022" s="706">
        <f t="shared" si="181"/>
        <v>0</v>
      </c>
    </row>
    <row r="1023" spans="1:15" s="360" customFormat="1" ht="25.5" hidden="1">
      <c r="A1023" s="356" t="s">
        <v>646</v>
      </c>
      <c r="B1023" s="707" t="s">
        <v>705</v>
      </c>
      <c r="C1023" s="711"/>
      <c r="D1023" s="354"/>
      <c r="E1023" s="660"/>
      <c r="F1023" s="353"/>
      <c r="G1023" s="358">
        <f>'3.60 lakhs'!I785</f>
        <v>0</v>
      </c>
      <c r="H1023" s="354" t="s">
        <v>102</v>
      </c>
      <c r="I1023" s="355">
        <f>'3.60 lakhs'!K785</f>
        <v>1015.55</v>
      </c>
      <c r="J1023" s="353">
        <f>ROUND(G1023*I1023/1,0)</f>
        <v>0</v>
      </c>
      <c r="K1023" s="743">
        <f t="shared" si="179"/>
        <v>0</v>
      </c>
      <c r="L1023" s="368">
        <f t="shared" si="180"/>
        <v>0</v>
      </c>
      <c r="M1023" s="708" t="s">
        <v>2322</v>
      </c>
      <c r="N1023" s="223"/>
      <c r="O1023" s="706">
        <f t="shared" si="181"/>
        <v>0</v>
      </c>
    </row>
    <row r="1024" spans="1:15" s="360" customFormat="1" ht="15" hidden="1">
      <c r="A1024" s="356" t="s">
        <v>483</v>
      </c>
      <c r="B1024" s="707" t="s">
        <v>1222</v>
      </c>
      <c r="C1024" s="709"/>
      <c r="D1024" s="354"/>
      <c r="E1024" s="10"/>
      <c r="F1024" s="353"/>
      <c r="G1024" s="358">
        <f>'3.60 lakhs'!I792</f>
        <v>0</v>
      </c>
      <c r="H1024" s="354" t="s">
        <v>102</v>
      </c>
      <c r="I1024" s="355">
        <f>'3.60 lakhs'!K792</f>
        <v>7187.4500000000007</v>
      </c>
      <c r="J1024" s="353">
        <f>ROUND(G1024*I1024/1,0)</f>
        <v>0</v>
      </c>
      <c r="K1024" s="743">
        <f t="shared" si="179"/>
        <v>0</v>
      </c>
      <c r="L1024" s="368">
        <f t="shared" si="180"/>
        <v>0</v>
      </c>
      <c r="M1024" s="708" t="s">
        <v>2322</v>
      </c>
      <c r="N1024" s="223"/>
      <c r="O1024" s="706">
        <f t="shared" si="181"/>
        <v>0</v>
      </c>
    </row>
    <row r="1025" spans="1:15" s="360" customFormat="1" ht="15" hidden="1">
      <c r="A1025" s="356" t="s">
        <v>1585</v>
      </c>
      <c r="B1025" s="707" t="s">
        <v>481</v>
      </c>
      <c r="C1025" s="711"/>
      <c r="D1025" s="354"/>
      <c r="E1025" s="660"/>
      <c r="F1025" s="353"/>
      <c r="G1025" s="358">
        <f>'3.60 lakhs'!I799</f>
        <v>0</v>
      </c>
      <c r="H1025" s="354" t="s">
        <v>102</v>
      </c>
      <c r="I1025" s="355">
        <f>'3.60 lakhs'!K799</f>
        <v>385.55</v>
      </c>
      <c r="J1025" s="353">
        <f t="shared" ref="J1025:J1056" si="183">ROUND(G1025*I1025,0)</f>
        <v>0</v>
      </c>
      <c r="K1025" s="743">
        <f t="shared" si="179"/>
        <v>0</v>
      </c>
      <c r="L1025" s="368">
        <f t="shared" si="180"/>
        <v>0</v>
      </c>
      <c r="M1025" s="708" t="s">
        <v>2322</v>
      </c>
      <c r="N1025" s="223"/>
      <c r="O1025" s="706">
        <f t="shared" si="181"/>
        <v>0</v>
      </c>
    </row>
    <row r="1026" spans="1:15" s="360" customFormat="1" ht="15" hidden="1">
      <c r="A1026" s="356" t="s">
        <v>1584</v>
      </c>
      <c r="B1026" s="707" t="s">
        <v>505</v>
      </c>
      <c r="C1026" s="633"/>
      <c r="D1026" s="354"/>
      <c r="E1026" s="362"/>
      <c r="F1026" s="353"/>
      <c r="G1026" s="358">
        <f>'3.60 lakhs'!I807</f>
        <v>0</v>
      </c>
      <c r="H1026" s="354" t="s">
        <v>102</v>
      </c>
      <c r="I1026" s="355">
        <f>'3.60 lakhs'!K807</f>
        <v>352.1</v>
      </c>
      <c r="J1026" s="353">
        <f t="shared" si="183"/>
        <v>0</v>
      </c>
      <c r="K1026" s="743">
        <f t="shared" si="179"/>
        <v>0</v>
      </c>
      <c r="L1026" s="368">
        <f t="shared" si="180"/>
        <v>0</v>
      </c>
      <c r="M1026" s="708" t="s">
        <v>2322</v>
      </c>
      <c r="N1026" s="223"/>
      <c r="O1026" s="706">
        <f t="shared" si="181"/>
        <v>0</v>
      </c>
    </row>
    <row r="1027" spans="1:15" s="360" customFormat="1" ht="15" hidden="1">
      <c r="A1027" s="356" t="s">
        <v>1585</v>
      </c>
      <c r="B1027" s="707" t="s">
        <v>805</v>
      </c>
      <c r="C1027" s="633"/>
      <c r="D1027" s="354"/>
      <c r="E1027" s="362"/>
      <c r="F1027" s="353"/>
      <c r="G1027" s="358">
        <f>'3.60 lakhs'!I815</f>
        <v>0</v>
      </c>
      <c r="H1027" s="354" t="s">
        <v>102</v>
      </c>
      <c r="I1027" s="355">
        <f>'3.60 lakhs'!K815</f>
        <v>372.29</v>
      </c>
      <c r="J1027" s="353">
        <f t="shared" si="183"/>
        <v>0</v>
      </c>
      <c r="K1027" s="743">
        <f t="shared" si="179"/>
        <v>0</v>
      </c>
      <c r="L1027" s="368">
        <f t="shared" si="180"/>
        <v>0</v>
      </c>
      <c r="M1027" s="708" t="s">
        <v>2322</v>
      </c>
      <c r="N1027" s="223"/>
      <c r="O1027" s="706">
        <f t="shared" si="181"/>
        <v>0</v>
      </c>
    </row>
    <row r="1028" spans="1:15" s="360" customFormat="1" ht="15" hidden="1">
      <c r="A1028" s="356" t="s">
        <v>1143</v>
      </c>
      <c r="B1028" s="707" t="s">
        <v>830</v>
      </c>
      <c r="C1028" s="711"/>
      <c r="D1028" s="354"/>
      <c r="E1028" s="660"/>
      <c r="F1028" s="353"/>
      <c r="G1028" s="358">
        <f>'3.60 lakhs'!I822</f>
        <v>0</v>
      </c>
      <c r="H1028" s="354" t="s">
        <v>102</v>
      </c>
      <c r="I1028" s="355">
        <f>'3.60 lakhs'!K822</f>
        <v>464.16</v>
      </c>
      <c r="J1028" s="353">
        <f t="shared" si="183"/>
        <v>0</v>
      </c>
      <c r="K1028" s="743">
        <f t="shared" si="179"/>
        <v>0</v>
      </c>
      <c r="L1028" s="368">
        <f t="shared" si="180"/>
        <v>0</v>
      </c>
      <c r="M1028" s="708" t="s">
        <v>2322</v>
      </c>
      <c r="N1028" s="223"/>
      <c r="O1028" s="706">
        <f t="shared" si="181"/>
        <v>0</v>
      </c>
    </row>
    <row r="1029" spans="1:15" s="360" customFormat="1" ht="15" hidden="1">
      <c r="A1029" s="356" t="s">
        <v>1586</v>
      </c>
      <c r="B1029" s="707" t="s">
        <v>541</v>
      </c>
      <c r="C1029" s="711"/>
      <c r="D1029" s="354"/>
      <c r="E1029" s="660"/>
      <c r="F1029" s="353"/>
      <c r="G1029" s="358">
        <f>'3.60 lakhs'!I829</f>
        <v>0</v>
      </c>
      <c r="H1029" s="354" t="s">
        <v>102</v>
      </c>
      <c r="I1029" s="355">
        <f>'3.60 lakhs'!K829</f>
        <v>479.98</v>
      </c>
      <c r="J1029" s="353">
        <f t="shared" si="183"/>
        <v>0</v>
      </c>
      <c r="K1029" s="743">
        <f t="shared" si="179"/>
        <v>0</v>
      </c>
      <c r="L1029" s="368">
        <f t="shared" si="180"/>
        <v>0</v>
      </c>
      <c r="M1029" s="708" t="s">
        <v>2322</v>
      </c>
      <c r="N1029" s="223"/>
      <c r="O1029" s="706">
        <f t="shared" si="181"/>
        <v>0</v>
      </c>
    </row>
    <row r="1030" spans="1:15" s="360" customFormat="1" ht="15" hidden="1">
      <c r="A1030" s="356" t="s">
        <v>473</v>
      </c>
      <c r="B1030" s="707" t="s">
        <v>2078</v>
      </c>
      <c r="C1030" s="633"/>
      <c r="D1030" s="354"/>
      <c r="E1030" s="622"/>
      <c r="F1030" s="353"/>
      <c r="G1030" s="358">
        <f>'3.60 lakhs'!I834</f>
        <v>0</v>
      </c>
      <c r="H1030" s="354" t="s">
        <v>5</v>
      </c>
      <c r="I1030" s="355">
        <f>'3.60 lakhs'!K834</f>
        <v>5843.9400000000005</v>
      </c>
      <c r="J1030" s="353">
        <f t="shared" si="183"/>
        <v>0</v>
      </c>
      <c r="K1030" s="743">
        <f t="shared" si="179"/>
        <v>0</v>
      </c>
      <c r="L1030" s="368">
        <f t="shared" si="180"/>
        <v>0</v>
      </c>
      <c r="M1030" s="708" t="s">
        <v>2322</v>
      </c>
      <c r="N1030" s="223"/>
      <c r="O1030" s="706">
        <f t="shared" si="181"/>
        <v>0</v>
      </c>
    </row>
    <row r="1031" spans="1:15" s="360" customFormat="1" ht="15" hidden="1">
      <c r="A1031" s="356" t="s">
        <v>525</v>
      </c>
      <c r="B1031" s="707" t="s">
        <v>507</v>
      </c>
      <c r="C1031" s="717"/>
      <c r="D1031" s="354"/>
      <c r="E1031" s="10"/>
      <c r="F1031" s="353"/>
      <c r="G1031" s="358">
        <f>'3.60 lakhs'!I840</f>
        <v>0</v>
      </c>
      <c r="H1031" s="354" t="s">
        <v>102</v>
      </c>
      <c r="I1031" s="355">
        <f>'3.60 lakhs'!K840</f>
        <v>1139.42</v>
      </c>
      <c r="J1031" s="353">
        <f t="shared" si="183"/>
        <v>0</v>
      </c>
      <c r="K1031" s="743">
        <f t="shared" si="179"/>
        <v>0</v>
      </c>
      <c r="L1031" s="368">
        <f t="shared" si="180"/>
        <v>0</v>
      </c>
      <c r="M1031" s="708" t="s">
        <v>2322</v>
      </c>
      <c r="N1031" s="223"/>
      <c r="O1031" s="706">
        <f t="shared" si="181"/>
        <v>0</v>
      </c>
    </row>
    <row r="1032" spans="1:15" s="360" customFormat="1" ht="15" hidden="1">
      <c r="A1032" s="356" t="s">
        <v>528</v>
      </c>
      <c r="B1032" s="707" t="s">
        <v>509</v>
      </c>
      <c r="C1032" s="717"/>
      <c r="D1032" s="354"/>
      <c r="E1032" s="10"/>
      <c r="F1032" s="353"/>
      <c r="G1032" s="358">
        <f>'3.60 lakhs'!I847</f>
        <v>0</v>
      </c>
      <c r="H1032" s="354" t="s">
        <v>102</v>
      </c>
      <c r="I1032" s="355">
        <f>'3.60 lakhs'!K847</f>
        <v>1134.08</v>
      </c>
      <c r="J1032" s="353">
        <f t="shared" si="183"/>
        <v>0</v>
      </c>
      <c r="K1032" s="743">
        <f t="shared" si="179"/>
        <v>0</v>
      </c>
      <c r="L1032" s="368">
        <f t="shared" si="180"/>
        <v>0</v>
      </c>
      <c r="M1032" s="708" t="s">
        <v>2322</v>
      </c>
      <c r="N1032" s="223"/>
      <c r="O1032" s="706">
        <f t="shared" si="181"/>
        <v>0</v>
      </c>
    </row>
    <row r="1033" spans="1:15" s="360" customFormat="1" ht="15" hidden="1">
      <c r="A1033" s="356" t="s">
        <v>508</v>
      </c>
      <c r="B1033" s="707" t="s">
        <v>708</v>
      </c>
      <c r="C1033" s="710"/>
      <c r="D1033" s="354"/>
      <c r="E1033" s="362"/>
      <c r="F1033" s="353"/>
      <c r="G1033" s="358">
        <f>'3.60 lakhs'!I854</f>
        <v>0</v>
      </c>
      <c r="H1033" s="354" t="s">
        <v>77</v>
      </c>
      <c r="I1033" s="355">
        <f>'3.60 lakhs'!K854</f>
        <v>3248.17</v>
      </c>
      <c r="J1033" s="353">
        <f t="shared" si="183"/>
        <v>0</v>
      </c>
      <c r="K1033" s="743">
        <f t="shared" si="179"/>
        <v>0</v>
      </c>
      <c r="L1033" s="368">
        <f t="shared" si="180"/>
        <v>0</v>
      </c>
      <c r="M1033" s="708" t="s">
        <v>2322</v>
      </c>
      <c r="N1033" s="223"/>
      <c r="O1033" s="706">
        <f t="shared" si="181"/>
        <v>0</v>
      </c>
    </row>
    <row r="1034" spans="1:15" s="360" customFormat="1" ht="15" hidden="1">
      <c r="A1034" s="356" t="s">
        <v>510</v>
      </c>
      <c r="B1034" s="707" t="s">
        <v>877</v>
      </c>
      <c r="C1034" s="710"/>
      <c r="D1034" s="354"/>
      <c r="E1034" s="362"/>
      <c r="F1034" s="353"/>
      <c r="G1034" s="358">
        <f>'3.60 lakhs'!I861</f>
        <v>0</v>
      </c>
      <c r="H1034" s="354" t="s">
        <v>102</v>
      </c>
      <c r="I1034" s="355">
        <f>'3.60 lakhs'!K861</f>
        <v>2995.66</v>
      </c>
      <c r="J1034" s="353">
        <f t="shared" si="183"/>
        <v>0</v>
      </c>
      <c r="K1034" s="743">
        <f t="shared" si="179"/>
        <v>0</v>
      </c>
      <c r="L1034" s="368">
        <f t="shared" si="180"/>
        <v>0</v>
      </c>
      <c r="M1034" s="708" t="s">
        <v>2322</v>
      </c>
      <c r="N1034" s="223"/>
      <c r="O1034" s="706">
        <f t="shared" si="181"/>
        <v>0</v>
      </c>
    </row>
    <row r="1035" spans="1:15" s="360" customFormat="1" ht="15" hidden="1">
      <c r="A1035" s="356" t="s">
        <v>529</v>
      </c>
      <c r="B1035" s="707" t="s">
        <v>710</v>
      </c>
      <c r="C1035" s="710"/>
      <c r="D1035" s="354"/>
      <c r="E1035" s="362"/>
      <c r="F1035" s="353"/>
      <c r="G1035" s="358">
        <f>'3.60 lakhs'!I868</f>
        <v>0</v>
      </c>
      <c r="H1035" s="354" t="s">
        <v>102</v>
      </c>
      <c r="I1035" s="355">
        <f>'3.60 lakhs'!K868</f>
        <v>816.76</v>
      </c>
      <c r="J1035" s="353">
        <f t="shared" si="183"/>
        <v>0</v>
      </c>
      <c r="K1035" s="743">
        <f t="shared" si="179"/>
        <v>0</v>
      </c>
      <c r="L1035" s="368">
        <f t="shared" si="180"/>
        <v>0</v>
      </c>
      <c r="M1035" s="708" t="s">
        <v>2322</v>
      </c>
      <c r="N1035" s="223"/>
      <c r="O1035" s="706">
        <f t="shared" si="181"/>
        <v>0</v>
      </c>
    </row>
    <row r="1036" spans="1:15" s="360" customFormat="1" ht="15" hidden="1">
      <c r="A1036" s="356" t="s">
        <v>530</v>
      </c>
      <c r="B1036" s="707" t="s">
        <v>711</v>
      </c>
      <c r="C1036" s="710"/>
      <c r="D1036" s="354"/>
      <c r="E1036" s="362"/>
      <c r="F1036" s="353"/>
      <c r="G1036" s="358">
        <f>'3.60 lakhs'!I875</f>
        <v>0</v>
      </c>
      <c r="H1036" s="354" t="s">
        <v>102</v>
      </c>
      <c r="I1036" s="355">
        <f>'3.60 lakhs'!K875</f>
        <v>822.23</v>
      </c>
      <c r="J1036" s="353">
        <f t="shared" si="183"/>
        <v>0</v>
      </c>
      <c r="K1036" s="743">
        <f t="shared" si="179"/>
        <v>0</v>
      </c>
      <c r="L1036" s="368">
        <f t="shared" si="180"/>
        <v>0</v>
      </c>
      <c r="M1036" s="708" t="s">
        <v>2322</v>
      </c>
      <c r="N1036" s="223"/>
      <c r="O1036" s="706">
        <f t="shared" si="181"/>
        <v>0</v>
      </c>
    </row>
    <row r="1037" spans="1:15" s="360" customFormat="1" ht="15" hidden="1">
      <c r="A1037" s="356" t="s">
        <v>531</v>
      </c>
      <c r="B1037" s="707" t="s">
        <v>511</v>
      </c>
      <c r="C1037" s="711"/>
      <c r="D1037" s="354"/>
      <c r="E1037" s="718"/>
      <c r="F1037" s="353"/>
      <c r="G1037" s="358">
        <f>'3.60 lakhs'!I882</f>
        <v>0</v>
      </c>
      <c r="H1037" s="354" t="s">
        <v>102</v>
      </c>
      <c r="I1037" s="355">
        <f>'3.60 lakhs'!K882</f>
        <v>873.89</v>
      </c>
      <c r="J1037" s="353">
        <f t="shared" si="183"/>
        <v>0</v>
      </c>
      <c r="K1037" s="743">
        <f t="shared" si="179"/>
        <v>0</v>
      </c>
      <c r="L1037" s="368">
        <f t="shared" si="180"/>
        <v>0</v>
      </c>
      <c r="M1037" s="708" t="s">
        <v>2322</v>
      </c>
      <c r="N1037" s="223"/>
      <c r="O1037" s="706">
        <f t="shared" si="181"/>
        <v>0</v>
      </c>
    </row>
    <row r="1038" spans="1:15" s="360" customFormat="1" ht="15" hidden="1">
      <c r="A1038" s="356" t="s">
        <v>532</v>
      </c>
      <c r="B1038" s="707" t="s">
        <v>570</v>
      </c>
      <c r="C1038" s="711"/>
      <c r="D1038" s="354"/>
      <c r="E1038" s="660"/>
      <c r="F1038" s="353"/>
      <c r="G1038" s="358">
        <f>'3.60 lakhs'!I888</f>
        <v>0</v>
      </c>
      <c r="H1038" s="354" t="s">
        <v>102</v>
      </c>
      <c r="I1038" s="355">
        <f>'3.60 lakhs'!K888</f>
        <v>536.26</v>
      </c>
      <c r="J1038" s="353">
        <f t="shared" si="183"/>
        <v>0</v>
      </c>
      <c r="K1038" s="743">
        <f t="shared" si="179"/>
        <v>0</v>
      </c>
      <c r="L1038" s="368">
        <f t="shared" si="180"/>
        <v>0</v>
      </c>
      <c r="M1038" s="708" t="s">
        <v>2322</v>
      </c>
      <c r="N1038" s="223"/>
      <c r="O1038" s="706">
        <f t="shared" si="181"/>
        <v>0</v>
      </c>
    </row>
    <row r="1039" spans="1:15" s="360" customFormat="1" ht="15" hidden="1">
      <c r="A1039" s="356" t="s">
        <v>492</v>
      </c>
      <c r="B1039" s="707" t="s">
        <v>1223</v>
      </c>
      <c r="C1039" s="710"/>
      <c r="D1039" s="354"/>
      <c r="E1039" s="362"/>
      <c r="F1039" s="353"/>
      <c r="G1039" s="358">
        <f>'3.60 lakhs'!I894</f>
        <v>0</v>
      </c>
      <c r="H1039" s="354" t="s">
        <v>102</v>
      </c>
      <c r="I1039" s="355">
        <f>'3.60 lakhs'!K894</f>
        <v>1100.49</v>
      </c>
      <c r="J1039" s="353">
        <f t="shared" si="183"/>
        <v>0</v>
      </c>
      <c r="K1039" s="743">
        <f t="shared" si="179"/>
        <v>0</v>
      </c>
      <c r="L1039" s="368">
        <f t="shared" si="180"/>
        <v>0</v>
      </c>
      <c r="M1039" s="708" t="s">
        <v>2322</v>
      </c>
      <c r="N1039" s="223"/>
      <c r="O1039" s="706">
        <f t="shared" si="181"/>
        <v>0</v>
      </c>
    </row>
    <row r="1040" spans="1:15" s="360" customFormat="1" ht="15" hidden="1">
      <c r="A1040" s="356" t="s">
        <v>533</v>
      </c>
      <c r="B1040" s="707" t="s">
        <v>707</v>
      </c>
      <c r="C1040" s="711"/>
      <c r="D1040" s="354"/>
      <c r="E1040" s="660"/>
      <c r="F1040" s="353"/>
      <c r="G1040" s="358">
        <f>'3.60 lakhs'!I902</f>
        <v>0</v>
      </c>
      <c r="H1040" s="354" t="s">
        <v>102</v>
      </c>
      <c r="I1040" s="355">
        <f>'3.60 lakhs'!K902</f>
        <v>27.91</v>
      </c>
      <c r="J1040" s="353">
        <f t="shared" si="183"/>
        <v>0</v>
      </c>
      <c r="K1040" s="743">
        <f t="shared" si="179"/>
        <v>0</v>
      </c>
      <c r="L1040" s="368">
        <f t="shared" si="180"/>
        <v>0</v>
      </c>
      <c r="M1040" s="708" t="s">
        <v>2322</v>
      </c>
      <c r="N1040" s="223"/>
      <c r="O1040" s="706">
        <f t="shared" si="181"/>
        <v>0</v>
      </c>
    </row>
    <row r="1041" spans="1:15" s="360" customFormat="1" ht="15" hidden="1">
      <c r="A1041" s="356" t="s">
        <v>1143</v>
      </c>
      <c r="B1041" s="707" t="s">
        <v>888</v>
      </c>
      <c r="C1041" s="710"/>
      <c r="D1041" s="354"/>
      <c r="E1041" s="362"/>
      <c r="F1041" s="353"/>
      <c r="G1041" s="358">
        <f>'3.60 lakhs'!I910</f>
        <v>0</v>
      </c>
      <c r="H1041" s="354" t="s">
        <v>102</v>
      </c>
      <c r="I1041" s="355">
        <f>'3.60 lakhs'!K910</f>
        <v>194.34</v>
      </c>
      <c r="J1041" s="353">
        <f t="shared" si="183"/>
        <v>0</v>
      </c>
      <c r="K1041" s="743">
        <f t="shared" si="179"/>
        <v>0</v>
      </c>
      <c r="L1041" s="368">
        <f t="shared" si="180"/>
        <v>0</v>
      </c>
      <c r="M1041" s="708" t="s">
        <v>2322</v>
      </c>
      <c r="N1041" s="223"/>
      <c r="O1041" s="706">
        <f t="shared" si="181"/>
        <v>0</v>
      </c>
    </row>
    <row r="1042" spans="1:15" s="360" customFormat="1" ht="15" hidden="1">
      <c r="A1042" s="356" t="s">
        <v>645</v>
      </c>
      <c r="B1042" s="707" t="s">
        <v>571</v>
      </c>
      <c r="C1042" s="710"/>
      <c r="D1042" s="354"/>
      <c r="E1042" s="362"/>
      <c r="F1042" s="353"/>
      <c r="G1042" s="358">
        <f>'3.60 lakhs'!I918</f>
        <v>0</v>
      </c>
      <c r="H1042" s="354" t="s">
        <v>102</v>
      </c>
      <c r="I1042" s="355">
        <f>'3.60 lakhs'!K918</f>
        <v>169.89</v>
      </c>
      <c r="J1042" s="353">
        <f t="shared" si="183"/>
        <v>0</v>
      </c>
      <c r="K1042" s="743">
        <f t="shared" si="179"/>
        <v>0</v>
      </c>
      <c r="L1042" s="368">
        <f t="shared" si="180"/>
        <v>0</v>
      </c>
      <c r="M1042" s="708" t="s">
        <v>2322</v>
      </c>
      <c r="N1042" s="223"/>
      <c r="O1042" s="706">
        <f t="shared" si="181"/>
        <v>0</v>
      </c>
    </row>
    <row r="1043" spans="1:15" s="360" customFormat="1" ht="15" hidden="1">
      <c r="A1043" s="356" t="s">
        <v>1587</v>
      </c>
      <c r="B1043" s="707" t="s">
        <v>1227</v>
      </c>
      <c r="C1043" s="711"/>
      <c r="D1043" s="354"/>
      <c r="E1043" s="660"/>
      <c r="F1043" s="353"/>
      <c r="G1043" s="358">
        <f>'3.60 lakhs'!I925</f>
        <v>0</v>
      </c>
      <c r="H1043" s="354" t="s">
        <v>102</v>
      </c>
      <c r="I1043" s="355">
        <f>'3.60 lakhs'!K925</f>
        <v>233.59</v>
      </c>
      <c r="J1043" s="353">
        <f t="shared" si="183"/>
        <v>0</v>
      </c>
      <c r="K1043" s="743">
        <f t="shared" si="179"/>
        <v>0</v>
      </c>
      <c r="L1043" s="368">
        <f t="shared" si="180"/>
        <v>0</v>
      </c>
      <c r="M1043" s="708" t="s">
        <v>2322</v>
      </c>
      <c r="N1043" s="223"/>
      <c r="O1043" s="706">
        <f t="shared" si="181"/>
        <v>0</v>
      </c>
    </row>
    <row r="1044" spans="1:15" s="360" customFormat="1" ht="15" hidden="1">
      <c r="A1044" s="356" t="s">
        <v>1578</v>
      </c>
      <c r="B1044" s="707" t="s">
        <v>477</v>
      </c>
      <c r="C1044" s="719"/>
      <c r="D1044" s="221"/>
      <c r="E1044" s="660"/>
      <c r="F1044" s="353"/>
      <c r="G1044" s="429">
        <f>'3.60 lakhs'!I931</f>
        <v>0</v>
      </c>
      <c r="H1044" s="221" t="s">
        <v>29</v>
      </c>
      <c r="I1044" s="430">
        <f>'3.60 lakhs'!K931</f>
        <v>91830</v>
      </c>
      <c r="J1044" s="353">
        <f t="shared" si="183"/>
        <v>0</v>
      </c>
      <c r="K1044" s="743">
        <f t="shared" si="179"/>
        <v>0</v>
      </c>
      <c r="L1044" s="368">
        <f t="shared" si="180"/>
        <v>0</v>
      </c>
      <c r="M1044" s="708" t="s">
        <v>2322</v>
      </c>
      <c r="N1044" s="223"/>
      <c r="O1044" s="706">
        <f t="shared" si="181"/>
        <v>0</v>
      </c>
    </row>
    <row r="1045" spans="1:15" s="360" customFormat="1" ht="15" hidden="1">
      <c r="A1045" s="356" t="s">
        <v>1144</v>
      </c>
      <c r="B1045" s="707" t="s">
        <v>1229</v>
      </c>
      <c r="C1045" s="710"/>
      <c r="D1045" s="354"/>
      <c r="E1045" s="10"/>
      <c r="F1045" s="353"/>
      <c r="G1045" s="358">
        <f>'3.60 lakhs'!I937</f>
        <v>0</v>
      </c>
      <c r="H1045" s="354" t="s">
        <v>115</v>
      </c>
      <c r="I1045" s="355">
        <f>'3.60 lakhs'!K937</f>
        <v>22903.660000000003</v>
      </c>
      <c r="J1045" s="353">
        <f t="shared" si="183"/>
        <v>0</v>
      </c>
      <c r="K1045" s="743">
        <f t="shared" si="179"/>
        <v>0</v>
      </c>
      <c r="L1045" s="368">
        <f t="shared" si="180"/>
        <v>0</v>
      </c>
      <c r="M1045" s="708" t="s">
        <v>2322</v>
      </c>
      <c r="N1045" s="223"/>
      <c r="O1045" s="706">
        <f t="shared" si="181"/>
        <v>0</v>
      </c>
    </row>
    <row r="1046" spans="1:15" s="360" customFormat="1" ht="15" hidden="1">
      <c r="A1046" s="356" t="s">
        <v>485</v>
      </c>
      <c r="B1046" s="707" t="s">
        <v>2004</v>
      </c>
      <c r="C1046" s="710"/>
      <c r="D1046" s="354"/>
      <c r="E1046" s="362"/>
      <c r="F1046" s="353"/>
      <c r="G1046" s="358">
        <f>'3.60 lakhs'!I952</f>
        <v>0</v>
      </c>
      <c r="H1046" s="354" t="s">
        <v>115</v>
      </c>
      <c r="I1046" s="355">
        <f>'3.60 lakhs'!K952</f>
        <v>15875.19</v>
      </c>
      <c r="J1046" s="353">
        <f t="shared" si="183"/>
        <v>0</v>
      </c>
      <c r="K1046" s="743">
        <f t="shared" ref="K1046:K1109" si="184">IF(J1046&gt;F1046,J1046-F1046,0)</f>
        <v>0</v>
      </c>
      <c r="L1046" s="368">
        <f t="shared" ref="L1046:L1109" si="185">IF(J1046&lt;F1046,F1046-J1046,0)</f>
        <v>0</v>
      </c>
      <c r="M1046" s="708" t="s">
        <v>2322</v>
      </c>
      <c r="N1046" s="223"/>
      <c r="O1046" s="706">
        <f t="shared" si="181"/>
        <v>0</v>
      </c>
    </row>
    <row r="1047" spans="1:15" s="360" customFormat="1" ht="15" hidden="1">
      <c r="A1047" s="356"/>
      <c r="B1047" s="707" t="s">
        <v>2005</v>
      </c>
      <c r="C1047" s="711"/>
      <c r="D1047" s="354"/>
      <c r="E1047" s="10"/>
      <c r="F1047" s="353"/>
      <c r="G1047" s="358">
        <f>'3.60 lakhs'!I957</f>
        <v>0</v>
      </c>
      <c r="H1047" s="354" t="s">
        <v>115</v>
      </c>
      <c r="I1047" s="355">
        <f>'3.60 lakhs'!K957</f>
        <v>15037.220000000001</v>
      </c>
      <c r="J1047" s="353">
        <f t="shared" si="183"/>
        <v>0</v>
      </c>
      <c r="K1047" s="743">
        <f t="shared" si="184"/>
        <v>0</v>
      </c>
      <c r="L1047" s="368">
        <f t="shared" si="185"/>
        <v>0</v>
      </c>
      <c r="M1047" s="708" t="s">
        <v>2322</v>
      </c>
      <c r="N1047" s="223"/>
      <c r="O1047" s="706">
        <f t="shared" ref="O1047:O1110" si="186">F1047-J1047</f>
        <v>0</v>
      </c>
    </row>
    <row r="1048" spans="1:15" s="360" customFormat="1" ht="15" hidden="1">
      <c r="A1048" s="356" t="s">
        <v>1144</v>
      </c>
      <c r="B1048" s="707" t="s">
        <v>2004</v>
      </c>
      <c r="C1048" s="711"/>
      <c r="D1048" s="354"/>
      <c r="E1048" s="10"/>
      <c r="F1048" s="353"/>
      <c r="G1048" s="358">
        <f>'3.60 lakhs'!I962</f>
        <v>0</v>
      </c>
      <c r="H1048" s="354" t="s">
        <v>115</v>
      </c>
      <c r="I1048" s="355">
        <f>'3.60 lakhs'!K962</f>
        <v>10330.61</v>
      </c>
      <c r="J1048" s="353">
        <f t="shared" si="183"/>
        <v>0</v>
      </c>
      <c r="K1048" s="743">
        <f t="shared" si="184"/>
        <v>0</v>
      </c>
      <c r="L1048" s="368">
        <f t="shared" si="185"/>
        <v>0</v>
      </c>
      <c r="M1048" s="708" t="s">
        <v>2322</v>
      </c>
      <c r="N1048" s="223"/>
      <c r="O1048" s="706">
        <f t="shared" si="186"/>
        <v>0</v>
      </c>
    </row>
    <row r="1049" spans="1:15" s="360" customFormat="1" ht="15" hidden="1">
      <c r="A1049" s="356" t="s">
        <v>1582</v>
      </c>
      <c r="B1049" s="707" t="s">
        <v>2006</v>
      </c>
      <c r="C1049" s="554"/>
      <c r="D1049" s="354"/>
      <c r="E1049" s="10"/>
      <c r="F1049" s="353"/>
      <c r="G1049" s="358">
        <f>'3.60 lakhs'!I967</f>
        <v>0</v>
      </c>
      <c r="H1049" s="354" t="s">
        <v>115</v>
      </c>
      <c r="I1049" s="355">
        <f>'3.60 lakhs'!K967</f>
        <v>7015.49</v>
      </c>
      <c r="J1049" s="353">
        <f t="shared" si="183"/>
        <v>0</v>
      </c>
      <c r="K1049" s="743">
        <f t="shared" si="184"/>
        <v>0</v>
      </c>
      <c r="L1049" s="368">
        <f t="shared" si="185"/>
        <v>0</v>
      </c>
      <c r="M1049" s="708" t="s">
        <v>2322</v>
      </c>
      <c r="N1049" s="223"/>
      <c r="O1049" s="706">
        <f t="shared" si="186"/>
        <v>0</v>
      </c>
    </row>
    <row r="1050" spans="1:15" s="360" customFormat="1" ht="15" hidden="1" customHeight="1">
      <c r="A1050" s="356" t="s">
        <v>2800</v>
      </c>
      <c r="B1050" s="707" t="s">
        <v>1228</v>
      </c>
      <c r="C1050" s="711"/>
      <c r="D1050" s="354"/>
      <c r="E1050" s="10"/>
      <c r="F1050" s="353"/>
      <c r="G1050" s="358">
        <f>'3.60 lakhs'!I942</f>
        <v>0</v>
      </c>
      <c r="H1050" s="354" t="s">
        <v>115</v>
      </c>
      <c r="I1050" s="355">
        <f>'3.60 lakhs'!K942</f>
        <v>7927.96</v>
      </c>
      <c r="J1050" s="353">
        <f t="shared" si="183"/>
        <v>0</v>
      </c>
      <c r="K1050" s="743">
        <f t="shared" si="184"/>
        <v>0</v>
      </c>
      <c r="L1050" s="368">
        <f t="shared" si="185"/>
        <v>0</v>
      </c>
      <c r="M1050" s="708" t="s">
        <v>2322</v>
      </c>
      <c r="N1050" s="223"/>
      <c r="O1050" s="706">
        <f t="shared" si="186"/>
        <v>0</v>
      </c>
    </row>
    <row r="1051" spans="1:15" s="360" customFormat="1" ht="15" hidden="1" customHeight="1">
      <c r="A1051" s="356" t="s">
        <v>1590</v>
      </c>
      <c r="B1051" s="707" t="s">
        <v>1228</v>
      </c>
      <c r="C1051" s="711"/>
      <c r="D1051" s="354"/>
      <c r="E1051" s="10"/>
      <c r="F1051" s="353"/>
      <c r="G1051" s="358">
        <f>'3.60 lakhs'!I947</f>
        <v>0</v>
      </c>
      <c r="H1051" s="354" t="s">
        <v>115</v>
      </c>
      <c r="I1051" s="355">
        <f>'3.60 lakhs'!K947</f>
        <v>11442.58</v>
      </c>
      <c r="J1051" s="353">
        <f t="shared" si="183"/>
        <v>0</v>
      </c>
      <c r="K1051" s="743">
        <f t="shared" si="184"/>
        <v>0</v>
      </c>
      <c r="L1051" s="368">
        <f t="shared" si="185"/>
        <v>0</v>
      </c>
      <c r="M1051" s="708" t="s">
        <v>2322</v>
      </c>
      <c r="N1051" s="223"/>
      <c r="O1051" s="706">
        <f t="shared" si="186"/>
        <v>0</v>
      </c>
    </row>
    <row r="1052" spans="1:15" s="360" customFormat="1" ht="15" hidden="1">
      <c r="A1052" s="356" t="s">
        <v>529</v>
      </c>
      <c r="B1052" s="707" t="s">
        <v>963</v>
      </c>
      <c r="C1052" s="554"/>
      <c r="D1052" s="354"/>
      <c r="E1052" s="10"/>
      <c r="F1052" s="353"/>
      <c r="G1052" s="358">
        <f>'3.60 lakhs'!I974</f>
        <v>0</v>
      </c>
      <c r="H1052" s="354" t="s">
        <v>115</v>
      </c>
      <c r="I1052" s="355">
        <f>'3.60 lakhs'!K974</f>
        <v>17517.36</v>
      </c>
      <c r="J1052" s="353">
        <f t="shared" si="183"/>
        <v>0</v>
      </c>
      <c r="K1052" s="743">
        <f t="shared" si="184"/>
        <v>0</v>
      </c>
      <c r="L1052" s="368">
        <f t="shared" si="185"/>
        <v>0</v>
      </c>
      <c r="M1052" s="708" t="s">
        <v>2322</v>
      </c>
      <c r="N1052" s="223"/>
      <c r="O1052" s="706">
        <f t="shared" si="186"/>
        <v>0</v>
      </c>
    </row>
    <row r="1053" spans="1:15" s="360" customFormat="1" ht="15" hidden="1">
      <c r="A1053" s="356" t="s">
        <v>2801</v>
      </c>
      <c r="B1053" s="707" t="s">
        <v>964</v>
      </c>
      <c r="C1053" s="709"/>
      <c r="D1053" s="354"/>
      <c r="E1053" s="10"/>
      <c r="F1053" s="353"/>
      <c r="G1053" s="358">
        <f>'3.60 lakhs'!I979</f>
        <v>0</v>
      </c>
      <c r="H1053" s="354" t="s">
        <v>115</v>
      </c>
      <c r="I1053" s="355">
        <f>'3.60 lakhs'!K979</f>
        <v>7005.16</v>
      </c>
      <c r="J1053" s="353">
        <f t="shared" si="183"/>
        <v>0</v>
      </c>
      <c r="K1053" s="743">
        <f t="shared" si="184"/>
        <v>0</v>
      </c>
      <c r="L1053" s="368">
        <f t="shared" si="185"/>
        <v>0</v>
      </c>
      <c r="M1053" s="708" t="s">
        <v>2322</v>
      </c>
      <c r="N1053" s="223"/>
      <c r="O1053" s="706">
        <f t="shared" si="186"/>
        <v>0</v>
      </c>
    </row>
    <row r="1054" spans="1:15" s="360" customFormat="1" ht="15" hidden="1">
      <c r="A1054" s="356" t="s">
        <v>2802</v>
      </c>
      <c r="B1054" s="707" t="s">
        <v>2037</v>
      </c>
      <c r="C1054" s="554"/>
      <c r="D1054" s="354"/>
      <c r="E1054" s="10"/>
      <c r="F1054" s="353"/>
      <c r="G1054" s="358">
        <f>'3.60 lakhs'!I984</f>
        <v>0</v>
      </c>
      <c r="H1054" s="354" t="s">
        <v>102</v>
      </c>
      <c r="I1054" s="355">
        <f>'3.60 lakhs'!K984</f>
        <v>4083.08</v>
      </c>
      <c r="J1054" s="353">
        <f t="shared" si="183"/>
        <v>0</v>
      </c>
      <c r="K1054" s="743">
        <f t="shared" si="184"/>
        <v>0</v>
      </c>
      <c r="L1054" s="368">
        <f t="shared" si="185"/>
        <v>0</v>
      </c>
      <c r="M1054" s="708" t="s">
        <v>2322</v>
      </c>
      <c r="N1054" s="223"/>
      <c r="O1054" s="706">
        <f t="shared" si="186"/>
        <v>0</v>
      </c>
    </row>
    <row r="1055" spans="1:15" s="360" customFormat="1" ht="15" hidden="1">
      <c r="A1055" s="356" t="s">
        <v>1147</v>
      </c>
      <c r="B1055" s="707" t="s">
        <v>2038</v>
      </c>
      <c r="C1055" s="554"/>
      <c r="D1055" s="354"/>
      <c r="E1055" s="10"/>
      <c r="F1055" s="353"/>
      <c r="G1055" s="358">
        <f>'3.60 lakhs'!I990</f>
        <v>0</v>
      </c>
      <c r="H1055" s="354" t="s">
        <v>102</v>
      </c>
      <c r="I1055" s="355">
        <f>'3.60 lakhs'!K990</f>
        <v>6132.48</v>
      </c>
      <c r="J1055" s="353">
        <f t="shared" si="183"/>
        <v>0</v>
      </c>
      <c r="K1055" s="743">
        <f t="shared" si="184"/>
        <v>0</v>
      </c>
      <c r="L1055" s="368">
        <f t="shared" si="185"/>
        <v>0</v>
      </c>
      <c r="M1055" s="708" t="s">
        <v>2322</v>
      </c>
      <c r="N1055" s="223"/>
      <c r="O1055" s="706">
        <f t="shared" si="186"/>
        <v>0</v>
      </c>
    </row>
    <row r="1056" spans="1:15" s="360" customFormat="1" ht="25.5" hidden="1">
      <c r="A1056" s="356" t="s">
        <v>2715</v>
      </c>
      <c r="B1056" s="707" t="s">
        <v>965</v>
      </c>
      <c r="C1056" s="554"/>
      <c r="D1056" s="354"/>
      <c r="E1056" s="10"/>
      <c r="F1056" s="353"/>
      <c r="G1056" s="358">
        <f>'3.60 lakhs'!I1001</f>
        <v>0</v>
      </c>
      <c r="H1056" s="354" t="s">
        <v>102</v>
      </c>
      <c r="I1056" s="355">
        <f>'3.60 lakhs'!K1001</f>
        <v>8622</v>
      </c>
      <c r="J1056" s="353">
        <f t="shared" si="183"/>
        <v>0</v>
      </c>
      <c r="K1056" s="743">
        <f t="shared" si="184"/>
        <v>0</v>
      </c>
      <c r="L1056" s="368">
        <f t="shared" si="185"/>
        <v>0</v>
      </c>
      <c r="M1056" s="708" t="s">
        <v>2322</v>
      </c>
      <c r="N1056" s="223"/>
      <c r="O1056" s="706">
        <f t="shared" si="186"/>
        <v>0</v>
      </c>
    </row>
    <row r="1057" spans="1:15" s="360" customFormat="1" ht="25.5" hidden="1">
      <c r="A1057" s="356" t="s">
        <v>1145</v>
      </c>
      <c r="B1057" s="707" t="s">
        <v>965</v>
      </c>
      <c r="C1057" s="709"/>
      <c r="D1057" s="354"/>
      <c r="E1057" s="10"/>
      <c r="F1057" s="353"/>
      <c r="G1057" s="358">
        <f>'3.60 lakhs'!I1005</f>
        <v>0</v>
      </c>
      <c r="H1057" s="354" t="s">
        <v>102</v>
      </c>
      <c r="I1057" s="355">
        <f>'3.60 lakhs'!K1005</f>
        <v>6460</v>
      </c>
      <c r="J1057" s="353">
        <f t="shared" ref="J1057:J1088" si="187">ROUND(G1057*I1057,0)</f>
        <v>0</v>
      </c>
      <c r="K1057" s="743">
        <f t="shared" si="184"/>
        <v>0</v>
      </c>
      <c r="L1057" s="368">
        <f t="shared" si="185"/>
        <v>0</v>
      </c>
      <c r="M1057" s="708" t="s">
        <v>2322</v>
      </c>
      <c r="N1057" s="223"/>
      <c r="O1057" s="706">
        <f t="shared" si="186"/>
        <v>0</v>
      </c>
    </row>
    <row r="1058" spans="1:15" s="360" customFormat="1" ht="25.5" hidden="1">
      <c r="A1058" s="356" t="s">
        <v>1579</v>
      </c>
      <c r="B1058" s="707" t="s">
        <v>966</v>
      </c>
      <c r="C1058" s="709"/>
      <c r="D1058" s="354"/>
      <c r="E1058" s="10"/>
      <c r="F1058" s="353"/>
      <c r="G1058" s="358">
        <f>'3.60 lakhs'!I1009</f>
        <v>0</v>
      </c>
      <c r="H1058" s="354" t="s">
        <v>102</v>
      </c>
      <c r="I1058" s="355">
        <f>'3.60 lakhs'!K1009</f>
        <v>6238</v>
      </c>
      <c r="J1058" s="353">
        <f t="shared" si="187"/>
        <v>0</v>
      </c>
      <c r="K1058" s="743">
        <f t="shared" si="184"/>
        <v>0</v>
      </c>
      <c r="L1058" s="368">
        <f t="shared" si="185"/>
        <v>0</v>
      </c>
      <c r="M1058" s="708" t="s">
        <v>2322</v>
      </c>
      <c r="N1058" s="223"/>
      <c r="O1058" s="706">
        <f t="shared" si="186"/>
        <v>0</v>
      </c>
    </row>
    <row r="1059" spans="1:15" s="360" customFormat="1" ht="15" hidden="1">
      <c r="A1059" s="356"/>
      <c r="B1059" s="707" t="s">
        <v>2294</v>
      </c>
      <c r="C1059" s="709"/>
      <c r="D1059" s="354"/>
      <c r="E1059" s="10"/>
      <c r="F1059" s="353"/>
      <c r="G1059" s="358">
        <f>'3.60 lakhs'!I1014</f>
        <v>0</v>
      </c>
      <c r="H1059" s="354" t="s">
        <v>102</v>
      </c>
      <c r="I1059" s="355">
        <f>'3.60 lakhs'!K1014</f>
        <v>4062</v>
      </c>
      <c r="J1059" s="353">
        <f t="shared" si="187"/>
        <v>0</v>
      </c>
      <c r="K1059" s="743">
        <f t="shared" si="184"/>
        <v>0</v>
      </c>
      <c r="L1059" s="368">
        <f t="shared" si="185"/>
        <v>0</v>
      </c>
      <c r="M1059" s="708" t="s">
        <v>2322</v>
      </c>
      <c r="N1059" s="223"/>
      <c r="O1059" s="706">
        <f t="shared" si="186"/>
        <v>0</v>
      </c>
    </row>
    <row r="1060" spans="1:15" s="360" customFormat="1" ht="15" hidden="1">
      <c r="A1060" s="356" t="s">
        <v>1147</v>
      </c>
      <c r="B1060" s="707" t="s">
        <v>712</v>
      </c>
      <c r="C1060" s="710"/>
      <c r="D1060" s="354"/>
      <c r="E1060" s="362"/>
      <c r="F1060" s="353"/>
      <c r="G1060" s="358">
        <f>'3.60 lakhs'!I1019</f>
        <v>0</v>
      </c>
      <c r="H1060" s="354" t="s">
        <v>115</v>
      </c>
      <c r="I1060" s="355">
        <f>'3.60 lakhs'!K1019</f>
        <v>577.28</v>
      </c>
      <c r="J1060" s="353">
        <f t="shared" si="187"/>
        <v>0</v>
      </c>
      <c r="K1060" s="743">
        <f t="shared" si="184"/>
        <v>0</v>
      </c>
      <c r="L1060" s="368">
        <f t="shared" si="185"/>
        <v>0</v>
      </c>
      <c r="M1060" s="708" t="s">
        <v>2322</v>
      </c>
      <c r="N1060" s="223"/>
      <c r="O1060" s="706">
        <f t="shared" si="186"/>
        <v>0</v>
      </c>
    </row>
    <row r="1061" spans="1:15" s="360" customFormat="1" ht="15" hidden="1">
      <c r="A1061" s="356" t="s">
        <v>1580</v>
      </c>
      <c r="B1061" s="707" t="s">
        <v>932</v>
      </c>
      <c r="C1061" s="633"/>
      <c r="D1061" s="354"/>
      <c r="E1061" s="622"/>
      <c r="F1061" s="353"/>
      <c r="G1061" s="358">
        <f>'3.60 lakhs'!I1024</f>
        <v>0</v>
      </c>
      <c r="H1061" s="354" t="s">
        <v>102</v>
      </c>
      <c r="I1061" s="355">
        <f>'3.60 lakhs'!K1024</f>
        <v>604.07999999999993</v>
      </c>
      <c r="J1061" s="353">
        <f t="shared" si="187"/>
        <v>0</v>
      </c>
      <c r="K1061" s="743">
        <f t="shared" si="184"/>
        <v>0</v>
      </c>
      <c r="L1061" s="368">
        <f t="shared" si="185"/>
        <v>0</v>
      </c>
      <c r="M1061" s="708" t="s">
        <v>2322</v>
      </c>
      <c r="N1061" s="223"/>
      <c r="O1061" s="706">
        <f t="shared" si="186"/>
        <v>0</v>
      </c>
    </row>
    <row r="1062" spans="1:15" s="360" customFormat="1" ht="15" hidden="1">
      <c r="A1062" s="356" t="s">
        <v>533</v>
      </c>
      <c r="B1062" s="707" t="s">
        <v>542</v>
      </c>
      <c r="C1062" s="710"/>
      <c r="D1062" s="354"/>
      <c r="E1062" s="362"/>
      <c r="F1062" s="353"/>
      <c r="G1062" s="358">
        <f>'3.60 lakhs'!I1029</f>
        <v>0</v>
      </c>
      <c r="H1062" s="354" t="s">
        <v>872</v>
      </c>
      <c r="I1062" s="355">
        <f>'3.60 lakhs'!K1029</f>
        <v>110.38</v>
      </c>
      <c r="J1062" s="353">
        <f t="shared" si="187"/>
        <v>0</v>
      </c>
      <c r="K1062" s="743">
        <f t="shared" si="184"/>
        <v>0</v>
      </c>
      <c r="L1062" s="368">
        <f t="shared" si="185"/>
        <v>0</v>
      </c>
      <c r="M1062" s="708" t="s">
        <v>2322</v>
      </c>
      <c r="N1062" s="223"/>
      <c r="O1062" s="706">
        <f t="shared" si="186"/>
        <v>0</v>
      </c>
    </row>
    <row r="1063" spans="1:15" s="360" customFormat="1" ht="15" hidden="1">
      <c r="A1063" s="356" t="s">
        <v>1594</v>
      </c>
      <c r="B1063" s="707" t="s">
        <v>542</v>
      </c>
      <c r="C1063" s="709"/>
      <c r="D1063" s="354"/>
      <c r="E1063" s="362"/>
      <c r="F1063" s="353"/>
      <c r="G1063" s="358">
        <f>'3.60 lakhs'!I1036</f>
        <v>0</v>
      </c>
      <c r="H1063" s="354" t="s">
        <v>102</v>
      </c>
      <c r="I1063" s="355">
        <f>'3.60 lakhs'!K1036</f>
        <v>3130</v>
      </c>
      <c r="J1063" s="353">
        <f t="shared" si="187"/>
        <v>0</v>
      </c>
      <c r="K1063" s="743">
        <f t="shared" si="184"/>
        <v>0</v>
      </c>
      <c r="L1063" s="368">
        <f t="shared" si="185"/>
        <v>0</v>
      </c>
      <c r="M1063" s="708" t="s">
        <v>2322</v>
      </c>
      <c r="N1063" s="223"/>
      <c r="O1063" s="706">
        <f t="shared" si="186"/>
        <v>0</v>
      </c>
    </row>
    <row r="1064" spans="1:15" s="360" customFormat="1" ht="15" hidden="1">
      <c r="A1064" s="356" t="s">
        <v>518</v>
      </c>
      <c r="B1064" s="707" t="s">
        <v>632</v>
      </c>
      <c r="C1064" s="633"/>
      <c r="D1064" s="354"/>
      <c r="E1064" s="622"/>
      <c r="F1064" s="353"/>
      <c r="G1064" s="358">
        <f>'3.60 lakhs'!I1041</f>
        <v>0</v>
      </c>
      <c r="H1064" s="354"/>
      <c r="I1064" s="355">
        <f>'3.60 lakhs'!K1041</f>
        <v>126.9</v>
      </c>
      <c r="J1064" s="353">
        <f t="shared" si="187"/>
        <v>0</v>
      </c>
      <c r="K1064" s="743">
        <f t="shared" si="184"/>
        <v>0</v>
      </c>
      <c r="L1064" s="368">
        <f t="shared" si="185"/>
        <v>0</v>
      </c>
      <c r="M1064" s="708" t="s">
        <v>2322</v>
      </c>
      <c r="N1064" s="223"/>
      <c r="O1064" s="706">
        <f t="shared" si="186"/>
        <v>0</v>
      </c>
    </row>
    <row r="1065" spans="1:15" s="360" customFormat="1" ht="15" hidden="1">
      <c r="A1065" s="356" t="s">
        <v>1261</v>
      </c>
      <c r="B1065" s="707" t="s">
        <v>2007</v>
      </c>
      <c r="C1065" s="633"/>
      <c r="D1065" s="354"/>
      <c r="E1065" s="622"/>
      <c r="F1065" s="353"/>
      <c r="G1065" s="358">
        <f>'3.60 lakhs'!I1051</f>
        <v>0</v>
      </c>
      <c r="H1065" s="354" t="s">
        <v>102</v>
      </c>
      <c r="I1065" s="355">
        <f>'3.60 lakhs'!K1051</f>
        <v>3345.94</v>
      </c>
      <c r="J1065" s="353">
        <f t="shared" si="187"/>
        <v>0</v>
      </c>
      <c r="K1065" s="743">
        <f t="shared" si="184"/>
        <v>0</v>
      </c>
      <c r="L1065" s="368">
        <f t="shared" si="185"/>
        <v>0</v>
      </c>
      <c r="M1065" s="708" t="s">
        <v>2322</v>
      </c>
      <c r="N1065" s="223"/>
      <c r="O1065" s="706">
        <f t="shared" si="186"/>
        <v>0</v>
      </c>
    </row>
    <row r="1066" spans="1:15" s="360" customFormat="1" ht="15" hidden="1">
      <c r="A1066" s="356" t="s">
        <v>642</v>
      </c>
      <c r="B1066" s="707" t="s">
        <v>2083</v>
      </c>
      <c r="C1066" s="633"/>
      <c r="D1066" s="354"/>
      <c r="E1066" s="622"/>
      <c r="F1066" s="353"/>
      <c r="G1066" s="358">
        <f>'3.60 lakhs'!I1059</f>
        <v>0</v>
      </c>
      <c r="H1066" s="354" t="s">
        <v>102</v>
      </c>
      <c r="I1066" s="355">
        <f>'3.60 lakhs'!K1059</f>
        <v>1514.34</v>
      </c>
      <c r="J1066" s="353">
        <f t="shared" si="187"/>
        <v>0</v>
      </c>
      <c r="K1066" s="743">
        <f t="shared" si="184"/>
        <v>0</v>
      </c>
      <c r="L1066" s="368">
        <f t="shared" si="185"/>
        <v>0</v>
      </c>
      <c r="M1066" s="708" t="s">
        <v>2322</v>
      </c>
      <c r="N1066" s="223"/>
      <c r="O1066" s="706">
        <f t="shared" si="186"/>
        <v>0</v>
      </c>
    </row>
    <row r="1067" spans="1:15" s="360" customFormat="1" ht="15" hidden="1">
      <c r="A1067" s="356" t="s">
        <v>642</v>
      </c>
      <c r="B1067" s="707" t="s">
        <v>2297</v>
      </c>
      <c r="C1067" s="633"/>
      <c r="D1067" s="354"/>
      <c r="E1067" s="622"/>
      <c r="F1067" s="353"/>
      <c r="G1067" s="358">
        <f>'3.60 lakhs'!I1064</f>
        <v>0</v>
      </c>
      <c r="H1067" s="354" t="s">
        <v>872</v>
      </c>
      <c r="I1067" s="355">
        <f>'3.60 lakhs'!K1064</f>
        <v>568.35</v>
      </c>
      <c r="J1067" s="353">
        <f t="shared" si="187"/>
        <v>0</v>
      </c>
      <c r="K1067" s="743">
        <f t="shared" si="184"/>
        <v>0</v>
      </c>
      <c r="L1067" s="368">
        <f t="shared" si="185"/>
        <v>0</v>
      </c>
      <c r="M1067" s="708" t="s">
        <v>2322</v>
      </c>
      <c r="N1067" s="223"/>
      <c r="O1067" s="706">
        <f t="shared" si="186"/>
        <v>0</v>
      </c>
    </row>
    <row r="1068" spans="1:15" s="360" customFormat="1" ht="15" hidden="1">
      <c r="A1068" s="356" t="s">
        <v>1151</v>
      </c>
      <c r="B1068" s="707" t="s">
        <v>962</v>
      </c>
      <c r="C1068" s="709"/>
      <c r="D1068" s="221"/>
      <c r="E1068" s="10"/>
      <c r="F1068" s="353"/>
      <c r="G1068" s="429">
        <f>'3.60 lakhs'!I1072</f>
        <v>0</v>
      </c>
      <c r="H1068" s="221" t="s">
        <v>277</v>
      </c>
      <c r="I1068" s="430">
        <f>'3.60 lakhs'!K1072</f>
        <v>453</v>
      </c>
      <c r="J1068" s="353">
        <f t="shared" si="187"/>
        <v>0</v>
      </c>
      <c r="K1068" s="743">
        <f t="shared" si="184"/>
        <v>0</v>
      </c>
      <c r="L1068" s="368">
        <f t="shared" si="185"/>
        <v>0</v>
      </c>
      <c r="M1068" s="708" t="s">
        <v>2322</v>
      </c>
      <c r="N1068" s="223"/>
      <c r="O1068" s="706">
        <f t="shared" si="186"/>
        <v>0</v>
      </c>
    </row>
    <row r="1069" spans="1:15" s="360" customFormat="1" ht="15" hidden="1">
      <c r="A1069" s="356" t="s">
        <v>2716</v>
      </c>
      <c r="B1069" s="707" t="s">
        <v>543</v>
      </c>
      <c r="C1069" s="729"/>
      <c r="D1069" s="354"/>
      <c r="E1069" s="730"/>
      <c r="F1069" s="353"/>
      <c r="G1069" s="358">
        <f>'3.60 lakhs'!I1078</f>
        <v>0</v>
      </c>
      <c r="H1069" s="354" t="s">
        <v>277</v>
      </c>
      <c r="I1069" s="355">
        <f>'3.60 lakhs'!K1078</f>
        <v>214</v>
      </c>
      <c r="J1069" s="353">
        <f t="shared" si="187"/>
        <v>0</v>
      </c>
      <c r="K1069" s="743">
        <f t="shared" si="184"/>
        <v>0</v>
      </c>
      <c r="L1069" s="368">
        <f t="shared" si="185"/>
        <v>0</v>
      </c>
      <c r="M1069" s="708" t="s">
        <v>2322</v>
      </c>
      <c r="N1069" s="223"/>
      <c r="O1069" s="706">
        <f t="shared" si="186"/>
        <v>0</v>
      </c>
    </row>
    <row r="1070" spans="1:15" s="360" customFormat="1" ht="15" hidden="1">
      <c r="A1070" s="356" t="s">
        <v>1161</v>
      </c>
      <c r="B1070" s="707" t="s">
        <v>544</v>
      </c>
      <c r="C1070" s="729"/>
      <c r="D1070" s="354"/>
      <c r="E1070" s="730"/>
      <c r="F1070" s="353"/>
      <c r="G1070" s="358">
        <f>'3.60 lakhs'!I1083</f>
        <v>0</v>
      </c>
      <c r="H1070" s="354" t="s">
        <v>277</v>
      </c>
      <c r="I1070" s="355">
        <f>'3.60 lakhs'!K1083</f>
        <v>136</v>
      </c>
      <c r="J1070" s="353">
        <f t="shared" si="187"/>
        <v>0</v>
      </c>
      <c r="K1070" s="743">
        <f t="shared" si="184"/>
        <v>0</v>
      </c>
      <c r="L1070" s="368">
        <f t="shared" si="185"/>
        <v>0</v>
      </c>
      <c r="M1070" s="708" t="s">
        <v>2322</v>
      </c>
      <c r="N1070" s="223"/>
      <c r="O1070" s="706">
        <f t="shared" si="186"/>
        <v>0</v>
      </c>
    </row>
    <row r="1071" spans="1:15" s="360" customFormat="1" ht="15" hidden="1">
      <c r="A1071" s="356" t="s">
        <v>1597</v>
      </c>
      <c r="B1071" s="707" t="s">
        <v>2008</v>
      </c>
      <c r="C1071" s="729"/>
      <c r="D1071" s="354"/>
      <c r="E1071" s="730"/>
      <c r="F1071" s="353"/>
      <c r="G1071" s="358">
        <f>'3.60 lakhs'!I1088</f>
        <v>0</v>
      </c>
      <c r="H1071" s="354" t="s">
        <v>277</v>
      </c>
      <c r="I1071" s="355">
        <f>'3.60 lakhs'!K1088</f>
        <v>94</v>
      </c>
      <c r="J1071" s="353">
        <f t="shared" si="187"/>
        <v>0</v>
      </c>
      <c r="K1071" s="743">
        <f t="shared" si="184"/>
        <v>0</v>
      </c>
      <c r="L1071" s="368">
        <f t="shared" si="185"/>
        <v>0</v>
      </c>
      <c r="M1071" s="708" t="s">
        <v>2322</v>
      </c>
      <c r="N1071" s="223"/>
      <c r="O1071" s="706">
        <f t="shared" si="186"/>
        <v>0</v>
      </c>
    </row>
    <row r="1072" spans="1:15" s="360" customFormat="1" ht="15" hidden="1">
      <c r="A1072" s="356" t="s">
        <v>1153</v>
      </c>
      <c r="B1072" s="707" t="s">
        <v>1256</v>
      </c>
      <c r="C1072" s="633"/>
      <c r="D1072" s="354"/>
      <c r="E1072" s="622"/>
      <c r="F1072" s="353"/>
      <c r="G1072" s="358">
        <f>'3.60 lakhs'!I1098</f>
        <v>0</v>
      </c>
      <c r="H1072" s="354" t="s">
        <v>277</v>
      </c>
      <c r="I1072" s="355">
        <f>'3.60 lakhs'!K1098</f>
        <v>35</v>
      </c>
      <c r="J1072" s="353">
        <f t="shared" si="187"/>
        <v>0</v>
      </c>
      <c r="K1072" s="743">
        <f t="shared" si="184"/>
        <v>0</v>
      </c>
      <c r="L1072" s="368">
        <f t="shared" si="185"/>
        <v>0</v>
      </c>
      <c r="M1072" s="708" t="s">
        <v>2322</v>
      </c>
      <c r="N1072" s="223"/>
      <c r="O1072" s="706">
        <f t="shared" si="186"/>
        <v>0</v>
      </c>
    </row>
    <row r="1073" spans="1:15" s="360" customFormat="1" ht="15" hidden="1">
      <c r="A1073" s="356" t="s">
        <v>1162</v>
      </c>
      <c r="B1073" s="707" t="s">
        <v>545</v>
      </c>
      <c r="C1073" s="729"/>
      <c r="D1073" s="354"/>
      <c r="E1073" s="730"/>
      <c r="F1073" s="353"/>
      <c r="G1073" s="358">
        <f>'3.60 lakhs'!I1104</f>
        <v>0</v>
      </c>
      <c r="H1073" s="354" t="s">
        <v>277</v>
      </c>
      <c r="I1073" s="355">
        <f>'3.60 lakhs'!K1104</f>
        <v>33</v>
      </c>
      <c r="J1073" s="353">
        <f t="shared" si="187"/>
        <v>0</v>
      </c>
      <c r="K1073" s="743">
        <f t="shared" si="184"/>
        <v>0</v>
      </c>
      <c r="L1073" s="368">
        <f t="shared" si="185"/>
        <v>0</v>
      </c>
      <c r="M1073" s="708" t="s">
        <v>2322</v>
      </c>
      <c r="N1073" s="223"/>
      <c r="O1073" s="706">
        <f t="shared" si="186"/>
        <v>0</v>
      </c>
    </row>
    <row r="1074" spans="1:15" s="360" customFormat="1" ht="15" hidden="1">
      <c r="A1074" s="356" t="s">
        <v>1152</v>
      </c>
      <c r="B1074" s="707" t="s">
        <v>546</v>
      </c>
      <c r="C1074" s="729"/>
      <c r="D1074" s="354"/>
      <c r="E1074" s="730"/>
      <c r="F1074" s="353"/>
      <c r="G1074" s="358">
        <f>'3.60 lakhs'!I1109</f>
        <v>0</v>
      </c>
      <c r="H1074" s="354" t="s">
        <v>115</v>
      </c>
      <c r="I1074" s="355">
        <f>'3.60 lakhs'!K1109</f>
        <v>387</v>
      </c>
      <c r="J1074" s="353">
        <f t="shared" si="187"/>
        <v>0</v>
      </c>
      <c r="K1074" s="743">
        <f t="shared" si="184"/>
        <v>0</v>
      </c>
      <c r="L1074" s="368">
        <f t="shared" si="185"/>
        <v>0</v>
      </c>
      <c r="M1074" s="708" t="s">
        <v>2322</v>
      </c>
      <c r="N1074" s="223"/>
      <c r="O1074" s="706">
        <f t="shared" si="186"/>
        <v>0</v>
      </c>
    </row>
    <row r="1075" spans="1:15" s="360" customFormat="1" ht="25.5" hidden="1">
      <c r="A1075" s="356" t="s">
        <v>499</v>
      </c>
      <c r="B1075" s="707" t="s">
        <v>713</v>
      </c>
      <c r="C1075" s="729"/>
      <c r="D1075" s="354"/>
      <c r="E1075" s="730"/>
      <c r="F1075" s="353"/>
      <c r="G1075" s="358">
        <f>'3.60 lakhs'!I1114</f>
        <v>0</v>
      </c>
      <c r="H1075" s="354" t="s">
        <v>115</v>
      </c>
      <c r="I1075" s="355">
        <f>'3.60 lakhs'!K1114</f>
        <v>1644</v>
      </c>
      <c r="J1075" s="353">
        <f t="shared" si="187"/>
        <v>0</v>
      </c>
      <c r="K1075" s="743">
        <f t="shared" si="184"/>
        <v>0</v>
      </c>
      <c r="L1075" s="368">
        <f t="shared" si="185"/>
        <v>0</v>
      </c>
      <c r="M1075" s="708" t="s">
        <v>2322</v>
      </c>
      <c r="N1075" s="223"/>
      <c r="O1075" s="706">
        <f t="shared" si="186"/>
        <v>0</v>
      </c>
    </row>
    <row r="1076" spans="1:15" s="360" customFormat="1" ht="15" hidden="1">
      <c r="A1076" s="356" t="s">
        <v>1599</v>
      </c>
      <c r="B1076" s="707" t="s">
        <v>547</v>
      </c>
      <c r="C1076" s="729"/>
      <c r="D1076" s="354"/>
      <c r="E1076" s="730"/>
      <c r="F1076" s="353"/>
      <c r="G1076" s="358">
        <f>'3.60 lakhs'!I1119</f>
        <v>0</v>
      </c>
      <c r="H1076" s="354" t="s">
        <v>277</v>
      </c>
      <c r="I1076" s="355">
        <f>'3.60 lakhs'!K1119</f>
        <v>149</v>
      </c>
      <c r="J1076" s="353">
        <f t="shared" si="187"/>
        <v>0</v>
      </c>
      <c r="K1076" s="743">
        <f t="shared" si="184"/>
        <v>0</v>
      </c>
      <c r="L1076" s="368">
        <f t="shared" si="185"/>
        <v>0</v>
      </c>
      <c r="M1076" s="708" t="s">
        <v>2322</v>
      </c>
      <c r="N1076" s="223"/>
      <c r="O1076" s="706">
        <f t="shared" si="186"/>
        <v>0</v>
      </c>
    </row>
    <row r="1077" spans="1:15" s="360" customFormat="1" ht="15" hidden="1">
      <c r="A1077" s="356" t="s">
        <v>1259</v>
      </c>
      <c r="B1077" s="707" t="s">
        <v>548</v>
      </c>
      <c r="C1077" s="729"/>
      <c r="D1077" s="354"/>
      <c r="E1077" s="730"/>
      <c r="F1077" s="353"/>
      <c r="G1077" s="358">
        <f>'3.60 lakhs'!I1124</f>
        <v>0</v>
      </c>
      <c r="H1077" s="354" t="s">
        <v>277</v>
      </c>
      <c r="I1077" s="355">
        <f>'3.60 lakhs'!K1124</f>
        <v>141.66666666666666</v>
      </c>
      <c r="J1077" s="353">
        <f t="shared" si="187"/>
        <v>0</v>
      </c>
      <c r="K1077" s="743">
        <f t="shared" si="184"/>
        <v>0</v>
      </c>
      <c r="L1077" s="368">
        <f t="shared" si="185"/>
        <v>0</v>
      </c>
      <c r="M1077" s="708" t="s">
        <v>2322</v>
      </c>
      <c r="N1077" s="223"/>
      <c r="O1077" s="706">
        <f t="shared" si="186"/>
        <v>0</v>
      </c>
    </row>
    <row r="1078" spans="1:15" s="360" customFormat="1" ht="15" hidden="1">
      <c r="A1078" s="356" t="s">
        <v>2084</v>
      </c>
      <c r="B1078" s="707" t="s">
        <v>549</v>
      </c>
      <c r="C1078" s="729"/>
      <c r="D1078" s="354"/>
      <c r="E1078" s="730"/>
      <c r="F1078" s="353"/>
      <c r="G1078" s="358">
        <f>'3.60 lakhs'!I1129</f>
        <v>0</v>
      </c>
      <c r="H1078" s="354" t="s">
        <v>277</v>
      </c>
      <c r="I1078" s="355">
        <f>'3.60 lakhs'!K1129</f>
        <v>89</v>
      </c>
      <c r="J1078" s="353">
        <f t="shared" si="187"/>
        <v>0</v>
      </c>
      <c r="K1078" s="743">
        <f t="shared" si="184"/>
        <v>0</v>
      </c>
      <c r="L1078" s="368">
        <f t="shared" si="185"/>
        <v>0</v>
      </c>
      <c r="M1078" s="708" t="s">
        <v>2322</v>
      </c>
      <c r="N1078" s="223"/>
      <c r="O1078" s="706">
        <f t="shared" si="186"/>
        <v>0</v>
      </c>
    </row>
    <row r="1079" spans="1:15" s="360" customFormat="1" ht="15" hidden="1">
      <c r="A1079" s="356" t="s">
        <v>1600</v>
      </c>
      <c r="B1079" s="707" t="s">
        <v>550</v>
      </c>
      <c r="C1079" s="729"/>
      <c r="D1079" s="354"/>
      <c r="E1079" s="730"/>
      <c r="F1079" s="353"/>
      <c r="G1079" s="358">
        <f>'3.60 lakhs'!I1135</f>
        <v>0</v>
      </c>
      <c r="H1079" s="354" t="s">
        <v>277</v>
      </c>
      <c r="I1079" s="355">
        <f>'3.60 lakhs'!K1135</f>
        <v>79</v>
      </c>
      <c r="J1079" s="353">
        <f t="shared" si="187"/>
        <v>0</v>
      </c>
      <c r="K1079" s="743">
        <f t="shared" si="184"/>
        <v>0</v>
      </c>
      <c r="L1079" s="368">
        <f t="shared" si="185"/>
        <v>0</v>
      </c>
      <c r="M1079" s="708" t="s">
        <v>2322</v>
      </c>
      <c r="N1079" s="223"/>
      <c r="O1079" s="706">
        <f t="shared" si="186"/>
        <v>0</v>
      </c>
    </row>
    <row r="1080" spans="1:15" s="360" customFormat="1" ht="15" hidden="1">
      <c r="A1080" s="356" t="s">
        <v>2717</v>
      </c>
      <c r="B1080" s="707" t="s">
        <v>551</v>
      </c>
      <c r="C1080" s="554"/>
      <c r="D1080" s="354"/>
      <c r="E1080" s="16"/>
      <c r="F1080" s="353"/>
      <c r="G1080" s="358">
        <f>'3.60 lakhs'!I1140</f>
        <v>0</v>
      </c>
      <c r="H1080" s="354" t="s">
        <v>115</v>
      </c>
      <c r="I1080" s="355">
        <f>'3.60 lakhs'!K1140</f>
        <v>5297</v>
      </c>
      <c r="J1080" s="353">
        <f t="shared" si="187"/>
        <v>0</v>
      </c>
      <c r="K1080" s="743">
        <f t="shared" si="184"/>
        <v>0</v>
      </c>
      <c r="L1080" s="368">
        <f t="shared" si="185"/>
        <v>0</v>
      </c>
      <c r="M1080" s="708" t="s">
        <v>2322</v>
      </c>
      <c r="N1080" s="223"/>
      <c r="O1080" s="706">
        <f t="shared" si="186"/>
        <v>0</v>
      </c>
    </row>
    <row r="1081" spans="1:15" s="360" customFormat="1" ht="15" hidden="1">
      <c r="A1081" s="356" t="s">
        <v>644</v>
      </c>
      <c r="B1081" s="707" t="s">
        <v>633</v>
      </c>
      <c r="C1081" s="554"/>
      <c r="D1081" s="354"/>
      <c r="E1081" s="16"/>
      <c r="F1081" s="353"/>
      <c r="G1081" s="358">
        <f>'3.60 lakhs'!I1145</f>
        <v>0</v>
      </c>
      <c r="H1081" s="354" t="s">
        <v>115</v>
      </c>
      <c r="I1081" s="355">
        <f>'3.60 lakhs'!K1145</f>
        <v>1036</v>
      </c>
      <c r="J1081" s="353">
        <f t="shared" si="187"/>
        <v>0</v>
      </c>
      <c r="K1081" s="743">
        <f t="shared" si="184"/>
        <v>0</v>
      </c>
      <c r="L1081" s="368">
        <f t="shared" si="185"/>
        <v>0</v>
      </c>
      <c r="M1081" s="708" t="s">
        <v>2322</v>
      </c>
      <c r="N1081" s="223"/>
      <c r="O1081" s="706">
        <f t="shared" si="186"/>
        <v>0</v>
      </c>
    </row>
    <row r="1082" spans="1:15" s="360" customFormat="1" ht="15" hidden="1">
      <c r="A1082" s="356" t="s">
        <v>476</v>
      </c>
      <c r="B1082" s="707" t="s">
        <v>634</v>
      </c>
      <c r="C1082" s="554"/>
      <c r="D1082" s="354"/>
      <c r="E1082" s="16"/>
      <c r="F1082" s="353"/>
      <c r="G1082" s="358">
        <f>'3.60 lakhs'!I1155</f>
        <v>0</v>
      </c>
      <c r="H1082" s="354" t="s">
        <v>115</v>
      </c>
      <c r="I1082" s="355">
        <f>'3.60 lakhs'!K1155</f>
        <v>2025</v>
      </c>
      <c r="J1082" s="353">
        <f t="shared" si="187"/>
        <v>0</v>
      </c>
      <c r="K1082" s="743">
        <f t="shared" si="184"/>
        <v>0</v>
      </c>
      <c r="L1082" s="368">
        <f t="shared" si="185"/>
        <v>0</v>
      </c>
      <c r="M1082" s="708" t="s">
        <v>2322</v>
      </c>
      <c r="N1082" s="223"/>
      <c r="O1082" s="706">
        <f t="shared" si="186"/>
        <v>0</v>
      </c>
    </row>
    <row r="1083" spans="1:15" s="360" customFormat="1" ht="15" hidden="1">
      <c r="A1083" s="356" t="s">
        <v>1598</v>
      </c>
      <c r="B1083" s="707" t="s">
        <v>1257</v>
      </c>
      <c r="C1083" s="554"/>
      <c r="D1083" s="354"/>
      <c r="E1083" s="16"/>
      <c r="F1083" s="353"/>
      <c r="G1083" s="358">
        <f>'3.60 lakhs'!I1150</f>
        <v>0</v>
      </c>
      <c r="H1083" s="354" t="s">
        <v>115</v>
      </c>
      <c r="I1083" s="355">
        <f>'3.60 lakhs'!K1150</f>
        <v>2644</v>
      </c>
      <c r="J1083" s="353">
        <f t="shared" si="187"/>
        <v>0</v>
      </c>
      <c r="K1083" s="743">
        <f t="shared" si="184"/>
        <v>0</v>
      </c>
      <c r="L1083" s="368">
        <f t="shared" si="185"/>
        <v>0</v>
      </c>
      <c r="M1083" s="708" t="s">
        <v>2322</v>
      </c>
      <c r="N1083" s="223"/>
      <c r="O1083" s="706">
        <f t="shared" si="186"/>
        <v>0</v>
      </c>
    </row>
    <row r="1084" spans="1:15" s="360" customFormat="1" ht="15" hidden="1">
      <c r="A1084" s="356" t="s">
        <v>2039</v>
      </c>
      <c r="B1084" s="707" t="s">
        <v>719</v>
      </c>
      <c r="C1084" s="729"/>
      <c r="D1084" s="354"/>
      <c r="E1084" s="730"/>
      <c r="F1084" s="353"/>
      <c r="G1084" s="358">
        <f>'3.60 lakhs'!I1160</f>
        <v>0</v>
      </c>
      <c r="H1084" s="354" t="s">
        <v>115</v>
      </c>
      <c r="I1084" s="355">
        <f>'3.60 lakhs'!K1160</f>
        <v>93</v>
      </c>
      <c r="J1084" s="353">
        <f t="shared" si="187"/>
        <v>0</v>
      </c>
      <c r="K1084" s="743">
        <f t="shared" si="184"/>
        <v>0</v>
      </c>
      <c r="L1084" s="368">
        <f t="shared" si="185"/>
        <v>0</v>
      </c>
      <c r="M1084" s="708" t="s">
        <v>2322</v>
      </c>
      <c r="N1084" s="223"/>
      <c r="O1084" s="706">
        <f t="shared" si="186"/>
        <v>0</v>
      </c>
    </row>
    <row r="1085" spans="1:15" s="360" customFormat="1" ht="15" hidden="1">
      <c r="A1085" s="356" t="s">
        <v>2718</v>
      </c>
      <c r="B1085" s="707" t="s">
        <v>552</v>
      </c>
      <c r="C1085" s="729"/>
      <c r="D1085" s="354"/>
      <c r="E1085" s="730"/>
      <c r="F1085" s="353"/>
      <c r="G1085" s="358">
        <f>'3.60 lakhs'!I1165</f>
        <v>0</v>
      </c>
      <c r="H1085" s="354" t="s">
        <v>574</v>
      </c>
      <c r="I1085" s="355">
        <f>'3.60 lakhs'!K1165</f>
        <v>9.5</v>
      </c>
      <c r="J1085" s="353">
        <f t="shared" si="187"/>
        <v>0</v>
      </c>
      <c r="K1085" s="743">
        <f t="shared" si="184"/>
        <v>0</v>
      </c>
      <c r="L1085" s="368">
        <f t="shared" si="185"/>
        <v>0</v>
      </c>
      <c r="M1085" s="708" t="s">
        <v>2322</v>
      </c>
      <c r="N1085" s="223"/>
      <c r="O1085" s="706">
        <f t="shared" si="186"/>
        <v>0</v>
      </c>
    </row>
    <row r="1086" spans="1:15" s="360" customFormat="1" ht="15" hidden="1">
      <c r="A1086" s="356" t="s">
        <v>1160</v>
      </c>
      <c r="B1086" s="707" t="s">
        <v>553</v>
      </c>
      <c r="C1086" s="729"/>
      <c r="D1086" s="354"/>
      <c r="E1086" s="730"/>
      <c r="F1086" s="353"/>
      <c r="G1086" s="358">
        <f>'3.60 lakhs'!I1168</f>
        <v>0</v>
      </c>
      <c r="H1086" s="354" t="s">
        <v>277</v>
      </c>
      <c r="I1086" s="355">
        <f>'3.60 lakhs'!K1168</f>
        <v>446.4</v>
      </c>
      <c r="J1086" s="353">
        <f t="shared" si="187"/>
        <v>0</v>
      </c>
      <c r="K1086" s="743">
        <f t="shared" si="184"/>
        <v>0</v>
      </c>
      <c r="L1086" s="368">
        <f t="shared" si="185"/>
        <v>0</v>
      </c>
      <c r="M1086" s="708" t="s">
        <v>2322</v>
      </c>
      <c r="N1086" s="223"/>
      <c r="O1086" s="706">
        <f t="shared" si="186"/>
        <v>0</v>
      </c>
    </row>
    <row r="1087" spans="1:15" s="360" customFormat="1" ht="15" hidden="1">
      <c r="A1087" s="356" t="s">
        <v>524</v>
      </c>
      <c r="B1087" s="707" t="s">
        <v>553</v>
      </c>
      <c r="C1087" s="633"/>
      <c r="D1087" s="354"/>
      <c r="E1087" s="622"/>
      <c r="F1087" s="353"/>
      <c r="G1087" s="358">
        <f>'3.60 lakhs'!I1169</f>
        <v>0</v>
      </c>
      <c r="H1087" s="354" t="s">
        <v>277</v>
      </c>
      <c r="I1087" s="355">
        <f>'3.60 lakhs'!K1169</f>
        <v>477.6</v>
      </c>
      <c r="J1087" s="353">
        <f t="shared" si="187"/>
        <v>0</v>
      </c>
      <c r="K1087" s="743">
        <f t="shared" si="184"/>
        <v>0</v>
      </c>
      <c r="L1087" s="368">
        <f t="shared" si="185"/>
        <v>0</v>
      </c>
      <c r="M1087" s="708" t="s">
        <v>2322</v>
      </c>
      <c r="N1087" s="223"/>
      <c r="O1087" s="706">
        <f t="shared" si="186"/>
        <v>0</v>
      </c>
    </row>
    <row r="1088" spans="1:15" s="360" customFormat="1" ht="15" hidden="1">
      <c r="A1088" s="356" t="s">
        <v>525</v>
      </c>
      <c r="B1088" s="707" t="s">
        <v>553</v>
      </c>
      <c r="C1088" s="633"/>
      <c r="D1088" s="354"/>
      <c r="E1088" s="622"/>
      <c r="F1088" s="353"/>
      <c r="G1088" s="358">
        <f>'3.60 lakhs'!I1170</f>
        <v>0</v>
      </c>
      <c r="H1088" s="354" t="s">
        <v>277</v>
      </c>
      <c r="I1088" s="355">
        <f>'3.60 lakhs'!K1170</f>
        <v>535.70000000000005</v>
      </c>
      <c r="J1088" s="353">
        <f t="shared" si="187"/>
        <v>0</v>
      </c>
      <c r="K1088" s="743">
        <f t="shared" si="184"/>
        <v>0</v>
      </c>
      <c r="L1088" s="368">
        <f t="shared" si="185"/>
        <v>0</v>
      </c>
      <c r="M1088" s="708" t="s">
        <v>2322</v>
      </c>
      <c r="N1088" s="223"/>
      <c r="O1088" s="706">
        <f t="shared" si="186"/>
        <v>0</v>
      </c>
    </row>
    <row r="1089" spans="1:15" s="360" customFormat="1" ht="15" hidden="1">
      <c r="A1089" s="356" t="s">
        <v>1261</v>
      </c>
      <c r="B1089" s="707" t="s">
        <v>554</v>
      </c>
      <c r="C1089" s="729"/>
      <c r="D1089" s="354"/>
      <c r="E1089" s="730"/>
      <c r="F1089" s="353"/>
      <c r="G1089" s="358">
        <f>'3.60 lakhs'!I1176</f>
        <v>0</v>
      </c>
      <c r="H1089" s="354" t="s">
        <v>277</v>
      </c>
      <c r="I1089" s="355">
        <f>'3.60 lakhs'!K1176</f>
        <v>325</v>
      </c>
      <c r="J1089" s="353">
        <f t="shared" ref="J1089:J1120" si="188">ROUND(G1089*I1089,0)</f>
        <v>0</v>
      </c>
      <c r="K1089" s="743">
        <f t="shared" si="184"/>
        <v>0</v>
      </c>
      <c r="L1089" s="368">
        <f t="shared" si="185"/>
        <v>0</v>
      </c>
      <c r="M1089" s="708" t="s">
        <v>2322</v>
      </c>
      <c r="N1089" s="223"/>
      <c r="O1089" s="706">
        <f t="shared" si="186"/>
        <v>0</v>
      </c>
    </row>
    <row r="1090" spans="1:15" s="360" customFormat="1" ht="15" hidden="1">
      <c r="A1090" s="356" t="s">
        <v>1161</v>
      </c>
      <c r="B1090" s="707" t="s">
        <v>635</v>
      </c>
      <c r="C1090" s="729"/>
      <c r="D1090" s="354"/>
      <c r="E1090" s="730"/>
      <c r="F1090" s="353"/>
      <c r="G1090" s="358">
        <f>'3.60 lakhs'!I1181</f>
        <v>0</v>
      </c>
      <c r="H1090" s="354" t="s">
        <v>115</v>
      </c>
      <c r="I1090" s="355">
        <f>'3.60 lakhs'!K1181</f>
        <v>18370</v>
      </c>
      <c r="J1090" s="353">
        <f t="shared" si="188"/>
        <v>0</v>
      </c>
      <c r="K1090" s="743">
        <f t="shared" si="184"/>
        <v>0</v>
      </c>
      <c r="L1090" s="368">
        <f t="shared" si="185"/>
        <v>0</v>
      </c>
      <c r="M1090" s="708" t="s">
        <v>2322</v>
      </c>
      <c r="N1090" s="223"/>
      <c r="O1090" s="706">
        <f t="shared" si="186"/>
        <v>0</v>
      </c>
    </row>
    <row r="1091" spans="1:15" s="360" customFormat="1" ht="15" hidden="1">
      <c r="A1091" s="356" t="s">
        <v>1599</v>
      </c>
      <c r="B1091" s="707" t="s">
        <v>636</v>
      </c>
      <c r="C1091" s="729"/>
      <c r="D1091" s="354"/>
      <c r="E1091" s="730"/>
      <c r="F1091" s="353"/>
      <c r="G1091" s="358">
        <f>'3.60 lakhs'!I1186</f>
        <v>0</v>
      </c>
      <c r="H1091" s="354" t="s">
        <v>277</v>
      </c>
      <c r="I1091" s="355">
        <f>'3.60 lakhs'!K1186</f>
        <v>85</v>
      </c>
      <c r="J1091" s="353">
        <f t="shared" si="188"/>
        <v>0</v>
      </c>
      <c r="K1091" s="743">
        <f t="shared" si="184"/>
        <v>0</v>
      </c>
      <c r="L1091" s="368">
        <f t="shared" si="185"/>
        <v>0</v>
      </c>
      <c r="M1091" s="708" t="s">
        <v>2322</v>
      </c>
      <c r="N1091" s="223"/>
      <c r="O1091" s="706">
        <f t="shared" si="186"/>
        <v>0</v>
      </c>
    </row>
    <row r="1092" spans="1:15" s="360" customFormat="1" ht="15" hidden="1">
      <c r="A1092" s="356" t="s">
        <v>1600</v>
      </c>
      <c r="B1092" s="707" t="s">
        <v>284</v>
      </c>
      <c r="C1092" s="729"/>
      <c r="D1092" s="354"/>
      <c r="E1092" s="730"/>
      <c r="F1092" s="353"/>
      <c r="G1092" s="358">
        <f>'3.60 lakhs'!I1191</f>
        <v>0</v>
      </c>
      <c r="H1092" s="354" t="s">
        <v>115</v>
      </c>
      <c r="I1092" s="355">
        <f>'3.60 lakhs'!K1191</f>
        <v>300</v>
      </c>
      <c r="J1092" s="353">
        <f t="shared" si="188"/>
        <v>0</v>
      </c>
      <c r="K1092" s="743">
        <f t="shared" si="184"/>
        <v>0</v>
      </c>
      <c r="L1092" s="368">
        <f t="shared" si="185"/>
        <v>0</v>
      </c>
      <c r="M1092" s="708" t="s">
        <v>2322</v>
      </c>
      <c r="N1092" s="223"/>
      <c r="O1092" s="706">
        <f t="shared" si="186"/>
        <v>0</v>
      </c>
    </row>
    <row r="1093" spans="1:15" s="360" customFormat="1" ht="15" hidden="1">
      <c r="A1093" s="356" t="s">
        <v>2039</v>
      </c>
      <c r="B1093" s="707" t="s">
        <v>285</v>
      </c>
      <c r="C1093" s="729"/>
      <c r="D1093" s="354"/>
      <c r="E1093" s="730"/>
      <c r="F1093" s="353"/>
      <c r="G1093" s="358">
        <f>'3.60 lakhs'!I1196</f>
        <v>0</v>
      </c>
      <c r="H1093" s="354" t="s">
        <v>115</v>
      </c>
      <c r="I1093" s="355">
        <f>'3.60 lakhs'!K1196</f>
        <v>400</v>
      </c>
      <c r="J1093" s="353">
        <f t="shared" si="188"/>
        <v>0</v>
      </c>
      <c r="K1093" s="743">
        <f t="shared" si="184"/>
        <v>0</v>
      </c>
      <c r="L1093" s="368">
        <f t="shared" si="185"/>
        <v>0</v>
      </c>
      <c r="M1093" s="708" t="s">
        <v>2322</v>
      </c>
      <c r="N1093" s="223"/>
      <c r="O1093" s="706">
        <f t="shared" si="186"/>
        <v>0</v>
      </c>
    </row>
    <row r="1094" spans="1:15" s="360" customFormat="1" ht="15" hidden="1">
      <c r="A1094" s="356" t="s">
        <v>1163</v>
      </c>
      <c r="B1094" s="707" t="s">
        <v>286</v>
      </c>
      <c r="C1094" s="729"/>
      <c r="D1094" s="354"/>
      <c r="E1094" s="730"/>
      <c r="F1094" s="353"/>
      <c r="G1094" s="358">
        <f>'3.60 lakhs'!I1201</f>
        <v>0</v>
      </c>
      <c r="H1094" s="354" t="s">
        <v>115</v>
      </c>
      <c r="I1094" s="355">
        <f>'3.60 lakhs'!K1201</f>
        <v>77</v>
      </c>
      <c r="J1094" s="353">
        <f t="shared" si="188"/>
        <v>0</v>
      </c>
      <c r="K1094" s="743">
        <f t="shared" si="184"/>
        <v>0</v>
      </c>
      <c r="L1094" s="368">
        <f t="shared" si="185"/>
        <v>0</v>
      </c>
      <c r="M1094" s="708" t="s">
        <v>2322</v>
      </c>
      <c r="N1094" s="223"/>
      <c r="O1094" s="706">
        <f t="shared" si="186"/>
        <v>0</v>
      </c>
    </row>
    <row r="1095" spans="1:15" s="360" customFormat="1" ht="15" hidden="1">
      <c r="A1095" s="356" t="s">
        <v>2042</v>
      </c>
      <c r="B1095" s="707" t="s">
        <v>287</v>
      </c>
      <c r="C1095" s="729"/>
      <c r="D1095" s="354"/>
      <c r="E1095" s="730"/>
      <c r="F1095" s="353"/>
      <c r="G1095" s="358">
        <f>'3.60 lakhs'!I1206</f>
        <v>0</v>
      </c>
      <c r="H1095" s="354" t="s">
        <v>115</v>
      </c>
      <c r="I1095" s="355">
        <f>'3.60 lakhs'!K1206</f>
        <v>194</v>
      </c>
      <c r="J1095" s="353">
        <f t="shared" si="188"/>
        <v>0</v>
      </c>
      <c r="K1095" s="743">
        <f t="shared" si="184"/>
        <v>0</v>
      </c>
      <c r="L1095" s="368">
        <f t="shared" si="185"/>
        <v>0</v>
      </c>
      <c r="M1095" s="708" t="s">
        <v>2322</v>
      </c>
      <c r="N1095" s="223"/>
      <c r="O1095" s="706">
        <f t="shared" si="186"/>
        <v>0</v>
      </c>
    </row>
    <row r="1096" spans="1:15" s="360" customFormat="1" ht="15" hidden="1">
      <c r="A1096" s="356" t="s">
        <v>1163</v>
      </c>
      <c r="B1096" s="707" t="s">
        <v>637</v>
      </c>
      <c r="C1096" s="729"/>
      <c r="D1096" s="354"/>
      <c r="E1096" s="730"/>
      <c r="F1096" s="353"/>
      <c r="G1096" s="358">
        <f>'3.60 lakhs'!I1211</f>
        <v>0</v>
      </c>
      <c r="H1096" s="354" t="s">
        <v>277</v>
      </c>
      <c r="I1096" s="355">
        <f>'3.60 lakhs'!K1211</f>
        <v>105</v>
      </c>
      <c r="J1096" s="353">
        <f t="shared" si="188"/>
        <v>0</v>
      </c>
      <c r="K1096" s="743">
        <f t="shared" si="184"/>
        <v>0</v>
      </c>
      <c r="L1096" s="368">
        <f t="shared" si="185"/>
        <v>0</v>
      </c>
      <c r="M1096" s="708" t="s">
        <v>2322</v>
      </c>
      <c r="N1096" s="223"/>
      <c r="O1096" s="706">
        <f t="shared" si="186"/>
        <v>0</v>
      </c>
    </row>
    <row r="1097" spans="1:15" s="360" customFormat="1" ht="15" hidden="1">
      <c r="A1097" s="356" t="s">
        <v>2042</v>
      </c>
      <c r="B1097" s="707" t="s">
        <v>638</v>
      </c>
      <c r="C1097" s="729"/>
      <c r="D1097" s="354"/>
      <c r="E1097" s="730"/>
      <c r="F1097" s="353"/>
      <c r="G1097" s="358">
        <f>'3.60 lakhs'!I1216</f>
        <v>0</v>
      </c>
      <c r="H1097" s="354" t="s">
        <v>115</v>
      </c>
      <c r="I1097" s="355">
        <f>'3.60 lakhs'!K1216</f>
        <v>5445</v>
      </c>
      <c r="J1097" s="353">
        <f t="shared" si="188"/>
        <v>0</v>
      </c>
      <c r="K1097" s="743">
        <f t="shared" si="184"/>
        <v>0</v>
      </c>
      <c r="L1097" s="368">
        <f t="shared" si="185"/>
        <v>0</v>
      </c>
      <c r="M1097" s="708" t="s">
        <v>2322</v>
      </c>
      <c r="N1097" s="223"/>
      <c r="O1097" s="706">
        <f t="shared" si="186"/>
        <v>0</v>
      </c>
    </row>
    <row r="1098" spans="1:15" s="360" customFormat="1" ht="15" hidden="1">
      <c r="A1098" s="356" t="s">
        <v>1261</v>
      </c>
      <c r="B1098" s="707" t="s">
        <v>555</v>
      </c>
      <c r="C1098" s="709"/>
      <c r="D1098" s="354"/>
      <c r="E1098" s="10"/>
      <c r="F1098" s="353"/>
      <c r="G1098" s="358">
        <f>'3.60 lakhs'!I1222</f>
        <v>0</v>
      </c>
      <c r="H1098" s="354" t="s">
        <v>277</v>
      </c>
      <c r="I1098" s="355">
        <f>'3.60 lakhs'!K1222</f>
        <v>73.94</v>
      </c>
      <c r="J1098" s="353">
        <f t="shared" si="188"/>
        <v>0</v>
      </c>
      <c r="K1098" s="743">
        <f t="shared" si="184"/>
        <v>0</v>
      </c>
      <c r="L1098" s="368">
        <f t="shared" si="185"/>
        <v>0</v>
      </c>
      <c r="M1098" s="708" t="s">
        <v>2322</v>
      </c>
      <c r="N1098" s="223"/>
      <c r="O1098" s="706">
        <f t="shared" si="186"/>
        <v>0</v>
      </c>
    </row>
    <row r="1099" spans="1:15" s="360" customFormat="1" ht="15" hidden="1">
      <c r="A1099" s="356" t="s">
        <v>2040</v>
      </c>
      <c r="B1099" s="707" t="s">
        <v>555</v>
      </c>
      <c r="C1099" s="709"/>
      <c r="D1099" s="354"/>
      <c r="E1099" s="10"/>
      <c r="F1099" s="353"/>
      <c r="G1099" s="358">
        <f>'3.60 lakhs'!I1239</f>
        <v>0</v>
      </c>
      <c r="H1099" s="354" t="s">
        <v>277</v>
      </c>
      <c r="I1099" s="355">
        <f>'3.60 lakhs'!K1239</f>
        <v>89.61</v>
      </c>
      <c r="J1099" s="353">
        <f t="shared" si="188"/>
        <v>0</v>
      </c>
      <c r="K1099" s="743">
        <f t="shared" si="184"/>
        <v>0</v>
      </c>
      <c r="L1099" s="368">
        <f t="shared" si="185"/>
        <v>0</v>
      </c>
      <c r="M1099" s="708" t="s">
        <v>2322</v>
      </c>
      <c r="N1099" s="223"/>
      <c r="O1099" s="706">
        <f t="shared" si="186"/>
        <v>0</v>
      </c>
    </row>
    <row r="1100" spans="1:15" s="360" customFormat="1" ht="15" hidden="1">
      <c r="A1100" s="356" t="s">
        <v>517</v>
      </c>
      <c r="B1100" s="707" t="s">
        <v>572</v>
      </c>
      <c r="C1100" s="709"/>
      <c r="D1100" s="354"/>
      <c r="E1100" s="10"/>
      <c r="F1100" s="353"/>
      <c r="G1100" s="358">
        <f>'3.60 lakhs'!I1247</f>
        <v>0</v>
      </c>
      <c r="H1100" s="354" t="s">
        <v>277</v>
      </c>
      <c r="I1100" s="355">
        <f>'3.60 lakhs'!K1247</f>
        <v>64</v>
      </c>
      <c r="J1100" s="353">
        <f t="shared" si="188"/>
        <v>0</v>
      </c>
      <c r="K1100" s="743">
        <f t="shared" si="184"/>
        <v>0</v>
      </c>
      <c r="L1100" s="368">
        <f t="shared" si="185"/>
        <v>0</v>
      </c>
      <c r="M1100" s="708" t="s">
        <v>2322</v>
      </c>
      <c r="N1100" s="223"/>
      <c r="O1100" s="706">
        <f t="shared" si="186"/>
        <v>0</v>
      </c>
    </row>
    <row r="1101" spans="1:15" s="360" customFormat="1" ht="15" hidden="1">
      <c r="A1101" s="356" t="s">
        <v>2719</v>
      </c>
      <c r="B1101" s="707" t="s">
        <v>556</v>
      </c>
      <c r="C1101" s="633"/>
      <c r="D1101" s="354"/>
      <c r="E1101" s="622"/>
      <c r="F1101" s="353"/>
      <c r="G1101" s="358">
        <f>'3.60 lakhs'!I1253</f>
        <v>0</v>
      </c>
      <c r="H1101" s="354" t="s">
        <v>115</v>
      </c>
      <c r="I1101" s="355">
        <f>'3.60 lakhs'!K1253</f>
        <v>245</v>
      </c>
      <c r="J1101" s="353">
        <f t="shared" si="188"/>
        <v>0</v>
      </c>
      <c r="K1101" s="743">
        <f t="shared" si="184"/>
        <v>0</v>
      </c>
      <c r="L1101" s="368">
        <f t="shared" si="185"/>
        <v>0</v>
      </c>
      <c r="M1101" s="708" t="s">
        <v>2322</v>
      </c>
      <c r="N1101" s="223"/>
      <c r="O1101" s="706">
        <f t="shared" si="186"/>
        <v>0</v>
      </c>
    </row>
    <row r="1102" spans="1:15" s="360" customFormat="1" ht="15" hidden="1">
      <c r="A1102" s="356" t="s">
        <v>1163</v>
      </c>
      <c r="B1102" s="707" t="s">
        <v>639</v>
      </c>
      <c r="C1102" s="633"/>
      <c r="D1102" s="354"/>
      <c r="E1102" s="622"/>
      <c r="F1102" s="353"/>
      <c r="G1102" s="358">
        <f>'3.60 lakhs'!I1259</f>
        <v>0</v>
      </c>
      <c r="H1102" s="354" t="s">
        <v>115</v>
      </c>
      <c r="I1102" s="355">
        <f>'3.60 lakhs'!K1259</f>
        <v>203</v>
      </c>
      <c r="J1102" s="353">
        <f t="shared" si="188"/>
        <v>0</v>
      </c>
      <c r="K1102" s="743">
        <f t="shared" si="184"/>
        <v>0</v>
      </c>
      <c r="L1102" s="368">
        <f t="shared" si="185"/>
        <v>0</v>
      </c>
      <c r="M1102" s="708" t="s">
        <v>2322</v>
      </c>
      <c r="N1102" s="223"/>
      <c r="O1102" s="706">
        <f t="shared" si="186"/>
        <v>0</v>
      </c>
    </row>
    <row r="1103" spans="1:15" s="360" customFormat="1" ht="15" hidden="1">
      <c r="A1103" s="356" t="s">
        <v>2084</v>
      </c>
      <c r="B1103" s="707" t="s">
        <v>714</v>
      </c>
      <c r="C1103" s="633"/>
      <c r="D1103" s="354"/>
      <c r="E1103" s="622"/>
      <c r="F1103" s="353"/>
      <c r="G1103" s="358">
        <f>'3.60 lakhs'!I1264</f>
        <v>0</v>
      </c>
      <c r="H1103" s="354" t="s">
        <v>115</v>
      </c>
      <c r="I1103" s="355">
        <f>'3.60 lakhs'!K1264</f>
        <v>155</v>
      </c>
      <c r="J1103" s="353">
        <f t="shared" si="188"/>
        <v>0</v>
      </c>
      <c r="K1103" s="743">
        <f t="shared" si="184"/>
        <v>0</v>
      </c>
      <c r="L1103" s="368">
        <f t="shared" si="185"/>
        <v>0</v>
      </c>
      <c r="M1103" s="708" t="s">
        <v>2322</v>
      </c>
      <c r="N1103" s="223"/>
      <c r="O1103" s="706">
        <f t="shared" si="186"/>
        <v>0</v>
      </c>
    </row>
    <row r="1104" spans="1:15" s="360" customFormat="1" ht="15" hidden="1">
      <c r="A1104" s="356" t="s">
        <v>1600</v>
      </c>
      <c r="B1104" s="707" t="s">
        <v>796</v>
      </c>
      <c r="C1104" s="633"/>
      <c r="D1104" s="354"/>
      <c r="E1104" s="622"/>
      <c r="F1104" s="353"/>
      <c r="G1104" s="358">
        <f>'3.60 lakhs'!I1282</f>
        <v>0</v>
      </c>
      <c r="H1104" s="354" t="s">
        <v>115</v>
      </c>
      <c r="I1104" s="355">
        <f>'3.60 lakhs'!K1282</f>
        <v>114</v>
      </c>
      <c r="J1104" s="353">
        <f t="shared" si="188"/>
        <v>0</v>
      </c>
      <c r="K1104" s="743">
        <f t="shared" si="184"/>
        <v>0</v>
      </c>
      <c r="L1104" s="368">
        <f t="shared" si="185"/>
        <v>0</v>
      </c>
      <c r="M1104" s="708" t="s">
        <v>2322</v>
      </c>
      <c r="N1104" s="223"/>
      <c r="O1104" s="706">
        <f t="shared" si="186"/>
        <v>0</v>
      </c>
    </row>
    <row r="1105" spans="1:15" s="360" customFormat="1" ht="15" hidden="1">
      <c r="A1105" s="356" t="s">
        <v>2050</v>
      </c>
      <c r="B1105" s="707" t="s">
        <v>640</v>
      </c>
      <c r="C1105" s="633"/>
      <c r="D1105" s="354"/>
      <c r="E1105" s="622"/>
      <c r="F1105" s="353"/>
      <c r="G1105" s="358">
        <f>'3.60 lakhs'!I1277</f>
        <v>0</v>
      </c>
      <c r="H1105" s="354" t="s">
        <v>115</v>
      </c>
      <c r="I1105" s="355">
        <f>'3.60 lakhs'!K1277</f>
        <v>400</v>
      </c>
      <c r="J1105" s="353">
        <f t="shared" si="188"/>
        <v>0</v>
      </c>
      <c r="K1105" s="743">
        <f t="shared" si="184"/>
        <v>0</v>
      </c>
      <c r="L1105" s="368">
        <f t="shared" si="185"/>
        <v>0</v>
      </c>
      <c r="M1105" s="708" t="s">
        <v>2322</v>
      </c>
      <c r="N1105" s="223"/>
      <c r="O1105" s="706">
        <f t="shared" si="186"/>
        <v>0</v>
      </c>
    </row>
    <row r="1106" spans="1:15" s="360" customFormat="1" ht="15" hidden="1">
      <c r="A1106" s="356" t="s">
        <v>2051</v>
      </c>
      <c r="B1106" s="707" t="s">
        <v>1514</v>
      </c>
      <c r="C1106" s="633"/>
      <c r="D1106" s="354"/>
      <c r="E1106" s="622"/>
      <c r="F1106" s="353"/>
      <c r="G1106" s="358">
        <f>'3.60 lakhs'!I1272</f>
        <v>0</v>
      </c>
      <c r="H1106" s="354" t="s">
        <v>115</v>
      </c>
      <c r="I1106" s="355">
        <f>'3.60 lakhs'!K1272</f>
        <v>359</v>
      </c>
      <c r="J1106" s="353">
        <f t="shared" si="188"/>
        <v>0</v>
      </c>
      <c r="K1106" s="743">
        <f t="shared" si="184"/>
        <v>0</v>
      </c>
      <c r="L1106" s="368">
        <f t="shared" si="185"/>
        <v>0</v>
      </c>
      <c r="M1106" s="708" t="s">
        <v>2322</v>
      </c>
      <c r="N1106" s="223"/>
      <c r="O1106" s="706">
        <f t="shared" si="186"/>
        <v>0</v>
      </c>
    </row>
    <row r="1107" spans="1:15" s="360" customFormat="1" ht="15" hidden="1">
      <c r="A1107" s="356" t="s">
        <v>2476</v>
      </c>
      <c r="B1107" s="707" t="s">
        <v>557</v>
      </c>
      <c r="C1107" s="633"/>
      <c r="D1107" s="354"/>
      <c r="E1107" s="622"/>
      <c r="F1107" s="353"/>
      <c r="G1107" s="358">
        <f>'3.60 lakhs'!I1287</f>
        <v>0</v>
      </c>
      <c r="H1107" s="354" t="s">
        <v>115</v>
      </c>
      <c r="I1107" s="355">
        <f>'3.60 lakhs'!K1287</f>
        <v>68</v>
      </c>
      <c r="J1107" s="353">
        <f t="shared" si="188"/>
        <v>0</v>
      </c>
      <c r="K1107" s="743">
        <f t="shared" si="184"/>
        <v>0</v>
      </c>
      <c r="L1107" s="368">
        <f t="shared" si="185"/>
        <v>0</v>
      </c>
      <c r="M1107" s="708" t="s">
        <v>2322</v>
      </c>
      <c r="N1107" s="223"/>
      <c r="O1107" s="706">
        <f t="shared" si="186"/>
        <v>0</v>
      </c>
    </row>
    <row r="1108" spans="1:15" s="360" customFormat="1" ht="15" hidden="1">
      <c r="A1108" s="356" t="s">
        <v>2041</v>
      </c>
      <c r="B1108" s="707" t="s">
        <v>558</v>
      </c>
      <c r="C1108" s="709"/>
      <c r="D1108" s="354"/>
      <c r="E1108" s="10"/>
      <c r="F1108" s="353"/>
      <c r="G1108" s="358">
        <f>'3.60 lakhs'!I1295</f>
        <v>0</v>
      </c>
      <c r="H1108" s="354" t="s">
        <v>568</v>
      </c>
      <c r="I1108" s="355">
        <f>'3.60 lakhs'!K1295</f>
        <v>481.67</v>
      </c>
      <c r="J1108" s="353">
        <f t="shared" si="188"/>
        <v>0</v>
      </c>
      <c r="K1108" s="743">
        <f t="shared" si="184"/>
        <v>0</v>
      </c>
      <c r="L1108" s="368">
        <f t="shared" si="185"/>
        <v>0</v>
      </c>
      <c r="M1108" s="708" t="s">
        <v>2322</v>
      </c>
      <c r="N1108" s="223"/>
      <c r="O1108" s="706">
        <f t="shared" si="186"/>
        <v>0</v>
      </c>
    </row>
    <row r="1109" spans="1:15" s="360" customFormat="1" ht="15" hidden="1">
      <c r="A1109" s="356" t="s">
        <v>2042</v>
      </c>
      <c r="B1109" s="707" t="s">
        <v>558</v>
      </c>
      <c r="C1109" s="709"/>
      <c r="D1109" s="354"/>
      <c r="E1109" s="10"/>
      <c r="F1109" s="353"/>
      <c r="G1109" s="358">
        <f>'3.60 lakhs'!I1301</f>
        <v>0</v>
      </c>
      <c r="H1109" s="354" t="s">
        <v>568</v>
      </c>
      <c r="I1109" s="355">
        <f>'3.60 lakhs'!K1301</f>
        <v>503.67</v>
      </c>
      <c r="J1109" s="353">
        <f t="shared" si="188"/>
        <v>0</v>
      </c>
      <c r="K1109" s="743">
        <f t="shared" si="184"/>
        <v>0</v>
      </c>
      <c r="L1109" s="368">
        <f t="shared" si="185"/>
        <v>0</v>
      </c>
      <c r="M1109" s="708" t="s">
        <v>2322</v>
      </c>
      <c r="N1109" s="223"/>
      <c r="O1109" s="706">
        <f t="shared" si="186"/>
        <v>0</v>
      </c>
    </row>
    <row r="1110" spans="1:15" s="360" customFormat="1" ht="15" hidden="1">
      <c r="A1110" s="356" t="s">
        <v>2040</v>
      </c>
      <c r="B1110" s="707" t="s">
        <v>2273</v>
      </c>
      <c r="C1110" s="709"/>
      <c r="D1110" s="354"/>
      <c r="E1110" s="10"/>
      <c r="F1110" s="353"/>
      <c r="G1110" s="358">
        <f>'3.60 lakhs'!I1307</f>
        <v>0</v>
      </c>
      <c r="H1110" s="354" t="s">
        <v>277</v>
      </c>
      <c r="I1110" s="355">
        <f>'3.60 lakhs'!K1307</f>
        <v>23.55</v>
      </c>
      <c r="J1110" s="353">
        <f t="shared" si="188"/>
        <v>0</v>
      </c>
      <c r="K1110" s="743">
        <f t="shared" ref="K1110:K1140" si="189">IF(J1110&gt;F1110,J1110-F1110,0)</f>
        <v>0</v>
      </c>
      <c r="L1110" s="368">
        <f t="shared" ref="L1110:L1140" si="190">IF(J1110&lt;F1110,F1110-J1110,0)</f>
        <v>0</v>
      </c>
      <c r="M1110" s="708" t="s">
        <v>2322</v>
      </c>
      <c r="N1110" s="223"/>
      <c r="O1110" s="706">
        <f t="shared" si="186"/>
        <v>0</v>
      </c>
    </row>
    <row r="1111" spans="1:15" s="360" customFormat="1" ht="15" hidden="1">
      <c r="A1111" s="356" t="s">
        <v>2041</v>
      </c>
      <c r="B1111" s="707" t="s">
        <v>2274</v>
      </c>
      <c r="C1111" s="709"/>
      <c r="D1111" s="354"/>
      <c r="E1111" s="10"/>
      <c r="F1111" s="353"/>
      <c r="G1111" s="358">
        <f>'3.60 lakhs'!I1312</f>
        <v>0</v>
      </c>
      <c r="H1111" s="354" t="s">
        <v>277</v>
      </c>
      <c r="I1111" s="355">
        <f>'3.60 lakhs'!K1312</f>
        <v>79.48</v>
      </c>
      <c r="J1111" s="353">
        <f t="shared" si="188"/>
        <v>0</v>
      </c>
      <c r="K1111" s="743">
        <f t="shared" si="189"/>
        <v>0</v>
      </c>
      <c r="L1111" s="368">
        <f t="shared" si="190"/>
        <v>0</v>
      </c>
      <c r="M1111" s="708" t="s">
        <v>2322</v>
      </c>
      <c r="N1111" s="223"/>
      <c r="O1111" s="706">
        <f t="shared" ref="O1111:O1140" si="191">F1111-J1111</f>
        <v>0</v>
      </c>
    </row>
    <row r="1112" spans="1:15" s="360" customFormat="1" ht="15" hidden="1">
      <c r="A1112" s="356" t="s">
        <v>2720</v>
      </c>
      <c r="B1112" s="707" t="s">
        <v>559</v>
      </c>
      <c r="C1112" s="709"/>
      <c r="D1112" s="354"/>
      <c r="E1112" s="10"/>
      <c r="F1112" s="353"/>
      <c r="G1112" s="358">
        <f>'3.60 lakhs'!I1318</f>
        <v>0</v>
      </c>
      <c r="H1112" s="354" t="s">
        <v>277</v>
      </c>
      <c r="I1112" s="355">
        <f>'3.60 lakhs'!K1318</f>
        <v>83.333500000000001</v>
      </c>
      <c r="J1112" s="353">
        <f t="shared" si="188"/>
        <v>0</v>
      </c>
      <c r="K1112" s="743">
        <f t="shared" si="189"/>
        <v>0</v>
      </c>
      <c r="L1112" s="368">
        <f t="shared" si="190"/>
        <v>0</v>
      </c>
      <c r="M1112" s="708" t="s">
        <v>2322</v>
      </c>
      <c r="N1112" s="223"/>
      <c r="O1112" s="706">
        <f t="shared" si="191"/>
        <v>0</v>
      </c>
    </row>
    <row r="1113" spans="1:15" s="360" customFormat="1" ht="15" hidden="1">
      <c r="A1113" s="356" t="s">
        <v>2041</v>
      </c>
      <c r="B1113" s="707" t="s">
        <v>560</v>
      </c>
      <c r="C1113" s="709"/>
      <c r="D1113" s="354"/>
      <c r="E1113" s="10"/>
      <c r="F1113" s="353"/>
      <c r="G1113" s="358">
        <f>'3.60 lakhs'!I1323</f>
        <v>0</v>
      </c>
      <c r="H1113" s="354" t="s">
        <v>277</v>
      </c>
      <c r="I1113" s="355">
        <f>'3.60 lakhs'!K1323</f>
        <v>126.65</v>
      </c>
      <c r="J1113" s="353">
        <f t="shared" si="188"/>
        <v>0</v>
      </c>
      <c r="K1113" s="743">
        <f t="shared" si="189"/>
        <v>0</v>
      </c>
      <c r="L1113" s="368">
        <f t="shared" si="190"/>
        <v>0</v>
      </c>
      <c r="M1113" s="708" t="s">
        <v>2322</v>
      </c>
      <c r="N1113" s="223"/>
      <c r="O1113" s="706">
        <f t="shared" si="191"/>
        <v>0</v>
      </c>
    </row>
    <row r="1114" spans="1:15" s="360" customFormat="1" ht="15" hidden="1">
      <c r="A1114" s="356" t="s">
        <v>2043</v>
      </c>
      <c r="B1114" s="707" t="s">
        <v>833</v>
      </c>
      <c r="C1114" s="709"/>
      <c r="D1114" s="354"/>
      <c r="E1114" s="10"/>
      <c r="F1114" s="353"/>
      <c r="G1114" s="358">
        <f>'3.60 lakhs'!I1328</f>
        <v>0</v>
      </c>
      <c r="H1114" s="354" t="s">
        <v>277</v>
      </c>
      <c r="I1114" s="355">
        <f>'3.60 lakhs'!K1328</f>
        <v>64.563000000000002</v>
      </c>
      <c r="J1114" s="353">
        <f t="shared" si="188"/>
        <v>0</v>
      </c>
      <c r="K1114" s="743">
        <f t="shared" si="189"/>
        <v>0</v>
      </c>
      <c r="L1114" s="368">
        <f t="shared" si="190"/>
        <v>0</v>
      </c>
      <c r="M1114" s="708" t="s">
        <v>2322</v>
      </c>
      <c r="N1114" s="223"/>
      <c r="O1114" s="706">
        <f t="shared" si="191"/>
        <v>0</v>
      </c>
    </row>
    <row r="1115" spans="1:15" s="360" customFormat="1" ht="15" hidden="1">
      <c r="A1115" s="356" t="s">
        <v>2043</v>
      </c>
      <c r="B1115" s="707" t="s">
        <v>437</v>
      </c>
      <c r="C1115" s="633"/>
      <c r="D1115" s="354"/>
      <c r="E1115" s="622"/>
      <c r="F1115" s="353"/>
      <c r="G1115" s="358">
        <f>'3.60 lakhs'!I1334</f>
        <v>0</v>
      </c>
      <c r="H1115" s="354" t="s">
        <v>115</v>
      </c>
      <c r="I1115" s="355">
        <f>'3.60 lakhs'!K1334</f>
        <v>209</v>
      </c>
      <c r="J1115" s="353">
        <f t="shared" si="188"/>
        <v>0</v>
      </c>
      <c r="K1115" s="743">
        <f t="shared" si="189"/>
        <v>0</v>
      </c>
      <c r="L1115" s="368">
        <f t="shared" si="190"/>
        <v>0</v>
      </c>
      <c r="M1115" s="708" t="s">
        <v>2322</v>
      </c>
      <c r="N1115" s="223"/>
      <c r="O1115" s="706">
        <f t="shared" si="191"/>
        <v>0</v>
      </c>
    </row>
    <row r="1116" spans="1:15" s="360" customFormat="1" ht="15" hidden="1">
      <c r="A1116" s="356" t="s">
        <v>2044</v>
      </c>
      <c r="B1116" s="707" t="s">
        <v>615</v>
      </c>
      <c r="C1116" s="633"/>
      <c r="D1116" s="354"/>
      <c r="E1116" s="622"/>
      <c r="F1116" s="353"/>
      <c r="G1116" s="358">
        <f>'3.60 lakhs'!I1340</f>
        <v>0</v>
      </c>
      <c r="H1116" s="354" t="s">
        <v>115</v>
      </c>
      <c r="I1116" s="355">
        <f>'3.60 lakhs'!K1340</f>
        <v>171</v>
      </c>
      <c r="J1116" s="353">
        <f t="shared" si="188"/>
        <v>0</v>
      </c>
      <c r="K1116" s="743">
        <f t="shared" si="189"/>
        <v>0</v>
      </c>
      <c r="L1116" s="368">
        <f t="shared" si="190"/>
        <v>0</v>
      </c>
      <c r="M1116" s="708" t="s">
        <v>2322</v>
      </c>
      <c r="N1116" s="223"/>
      <c r="O1116" s="706">
        <f t="shared" si="191"/>
        <v>0</v>
      </c>
    </row>
    <row r="1117" spans="1:15" s="360" customFormat="1" ht="15" hidden="1">
      <c r="A1117" s="356" t="s">
        <v>2085</v>
      </c>
      <c r="B1117" s="707" t="s">
        <v>694</v>
      </c>
      <c r="C1117" s="633"/>
      <c r="D1117" s="354"/>
      <c r="E1117" s="622"/>
      <c r="F1117" s="353"/>
      <c r="G1117" s="358">
        <f>'3.60 lakhs'!I1345</f>
        <v>0</v>
      </c>
      <c r="H1117" s="354" t="s">
        <v>115</v>
      </c>
      <c r="I1117" s="355">
        <f>'3.60 lakhs'!K1345</f>
        <v>132</v>
      </c>
      <c r="J1117" s="353">
        <f t="shared" si="188"/>
        <v>0</v>
      </c>
      <c r="K1117" s="743">
        <f t="shared" si="189"/>
        <v>0</v>
      </c>
      <c r="L1117" s="368">
        <f t="shared" si="190"/>
        <v>0</v>
      </c>
      <c r="M1117" s="708" t="s">
        <v>2322</v>
      </c>
      <c r="N1117" s="223"/>
      <c r="O1117" s="706">
        <f t="shared" si="191"/>
        <v>0</v>
      </c>
    </row>
    <row r="1118" spans="1:15" s="360" customFormat="1" ht="15" hidden="1">
      <c r="A1118" s="356" t="s">
        <v>2046</v>
      </c>
      <c r="B1118" s="707" t="s">
        <v>792</v>
      </c>
      <c r="C1118" s="633"/>
      <c r="D1118" s="354"/>
      <c r="E1118" s="622"/>
      <c r="F1118" s="353"/>
      <c r="G1118" s="358">
        <f>'3.60 lakhs'!I1355</f>
        <v>0</v>
      </c>
      <c r="H1118" s="354" t="s">
        <v>115</v>
      </c>
      <c r="I1118" s="355">
        <f>'3.60 lakhs'!K1355</f>
        <v>88</v>
      </c>
      <c r="J1118" s="353">
        <f t="shared" si="188"/>
        <v>0</v>
      </c>
      <c r="K1118" s="743">
        <f t="shared" si="189"/>
        <v>0</v>
      </c>
      <c r="L1118" s="368">
        <f t="shared" si="190"/>
        <v>0</v>
      </c>
      <c r="M1118" s="708" t="s">
        <v>2322</v>
      </c>
      <c r="N1118" s="223"/>
      <c r="O1118" s="706">
        <f t="shared" si="191"/>
        <v>0</v>
      </c>
    </row>
    <row r="1119" spans="1:15" s="360" customFormat="1" ht="15" hidden="1">
      <c r="A1119" s="356" t="s">
        <v>525</v>
      </c>
      <c r="B1119" s="707" t="s">
        <v>617</v>
      </c>
      <c r="C1119" s="633"/>
      <c r="D1119" s="354"/>
      <c r="E1119" s="622"/>
      <c r="F1119" s="353"/>
      <c r="G1119" s="358">
        <f>'3.60 lakhs'!I1350</f>
        <v>0</v>
      </c>
      <c r="H1119" s="354" t="s">
        <v>115</v>
      </c>
      <c r="I1119" s="355">
        <f>'3.60 lakhs'!K1350</f>
        <v>341</v>
      </c>
      <c r="J1119" s="353">
        <f t="shared" si="188"/>
        <v>0</v>
      </c>
      <c r="K1119" s="743">
        <f t="shared" si="189"/>
        <v>0</v>
      </c>
      <c r="L1119" s="368">
        <f t="shared" si="190"/>
        <v>0</v>
      </c>
      <c r="M1119" s="708" t="s">
        <v>2322</v>
      </c>
      <c r="N1119" s="223"/>
      <c r="O1119" s="706">
        <f t="shared" si="191"/>
        <v>0</v>
      </c>
    </row>
    <row r="1120" spans="1:15" s="360" customFormat="1" ht="15" hidden="1">
      <c r="A1120" s="356" t="s">
        <v>485</v>
      </c>
      <c r="B1120" s="707" t="s">
        <v>439</v>
      </c>
      <c r="C1120" s="633"/>
      <c r="D1120" s="354"/>
      <c r="E1120" s="622"/>
      <c r="F1120" s="353"/>
      <c r="G1120" s="358">
        <f>'3.60 lakhs'!I1360</f>
        <v>0</v>
      </c>
      <c r="H1120" s="354" t="s">
        <v>115</v>
      </c>
      <c r="I1120" s="355">
        <f>'3.60 lakhs'!K1360</f>
        <v>66</v>
      </c>
      <c r="J1120" s="353">
        <f t="shared" si="188"/>
        <v>0</v>
      </c>
      <c r="K1120" s="743">
        <f t="shared" si="189"/>
        <v>0</v>
      </c>
      <c r="L1120" s="368">
        <f t="shared" si="190"/>
        <v>0</v>
      </c>
      <c r="M1120" s="708" t="s">
        <v>2322</v>
      </c>
      <c r="N1120" s="223"/>
      <c r="O1120" s="706">
        <f t="shared" si="191"/>
        <v>0</v>
      </c>
    </row>
    <row r="1121" spans="1:15" s="360" customFormat="1" ht="15" hidden="1">
      <c r="A1121" s="356" t="s">
        <v>2045</v>
      </c>
      <c r="B1121" s="707" t="s">
        <v>561</v>
      </c>
      <c r="C1121" s="709"/>
      <c r="D1121" s="354"/>
      <c r="E1121" s="10"/>
      <c r="F1121" s="353"/>
      <c r="G1121" s="358">
        <f>'3.60 lakhs'!I1371</f>
        <v>0</v>
      </c>
      <c r="H1121" s="354" t="s">
        <v>115</v>
      </c>
      <c r="I1121" s="355">
        <f>'3.60 lakhs'!K1371</f>
        <v>125.73500000000001</v>
      </c>
      <c r="J1121" s="353">
        <f t="shared" ref="J1121:J1139" si="192">ROUND(G1121*I1121,0)</f>
        <v>0</v>
      </c>
      <c r="K1121" s="743">
        <f t="shared" si="189"/>
        <v>0</v>
      </c>
      <c r="L1121" s="368">
        <f t="shared" si="190"/>
        <v>0</v>
      </c>
      <c r="M1121" s="708" t="s">
        <v>2322</v>
      </c>
      <c r="N1121" s="223"/>
      <c r="O1121" s="706">
        <f t="shared" si="191"/>
        <v>0</v>
      </c>
    </row>
    <row r="1122" spans="1:15" s="360" customFormat="1" ht="15" hidden="1">
      <c r="A1122" s="356" t="s">
        <v>2048</v>
      </c>
      <c r="B1122" s="707" t="s">
        <v>1258</v>
      </c>
      <c r="C1122" s="733"/>
      <c r="D1122" s="354"/>
      <c r="E1122" s="10"/>
      <c r="F1122" s="353"/>
      <c r="G1122" s="358">
        <f>'3.60 lakhs'!I1365</f>
        <v>0</v>
      </c>
      <c r="H1122" s="354" t="s">
        <v>115</v>
      </c>
      <c r="I1122" s="355">
        <f>'3.60 lakhs'!K1365</f>
        <v>422.5</v>
      </c>
      <c r="J1122" s="353">
        <f t="shared" si="192"/>
        <v>0</v>
      </c>
      <c r="K1122" s="743">
        <f t="shared" si="189"/>
        <v>0</v>
      </c>
      <c r="L1122" s="368">
        <f t="shared" si="190"/>
        <v>0</v>
      </c>
      <c r="M1122" s="708" t="s">
        <v>2322</v>
      </c>
      <c r="N1122" s="223"/>
      <c r="O1122" s="706">
        <f t="shared" si="191"/>
        <v>0</v>
      </c>
    </row>
    <row r="1123" spans="1:15" s="360" customFormat="1" ht="15" hidden="1">
      <c r="A1123" s="356" t="s">
        <v>646</v>
      </c>
      <c r="B1123" s="707" t="s">
        <v>641</v>
      </c>
      <c r="C1123" s="633"/>
      <c r="D1123" s="354"/>
      <c r="E1123" s="622"/>
      <c r="F1123" s="353"/>
      <c r="G1123" s="358">
        <f>'3.60 lakhs'!I1376</f>
        <v>0</v>
      </c>
      <c r="H1123" s="354" t="s">
        <v>115</v>
      </c>
      <c r="I1123" s="355">
        <f>'3.60 lakhs'!K1376</f>
        <v>119.73500000000001</v>
      </c>
      <c r="J1123" s="353">
        <f t="shared" si="192"/>
        <v>0</v>
      </c>
      <c r="K1123" s="743">
        <f t="shared" si="189"/>
        <v>0</v>
      </c>
      <c r="L1123" s="368">
        <f t="shared" si="190"/>
        <v>0</v>
      </c>
      <c r="M1123" s="708" t="s">
        <v>2322</v>
      </c>
      <c r="N1123" s="223"/>
      <c r="O1123" s="706">
        <f t="shared" si="191"/>
        <v>0</v>
      </c>
    </row>
    <row r="1124" spans="1:15" s="360" customFormat="1" ht="15" hidden="1">
      <c r="A1124" s="356" t="s">
        <v>2049</v>
      </c>
      <c r="B1124" s="707" t="s">
        <v>624</v>
      </c>
      <c r="C1124" s="633"/>
      <c r="D1124" s="354"/>
      <c r="E1124" s="622"/>
      <c r="F1124" s="353"/>
      <c r="G1124" s="358">
        <f>'3.60 lakhs'!I1381</f>
        <v>0</v>
      </c>
      <c r="H1124" s="354" t="s">
        <v>115</v>
      </c>
      <c r="I1124" s="355">
        <f>'3.60 lakhs'!K1381</f>
        <v>21</v>
      </c>
      <c r="J1124" s="353">
        <f t="shared" si="192"/>
        <v>0</v>
      </c>
      <c r="K1124" s="743">
        <f t="shared" si="189"/>
        <v>0</v>
      </c>
      <c r="L1124" s="368">
        <f t="shared" si="190"/>
        <v>0</v>
      </c>
      <c r="M1124" s="708" t="s">
        <v>2322</v>
      </c>
      <c r="N1124" s="223"/>
      <c r="O1124" s="706">
        <f t="shared" si="191"/>
        <v>0</v>
      </c>
    </row>
    <row r="1125" spans="1:15" s="360" customFormat="1" ht="15" hidden="1">
      <c r="A1125" s="356" t="s">
        <v>2085</v>
      </c>
      <c r="B1125" s="707" t="s">
        <v>562</v>
      </c>
      <c r="C1125" s="709"/>
      <c r="D1125" s="354"/>
      <c r="E1125" s="10"/>
      <c r="F1125" s="353"/>
      <c r="G1125" s="358">
        <f>'3.60 lakhs'!I1387</f>
        <v>0</v>
      </c>
      <c r="H1125" s="354" t="s">
        <v>115</v>
      </c>
      <c r="I1125" s="355">
        <f>'3.60 lakhs'!K1387</f>
        <v>127.25</v>
      </c>
      <c r="J1125" s="353">
        <f t="shared" si="192"/>
        <v>0</v>
      </c>
      <c r="K1125" s="743">
        <f t="shared" si="189"/>
        <v>0</v>
      </c>
      <c r="L1125" s="368">
        <f t="shared" si="190"/>
        <v>0</v>
      </c>
      <c r="M1125" s="708" t="s">
        <v>2322</v>
      </c>
      <c r="N1125" s="223"/>
      <c r="O1125" s="706">
        <f t="shared" si="191"/>
        <v>0</v>
      </c>
    </row>
    <row r="1126" spans="1:15" s="360" customFormat="1" ht="15" hidden="1">
      <c r="A1126" s="356" t="s">
        <v>2046</v>
      </c>
      <c r="B1126" s="707" t="s">
        <v>563</v>
      </c>
      <c r="C1126" s="733"/>
      <c r="D1126" s="354"/>
      <c r="E1126" s="10"/>
      <c r="F1126" s="353"/>
      <c r="G1126" s="358">
        <f>'3.60 lakhs'!I1393</f>
        <v>0</v>
      </c>
      <c r="H1126" s="354" t="s">
        <v>115</v>
      </c>
      <c r="I1126" s="355">
        <f>'3.60 lakhs'!K1393</f>
        <v>3312.1849999999999</v>
      </c>
      <c r="J1126" s="353">
        <f t="shared" si="192"/>
        <v>0</v>
      </c>
      <c r="K1126" s="743">
        <f t="shared" si="189"/>
        <v>0</v>
      </c>
      <c r="L1126" s="368">
        <f t="shared" si="190"/>
        <v>0</v>
      </c>
      <c r="M1126" s="708" t="s">
        <v>2322</v>
      </c>
      <c r="N1126" s="223"/>
      <c r="O1126" s="706">
        <f t="shared" si="191"/>
        <v>0</v>
      </c>
    </row>
    <row r="1127" spans="1:15" s="360" customFormat="1" ht="15" hidden="1">
      <c r="A1127" s="356" t="s">
        <v>2052</v>
      </c>
      <c r="B1127" s="707" t="s">
        <v>563</v>
      </c>
      <c r="C1127" s="709"/>
      <c r="D1127" s="354"/>
      <c r="E1127" s="10"/>
      <c r="F1127" s="353"/>
      <c r="G1127" s="358">
        <f>'3.60 lakhs'!I1403</f>
        <v>0</v>
      </c>
      <c r="H1127" s="354" t="s">
        <v>115</v>
      </c>
      <c r="I1127" s="355">
        <f>'3.60 lakhs'!K1403</f>
        <v>2941.12</v>
      </c>
      <c r="J1127" s="353">
        <f t="shared" si="192"/>
        <v>0</v>
      </c>
      <c r="K1127" s="743">
        <f t="shared" si="189"/>
        <v>0</v>
      </c>
      <c r="L1127" s="368">
        <f t="shared" si="190"/>
        <v>0</v>
      </c>
      <c r="M1127" s="708" t="s">
        <v>2322</v>
      </c>
      <c r="N1127" s="223"/>
      <c r="O1127" s="706">
        <f t="shared" si="191"/>
        <v>0</v>
      </c>
    </row>
    <row r="1128" spans="1:15" s="360" customFormat="1" ht="15" hidden="1">
      <c r="A1128" s="356" t="s">
        <v>2053</v>
      </c>
      <c r="B1128" s="707" t="s">
        <v>831</v>
      </c>
      <c r="C1128" s="709"/>
      <c r="D1128" s="354"/>
      <c r="E1128" s="10"/>
      <c r="F1128" s="353"/>
      <c r="G1128" s="358">
        <f>'3.60 lakhs'!I1408</f>
        <v>0</v>
      </c>
      <c r="H1128" s="354" t="s">
        <v>115</v>
      </c>
      <c r="I1128" s="355">
        <f>'3.60 lakhs'!K1408</f>
        <v>278</v>
      </c>
      <c r="J1128" s="353">
        <f t="shared" si="192"/>
        <v>0</v>
      </c>
      <c r="K1128" s="743">
        <f t="shared" si="189"/>
        <v>0</v>
      </c>
      <c r="L1128" s="368">
        <f t="shared" si="190"/>
        <v>0</v>
      </c>
      <c r="M1128" s="708" t="s">
        <v>2322</v>
      </c>
      <c r="N1128" s="223"/>
      <c r="O1128" s="706">
        <f t="shared" si="191"/>
        <v>0</v>
      </c>
    </row>
    <row r="1129" spans="1:15" s="360" customFormat="1" ht="15" hidden="1">
      <c r="A1129" s="356" t="s">
        <v>2054</v>
      </c>
      <c r="B1129" s="707" t="s">
        <v>967</v>
      </c>
      <c r="C1129" s="709"/>
      <c r="D1129" s="354"/>
      <c r="E1129" s="10"/>
      <c r="F1129" s="353"/>
      <c r="G1129" s="358">
        <f>'3.60 lakhs'!I1413</f>
        <v>0</v>
      </c>
      <c r="H1129" s="354" t="s">
        <v>115</v>
      </c>
      <c r="I1129" s="355">
        <f>'3.60 lakhs'!K1413</f>
        <v>163.065</v>
      </c>
      <c r="J1129" s="353">
        <f t="shared" si="192"/>
        <v>0</v>
      </c>
      <c r="K1129" s="743">
        <f t="shared" si="189"/>
        <v>0</v>
      </c>
      <c r="L1129" s="368">
        <f t="shared" si="190"/>
        <v>0</v>
      </c>
      <c r="M1129" s="708" t="s">
        <v>2322</v>
      </c>
      <c r="N1129" s="223"/>
      <c r="O1129" s="706">
        <f t="shared" si="191"/>
        <v>0</v>
      </c>
    </row>
    <row r="1130" spans="1:15" s="360" customFormat="1" ht="15" hidden="1">
      <c r="A1130" s="356" t="s">
        <v>642</v>
      </c>
      <c r="B1130" s="707" t="s">
        <v>832</v>
      </c>
      <c r="C1130" s="709"/>
      <c r="D1130" s="354"/>
      <c r="E1130" s="10"/>
      <c r="F1130" s="353"/>
      <c r="G1130" s="358">
        <f>'3.60 lakhs'!I1420</f>
        <v>0</v>
      </c>
      <c r="H1130" s="354" t="s">
        <v>115</v>
      </c>
      <c r="I1130" s="355">
        <f>'3.60 lakhs'!K1420</f>
        <v>161.5</v>
      </c>
      <c r="J1130" s="353">
        <f t="shared" si="192"/>
        <v>0</v>
      </c>
      <c r="K1130" s="743">
        <f t="shared" si="189"/>
        <v>0</v>
      </c>
      <c r="L1130" s="368">
        <f t="shared" si="190"/>
        <v>0</v>
      </c>
      <c r="M1130" s="708" t="s">
        <v>2322</v>
      </c>
      <c r="N1130" s="223"/>
      <c r="O1130" s="706">
        <f t="shared" si="191"/>
        <v>0</v>
      </c>
    </row>
    <row r="1131" spans="1:15" s="360" customFormat="1" ht="15" hidden="1">
      <c r="A1131" s="356" t="s">
        <v>2055</v>
      </c>
      <c r="B1131" s="707" t="s">
        <v>1576</v>
      </c>
      <c r="C1131" s="733"/>
      <c r="D1131" s="354"/>
      <c r="E1131" s="10"/>
      <c r="F1131" s="353"/>
      <c r="G1131" s="358">
        <f>'3.60 lakhs'!I1398</f>
        <v>0</v>
      </c>
      <c r="H1131" s="354" t="s">
        <v>115</v>
      </c>
      <c r="I1131" s="355">
        <f>'3.60 lakhs'!K1398</f>
        <v>227.41000000000003</v>
      </c>
      <c r="J1131" s="353">
        <f t="shared" si="192"/>
        <v>0</v>
      </c>
      <c r="K1131" s="743">
        <f t="shared" si="189"/>
        <v>0</v>
      </c>
      <c r="L1131" s="368">
        <f t="shared" si="190"/>
        <v>0</v>
      </c>
      <c r="M1131" s="708" t="s">
        <v>2322</v>
      </c>
      <c r="N1131" s="223"/>
      <c r="O1131" s="706">
        <f t="shared" si="191"/>
        <v>0</v>
      </c>
    </row>
    <row r="1132" spans="1:15" s="360" customFormat="1" ht="15" hidden="1">
      <c r="A1132" s="356" t="s">
        <v>2721</v>
      </c>
      <c r="B1132" s="707" t="s">
        <v>564</v>
      </c>
      <c r="C1132" s="709"/>
      <c r="D1132" s="354"/>
      <c r="E1132" s="10"/>
      <c r="F1132" s="353"/>
      <c r="G1132" s="358">
        <f>'3.60 lakhs'!I1426</f>
        <v>0</v>
      </c>
      <c r="H1132" s="354" t="s">
        <v>115</v>
      </c>
      <c r="I1132" s="355">
        <f>'3.60 lakhs'!K1426</f>
        <v>399.94</v>
      </c>
      <c r="J1132" s="353">
        <f t="shared" si="192"/>
        <v>0</v>
      </c>
      <c r="K1132" s="743">
        <f t="shared" si="189"/>
        <v>0</v>
      </c>
      <c r="L1132" s="368">
        <f t="shared" si="190"/>
        <v>0</v>
      </c>
      <c r="M1132" s="708" t="s">
        <v>2322</v>
      </c>
      <c r="N1132" s="223"/>
      <c r="O1132" s="706">
        <f t="shared" si="191"/>
        <v>0</v>
      </c>
    </row>
    <row r="1133" spans="1:15" s="360" customFormat="1" ht="15" hidden="1">
      <c r="A1133" s="356" t="s">
        <v>2060</v>
      </c>
      <c r="B1133" s="707" t="s">
        <v>2275</v>
      </c>
      <c r="C1133" s="733"/>
      <c r="D1133" s="354"/>
      <c r="E1133" s="10"/>
      <c r="F1133" s="353"/>
      <c r="G1133" s="358">
        <f>'3.60 lakhs'!I1431</f>
        <v>0</v>
      </c>
      <c r="H1133" s="354" t="s">
        <v>115</v>
      </c>
      <c r="I1133" s="355">
        <f>'3.60 lakhs'!K1431</f>
        <v>1822</v>
      </c>
      <c r="J1133" s="353">
        <f t="shared" si="192"/>
        <v>0</v>
      </c>
      <c r="K1133" s="743">
        <f t="shared" si="189"/>
        <v>0</v>
      </c>
      <c r="L1133" s="368">
        <f t="shared" si="190"/>
        <v>0</v>
      </c>
      <c r="M1133" s="708" t="s">
        <v>2322</v>
      </c>
      <c r="N1133" s="223"/>
      <c r="O1133" s="706">
        <f t="shared" si="191"/>
        <v>0</v>
      </c>
    </row>
    <row r="1134" spans="1:15" s="360" customFormat="1" ht="15" hidden="1">
      <c r="A1134" s="356" t="s">
        <v>2060</v>
      </c>
      <c r="B1134" s="707" t="s">
        <v>2276</v>
      </c>
      <c r="C1134" s="733"/>
      <c r="D1134" s="354"/>
      <c r="E1134" s="10"/>
      <c r="F1134" s="353"/>
      <c r="G1134" s="358">
        <f>'3.60 lakhs'!I1436</f>
        <v>0</v>
      </c>
      <c r="H1134" s="354" t="s">
        <v>115</v>
      </c>
      <c r="I1134" s="355">
        <f>'3.60 lakhs'!K1436</f>
        <v>5428</v>
      </c>
      <c r="J1134" s="353">
        <f t="shared" si="192"/>
        <v>0</v>
      </c>
      <c r="K1134" s="743">
        <f t="shared" si="189"/>
        <v>0</v>
      </c>
      <c r="L1134" s="368">
        <f t="shared" si="190"/>
        <v>0</v>
      </c>
      <c r="M1134" s="708" t="s">
        <v>2322</v>
      </c>
      <c r="N1134" s="223"/>
      <c r="O1134" s="706">
        <f t="shared" si="191"/>
        <v>0</v>
      </c>
    </row>
    <row r="1135" spans="1:15" s="360" customFormat="1" ht="15" hidden="1">
      <c r="A1135" s="356" t="s">
        <v>2047</v>
      </c>
      <c r="B1135" s="707" t="s">
        <v>715</v>
      </c>
      <c r="C1135" s="633"/>
      <c r="D1135" s="354"/>
      <c r="E1135" s="622"/>
      <c r="F1135" s="353"/>
      <c r="G1135" s="358">
        <f>'3.60 lakhs'!I1446</f>
        <v>0</v>
      </c>
      <c r="H1135" s="354" t="s">
        <v>115</v>
      </c>
      <c r="I1135" s="355">
        <f>'3.60 lakhs'!K1446</f>
        <v>3662</v>
      </c>
      <c r="J1135" s="353">
        <f t="shared" si="192"/>
        <v>0</v>
      </c>
      <c r="K1135" s="743">
        <f t="shared" si="189"/>
        <v>0</v>
      </c>
      <c r="L1135" s="368">
        <f t="shared" si="190"/>
        <v>0</v>
      </c>
      <c r="M1135" s="708" t="s">
        <v>2322</v>
      </c>
      <c r="N1135" s="223"/>
      <c r="O1135" s="706">
        <f t="shared" si="191"/>
        <v>0</v>
      </c>
    </row>
    <row r="1136" spans="1:15" s="360" customFormat="1" ht="15" hidden="1">
      <c r="A1136" s="356" t="s">
        <v>1577</v>
      </c>
      <c r="B1136" s="707" t="s">
        <v>797</v>
      </c>
      <c r="C1136" s="709"/>
      <c r="D1136" s="354"/>
      <c r="E1136" s="10"/>
      <c r="F1136" s="353"/>
      <c r="G1136" s="358">
        <f>'3.60 lakhs'!I1441</f>
        <v>0</v>
      </c>
      <c r="H1136" s="354" t="s">
        <v>115</v>
      </c>
      <c r="I1136" s="355">
        <f>'3.60 lakhs'!K1441</f>
        <v>1634</v>
      </c>
      <c r="J1136" s="353">
        <f t="shared" si="192"/>
        <v>0</v>
      </c>
      <c r="K1136" s="743">
        <f t="shared" si="189"/>
        <v>0</v>
      </c>
      <c r="L1136" s="368">
        <f t="shared" si="190"/>
        <v>0</v>
      </c>
      <c r="M1136" s="708" t="s">
        <v>2322</v>
      </c>
      <c r="N1136" s="223"/>
      <c r="O1136" s="706">
        <f t="shared" si="191"/>
        <v>0</v>
      </c>
    </row>
    <row r="1137" spans="1:15" s="360" customFormat="1" ht="25.5" hidden="1">
      <c r="A1137" s="356" t="s">
        <v>2048</v>
      </c>
      <c r="B1137" s="707" t="s">
        <v>968</v>
      </c>
      <c r="C1137" s="733"/>
      <c r="D1137" s="354"/>
      <c r="E1137" s="10"/>
      <c r="F1137" s="353"/>
      <c r="G1137" s="358">
        <f>'3.60 lakhs'!I1451</f>
        <v>0</v>
      </c>
      <c r="H1137" s="354" t="s">
        <v>115</v>
      </c>
      <c r="I1137" s="355">
        <f>'3.60 lakhs'!K1451</f>
        <v>1089.96</v>
      </c>
      <c r="J1137" s="353">
        <f t="shared" si="192"/>
        <v>0</v>
      </c>
      <c r="K1137" s="743">
        <f t="shared" si="189"/>
        <v>0</v>
      </c>
      <c r="L1137" s="368">
        <f t="shared" si="190"/>
        <v>0</v>
      </c>
      <c r="M1137" s="708" t="s">
        <v>2322</v>
      </c>
      <c r="N1137" s="223"/>
      <c r="O1137" s="706">
        <f t="shared" si="191"/>
        <v>0</v>
      </c>
    </row>
    <row r="1138" spans="1:15" s="360" customFormat="1" ht="15" hidden="1">
      <c r="A1138" s="356" t="s">
        <v>2049</v>
      </c>
      <c r="B1138" s="707" t="s">
        <v>565</v>
      </c>
      <c r="C1138" s="709"/>
      <c r="D1138" s="354"/>
      <c r="E1138" s="10"/>
      <c r="F1138" s="353"/>
      <c r="G1138" s="358">
        <f>'3.60 lakhs'!I1456</f>
        <v>0</v>
      </c>
      <c r="H1138" s="354" t="s">
        <v>115</v>
      </c>
      <c r="I1138" s="355">
        <f>'3.60 lakhs'!K1456</f>
        <v>4142.4250000000002</v>
      </c>
      <c r="J1138" s="353">
        <f t="shared" si="192"/>
        <v>0</v>
      </c>
      <c r="K1138" s="743">
        <f t="shared" si="189"/>
        <v>0</v>
      </c>
      <c r="L1138" s="368">
        <f t="shared" si="190"/>
        <v>0</v>
      </c>
      <c r="M1138" s="708" t="s">
        <v>2322</v>
      </c>
      <c r="N1138" s="223"/>
      <c r="O1138" s="706">
        <f t="shared" si="191"/>
        <v>0</v>
      </c>
    </row>
    <row r="1139" spans="1:15" s="360" customFormat="1" ht="15" hidden="1">
      <c r="A1139" s="356" t="s">
        <v>2803</v>
      </c>
      <c r="B1139" s="707" t="s">
        <v>2277</v>
      </c>
      <c r="C1139" s="554"/>
      <c r="D1139" s="354"/>
      <c r="E1139" s="10"/>
      <c r="F1139" s="353"/>
      <c r="G1139" s="358">
        <f>'3.60 lakhs'!I1461</f>
        <v>0</v>
      </c>
      <c r="H1139" s="354" t="s">
        <v>102</v>
      </c>
      <c r="I1139" s="355">
        <f>'3.60 lakhs'!K1461</f>
        <v>630</v>
      </c>
      <c r="J1139" s="353">
        <f t="shared" si="192"/>
        <v>0</v>
      </c>
      <c r="K1139" s="743">
        <f t="shared" si="189"/>
        <v>0</v>
      </c>
      <c r="L1139" s="368">
        <f t="shared" si="190"/>
        <v>0</v>
      </c>
      <c r="M1139" s="708" t="s">
        <v>2322</v>
      </c>
      <c r="N1139" s="223"/>
      <c r="O1139" s="706">
        <f t="shared" si="191"/>
        <v>0</v>
      </c>
    </row>
    <row r="1140" spans="1:15" s="360" customFormat="1" ht="15" hidden="1">
      <c r="A1140" s="356" t="s">
        <v>1516</v>
      </c>
      <c r="B1140" s="707" t="s">
        <v>2474</v>
      </c>
      <c r="C1140" s="554"/>
      <c r="D1140" s="354"/>
      <c r="E1140" s="875"/>
      <c r="F1140" s="353"/>
      <c r="G1140" s="358"/>
      <c r="H1140" s="354"/>
      <c r="I1140" s="355"/>
      <c r="J1140" s="353">
        <f>'3.60 lakhs'!M1463</f>
        <v>0</v>
      </c>
      <c r="K1140" s="743">
        <f t="shared" si="189"/>
        <v>0</v>
      </c>
      <c r="L1140" s="368">
        <f t="shared" si="190"/>
        <v>0</v>
      </c>
      <c r="M1140" s="708"/>
      <c r="N1140" s="223"/>
      <c r="O1140" s="706">
        <f t="shared" si="191"/>
        <v>0</v>
      </c>
    </row>
    <row r="1141" spans="1:15" ht="15">
      <c r="A1141" s="1472" t="s">
        <v>1588</v>
      </c>
      <c r="B1141" s="1365" t="s">
        <v>2211</v>
      </c>
      <c r="C1141" s="1502"/>
      <c r="D1141" s="1503"/>
      <c r="E1141" s="1235"/>
      <c r="F1141" s="1440"/>
      <c r="G1141" s="1504"/>
      <c r="H1141" s="1505"/>
      <c r="I1141" s="1506"/>
      <c r="J1141" s="1481">
        <f>WORK!M4016</f>
        <v>22044</v>
      </c>
      <c r="K1141" s="1495">
        <f>IF(J1141&gt;F1141,J1141-F1141,0)</f>
        <v>22044</v>
      </c>
      <c r="L1141" s="1496">
        <f t="shared" ref="L1141:L1149" si="193">IF(J1141&lt;F1141,F1141-J1141,0)</f>
        <v>0</v>
      </c>
      <c r="M1141" s="1472" t="s">
        <v>15</v>
      </c>
      <c r="N1141" s="1446"/>
      <c r="O1141" s="1447">
        <f t="shared" si="154"/>
        <v>-22044</v>
      </c>
    </row>
    <row r="1142" spans="1:15" ht="15">
      <c r="A1142" s="1472" t="s">
        <v>646</v>
      </c>
      <c r="B1142" s="1365" t="s">
        <v>1456</v>
      </c>
      <c r="C1142" s="1502"/>
      <c r="D1142" s="1497"/>
      <c r="E1142" s="1476"/>
      <c r="F1142" s="1477"/>
      <c r="G1142" s="1504"/>
      <c r="H1142" s="1505"/>
      <c r="I1142" s="1506"/>
      <c r="J1142" s="1481">
        <f>WORK!M4015</f>
        <v>7906</v>
      </c>
      <c r="K1142" s="1495">
        <f>IF(J1142&gt;F1142,J1142-F1142,0)</f>
        <v>7906</v>
      </c>
      <c r="L1142" s="1496">
        <f t="shared" si="193"/>
        <v>0</v>
      </c>
      <c r="M1142" s="1472" t="s">
        <v>15</v>
      </c>
      <c r="N1142" s="1446"/>
      <c r="O1142" s="1447">
        <f t="shared" si="154"/>
        <v>-7906</v>
      </c>
    </row>
    <row r="1143" spans="1:15" s="26" customFormat="1" ht="15" hidden="1">
      <c r="A1143" s="23" t="s">
        <v>2804</v>
      </c>
      <c r="B1143" s="54" t="s">
        <v>2541</v>
      </c>
      <c r="C1143" s="734"/>
      <c r="D1143" s="731"/>
      <c r="E1143" s="722"/>
      <c r="F1143" s="716"/>
      <c r="G1143" s="28"/>
      <c r="H1143" s="24"/>
      <c r="I1143" s="37"/>
      <c r="J1143" s="11">
        <f>WORK!M4017</f>
        <v>0</v>
      </c>
      <c r="K1143" s="743">
        <f>IF(J1143&gt;F1143,J1143-F1143,0)</f>
        <v>0</v>
      </c>
      <c r="L1143" s="368">
        <f t="shared" ref="L1143" si="194">IF(J1143&lt;F1143,F1143-J1143,0)</f>
        <v>0</v>
      </c>
      <c r="M1143" s="23" t="s">
        <v>15</v>
      </c>
      <c r="N1143" s="223"/>
      <c r="O1143" s="706">
        <f t="shared" ref="O1143" si="195">F1143-J1143</f>
        <v>0</v>
      </c>
    </row>
    <row r="1144" spans="1:15" ht="15">
      <c r="A1144" s="1472" t="s">
        <v>1144</v>
      </c>
      <c r="B1144" s="1365" t="s">
        <v>2462</v>
      </c>
      <c r="C1144" s="1502"/>
      <c r="D1144" s="1497"/>
      <c r="E1144" s="1476"/>
      <c r="F1144" s="1507">
        <v>169631</v>
      </c>
      <c r="G1144" s="1504"/>
      <c r="H1144" s="1505"/>
      <c r="I1144" s="1506"/>
      <c r="J1144" s="1481">
        <v>0</v>
      </c>
      <c r="K1144" s="1495">
        <f t="shared" ref="K1144" si="196">IF(J1144&gt;F1144,J1144-F1144,0)</f>
        <v>0</v>
      </c>
      <c r="L1144" s="1496">
        <f t="shared" ref="L1144" si="197">IF(J1144&lt;F1144,F1144-J1144,0)</f>
        <v>169631</v>
      </c>
      <c r="M1144" s="1472" t="s">
        <v>15</v>
      </c>
      <c r="N1144" s="1446"/>
      <c r="O1144" s="1447">
        <f t="shared" ref="O1144" si="198">F1144-J1144</f>
        <v>169631</v>
      </c>
    </row>
    <row r="1145" spans="1:15" ht="15">
      <c r="A1145" s="1472" t="s">
        <v>1589</v>
      </c>
      <c r="B1145" s="1508" t="s">
        <v>566</v>
      </c>
      <c r="C1145" s="1509"/>
      <c r="D1145" s="1488"/>
      <c r="E1145" s="1510"/>
      <c r="F1145" s="1507">
        <v>9574</v>
      </c>
      <c r="G1145" s="1504"/>
      <c r="H1145" s="1511"/>
      <c r="I1145" s="1512"/>
      <c r="J1145" s="1446">
        <f>WORK!M4020</f>
        <v>10680</v>
      </c>
      <c r="K1145" s="1495">
        <f t="shared" ref="K1145:K1149" si="199">IF(J1145&gt;F1145,J1145-F1145,0)</f>
        <v>1106</v>
      </c>
      <c r="L1145" s="1496">
        <f t="shared" si="193"/>
        <v>0</v>
      </c>
      <c r="M1145" s="1472" t="s">
        <v>15</v>
      </c>
      <c r="N1145" s="1446"/>
      <c r="O1145" s="1447">
        <f t="shared" si="154"/>
        <v>-1106</v>
      </c>
    </row>
    <row r="1146" spans="1:15" ht="15">
      <c r="A1146" s="1472" t="s">
        <v>1590</v>
      </c>
      <c r="B1146" s="1508" t="s">
        <v>444</v>
      </c>
      <c r="C1146" s="1513"/>
      <c r="D1146" s="1511"/>
      <c r="E1146" s="1514"/>
      <c r="F1146" s="1507">
        <v>17020</v>
      </c>
      <c r="G1146" s="1504"/>
      <c r="H1146" s="1511"/>
      <c r="I1146" s="1512"/>
      <c r="J1146" s="1446">
        <f>WORK!M4021</f>
        <v>22792</v>
      </c>
      <c r="K1146" s="1495">
        <f t="shared" si="199"/>
        <v>5772</v>
      </c>
      <c r="L1146" s="1496">
        <f t="shared" si="193"/>
        <v>0</v>
      </c>
      <c r="M1146" s="1472" t="s">
        <v>15</v>
      </c>
      <c r="N1146" s="1446"/>
      <c r="O1146" s="1447">
        <f t="shared" si="154"/>
        <v>-5772</v>
      </c>
    </row>
    <row r="1147" spans="1:15" ht="15">
      <c r="A1147" s="1472" t="s">
        <v>1591</v>
      </c>
      <c r="B1147" s="1508" t="s">
        <v>445</v>
      </c>
      <c r="C1147" s="1515"/>
      <c r="D1147" s="1511"/>
      <c r="E1147" s="1512"/>
      <c r="F1147" s="1516">
        <v>3600</v>
      </c>
      <c r="G1147" s="1504"/>
      <c r="H1147" s="1511"/>
      <c r="I1147" s="1512"/>
      <c r="J1147" s="1446">
        <f>abstract!G17</f>
        <v>0</v>
      </c>
      <c r="K1147" s="1495">
        <f t="shared" si="199"/>
        <v>0</v>
      </c>
      <c r="L1147" s="1496">
        <f t="shared" si="193"/>
        <v>3600</v>
      </c>
      <c r="M1147" s="1472" t="s">
        <v>15</v>
      </c>
      <c r="N1147" s="1446"/>
      <c r="O1147" s="1447">
        <f t="shared" si="154"/>
        <v>3600</v>
      </c>
    </row>
    <row r="1148" spans="1:15" s="26" customFormat="1" ht="15" hidden="1">
      <c r="A1148" s="23" t="s">
        <v>2055</v>
      </c>
      <c r="B1148" s="27" t="s">
        <v>567</v>
      </c>
      <c r="C1148" s="739"/>
      <c r="D1148" s="224"/>
      <c r="E1148" s="29"/>
      <c r="F1148" s="359"/>
      <c r="G1148" s="28"/>
      <c r="H1148" s="224"/>
      <c r="I1148" s="29"/>
      <c r="J1148" s="223">
        <f>WORK!M4023</f>
        <v>0</v>
      </c>
      <c r="K1148" s="743">
        <f t="shared" si="199"/>
        <v>0</v>
      </c>
      <c r="L1148" s="368">
        <f t="shared" si="193"/>
        <v>0</v>
      </c>
      <c r="M1148" s="23" t="s">
        <v>15</v>
      </c>
      <c r="N1148" s="223"/>
      <c r="O1148" s="1138"/>
    </row>
    <row r="1149" spans="1:15" ht="15">
      <c r="A1149" s="1472" t="s">
        <v>647</v>
      </c>
      <c r="B1149" s="1508" t="s">
        <v>292</v>
      </c>
      <c r="C1149" s="1515"/>
      <c r="D1149" s="1511"/>
      <c r="E1149" s="1512"/>
      <c r="F1149" s="1507">
        <v>39686</v>
      </c>
      <c r="G1149" s="1504"/>
      <c r="H1149" s="1511"/>
      <c r="I1149" s="1512"/>
      <c r="J1149" s="1446">
        <f>WORK!M4024</f>
        <v>277</v>
      </c>
      <c r="K1149" s="1495">
        <f t="shared" si="199"/>
        <v>0</v>
      </c>
      <c r="L1149" s="1496">
        <f t="shared" si="193"/>
        <v>39409</v>
      </c>
      <c r="M1149" s="1472" t="s">
        <v>15</v>
      </c>
      <c r="N1149" s="1446"/>
      <c r="O1149" s="1447">
        <f t="shared" ref="O1149" si="200">F1149-J1149</f>
        <v>39409</v>
      </c>
    </row>
    <row r="1150" spans="1:15" s="1448" customFormat="1" ht="15">
      <c r="A1150" s="1436"/>
      <c r="B1150" s="1517" t="s">
        <v>2477</v>
      </c>
      <c r="C1150" s="1455"/>
      <c r="D1150" s="1518"/>
      <c r="E1150" s="1456"/>
      <c r="F1150" s="1519"/>
      <c r="G1150" s="1453"/>
      <c r="H1150" s="1518"/>
      <c r="I1150" s="1454"/>
      <c r="J1150" s="1516"/>
      <c r="K1150" s="1520"/>
      <c r="L1150" s="1520"/>
      <c r="M1150" s="1521"/>
      <c r="N1150" s="1516"/>
      <c r="O1150" s="1522">
        <v>1</v>
      </c>
    </row>
    <row r="1151" spans="1:15" s="1448" customFormat="1" ht="38.25">
      <c r="A1151" s="1436" t="s">
        <v>1592</v>
      </c>
      <c r="B1151" s="1437" t="s">
        <v>3291</v>
      </c>
      <c r="C1151" s="1453">
        <v>19.850000000000001</v>
      </c>
      <c r="D1151" s="1523" t="s">
        <v>277</v>
      </c>
      <c r="E1151" s="1456">
        <v>183.19</v>
      </c>
      <c r="F1151" s="1450">
        <f t="shared" ref="F1151:F1154" si="201">ROUND(C1151*E1151,0)</f>
        <v>3636</v>
      </c>
      <c r="G1151" s="1457"/>
      <c r="H1151" s="1458"/>
      <c r="I1151" s="1459"/>
      <c r="J1151" s="1450">
        <f t="shared" ref="J1151:J1154" si="202">ROUND(G1151*I1151,0)</f>
        <v>0</v>
      </c>
      <c r="K1151" s="1496">
        <f t="shared" ref="K1151:K1157" si="203">IF(J1151&gt;F1151,J1151-F1151,0)</f>
        <v>0</v>
      </c>
      <c r="L1151" s="1496">
        <f t="shared" ref="L1151:L1157" si="204">IF(J1151&lt;F1151,F1151-J1151,0)</f>
        <v>3636</v>
      </c>
      <c r="M1151" s="1524" t="s">
        <v>2226</v>
      </c>
      <c r="N1151" s="1516"/>
      <c r="O1151" s="1522">
        <f t="shared" ref="O1151:O1157" si="205">F1151-J1151</f>
        <v>3636</v>
      </c>
    </row>
    <row r="1152" spans="1:15" s="1448" customFormat="1" ht="51">
      <c r="A1152" s="1436" t="s">
        <v>1578</v>
      </c>
      <c r="B1152" s="1437" t="s">
        <v>3298</v>
      </c>
      <c r="C1152" s="1421">
        <v>2</v>
      </c>
      <c r="D1152" s="1523" t="s">
        <v>115</v>
      </c>
      <c r="E1152" s="1221">
        <v>9777.36</v>
      </c>
      <c r="F1152" s="1450">
        <f t="shared" si="201"/>
        <v>19555</v>
      </c>
      <c r="G1152" s="1457"/>
      <c r="H1152" s="1458"/>
      <c r="I1152" s="1459"/>
      <c r="J1152" s="1450">
        <f t="shared" si="202"/>
        <v>0</v>
      </c>
      <c r="K1152" s="1496">
        <f t="shared" si="203"/>
        <v>0</v>
      </c>
      <c r="L1152" s="1496">
        <f t="shared" si="204"/>
        <v>19555</v>
      </c>
      <c r="M1152" s="1524" t="s">
        <v>2226</v>
      </c>
      <c r="N1152" s="1516"/>
      <c r="O1152" s="1522">
        <f t="shared" si="205"/>
        <v>19555</v>
      </c>
    </row>
    <row r="1153" spans="1:15" s="1448" customFormat="1" ht="51">
      <c r="A1153" s="1436" t="s">
        <v>1593</v>
      </c>
      <c r="B1153" s="1437" t="s">
        <v>3409</v>
      </c>
      <c r="C1153" s="1421">
        <v>2</v>
      </c>
      <c r="D1153" s="1523" t="s">
        <v>115</v>
      </c>
      <c r="E1153" s="1221">
        <v>7576.9</v>
      </c>
      <c r="F1153" s="1450">
        <f t="shared" si="201"/>
        <v>15154</v>
      </c>
      <c r="G1153" s="1457"/>
      <c r="H1153" s="1458"/>
      <c r="I1153" s="1459"/>
      <c r="J1153" s="1450">
        <f t="shared" si="202"/>
        <v>0</v>
      </c>
      <c r="K1153" s="1496">
        <f t="shared" si="203"/>
        <v>0</v>
      </c>
      <c r="L1153" s="1496">
        <f t="shared" si="204"/>
        <v>15154</v>
      </c>
      <c r="M1153" s="1524" t="s">
        <v>2226</v>
      </c>
      <c r="N1153" s="1516"/>
      <c r="O1153" s="1522">
        <f t="shared" si="205"/>
        <v>15154</v>
      </c>
    </row>
    <row r="1154" spans="1:15" s="1448" customFormat="1" ht="25.5">
      <c r="A1154" s="1436" t="s">
        <v>1579</v>
      </c>
      <c r="B1154" s="1437" t="s">
        <v>965</v>
      </c>
      <c r="C1154" s="1453">
        <v>17.82</v>
      </c>
      <c r="D1154" s="1523" t="s">
        <v>102</v>
      </c>
      <c r="E1154" s="1456">
        <v>7288</v>
      </c>
      <c r="F1154" s="1450">
        <f t="shared" si="201"/>
        <v>129872</v>
      </c>
      <c r="G1154" s="1457"/>
      <c r="H1154" s="1458"/>
      <c r="I1154" s="1459"/>
      <c r="J1154" s="1450">
        <f t="shared" si="202"/>
        <v>0</v>
      </c>
      <c r="K1154" s="1496">
        <f t="shared" si="203"/>
        <v>0</v>
      </c>
      <c r="L1154" s="1496">
        <f t="shared" si="204"/>
        <v>129872</v>
      </c>
      <c r="M1154" s="1524" t="s">
        <v>2226</v>
      </c>
      <c r="N1154" s="1516"/>
      <c r="O1154" s="1522">
        <f t="shared" si="205"/>
        <v>129872</v>
      </c>
    </row>
    <row r="1155" spans="1:15" s="1448" customFormat="1" ht="15">
      <c r="A1155" s="1436" t="s">
        <v>1580</v>
      </c>
      <c r="B1155" s="1437" t="s">
        <v>3374</v>
      </c>
      <c r="C1155" s="1337"/>
      <c r="D1155" s="1439"/>
      <c r="E1155" s="1525"/>
      <c r="F1155" s="1450">
        <v>46464</v>
      </c>
      <c r="G1155" s="1453"/>
      <c r="H1155" s="1439"/>
      <c r="I1155" s="1454"/>
      <c r="J1155" s="1450"/>
      <c r="K1155" s="1496">
        <f t="shared" si="203"/>
        <v>0</v>
      </c>
      <c r="L1155" s="1496">
        <f t="shared" si="204"/>
        <v>46464</v>
      </c>
      <c r="M1155" s="1524" t="s">
        <v>2226</v>
      </c>
      <c r="N1155" s="1516"/>
      <c r="O1155" s="1522">
        <f t="shared" si="205"/>
        <v>46464</v>
      </c>
    </row>
    <row r="1156" spans="1:15" s="1448" customFormat="1" ht="15">
      <c r="A1156" s="1436" t="s">
        <v>1145</v>
      </c>
      <c r="B1156" s="1757" t="s">
        <v>566</v>
      </c>
      <c r="C1156" s="1526"/>
      <c r="D1156" s="1527"/>
      <c r="E1156" s="1528"/>
      <c r="F1156" s="1529">
        <v>841</v>
      </c>
      <c r="G1156" s="1453"/>
      <c r="H1156" s="1518"/>
      <c r="I1156" s="1456"/>
      <c r="J1156" s="1516">
        <f>'[3]Part-B'!M1448</f>
        <v>0</v>
      </c>
      <c r="K1156" s="1496">
        <f t="shared" si="203"/>
        <v>0</v>
      </c>
      <c r="L1156" s="1496">
        <f t="shared" si="204"/>
        <v>841</v>
      </c>
      <c r="M1156" s="1524" t="s">
        <v>2226</v>
      </c>
      <c r="N1156" s="1516"/>
      <c r="O1156" s="1522">
        <f t="shared" si="205"/>
        <v>841</v>
      </c>
    </row>
    <row r="1157" spans="1:15" s="1448" customFormat="1" ht="15">
      <c r="A1157" s="1436" t="s">
        <v>1594</v>
      </c>
      <c r="B1157" s="1757" t="s">
        <v>292</v>
      </c>
      <c r="C1157" s="1455"/>
      <c r="D1157" s="1518"/>
      <c r="E1157" s="1456"/>
      <c r="F1157" s="1516">
        <v>2478</v>
      </c>
      <c r="G1157" s="1453"/>
      <c r="H1157" s="1518"/>
      <c r="I1157" s="1456"/>
      <c r="J1157" s="1516">
        <f>'[3]Part-B'!M1448</f>
        <v>0</v>
      </c>
      <c r="K1157" s="1496">
        <f t="shared" si="203"/>
        <v>0</v>
      </c>
      <c r="L1157" s="1496">
        <f t="shared" si="204"/>
        <v>2478</v>
      </c>
      <c r="M1157" s="1524" t="s">
        <v>2226</v>
      </c>
      <c r="N1157" s="1516"/>
      <c r="O1157" s="1522">
        <f t="shared" si="205"/>
        <v>2478</v>
      </c>
    </row>
    <row r="1158" spans="1:15" ht="15">
      <c r="A1158" s="1472"/>
      <c r="B1158" s="1508"/>
      <c r="C1158" s="1515"/>
      <c r="D1158" s="1511"/>
      <c r="E1158" s="1512"/>
      <c r="F1158" s="1516"/>
      <c r="G1158" s="1504"/>
      <c r="H1158" s="1511"/>
      <c r="I1158" s="1512"/>
      <c r="J1158" s="1446"/>
      <c r="K1158" s="1482"/>
      <c r="L1158" s="1482"/>
      <c r="M1158" s="1472"/>
      <c r="N1158" s="1530"/>
      <c r="O1158" s="1447"/>
    </row>
    <row r="1159" spans="1:15">
      <c r="A1159" s="1472"/>
      <c r="B1159" s="1531"/>
      <c r="C1159" s="1914" t="s">
        <v>453</v>
      </c>
      <c r="D1159" s="1914"/>
      <c r="E1159" s="1915"/>
      <c r="F1159" s="1532">
        <f>SUM(F8:F1158)</f>
        <v>2180000</v>
      </c>
      <c r="G1159" s="1504"/>
      <c r="H1159" s="1533"/>
      <c r="I1159" s="1472"/>
      <c r="J1159" s="1532">
        <f>SUM(J8:J1158)</f>
        <v>2180000</v>
      </c>
      <c r="K1159" s="1532">
        <f>SUM(K8:K1158)</f>
        <v>965129</v>
      </c>
      <c r="L1159" s="1532">
        <f>SUM(L8:L1158)</f>
        <v>965129</v>
      </c>
      <c r="M1159" s="1472"/>
    </row>
    <row r="1160" spans="1:15" ht="20.25" customHeight="1">
      <c r="A1160" s="1472"/>
      <c r="B1160" s="1531"/>
      <c r="C1160" s="1914" t="s">
        <v>569</v>
      </c>
      <c r="D1160" s="1914"/>
      <c r="E1160" s="1915"/>
      <c r="F1160" s="1532">
        <f>J1159</f>
        <v>2180000</v>
      </c>
      <c r="G1160" s="1504"/>
      <c r="H1160" s="1533"/>
      <c r="I1160" s="1472"/>
      <c r="J1160" s="1446"/>
      <c r="K1160" s="1532"/>
      <c r="L1160" s="1446">
        <f>K1159</f>
        <v>965129</v>
      </c>
      <c r="M1160" s="1472"/>
    </row>
    <row r="1161" spans="1:15" ht="20.25" customHeight="1">
      <c r="A1161" s="1472"/>
      <c r="B1161" s="1534" t="s">
        <v>535</v>
      </c>
      <c r="C1161" s="1914" t="s">
        <v>536</v>
      </c>
      <c r="D1161" s="1914"/>
      <c r="E1161" s="1915"/>
      <c r="F1161" s="1532">
        <f>F1159-F1160</f>
        <v>0</v>
      </c>
      <c r="G1161" s="1504"/>
      <c r="H1161" s="1511"/>
      <c r="I1161" s="1512"/>
      <c r="J1161" s="1532"/>
      <c r="K1161" s="1446"/>
      <c r="L1161" s="1532">
        <f>L1159-L1160</f>
        <v>0</v>
      </c>
      <c r="M1161" s="1512"/>
    </row>
    <row r="1162" spans="1:15" ht="24.75" customHeight="1">
      <c r="B1162" s="1535"/>
    </row>
    <row r="1163" spans="1:15" ht="17.25" customHeight="1">
      <c r="B1163" s="1535"/>
    </row>
    <row r="1164" spans="1:15">
      <c r="B1164" s="1535"/>
      <c r="H1164" s="1204" t="str">
        <f>'lead 19-20'!$H$31</f>
        <v>Deputy Executive Engineer</v>
      </c>
      <c r="K1164" s="1539" t="str">
        <f>'lead 19-20'!$K$31</f>
        <v>Assistant  Engineer</v>
      </c>
      <c r="L1164" s="1540"/>
    </row>
    <row r="1165" spans="1:15">
      <c r="B1165" s="1535"/>
      <c r="H1165" s="1204" t="str">
        <f>'lead 19-20'!$H$32</f>
        <v>PRI Sub Division</v>
      </c>
      <c r="K1165" s="1539" t="str">
        <f>'lead 19-20'!$K$32</f>
        <v>Mandal Praja parishad</v>
      </c>
    </row>
    <row r="1166" spans="1:15">
      <c r="B1166" s="1535"/>
      <c r="H1166" s="1204" t="str">
        <f>'lead 19-20'!$H$33</f>
        <v>Kanigiri</v>
      </c>
      <c r="K1166" s="1539" t="str">
        <f>'lead 19-20'!$K$33</f>
        <v>Kanigiri</v>
      </c>
    </row>
    <row r="1167" spans="1:15">
      <c r="B1167" s="1535"/>
    </row>
    <row r="1168" spans="1:15" s="1530" customFormat="1">
      <c r="A1168" s="1426"/>
      <c r="B1168" s="1535"/>
      <c r="C1168" s="1536"/>
      <c r="D1168" s="1537"/>
      <c r="E1168" s="1426"/>
      <c r="F1168" s="1426"/>
      <c r="H1168" s="1537"/>
      <c r="I1168" s="1426"/>
      <c r="J1168" s="1426"/>
      <c r="L1168" s="1538"/>
      <c r="M1168" s="1426"/>
      <c r="N1168" s="1426"/>
    </row>
    <row r="1169" spans="1:14" s="1530" customFormat="1">
      <c r="A1169" s="1426"/>
      <c r="B1169" s="1535"/>
      <c r="C1169" s="1536"/>
      <c r="D1169" s="1537"/>
      <c r="E1169" s="1426"/>
      <c r="F1169" s="1426"/>
      <c r="H1169" s="1537"/>
      <c r="I1169" s="1426"/>
      <c r="J1169" s="1426"/>
      <c r="L1169" s="1538"/>
      <c r="M1169" s="1426"/>
      <c r="N1169" s="1426"/>
    </row>
    <row r="1170" spans="1:14" s="1530" customFormat="1">
      <c r="A1170" s="1426"/>
      <c r="B1170" s="1535"/>
      <c r="C1170" s="1536"/>
      <c r="D1170" s="1537"/>
      <c r="E1170" s="1426"/>
      <c r="F1170" s="1426"/>
      <c r="H1170" s="1537"/>
      <c r="I1170" s="1426"/>
      <c r="J1170" s="1426"/>
      <c r="L1170" s="1538"/>
      <c r="M1170" s="1426"/>
      <c r="N1170" s="1426"/>
    </row>
    <row r="1171" spans="1:14" s="1530" customFormat="1">
      <c r="A1171" s="1426"/>
      <c r="B1171" s="1535"/>
      <c r="C1171" s="1536"/>
      <c r="D1171" s="1537"/>
      <c r="E1171" s="1426"/>
      <c r="F1171" s="1426"/>
      <c r="H1171" s="1537"/>
      <c r="I1171" s="1426"/>
      <c r="J1171" s="1426"/>
      <c r="L1171" s="1538"/>
      <c r="M1171" s="1426"/>
      <c r="N1171" s="1426"/>
    </row>
    <row r="1172" spans="1:14" s="1530" customFormat="1">
      <c r="A1172" s="1426"/>
      <c r="B1172" s="1426"/>
      <c r="C1172" s="1536"/>
      <c r="D1172" s="1537"/>
      <c r="E1172" s="1426"/>
      <c r="F1172" s="1426"/>
      <c r="H1172" s="1537"/>
      <c r="I1172" s="1426"/>
      <c r="J1172" s="1426"/>
      <c r="L1172" s="1538"/>
      <c r="M1172" s="1426"/>
      <c r="N1172" s="1426"/>
    </row>
    <row r="1173" spans="1:14" s="1530" customFormat="1">
      <c r="A1173" s="1426"/>
      <c r="B1173" s="1426"/>
      <c r="C1173" s="1536"/>
      <c r="D1173" s="1537"/>
      <c r="E1173" s="1426"/>
      <c r="F1173" s="1426"/>
      <c r="H1173" s="1537"/>
      <c r="I1173" s="1426"/>
      <c r="J1173" s="1426"/>
      <c r="L1173" s="1538"/>
      <c r="M1173" s="1426"/>
      <c r="N1173" s="1426"/>
    </row>
    <row r="1174" spans="1:14" s="1530" customFormat="1">
      <c r="A1174" s="1426"/>
      <c r="B1174" s="1426"/>
      <c r="C1174" s="1536"/>
      <c r="D1174" s="1537"/>
      <c r="E1174" s="1426"/>
      <c r="F1174" s="1426"/>
      <c r="H1174" s="1537"/>
      <c r="I1174" s="1426"/>
      <c r="J1174" s="1426"/>
      <c r="L1174" s="1538"/>
      <c r="M1174" s="1426"/>
      <c r="N1174" s="1426"/>
    </row>
    <row r="1175" spans="1:14" s="1530" customFormat="1">
      <c r="A1175" s="1426"/>
      <c r="B1175" s="1426"/>
      <c r="C1175" s="1536"/>
      <c r="D1175" s="1537"/>
      <c r="E1175" s="1426"/>
      <c r="F1175" s="1426"/>
      <c r="H1175" s="1537"/>
      <c r="I1175" s="1426"/>
      <c r="J1175" s="1426"/>
      <c r="L1175" s="1538"/>
      <c r="M1175" s="1426"/>
      <c r="N1175" s="1426"/>
    </row>
    <row r="1176" spans="1:14" s="1530" customFormat="1">
      <c r="A1176" s="1426"/>
      <c r="B1176" s="1426"/>
      <c r="C1176" s="1536"/>
      <c r="D1176" s="1537"/>
      <c r="E1176" s="1426"/>
      <c r="F1176" s="1426"/>
      <c r="H1176" s="1537"/>
      <c r="I1176" s="1426"/>
      <c r="J1176" s="1426"/>
      <c r="L1176" s="1538"/>
      <c r="M1176" s="1426"/>
      <c r="N1176" s="1426"/>
    </row>
    <row r="1177" spans="1:14" s="1530" customFormat="1">
      <c r="A1177" s="1426"/>
      <c r="B1177" s="1426"/>
      <c r="C1177" s="1536"/>
      <c r="D1177" s="1537"/>
      <c r="E1177" s="1426"/>
      <c r="F1177" s="1426"/>
      <c r="H1177" s="1537"/>
      <c r="I1177" s="1426"/>
      <c r="J1177" s="1426"/>
      <c r="L1177" s="1538"/>
      <c r="M1177" s="1426"/>
      <c r="N1177" s="1426"/>
    </row>
    <row r="1178" spans="1:14" s="1530" customFormat="1">
      <c r="A1178" s="1426"/>
      <c r="B1178" s="1426"/>
      <c r="C1178" s="1536"/>
      <c r="D1178" s="1537"/>
      <c r="E1178" s="1426"/>
      <c r="F1178" s="1426"/>
      <c r="H1178" s="1537"/>
      <c r="I1178" s="1426"/>
      <c r="J1178" s="1426"/>
      <c r="L1178" s="1538"/>
      <c r="M1178" s="1426"/>
      <c r="N1178" s="1426"/>
    </row>
    <row r="1179" spans="1:14" s="1530" customFormat="1">
      <c r="A1179" s="1426"/>
      <c r="B1179" s="1426"/>
      <c r="C1179" s="1536"/>
      <c r="D1179" s="1537"/>
      <c r="E1179" s="1426"/>
      <c r="F1179" s="1426"/>
      <c r="H1179" s="1537"/>
      <c r="I1179" s="1426"/>
      <c r="J1179" s="1426"/>
      <c r="L1179" s="1538"/>
      <c r="M1179" s="1426"/>
      <c r="N1179" s="1426"/>
    </row>
    <row r="1180" spans="1:14" s="1530" customFormat="1">
      <c r="A1180" s="1426"/>
      <c r="B1180" s="1426"/>
      <c r="C1180" s="1536"/>
      <c r="D1180" s="1537"/>
      <c r="E1180" s="1426"/>
      <c r="F1180" s="1426"/>
      <c r="H1180" s="1537"/>
      <c r="I1180" s="1426"/>
      <c r="J1180" s="1426"/>
      <c r="L1180" s="1538"/>
      <c r="M1180" s="1426"/>
      <c r="N1180" s="1426"/>
    </row>
    <row r="1181" spans="1:14" s="1530" customFormat="1">
      <c r="A1181" s="1426"/>
      <c r="B1181" s="1426"/>
      <c r="C1181" s="1536"/>
      <c r="D1181" s="1537"/>
      <c r="E1181" s="1426"/>
      <c r="F1181" s="1426"/>
      <c r="H1181" s="1537"/>
      <c r="I1181" s="1426"/>
      <c r="J1181" s="1426"/>
      <c r="L1181" s="1538"/>
      <c r="M1181" s="1426"/>
      <c r="N1181" s="1426"/>
    </row>
    <row r="1182" spans="1:14" s="1530" customFormat="1">
      <c r="A1182" s="1426"/>
      <c r="B1182" s="1426"/>
      <c r="C1182" s="1536"/>
      <c r="D1182" s="1537"/>
      <c r="E1182" s="1426"/>
      <c r="F1182" s="1426"/>
      <c r="H1182" s="1537"/>
      <c r="I1182" s="1426"/>
      <c r="J1182" s="1426"/>
      <c r="L1182" s="1538"/>
      <c r="M1182" s="1426"/>
      <c r="N1182" s="1426"/>
    </row>
    <row r="1183" spans="1:14" s="1530" customFormat="1">
      <c r="A1183" s="1426"/>
      <c r="B1183" s="1426"/>
      <c r="C1183" s="1536"/>
      <c r="D1183" s="1537"/>
      <c r="E1183" s="1426"/>
      <c r="F1183" s="1426"/>
      <c r="H1183" s="1537"/>
      <c r="I1183" s="1426"/>
      <c r="J1183" s="1426"/>
      <c r="L1183" s="1538"/>
      <c r="M1183" s="1426"/>
      <c r="N1183" s="1426"/>
    </row>
    <row r="1192" spans="3:12">
      <c r="C1192" s="1537"/>
      <c r="G1192" s="1426"/>
      <c r="H1192" s="1426"/>
      <c r="K1192" s="1541"/>
      <c r="L1192" s="1426"/>
    </row>
    <row r="1193" spans="3:12">
      <c r="C1193" s="1537"/>
      <c r="G1193" s="1426"/>
      <c r="H1193" s="1426"/>
      <c r="K1193" s="1541"/>
      <c r="L1193" s="1426"/>
    </row>
    <row r="1194" spans="3:12">
      <c r="C1194" s="1537"/>
      <c r="G1194" s="1426"/>
      <c r="H1194" s="1426"/>
      <c r="K1194" s="1541"/>
      <c r="L1194" s="1426"/>
    </row>
    <row r="1195" spans="3:12">
      <c r="C1195" s="1537"/>
      <c r="G1195" s="1426"/>
      <c r="H1195" s="1426"/>
      <c r="K1195" s="1541"/>
      <c r="L1195" s="1426"/>
    </row>
    <row r="1196" spans="3:12">
      <c r="C1196" s="1537"/>
      <c r="G1196" s="1426"/>
      <c r="H1196" s="1426"/>
      <c r="K1196" s="1541"/>
      <c r="L1196" s="1426"/>
    </row>
    <row r="1197" spans="3:12">
      <c r="C1197" s="1537"/>
      <c r="G1197" s="1426"/>
      <c r="H1197" s="1426"/>
      <c r="K1197" s="1541"/>
      <c r="L1197" s="1426"/>
    </row>
    <row r="1198" spans="3:12">
      <c r="C1198" s="1537"/>
      <c r="G1198" s="1426"/>
      <c r="H1198" s="1426"/>
      <c r="K1198" s="1541"/>
      <c r="L1198" s="1426"/>
    </row>
    <row r="1199" spans="3:12">
      <c r="C1199" s="1537"/>
      <c r="G1199" s="1426"/>
      <c r="H1199" s="1426"/>
      <c r="K1199" s="1541"/>
      <c r="L1199" s="1426"/>
    </row>
    <row r="1200" spans="3:12">
      <c r="C1200" s="1537"/>
      <c r="G1200" s="1426"/>
      <c r="H1200" s="1426"/>
      <c r="K1200" s="1541"/>
      <c r="L1200" s="1426"/>
    </row>
    <row r="1201" spans="3:12">
      <c r="C1201" s="1537"/>
      <c r="G1201" s="1426"/>
      <c r="H1201" s="1426"/>
      <c r="K1201" s="1541"/>
      <c r="L1201" s="1426"/>
    </row>
    <row r="1202" spans="3:12">
      <c r="C1202" s="1537"/>
      <c r="G1202" s="1426"/>
      <c r="H1202" s="1426"/>
      <c r="K1202" s="1541"/>
      <c r="L1202" s="1426"/>
    </row>
    <row r="1203" spans="3:12">
      <c r="C1203" s="1537"/>
      <c r="G1203" s="1426"/>
      <c r="H1203" s="1426"/>
      <c r="K1203" s="1541"/>
      <c r="L1203" s="1426"/>
    </row>
    <row r="1204" spans="3:12">
      <c r="C1204" s="1537"/>
      <c r="G1204" s="1426"/>
      <c r="H1204" s="1426"/>
      <c r="K1204" s="1541"/>
      <c r="L1204" s="1426"/>
    </row>
    <row r="1205" spans="3:12">
      <c r="C1205" s="1537"/>
      <c r="G1205" s="1426"/>
      <c r="H1205" s="1426"/>
      <c r="K1205" s="1541"/>
      <c r="L1205" s="1426"/>
    </row>
    <row r="1206" spans="3:12">
      <c r="C1206" s="1537"/>
      <c r="G1206" s="1426"/>
      <c r="H1206" s="1426"/>
      <c r="K1206" s="1541"/>
      <c r="L1206" s="1426"/>
    </row>
    <row r="1207" spans="3:12">
      <c r="C1207" s="1537"/>
      <c r="G1207" s="1426"/>
      <c r="H1207" s="1426"/>
      <c r="K1207" s="1541"/>
      <c r="L1207" s="1426"/>
    </row>
    <row r="1208" spans="3:12">
      <c r="C1208" s="1537"/>
      <c r="G1208" s="1426"/>
      <c r="H1208" s="1426"/>
      <c r="K1208" s="1541"/>
      <c r="L1208" s="1426"/>
    </row>
    <row r="1209" spans="3:12">
      <c r="C1209" s="1537"/>
      <c r="G1209" s="1426"/>
      <c r="H1209" s="1426"/>
      <c r="K1209" s="1541"/>
      <c r="L1209" s="1426"/>
    </row>
    <row r="1210" spans="3:12">
      <c r="C1210" s="1537"/>
      <c r="G1210" s="1426"/>
      <c r="H1210" s="1426"/>
      <c r="K1210" s="1541"/>
      <c r="L1210" s="1426"/>
    </row>
    <row r="1211" spans="3:12">
      <c r="C1211" s="1537"/>
      <c r="G1211" s="1426"/>
      <c r="H1211" s="1426"/>
      <c r="K1211" s="1541"/>
      <c r="L1211" s="1426"/>
    </row>
    <row r="1212" spans="3:12">
      <c r="C1212" s="1537"/>
      <c r="G1212" s="1426"/>
      <c r="H1212" s="1426"/>
      <c r="K1212" s="1541"/>
      <c r="L1212" s="1426"/>
    </row>
    <row r="1213" spans="3:12">
      <c r="C1213" s="1537"/>
      <c r="G1213" s="1426"/>
      <c r="H1213" s="1426"/>
      <c r="K1213" s="1541"/>
      <c r="L1213" s="1426"/>
    </row>
    <row r="1214" spans="3:12">
      <c r="C1214" s="1537"/>
      <c r="G1214" s="1426"/>
      <c r="H1214" s="1426"/>
      <c r="K1214" s="1541"/>
      <c r="L1214" s="1426"/>
    </row>
    <row r="1215" spans="3:12">
      <c r="C1215" s="1537"/>
      <c r="G1215" s="1426"/>
      <c r="H1215" s="1426"/>
      <c r="K1215" s="1541"/>
      <c r="L1215" s="1426"/>
    </row>
    <row r="1216" spans="3:12">
      <c r="C1216" s="1537"/>
      <c r="G1216" s="1426"/>
      <c r="H1216" s="1426"/>
      <c r="K1216" s="1541"/>
      <c r="L1216" s="1426"/>
    </row>
    <row r="1217" spans="3:12">
      <c r="C1217" s="1537"/>
      <c r="G1217" s="1426"/>
      <c r="H1217" s="1426"/>
      <c r="K1217" s="1541"/>
      <c r="L1217" s="1426"/>
    </row>
    <row r="1218" spans="3:12">
      <c r="C1218" s="1537"/>
      <c r="G1218" s="1426"/>
      <c r="H1218" s="1426"/>
      <c r="K1218" s="1541"/>
      <c r="L1218" s="1426"/>
    </row>
    <row r="1219" spans="3:12">
      <c r="C1219" s="1537"/>
      <c r="G1219" s="1426"/>
      <c r="H1219" s="1426"/>
      <c r="K1219" s="1541"/>
      <c r="L1219" s="1426"/>
    </row>
    <row r="1220" spans="3:12">
      <c r="C1220" s="1537"/>
      <c r="G1220" s="1426"/>
      <c r="H1220" s="1426"/>
      <c r="K1220" s="1541"/>
      <c r="L1220" s="1426"/>
    </row>
    <row r="1221" spans="3:12">
      <c r="C1221" s="1537"/>
      <c r="G1221" s="1426"/>
      <c r="H1221" s="1426"/>
      <c r="K1221" s="1541"/>
      <c r="L1221" s="1426"/>
    </row>
    <row r="1222" spans="3:12">
      <c r="C1222" s="1537"/>
      <c r="G1222" s="1426"/>
      <c r="H1222" s="1426"/>
      <c r="K1222" s="1541"/>
      <c r="L1222" s="1426"/>
    </row>
    <row r="1223" spans="3:12">
      <c r="C1223" s="1537"/>
      <c r="G1223" s="1426"/>
      <c r="H1223" s="1426"/>
      <c r="K1223" s="1541"/>
      <c r="L1223" s="1426"/>
    </row>
    <row r="1224" spans="3:12">
      <c r="C1224" s="1537"/>
      <c r="G1224" s="1426"/>
      <c r="H1224" s="1426"/>
      <c r="K1224" s="1541"/>
      <c r="L1224" s="1426"/>
    </row>
    <row r="1225" spans="3:12">
      <c r="C1225" s="1537"/>
      <c r="G1225" s="1426"/>
      <c r="H1225" s="1426"/>
      <c r="K1225" s="1541"/>
      <c r="L1225" s="1426"/>
    </row>
    <row r="1226" spans="3:12">
      <c r="C1226" s="1537"/>
      <c r="G1226" s="1426"/>
      <c r="H1226" s="1426"/>
      <c r="K1226" s="1541"/>
      <c r="L1226" s="1426"/>
    </row>
    <row r="1227" spans="3:12">
      <c r="C1227" s="1537"/>
      <c r="G1227" s="1426"/>
      <c r="H1227" s="1426"/>
      <c r="K1227" s="1541"/>
      <c r="L1227" s="1426"/>
    </row>
    <row r="1228" spans="3:12">
      <c r="C1228" s="1537"/>
      <c r="G1228" s="1426"/>
      <c r="H1228" s="1426"/>
      <c r="K1228" s="1541"/>
      <c r="L1228" s="1426"/>
    </row>
    <row r="1229" spans="3:12">
      <c r="C1229" s="1537"/>
      <c r="G1229" s="1426"/>
      <c r="H1229" s="1426"/>
      <c r="K1229" s="1541"/>
      <c r="L1229" s="1426"/>
    </row>
    <row r="1230" spans="3:12">
      <c r="C1230" s="1537"/>
      <c r="G1230" s="1426"/>
      <c r="H1230" s="1426"/>
      <c r="K1230" s="1541"/>
      <c r="L1230" s="1426"/>
    </row>
    <row r="1231" spans="3:12">
      <c r="C1231" s="1537"/>
      <c r="G1231" s="1426"/>
      <c r="H1231" s="1426"/>
      <c r="K1231" s="1541"/>
      <c r="L1231" s="1426"/>
    </row>
    <row r="1232" spans="3:12">
      <c r="C1232" s="1537"/>
      <c r="G1232" s="1426"/>
      <c r="H1232" s="1426"/>
      <c r="K1232" s="1541"/>
      <c r="L1232" s="1426"/>
    </row>
    <row r="1233" spans="3:12">
      <c r="C1233" s="1537"/>
      <c r="G1233" s="1426"/>
      <c r="H1233" s="1426"/>
      <c r="K1233" s="1541"/>
      <c r="L1233" s="1426"/>
    </row>
    <row r="1234" spans="3:12">
      <c r="C1234" s="1537"/>
      <c r="G1234" s="1426"/>
      <c r="H1234" s="1426"/>
      <c r="K1234" s="1541"/>
      <c r="L1234" s="1426"/>
    </row>
    <row r="1235" spans="3:12">
      <c r="C1235" s="1537"/>
      <c r="G1235" s="1426"/>
      <c r="H1235" s="1426"/>
      <c r="K1235" s="1541"/>
      <c r="L1235" s="1426"/>
    </row>
    <row r="1236" spans="3:12">
      <c r="C1236" s="1537"/>
      <c r="G1236" s="1426"/>
      <c r="H1236" s="1426"/>
      <c r="K1236" s="1541"/>
      <c r="L1236" s="1426"/>
    </row>
    <row r="1237" spans="3:12">
      <c r="C1237" s="1537"/>
      <c r="G1237" s="1426"/>
      <c r="H1237" s="1426"/>
      <c r="K1237" s="1541"/>
      <c r="L1237" s="1426"/>
    </row>
    <row r="1238" spans="3:12">
      <c r="C1238" s="1537"/>
      <c r="G1238" s="1426"/>
      <c r="H1238" s="1426"/>
      <c r="K1238" s="1541"/>
      <c r="L1238" s="1426"/>
    </row>
    <row r="1239" spans="3:12">
      <c r="C1239" s="1537"/>
      <c r="G1239" s="1426"/>
      <c r="H1239" s="1426"/>
      <c r="K1239" s="1541"/>
      <c r="L1239" s="1426"/>
    </row>
    <row r="1240" spans="3:12">
      <c r="C1240" s="1537"/>
      <c r="G1240" s="1426"/>
      <c r="H1240" s="1426"/>
      <c r="K1240" s="1541"/>
      <c r="L1240" s="1426"/>
    </row>
    <row r="1241" spans="3:12">
      <c r="C1241" s="1537"/>
      <c r="G1241" s="1426"/>
      <c r="H1241" s="1426"/>
      <c r="K1241" s="1541"/>
      <c r="L1241" s="1426"/>
    </row>
    <row r="1242" spans="3:12">
      <c r="C1242" s="1537"/>
      <c r="G1242" s="1426"/>
      <c r="H1242" s="1426"/>
      <c r="K1242" s="1541"/>
      <c r="L1242" s="1426"/>
    </row>
    <row r="1243" spans="3:12">
      <c r="C1243" s="1537"/>
      <c r="G1243" s="1426"/>
      <c r="H1243" s="1426"/>
      <c r="K1243" s="1541"/>
      <c r="L1243" s="1426"/>
    </row>
    <row r="1244" spans="3:12">
      <c r="C1244" s="1537"/>
      <c r="G1244" s="1426"/>
      <c r="H1244" s="1426"/>
      <c r="K1244" s="1541"/>
      <c r="L1244" s="1426"/>
    </row>
    <row r="1245" spans="3:12">
      <c r="C1245" s="1537"/>
      <c r="G1245" s="1426"/>
      <c r="H1245" s="1426"/>
      <c r="K1245" s="1541"/>
      <c r="L1245" s="1426"/>
    </row>
    <row r="1246" spans="3:12">
      <c r="C1246" s="1537"/>
      <c r="G1246" s="1426"/>
      <c r="H1246" s="1426"/>
      <c r="K1246" s="1541"/>
      <c r="L1246" s="1426"/>
    </row>
    <row r="1247" spans="3:12">
      <c r="C1247" s="1537"/>
      <c r="G1247" s="1426"/>
      <c r="H1247" s="1426"/>
      <c r="K1247" s="1541"/>
      <c r="L1247" s="1426"/>
    </row>
    <row r="1248" spans="3:12">
      <c r="C1248" s="1537"/>
      <c r="G1248" s="1426"/>
      <c r="H1248" s="1426"/>
      <c r="K1248" s="1541"/>
      <c r="L1248" s="1426"/>
    </row>
    <row r="1249" spans="3:12">
      <c r="C1249" s="1537"/>
      <c r="G1249" s="1426"/>
      <c r="H1249" s="1426"/>
      <c r="K1249" s="1541"/>
      <c r="L1249" s="1426"/>
    </row>
    <row r="1250" spans="3:12">
      <c r="C1250" s="1537"/>
      <c r="G1250" s="1426"/>
      <c r="H1250" s="1426"/>
      <c r="K1250" s="1541"/>
      <c r="L1250" s="1426"/>
    </row>
    <row r="1251" spans="3:12">
      <c r="C1251" s="1537"/>
      <c r="G1251" s="1426"/>
      <c r="H1251" s="1426"/>
      <c r="K1251" s="1541"/>
      <c r="L1251" s="1426"/>
    </row>
    <row r="1252" spans="3:12">
      <c r="C1252" s="1537"/>
      <c r="G1252" s="1426"/>
      <c r="H1252" s="1426"/>
      <c r="K1252" s="1541"/>
      <c r="L1252" s="1426"/>
    </row>
    <row r="1253" spans="3:12">
      <c r="C1253" s="1537"/>
      <c r="G1253" s="1426"/>
      <c r="H1253" s="1426"/>
      <c r="K1253" s="1541"/>
      <c r="L1253" s="1426"/>
    </row>
    <row r="1254" spans="3:12">
      <c r="C1254" s="1537"/>
      <c r="G1254" s="1426"/>
      <c r="H1254" s="1426"/>
      <c r="K1254" s="1541"/>
      <c r="L1254" s="1426"/>
    </row>
    <row r="1255" spans="3:12">
      <c r="C1255" s="1537"/>
      <c r="G1255" s="1426"/>
      <c r="H1255" s="1426"/>
      <c r="K1255" s="1541"/>
      <c r="L1255" s="1426"/>
    </row>
    <row r="1256" spans="3:12">
      <c r="C1256" s="1537"/>
      <c r="G1256" s="1426"/>
      <c r="H1256" s="1426"/>
      <c r="K1256" s="1541"/>
      <c r="L1256" s="1426"/>
    </row>
    <row r="1257" spans="3:12">
      <c r="C1257" s="1537"/>
      <c r="G1257" s="1426"/>
      <c r="H1257" s="1426"/>
      <c r="K1257" s="1541"/>
      <c r="L1257" s="1426"/>
    </row>
    <row r="1258" spans="3:12">
      <c r="C1258" s="1537"/>
      <c r="G1258" s="1426"/>
      <c r="H1258" s="1426"/>
      <c r="K1258" s="1541"/>
      <c r="L1258" s="1426"/>
    </row>
    <row r="1259" spans="3:12">
      <c r="C1259" s="1537"/>
      <c r="G1259" s="1426"/>
      <c r="H1259" s="1426"/>
      <c r="K1259" s="1541"/>
      <c r="L1259" s="1426"/>
    </row>
    <row r="1260" spans="3:12">
      <c r="C1260" s="1537"/>
      <c r="G1260" s="1426"/>
      <c r="H1260" s="1426"/>
      <c r="K1260" s="1541"/>
      <c r="L1260" s="1426"/>
    </row>
    <row r="1261" spans="3:12">
      <c r="C1261" s="1537"/>
      <c r="G1261" s="1426"/>
      <c r="H1261" s="1426"/>
      <c r="K1261" s="1541"/>
      <c r="L1261" s="1426"/>
    </row>
    <row r="1262" spans="3:12">
      <c r="C1262" s="1537"/>
      <c r="G1262" s="1426"/>
      <c r="H1262" s="1426"/>
      <c r="K1262" s="1541"/>
      <c r="L1262" s="1426"/>
    </row>
    <row r="1263" spans="3:12">
      <c r="C1263" s="1537"/>
      <c r="G1263" s="1426"/>
      <c r="H1263" s="1426"/>
      <c r="K1263" s="1541"/>
      <c r="L1263" s="1426"/>
    </row>
    <row r="1264" spans="3:12">
      <c r="C1264" s="1537"/>
      <c r="G1264" s="1426"/>
      <c r="H1264" s="1426"/>
      <c r="K1264" s="1541"/>
      <c r="L1264" s="1426"/>
    </row>
    <row r="1265" spans="3:12">
      <c r="C1265" s="1537"/>
      <c r="G1265" s="1426"/>
      <c r="H1265" s="1426"/>
      <c r="K1265" s="1541"/>
      <c r="L1265" s="1426"/>
    </row>
    <row r="1266" spans="3:12">
      <c r="C1266" s="1537"/>
      <c r="G1266" s="1426"/>
      <c r="H1266" s="1426"/>
      <c r="K1266" s="1541"/>
      <c r="L1266" s="1426"/>
    </row>
    <row r="1267" spans="3:12">
      <c r="C1267" s="1537"/>
      <c r="G1267" s="1426"/>
      <c r="H1267" s="1426"/>
      <c r="K1267" s="1541"/>
      <c r="L1267" s="1426"/>
    </row>
    <row r="1268" spans="3:12">
      <c r="C1268" s="1537"/>
      <c r="G1268" s="1426"/>
      <c r="H1268" s="1426"/>
      <c r="K1268" s="1541"/>
      <c r="L1268" s="1426"/>
    </row>
    <row r="1269" spans="3:12">
      <c r="C1269" s="1537"/>
      <c r="G1269" s="1426"/>
      <c r="H1269" s="1426"/>
      <c r="K1269" s="1541"/>
      <c r="L1269" s="1426"/>
    </row>
    <row r="1270" spans="3:12">
      <c r="C1270" s="1537"/>
      <c r="G1270" s="1426"/>
      <c r="H1270" s="1426"/>
      <c r="K1270" s="1541"/>
      <c r="L1270" s="1426"/>
    </row>
    <row r="1271" spans="3:12">
      <c r="C1271" s="1537"/>
      <c r="G1271" s="1426"/>
      <c r="H1271" s="1426"/>
      <c r="K1271" s="1541"/>
      <c r="L1271" s="1426"/>
    </row>
    <row r="1272" spans="3:12">
      <c r="C1272" s="1537"/>
      <c r="G1272" s="1426"/>
      <c r="H1272" s="1426"/>
      <c r="K1272" s="1541"/>
      <c r="L1272" s="1426"/>
    </row>
    <row r="1273" spans="3:12">
      <c r="C1273" s="1537"/>
      <c r="G1273" s="1426"/>
      <c r="H1273" s="1426"/>
      <c r="K1273" s="1541"/>
      <c r="L1273" s="1426"/>
    </row>
    <row r="1274" spans="3:12">
      <c r="C1274" s="1537"/>
      <c r="G1274" s="1426"/>
      <c r="H1274" s="1426"/>
      <c r="K1274" s="1541"/>
      <c r="L1274" s="1426"/>
    </row>
  </sheetData>
  <autoFilter ref="A6:O1157">
    <filterColumn colId="2" showButton="0"/>
    <filterColumn colId="6" showButton="0"/>
    <filterColumn colId="14">
      <customFilters>
        <customFilter operator="notEqual" val=" "/>
      </customFilters>
    </filterColumn>
  </autoFilter>
  <mergeCells count="460">
    <mergeCell ref="C1161:E1161"/>
    <mergeCell ref="A1:M1"/>
    <mergeCell ref="A2:M2"/>
    <mergeCell ref="K3:M3"/>
    <mergeCell ref="A4:A5"/>
    <mergeCell ref="B4:B5"/>
    <mergeCell ref="C4:F4"/>
    <mergeCell ref="G4:J4"/>
    <mergeCell ref="K4:L4"/>
    <mergeCell ref="M4:M5"/>
    <mergeCell ref="C5:D5"/>
    <mergeCell ref="G5:H5"/>
    <mergeCell ref="C6:D6"/>
    <mergeCell ref="G6:H6"/>
    <mergeCell ref="C1159:E1159"/>
    <mergeCell ref="C1160:E1160"/>
    <mergeCell ref="K21:K24"/>
    <mergeCell ref="L21:L24"/>
    <mergeCell ref="K25:K28"/>
    <mergeCell ref="L25:L28"/>
    <mergeCell ref="K29:K32"/>
    <mergeCell ref="L29:L32"/>
    <mergeCell ref="K9:K12"/>
    <mergeCell ref="L9:L12"/>
    <mergeCell ref="K13:K16"/>
    <mergeCell ref="L13:L16"/>
    <mergeCell ref="K17:K20"/>
    <mergeCell ref="L17:L20"/>
    <mergeCell ref="K46:K49"/>
    <mergeCell ref="L46:L49"/>
    <mergeCell ref="K50:K53"/>
    <mergeCell ref="L50:L53"/>
    <mergeCell ref="K54:K57"/>
    <mergeCell ref="L54:L57"/>
    <mergeCell ref="K33:K36"/>
    <mergeCell ref="L33:L36"/>
    <mergeCell ref="K38:K41"/>
    <mergeCell ref="L38:L41"/>
    <mergeCell ref="K42:K45"/>
    <mergeCell ref="L42:L45"/>
    <mergeCell ref="K70:K73"/>
    <mergeCell ref="L70:L73"/>
    <mergeCell ref="K74:K77"/>
    <mergeCell ref="L74:L77"/>
    <mergeCell ref="K78:K81"/>
    <mergeCell ref="L78:L81"/>
    <mergeCell ref="K58:K61"/>
    <mergeCell ref="L58:L61"/>
    <mergeCell ref="K62:K65"/>
    <mergeCell ref="L62:L65"/>
    <mergeCell ref="K66:K69"/>
    <mergeCell ref="L66:L69"/>
    <mergeCell ref="K94:K97"/>
    <mergeCell ref="L94:L97"/>
    <mergeCell ref="K98:K101"/>
    <mergeCell ref="L98:L101"/>
    <mergeCell ref="K102:K105"/>
    <mergeCell ref="L102:L105"/>
    <mergeCell ref="K106:K109"/>
    <mergeCell ref="L106:L109"/>
    <mergeCell ref="K82:K85"/>
    <mergeCell ref="L82:L85"/>
    <mergeCell ref="K86:K89"/>
    <mergeCell ref="L86:L89"/>
    <mergeCell ref="K90:K93"/>
    <mergeCell ref="L90:L93"/>
    <mergeCell ref="K122:K125"/>
    <mergeCell ref="L122:L125"/>
    <mergeCell ref="K126:K129"/>
    <mergeCell ref="L126:L129"/>
    <mergeCell ref="K130:K133"/>
    <mergeCell ref="L130:L133"/>
    <mergeCell ref="K110:K113"/>
    <mergeCell ref="L110:L113"/>
    <mergeCell ref="K114:K117"/>
    <mergeCell ref="L114:L117"/>
    <mergeCell ref="K118:K121"/>
    <mergeCell ref="L118:L121"/>
    <mergeCell ref="K146:K149"/>
    <mergeCell ref="L146:L149"/>
    <mergeCell ref="K150:K153"/>
    <mergeCell ref="L150:L153"/>
    <mergeCell ref="K154:K157"/>
    <mergeCell ref="L154:L157"/>
    <mergeCell ref="K134:K137"/>
    <mergeCell ref="L134:L137"/>
    <mergeCell ref="K138:K141"/>
    <mergeCell ref="L138:L141"/>
    <mergeCell ref="K142:K145"/>
    <mergeCell ref="L142:L145"/>
    <mergeCell ref="K170:K173"/>
    <mergeCell ref="L170:L173"/>
    <mergeCell ref="K174:K177"/>
    <mergeCell ref="L174:L177"/>
    <mergeCell ref="K178:K181"/>
    <mergeCell ref="L178:L181"/>
    <mergeCell ref="K158:K161"/>
    <mergeCell ref="L158:L161"/>
    <mergeCell ref="K162:K165"/>
    <mergeCell ref="L162:L165"/>
    <mergeCell ref="K166:K169"/>
    <mergeCell ref="L166:L169"/>
    <mergeCell ref="K194:K197"/>
    <mergeCell ref="L194:L197"/>
    <mergeCell ref="K198:K201"/>
    <mergeCell ref="L198:L201"/>
    <mergeCell ref="K202:K205"/>
    <mergeCell ref="L202:L205"/>
    <mergeCell ref="K182:K185"/>
    <mergeCell ref="L182:L185"/>
    <mergeCell ref="K186:K189"/>
    <mergeCell ref="L186:L189"/>
    <mergeCell ref="K190:K193"/>
    <mergeCell ref="L190:L193"/>
    <mergeCell ref="K218:K221"/>
    <mergeCell ref="L218:L221"/>
    <mergeCell ref="K222:K225"/>
    <mergeCell ref="L222:L225"/>
    <mergeCell ref="K226:K229"/>
    <mergeCell ref="L226:L229"/>
    <mergeCell ref="K206:K209"/>
    <mergeCell ref="L206:L209"/>
    <mergeCell ref="K210:K213"/>
    <mergeCell ref="L210:L213"/>
    <mergeCell ref="K214:K217"/>
    <mergeCell ref="L214:L217"/>
    <mergeCell ref="K244:K247"/>
    <mergeCell ref="L244:L247"/>
    <mergeCell ref="K248:K251"/>
    <mergeCell ref="L248:L251"/>
    <mergeCell ref="K252:K255"/>
    <mergeCell ref="L252:L255"/>
    <mergeCell ref="K230:K233"/>
    <mergeCell ref="L230:L233"/>
    <mergeCell ref="K234:K237"/>
    <mergeCell ref="L234:L237"/>
    <mergeCell ref="K240:K243"/>
    <mergeCell ref="L240:L243"/>
    <mergeCell ref="K268:K271"/>
    <mergeCell ref="L268:L271"/>
    <mergeCell ref="K272:K275"/>
    <mergeCell ref="L272:L275"/>
    <mergeCell ref="K276:K279"/>
    <mergeCell ref="L276:L279"/>
    <mergeCell ref="K256:K259"/>
    <mergeCell ref="L256:L259"/>
    <mergeCell ref="K260:K263"/>
    <mergeCell ref="L260:L263"/>
    <mergeCell ref="K264:K267"/>
    <mergeCell ref="L264:L267"/>
    <mergeCell ref="K292:K295"/>
    <mergeCell ref="L292:L295"/>
    <mergeCell ref="K296:K299"/>
    <mergeCell ref="L296:L299"/>
    <mergeCell ref="K300:K303"/>
    <mergeCell ref="L300:L303"/>
    <mergeCell ref="K280:K283"/>
    <mergeCell ref="L280:L283"/>
    <mergeCell ref="K284:K287"/>
    <mergeCell ref="L284:L287"/>
    <mergeCell ref="K288:K291"/>
    <mergeCell ref="L288:L291"/>
    <mergeCell ref="K316:K319"/>
    <mergeCell ref="L316:L319"/>
    <mergeCell ref="K320:K323"/>
    <mergeCell ref="L320:L323"/>
    <mergeCell ref="K324:K327"/>
    <mergeCell ref="L324:L327"/>
    <mergeCell ref="K304:K307"/>
    <mergeCell ref="L304:L307"/>
    <mergeCell ref="K308:K311"/>
    <mergeCell ref="L308:L311"/>
    <mergeCell ref="K312:K315"/>
    <mergeCell ref="L312:L315"/>
    <mergeCell ref="K340:K343"/>
    <mergeCell ref="L340:L343"/>
    <mergeCell ref="K344:K347"/>
    <mergeCell ref="L344:L347"/>
    <mergeCell ref="K348:K351"/>
    <mergeCell ref="L348:L351"/>
    <mergeCell ref="K328:K331"/>
    <mergeCell ref="L328:L331"/>
    <mergeCell ref="K332:K335"/>
    <mergeCell ref="L332:L335"/>
    <mergeCell ref="K336:K339"/>
    <mergeCell ref="L336:L339"/>
    <mergeCell ref="K364:K367"/>
    <mergeCell ref="L364:L367"/>
    <mergeCell ref="K368:K371"/>
    <mergeCell ref="L368:L371"/>
    <mergeCell ref="K372:K375"/>
    <mergeCell ref="L372:L375"/>
    <mergeCell ref="K352:K355"/>
    <mergeCell ref="L352:L355"/>
    <mergeCell ref="K356:K359"/>
    <mergeCell ref="L356:L359"/>
    <mergeCell ref="K360:K363"/>
    <mergeCell ref="L360:L363"/>
    <mergeCell ref="K389:K392"/>
    <mergeCell ref="L389:L392"/>
    <mergeCell ref="K393:K396"/>
    <mergeCell ref="L393:L396"/>
    <mergeCell ref="K397:K400"/>
    <mergeCell ref="L397:L400"/>
    <mergeCell ref="K376:K379"/>
    <mergeCell ref="L376:L379"/>
    <mergeCell ref="K380:K383"/>
    <mergeCell ref="L380:L383"/>
    <mergeCell ref="K385:K388"/>
    <mergeCell ref="L385:L388"/>
    <mergeCell ref="K413:K416"/>
    <mergeCell ref="L413:L416"/>
    <mergeCell ref="K417:K420"/>
    <mergeCell ref="L417:L420"/>
    <mergeCell ref="K421:K424"/>
    <mergeCell ref="L421:L424"/>
    <mergeCell ref="K401:K404"/>
    <mergeCell ref="L401:L404"/>
    <mergeCell ref="K405:K408"/>
    <mergeCell ref="L405:L408"/>
    <mergeCell ref="K409:K412"/>
    <mergeCell ref="L409:L412"/>
    <mergeCell ref="K437:K440"/>
    <mergeCell ref="L437:L440"/>
    <mergeCell ref="K441:K444"/>
    <mergeCell ref="L441:L444"/>
    <mergeCell ref="K445:K448"/>
    <mergeCell ref="L445:L448"/>
    <mergeCell ref="K425:K428"/>
    <mergeCell ref="L425:L428"/>
    <mergeCell ref="K429:K432"/>
    <mergeCell ref="L429:L432"/>
    <mergeCell ref="K433:K436"/>
    <mergeCell ref="L433:L436"/>
    <mergeCell ref="K461:K464"/>
    <mergeCell ref="L461:L464"/>
    <mergeCell ref="K465:K468"/>
    <mergeCell ref="L465:L468"/>
    <mergeCell ref="K469:K472"/>
    <mergeCell ref="L469:L472"/>
    <mergeCell ref="K449:K452"/>
    <mergeCell ref="L449:L452"/>
    <mergeCell ref="K453:K456"/>
    <mergeCell ref="L453:L456"/>
    <mergeCell ref="K457:K460"/>
    <mergeCell ref="L457:L460"/>
    <mergeCell ref="K485:K488"/>
    <mergeCell ref="L485:L488"/>
    <mergeCell ref="K489:K492"/>
    <mergeCell ref="L489:L492"/>
    <mergeCell ref="K493:K496"/>
    <mergeCell ref="L493:L496"/>
    <mergeCell ref="K473:K476"/>
    <mergeCell ref="L473:L476"/>
    <mergeCell ref="K477:K480"/>
    <mergeCell ref="L477:L480"/>
    <mergeCell ref="K481:K484"/>
    <mergeCell ref="L481:L484"/>
    <mergeCell ref="K509:K512"/>
    <mergeCell ref="L509:L512"/>
    <mergeCell ref="K513:K516"/>
    <mergeCell ref="L513:L516"/>
    <mergeCell ref="K517:K520"/>
    <mergeCell ref="L517:L520"/>
    <mergeCell ref="K497:K500"/>
    <mergeCell ref="L497:L500"/>
    <mergeCell ref="K501:K504"/>
    <mergeCell ref="L501:L504"/>
    <mergeCell ref="K505:K508"/>
    <mergeCell ref="L505:L508"/>
    <mergeCell ref="K534:K537"/>
    <mergeCell ref="L534:L537"/>
    <mergeCell ref="K538:K541"/>
    <mergeCell ref="L538:L541"/>
    <mergeCell ref="K542:K545"/>
    <mergeCell ref="L542:L545"/>
    <mergeCell ref="K521:K524"/>
    <mergeCell ref="L521:L524"/>
    <mergeCell ref="K526:K529"/>
    <mergeCell ref="L526:L529"/>
    <mergeCell ref="K530:K533"/>
    <mergeCell ref="L530:L533"/>
    <mergeCell ref="K558:K561"/>
    <mergeCell ref="L558:L561"/>
    <mergeCell ref="K562:K565"/>
    <mergeCell ref="L562:L565"/>
    <mergeCell ref="K566:K569"/>
    <mergeCell ref="L566:L569"/>
    <mergeCell ref="K546:K549"/>
    <mergeCell ref="L546:L549"/>
    <mergeCell ref="K550:K553"/>
    <mergeCell ref="L550:L553"/>
    <mergeCell ref="K554:K557"/>
    <mergeCell ref="L554:L557"/>
    <mergeCell ref="K583:K586"/>
    <mergeCell ref="L583:L586"/>
    <mergeCell ref="K587:K590"/>
    <mergeCell ref="L587:L590"/>
    <mergeCell ref="K591:K594"/>
    <mergeCell ref="L591:L594"/>
    <mergeCell ref="K571:K574"/>
    <mergeCell ref="L571:L574"/>
    <mergeCell ref="K575:K578"/>
    <mergeCell ref="L575:L578"/>
    <mergeCell ref="K579:K582"/>
    <mergeCell ref="L579:L582"/>
    <mergeCell ref="K607:K610"/>
    <mergeCell ref="L607:L610"/>
    <mergeCell ref="K611:K614"/>
    <mergeCell ref="L611:L614"/>
    <mergeCell ref="K615:K618"/>
    <mergeCell ref="L615:L618"/>
    <mergeCell ref="K595:K598"/>
    <mergeCell ref="L595:L598"/>
    <mergeCell ref="K599:K602"/>
    <mergeCell ref="L599:L602"/>
    <mergeCell ref="K603:K606"/>
    <mergeCell ref="L603:L606"/>
    <mergeCell ref="K632:K635"/>
    <mergeCell ref="L632:L635"/>
    <mergeCell ref="K636:K639"/>
    <mergeCell ref="L636:L639"/>
    <mergeCell ref="K641:K644"/>
    <mergeCell ref="L641:L644"/>
    <mergeCell ref="K619:K622"/>
    <mergeCell ref="L619:L622"/>
    <mergeCell ref="K624:K627"/>
    <mergeCell ref="L624:L627"/>
    <mergeCell ref="K628:K631"/>
    <mergeCell ref="L628:L631"/>
    <mergeCell ref="K657:K660"/>
    <mergeCell ref="L657:L660"/>
    <mergeCell ref="K661:K664"/>
    <mergeCell ref="L661:L664"/>
    <mergeCell ref="K665:K668"/>
    <mergeCell ref="L665:L668"/>
    <mergeCell ref="K645:K648"/>
    <mergeCell ref="L645:L648"/>
    <mergeCell ref="K649:K652"/>
    <mergeCell ref="L649:L652"/>
    <mergeCell ref="K653:K656"/>
    <mergeCell ref="L653:L656"/>
    <mergeCell ref="K682:K685"/>
    <mergeCell ref="L682:L685"/>
    <mergeCell ref="K686:K689"/>
    <mergeCell ref="L686:L689"/>
    <mergeCell ref="K691:K694"/>
    <mergeCell ref="L691:L694"/>
    <mergeCell ref="K670:K673"/>
    <mergeCell ref="L670:L673"/>
    <mergeCell ref="K674:K677"/>
    <mergeCell ref="L674:L677"/>
    <mergeCell ref="K678:K681"/>
    <mergeCell ref="L678:L681"/>
    <mergeCell ref="K709:K712"/>
    <mergeCell ref="L709:L712"/>
    <mergeCell ref="K713:K716"/>
    <mergeCell ref="L713:L716"/>
    <mergeCell ref="K717:K720"/>
    <mergeCell ref="L717:L720"/>
    <mergeCell ref="K697:K700"/>
    <mergeCell ref="L697:L700"/>
    <mergeCell ref="K701:K704"/>
    <mergeCell ref="L701:L704"/>
    <mergeCell ref="K705:K708"/>
    <mergeCell ref="L705:L708"/>
    <mergeCell ref="K733:K736"/>
    <mergeCell ref="L733:L736"/>
    <mergeCell ref="K737:K740"/>
    <mergeCell ref="L737:L740"/>
    <mergeCell ref="K741:K744"/>
    <mergeCell ref="L741:L744"/>
    <mergeCell ref="K721:K724"/>
    <mergeCell ref="L721:L724"/>
    <mergeCell ref="K725:K728"/>
    <mergeCell ref="L725:L728"/>
    <mergeCell ref="K729:K732"/>
    <mergeCell ref="L729:L732"/>
    <mergeCell ref="K759:K762"/>
    <mergeCell ref="L759:L762"/>
    <mergeCell ref="K763:K766"/>
    <mergeCell ref="L763:L766"/>
    <mergeCell ref="K767:K770"/>
    <mergeCell ref="L767:L770"/>
    <mergeCell ref="K747:K750"/>
    <mergeCell ref="L747:L750"/>
    <mergeCell ref="K751:K754"/>
    <mergeCell ref="L751:L754"/>
    <mergeCell ref="K755:K758"/>
    <mergeCell ref="L755:L758"/>
    <mergeCell ref="K783:K786"/>
    <mergeCell ref="L783:L786"/>
    <mergeCell ref="K787:K790"/>
    <mergeCell ref="L787:L790"/>
    <mergeCell ref="K791:K794"/>
    <mergeCell ref="L791:L794"/>
    <mergeCell ref="K771:K774"/>
    <mergeCell ref="L771:L774"/>
    <mergeCell ref="K775:K778"/>
    <mergeCell ref="L775:L778"/>
    <mergeCell ref="K779:K782"/>
    <mergeCell ref="L779:L782"/>
    <mergeCell ref="K807:K810"/>
    <mergeCell ref="L807:L810"/>
    <mergeCell ref="K811:K814"/>
    <mergeCell ref="L811:L814"/>
    <mergeCell ref="K815:K818"/>
    <mergeCell ref="L815:L818"/>
    <mergeCell ref="K795:K798"/>
    <mergeCell ref="L795:L798"/>
    <mergeCell ref="K799:K802"/>
    <mergeCell ref="L799:L802"/>
    <mergeCell ref="K803:K806"/>
    <mergeCell ref="L803:L806"/>
    <mergeCell ref="K831:K834"/>
    <mergeCell ref="L831:L834"/>
    <mergeCell ref="K835:K838"/>
    <mergeCell ref="L835:L838"/>
    <mergeCell ref="K839:K842"/>
    <mergeCell ref="L839:L842"/>
    <mergeCell ref="K819:K822"/>
    <mergeCell ref="L819:L822"/>
    <mergeCell ref="K823:K826"/>
    <mergeCell ref="L823:L826"/>
    <mergeCell ref="K827:K830"/>
    <mergeCell ref="L827:L830"/>
    <mergeCell ref="K855:K858"/>
    <mergeCell ref="L855:L858"/>
    <mergeCell ref="K859:K862"/>
    <mergeCell ref="L859:L862"/>
    <mergeCell ref="K863:K866"/>
    <mergeCell ref="L863:L866"/>
    <mergeCell ref="K843:K846"/>
    <mergeCell ref="L843:L846"/>
    <mergeCell ref="K847:K850"/>
    <mergeCell ref="L847:L850"/>
    <mergeCell ref="K851:K854"/>
    <mergeCell ref="L851:L854"/>
    <mergeCell ref="K879:K882"/>
    <mergeCell ref="L879:L882"/>
    <mergeCell ref="K883:K886"/>
    <mergeCell ref="L883:L886"/>
    <mergeCell ref="K887:K890"/>
    <mergeCell ref="L887:L890"/>
    <mergeCell ref="K867:K870"/>
    <mergeCell ref="L867:L870"/>
    <mergeCell ref="K871:K874"/>
    <mergeCell ref="L871:L874"/>
    <mergeCell ref="K875:K878"/>
    <mergeCell ref="L875:L878"/>
    <mergeCell ref="K903:K906"/>
    <mergeCell ref="L903:L906"/>
    <mergeCell ref="K907:K910"/>
    <mergeCell ref="L907:L910"/>
    <mergeCell ref="K891:K894"/>
    <mergeCell ref="L891:L894"/>
    <mergeCell ref="K895:K898"/>
    <mergeCell ref="L895:L898"/>
    <mergeCell ref="K899:K902"/>
    <mergeCell ref="L899:L902"/>
  </mergeCells>
  <printOptions horizontalCentered="1"/>
  <pageMargins left="0.23622047244094499" right="0.15748031496063" top="0.25" bottom="0.34" header="0.22" footer="0.23622047244094499"/>
  <pageSetup paperSize="9" orientation="landscape" errors="blank" r:id="rId1"/>
  <headerFooter alignWithMargins="0"/>
  <rowBreaks count="1" manualBreakCount="1">
    <brk id="1155" max="12" man="1"/>
  </rowBreaks>
</worksheet>
</file>

<file path=xl/worksheets/sheet36.xml><?xml version="1.0" encoding="utf-8"?>
<worksheet xmlns="http://schemas.openxmlformats.org/spreadsheetml/2006/main" xmlns:r="http://schemas.openxmlformats.org/officeDocument/2006/relationships">
  <sheetPr filterMode="1">
    <tabColor rgb="FF00B050"/>
  </sheetPr>
  <dimension ref="A1:P1267"/>
  <sheetViews>
    <sheetView showZeros="0" view="pageBreakPreview" zoomScale="130" zoomScaleNormal="130" zoomScaleSheetLayoutView="130" workbookViewId="0">
      <selection activeCell="A1150" sqref="A1150"/>
    </sheetView>
  </sheetViews>
  <sheetFormatPr defaultColWidth="9.140625" defaultRowHeight="12.75"/>
  <cols>
    <col min="1" max="1" width="5.140625" style="26" customWidth="1"/>
    <col min="2" max="2" width="42.42578125" style="26" customWidth="1"/>
    <col min="3" max="3" width="8.28515625" style="741" customWidth="1"/>
    <col min="4" max="4" width="5.140625" style="742" customWidth="1"/>
    <col min="5" max="5" width="9" style="26" customWidth="1"/>
    <col min="6" max="6" width="12.28515625" style="26" customWidth="1"/>
    <col min="7" max="7" width="8.140625" style="740" customWidth="1"/>
    <col min="8" max="8" width="4.7109375" style="742" customWidth="1"/>
    <col min="9" max="9" width="9.42578125" style="26" bestFit="1" customWidth="1"/>
    <col min="10" max="10" width="10.85546875" style="26" customWidth="1"/>
    <col min="11" max="11" width="11" style="740" customWidth="1"/>
    <col min="12" max="12" width="11" style="1142" customWidth="1"/>
    <col min="13" max="13" width="7.85546875" style="26" customWidth="1"/>
    <col min="14" max="14" width="9.28515625" style="26" bestFit="1" customWidth="1"/>
    <col min="15" max="16" width="10.42578125" style="26" bestFit="1" customWidth="1"/>
    <col min="17" max="16384" width="9.140625" style="26"/>
  </cols>
  <sheetData>
    <row r="1" spans="1:15" ht="19.5" customHeight="1">
      <c r="A1" s="1933" t="s">
        <v>3222</v>
      </c>
      <c r="B1" s="1934"/>
      <c r="C1" s="1934"/>
      <c r="D1" s="1934"/>
      <c r="E1" s="1934"/>
      <c r="F1" s="1934"/>
      <c r="G1" s="1934"/>
      <c r="H1" s="1934"/>
      <c r="I1" s="1934"/>
      <c r="J1" s="1934"/>
      <c r="K1" s="1935"/>
      <c r="L1" s="1936"/>
      <c r="M1" s="1936"/>
    </row>
    <row r="2" spans="1:15" s="1131" customFormat="1" ht="36.75" customHeight="1">
      <c r="A2" s="1937" t="str">
        <f>'lead 19-20'!B2&amp;'lead 19-20'!C2</f>
        <v>Name of the Work: Providing Additional Space for Agriculture Staff in  Baduguleru GP of Kanigiri Mandal</v>
      </c>
      <c r="B2" s="1937"/>
      <c r="C2" s="1937"/>
      <c r="D2" s="1937"/>
      <c r="E2" s="1937"/>
      <c r="F2" s="1937"/>
      <c r="G2" s="1937"/>
      <c r="H2" s="1937"/>
      <c r="I2" s="1937"/>
      <c r="J2" s="1937"/>
      <c r="K2" s="1938"/>
      <c r="L2" s="1937"/>
      <c r="M2" s="1937"/>
    </row>
    <row r="3" spans="1:15" s="1131" customFormat="1" ht="15">
      <c r="A3" s="1132"/>
      <c r="B3" s="1133"/>
      <c r="C3" s="701"/>
      <c r="D3" s="1134"/>
      <c r="E3" s="1135"/>
      <c r="F3" s="1133"/>
      <c r="G3" s="1136"/>
      <c r="H3" s="1134"/>
      <c r="I3" s="1135"/>
      <c r="J3" s="1133" t="s">
        <v>452</v>
      </c>
      <c r="K3" s="1939" t="str">
        <f>'lead 19-20'!K4</f>
        <v>21.80 Lakhs</v>
      </c>
      <c r="L3" s="1940"/>
      <c r="M3" s="1940"/>
    </row>
    <row r="4" spans="1:15" s="1131" customFormat="1" ht="19.5" customHeight="1">
      <c r="A4" s="1932" t="s">
        <v>271</v>
      </c>
      <c r="B4" s="1932" t="s">
        <v>7</v>
      </c>
      <c r="C4" s="1932" t="s">
        <v>569</v>
      </c>
      <c r="D4" s="1932"/>
      <c r="E4" s="1941"/>
      <c r="F4" s="1941"/>
      <c r="G4" s="1932" t="s">
        <v>3221</v>
      </c>
      <c r="H4" s="1932"/>
      <c r="I4" s="1941"/>
      <c r="J4" s="1941"/>
      <c r="K4" s="1942" t="s">
        <v>454</v>
      </c>
      <c r="L4" s="1941"/>
      <c r="M4" s="1932" t="s">
        <v>455</v>
      </c>
    </row>
    <row r="5" spans="1:15" s="1131" customFormat="1" ht="15.75" customHeight="1">
      <c r="A5" s="1932"/>
      <c r="B5" s="1932"/>
      <c r="C5" s="1932" t="s">
        <v>456</v>
      </c>
      <c r="D5" s="1932"/>
      <c r="E5" s="1770" t="s">
        <v>457</v>
      </c>
      <c r="F5" s="1770" t="s">
        <v>10</v>
      </c>
      <c r="G5" s="1932" t="s">
        <v>456</v>
      </c>
      <c r="H5" s="1932"/>
      <c r="I5" s="1770" t="s">
        <v>457</v>
      </c>
      <c r="J5" s="1770" t="s">
        <v>10</v>
      </c>
      <c r="K5" s="1771" t="s">
        <v>458</v>
      </c>
      <c r="L5" s="1770" t="s">
        <v>459</v>
      </c>
      <c r="M5" s="1932"/>
    </row>
    <row r="6" spans="1:15" s="1131" customFormat="1" ht="16.5" customHeight="1">
      <c r="A6" s="1770" t="s">
        <v>460</v>
      </c>
      <c r="B6" s="1770" t="s">
        <v>461</v>
      </c>
      <c r="C6" s="1932" t="s">
        <v>462</v>
      </c>
      <c r="D6" s="1932"/>
      <c r="E6" s="1770" t="s">
        <v>463</v>
      </c>
      <c r="F6" s="1770" t="s">
        <v>464</v>
      </c>
      <c r="G6" s="1932" t="s">
        <v>465</v>
      </c>
      <c r="H6" s="1932"/>
      <c r="I6" s="1770" t="s">
        <v>466</v>
      </c>
      <c r="J6" s="1770" t="s">
        <v>467</v>
      </c>
      <c r="K6" s="1771" t="s">
        <v>468</v>
      </c>
      <c r="L6" s="1770" t="s">
        <v>326</v>
      </c>
      <c r="M6" s="1770" t="s">
        <v>469</v>
      </c>
    </row>
    <row r="7" spans="1:15" s="18" customFormat="1" ht="16.5" hidden="1" customHeight="1">
      <c r="A7" s="668"/>
      <c r="B7" s="1137" t="s">
        <v>2443</v>
      </c>
      <c r="C7" s="880"/>
      <c r="D7" s="881"/>
      <c r="E7" s="881"/>
      <c r="F7" s="668"/>
      <c r="G7" s="880"/>
      <c r="H7" s="881"/>
      <c r="I7" s="668"/>
      <c r="J7" s="668"/>
      <c r="K7" s="1130"/>
      <c r="L7" s="668"/>
      <c r="M7" s="668"/>
      <c r="O7" s="18" t="s">
        <v>460</v>
      </c>
    </row>
    <row r="8" spans="1:15" ht="20.25" hidden="1" customHeight="1">
      <c r="A8" s="23"/>
      <c r="B8" s="702" t="s">
        <v>470</v>
      </c>
      <c r="C8" s="703"/>
      <c r="D8" s="704"/>
      <c r="E8" s="705"/>
      <c r="F8" s="883"/>
      <c r="G8" s="28"/>
      <c r="H8" s="224"/>
      <c r="I8" s="29"/>
      <c r="J8" s="223"/>
      <c r="K8" s="25">
        <f t="shared" ref="K8" si="0">IF(J8&gt;F8,J8-F8,0)</f>
        <v>0</v>
      </c>
      <c r="L8" s="25">
        <f t="shared" ref="L8" si="1">IF(J8&lt;F8,F8-J8,0)</f>
        <v>0</v>
      </c>
      <c r="M8" s="23" t="s">
        <v>15</v>
      </c>
      <c r="N8" s="223"/>
      <c r="O8" s="1138">
        <v>1</v>
      </c>
    </row>
    <row r="9" spans="1:15" s="360" customFormat="1" ht="25.5" hidden="1">
      <c r="A9" s="356" t="s">
        <v>460</v>
      </c>
      <c r="B9" s="707" t="s">
        <v>294</v>
      </c>
      <c r="C9" s="633">
        <f>G9</f>
        <v>0</v>
      </c>
      <c r="D9" s="354" t="s">
        <v>102</v>
      </c>
      <c r="E9" s="622">
        <f>I9</f>
        <v>5.22</v>
      </c>
      <c r="F9" s="917">
        <f t="shared" ref="F9:F72" si="2">ROUND(C9*E9,0)</f>
        <v>0</v>
      </c>
      <c r="G9" s="358">
        <f>WORK!I13</f>
        <v>0</v>
      </c>
      <c r="H9" s="354" t="s">
        <v>102</v>
      </c>
      <c r="I9" s="355">
        <f>WORK!K13</f>
        <v>5.22</v>
      </c>
      <c r="J9" s="353">
        <f>ROUND(G9*I9,2)</f>
        <v>0</v>
      </c>
      <c r="K9" s="1911">
        <f>IF((J9+J10+J11+J12)&gt;(F9+F10+F11+F12),(J9+J10+J11+J12)-(F9+F10+F11+F12),0)</f>
        <v>0</v>
      </c>
      <c r="L9" s="1911">
        <f>IF((J9+J10+J11+J12)&lt;(F9+F10+F11+F12),(F9+F10+F11+F12)-(J9+J10+J11+J12),0)</f>
        <v>0</v>
      </c>
      <c r="M9" s="1139" t="s">
        <v>2226</v>
      </c>
      <c r="N9" s="223"/>
      <c r="O9" s="1138">
        <f>F9-J9</f>
        <v>0</v>
      </c>
    </row>
    <row r="10" spans="1:15" s="360" customFormat="1" ht="15" hidden="1">
      <c r="A10" s="356" t="s">
        <v>460</v>
      </c>
      <c r="B10" s="707" t="s">
        <v>537</v>
      </c>
      <c r="C10" s="633">
        <f t="shared" ref="C10:C73" si="3">G10</f>
        <v>0</v>
      </c>
      <c r="D10" s="354"/>
      <c r="E10" s="622">
        <f t="shared" ref="E10:E73" si="4">I10</f>
        <v>5.86</v>
      </c>
      <c r="F10" s="917">
        <f t="shared" si="2"/>
        <v>0</v>
      </c>
      <c r="G10" s="358">
        <f>WORK!I19</f>
        <v>0</v>
      </c>
      <c r="H10" s="354" t="s">
        <v>102</v>
      </c>
      <c r="I10" s="355">
        <f>WORK!K19</f>
        <v>5.86</v>
      </c>
      <c r="J10" s="353">
        <f t="shared" ref="J10:J73" si="5">ROUND(G10*I10,2)</f>
        <v>0</v>
      </c>
      <c r="K10" s="1912"/>
      <c r="L10" s="1912"/>
      <c r="M10" s="708" t="s">
        <v>2308</v>
      </c>
      <c r="N10" s="223"/>
      <c r="O10" s="706">
        <f t="shared" ref="O10:O74" si="6">F10-J10</f>
        <v>0</v>
      </c>
    </row>
    <row r="11" spans="1:15" s="360" customFormat="1" ht="15" hidden="1">
      <c r="A11" s="356" t="s">
        <v>460</v>
      </c>
      <c r="B11" s="707" t="s">
        <v>537</v>
      </c>
      <c r="C11" s="633">
        <f t="shared" si="3"/>
        <v>0</v>
      </c>
      <c r="D11" s="354"/>
      <c r="E11" s="622">
        <f t="shared" si="4"/>
        <v>6.06</v>
      </c>
      <c r="F11" s="917">
        <f t="shared" si="2"/>
        <v>0</v>
      </c>
      <c r="G11" s="358">
        <f>WORK!I25</f>
        <v>0</v>
      </c>
      <c r="H11" s="354" t="s">
        <v>102</v>
      </c>
      <c r="I11" s="355">
        <f>WORK!K25</f>
        <v>6.06</v>
      </c>
      <c r="J11" s="353">
        <f t="shared" si="5"/>
        <v>0</v>
      </c>
      <c r="K11" s="1912"/>
      <c r="L11" s="1912"/>
      <c r="M11" s="708" t="s">
        <v>2321</v>
      </c>
      <c r="N11" s="223"/>
      <c r="O11" s="706">
        <f t="shared" si="6"/>
        <v>0</v>
      </c>
    </row>
    <row r="12" spans="1:15" s="360" customFormat="1" ht="15" hidden="1">
      <c r="A12" s="356" t="s">
        <v>460</v>
      </c>
      <c r="B12" s="707" t="s">
        <v>537</v>
      </c>
      <c r="C12" s="633">
        <f t="shared" si="3"/>
        <v>0</v>
      </c>
      <c r="D12" s="354"/>
      <c r="E12" s="622">
        <f t="shared" si="4"/>
        <v>6.06</v>
      </c>
      <c r="F12" s="917">
        <f t="shared" si="2"/>
        <v>0</v>
      </c>
      <c r="G12" s="358">
        <f>WORK!I31</f>
        <v>0</v>
      </c>
      <c r="H12" s="354" t="s">
        <v>102</v>
      </c>
      <c r="I12" s="355">
        <f>WORK!K31</f>
        <v>6.06</v>
      </c>
      <c r="J12" s="353">
        <f t="shared" si="5"/>
        <v>0</v>
      </c>
      <c r="K12" s="1913"/>
      <c r="L12" s="1913"/>
      <c r="M12" s="708" t="s">
        <v>2322</v>
      </c>
      <c r="N12" s="223"/>
      <c r="O12" s="706">
        <f t="shared" si="6"/>
        <v>0</v>
      </c>
    </row>
    <row r="13" spans="1:15" s="360" customFormat="1" ht="51">
      <c r="A13" s="356" t="s">
        <v>460</v>
      </c>
      <c r="B13" s="707" t="s">
        <v>3259</v>
      </c>
      <c r="C13" s="633">
        <f t="shared" si="3"/>
        <v>82.240000000000009</v>
      </c>
      <c r="D13" s="916" t="s">
        <v>102</v>
      </c>
      <c r="E13" s="622">
        <f t="shared" si="4"/>
        <v>124.24</v>
      </c>
      <c r="F13" s="917">
        <f t="shared" si="2"/>
        <v>10217</v>
      </c>
      <c r="G13" s="358">
        <f>WORK!I48</f>
        <v>82.240000000000009</v>
      </c>
      <c r="H13" s="354" t="s">
        <v>5</v>
      </c>
      <c r="I13" s="355">
        <f>WORK!K48</f>
        <v>124.24</v>
      </c>
      <c r="J13" s="353">
        <f t="shared" si="5"/>
        <v>10217.5</v>
      </c>
      <c r="K13" s="1930">
        <f>IF((J13+J14+J15+J16)&gt;(F13+F14+F15+F16),(J13+J14+J15+J16)-(F13+F14+F15+F16),0)</f>
        <v>0.5</v>
      </c>
      <c r="L13" s="1930">
        <f>IF((J13+J14+J15+J16)&lt;(F13+F14+F15+F16),(F13+F14+F15+F16)-(J13+J14+J15+J16),0)</f>
        <v>0</v>
      </c>
      <c r="M13" s="1139" t="s">
        <v>2226</v>
      </c>
      <c r="N13" s="223"/>
      <c r="O13" s="1138">
        <f t="shared" si="6"/>
        <v>-0.5</v>
      </c>
    </row>
    <row r="14" spans="1:15" s="360" customFormat="1" ht="51" hidden="1">
      <c r="A14" s="356" t="s">
        <v>461</v>
      </c>
      <c r="B14" s="707" t="s">
        <v>3259</v>
      </c>
      <c r="C14" s="633">
        <f t="shared" si="3"/>
        <v>0</v>
      </c>
      <c r="D14" s="354" t="s">
        <v>5</v>
      </c>
      <c r="E14" s="622">
        <f t="shared" si="4"/>
        <v>139.55000000000001</v>
      </c>
      <c r="F14" s="917">
        <f t="shared" si="2"/>
        <v>0</v>
      </c>
      <c r="G14" s="358">
        <f>WORK!I54</f>
        <v>0</v>
      </c>
      <c r="H14" s="354" t="s">
        <v>5</v>
      </c>
      <c r="I14" s="355">
        <f>WORK!K54</f>
        <v>139.55000000000001</v>
      </c>
      <c r="J14" s="353">
        <f t="shared" si="5"/>
        <v>0</v>
      </c>
      <c r="K14" s="1912"/>
      <c r="L14" s="1912"/>
      <c r="M14" s="1139" t="s">
        <v>2308</v>
      </c>
      <c r="N14" s="223"/>
      <c r="O14" s="1138">
        <f t="shared" si="6"/>
        <v>0</v>
      </c>
    </row>
    <row r="15" spans="1:15" s="360" customFormat="1" ht="15" hidden="1">
      <c r="A15" s="356" t="s">
        <v>461</v>
      </c>
      <c r="B15" s="707" t="s">
        <v>471</v>
      </c>
      <c r="C15" s="633">
        <f t="shared" si="3"/>
        <v>0</v>
      </c>
      <c r="D15" s="354"/>
      <c r="E15" s="622">
        <f t="shared" si="4"/>
        <v>144.26</v>
      </c>
      <c r="F15" s="917">
        <f t="shared" si="2"/>
        <v>0</v>
      </c>
      <c r="G15" s="358">
        <f>WORK!I61</f>
        <v>0</v>
      </c>
      <c r="H15" s="354" t="s">
        <v>5</v>
      </c>
      <c r="I15" s="355">
        <f>WORK!K61</f>
        <v>144.26</v>
      </c>
      <c r="J15" s="353">
        <f t="shared" si="5"/>
        <v>0</v>
      </c>
      <c r="K15" s="1912"/>
      <c r="L15" s="1912"/>
      <c r="M15" s="708" t="s">
        <v>2321</v>
      </c>
      <c r="N15" s="223"/>
      <c r="O15" s="706">
        <f t="shared" si="6"/>
        <v>0</v>
      </c>
    </row>
    <row r="16" spans="1:15" s="360" customFormat="1" ht="51" hidden="1">
      <c r="A16" s="356" t="s">
        <v>461</v>
      </c>
      <c r="B16" s="707" t="s">
        <v>3259</v>
      </c>
      <c r="C16" s="633">
        <f t="shared" si="3"/>
        <v>0</v>
      </c>
      <c r="D16" s="354" t="s">
        <v>5</v>
      </c>
      <c r="E16" s="622">
        <f t="shared" si="4"/>
        <v>144.26</v>
      </c>
      <c r="F16" s="917">
        <f t="shared" si="2"/>
        <v>0</v>
      </c>
      <c r="G16" s="358">
        <f>WORK!I68</f>
        <v>0</v>
      </c>
      <c r="H16" s="354" t="s">
        <v>5</v>
      </c>
      <c r="I16" s="355">
        <f>WORK!K68</f>
        <v>144.26</v>
      </c>
      <c r="J16" s="353">
        <f t="shared" si="5"/>
        <v>0</v>
      </c>
      <c r="K16" s="1913"/>
      <c r="L16" s="1913"/>
      <c r="M16" s="1139" t="s">
        <v>2322</v>
      </c>
      <c r="N16" s="223"/>
      <c r="O16" s="1138">
        <f t="shared" si="6"/>
        <v>0</v>
      </c>
    </row>
    <row r="17" spans="1:15" s="360" customFormat="1" ht="51">
      <c r="A17" s="356" t="s">
        <v>461</v>
      </c>
      <c r="B17" s="707" t="s">
        <v>3260</v>
      </c>
      <c r="C17" s="633">
        <f t="shared" si="3"/>
        <v>22.029999999999998</v>
      </c>
      <c r="D17" s="916" t="s">
        <v>5</v>
      </c>
      <c r="E17" s="622">
        <f t="shared" si="4"/>
        <v>3877.2799999999997</v>
      </c>
      <c r="F17" s="917">
        <f t="shared" si="2"/>
        <v>85416</v>
      </c>
      <c r="G17" s="358">
        <f>WORK!I96</f>
        <v>22.029999999999998</v>
      </c>
      <c r="H17" s="354" t="s">
        <v>5</v>
      </c>
      <c r="I17" s="355">
        <f>WORK!K96</f>
        <v>3877.2799999999997</v>
      </c>
      <c r="J17" s="353">
        <f t="shared" si="5"/>
        <v>85416.48</v>
      </c>
      <c r="K17" s="1930">
        <f>IF((J17+J18+J19+J20)&gt;(F17+F18+F19+F20),(J17+J18+J19+J20)-(F17+F18+F19+F20),0)</f>
        <v>0.47999999999592546</v>
      </c>
      <c r="L17" s="1930">
        <f>IF((J17+J18+J19+J20)&lt;(F17+F18+F19+F20),(F17+F18+F19+F20)-(J17+J18+J19+J20),0)</f>
        <v>0</v>
      </c>
      <c r="M17" s="1139" t="s">
        <v>2226</v>
      </c>
      <c r="N17" s="223"/>
      <c r="O17" s="1138">
        <f t="shared" si="6"/>
        <v>-0.47999999999592546</v>
      </c>
    </row>
    <row r="18" spans="1:15" s="360" customFormat="1" ht="51" hidden="1">
      <c r="A18" s="356" t="s">
        <v>463</v>
      </c>
      <c r="B18" s="707" t="s">
        <v>3260</v>
      </c>
      <c r="C18" s="633">
        <f t="shared" si="3"/>
        <v>0</v>
      </c>
      <c r="D18" s="354" t="s">
        <v>5</v>
      </c>
      <c r="E18" s="622">
        <f t="shared" si="4"/>
        <v>4067.8399999999997</v>
      </c>
      <c r="F18" s="917">
        <f t="shared" si="2"/>
        <v>0</v>
      </c>
      <c r="G18" s="358">
        <f>WORK!I110</f>
        <v>0</v>
      </c>
      <c r="H18" s="354" t="s">
        <v>5</v>
      </c>
      <c r="I18" s="355">
        <f>WORK!K110</f>
        <v>4067.8399999999997</v>
      </c>
      <c r="J18" s="353">
        <f t="shared" si="5"/>
        <v>0</v>
      </c>
      <c r="K18" s="1912"/>
      <c r="L18" s="1912"/>
      <c r="M18" s="1139" t="s">
        <v>2308</v>
      </c>
      <c r="N18" s="223"/>
      <c r="O18" s="1138">
        <f t="shared" si="6"/>
        <v>0</v>
      </c>
    </row>
    <row r="19" spans="1:15" s="360" customFormat="1" ht="15" hidden="1">
      <c r="A19" s="356" t="s">
        <v>463</v>
      </c>
      <c r="B19" s="707" t="s">
        <v>538</v>
      </c>
      <c r="C19" s="633">
        <f t="shared" si="3"/>
        <v>0</v>
      </c>
      <c r="D19" s="354" t="s">
        <v>5</v>
      </c>
      <c r="E19" s="622">
        <f t="shared" si="4"/>
        <v>4332.55</v>
      </c>
      <c r="F19" s="917">
        <f t="shared" si="2"/>
        <v>0</v>
      </c>
      <c r="G19" s="358">
        <f>WORK!I120</f>
        <v>0</v>
      </c>
      <c r="H19" s="354" t="s">
        <v>5</v>
      </c>
      <c r="I19" s="355">
        <f>WORK!K120</f>
        <v>4332.55</v>
      </c>
      <c r="J19" s="353">
        <f t="shared" si="5"/>
        <v>0</v>
      </c>
      <c r="K19" s="1912"/>
      <c r="L19" s="1912"/>
      <c r="M19" s="708" t="s">
        <v>2321</v>
      </c>
      <c r="N19" s="223"/>
      <c r="O19" s="706">
        <f t="shared" si="6"/>
        <v>0</v>
      </c>
    </row>
    <row r="20" spans="1:15" s="360" customFormat="1" ht="51" hidden="1">
      <c r="A20" s="356" t="s">
        <v>463</v>
      </c>
      <c r="B20" s="707" t="s">
        <v>3260</v>
      </c>
      <c r="C20" s="633">
        <f t="shared" si="3"/>
        <v>0</v>
      </c>
      <c r="D20" s="354" t="s">
        <v>5</v>
      </c>
      <c r="E20" s="622">
        <f t="shared" si="4"/>
        <v>4583.3100000000004</v>
      </c>
      <c r="F20" s="917">
        <f t="shared" si="2"/>
        <v>0</v>
      </c>
      <c r="G20" s="358">
        <f>WORK!I128</f>
        <v>0</v>
      </c>
      <c r="H20" s="354" t="s">
        <v>5</v>
      </c>
      <c r="I20" s="355">
        <f>WORK!K128</f>
        <v>4583.3100000000004</v>
      </c>
      <c r="J20" s="353">
        <f t="shared" si="5"/>
        <v>0</v>
      </c>
      <c r="K20" s="1913"/>
      <c r="L20" s="1913"/>
      <c r="M20" s="1139" t="s">
        <v>2322</v>
      </c>
      <c r="N20" s="223"/>
      <c r="O20" s="1138">
        <f t="shared" si="6"/>
        <v>0</v>
      </c>
    </row>
    <row r="21" spans="1:15" s="360" customFormat="1" ht="15" hidden="1">
      <c r="A21" s="356" t="s">
        <v>463</v>
      </c>
      <c r="B21" s="707" t="s">
        <v>539</v>
      </c>
      <c r="C21" s="633">
        <f t="shared" si="3"/>
        <v>0</v>
      </c>
      <c r="D21" s="354"/>
      <c r="E21" s="622">
        <f t="shared" si="4"/>
        <v>3725</v>
      </c>
      <c r="F21" s="917">
        <f t="shared" si="2"/>
        <v>0</v>
      </c>
      <c r="G21" s="358">
        <f>WORK!I137</f>
        <v>0</v>
      </c>
      <c r="H21" s="354" t="s">
        <v>5</v>
      </c>
      <c r="I21" s="355">
        <f>WORK!K137</f>
        <v>3725</v>
      </c>
      <c r="J21" s="353">
        <f t="shared" si="5"/>
        <v>0</v>
      </c>
      <c r="K21" s="1911">
        <f>IF((J21+J22+J23+J24)&gt;(F21+F22+F23+F24),(J21+J22+J23+J24)-(F21+F22+F23+F24),0)</f>
        <v>0</v>
      </c>
      <c r="L21" s="1911">
        <f>IF((J21+J22+J23+J24)&lt;(F21+F22+F23+F24),(F21+F22+F23+F24)-(J21+J22+J23+J24),0)</f>
        <v>0</v>
      </c>
      <c r="M21" s="708" t="s">
        <v>2226</v>
      </c>
      <c r="N21" s="223"/>
      <c r="O21" s="706">
        <f t="shared" si="6"/>
        <v>0</v>
      </c>
    </row>
    <row r="22" spans="1:15" s="360" customFormat="1" ht="15" hidden="1">
      <c r="A22" s="356" t="s">
        <v>463</v>
      </c>
      <c r="B22" s="707" t="s">
        <v>539</v>
      </c>
      <c r="C22" s="633">
        <f t="shared" si="3"/>
        <v>0</v>
      </c>
      <c r="D22" s="354"/>
      <c r="E22" s="622">
        <f t="shared" si="4"/>
        <v>3915.56</v>
      </c>
      <c r="F22" s="917">
        <f t="shared" si="2"/>
        <v>0</v>
      </c>
      <c r="G22" s="358">
        <f>WORK!I146</f>
        <v>0</v>
      </c>
      <c r="H22" s="354" t="s">
        <v>5</v>
      </c>
      <c r="I22" s="355">
        <f>WORK!K146</f>
        <v>3915.56</v>
      </c>
      <c r="J22" s="353">
        <f t="shared" si="5"/>
        <v>0</v>
      </c>
      <c r="K22" s="1912"/>
      <c r="L22" s="1912"/>
      <c r="M22" s="708" t="s">
        <v>2308</v>
      </c>
      <c r="N22" s="223"/>
      <c r="O22" s="706">
        <f t="shared" si="6"/>
        <v>0</v>
      </c>
    </row>
    <row r="23" spans="1:15" s="360" customFormat="1" ht="15" hidden="1">
      <c r="A23" s="356" t="s">
        <v>463</v>
      </c>
      <c r="B23" s="707" t="s">
        <v>539</v>
      </c>
      <c r="C23" s="633">
        <f t="shared" si="3"/>
        <v>0</v>
      </c>
      <c r="D23" s="354"/>
      <c r="E23" s="622">
        <f t="shared" si="4"/>
        <v>4180.2700000000004</v>
      </c>
      <c r="F23" s="917">
        <f t="shared" si="2"/>
        <v>0</v>
      </c>
      <c r="G23" s="358">
        <f>WORK!I155</f>
        <v>0</v>
      </c>
      <c r="H23" s="354" t="s">
        <v>5</v>
      </c>
      <c r="I23" s="355">
        <f>WORK!K155</f>
        <v>4180.2700000000004</v>
      </c>
      <c r="J23" s="353">
        <f t="shared" si="5"/>
        <v>0</v>
      </c>
      <c r="K23" s="1912"/>
      <c r="L23" s="1912"/>
      <c r="M23" s="708" t="s">
        <v>2321</v>
      </c>
      <c r="N23" s="223"/>
      <c r="O23" s="706">
        <f t="shared" si="6"/>
        <v>0</v>
      </c>
    </row>
    <row r="24" spans="1:15" s="360" customFormat="1" ht="15" hidden="1">
      <c r="A24" s="356" t="s">
        <v>463</v>
      </c>
      <c r="B24" s="707" t="s">
        <v>539</v>
      </c>
      <c r="C24" s="633">
        <f t="shared" si="3"/>
        <v>0</v>
      </c>
      <c r="D24" s="354"/>
      <c r="E24" s="622">
        <f t="shared" si="4"/>
        <v>4431.03</v>
      </c>
      <c r="F24" s="917">
        <f t="shared" si="2"/>
        <v>0</v>
      </c>
      <c r="G24" s="358">
        <f>WORK!I164</f>
        <v>0</v>
      </c>
      <c r="H24" s="354" t="s">
        <v>5</v>
      </c>
      <c r="I24" s="355">
        <f>WORK!K164</f>
        <v>4431.03</v>
      </c>
      <c r="J24" s="353">
        <f t="shared" si="5"/>
        <v>0</v>
      </c>
      <c r="K24" s="1913"/>
      <c r="L24" s="1913"/>
      <c r="M24" s="708" t="s">
        <v>2322</v>
      </c>
      <c r="N24" s="223"/>
      <c r="O24" s="706">
        <f t="shared" si="6"/>
        <v>0</v>
      </c>
    </row>
    <row r="25" spans="1:15" s="360" customFormat="1" ht="63.75">
      <c r="A25" s="356" t="s">
        <v>462</v>
      </c>
      <c r="B25" s="707" t="s">
        <v>3261</v>
      </c>
      <c r="C25" s="633">
        <f t="shared" si="3"/>
        <v>13.280000000000001</v>
      </c>
      <c r="D25" s="354" t="s">
        <v>5</v>
      </c>
      <c r="E25" s="622">
        <f t="shared" si="4"/>
        <v>183</v>
      </c>
      <c r="F25" s="917">
        <f t="shared" si="2"/>
        <v>2430</v>
      </c>
      <c r="G25" s="358">
        <f>WORK!I170</f>
        <v>13.280000000000001</v>
      </c>
      <c r="H25" s="354" t="s">
        <v>5</v>
      </c>
      <c r="I25" s="355">
        <f>WORK!K170</f>
        <v>183</v>
      </c>
      <c r="J25" s="353">
        <f t="shared" si="5"/>
        <v>2430.2399999999998</v>
      </c>
      <c r="K25" s="1930">
        <f>IF((J25+J26+J27+J28)&gt;(F25+F26+F27+F28),(J25+J26+J27+J28)-(F25+F26+F27+F28),0)</f>
        <v>0.23999999999978172</v>
      </c>
      <c r="L25" s="1930">
        <f>IF((J25+J26+J27+J28)&lt;(F25+F26+F27+F28),(F25+F26+F27+F28)-(J25+J26+J27+J28),0)</f>
        <v>0</v>
      </c>
      <c r="M25" s="1139" t="s">
        <v>2226</v>
      </c>
      <c r="N25" s="223"/>
      <c r="O25" s="1138">
        <f t="shared" si="6"/>
        <v>-0.23999999999978172</v>
      </c>
    </row>
    <row r="26" spans="1:15" s="360" customFormat="1" ht="15" hidden="1">
      <c r="A26" s="356" t="s">
        <v>465</v>
      </c>
      <c r="B26" s="707" t="s">
        <v>1219</v>
      </c>
      <c r="C26" s="633">
        <f t="shared" si="3"/>
        <v>0</v>
      </c>
      <c r="D26" s="354" t="s">
        <v>5</v>
      </c>
      <c r="E26" s="622">
        <f t="shared" si="4"/>
        <v>205.87</v>
      </c>
      <c r="F26" s="917">
        <f t="shared" si="2"/>
        <v>0</v>
      </c>
      <c r="G26" s="358">
        <f>WORK!I176</f>
        <v>0</v>
      </c>
      <c r="H26" s="354" t="s">
        <v>5</v>
      </c>
      <c r="I26" s="355">
        <f>WORK!K176</f>
        <v>205.87</v>
      </c>
      <c r="J26" s="353">
        <f t="shared" si="5"/>
        <v>0</v>
      </c>
      <c r="K26" s="1912"/>
      <c r="L26" s="1912"/>
      <c r="M26" s="708" t="s">
        <v>2308</v>
      </c>
      <c r="N26" s="223"/>
      <c r="O26" s="706">
        <f t="shared" si="6"/>
        <v>0</v>
      </c>
    </row>
    <row r="27" spans="1:15" s="360" customFormat="1" ht="15" hidden="1">
      <c r="A27" s="356" t="s">
        <v>464</v>
      </c>
      <c r="B27" s="707" t="s">
        <v>1219</v>
      </c>
      <c r="C27" s="633">
        <f t="shared" si="3"/>
        <v>0</v>
      </c>
      <c r="D27" s="354"/>
      <c r="E27" s="622">
        <f t="shared" si="4"/>
        <v>199.97</v>
      </c>
      <c r="F27" s="917">
        <f t="shared" si="2"/>
        <v>0</v>
      </c>
      <c r="G27" s="358">
        <f>WORK!I182</f>
        <v>0</v>
      </c>
      <c r="H27" s="354" t="s">
        <v>5</v>
      </c>
      <c r="I27" s="355">
        <f>WORK!K182</f>
        <v>199.97</v>
      </c>
      <c r="J27" s="353">
        <f t="shared" si="5"/>
        <v>0</v>
      </c>
      <c r="K27" s="1912"/>
      <c r="L27" s="1912"/>
      <c r="M27" s="708" t="s">
        <v>2321</v>
      </c>
      <c r="N27" s="223"/>
      <c r="O27" s="706">
        <f t="shared" si="6"/>
        <v>0</v>
      </c>
    </row>
    <row r="28" spans="1:15" s="360" customFormat="1" ht="15" hidden="1">
      <c r="A28" s="356" t="s">
        <v>462</v>
      </c>
      <c r="B28" s="707" t="s">
        <v>1219</v>
      </c>
      <c r="C28" s="633">
        <f t="shared" si="3"/>
        <v>0</v>
      </c>
      <c r="D28" s="354"/>
      <c r="E28" s="622">
        <f t="shared" si="4"/>
        <v>216.13</v>
      </c>
      <c r="F28" s="917">
        <f t="shared" si="2"/>
        <v>0</v>
      </c>
      <c r="G28" s="358">
        <f>WORK!I188</f>
        <v>0</v>
      </c>
      <c r="H28" s="354" t="s">
        <v>5</v>
      </c>
      <c r="I28" s="355">
        <f>WORK!K188</f>
        <v>216.13</v>
      </c>
      <c r="J28" s="353">
        <f t="shared" si="5"/>
        <v>0</v>
      </c>
      <c r="K28" s="1913"/>
      <c r="L28" s="1913"/>
      <c r="M28" s="708" t="s">
        <v>2322</v>
      </c>
      <c r="N28" s="223"/>
      <c r="O28" s="706">
        <f t="shared" si="6"/>
        <v>0</v>
      </c>
    </row>
    <row r="29" spans="1:15" s="360" customFormat="1" ht="15" hidden="1">
      <c r="A29" s="356" t="s">
        <v>464</v>
      </c>
      <c r="B29" s="707" t="s">
        <v>716</v>
      </c>
      <c r="C29" s="633">
        <f t="shared" si="3"/>
        <v>0</v>
      </c>
      <c r="D29" s="354"/>
      <c r="E29" s="622">
        <f t="shared" si="4"/>
        <v>210</v>
      </c>
      <c r="F29" s="917">
        <f t="shared" si="2"/>
        <v>0</v>
      </c>
      <c r="G29" s="358">
        <f>WORK!I194</f>
        <v>0</v>
      </c>
      <c r="H29" s="354" t="s">
        <v>5</v>
      </c>
      <c r="I29" s="355">
        <f>WORK!K194</f>
        <v>210</v>
      </c>
      <c r="J29" s="353">
        <f t="shared" si="5"/>
        <v>0</v>
      </c>
      <c r="K29" s="1911">
        <f>IF((J29+J30+J31+J32)&gt;(F29+F30+F31+F32),(J29+J30+J31+J32)-(F29+F30+F31+F32),0)</f>
        <v>0</v>
      </c>
      <c r="L29" s="1911">
        <f>IF((J29+J30+J31+J32)&lt;(F29+F30+F31+F32),(F29+F30+F31+F32)-(J29+F30+J31+J32),0)</f>
        <v>0</v>
      </c>
      <c r="M29" s="708" t="s">
        <v>2226</v>
      </c>
      <c r="N29" s="223"/>
      <c r="O29" s="706">
        <f t="shared" si="6"/>
        <v>0</v>
      </c>
    </row>
    <row r="30" spans="1:15" s="360" customFormat="1" ht="15" hidden="1">
      <c r="A30" s="356" t="s">
        <v>464</v>
      </c>
      <c r="B30" s="707" t="s">
        <v>716</v>
      </c>
      <c r="C30" s="633">
        <f t="shared" si="3"/>
        <v>0</v>
      </c>
      <c r="D30" s="354"/>
      <c r="E30" s="622">
        <f t="shared" si="4"/>
        <v>247.07</v>
      </c>
      <c r="F30" s="917">
        <f t="shared" si="2"/>
        <v>0</v>
      </c>
      <c r="G30" s="358">
        <f>WORK!I200</f>
        <v>0</v>
      </c>
      <c r="H30" s="354" t="s">
        <v>5</v>
      </c>
      <c r="I30" s="355">
        <f>WORK!K200</f>
        <v>247.07</v>
      </c>
      <c r="J30" s="353">
        <f t="shared" si="5"/>
        <v>0</v>
      </c>
      <c r="K30" s="1912"/>
      <c r="L30" s="1912"/>
      <c r="M30" s="708" t="s">
        <v>2308</v>
      </c>
      <c r="N30" s="223"/>
      <c r="O30" s="706">
        <f t="shared" si="6"/>
        <v>0</v>
      </c>
    </row>
    <row r="31" spans="1:15" s="360" customFormat="1" ht="15" hidden="1">
      <c r="A31" s="356" t="s">
        <v>464</v>
      </c>
      <c r="B31" s="707" t="s">
        <v>716</v>
      </c>
      <c r="C31" s="633">
        <f t="shared" si="3"/>
        <v>0</v>
      </c>
      <c r="D31" s="354"/>
      <c r="E31" s="622">
        <f t="shared" si="4"/>
        <v>266.72000000000003</v>
      </c>
      <c r="F31" s="917">
        <f t="shared" si="2"/>
        <v>0</v>
      </c>
      <c r="G31" s="358">
        <f>WORK!I206</f>
        <v>0</v>
      </c>
      <c r="H31" s="354" t="s">
        <v>5</v>
      </c>
      <c r="I31" s="355">
        <f>WORK!K206</f>
        <v>266.72000000000003</v>
      </c>
      <c r="J31" s="353">
        <f t="shared" si="5"/>
        <v>0</v>
      </c>
      <c r="K31" s="1912"/>
      <c r="L31" s="1912"/>
      <c r="M31" s="708" t="s">
        <v>2321</v>
      </c>
      <c r="N31" s="223"/>
      <c r="O31" s="706">
        <f t="shared" si="6"/>
        <v>0</v>
      </c>
    </row>
    <row r="32" spans="1:15" s="360" customFormat="1" ht="15" hidden="1">
      <c r="A32" s="356" t="s">
        <v>464</v>
      </c>
      <c r="B32" s="707" t="s">
        <v>716</v>
      </c>
      <c r="C32" s="633">
        <f t="shared" si="3"/>
        <v>0</v>
      </c>
      <c r="D32" s="354"/>
      <c r="E32" s="622">
        <f t="shared" si="4"/>
        <v>272.13</v>
      </c>
      <c r="F32" s="917">
        <f t="shared" si="2"/>
        <v>0</v>
      </c>
      <c r="G32" s="358">
        <f>WORK!I212</f>
        <v>0</v>
      </c>
      <c r="H32" s="354" t="s">
        <v>5</v>
      </c>
      <c r="I32" s="355">
        <f>WORK!K212</f>
        <v>272.13</v>
      </c>
      <c r="J32" s="353">
        <f t="shared" si="5"/>
        <v>0</v>
      </c>
      <c r="K32" s="1913"/>
      <c r="L32" s="1913"/>
      <c r="M32" s="708" t="s">
        <v>2322</v>
      </c>
      <c r="N32" s="223"/>
      <c r="O32" s="706">
        <f t="shared" si="6"/>
        <v>0</v>
      </c>
    </row>
    <row r="33" spans="1:15" s="360" customFormat="1" ht="76.5">
      <c r="A33" s="356" t="s">
        <v>463</v>
      </c>
      <c r="B33" s="707" t="s">
        <v>3262</v>
      </c>
      <c r="C33" s="633">
        <f t="shared" si="3"/>
        <v>99.320000000000007</v>
      </c>
      <c r="D33" s="916" t="s">
        <v>5</v>
      </c>
      <c r="E33" s="622">
        <f t="shared" si="4"/>
        <v>1271.5</v>
      </c>
      <c r="F33" s="917">
        <f t="shared" si="2"/>
        <v>126285</v>
      </c>
      <c r="G33" s="358">
        <f>WORK!I223</f>
        <v>99.320000000000007</v>
      </c>
      <c r="H33" s="354" t="s">
        <v>5</v>
      </c>
      <c r="I33" s="355">
        <f>WORK!K223</f>
        <v>1271.5</v>
      </c>
      <c r="J33" s="353">
        <f t="shared" si="5"/>
        <v>126285.38</v>
      </c>
      <c r="K33" s="1930">
        <f>IF((J33+J34+J35+J36)&gt;(F33+F34+F35+F36),(J33+J34+J35+J36)-(F33+F34+F35+F36),0)</f>
        <v>0.38000000000465661</v>
      </c>
      <c r="L33" s="1930">
        <f>IF((J33+J34+J35+J36)&lt;(F33+F34+F35+F36),(F33+F34+F35+F36)-(J33+J34+J35+J36),0)</f>
        <v>0</v>
      </c>
      <c r="M33" s="1139" t="s">
        <v>2226</v>
      </c>
      <c r="N33" s="223"/>
      <c r="O33" s="1138">
        <f t="shared" si="6"/>
        <v>-0.38000000000465661</v>
      </c>
    </row>
    <row r="34" spans="1:15" s="360" customFormat="1" ht="38.25" hidden="1">
      <c r="A34" s="356" t="s">
        <v>462</v>
      </c>
      <c r="B34" s="707" t="s">
        <v>3400</v>
      </c>
      <c r="C34" s="633">
        <f t="shared" si="3"/>
        <v>0</v>
      </c>
      <c r="D34" s="354" t="s">
        <v>5</v>
      </c>
      <c r="E34" s="622">
        <f t="shared" si="4"/>
        <v>1340.37</v>
      </c>
      <c r="F34" s="917">
        <f t="shared" si="2"/>
        <v>0</v>
      </c>
      <c r="G34" s="358">
        <f>WORK!I236</f>
        <v>0</v>
      </c>
      <c r="H34" s="354" t="s">
        <v>5</v>
      </c>
      <c r="I34" s="355">
        <f>WORK!K236</f>
        <v>1340.37</v>
      </c>
      <c r="J34" s="353">
        <f t="shared" si="5"/>
        <v>0</v>
      </c>
      <c r="K34" s="1912"/>
      <c r="L34" s="1912"/>
      <c r="M34" s="1139" t="s">
        <v>2308</v>
      </c>
      <c r="N34" s="223"/>
      <c r="O34" s="1138">
        <f t="shared" si="6"/>
        <v>0</v>
      </c>
    </row>
    <row r="35" spans="1:15" s="360" customFormat="1" ht="15" hidden="1">
      <c r="A35" s="356" t="s">
        <v>466</v>
      </c>
      <c r="B35" s="707" t="s">
        <v>704</v>
      </c>
      <c r="C35" s="633">
        <f t="shared" si="3"/>
        <v>0</v>
      </c>
      <c r="D35" s="354"/>
      <c r="E35" s="622">
        <f t="shared" si="4"/>
        <v>1528.72</v>
      </c>
      <c r="F35" s="917">
        <f t="shared" si="2"/>
        <v>0</v>
      </c>
      <c r="G35" s="358">
        <f>WORK!I242</f>
        <v>0</v>
      </c>
      <c r="H35" s="354" t="s">
        <v>5</v>
      </c>
      <c r="I35" s="355">
        <f>WORK!K242</f>
        <v>1528.72</v>
      </c>
      <c r="J35" s="353">
        <f t="shared" si="5"/>
        <v>0</v>
      </c>
      <c r="K35" s="1912"/>
      <c r="L35" s="1912"/>
      <c r="M35" s="708" t="s">
        <v>2321</v>
      </c>
      <c r="N35" s="223"/>
      <c r="O35" s="706">
        <f t="shared" si="6"/>
        <v>0</v>
      </c>
    </row>
    <row r="36" spans="1:15" s="360" customFormat="1" ht="15" hidden="1">
      <c r="A36" s="356" t="s">
        <v>466</v>
      </c>
      <c r="B36" s="707" t="s">
        <v>704</v>
      </c>
      <c r="C36" s="633">
        <f t="shared" si="3"/>
        <v>0</v>
      </c>
      <c r="D36" s="354"/>
      <c r="E36" s="622">
        <f t="shared" si="4"/>
        <v>1603.13</v>
      </c>
      <c r="F36" s="917">
        <f t="shared" si="2"/>
        <v>0</v>
      </c>
      <c r="G36" s="358">
        <f>WORK!I248</f>
        <v>0</v>
      </c>
      <c r="H36" s="354" t="s">
        <v>5</v>
      </c>
      <c r="I36" s="355">
        <f>WORK!K248</f>
        <v>1603.13</v>
      </c>
      <c r="J36" s="353">
        <f t="shared" si="5"/>
        <v>0</v>
      </c>
      <c r="K36" s="1913"/>
      <c r="L36" s="1913"/>
      <c r="M36" s="708" t="s">
        <v>2322</v>
      </c>
      <c r="N36" s="223"/>
      <c r="O36" s="706">
        <f t="shared" si="6"/>
        <v>0</v>
      </c>
    </row>
    <row r="37" spans="1:15" s="360" customFormat="1" ht="15" hidden="1">
      <c r="A37" s="356" t="s">
        <v>464</v>
      </c>
      <c r="B37" s="707" t="s">
        <v>3263</v>
      </c>
      <c r="C37" s="633">
        <f t="shared" si="3"/>
        <v>0</v>
      </c>
      <c r="D37" s="916" t="s">
        <v>5</v>
      </c>
      <c r="E37" s="622">
        <f t="shared" si="4"/>
        <v>0</v>
      </c>
      <c r="F37" s="917">
        <f t="shared" si="2"/>
        <v>0</v>
      </c>
      <c r="G37" s="358"/>
      <c r="H37" s="354"/>
      <c r="I37" s="355"/>
      <c r="J37" s="353">
        <f t="shared" si="5"/>
        <v>0</v>
      </c>
      <c r="K37" s="743">
        <f t="shared" ref="K37" si="7">IF(J37&gt;F37,J37-F37,0)</f>
        <v>0</v>
      </c>
      <c r="L37" s="368">
        <f t="shared" ref="L37" si="8">IF(J37&lt;F37,F37-J37,0)</f>
        <v>0</v>
      </c>
      <c r="M37" s="708" t="s">
        <v>2226</v>
      </c>
      <c r="N37" s="223"/>
      <c r="O37" s="706">
        <f t="shared" si="6"/>
        <v>0</v>
      </c>
    </row>
    <row r="38" spans="1:15" s="360" customFormat="1" ht="38.25">
      <c r="A38" s="356" t="s">
        <v>464</v>
      </c>
      <c r="B38" s="707" t="s">
        <v>3264</v>
      </c>
      <c r="C38" s="633">
        <f t="shared" si="3"/>
        <v>50.43</v>
      </c>
      <c r="D38" s="916" t="s">
        <v>5</v>
      </c>
      <c r="E38" s="622">
        <f t="shared" si="4"/>
        <v>228</v>
      </c>
      <c r="F38" s="917">
        <f t="shared" si="2"/>
        <v>11498</v>
      </c>
      <c r="G38" s="358">
        <f>WORK!I261</f>
        <v>50.43</v>
      </c>
      <c r="H38" s="354" t="s">
        <v>5</v>
      </c>
      <c r="I38" s="355">
        <f>WORK!K261</f>
        <v>228</v>
      </c>
      <c r="J38" s="353">
        <f t="shared" si="5"/>
        <v>11498.04</v>
      </c>
      <c r="K38" s="1930">
        <f>IF((J38+J39+J40+J41)&gt;(F38+F39+F40+F41),(J38+J39+J40+J41)-(F38+F39+F40+F41),0)</f>
        <v>4.0000000000873115E-2</v>
      </c>
      <c r="L38" s="1930">
        <f>IF((J38+J39+J40+J41)&lt;(F38+F39+F40+F41),(F38+F39+F40+F41)-(J38+J39+J40+J41),0)</f>
        <v>0</v>
      </c>
      <c r="M38" s="1139" t="s">
        <v>2226</v>
      </c>
      <c r="N38" s="223"/>
      <c r="O38" s="1138">
        <f t="shared" si="6"/>
        <v>-4.0000000000873115E-2</v>
      </c>
    </row>
    <row r="39" spans="1:15" s="360" customFormat="1" ht="38.25" hidden="1">
      <c r="A39" s="356" t="s">
        <v>468</v>
      </c>
      <c r="B39" s="707" t="s">
        <v>3264</v>
      </c>
      <c r="C39" s="633">
        <f t="shared" si="3"/>
        <v>0</v>
      </c>
      <c r="D39" s="354" t="s">
        <v>5</v>
      </c>
      <c r="E39" s="622">
        <f t="shared" si="4"/>
        <v>249.16</v>
      </c>
      <c r="F39" s="917">
        <f t="shared" si="2"/>
        <v>0</v>
      </c>
      <c r="G39" s="358">
        <f>WORK!I269</f>
        <v>0</v>
      </c>
      <c r="H39" s="354" t="s">
        <v>5</v>
      </c>
      <c r="I39" s="355">
        <f>WORK!K269</f>
        <v>249.16</v>
      </c>
      <c r="J39" s="353">
        <f t="shared" si="5"/>
        <v>0</v>
      </c>
      <c r="K39" s="1912"/>
      <c r="L39" s="1912"/>
      <c r="M39" s="1139" t="s">
        <v>2308</v>
      </c>
      <c r="N39" s="223"/>
      <c r="O39" s="1138">
        <f t="shared" si="6"/>
        <v>0</v>
      </c>
    </row>
    <row r="40" spans="1:15" s="360" customFormat="1" ht="15" hidden="1">
      <c r="A40" s="356" t="s">
        <v>326</v>
      </c>
      <c r="B40" s="707" t="s">
        <v>540</v>
      </c>
      <c r="C40" s="633">
        <f t="shared" si="3"/>
        <v>0</v>
      </c>
      <c r="D40" s="354"/>
      <c r="E40" s="622">
        <f t="shared" si="4"/>
        <v>265.36</v>
      </c>
      <c r="F40" s="917">
        <f t="shared" si="2"/>
        <v>0</v>
      </c>
      <c r="G40" s="358">
        <f>WORK!I276</f>
        <v>0</v>
      </c>
      <c r="H40" s="354" t="s">
        <v>5</v>
      </c>
      <c r="I40" s="355">
        <f>WORK!K276</f>
        <v>265.36</v>
      </c>
      <c r="J40" s="353">
        <f t="shared" si="5"/>
        <v>0</v>
      </c>
      <c r="K40" s="1912"/>
      <c r="L40" s="1912"/>
      <c r="M40" s="708" t="s">
        <v>2321</v>
      </c>
      <c r="N40" s="223"/>
      <c r="O40" s="706">
        <f t="shared" si="6"/>
        <v>0</v>
      </c>
    </row>
    <row r="41" spans="1:15" s="360" customFormat="1" ht="15" hidden="1">
      <c r="A41" s="356" t="s">
        <v>326</v>
      </c>
      <c r="B41" s="707" t="s">
        <v>540</v>
      </c>
      <c r="C41" s="633">
        <f t="shared" si="3"/>
        <v>0</v>
      </c>
      <c r="D41" s="354"/>
      <c r="E41" s="622">
        <f t="shared" si="4"/>
        <v>284.39999999999998</v>
      </c>
      <c r="F41" s="917">
        <f t="shared" si="2"/>
        <v>0</v>
      </c>
      <c r="G41" s="358">
        <f>WORK!I283</f>
        <v>0</v>
      </c>
      <c r="H41" s="354" t="s">
        <v>5</v>
      </c>
      <c r="I41" s="355">
        <f>WORK!K283</f>
        <v>284.39999999999998</v>
      </c>
      <c r="J41" s="353">
        <f t="shared" si="5"/>
        <v>0</v>
      </c>
      <c r="K41" s="1913"/>
      <c r="L41" s="1913"/>
      <c r="M41" s="708" t="s">
        <v>2322</v>
      </c>
      <c r="N41" s="223"/>
      <c r="O41" s="706">
        <f t="shared" si="6"/>
        <v>0</v>
      </c>
    </row>
    <row r="42" spans="1:15" s="360" customFormat="1" ht="51">
      <c r="A42" s="356" t="s">
        <v>465</v>
      </c>
      <c r="B42" s="707" t="s">
        <v>3265</v>
      </c>
      <c r="C42" s="633">
        <f t="shared" si="3"/>
        <v>11.870000000000001</v>
      </c>
      <c r="D42" s="916" t="s">
        <v>5</v>
      </c>
      <c r="E42" s="622">
        <f t="shared" si="4"/>
        <v>6979.88</v>
      </c>
      <c r="F42" s="917">
        <f t="shared" si="2"/>
        <v>82851</v>
      </c>
      <c r="G42" s="358">
        <f>WORK!I291</f>
        <v>11.870000000000001</v>
      </c>
      <c r="H42" s="354" t="s">
        <v>5</v>
      </c>
      <c r="I42" s="355">
        <f>WORK!K291</f>
        <v>6979.88</v>
      </c>
      <c r="J42" s="353">
        <f t="shared" si="5"/>
        <v>82851.179999999993</v>
      </c>
      <c r="K42" s="1930">
        <f>IF((J42+J43+J44+J45)&gt;(F42+F43+F44+F45),(J42+J43+J44+J45)-(F42+F43+F44+F45),0)</f>
        <v>0.17999999999301508</v>
      </c>
      <c r="L42" s="1930">
        <f>IF((J42+J43+J44+J45)&lt;(F42+F43+F44+F45),(F42+F43+F44+F45)-(J42+J43+J44+J45),0)</f>
        <v>0</v>
      </c>
      <c r="M42" s="1139" t="s">
        <v>2226</v>
      </c>
      <c r="N42" s="223"/>
      <c r="O42" s="1138">
        <f t="shared" si="6"/>
        <v>-0.17999999999301508</v>
      </c>
    </row>
    <row r="43" spans="1:15" s="360" customFormat="1" ht="51" hidden="1">
      <c r="A43" s="356" t="s">
        <v>469</v>
      </c>
      <c r="B43" s="707" t="s">
        <v>3265</v>
      </c>
      <c r="C43" s="633">
        <f t="shared" si="3"/>
        <v>0</v>
      </c>
      <c r="D43" s="354" t="s">
        <v>5</v>
      </c>
      <c r="E43" s="622">
        <f t="shared" si="4"/>
        <v>7288.23</v>
      </c>
      <c r="F43" s="917">
        <f t="shared" si="2"/>
        <v>0</v>
      </c>
      <c r="G43" s="358">
        <f>WORK!I296</f>
        <v>0</v>
      </c>
      <c r="H43" s="354" t="s">
        <v>5</v>
      </c>
      <c r="I43" s="355">
        <f>WORK!K296</f>
        <v>7288.23</v>
      </c>
      <c r="J43" s="353">
        <f t="shared" si="5"/>
        <v>0</v>
      </c>
      <c r="K43" s="1912"/>
      <c r="L43" s="1912"/>
      <c r="M43" s="1139" t="s">
        <v>2308</v>
      </c>
      <c r="N43" s="223"/>
      <c r="O43" s="1138">
        <f t="shared" si="6"/>
        <v>0</v>
      </c>
    </row>
    <row r="44" spans="1:15" s="360" customFormat="1" ht="15" hidden="1">
      <c r="A44" s="356" t="s">
        <v>465</v>
      </c>
      <c r="B44" s="707" t="s">
        <v>2463</v>
      </c>
      <c r="C44" s="633">
        <f t="shared" si="3"/>
        <v>0</v>
      </c>
      <c r="D44" s="354"/>
      <c r="E44" s="622">
        <f t="shared" si="4"/>
        <v>7685.43</v>
      </c>
      <c r="F44" s="917">
        <f t="shared" si="2"/>
        <v>0</v>
      </c>
      <c r="G44" s="358">
        <f>WORK!I301</f>
        <v>0</v>
      </c>
      <c r="H44" s="354" t="s">
        <v>5</v>
      </c>
      <c r="I44" s="355">
        <f>WORK!K301</f>
        <v>7685.43</v>
      </c>
      <c r="J44" s="353">
        <f t="shared" si="5"/>
        <v>0</v>
      </c>
      <c r="K44" s="1912"/>
      <c r="L44" s="1912"/>
      <c r="M44" s="708" t="s">
        <v>2321</v>
      </c>
      <c r="N44" s="223"/>
      <c r="O44" s="706">
        <f t="shared" si="6"/>
        <v>0</v>
      </c>
    </row>
    <row r="45" spans="1:15" s="360" customFormat="1" ht="15" hidden="1">
      <c r="A45" s="356" t="s">
        <v>465</v>
      </c>
      <c r="B45" s="707" t="s">
        <v>2463</v>
      </c>
      <c r="C45" s="633">
        <f t="shared" si="3"/>
        <v>0</v>
      </c>
      <c r="D45" s="354"/>
      <c r="E45" s="622">
        <f t="shared" si="4"/>
        <v>8062.18</v>
      </c>
      <c r="F45" s="917">
        <f t="shared" si="2"/>
        <v>0</v>
      </c>
      <c r="G45" s="358">
        <f>WORK!I306</f>
        <v>0</v>
      </c>
      <c r="H45" s="354" t="s">
        <v>5</v>
      </c>
      <c r="I45" s="355">
        <f>WORK!K306</f>
        <v>8062.18</v>
      </c>
      <c r="J45" s="353">
        <f t="shared" si="5"/>
        <v>0</v>
      </c>
      <c r="K45" s="1913"/>
      <c r="L45" s="1913"/>
      <c r="M45" s="708" t="s">
        <v>2322</v>
      </c>
      <c r="N45" s="223"/>
      <c r="O45" s="706">
        <f t="shared" si="6"/>
        <v>0</v>
      </c>
    </row>
    <row r="46" spans="1:15" s="360" customFormat="1" ht="51">
      <c r="A46" s="356" t="s">
        <v>466</v>
      </c>
      <c r="B46" s="707" t="s">
        <v>3266</v>
      </c>
      <c r="C46" s="633">
        <f t="shared" si="3"/>
        <v>1.28</v>
      </c>
      <c r="D46" s="916" t="s">
        <v>5</v>
      </c>
      <c r="E46" s="622">
        <f t="shared" si="4"/>
        <v>7392.88</v>
      </c>
      <c r="F46" s="917">
        <f t="shared" si="2"/>
        <v>9463</v>
      </c>
      <c r="G46" s="358">
        <f>WORK!I311</f>
        <v>1.28</v>
      </c>
      <c r="H46" s="354" t="s">
        <v>5</v>
      </c>
      <c r="I46" s="355">
        <f>WORK!K311</f>
        <v>7392.88</v>
      </c>
      <c r="J46" s="353">
        <f t="shared" si="5"/>
        <v>9462.89</v>
      </c>
      <c r="K46" s="1930">
        <f>IF((J46+J47+J48+J49)&gt;(F46+F47+F48+F49),(J46+J47+J48+J49)-(F46+F47+F48+F49),0)</f>
        <v>0</v>
      </c>
      <c r="L46" s="1930">
        <f>IF((J46+J47+J48+J49)&lt;(F46+F47+F48+F49),(F46+F47+F48+F49)-(J46+J47+J48+J49),0)</f>
        <v>0.11000000000058208</v>
      </c>
      <c r="M46" s="1139" t="s">
        <v>2226</v>
      </c>
      <c r="N46" s="223"/>
      <c r="O46" s="1138">
        <f t="shared" si="6"/>
        <v>0.11000000000058208</v>
      </c>
    </row>
    <row r="47" spans="1:15" s="360" customFormat="1" ht="51" hidden="1">
      <c r="A47" s="356" t="s">
        <v>465</v>
      </c>
      <c r="B47" s="707" t="s">
        <v>3266</v>
      </c>
      <c r="C47" s="633">
        <f t="shared" si="3"/>
        <v>0</v>
      </c>
      <c r="D47" s="354" t="s">
        <v>5</v>
      </c>
      <c r="E47" s="622">
        <f t="shared" si="4"/>
        <v>7701.23</v>
      </c>
      <c r="F47" s="917">
        <f t="shared" si="2"/>
        <v>0</v>
      </c>
      <c r="G47" s="358">
        <f>WORK!I316</f>
        <v>0</v>
      </c>
      <c r="H47" s="354" t="s">
        <v>5</v>
      </c>
      <c r="I47" s="355">
        <f>WORK!K316</f>
        <v>7701.23</v>
      </c>
      <c r="J47" s="353">
        <f t="shared" si="5"/>
        <v>0</v>
      </c>
      <c r="K47" s="1912"/>
      <c r="L47" s="1912"/>
      <c r="M47" s="1139" t="s">
        <v>2308</v>
      </c>
      <c r="N47" s="223"/>
      <c r="O47" s="1138">
        <f t="shared" si="6"/>
        <v>0</v>
      </c>
    </row>
    <row r="48" spans="1:15" s="360" customFormat="1" ht="15" hidden="1">
      <c r="A48" s="356" t="s">
        <v>466</v>
      </c>
      <c r="B48" s="707" t="s">
        <v>2067</v>
      </c>
      <c r="C48" s="633">
        <f t="shared" si="3"/>
        <v>0</v>
      </c>
      <c r="D48" s="354"/>
      <c r="E48" s="622">
        <f t="shared" si="4"/>
        <v>8124.43</v>
      </c>
      <c r="F48" s="917">
        <f t="shared" si="2"/>
        <v>0</v>
      </c>
      <c r="G48" s="358">
        <f>WORK!I321</f>
        <v>0</v>
      </c>
      <c r="H48" s="354" t="s">
        <v>5</v>
      </c>
      <c r="I48" s="355">
        <f>WORK!K321</f>
        <v>8124.43</v>
      </c>
      <c r="J48" s="353">
        <f t="shared" si="5"/>
        <v>0</v>
      </c>
      <c r="K48" s="1912"/>
      <c r="L48" s="1912"/>
      <c r="M48" s="708" t="s">
        <v>2321</v>
      </c>
      <c r="N48" s="223"/>
      <c r="O48" s="706">
        <f t="shared" si="6"/>
        <v>0</v>
      </c>
    </row>
    <row r="49" spans="1:16" s="360" customFormat="1" ht="15" hidden="1">
      <c r="A49" s="356" t="s">
        <v>466</v>
      </c>
      <c r="B49" s="707" t="s">
        <v>2067</v>
      </c>
      <c r="C49" s="633">
        <f t="shared" si="3"/>
        <v>0</v>
      </c>
      <c r="D49" s="354"/>
      <c r="E49" s="622">
        <f t="shared" si="4"/>
        <v>8501.18</v>
      </c>
      <c r="F49" s="917">
        <f t="shared" si="2"/>
        <v>0</v>
      </c>
      <c r="G49" s="358">
        <f>WORK!I326</f>
        <v>0</v>
      </c>
      <c r="H49" s="354" t="s">
        <v>5</v>
      </c>
      <c r="I49" s="355">
        <f>WORK!K326</f>
        <v>8501.18</v>
      </c>
      <c r="J49" s="353">
        <f t="shared" si="5"/>
        <v>0</v>
      </c>
      <c r="K49" s="1913"/>
      <c r="L49" s="1913"/>
      <c r="M49" s="708" t="s">
        <v>2322</v>
      </c>
      <c r="N49" s="223"/>
      <c r="O49" s="706">
        <f t="shared" si="6"/>
        <v>0</v>
      </c>
    </row>
    <row r="50" spans="1:16" s="360" customFormat="1" ht="51">
      <c r="A50" s="356" t="s">
        <v>467</v>
      </c>
      <c r="B50" s="707" t="s">
        <v>3267</v>
      </c>
      <c r="C50" s="633">
        <f t="shared" si="3"/>
        <v>5.7099999999999991</v>
      </c>
      <c r="D50" s="916" t="s">
        <v>5</v>
      </c>
      <c r="E50" s="622">
        <f t="shared" si="4"/>
        <v>9116.880000000001</v>
      </c>
      <c r="F50" s="917">
        <f t="shared" si="2"/>
        <v>52057</v>
      </c>
      <c r="G50" s="358">
        <f>WORK!I342</f>
        <v>5.7099999999999991</v>
      </c>
      <c r="H50" s="354" t="s">
        <v>5</v>
      </c>
      <c r="I50" s="355">
        <f>WORK!K342</f>
        <v>9116.880000000001</v>
      </c>
      <c r="J50" s="353">
        <f t="shared" si="5"/>
        <v>52057.38</v>
      </c>
      <c r="K50" s="1930">
        <f>IF((J50+J51+J52+J53)&gt;(F50+F51+F52+F53),(J50+J51+J52+J53)-(F50+F51+F52+F53),0)</f>
        <v>0.37999999999738066</v>
      </c>
      <c r="L50" s="1930">
        <f>IF((J50+J51+J52+J53)&lt;(F50+F51+F52+F53),(F50+F51+F52+F53)-(J50+J51+J52+J53),0)</f>
        <v>0</v>
      </c>
      <c r="M50" s="1139" t="s">
        <v>2226</v>
      </c>
      <c r="N50" s="223"/>
      <c r="O50" s="1138">
        <f t="shared" si="6"/>
        <v>-0.37999999999738066</v>
      </c>
    </row>
    <row r="51" spans="1:16" s="360" customFormat="1" ht="51" hidden="1">
      <c r="A51" s="356" t="s">
        <v>474</v>
      </c>
      <c r="B51" s="707" t="s">
        <v>3267</v>
      </c>
      <c r="C51" s="633">
        <f t="shared" si="3"/>
        <v>0</v>
      </c>
      <c r="D51" s="354" t="s">
        <v>5</v>
      </c>
      <c r="E51" s="622">
        <f t="shared" si="4"/>
        <v>9466.93</v>
      </c>
      <c r="F51" s="917">
        <f t="shared" si="2"/>
        <v>0</v>
      </c>
      <c r="G51" s="358">
        <f>WORK!I349</f>
        <v>0</v>
      </c>
      <c r="H51" s="354" t="s">
        <v>5</v>
      </c>
      <c r="I51" s="355">
        <f>WORK!K349</f>
        <v>9466.93</v>
      </c>
      <c r="J51" s="353">
        <f t="shared" si="5"/>
        <v>0</v>
      </c>
      <c r="K51" s="1912"/>
      <c r="L51" s="1912"/>
      <c r="M51" s="1139" t="s">
        <v>2308</v>
      </c>
      <c r="N51" s="223"/>
      <c r="O51" s="1138">
        <f t="shared" si="6"/>
        <v>0</v>
      </c>
    </row>
    <row r="52" spans="1:16" s="360" customFormat="1" ht="15" hidden="1">
      <c r="A52" s="356" t="s">
        <v>469</v>
      </c>
      <c r="B52" s="707" t="s">
        <v>2068</v>
      </c>
      <c r="C52" s="633">
        <f t="shared" si="3"/>
        <v>0</v>
      </c>
      <c r="D52" s="354"/>
      <c r="E52" s="622">
        <f t="shared" si="4"/>
        <v>10004.82</v>
      </c>
      <c r="F52" s="917">
        <f t="shared" si="2"/>
        <v>0</v>
      </c>
      <c r="G52" s="358">
        <f>WORK!I354</f>
        <v>0</v>
      </c>
      <c r="H52" s="354" t="s">
        <v>5</v>
      </c>
      <c r="I52" s="355">
        <f>WORK!K354</f>
        <v>10004.82</v>
      </c>
      <c r="J52" s="353">
        <f t="shared" si="5"/>
        <v>0</v>
      </c>
      <c r="K52" s="1912"/>
      <c r="L52" s="1912"/>
      <c r="M52" s="708" t="s">
        <v>2321</v>
      </c>
      <c r="N52" s="223"/>
      <c r="O52" s="706">
        <f t="shared" si="6"/>
        <v>0</v>
      </c>
    </row>
    <row r="53" spans="1:16" s="360" customFormat="1" ht="15" hidden="1">
      <c r="A53" s="356" t="s">
        <v>467</v>
      </c>
      <c r="B53" s="707" t="s">
        <v>2068</v>
      </c>
      <c r="C53" s="633">
        <f t="shared" si="3"/>
        <v>0</v>
      </c>
      <c r="D53" s="354"/>
      <c r="E53" s="622">
        <f t="shared" si="4"/>
        <v>10417.6</v>
      </c>
      <c r="F53" s="917">
        <f t="shared" si="2"/>
        <v>0</v>
      </c>
      <c r="G53" s="358">
        <f>WORK!I366</f>
        <v>0</v>
      </c>
      <c r="H53" s="354" t="s">
        <v>5</v>
      </c>
      <c r="I53" s="355">
        <f>WORK!K366</f>
        <v>10417.6</v>
      </c>
      <c r="J53" s="353">
        <f t="shared" si="5"/>
        <v>0</v>
      </c>
      <c r="K53" s="1913"/>
      <c r="L53" s="1913"/>
      <c r="M53" s="708" t="s">
        <v>2322</v>
      </c>
      <c r="N53" s="223"/>
      <c r="O53" s="706">
        <f t="shared" si="6"/>
        <v>0</v>
      </c>
    </row>
    <row r="54" spans="1:16" s="360" customFormat="1" ht="51">
      <c r="A54" s="356" t="s">
        <v>468</v>
      </c>
      <c r="B54" s="707" t="s">
        <v>3268</v>
      </c>
      <c r="C54" s="633">
        <f t="shared" si="3"/>
        <v>5.8000000000000007</v>
      </c>
      <c r="D54" s="916" t="s">
        <v>5</v>
      </c>
      <c r="E54" s="622">
        <f t="shared" si="4"/>
        <v>8971.880000000001</v>
      </c>
      <c r="F54" s="917">
        <f t="shared" si="2"/>
        <v>52037</v>
      </c>
      <c r="G54" s="358">
        <f>WORK!I384</f>
        <v>5.8000000000000007</v>
      </c>
      <c r="H54" s="354" t="s">
        <v>5</v>
      </c>
      <c r="I54" s="355">
        <f>WORK!K384</f>
        <v>8971.880000000001</v>
      </c>
      <c r="J54" s="353">
        <f t="shared" si="5"/>
        <v>52036.9</v>
      </c>
      <c r="K54" s="1930">
        <f>IF((J54+J55+J56+J57)&gt;(F54+F55+F56+F57),(J54+J55+J56+J57)-(F54+F55+F56+F57),0)</f>
        <v>0</v>
      </c>
      <c r="L54" s="1930">
        <f>IF((J54+J55+J56+J57)&lt;(F54+F55+F56+F57),(F54+F55+F56+F57)-(J54+J55+J56+J57),0)</f>
        <v>9.9999999998544808E-2</v>
      </c>
      <c r="M54" s="1139" t="s">
        <v>2226</v>
      </c>
      <c r="N54" s="223"/>
      <c r="O54" s="1138">
        <f t="shared" si="6"/>
        <v>9.9999999998544808E-2</v>
      </c>
    </row>
    <row r="55" spans="1:16" s="360" customFormat="1" ht="51" hidden="1">
      <c r="A55" s="356" t="s">
        <v>476</v>
      </c>
      <c r="B55" s="707" t="s">
        <v>3268</v>
      </c>
      <c r="C55" s="633">
        <f t="shared" si="3"/>
        <v>0</v>
      </c>
      <c r="D55" s="354" t="s">
        <v>5</v>
      </c>
      <c r="E55" s="622">
        <f t="shared" si="4"/>
        <v>9280.23</v>
      </c>
      <c r="F55" s="917">
        <f t="shared" si="2"/>
        <v>0</v>
      </c>
      <c r="G55" s="358">
        <f>WORK!I392</f>
        <v>0</v>
      </c>
      <c r="H55" s="354" t="s">
        <v>5</v>
      </c>
      <c r="I55" s="355">
        <f>WORK!K392</f>
        <v>9280.23</v>
      </c>
      <c r="J55" s="353">
        <f t="shared" si="5"/>
        <v>0</v>
      </c>
      <c r="K55" s="1912"/>
      <c r="L55" s="1912"/>
      <c r="M55" s="1139" t="s">
        <v>2308</v>
      </c>
      <c r="N55" s="223"/>
      <c r="O55" s="1138">
        <f t="shared" si="6"/>
        <v>0</v>
      </c>
    </row>
    <row r="56" spans="1:16" s="360" customFormat="1" ht="15" hidden="1">
      <c r="A56" s="356" t="s">
        <v>473</v>
      </c>
      <c r="B56" s="707" t="s">
        <v>2069</v>
      </c>
      <c r="C56" s="633">
        <f t="shared" si="3"/>
        <v>0</v>
      </c>
      <c r="D56" s="354"/>
      <c r="E56" s="622">
        <f t="shared" si="4"/>
        <v>9785.43</v>
      </c>
      <c r="F56" s="917">
        <f t="shared" si="2"/>
        <v>0</v>
      </c>
      <c r="G56" s="358">
        <f>WORK!I400</f>
        <v>0</v>
      </c>
      <c r="H56" s="354" t="s">
        <v>5</v>
      </c>
      <c r="I56" s="355">
        <f>WORK!K400</f>
        <v>9785.43</v>
      </c>
      <c r="J56" s="353">
        <f t="shared" si="5"/>
        <v>0</v>
      </c>
      <c r="K56" s="1912"/>
      <c r="L56" s="1912"/>
      <c r="M56" s="708" t="s">
        <v>2321</v>
      </c>
      <c r="N56" s="223"/>
      <c r="O56" s="706">
        <f t="shared" si="6"/>
        <v>0</v>
      </c>
    </row>
    <row r="57" spans="1:16" s="360" customFormat="1" ht="15" hidden="1">
      <c r="A57" s="356" t="s">
        <v>468</v>
      </c>
      <c r="B57" s="707" t="s">
        <v>2069</v>
      </c>
      <c r="C57" s="633">
        <f t="shared" si="3"/>
        <v>0</v>
      </c>
      <c r="D57" s="354"/>
      <c r="E57" s="622">
        <f t="shared" si="4"/>
        <v>10162.18</v>
      </c>
      <c r="F57" s="917">
        <f t="shared" si="2"/>
        <v>0</v>
      </c>
      <c r="G57" s="358">
        <f>WORK!I406</f>
        <v>0</v>
      </c>
      <c r="H57" s="354" t="s">
        <v>5</v>
      </c>
      <c r="I57" s="355">
        <f>WORK!K406</f>
        <v>10162.18</v>
      </c>
      <c r="J57" s="353">
        <f t="shared" si="5"/>
        <v>0</v>
      </c>
      <c r="K57" s="1913"/>
      <c r="L57" s="1913"/>
      <c r="M57" s="708" t="s">
        <v>2322</v>
      </c>
      <c r="N57" s="223"/>
      <c r="O57" s="706">
        <f t="shared" si="6"/>
        <v>0</v>
      </c>
    </row>
    <row r="58" spans="1:16" s="360" customFormat="1" ht="51">
      <c r="A58" s="356" t="s">
        <v>326</v>
      </c>
      <c r="B58" s="707" t="s">
        <v>3269</v>
      </c>
      <c r="C58" s="633">
        <f t="shared" si="3"/>
        <v>6.2000000000000011</v>
      </c>
      <c r="D58" s="918" t="s">
        <v>5</v>
      </c>
      <c r="E58" s="622">
        <f t="shared" si="4"/>
        <v>8954.36</v>
      </c>
      <c r="F58" s="917">
        <f t="shared" si="2"/>
        <v>55517</v>
      </c>
      <c r="G58" s="358">
        <f>WORK!I428</f>
        <v>6.2000000000000011</v>
      </c>
      <c r="H58" s="428" t="s">
        <v>5</v>
      </c>
      <c r="I58" s="355">
        <f>WORK!K428</f>
        <v>8954.36</v>
      </c>
      <c r="J58" s="353">
        <f t="shared" si="5"/>
        <v>55517.03</v>
      </c>
      <c r="K58" s="1930">
        <f>IF((J58+J59+J60+J61)&gt;(F58+F59+F60+F61),(J58+J59+J60+J61)-(F58+F59+F60+F61),0)</f>
        <v>2.9999999998835847E-2</v>
      </c>
      <c r="L58" s="1930">
        <f>IF((J58+J59+J60+J61)&lt;(F58+F59+F60+F61),(F58+F59+F60+F61)-(J58+J59+J60+J61),0)</f>
        <v>0</v>
      </c>
      <c r="M58" s="1139" t="s">
        <v>2226</v>
      </c>
      <c r="N58" s="223"/>
      <c r="O58" s="1138">
        <f t="shared" si="6"/>
        <v>-2.9999999998835847E-2</v>
      </c>
      <c r="P58" s="712"/>
    </row>
    <row r="59" spans="1:16" s="360" customFormat="1" ht="51" hidden="1">
      <c r="A59" s="356" t="s">
        <v>474</v>
      </c>
      <c r="B59" s="707" t="s">
        <v>3269</v>
      </c>
      <c r="C59" s="633">
        <f t="shared" si="3"/>
        <v>0</v>
      </c>
      <c r="D59" s="428" t="s">
        <v>5</v>
      </c>
      <c r="E59" s="622">
        <f t="shared" si="4"/>
        <v>9169.52</v>
      </c>
      <c r="F59" s="917">
        <f t="shared" si="2"/>
        <v>0</v>
      </c>
      <c r="G59" s="358">
        <f>WORK!I440</f>
        <v>0</v>
      </c>
      <c r="H59" s="428" t="s">
        <v>5</v>
      </c>
      <c r="I59" s="355">
        <f>WORK!K440</f>
        <v>9169.52</v>
      </c>
      <c r="J59" s="353">
        <f t="shared" si="5"/>
        <v>0</v>
      </c>
      <c r="K59" s="1912"/>
      <c r="L59" s="1912"/>
      <c r="M59" s="1139" t="s">
        <v>2308</v>
      </c>
      <c r="N59" s="223"/>
      <c r="O59" s="1138">
        <f t="shared" si="6"/>
        <v>0</v>
      </c>
      <c r="P59" s="712"/>
    </row>
    <row r="60" spans="1:16" s="360" customFormat="1" ht="15" hidden="1">
      <c r="A60" s="356" t="s">
        <v>326</v>
      </c>
      <c r="B60" s="707" t="s">
        <v>2070</v>
      </c>
      <c r="C60" s="633">
        <f t="shared" si="3"/>
        <v>0</v>
      </c>
      <c r="D60" s="428"/>
      <c r="E60" s="622">
        <f t="shared" si="4"/>
        <v>9635.33</v>
      </c>
      <c r="F60" s="917">
        <f t="shared" si="2"/>
        <v>0</v>
      </c>
      <c r="G60" s="358">
        <f>WORK!I467</f>
        <v>0</v>
      </c>
      <c r="H60" s="428" t="s">
        <v>5</v>
      </c>
      <c r="I60" s="355">
        <f>WORK!K467</f>
        <v>9635.33</v>
      </c>
      <c r="J60" s="353">
        <f t="shared" si="5"/>
        <v>0</v>
      </c>
      <c r="K60" s="1912"/>
      <c r="L60" s="1912"/>
      <c r="M60" s="708" t="s">
        <v>2321</v>
      </c>
      <c r="N60" s="223"/>
      <c r="O60" s="706">
        <f t="shared" si="6"/>
        <v>0</v>
      </c>
      <c r="P60" s="712"/>
    </row>
    <row r="61" spans="1:16" s="360" customFormat="1" ht="15" hidden="1">
      <c r="A61" s="356" t="s">
        <v>326</v>
      </c>
      <c r="B61" s="707" t="s">
        <v>2070</v>
      </c>
      <c r="C61" s="633">
        <f t="shared" si="3"/>
        <v>0</v>
      </c>
      <c r="D61" s="428"/>
      <c r="E61" s="622">
        <f t="shared" si="4"/>
        <v>9921.19</v>
      </c>
      <c r="F61" s="917">
        <f t="shared" si="2"/>
        <v>0</v>
      </c>
      <c r="G61" s="358">
        <f>WORK!I475</f>
        <v>0</v>
      </c>
      <c r="H61" s="428" t="s">
        <v>5</v>
      </c>
      <c r="I61" s="355">
        <f>WORK!K475</f>
        <v>9921.19</v>
      </c>
      <c r="J61" s="353">
        <f t="shared" si="5"/>
        <v>0</v>
      </c>
      <c r="K61" s="1913"/>
      <c r="L61" s="1913"/>
      <c r="M61" s="708" t="s">
        <v>2322</v>
      </c>
      <c r="N61" s="223"/>
      <c r="O61" s="706">
        <f t="shared" si="6"/>
        <v>0</v>
      </c>
      <c r="P61" s="712"/>
    </row>
    <row r="62" spans="1:16" s="360" customFormat="1" ht="51">
      <c r="A62" s="356" t="s">
        <v>469</v>
      </c>
      <c r="B62" s="707" t="s">
        <v>3270</v>
      </c>
      <c r="C62" s="633">
        <f t="shared" si="3"/>
        <v>128.13</v>
      </c>
      <c r="D62" s="916" t="s">
        <v>102</v>
      </c>
      <c r="E62" s="622">
        <f t="shared" si="4"/>
        <v>1071.8</v>
      </c>
      <c r="F62" s="917">
        <f t="shared" si="2"/>
        <v>137330</v>
      </c>
      <c r="G62" s="358">
        <f>WORK!I506</f>
        <v>128.13</v>
      </c>
      <c r="H62" s="354" t="s">
        <v>102</v>
      </c>
      <c r="I62" s="355">
        <f>WORK!K506</f>
        <v>1071.8</v>
      </c>
      <c r="J62" s="353">
        <f t="shared" si="5"/>
        <v>137329.73000000001</v>
      </c>
      <c r="K62" s="1930">
        <f>IF((J62+J63+J64+J65)&gt;(F62+F63+F64+F65),(J62+J63+J64+J65)-(F62+F63+F64+F65),0)</f>
        <v>0</v>
      </c>
      <c r="L62" s="1930">
        <f>IF((J62+J63+J64+J65)&lt;(F62+F63+F64+F65),(F62+F63+F64+F65)-(J62+J63+J64+J65),0)</f>
        <v>0.26999999998952262</v>
      </c>
      <c r="M62" s="1139" t="s">
        <v>2226</v>
      </c>
      <c r="N62" s="223"/>
      <c r="O62" s="1138">
        <f t="shared" si="6"/>
        <v>0.26999999998952262</v>
      </c>
    </row>
    <row r="63" spans="1:16" s="360" customFormat="1" ht="51" hidden="1">
      <c r="A63" s="356" t="s">
        <v>475</v>
      </c>
      <c r="B63" s="707" t="s">
        <v>3270</v>
      </c>
      <c r="C63" s="633">
        <f t="shared" si="3"/>
        <v>0</v>
      </c>
      <c r="D63" s="354" t="s">
        <v>102</v>
      </c>
      <c r="E63" s="622">
        <f t="shared" si="4"/>
        <v>1109.69</v>
      </c>
      <c r="F63" s="917">
        <f t="shared" si="2"/>
        <v>0</v>
      </c>
      <c r="G63" s="358">
        <f>WORK!I512</f>
        <v>0</v>
      </c>
      <c r="H63" s="354" t="s">
        <v>102</v>
      </c>
      <c r="I63" s="355">
        <f>WORK!K512</f>
        <v>1109.69</v>
      </c>
      <c r="J63" s="353">
        <f t="shared" si="5"/>
        <v>0</v>
      </c>
      <c r="K63" s="1912"/>
      <c r="L63" s="1912"/>
      <c r="M63" s="1139" t="s">
        <v>2308</v>
      </c>
      <c r="N63" s="223"/>
      <c r="O63" s="1138">
        <f t="shared" si="6"/>
        <v>0</v>
      </c>
    </row>
    <row r="64" spans="1:16" s="360" customFormat="1" ht="15" hidden="1">
      <c r="A64" s="356" t="s">
        <v>469</v>
      </c>
      <c r="B64" s="707" t="s">
        <v>2071</v>
      </c>
      <c r="C64" s="633">
        <f t="shared" si="3"/>
        <v>0</v>
      </c>
      <c r="D64" s="354"/>
      <c r="E64" s="622">
        <f t="shared" si="4"/>
        <v>1166.67</v>
      </c>
      <c r="F64" s="917">
        <f t="shared" si="2"/>
        <v>0</v>
      </c>
      <c r="G64" s="358">
        <f>WORK!I519</f>
        <v>0</v>
      </c>
      <c r="H64" s="354" t="s">
        <v>102</v>
      </c>
      <c r="I64" s="355">
        <f>WORK!K519</f>
        <v>1166.67</v>
      </c>
      <c r="J64" s="353">
        <f t="shared" si="5"/>
        <v>0</v>
      </c>
      <c r="K64" s="1912"/>
      <c r="L64" s="1912"/>
      <c r="M64" s="708" t="s">
        <v>2321</v>
      </c>
      <c r="N64" s="223"/>
      <c r="O64" s="706">
        <f t="shared" si="6"/>
        <v>0</v>
      </c>
    </row>
    <row r="65" spans="1:15" s="360" customFormat="1" ht="15" hidden="1">
      <c r="A65" s="356" t="s">
        <v>469</v>
      </c>
      <c r="B65" s="707" t="s">
        <v>2071</v>
      </c>
      <c r="C65" s="633">
        <f t="shared" si="3"/>
        <v>0</v>
      </c>
      <c r="D65" s="354"/>
      <c r="E65" s="622">
        <f t="shared" si="4"/>
        <v>1202.4000000000001</v>
      </c>
      <c r="F65" s="917">
        <f t="shared" si="2"/>
        <v>0</v>
      </c>
      <c r="G65" s="358">
        <f>WORK!I525</f>
        <v>0</v>
      </c>
      <c r="H65" s="354" t="s">
        <v>102</v>
      </c>
      <c r="I65" s="355">
        <f>WORK!K525</f>
        <v>1202.4000000000001</v>
      </c>
      <c r="J65" s="353">
        <f t="shared" si="5"/>
        <v>0</v>
      </c>
      <c r="K65" s="1913"/>
      <c r="L65" s="1913"/>
      <c r="M65" s="708" t="s">
        <v>2322</v>
      </c>
      <c r="N65" s="223"/>
      <c r="O65" s="706">
        <f t="shared" si="6"/>
        <v>0</v>
      </c>
    </row>
    <row r="66" spans="1:15" s="360" customFormat="1" ht="51" hidden="1">
      <c r="A66" s="356" t="s">
        <v>472</v>
      </c>
      <c r="B66" s="707" t="s">
        <v>3271</v>
      </c>
      <c r="C66" s="633">
        <f t="shared" si="3"/>
        <v>0</v>
      </c>
      <c r="D66" s="916" t="s">
        <v>102</v>
      </c>
      <c r="E66" s="622">
        <f t="shared" si="4"/>
        <v>1195.95</v>
      </c>
      <c r="F66" s="917">
        <f t="shared" si="2"/>
        <v>0</v>
      </c>
      <c r="G66" s="358">
        <f>WORK!I483</f>
        <v>0</v>
      </c>
      <c r="H66" s="354" t="s">
        <v>102</v>
      </c>
      <c r="I66" s="355">
        <f>WORK!K483</f>
        <v>1195.95</v>
      </c>
      <c r="J66" s="353">
        <f t="shared" si="5"/>
        <v>0</v>
      </c>
      <c r="K66" s="1930">
        <f>IF((J66+J67+J68+J69)&gt;(F66+F67+F68+F69),(J66+J67+J68+J69)-(F66+F67+F68+F69),0)</f>
        <v>0</v>
      </c>
      <c r="L66" s="1930">
        <f>IF((J66+J67+J68+J69)&lt;(F66+F67+F68+F69),(F66+F67+F68+F69)-(J66+J67+J68+J69),0)</f>
        <v>0</v>
      </c>
      <c r="M66" s="1139" t="s">
        <v>2226</v>
      </c>
      <c r="N66" s="223"/>
      <c r="O66" s="1138">
        <f t="shared" si="6"/>
        <v>0</v>
      </c>
    </row>
    <row r="67" spans="1:15" s="360" customFormat="1" ht="15" hidden="1">
      <c r="A67" s="356" t="s">
        <v>472</v>
      </c>
      <c r="B67" s="707" t="s">
        <v>2072</v>
      </c>
      <c r="C67" s="633">
        <f t="shared" si="3"/>
        <v>0</v>
      </c>
      <c r="D67" s="354"/>
      <c r="E67" s="622">
        <f t="shared" si="4"/>
        <v>1239.23</v>
      </c>
      <c r="F67" s="917">
        <f t="shared" si="2"/>
        <v>0</v>
      </c>
      <c r="G67" s="358">
        <f>WORK!I489</f>
        <v>0</v>
      </c>
      <c r="H67" s="354" t="s">
        <v>102</v>
      </c>
      <c r="I67" s="355">
        <f>WORK!K489</f>
        <v>1239.23</v>
      </c>
      <c r="J67" s="353">
        <f t="shared" si="5"/>
        <v>0</v>
      </c>
      <c r="K67" s="1912"/>
      <c r="L67" s="1912"/>
      <c r="M67" s="708" t="s">
        <v>2308</v>
      </c>
      <c r="N67" s="223"/>
      <c r="O67" s="706">
        <f t="shared" si="6"/>
        <v>0</v>
      </c>
    </row>
    <row r="68" spans="1:15" s="360" customFormat="1" ht="15" hidden="1">
      <c r="A68" s="356" t="s">
        <v>472</v>
      </c>
      <c r="B68" s="707" t="s">
        <v>2072</v>
      </c>
      <c r="C68" s="633">
        <f t="shared" si="3"/>
        <v>0</v>
      </c>
      <c r="D68" s="354"/>
      <c r="E68" s="622">
        <f t="shared" si="4"/>
        <v>1302.4000000000001</v>
      </c>
      <c r="F68" s="917">
        <f t="shared" si="2"/>
        <v>0</v>
      </c>
      <c r="G68" s="358">
        <f>WORK!I494</f>
        <v>0</v>
      </c>
      <c r="H68" s="354" t="s">
        <v>102</v>
      </c>
      <c r="I68" s="355">
        <f>WORK!K494</f>
        <v>1302.4000000000001</v>
      </c>
      <c r="J68" s="353">
        <f t="shared" si="5"/>
        <v>0</v>
      </c>
      <c r="K68" s="1912"/>
      <c r="L68" s="1912"/>
      <c r="M68" s="708" t="s">
        <v>2321</v>
      </c>
      <c r="N68" s="223"/>
      <c r="O68" s="706">
        <f t="shared" si="6"/>
        <v>0</v>
      </c>
    </row>
    <row r="69" spans="1:15" s="360" customFormat="1" ht="15" hidden="1">
      <c r="A69" s="356" t="s">
        <v>472</v>
      </c>
      <c r="B69" s="707" t="s">
        <v>2072</v>
      </c>
      <c r="C69" s="633">
        <f t="shared" si="3"/>
        <v>0</v>
      </c>
      <c r="D69" s="354"/>
      <c r="E69" s="622">
        <f t="shared" si="4"/>
        <v>1345.28</v>
      </c>
      <c r="F69" s="917">
        <f t="shared" si="2"/>
        <v>0</v>
      </c>
      <c r="G69" s="358">
        <f>WORK!I500</f>
        <v>0</v>
      </c>
      <c r="H69" s="354" t="s">
        <v>102</v>
      </c>
      <c r="I69" s="355">
        <f>WORK!K500</f>
        <v>1345.28</v>
      </c>
      <c r="J69" s="353">
        <f t="shared" si="5"/>
        <v>0</v>
      </c>
      <c r="K69" s="1913"/>
      <c r="L69" s="1913"/>
      <c r="M69" s="708" t="s">
        <v>2322</v>
      </c>
      <c r="N69" s="223"/>
      <c r="O69" s="706">
        <f t="shared" si="6"/>
        <v>0</v>
      </c>
    </row>
    <row r="70" spans="1:15" s="360" customFormat="1" ht="15" hidden="1">
      <c r="A70" s="356" t="s">
        <v>469</v>
      </c>
      <c r="B70" s="707" t="s">
        <v>2073</v>
      </c>
      <c r="C70" s="633">
        <f t="shared" si="3"/>
        <v>0</v>
      </c>
      <c r="D70" s="354"/>
      <c r="E70" s="622">
        <f t="shared" si="4"/>
        <v>947.64</v>
      </c>
      <c r="F70" s="917">
        <f t="shared" si="2"/>
        <v>0</v>
      </c>
      <c r="G70" s="358">
        <f>WORK!I531</f>
        <v>0</v>
      </c>
      <c r="H70" s="354" t="s">
        <v>102</v>
      </c>
      <c r="I70" s="355">
        <f>WORK!K531</f>
        <v>947.64</v>
      </c>
      <c r="J70" s="353">
        <f t="shared" si="5"/>
        <v>0</v>
      </c>
      <c r="K70" s="1911">
        <f>IF((J70+J71+J72+J73)&gt;(F70+F71+F72+F73),(J70+J71+J72+J73)-(F70+F71+F72+F73),0)</f>
        <v>0</v>
      </c>
      <c r="L70" s="1911">
        <f>IF((J70+J71+J72+J73)&lt;(F70+F71+F72+F73),(F70+F71+F72+F73)-(J70+J71+J72+J73),0)</f>
        <v>0</v>
      </c>
      <c r="M70" s="708" t="s">
        <v>2226</v>
      </c>
      <c r="N70" s="223"/>
      <c r="O70" s="706">
        <f t="shared" si="6"/>
        <v>0</v>
      </c>
    </row>
    <row r="71" spans="1:15" s="360" customFormat="1" ht="15" hidden="1">
      <c r="A71" s="356" t="s">
        <v>478</v>
      </c>
      <c r="B71" s="707" t="s">
        <v>2073</v>
      </c>
      <c r="C71" s="633">
        <f t="shared" si="3"/>
        <v>0</v>
      </c>
      <c r="D71" s="354"/>
      <c r="E71" s="622">
        <f t="shared" si="4"/>
        <v>980.15</v>
      </c>
      <c r="F71" s="917">
        <f t="shared" si="2"/>
        <v>0</v>
      </c>
      <c r="G71" s="358">
        <f>WORK!I536</f>
        <v>0</v>
      </c>
      <c r="H71" s="354" t="s">
        <v>102</v>
      </c>
      <c r="I71" s="355">
        <f>WORK!K536</f>
        <v>980.15</v>
      </c>
      <c r="J71" s="353">
        <f t="shared" si="5"/>
        <v>0</v>
      </c>
      <c r="K71" s="1912"/>
      <c r="L71" s="1912"/>
      <c r="M71" s="708" t="s">
        <v>2308</v>
      </c>
      <c r="N71" s="223"/>
      <c r="O71" s="706">
        <f t="shared" si="6"/>
        <v>0</v>
      </c>
    </row>
    <row r="72" spans="1:15" s="360" customFormat="1" ht="15" hidden="1">
      <c r="A72" s="356" t="s">
        <v>469</v>
      </c>
      <c r="B72" s="707" t="s">
        <v>2073</v>
      </c>
      <c r="C72" s="633">
        <f t="shared" si="3"/>
        <v>0</v>
      </c>
      <c r="D72" s="354"/>
      <c r="E72" s="622">
        <f t="shared" si="4"/>
        <v>1030.9299999999998</v>
      </c>
      <c r="F72" s="917">
        <f t="shared" si="2"/>
        <v>0</v>
      </c>
      <c r="G72" s="358">
        <f>WORK!I542</f>
        <v>0</v>
      </c>
      <c r="H72" s="354" t="s">
        <v>102</v>
      </c>
      <c r="I72" s="355">
        <f>WORK!K542</f>
        <v>1030.9299999999998</v>
      </c>
      <c r="J72" s="353">
        <f t="shared" si="5"/>
        <v>0</v>
      </c>
      <c r="K72" s="1912"/>
      <c r="L72" s="1912"/>
      <c r="M72" s="708" t="s">
        <v>2321</v>
      </c>
      <c r="N72" s="223"/>
      <c r="O72" s="706">
        <f t="shared" si="6"/>
        <v>0</v>
      </c>
    </row>
    <row r="73" spans="1:15" s="360" customFormat="1" ht="15" hidden="1">
      <c r="A73" s="356" t="s">
        <v>469</v>
      </c>
      <c r="B73" s="707" t="s">
        <v>2073</v>
      </c>
      <c r="C73" s="633">
        <f t="shared" si="3"/>
        <v>0</v>
      </c>
      <c r="D73" s="354"/>
      <c r="E73" s="622">
        <f t="shared" si="4"/>
        <v>1059.52</v>
      </c>
      <c r="F73" s="917">
        <f t="shared" ref="F73:F136" si="9">ROUND(C73*E73,0)</f>
        <v>0</v>
      </c>
      <c r="G73" s="358">
        <f>WORK!I547</f>
        <v>0</v>
      </c>
      <c r="H73" s="354" t="s">
        <v>102</v>
      </c>
      <c r="I73" s="355">
        <f>WORK!K547</f>
        <v>1059.52</v>
      </c>
      <c r="J73" s="353">
        <f t="shared" si="5"/>
        <v>0</v>
      </c>
      <c r="K73" s="1913"/>
      <c r="L73" s="1913"/>
      <c r="M73" s="708" t="s">
        <v>2322</v>
      </c>
      <c r="N73" s="223"/>
      <c r="O73" s="706">
        <f t="shared" si="6"/>
        <v>0</v>
      </c>
    </row>
    <row r="74" spans="1:15" s="360" customFormat="1" ht="15" hidden="1">
      <c r="A74" s="356" t="s">
        <v>479</v>
      </c>
      <c r="B74" s="707" t="s">
        <v>2074</v>
      </c>
      <c r="C74" s="633">
        <f t="shared" ref="C74:C137" si="10">G74</f>
        <v>0</v>
      </c>
      <c r="D74" s="354"/>
      <c r="E74" s="622">
        <f t="shared" ref="E74:E137" si="11">I74</f>
        <v>471.03</v>
      </c>
      <c r="F74" s="917">
        <f t="shared" si="9"/>
        <v>0</v>
      </c>
      <c r="G74" s="358">
        <f>WORK!I553</f>
        <v>0</v>
      </c>
      <c r="H74" s="354" t="s">
        <v>102</v>
      </c>
      <c r="I74" s="355">
        <f>WORK!K553</f>
        <v>471.03</v>
      </c>
      <c r="J74" s="353">
        <f t="shared" ref="J74:J137" si="12">ROUND(G74*I74,2)</f>
        <v>0</v>
      </c>
      <c r="K74" s="1911">
        <f>IF((J74+J75+J76+J77)&gt;(F74+F75+F76+F77),(J74+J75+J76+J77)-(F74+F75+F76+F77),0)</f>
        <v>0</v>
      </c>
      <c r="L74" s="1911">
        <f>IF((J74+J75+J76+J77)&lt;(F74+F75+F76+F77),(F74+F75+F76+F77)-(J74+J75+J76+J77),0)</f>
        <v>0</v>
      </c>
      <c r="M74" s="708" t="s">
        <v>2226</v>
      </c>
      <c r="N74" s="223"/>
      <c r="O74" s="706">
        <f t="shared" si="6"/>
        <v>0</v>
      </c>
    </row>
    <row r="75" spans="1:15" s="360" customFormat="1" ht="15" hidden="1">
      <c r="A75" s="356" t="s">
        <v>469</v>
      </c>
      <c r="B75" s="707" t="s">
        <v>2074</v>
      </c>
      <c r="C75" s="633">
        <f t="shared" si="10"/>
        <v>0</v>
      </c>
      <c r="D75" s="354"/>
      <c r="E75" s="622">
        <f t="shared" si="11"/>
        <v>487.1</v>
      </c>
      <c r="F75" s="917">
        <f t="shared" si="9"/>
        <v>0</v>
      </c>
      <c r="G75" s="358">
        <f>WORK!I559</f>
        <v>0</v>
      </c>
      <c r="H75" s="354" t="s">
        <v>102</v>
      </c>
      <c r="I75" s="355">
        <f>WORK!K559</f>
        <v>487.1</v>
      </c>
      <c r="J75" s="353">
        <f t="shared" si="12"/>
        <v>0</v>
      </c>
      <c r="K75" s="1912"/>
      <c r="L75" s="1912"/>
      <c r="M75" s="708" t="s">
        <v>2308</v>
      </c>
      <c r="N75" s="223"/>
      <c r="O75" s="706">
        <f t="shared" ref="O75:O138" si="13">F75-J75</f>
        <v>0</v>
      </c>
    </row>
    <row r="76" spans="1:15" s="360" customFormat="1" ht="15" hidden="1">
      <c r="A76" s="356" t="s">
        <v>469</v>
      </c>
      <c r="B76" s="707" t="s">
        <v>2074</v>
      </c>
      <c r="C76" s="633">
        <f t="shared" si="10"/>
        <v>0</v>
      </c>
      <c r="D76" s="354"/>
      <c r="E76" s="622">
        <f t="shared" si="11"/>
        <v>512.26</v>
      </c>
      <c r="F76" s="917">
        <f t="shared" si="9"/>
        <v>0</v>
      </c>
      <c r="G76" s="358">
        <f>WORK!I565</f>
        <v>0</v>
      </c>
      <c r="H76" s="354" t="s">
        <v>102</v>
      </c>
      <c r="I76" s="355">
        <f>WORK!K565</f>
        <v>512.26</v>
      </c>
      <c r="J76" s="353">
        <f t="shared" si="12"/>
        <v>0</v>
      </c>
      <c r="K76" s="1912"/>
      <c r="L76" s="1912"/>
      <c r="M76" s="708" t="s">
        <v>2321</v>
      </c>
      <c r="N76" s="223"/>
      <c r="O76" s="706">
        <f t="shared" si="13"/>
        <v>0</v>
      </c>
    </row>
    <row r="77" spans="1:15" s="360" customFormat="1" ht="15" hidden="1">
      <c r="A77" s="356" t="s">
        <v>469</v>
      </c>
      <c r="B77" s="707" t="s">
        <v>2074</v>
      </c>
      <c r="C77" s="633">
        <f t="shared" si="10"/>
        <v>0</v>
      </c>
      <c r="D77" s="354"/>
      <c r="E77" s="622">
        <f t="shared" si="11"/>
        <v>526.29999999999995</v>
      </c>
      <c r="F77" s="917">
        <f t="shared" si="9"/>
        <v>0</v>
      </c>
      <c r="G77" s="358">
        <f>WORK!I571</f>
        <v>0</v>
      </c>
      <c r="H77" s="354" t="s">
        <v>102</v>
      </c>
      <c r="I77" s="355">
        <f>WORK!K571</f>
        <v>526.29999999999995</v>
      </c>
      <c r="J77" s="353">
        <f t="shared" si="12"/>
        <v>0</v>
      </c>
      <c r="K77" s="1913"/>
      <c r="L77" s="1913"/>
      <c r="M77" s="708" t="s">
        <v>2322</v>
      </c>
      <c r="N77" s="223"/>
      <c r="O77" s="706">
        <f t="shared" si="13"/>
        <v>0</v>
      </c>
    </row>
    <row r="78" spans="1:15" s="360" customFormat="1" ht="15" hidden="1">
      <c r="A78" s="356" t="s">
        <v>475</v>
      </c>
      <c r="B78" s="707" t="s">
        <v>2075</v>
      </c>
      <c r="C78" s="633">
        <f t="shared" si="10"/>
        <v>0</v>
      </c>
      <c r="D78" s="354"/>
      <c r="E78" s="622">
        <f t="shared" si="11"/>
        <v>348.26</v>
      </c>
      <c r="F78" s="917">
        <f t="shared" si="9"/>
        <v>0</v>
      </c>
      <c r="G78" s="358">
        <f>WORK!I578</f>
        <v>0</v>
      </c>
      <c r="H78" s="354" t="s">
        <v>102</v>
      </c>
      <c r="I78" s="355">
        <f>WORK!K578</f>
        <v>348.26</v>
      </c>
      <c r="J78" s="353">
        <f t="shared" si="12"/>
        <v>0</v>
      </c>
      <c r="K78" s="1911">
        <f>IF((J78+J79+J80+J81)&gt;(F78+F79+F80+F81),(J78+J79+J80+J81)-(F78+F79+F80+F81),0)</f>
        <v>0</v>
      </c>
      <c r="L78" s="1911">
        <f>IF((J78+J79+J80+J81)&lt;(F78+F79+F80+F81),(F78+F79+F80+F81)-(J78+J79+J80+J81),0)</f>
        <v>0</v>
      </c>
      <c r="M78" s="708" t="s">
        <v>2226</v>
      </c>
      <c r="N78" s="223"/>
      <c r="O78" s="706">
        <f t="shared" si="13"/>
        <v>0</v>
      </c>
    </row>
    <row r="79" spans="1:15" s="360" customFormat="1" ht="15" hidden="1">
      <c r="A79" s="356" t="s">
        <v>475</v>
      </c>
      <c r="B79" s="707" t="s">
        <v>2075</v>
      </c>
      <c r="C79" s="633">
        <f t="shared" si="10"/>
        <v>0</v>
      </c>
      <c r="D79" s="354"/>
      <c r="E79" s="622">
        <f t="shared" si="11"/>
        <v>359.05</v>
      </c>
      <c r="F79" s="917">
        <f t="shared" si="9"/>
        <v>0</v>
      </c>
      <c r="G79" s="358">
        <f>WORK!I585</f>
        <v>0</v>
      </c>
      <c r="H79" s="354" t="s">
        <v>102</v>
      </c>
      <c r="I79" s="355">
        <f>WORK!K585</f>
        <v>359.05</v>
      </c>
      <c r="J79" s="353">
        <f t="shared" si="12"/>
        <v>0</v>
      </c>
      <c r="K79" s="1912"/>
      <c r="L79" s="1912"/>
      <c r="M79" s="708" t="s">
        <v>2308</v>
      </c>
      <c r="N79" s="223"/>
      <c r="O79" s="706">
        <f t="shared" si="13"/>
        <v>0</v>
      </c>
    </row>
    <row r="80" spans="1:15" s="360" customFormat="1" ht="15" hidden="1">
      <c r="A80" s="356" t="s">
        <v>475</v>
      </c>
      <c r="B80" s="707" t="s">
        <v>2075</v>
      </c>
      <c r="C80" s="633">
        <f t="shared" si="10"/>
        <v>0</v>
      </c>
      <c r="D80" s="354"/>
      <c r="E80" s="622">
        <f t="shared" si="11"/>
        <v>378.13</v>
      </c>
      <c r="F80" s="917">
        <f t="shared" si="9"/>
        <v>0</v>
      </c>
      <c r="G80" s="358">
        <f>WORK!I592</f>
        <v>0</v>
      </c>
      <c r="H80" s="354" t="s">
        <v>102</v>
      </c>
      <c r="I80" s="355">
        <f>WORK!K592</f>
        <v>378.13</v>
      </c>
      <c r="J80" s="353">
        <f t="shared" si="12"/>
        <v>0</v>
      </c>
      <c r="K80" s="1912"/>
      <c r="L80" s="1912"/>
      <c r="M80" s="708" t="s">
        <v>2321</v>
      </c>
      <c r="N80" s="223"/>
      <c r="O80" s="706">
        <f t="shared" si="13"/>
        <v>0</v>
      </c>
    </row>
    <row r="81" spans="1:15" s="360" customFormat="1" ht="15" hidden="1">
      <c r="A81" s="356" t="s">
        <v>475</v>
      </c>
      <c r="B81" s="707" t="s">
        <v>2075</v>
      </c>
      <c r="C81" s="633">
        <f t="shared" si="10"/>
        <v>0</v>
      </c>
      <c r="D81" s="354"/>
      <c r="E81" s="622">
        <f t="shared" si="11"/>
        <v>385.15</v>
      </c>
      <c r="F81" s="917">
        <f t="shared" si="9"/>
        <v>0</v>
      </c>
      <c r="G81" s="358">
        <f>WORK!I599</f>
        <v>0</v>
      </c>
      <c r="H81" s="354" t="s">
        <v>102</v>
      </c>
      <c r="I81" s="355">
        <f>WORK!K599</f>
        <v>385.15</v>
      </c>
      <c r="J81" s="353">
        <f t="shared" si="12"/>
        <v>0</v>
      </c>
      <c r="K81" s="1913"/>
      <c r="L81" s="1913"/>
      <c r="M81" s="708" t="s">
        <v>2322</v>
      </c>
      <c r="N81" s="223"/>
      <c r="O81" s="706">
        <f t="shared" si="13"/>
        <v>0</v>
      </c>
    </row>
    <row r="82" spans="1:15" s="360" customFormat="1" ht="51">
      <c r="A82" s="356" t="s">
        <v>472</v>
      </c>
      <c r="B82" s="707" t="s">
        <v>3272</v>
      </c>
      <c r="C82" s="633">
        <f t="shared" si="10"/>
        <v>1.53</v>
      </c>
      <c r="D82" s="916" t="s">
        <v>5</v>
      </c>
      <c r="E82" s="622">
        <f t="shared" si="11"/>
        <v>9288.880000000001</v>
      </c>
      <c r="F82" s="917">
        <f t="shared" si="9"/>
        <v>14212</v>
      </c>
      <c r="G82" s="358">
        <f>WORK!I609</f>
        <v>1.53</v>
      </c>
      <c r="H82" s="354" t="s">
        <v>5</v>
      </c>
      <c r="I82" s="355">
        <f>WORK!K609</f>
        <v>9288.880000000001</v>
      </c>
      <c r="J82" s="353">
        <f t="shared" si="12"/>
        <v>14211.99</v>
      </c>
      <c r="K82" s="1930">
        <f>IF((J82+J83+J84+J85)&gt;(F82+F83+F84+F85),(J82+J83+J84+J85)-(F82+F83+F84+F85),0)</f>
        <v>0</v>
      </c>
      <c r="L82" s="1930">
        <f>IF((J82+J83+J84+J85)&lt;(F82+F83+F84+F85),(F82+F83+F84+F85)-(J82+J83+J84+J85),0)</f>
        <v>1.0000000000218279E-2</v>
      </c>
      <c r="M82" s="1139" t="s">
        <v>2226</v>
      </c>
      <c r="N82" s="223"/>
      <c r="O82" s="1138">
        <f t="shared" si="13"/>
        <v>1.0000000000218279E-2</v>
      </c>
    </row>
    <row r="83" spans="1:15" s="360" customFormat="1" ht="51" hidden="1">
      <c r="A83" s="356" t="s">
        <v>476</v>
      </c>
      <c r="B83" s="707" t="s">
        <v>3272</v>
      </c>
      <c r="C83" s="633">
        <f t="shared" si="10"/>
        <v>0</v>
      </c>
      <c r="D83" s="354"/>
      <c r="E83" s="622">
        <f t="shared" si="11"/>
        <v>9638.93</v>
      </c>
      <c r="F83" s="917">
        <f t="shared" si="9"/>
        <v>0</v>
      </c>
      <c r="G83" s="358">
        <f>WORK!I619</f>
        <v>0</v>
      </c>
      <c r="H83" s="354" t="s">
        <v>5</v>
      </c>
      <c r="I83" s="355">
        <f>WORK!K619</f>
        <v>9638.93</v>
      </c>
      <c r="J83" s="353">
        <f t="shared" si="12"/>
        <v>0</v>
      </c>
      <c r="K83" s="1912"/>
      <c r="L83" s="1912"/>
      <c r="M83" s="708" t="s">
        <v>2308</v>
      </c>
      <c r="N83" s="223"/>
      <c r="O83" s="706">
        <f t="shared" si="13"/>
        <v>0</v>
      </c>
    </row>
    <row r="84" spans="1:15" s="360" customFormat="1" ht="15" hidden="1">
      <c r="A84" s="356" t="s">
        <v>475</v>
      </c>
      <c r="B84" s="707" t="s">
        <v>2076</v>
      </c>
      <c r="C84" s="633">
        <f t="shared" si="10"/>
        <v>0</v>
      </c>
      <c r="D84" s="354"/>
      <c r="E84" s="622">
        <f t="shared" si="11"/>
        <v>10171.82</v>
      </c>
      <c r="F84" s="917">
        <f t="shared" si="9"/>
        <v>0</v>
      </c>
      <c r="G84" s="358">
        <f>WORK!I628</f>
        <v>0</v>
      </c>
      <c r="H84" s="354" t="s">
        <v>5</v>
      </c>
      <c r="I84" s="355">
        <f>WORK!K628</f>
        <v>10171.82</v>
      </c>
      <c r="J84" s="353">
        <f t="shared" si="12"/>
        <v>0</v>
      </c>
      <c r="K84" s="1912"/>
      <c r="L84" s="1912"/>
      <c r="M84" s="708" t="s">
        <v>2321</v>
      </c>
      <c r="N84" s="223"/>
      <c r="O84" s="706">
        <f t="shared" si="13"/>
        <v>0</v>
      </c>
    </row>
    <row r="85" spans="1:15" s="360" customFormat="1" ht="51" hidden="1">
      <c r="A85" s="356" t="s">
        <v>469</v>
      </c>
      <c r="B85" s="707" t="s">
        <v>3272</v>
      </c>
      <c r="C85" s="633">
        <f t="shared" si="10"/>
        <v>0</v>
      </c>
      <c r="D85" s="354" t="s">
        <v>5</v>
      </c>
      <c r="E85" s="622">
        <f t="shared" si="11"/>
        <v>10584.6</v>
      </c>
      <c r="F85" s="917">
        <f t="shared" si="9"/>
        <v>0</v>
      </c>
      <c r="G85" s="358">
        <f>WORK!I639</f>
        <v>0</v>
      </c>
      <c r="H85" s="354" t="s">
        <v>5</v>
      </c>
      <c r="I85" s="355">
        <f>WORK!K639</f>
        <v>10584.6</v>
      </c>
      <c r="J85" s="353">
        <f t="shared" si="12"/>
        <v>0</v>
      </c>
      <c r="K85" s="1913"/>
      <c r="L85" s="1913"/>
      <c r="M85" s="1139" t="s">
        <v>2322</v>
      </c>
      <c r="N85" s="223"/>
      <c r="O85" s="1138">
        <f t="shared" si="13"/>
        <v>0</v>
      </c>
    </row>
    <row r="86" spans="1:15" s="360" customFormat="1" ht="51">
      <c r="A86" s="356" t="s">
        <v>473</v>
      </c>
      <c r="B86" s="707" t="s">
        <v>3273</v>
      </c>
      <c r="C86" s="633">
        <f t="shared" si="10"/>
        <v>12</v>
      </c>
      <c r="D86" s="916" t="s">
        <v>277</v>
      </c>
      <c r="E86" s="622">
        <f t="shared" si="11"/>
        <v>474.83999999999992</v>
      </c>
      <c r="F86" s="917">
        <f t="shared" si="9"/>
        <v>5698</v>
      </c>
      <c r="G86" s="358">
        <f>WORK!I644</f>
        <v>12</v>
      </c>
      <c r="H86" s="354" t="s">
        <v>277</v>
      </c>
      <c r="I86" s="355">
        <f>WORK!K644</f>
        <v>474.83999999999992</v>
      </c>
      <c r="J86" s="353">
        <f t="shared" si="12"/>
        <v>5698.08</v>
      </c>
      <c r="K86" s="1930">
        <f>IF((J86+J87+J88+J89)&gt;(F86+F87+F88+F89),(J86+J87+J88+J89)-(F86+F87+F88+F89),0)</f>
        <v>7.999999999992724E-2</v>
      </c>
      <c r="L86" s="1930">
        <f>IF((J86+J87+J88+J89)&lt;(F86+F87+F88+F89),(F86+F87+F88+F89)-(J86+J87+J88+J89),0)</f>
        <v>0</v>
      </c>
      <c r="M86" s="1139" t="s">
        <v>2226</v>
      </c>
      <c r="N86" s="223"/>
      <c r="O86" s="1138">
        <f t="shared" si="13"/>
        <v>-7.999999999992724E-2</v>
      </c>
    </row>
    <row r="87" spans="1:15" s="360" customFormat="1" ht="51" hidden="1">
      <c r="A87" s="356" t="s">
        <v>478</v>
      </c>
      <c r="B87" s="707" t="s">
        <v>3273</v>
      </c>
      <c r="C87" s="633">
        <f t="shared" si="10"/>
        <v>0</v>
      </c>
      <c r="D87" s="354"/>
      <c r="E87" s="622">
        <f t="shared" si="11"/>
        <v>482.90999999999997</v>
      </c>
      <c r="F87" s="917">
        <f t="shared" si="9"/>
        <v>0</v>
      </c>
      <c r="G87" s="358">
        <f>WORK!I649</f>
        <v>0</v>
      </c>
      <c r="H87" s="354" t="s">
        <v>277</v>
      </c>
      <c r="I87" s="355">
        <f>WORK!K649</f>
        <v>482.90999999999997</v>
      </c>
      <c r="J87" s="353">
        <f t="shared" si="12"/>
        <v>0</v>
      </c>
      <c r="K87" s="1912"/>
      <c r="L87" s="1912"/>
      <c r="M87" s="708" t="s">
        <v>2308</v>
      </c>
      <c r="N87" s="223"/>
      <c r="O87" s="706">
        <f t="shared" si="13"/>
        <v>0</v>
      </c>
    </row>
    <row r="88" spans="1:15" s="360" customFormat="1" ht="15" hidden="1">
      <c r="A88" s="356" t="s">
        <v>478</v>
      </c>
      <c r="B88" s="707" t="s">
        <v>2077</v>
      </c>
      <c r="C88" s="633">
        <f t="shared" si="10"/>
        <v>0</v>
      </c>
      <c r="D88" s="354"/>
      <c r="E88" s="622">
        <f t="shared" si="11"/>
        <v>507.79999999999995</v>
      </c>
      <c r="F88" s="917">
        <f t="shared" si="9"/>
        <v>0</v>
      </c>
      <c r="G88" s="358">
        <f>WORK!I655</f>
        <v>0</v>
      </c>
      <c r="H88" s="354" t="s">
        <v>277</v>
      </c>
      <c r="I88" s="355">
        <f>WORK!K655</f>
        <v>507.79999999999995</v>
      </c>
      <c r="J88" s="353">
        <f t="shared" si="12"/>
        <v>0</v>
      </c>
      <c r="K88" s="1912"/>
      <c r="L88" s="1912"/>
      <c r="M88" s="708" t="s">
        <v>2321</v>
      </c>
      <c r="N88" s="223"/>
      <c r="O88" s="706">
        <f t="shared" si="13"/>
        <v>0</v>
      </c>
    </row>
    <row r="89" spans="1:15" s="360" customFormat="1" ht="51" hidden="1">
      <c r="A89" s="356" t="s">
        <v>472</v>
      </c>
      <c r="B89" s="707" t="s">
        <v>3273</v>
      </c>
      <c r="C89" s="633">
        <f t="shared" si="10"/>
        <v>0</v>
      </c>
      <c r="D89" s="354" t="s">
        <v>277</v>
      </c>
      <c r="E89" s="622">
        <f t="shared" si="11"/>
        <v>518.52</v>
      </c>
      <c r="F89" s="917">
        <f t="shared" si="9"/>
        <v>0</v>
      </c>
      <c r="G89" s="358">
        <f>WORK!I660</f>
        <v>0</v>
      </c>
      <c r="H89" s="354" t="s">
        <v>277</v>
      </c>
      <c r="I89" s="355">
        <f>WORK!K660</f>
        <v>518.52</v>
      </c>
      <c r="J89" s="353">
        <f t="shared" si="12"/>
        <v>0</v>
      </c>
      <c r="K89" s="1913"/>
      <c r="L89" s="1913"/>
      <c r="M89" s="1139" t="s">
        <v>2322</v>
      </c>
      <c r="N89" s="223"/>
      <c r="O89" s="1138">
        <f t="shared" si="13"/>
        <v>0</v>
      </c>
    </row>
    <row r="90" spans="1:15" s="360" customFormat="1" ht="51">
      <c r="A90" s="356" t="s">
        <v>474</v>
      </c>
      <c r="B90" s="707" t="s">
        <v>3375</v>
      </c>
      <c r="C90" s="633">
        <f t="shared" si="10"/>
        <v>108</v>
      </c>
      <c r="D90" s="221" t="s">
        <v>102</v>
      </c>
      <c r="E90" s="622">
        <f t="shared" si="11"/>
        <v>259.97000000000003</v>
      </c>
      <c r="F90" s="917">
        <f t="shared" si="9"/>
        <v>28077</v>
      </c>
      <c r="G90" s="358">
        <f>WORK!I666</f>
        <v>108</v>
      </c>
      <c r="H90" s="221" t="s">
        <v>102</v>
      </c>
      <c r="I90" s="355">
        <f>WORK!K666</f>
        <v>259.97000000000003</v>
      </c>
      <c r="J90" s="353">
        <f t="shared" si="12"/>
        <v>28076.76</v>
      </c>
      <c r="K90" s="1911">
        <f>IF((J90+J91+J92+J93)&gt;(F90+F91+F92+F93),(J90+J91+J92+J93)-(F90+F91+F92+F93),0)</f>
        <v>0</v>
      </c>
      <c r="L90" s="1911">
        <f>IF((J90+J91+J92+J93)&lt;(F90+F91+F92+F93),(F90+F91+F92+F93)-(J90+J91+J92+J93),0)</f>
        <v>0.24000000000160071</v>
      </c>
      <c r="M90" s="1139" t="s">
        <v>2226</v>
      </c>
      <c r="N90" s="223"/>
      <c r="O90" s="1138">
        <f t="shared" si="13"/>
        <v>0.24000000000160071</v>
      </c>
    </row>
    <row r="91" spans="1:15" s="360" customFormat="1" ht="15" hidden="1">
      <c r="A91" s="356" t="s">
        <v>482</v>
      </c>
      <c r="B91" s="707" t="s">
        <v>1480</v>
      </c>
      <c r="C91" s="633">
        <f t="shared" si="10"/>
        <v>0</v>
      </c>
      <c r="D91" s="221" t="s">
        <v>102</v>
      </c>
      <c r="E91" s="622">
        <f t="shared" si="11"/>
        <v>280.02999999999997</v>
      </c>
      <c r="F91" s="917">
        <f t="shared" si="9"/>
        <v>0</v>
      </c>
      <c r="G91" s="358">
        <f>WORK!I672</f>
        <v>0</v>
      </c>
      <c r="H91" s="221" t="s">
        <v>102</v>
      </c>
      <c r="I91" s="355">
        <f>WORK!K672</f>
        <v>280.02999999999997</v>
      </c>
      <c r="J91" s="353">
        <f t="shared" si="12"/>
        <v>0</v>
      </c>
      <c r="K91" s="1912"/>
      <c r="L91" s="1912"/>
      <c r="M91" s="708" t="s">
        <v>2308</v>
      </c>
      <c r="N91" s="223"/>
      <c r="O91" s="706">
        <f t="shared" si="13"/>
        <v>0</v>
      </c>
    </row>
    <row r="92" spans="1:15" s="360" customFormat="1" ht="15" hidden="1">
      <c r="A92" s="356" t="s">
        <v>480</v>
      </c>
      <c r="B92" s="707" t="s">
        <v>1480</v>
      </c>
      <c r="C92" s="633">
        <f t="shared" si="10"/>
        <v>0</v>
      </c>
      <c r="D92" s="221"/>
      <c r="E92" s="622">
        <f t="shared" si="11"/>
        <v>297.22000000000003</v>
      </c>
      <c r="F92" s="917">
        <f t="shared" si="9"/>
        <v>0</v>
      </c>
      <c r="G92" s="358">
        <f>WORK!I678</f>
        <v>0</v>
      </c>
      <c r="H92" s="221" t="s">
        <v>102</v>
      </c>
      <c r="I92" s="355">
        <f>WORK!K678</f>
        <v>297.22000000000003</v>
      </c>
      <c r="J92" s="353">
        <f t="shared" si="12"/>
        <v>0</v>
      </c>
      <c r="K92" s="1912"/>
      <c r="L92" s="1912"/>
      <c r="M92" s="708" t="s">
        <v>2321</v>
      </c>
      <c r="N92" s="223"/>
      <c r="O92" s="706">
        <f t="shared" si="13"/>
        <v>0</v>
      </c>
    </row>
    <row r="93" spans="1:15" s="360" customFormat="1" ht="15" hidden="1">
      <c r="A93" s="356" t="s">
        <v>479</v>
      </c>
      <c r="B93" s="707" t="s">
        <v>1480</v>
      </c>
      <c r="C93" s="633">
        <f t="shared" si="10"/>
        <v>0</v>
      </c>
      <c r="D93" s="221"/>
      <c r="E93" s="622">
        <f t="shared" si="11"/>
        <v>315.69</v>
      </c>
      <c r="F93" s="917">
        <f t="shared" si="9"/>
        <v>0</v>
      </c>
      <c r="G93" s="358">
        <f>WORK!I684</f>
        <v>0</v>
      </c>
      <c r="H93" s="221" t="s">
        <v>102</v>
      </c>
      <c r="I93" s="355">
        <f>WORK!K684</f>
        <v>315.69</v>
      </c>
      <c r="J93" s="353">
        <f t="shared" si="12"/>
        <v>0</v>
      </c>
      <c r="K93" s="1913"/>
      <c r="L93" s="1913"/>
      <c r="M93" s="708" t="s">
        <v>2322</v>
      </c>
      <c r="N93" s="223"/>
      <c r="O93" s="706">
        <f t="shared" si="13"/>
        <v>0</v>
      </c>
    </row>
    <row r="94" spans="1:15" s="360" customFormat="1" ht="51" hidden="1">
      <c r="A94" s="356" t="s">
        <v>475</v>
      </c>
      <c r="B94" s="707" t="s">
        <v>3401</v>
      </c>
      <c r="C94" s="633">
        <f t="shared" si="10"/>
        <v>0</v>
      </c>
      <c r="D94" s="221"/>
      <c r="E94" s="622">
        <f t="shared" si="11"/>
        <v>330.39</v>
      </c>
      <c r="F94" s="917">
        <f t="shared" si="9"/>
        <v>0</v>
      </c>
      <c r="G94" s="358">
        <f>WORK!I690</f>
        <v>0</v>
      </c>
      <c r="H94" s="221" t="s">
        <v>102</v>
      </c>
      <c r="I94" s="355">
        <f>WORK!K690</f>
        <v>330.39</v>
      </c>
      <c r="J94" s="353">
        <f t="shared" si="12"/>
        <v>0</v>
      </c>
      <c r="K94" s="1911">
        <f>IF((J94+J95+J96+J97)&gt;(F94+F95+F96+F97),(J94+J95+J96+J97)-(F94+F95+F96+F97),0)</f>
        <v>0</v>
      </c>
      <c r="L94" s="1911">
        <f>IF((J94+J95+J96+J97)&lt;(F94+F95+F96+F97),(F94+F95+F96+F97)-(J94+J95+J96+J97),0)</f>
        <v>0</v>
      </c>
      <c r="M94" s="708" t="s">
        <v>2226</v>
      </c>
      <c r="N94" s="223"/>
      <c r="O94" s="706">
        <f t="shared" si="13"/>
        <v>0</v>
      </c>
    </row>
    <row r="95" spans="1:15" s="360" customFormat="1" ht="51" hidden="1">
      <c r="A95" s="356" t="s">
        <v>479</v>
      </c>
      <c r="B95" s="707" t="s">
        <v>3401</v>
      </c>
      <c r="C95" s="633">
        <f t="shared" si="10"/>
        <v>0</v>
      </c>
      <c r="D95" s="221" t="s">
        <v>102</v>
      </c>
      <c r="E95" s="622">
        <f t="shared" si="11"/>
        <v>357.62</v>
      </c>
      <c r="F95" s="917">
        <f t="shared" si="9"/>
        <v>0</v>
      </c>
      <c r="G95" s="358">
        <f>WORK!I696</f>
        <v>0</v>
      </c>
      <c r="H95" s="221" t="s">
        <v>102</v>
      </c>
      <c r="I95" s="355">
        <f>WORK!K696</f>
        <v>357.62</v>
      </c>
      <c r="J95" s="353">
        <f t="shared" si="12"/>
        <v>0</v>
      </c>
      <c r="K95" s="1912"/>
      <c r="L95" s="1912"/>
      <c r="M95" s="1139" t="s">
        <v>2308</v>
      </c>
      <c r="N95" s="223"/>
      <c r="O95" s="1138">
        <f t="shared" si="13"/>
        <v>0</v>
      </c>
    </row>
    <row r="96" spans="1:15" s="360" customFormat="1" ht="15" hidden="1">
      <c r="A96" s="356" t="s">
        <v>476</v>
      </c>
      <c r="B96" s="707" t="s">
        <v>1481</v>
      </c>
      <c r="C96" s="633">
        <f t="shared" si="10"/>
        <v>0</v>
      </c>
      <c r="D96" s="221"/>
      <c r="E96" s="622">
        <f t="shared" si="11"/>
        <v>380.75</v>
      </c>
      <c r="F96" s="917">
        <f t="shared" si="9"/>
        <v>0</v>
      </c>
      <c r="G96" s="358">
        <f>WORK!I702</f>
        <v>0</v>
      </c>
      <c r="H96" s="221" t="s">
        <v>102</v>
      </c>
      <c r="I96" s="355">
        <f>WORK!K702</f>
        <v>380.75</v>
      </c>
      <c r="J96" s="353">
        <f t="shared" si="12"/>
        <v>0</v>
      </c>
      <c r="K96" s="1912"/>
      <c r="L96" s="1912"/>
      <c r="M96" s="708" t="s">
        <v>2321</v>
      </c>
      <c r="N96" s="223"/>
      <c r="O96" s="706">
        <f t="shared" si="13"/>
        <v>0</v>
      </c>
    </row>
    <row r="97" spans="1:15" s="360" customFormat="1" ht="15" hidden="1">
      <c r="A97" s="356" t="s">
        <v>476</v>
      </c>
      <c r="B97" s="707" t="s">
        <v>1481</v>
      </c>
      <c r="C97" s="633">
        <f t="shared" si="10"/>
        <v>0</v>
      </c>
      <c r="D97" s="221"/>
      <c r="E97" s="622">
        <f t="shared" si="11"/>
        <v>405.78</v>
      </c>
      <c r="F97" s="917">
        <f t="shared" si="9"/>
        <v>0</v>
      </c>
      <c r="G97" s="358">
        <f>WORK!I708</f>
        <v>0</v>
      </c>
      <c r="H97" s="221" t="s">
        <v>102</v>
      </c>
      <c r="I97" s="355">
        <f>WORK!K708</f>
        <v>405.78</v>
      </c>
      <c r="J97" s="353">
        <f t="shared" si="12"/>
        <v>0</v>
      </c>
      <c r="K97" s="1913"/>
      <c r="L97" s="1913"/>
      <c r="M97" s="708" t="s">
        <v>2322</v>
      </c>
      <c r="N97" s="223"/>
      <c r="O97" s="706">
        <f t="shared" si="13"/>
        <v>0</v>
      </c>
    </row>
    <row r="98" spans="1:15" s="360" customFormat="1" ht="51" hidden="1">
      <c r="A98" s="356" t="s">
        <v>475</v>
      </c>
      <c r="B98" s="707" t="s">
        <v>3274</v>
      </c>
      <c r="C98" s="633">
        <f t="shared" si="10"/>
        <v>0</v>
      </c>
      <c r="D98" s="354" t="s">
        <v>5</v>
      </c>
      <c r="E98" s="622">
        <f t="shared" si="11"/>
        <v>4946.1699999999992</v>
      </c>
      <c r="F98" s="917">
        <f t="shared" si="9"/>
        <v>0</v>
      </c>
      <c r="G98" s="358">
        <f>WORK!I1206</f>
        <v>0</v>
      </c>
      <c r="H98" s="354" t="s">
        <v>5</v>
      </c>
      <c r="I98" s="355">
        <f>WORK!K1206</f>
        <v>4946.1699999999992</v>
      </c>
      <c r="J98" s="353">
        <f t="shared" si="12"/>
        <v>0</v>
      </c>
      <c r="K98" s="1930">
        <f>IF((J98+J99+J100+J101)&gt;(F98+F99+F100+F101),(J98+J99+J100+J101)-(F98+F99+F100+F101),0)</f>
        <v>0</v>
      </c>
      <c r="L98" s="1930">
        <f>IF((J98+J99+J100+J101)&lt;(F98+F99+F100+F101),(F98+F99+F100+F101)-(J98+J99+J100+J101),0)</f>
        <v>0</v>
      </c>
      <c r="M98" s="1139" t="s">
        <v>2226</v>
      </c>
      <c r="N98" s="223"/>
      <c r="O98" s="1138">
        <f t="shared" si="13"/>
        <v>0</v>
      </c>
    </row>
    <row r="99" spans="1:15" s="360" customFormat="1" ht="15" hidden="1">
      <c r="A99" s="356" t="s">
        <v>475</v>
      </c>
      <c r="B99" s="707" t="s">
        <v>2078</v>
      </c>
      <c r="C99" s="633">
        <f t="shared" si="10"/>
        <v>0</v>
      </c>
      <c r="D99" s="354"/>
      <c r="E99" s="622">
        <f t="shared" si="11"/>
        <v>5115.5200000000004</v>
      </c>
      <c r="F99" s="917">
        <f t="shared" si="9"/>
        <v>0</v>
      </c>
      <c r="G99" s="358">
        <f>WORK!I1213</f>
        <v>0</v>
      </c>
      <c r="H99" s="354" t="s">
        <v>5</v>
      </c>
      <c r="I99" s="355">
        <f>WORK!K1213</f>
        <v>5115.5200000000004</v>
      </c>
      <c r="J99" s="353">
        <f t="shared" si="12"/>
        <v>0</v>
      </c>
      <c r="K99" s="1912"/>
      <c r="L99" s="1912"/>
      <c r="M99" s="708" t="s">
        <v>2308</v>
      </c>
      <c r="N99" s="223"/>
      <c r="O99" s="706">
        <f t="shared" si="13"/>
        <v>0</v>
      </c>
    </row>
    <row r="100" spans="1:15" s="360" customFormat="1" ht="15" hidden="1">
      <c r="A100" s="356" t="s">
        <v>475</v>
      </c>
      <c r="B100" s="707" t="s">
        <v>2078</v>
      </c>
      <c r="C100" s="633">
        <f t="shared" si="10"/>
        <v>0</v>
      </c>
      <c r="D100" s="354"/>
      <c r="E100" s="622">
        <f t="shared" si="11"/>
        <v>5349.0700000000006</v>
      </c>
      <c r="F100" s="917">
        <f t="shared" si="9"/>
        <v>0</v>
      </c>
      <c r="G100" s="358">
        <f>WORK!I1220</f>
        <v>0</v>
      </c>
      <c r="H100" s="354" t="s">
        <v>5</v>
      </c>
      <c r="I100" s="355">
        <f>WORK!K1220</f>
        <v>5349.0700000000006</v>
      </c>
      <c r="J100" s="353">
        <f t="shared" si="12"/>
        <v>0</v>
      </c>
      <c r="K100" s="1912"/>
      <c r="L100" s="1912"/>
      <c r="M100" s="708" t="s">
        <v>2321</v>
      </c>
      <c r="N100" s="223"/>
      <c r="O100" s="706">
        <f t="shared" si="13"/>
        <v>0</v>
      </c>
    </row>
    <row r="101" spans="1:15" s="360" customFormat="1" ht="15" hidden="1">
      <c r="A101" s="356" t="s">
        <v>475</v>
      </c>
      <c r="B101" s="707" t="s">
        <v>2078</v>
      </c>
      <c r="C101" s="633">
        <f t="shared" si="10"/>
        <v>0</v>
      </c>
      <c r="D101" s="354"/>
      <c r="E101" s="622">
        <f t="shared" si="11"/>
        <v>5601.67</v>
      </c>
      <c r="F101" s="917">
        <f t="shared" si="9"/>
        <v>0</v>
      </c>
      <c r="G101" s="358">
        <f>WORK!I1225</f>
        <v>0</v>
      </c>
      <c r="H101" s="354" t="s">
        <v>5</v>
      </c>
      <c r="I101" s="355">
        <f>WORK!K1225</f>
        <v>5601.67</v>
      </c>
      <c r="J101" s="353">
        <f t="shared" si="12"/>
        <v>0</v>
      </c>
      <c r="K101" s="1913"/>
      <c r="L101" s="1913"/>
      <c r="M101" s="708" t="s">
        <v>2322</v>
      </c>
      <c r="N101" s="223"/>
      <c r="O101" s="706">
        <f t="shared" si="13"/>
        <v>0</v>
      </c>
    </row>
    <row r="102" spans="1:15" s="360" customFormat="1" ht="15" hidden="1">
      <c r="A102" s="356" t="s">
        <v>476</v>
      </c>
      <c r="B102" s="707" t="s">
        <v>1220</v>
      </c>
      <c r="C102" s="633">
        <f t="shared" si="10"/>
        <v>0</v>
      </c>
      <c r="D102" s="354"/>
      <c r="E102" s="622">
        <f t="shared" si="11"/>
        <v>3154.94</v>
      </c>
      <c r="F102" s="917">
        <f t="shared" si="9"/>
        <v>0</v>
      </c>
      <c r="G102" s="358">
        <f>WORK!I715</f>
        <v>0</v>
      </c>
      <c r="H102" s="354" t="s">
        <v>5</v>
      </c>
      <c r="I102" s="355">
        <f>WORK!K715</f>
        <v>3154.94</v>
      </c>
      <c r="J102" s="353">
        <f t="shared" si="12"/>
        <v>0</v>
      </c>
      <c r="K102" s="1911">
        <f>IF((J102+J103+J104+J105)&gt;(F102+F103+F104+F105),(J102+J103+J104+J105)-(F102+F103+F104+F105),0)</f>
        <v>0</v>
      </c>
      <c r="L102" s="1911">
        <f>IF((J102+J103+J104+J105)&lt;(F102+F103+F104+F105),(F102+F103+F104+F105)-(J102+J103+J104+J105),0)</f>
        <v>0</v>
      </c>
      <c r="M102" s="708" t="s">
        <v>2226</v>
      </c>
      <c r="N102" s="223"/>
      <c r="O102" s="706">
        <f t="shared" si="13"/>
        <v>0</v>
      </c>
    </row>
    <row r="103" spans="1:15" s="360" customFormat="1" ht="15" hidden="1">
      <c r="A103" s="356" t="s">
        <v>476</v>
      </c>
      <c r="B103" s="707" t="s">
        <v>1220</v>
      </c>
      <c r="C103" s="633">
        <f t="shared" si="10"/>
        <v>0</v>
      </c>
      <c r="D103" s="354"/>
      <c r="E103" s="622">
        <f t="shared" si="11"/>
        <v>3350.54</v>
      </c>
      <c r="F103" s="917">
        <f t="shared" si="9"/>
        <v>0</v>
      </c>
      <c r="G103" s="358">
        <f>WORK!I722</f>
        <v>0</v>
      </c>
      <c r="H103" s="354" t="s">
        <v>5</v>
      </c>
      <c r="I103" s="355">
        <f>WORK!K722</f>
        <v>3350.54</v>
      </c>
      <c r="J103" s="353">
        <f t="shared" si="12"/>
        <v>0</v>
      </c>
      <c r="K103" s="1912"/>
      <c r="L103" s="1912"/>
      <c r="M103" s="708" t="s">
        <v>2308</v>
      </c>
      <c r="N103" s="223"/>
      <c r="O103" s="706">
        <f t="shared" si="13"/>
        <v>0</v>
      </c>
    </row>
    <row r="104" spans="1:15" s="360" customFormat="1" ht="15" hidden="1">
      <c r="A104" s="356" t="s">
        <v>476</v>
      </c>
      <c r="B104" s="707" t="s">
        <v>1220</v>
      </c>
      <c r="C104" s="633">
        <f t="shared" si="10"/>
        <v>0</v>
      </c>
      <c r="D104" s="354"/>
      <c r="E104" s="622">
        <f t="shared" si="11"/>
        <v>3615.1600000000003</v>
      </c>
      <c r="F104" s="917">
        <f t="shared" si="9"/>
        <v>0</v>
      </c>
      <c r="G104" s="358">
        <f>WORK!I729</f>
        <v>0</v>
      </c>
      <c r="H104" s="354" t="s">
        <v>5</v>
      </c>
      <c r="I104" s="355">
        <f>WORK!K729</f>
        <v>3615.1600000000003</v>
      </c>
      <c r="J104" s="353">
        <f t="shared" si="12"/>
        <v>0</v>
      </c>
      <c r="K104" s="1912"/>
      <c r="L104" s="1912"/>
      <c r="M104" s="708" t="s">
        <v>2321</v>
      </c>
      <c r="N104" s="223"/>
      <c r="O104" s="706">
        <f t="shared" si="13"/>
        <v>0</v>
      </c>
    </row>
    <row r="105" spans="1:15" s="360" customFormat="1" ht="15" hidden="1">
      <c r="A105" s="356" t="s">
        <v>476</v>
      </c>
      <c r="B105" s="707" t="s">
        <v>1220</v>
      </c>
      <c r="C105" s="633">
        <f t="shared" si="10"/>
        <v>0</v>
      </c>
      <c r="D105" s="354"/>
      <c r="E105" s="622">
        <f t="shared" si="11"/>
        <v>3828.3500000000004</v>
      </c>
      <c r="F105" s="917">
        <f t="shared" si="9"/>
        <v>0</v>
      </c>
      <c r="G105" s="358">
        <f>WORK!I735</f>
        <v>0</v>
      </c>
      <c r="H105" s="354" t="s">
        <v>5</v>
      </c>
      <c r="I105" s="355">
        <f>WORK!K735</f>
        <v>3828.3500000000004</v>
      </c>
      <c r="J105" s="353">
        <f t="shared" si="12"/>
        <v>0</v>
      </c>
      <c r="K105" s="1913"/>
      <c r="L105" s="1913"/>
      <c r="M105" s="708" t="s">
        <v>2322</v>
      </c>
      <c r="N105" s="223"/>
      <c r="O105" s="706">
        <f t="shared" si="13"/>
        <v>0</v>
      </c>
    </row>
    <row r="106" spans="1:15" s="360" customFormat="1" ht="63.75">
      <c r="A106" s="356" t="s">
        <v>475</v>
      </c>
      <c r="B106" s="707" t="s">
        <v>3275</v>
      </c>
      <c r="C106" s="633">
        <f t="shared" si="10"/>
        <v>19.080000000000002</v>
      </c>
      <c r="D106" s="916" t="s">
        <v>5</v>
      </c>
      <c r="E106" s="622">
        <f t="shared" si="11"/>
        <v>5588.9500000000007</v>
      </c>
      <c r="F106" s="917">
        <f t="shared" si="9"/>
        <v>106637</v>
      </c>
      <c r="G106" s="358">
        <f>WORK!I753</f>
        <v>19.080000000000002</v>
      </c>
      <c r="H106" s="354" t="s">
        <v>5</v>
      </c>
      <c r="I106" s="355">
        <f>WORK!K753</f>
        <v>5588.9500000000007</v>
      </c>
      <c r="J106" s="353">
        <f t="shared" si="12"/>
        <v>106637.17</v>
      </c>
      <c r="K106" s="1930">
        <f>IF((J106+J107+J108+J109)&gt;(F106+F107+F108+F109),(J106+J107+J108+J109)-(F106+F107+F108+F109),0)</f>
        <v>0.16999999999825377</v>
      </c>
      <c r="L106" s="1930">
        <f>IF((J106+J107+J108+J109)&lt;(F106+F107+F108+F109),(F106+F107+F108+F109)-(J106+J107+J108+J109),0)</f>
        <v>0</v>
      </c>
      <c r="M106" s="1139" t="s">
        <v>2226</v>
      </c>
      <c r="N106" s="223"/>
      <c r="O106" s="1138">
        <f t="shared" si="13"/>
        <v>-0.16999999999825377</v>
      </c>
    </row>
    <row r="107" spans="1:15" s="360" customFormat="1" ht="63.75" hidden="1">
      <c r="A107" s="356" t="s">
        <v>484</v>
      </c>
      <c r="B107" s="707" t="s">
        <v>3275</v>
      </c>
      <c r="C107" s="633">
        <f t="shared" si="10"/>
        <v>0</v>
      </c>
      <c r="D107" s="354" t="s">
        <v>5</v>
      </c>
      <c r="E107" s="622">
        <f t="shared" si="11"/>
        <v>5751.7699999999995</v>
      </c>
      <c r="F107" s="917">
        <f t="shared" si="9"/>
        <v>0</v>
      </c>
      <c r="G107" s="358">
        <f>WORK!I772</f>
        <v>0</v>
      </c>
      <c r="H107" s="354" t="s">
        <v>5</v>
      </c>
      <c r="I107" s="355">
        <f>WORK!K772</f>
        <v>5751.7699999999995</v>
      </c>
      <c r="J107" s="353">
        <f t="shared" si="12"/>
        <v>0</v>
      </c>
      <c r="K107" s="1912"/>
      <c r="L107" s="1912"/>
      <c r="M107" s="708" t="s">
        <v>2308</v>
      </c>
      <c r="N107" s="223"/>
      <c r="O107" s="706">
        <f t="shared" si="13"/>
        <v>0</v>
      </c>
    </row>
    <row r="108" spans="1:15" s="360" customFormat="1" ht="15" hidden="1">
      <c r="A108" s="356" t="s">
        <v>480</v>
      </c>
      <c r="B108" s="707" t="s">
        <v>828</v>
      </c>
      <c r="C108" s="633">
        <f t="shared" si="10"/>
        <v>0</v>
      </c>
      <c r="D108" s="354"/>
      <c r="E108" s="622">
        <f t="shared" si="11"/>
        <v>6154.1100000000006</v>
      </c>
      <c r="F108" s="917">
        <f t="shared" si="9"/>
        <v>0</v>
      </c>
      <c r="G108" s="358">
        <f>WORK!I780</f>
        <v>0</v>
      </c>
      <c r="H108" s="354" t="s">
        <v>5</v>
      </c>
      <c r="I108" s="355">
        <f>WORK!K780</f>
        <v>6154.1100000000006</v>
      </c>
      <c r="J108" s="353">
        <f t="shared" si="12"/>
        <v>0</v>
      </c>
      <c r="K108" s="1912"/>
      <c r="L108" s="1912"/>
      <c r="M108" s="708" t="s">
        <v>2321</v>
      </c>
      <c r="N108" s="223"/>
      <c r="O108" s="706">
        <f t="shared" si="13"/>
        <v>0</v>
      </c>
    </row>
    <row r="109" spans="1:15" s="360" customFormat="1" ht="15" hidden="1">
      <c r="A109" s="356" t="s">
        <v>479</v>
      </c>
      <c r="B109" s="707" t="s">
        <v>828</v>
      </c>
      <c r="C109" s="633">
        <f t="shared" si="10"/>
        <v>0</v>
      </c>
      <c r="D109" s="354"/>
      <c r="E109" s="622">
        <f t="shared" si="11"/>
        <v>6869.83</v>
      </c>
      <c r="F109" s="917">
        <f t="shared" si="9"/>
        <v>0</v>
      </c>
      <c r="G109" s="358">
        <f>WORK!I798</f>
        <v>0</v>
      </c>
      <c r="H109" s="354" t="s">
        <v>5</v>
      </c>
      <c r="I109" s="355">
        <f>WORK!K798</f>
        <v>6869.83</v>
      </c>
      <c r="J109" s="353">
        <f t="shared" si="12"/>
        <v>0</v>
      </c>
      <c r="K109" s="1913"/>
      <c r="L109" s="1913"/>
      <c r="M109" s="708" t="s">
        <v>2322</v>
      </c>
      <c r="N109" s="223"/>
      <c r="O109" s="706">
        <f t="shared" si="13"/>
        <v>0</v>
      </c>
    </row>
    <row r="110" spans="1:15" s="360" customFormat="1" ht="63.75">
      <c r="A110" s="356" t="s">
        <v>476</v>
      </c>
      <c r="B110" s="707" t="s">
        <v>3276</v>
      </c>
      <c r="C110" s="633">
        <f t="shared" si="10"/>
        <v>21.8</v>
      </c>
      <c r="D110" s="916" t="s">
        <v>5</v>
      </c>
      <c r="E110" s="622">
        <f t="shared" si="11"/>
        <v>5645.35</v>
      </c>
      <c r="F110" s="917">
        <f t="shared" si="9"/>
        <v>123069</v>
      </c>
      <c r="G110" s="358">
        <f>WORK!I820</f>
        <v>21.8</v>
      </c>
      <c r="H110" s="354" t="s">
        <v>5</v>
      </c>
      <c r="I110" s="355">
        <f>WORK!K820</f>
        <v>5645.35</v>
      </c>
      <c r="J110" s="353">
        <f t="shared" si="12"/>
        <v>123068.63</v>
      </c>
      <c r="K110" s="1930">
        <f>IF((J110+J111+J112+J113)&gt;(F110+F111+F112+F113),(J110+J111+J112+J113)-(F110+F111+F112+F113),0)</f>
        <v>0</v>
      </c>
      <c r="L110" s="1930">
        <f>IF((J110+J111+J112+J113)&lt;(F110+F111+F112+F113),(F110+F111+F112+F113)-(J110+J111+J112+J113),0)</f>
        <v>0.36999999999534339</v>
      </c>
      <c r="M110" s="1139" t="s">
        <v>2226</v>
      </c>
      <c r="N110" s="223"/>
      <c r="O110" s="1138">
        <f t="shared" si="13"/>
        <v>0.36999999999534339</v>
      </c>
    </row>
    <row r="111" spans="1:15" s="360" customFormat="1" ht="63.75" hidden="1">
      <c r="A111" s="356" t="s">
        <v>482</v>
      </c>
      <c r="B111" s="707" t="s">
        <v>3276</v>
      </c>
      <c r="C111" s="633">
        <f t="shared" si="10"/>
        <v>0</v>
      </c>
      <c r="D111" s="354" t="s">
        <v>5</v>
      </c>
      <c r="E111" s="622">
        <f t="shared" si="11"/>
        <v>5808.1699999999992</v>
      </c>
      <c r="F111" s="917">
        <f t="shared" si="9"/>
        <v>0</v>
      </c>
      <c r="G111" s="358">
        <f>WORK!I833</f>
        <v>0</v>
      </c>
      <c r="H111" s="354" t="s">
        <v>5</v>
      </c>
      <c r="I111" s="355">
        <f>WORK!K833</f>
        <v>5808.1699999999992</v>
      </c>
      <c r="J111" s="353">
        <f t="shared" si="12"/>
        <v>0</v>
      </c>
      <c r="K111" s="1912"/>
      <c r="L111" s="1912"/>
      <c r="M111" s="1139" t="s">
        <v>2308</v>
      </c>
      <c r="N111" s="223"/>
      <c r="O111" s="1138">
        <f t="shared" si="13"/>
        <v>0</v>
      </c>
    </row>
    <row r="112" spans="1:15" s="360" customFormat="1" ht="15" hidden="1">
      <c r="A112" s="356" t="s">
        <v>483</v>
      </c>
      <c r="B112" s="707" t="s">
        <v>829</v>
      </c>
      <c r="C112" s="633">
        <f t="shared" si="10"/>
        <v>0</v>
      </c>
      <c r="D112" s="354" t="s">
        <v>5</v>
      </c>
      <c r="E112" s="622">
        <f t="shared" si="11"/>
        <v>6210.51</v>
      </c>
      <c r="F112" s="917">
        <f t="shared" si="9"/>
        <v>0</v>
      </c>
      <c r="G112" s="358">
        <f>WORK!I852</f>
        <v>0</v>
      </c>
      <c r="H112" s="354" t="s">
        <v>5</v>
      </c>
      <c r="I112" s="355">
        <f>WORK!K852</f>
        <v>6210.51</v>
      </c>
      <c r="J112" s="353">
        <f t="shared" si="12"/>
        <v>0</v>
      </c>
      <c r="K112" s="1912"/>
      <c r="L112" s="1912"/>
      <c r="M112" s="708" t="s">
        <v>2321</v>
      </c>
      <c r="N112" s="223"/>
      <c r="O112" s="706">
        <f t="shared" si="13"/>
        <v>0</v>
      </c>
    </row>
    <row r="113" spans="1:15" s="360" customFormat="1" ht="63.75" hidden="1">
      <c r="A113" s="356" t="s">
        <v>475</v>
      </c>
      <c r="B113" s="707" t="s">
        <v>3276</v>
      </c>
      <c r="C113" s="633">
        <f t="shared" si="10"/>
        <v>0</v>
      </c>
      <c r="D113" s="354" t="s">
        <v>5</v>
      </c>
      <c r="E113" s="622">
        <f t="shared" si="11"/>
        <v>6926.2300000000005</v>
      </c>
      <c r="F113" s="917">
        <f t="shared" si="9"/>
        <v>0</v>
      </c>
      <c r="G113" s="358">
        <f>WORK!I860</f>
        <v>0</v>
      </c>
      <c r="H113" s="354" t="s">
        <v>5</v>
      </c>
      <c r="I113" s="355">
        <f>WORK!K860</f>
        <v>6926.2300000000005</v>
      </c>
      <c r="J113" s="353">
        <f t="shared" si="12"/>
        <v>0</v>
      </c>
      <c r="K113" s="1913"/>
      <c r="L113" s="1913"/>
      <c r="M113" s="1139" t="s">
        <v>2322</v>
      </c>
      <c r="N113" s="223"/>
      <c r="O113" s="1138">
        <f t="shared" si="13"/>
        <v>0</v>
      </c>
    </row>
    <row r="114" spans="1:15" s="360" customFormat="1" ht="51">
      <c r="A114" s="356" t="s">
        <v>478</v>
      </c>
      <c r="B114" s="707" t="s">
        <v>3277</v>
      </c>
      <c r="C114" s="633">
        <f t="shared" si="10"/>
        <v>40.4</v>
      </c>
      <c r="D114" s="916" t="s">
        <v>102</v>
      </c>
      <c r="E114" s="622">
        <f t="shared" si="11"/>
        <v>710.66</v>
      </c>
      <c r="F114" s="917">
        <f t="shared" si="9"/>
        <v>28711</v>
      </c>
      <c r="G114" s="358">
        <f>WORK!I872</f>
        <v>40.4</v>
      </c>
      <c r="H114" s="354" t="s">
        <v>102</v>
      </c>
      <c r="I114" s="355">
        <f>WORK!K872</f>
        <v>710.66</v>
      </c>
      <c r="J114" s="353">
        <f t="shared" si="12"/>
        <v>28710.66</v>
      </c>
      <c r="K114" s="1930">
        <f>IF((J114+J115+J116+J117)&gt;(F114+F115+F116+F117),(J114+J115+J116+J117)-(F114+F115+F116+F117),0)</f>
        <v>0</v>
      </c>
      <c r="L114" s="1930">
        <f>IF((J114+J115+J116+J117)&lt;(F114+F115+F116+F117),(F114+F115+F116+F117)-(J114+J115+J116+J117),0)</f>
        <v>0.34000000000014552</v>
      </c>
      <c r="M114" s="1139" t="s">
        <v>2226</v>
      </c>
      <c r="N114" s="223"/>
      <c r="O114" s="1138">
        <f t="shared" si="13"/>
        <v>0.34000000000014552</v>
      </c>
    </row>
    <row r="115" spans="1:15" s="360" customFormat="1" ht="51" hidden="1">
      <c r="A115" s="356" t="s">
        <v>484</v>
      </c>
      <c r="B115" s="707" t="s">
        <v>3277</v>
      </c>
      <c r="C115" s="633">
        <f t="shared" si="10"/>
        <v>0</v>
      </c>
      <c r="D115" s="354" t="s">
        <v>102</v>
      </c>
      <c r="E115" s="622">
        <f t="shared" si="11"/>
        <v>732.88</v>
      </c>
      <c r="F115" s="917">
        <f t="shared" si="9"/>
        <v>0</v>
      </c>
      <c r="G115" s="358">
        <f>WORK!I885</f>
        <v>0</v>
      </c>
      <c r="H115" s="354" t="s">
        <v>102</v>
      </c>
      <c r="I115" s="355">
        <f>WORK!K885</f>
        <v>732.88</v>
      </c>
      <c r="J115" s="353">
        <f t="shared" si="12"/>
        <v>0</v>
      </c>
      <c r="K115" s="1912"/>
      <c r="L115" s="1912"/>
      <c r="M115" s="708" t="s">
        <v>2308</v>
      </c>
      <c r="N115" s="223"/>
      <c r="O115" s="706">
        <f t="shared" si="13"/>
        <v>0</v>
      </c>
    </row>
    <row r="116" spans="1:15" s="360" customFormat="1" ht="15" hidden="1">
      <c r="A116" s="356" t="s">
        <v>484</v>
      </c>
      <c r="B116" s="707" t="s">
        <v>2465</v>
      </c>
      <c r="C116" s="633">
        <f t="shared" si="10"/>
        <v>0</v>
      </c>
      <c r="D116" s="354"/>
      <c r="E116" s="622">
        <f t="shared" si="11"/>
        <v>782.58</v>
      </c>
      <c r="F116" s="917">
        <f t="shared" si="9"/>
        <v>0</v>
      </c>
      <c r="G116" s="358">
        <f>WORK!I892</f>
        <v>0</v>
      </c>
      <c r="H116" s="354" t="s">
        <v>102</v>
      </c>
      <c r="I116" s="355">
        <f>WORK!K892</f>
        <v>782.58</v>
      </c>
      <c r="J116" s="353">
        <f t="shared" si="12"/>
        <v>0</v>
      </c>
      <c r="K116" s="1912"/>
      <c r="L116" s="1912"/>
      <c r="M116" s="708" t="s">
        <v>2321</v>
      </c>
      <c r="N116" s="223"/>
      <c r="O116" s="706">
        <f t="shared" si="13"/>
        <v>0</v>
      </c>
    </row>
    <row r="117" spans="1:15" s="360" customFormat="1" ht="51" hidden="1">
      <c r="A117" s="356" t="s">
        <v>476</v>
      </c>
      <c r="B117" s="707" t="s">
        <v>3277</v>
      </c>
      <c r="C117" s="633">
        <f t="shared" si="10"/>
        <v>0</v>
      </c>
      <c r="D117" s="354" t="s">
        <v>102</v>
      </c>
      <c r="E117" s="622">
        <f t="shared" si="11"/>
        <v>865.32</v>
      </c>
      <c r="F117" s="917">
        <f t="shared" si="9"/>
        <v>0</v>
      </c>
      <c r="G117" s="358">
        <f>WORK!I908</f>
        <v>0</v>
      </c>
      <c r="H117" s="354" t="s">
        <v>102</v>
      </c>
      <c r="I117" s="355">
        <f>WORK!K908</f>
        <v>865.32</v>
      </c>
      <c r="J117" s="353">
        <f t="shared" si="12"/>
        <v>0</v>
      </c>
      <c r="K117" s="1913"/>
      <c r="L117" s="1913"/>
      <c r="M117" s="1139" t="s">
        <v>2322</v>
      </c>
      <c r="N117" s="223"/>
      <c r="O117" s="1138">
        <f t="shared" si="13"/>
        <v>0</v>
      </c>
    </row>
    <row r="118" spans="1:15" s="360" customFormat="1" ht="15" hidden="1">
      <c r="A118" s="356" t="s">
        <v>482</v>
      </c>
      <c r="B118" s="707" t="s">
        <v>1222</v>
      </c>
      <c r="C118" s="633">
        <f t="shared" si="10"/>
        <v>0</v>
      </c>
      <c r="D118" s="354"/>
      <c r="E118" s="622">
        <f t="shared" si="11"/>
        <v>5224.74</v>
      </c>
      <c r="F118" s="917">
        <f t="shared" si="9"/>
        <v>0</v>
      </c>
      <c r="G118" s="358">
        <f>WORK!I916</f>
        <v>0</v>
      </c>
      <c r="H118" s="354" t="s">
        <v>102</v>
      </c>
      <c r="I118" s="355">
        <f>WORK!K916</f>
        <v>5224.74</v>
      </c>
      <c r="J118" s="353">
        <f t="shared" si="12"/>
        <v>0</v>
      </c>
      <c r="K118" s="1911">
        <f>IF((J118+J119+J120+J121)&gt;(F118+F119+F120+F121),(J118+J119+J120+J121)-(F118+F119+F120+F121),0)</f>
        <v>0</v>
      </c>
      <c r="L118" s="1911">
        <f>IF((J118+J119+J120+J121)&lt;(F118+F119+F120+F121),(F118+F119+F120+F121)-(J118+J119+J120+J121),0)</f>
        <v>0</v>
      </c>
      <c r="M118" s="708" t="s">
        <v>2226</v>
      </c>
      <c r="N118" s="223"/>
      <c r="O118" s="706">
        <f t="shared" si="13"/>
        <v>0</v>
      </c>
    </row>
    <row r="119" spans="1:15" s="360" customFormat="1" ht="15" hidden="1">
      <c r="A119" s="356" t="s">
        <v>482</v>
      </c>
      <c r="B119" s="707" t="s">
        <v>1222</v>
      </c>
      <c r="C119" s="633">
        <f t="shared" si="10"/>
        <v>0</v>
      </c>
      <c r="D119" s="354"/>
      <c r="E119" s="622">
        <f t="shared" si="11"/>
        <v>5403.9299999999994</v>
      </c>
      <c r="F119" s="917">
        <f t="shared" si="9"/>
        <v>0</v>
      </c>
      <c r="G119" s="358">
        <f>WORK!I924</f>
        <v>0</v>
      </c>
      <c r="H119" s="354" t="s">
        <v>102</v>
      </c>
      <c r="I119" s="355">
        <f>WORK!K924</f>
        <v>5403.9299999999994</v>
      </c>
      <c r="J119" s="353">
        <f t="shared" si="12"/>
        <v>0</v>
      </c>
      <c r="K119" s="1912"/>
      <c r="L119" s="1912"/>
      <c r="M119" s="708" t="s">
        <v>2308</v>
      </c>
      <c r="N119" s="223"/>
      <c r="O119" s="706">
        <f t="shared" si="13"/>
        <v>0</v>
      </c>
    </row>
    <row r="120" spans="1:15" s="360" customFormat="1" ht="15" hidden="1">
      <c r="A120" s="356" t="s">
        <v>482</v>
      </c>
      <c r="B120" s="707" t="s">
        <v>1222</v>
      </c>
      <c r="C120" s="633">
        <f t="shared" si="10"/>
        <v>0</v>
      </c>
      <c r="D120" s="354"/>
      <c r="E120" s="622">
        <f t="shared" si="11"/>
        <v>5899.35</v>
      </c>
      <c r="F120" s="917">
        <f t="shared" si="9"/>
        <v>0</v>
      </c>
      <c r="G120" s="358">
        <f>WORK!I932</f>
        <v>0</v>
      </c>
      <c r="H120" s="354" t="s">
        <v>102</v>
      </c>
      <c r="I120" s="355">
        <f>WORK!K932</f>
        <v>5899.35</v>
      </c>
      <c r="J120" s="353">
        <f t="shared" si="12"/>
        <v>0</v>
      </c>
      <c r="K120" s="1912"/>
      <c r="L120" s="1912"/>
      <c r="M120" s="708" t="s">
        <v>2321</v>
      </c>
      <c r="N120" s="223"/>
      <c r="O120" s="706">
        <f t="shared" si="13"/>
        <v>0</v>
      </c>
    </row>
    <row r="121" spans="1:15" s="360" customFormat="1" ht="15" hidden="1">
      <c r="A121" s="356" t="s">
        <v>482</v>
      </c>
      <c r="B121" s="707" t="s">
        <v>1222</v>
      </c>
      <c r="C121" s="633">
        <f t="shared" si="10"/>
        <v>0</v>
      </c>
      <c r="D121" s="354"/>
      <c r="E121" s="622">
        <f t="shared" si="11"/>
        <v>6281.3700000000008</v>
      </c>
      <c r="F121" s="917">
        <f t="shared" si="9"/>
        <v>0</v>
      </c>
      <c r="G121" s="358">
        <f>WORK!I940</f>
        <v>0</v>
      </c>
      <c r="H121" s="354" t="s">
        <v>102</v>
      </c>
      <c r="I121" s="355">
        <f>WORK!K940</f>
        <v>6281.3700000000008</v>
      </c>
      <c r="J121" s="353">
        <f t="shared" si="12"/>
        <v>0</v>
      </c>
      <c r="K121" s="1913"/>
      <c r="L121" s="1913"/>
      <c r="M121" s="708" t="s">
        <v>2322</v>
      </c>
      <c r="N121" s="223"/>
      <c r="O121" s="706">
        <f t="shared" si="13"/>
        <v>0</v>
      </c>
    </row>
    <row r="122" spans="1:15" s="360" customFormat="1" ht="38.25">
      <c r="A122" s="356" t="s">
        <v>479</v>
      </c>
      <c r="B122" s="707" t="s">
        <v>3376</v>
      </c>
      <c r="C122" s="633">
        <f t="shared" si="10"/>
        <v>19.310000000000002</v>
      </c>
      <c r="D122" s="354" t="s">
        <v>102</v>
      </c>
      <c r="E122" s="622">
        <f t="shared" si="11"/>
        <v>1815.79</v>
      </c>
      <c r="F122" s="917">
        <f t="shared" si="9"/>
        <v>35063</v>
      </c>
      <c r="G122" s="358">
        <f>WORK!I947</f>
        <v>19.310000000000002</v>
      </c>
      <c r="H122" s="354" t="s">
        <v>102</v>
      </c>
      <c r="I122" s="355">
        <f>WORK!K947</f>
        <v>1815.79</v>
      </c>
      <c r="J122" s="353">
        <f t="shared" si="12"/>
        <v>35062.9</v>
      </c>
      <c r="K122" s="1911">
        <f>IF((J122+J123+J124+J125)&gt;(F122+F123+F124+F125),(J122+J123+J124+J125)-(F122+F123+F124+F125),0)</f>
        <v>0</v>
      </c>
      <c r="L122" s="1911">
        <f>IF((J122+J123+J124+J125)&lt;(F122+F123+F124+F125),(F122+F123+F124+F125)-(J122+J123+J124+J125),0)</f>
        <v>9.9999999998544808E-2</v>
      </c>
      <c r="M122" s="1139" t="s">
        <v>2226</v>
      </c>
      <c r="N122" s="223"/>
      <c r="O122" s="1138">
        <f t="shared" si="13"/>
        <v>9.9999999998544808E-2</v>
      </c>
    </row>
    <row r="123" spans="1:15" s="360" customFormat="1" ht="15" hidden="1">
      <c r="A123" s="356" t="s">
        <v>484</v>
      </c>
      <c r="B123" s="707" t="s">
        <v>1215</v>
      </c>
      <c r="C123" s="633">
        <f t="shared" si="10"/>
        <v>0</v>
      </c>
      <c r="D123" s="354"/>
      <c r="E123" s="622">
        <f t="shared" si="11"/>
        <v>1966.77</v>
      </c>
      <c r="F123" s="917">
        <f t="shared" si="9"/>
        <v>0</v>
      </c>
      <c r="G123" s="358">
        <f>WORK!I952</f>
        <v>0</v>
      </c>
      <c r="H123" s="354" t="s">
        <v>102</v>
      </c>
      <c r="I123" s="355">
        <f>WORK!K952</f>
        <v>1966.77</v>
      </c>
      <c r="J123" s="353">
        <f t="shared" si="12"/>
        <v>0</v>
      </c>
      <c r="K123" s="1912"/>
      <c r="L123" s="1912"/>
      <c r="M123" s="708" t="s">
        <v>2308</v>
      </c>
      <c r="N123" s="223"/>
      <c r="O123" s="706">
        <f t="shared" si="13"/>
        <v>0</v>
      </c>
    </row>
    <row r="124" spans="1:15" s="360" customFormat="1" ht="15" hidden="1">
      <c r="A124" s="356" t="s">
        <v>485</v>
      </c>
      <c r="B124" s="707" t="s">
        <v>1215</v>
      </c>
      <c r="C124" s="633">
        <f t="shared" si="10"/>
        <v>0</v>
      </c>
      <c r="D124" s="354" t="s">
        <v>102</v>
      </c>
      <c r="E124" s="622">
        <f t="shared" si="11"/>
        <v>2093.16</v>
      </c>
      <c r="F124" s="917">
        <f t="shared" si="9"/>
        <v>0</v>
      </c>
      <c r="G124" s="358">
        <f>WORK!I958</f>
        <v>0</v>
      </c>
      <c r="H124" s="354" t="s">
        <v>102</v>
      </c>
      <c r="I124" s="355">
        <f>WORK!K958</f>
        <v>2093.16</v>
      </c>
      <c r="J124" s="353">
        <f t="shared" si="12"/>
        <v>0</v>
      </c>
      <c r="K124" s="1912"/>
      <c r="L124" s="1912"/>
      <c r="M124" s="708" t="s">
        <v>2321</v>
      </c>
      <c r="N124" s="223"/>
      <c r="O124" s="706">
        <f t="shared" si="13"/>
        <v>0</v>
      </c>
    </row>
    <row r="125" spans="1:15" s="360" customFormat="1" ht="51" hidden="1">
      <c r="A125" s="356" t="s">
        <v>2476</v>
      </c>
      <c r="B125" s="707" t="s">
        <v>3402</v>
      </c>
      <c r="C125" s="633">
        <f t="shared" si="10"/>
        <v>0</v>
      </c>
      <c r="D125" s="354" t="s">
        <v>102</v>
      </c>
      <c r="E125" s="622">
        <f t="shared" si="11"/>
        <v>2232.9699999999998</v>
      </c>
      <c r="F125" s="917">
        <f t="shared" si="9"/>
        <v>0</v>
      </c>
      <c r="G125" s="358">
        <f>WORK!I964</f>
        <v>0</v>
      </c>
      <c r="H125" s="354" t="s">
        <v>102</v>
      </c>
      <c r="I125" s="355">
        <f>WORK!K964</f>
        <v>2232.9699999999998</v>
      </c>
      <c r="J125" s="353">
        <f t="shared" si="12"/>
        <v>0</v>
      </c>
      <c r="K125" s="1913"/>
      <c r="L125" s="1913"/>
      <c r="M125" s="1139" t="s">
        <v>2322</v>
      </c>
      <c r="N125" s="223"/>
      <c r="O125" s="1138">
        <f t="shared" si="13"/>
        <v>0</v>
      </c>
    </row>
    <row r="126" spans="1:15" s="360" customFormat="1" ht="63.75">
      <c r="A126" s="356" t="s">
        <v>2476</v>
      </c>
      <c r="B126" s="707" t="s">
        <v>3278</v>
      </c>
      <c r="C126" s="633">
        <f t="shared" si="10"/>
        <v>135.33999999999997</v>
      </c>
      <c r="D126" s="916" t="s">
        <v>102</v>
      </c>
      <c r="E126" s="622">
        <f t="shared" si="11"/>
        <v>264.94</v>
      </c>
      <c r="F126" s="917">
        <f t="shared" si="9"/>
        <v>35857</v>
      </c>
      <c r="G126" s="358">
        <f>WORK!I980</f>
        <v>135.33999999999997</v>
      </c>
      <c r="H126" s="354" t="s">
        <v>102</v>
      </c>
      <c r="I126" s="355">
        <f>WORK!K980</f>
        <v>264.94</v>
      </c>
      <c r="J126" s="353">
        <f t="shared" si="12"/>
        <v>35856.980000000003</v>
      </c>
      <c r="K126" s="1930">
        <f>IF((J126+J127+J128+J129)&gt;(F126+F127+F128+F129),(J126+J127+J128+J129)-(F126+F127+F128+F129),0)</f>
        <v>0</v>
      </c>
      <c r="L126" s="1930">
        <f>IF((J126+J127+J128+J129)&lt;(F126+F127+F128+F129),(F126+F127+F128+F129)-(J126+J127+J128+J129),0)</f>
        <v>1.9999999996798579E-2</v>
      </c>
      <c r="M126" s="1139" t="s">
        <v>2226</v>
      </c>
      <c r="N126" s="223"/>
      <c r="O126" s="1138">
        <f t="shared" si="13"/>
        <v>1.9999999996798579E-2</v>
      </c>
    </row>
    <row r="127" spans="1:15" s="360" customFormat="1" ht="63.75" hidden="1">
      <c r="A127" s="356" t="s">
        <v>490</v>
      </c>
      <c r="B127" s="707" t="s">
        <v>3278</v>
      </c>
      <c r="C127" s="633">
        <f t="shared" si="10"/>
        <v>0</v>
      </c>
      <c r="D127" s="354" t="s">
        <v>102</v>
      </c>
      <c r="E127" s="622">
        <f t="shared" si="11"/>
        <v>284</v>
      </c>
      <c r="F127" s="917">
        <f t="shared" si="9"/>
        <v>0</v>
      </c>
      <c r="G127" s="358">
        <f>WORK!I996</f>
        <v>0</v>
      </c>
      <c r="H127" s="354" t="s">
        <v>102</v>
      </c>
      <c r="I127" s="355">
        <f>WORK!K996</f>
        <v>284</v>
      </c>
      <c r="J127" s="353">
        <f t="shared" si="12"/>
        <v>0</v>
      </c>
      <c r="K127" s="1912"/>
      <c r="L127" s="1912"/>
      <c r="M127" s="708" t="s">
        <v>2308</v>
      </c>
      <c r="N127" s="223"/>
      <c r="O127" s="706">
        <f t="shared" si="13"/>
        <v>0</v>
      </c>
    </row>
    <row r="128" spans="1:15" s="360" customFormat="1" ht="15" hidden="1">
      <c r="A128" s="356" t="s">
        <v>486</v>
      </c>
      <c r="B128" s="707" t="s">
        <v>481</v>
      </c>
      <c r="C128" s="633">
        <f t="shared" si="10"/>
        <v>0</v>
      </c>
      <c r="D128" s="354"/>
      <c r="E128" s="622">
        <f t="shared" si="11"/>
        <v>300.93</v>
      </c>
      <c r="F128" s="917">
        <f t="shared" si="9"/>
        <v>0</v>
      </c>
      <c r="G128" s="358">
        <f>WORK!I1009</f>
        <v>0</v>
      </c>
      <c r="H128" s="354" t="s">
        <v>102</v>
      </c>
      <c r="I128" s="355">
        <f>WORK!K1009</f>
        <v>300.93</v>
      </c>
      <c r="J128" s="353">
        <f t="shared" si="12"/>
        <v>0</v>
      </c>
      <c r="K128" s="1912"/>
      <c r="L128" s="1912"/>
      <c r="M128" s="708" t="s">
        <v>2321</v>
      </c>
      <c r="N128" s="223"/>
      <c r="O128" s="706">
        <f t="shared" si="13"/>
        <v>0</v>
      </c>
    </row>
    <row r="129" spans="1:15" s="360" customFormat="1" ht="63.75" hidden="1">
      <c r="A129" s="356" t="s">
        <v>478</v>
      </c>
      <c r="B129" s="707" t="s">
        <v>3278</v>
      </c>
      <c r="C129" s="633">
        <f t="shared" si="10"/>
        <v>0</v>
      </c>
      <c r="D129" s="354" t="s">
        <v>102</v>
      </c>
      <c r="E129" s="622">
        <f t="shared" si="11"/>
        <v>318.2</v>
      </c>
      <c r="F129" s="917">
        <f t="shared" si="9"/>
        <v>0</v>
      </c>
      <c r="G129" s="358">
        <f>WORK!I1026</f>
        <v>0</v>
      </c>
      <c r="H129" s="354" t="s">
        <v>102</v>
      </c>
      <c r="I129" s="355">
        <f>WORK!K1026</f>
        <v>318.2</v>
      </c>
      <c r="J129" s="353">
        <f t="shared" si="12"/>
        <v>0</v>
      </c>
      <c r="K129" s="1913"/>
      <c r="L129" s="1913"/>
      <c r="M129" s="1139" t="s">
        <v>2322</v>
      </c>
      <c r="N129" s="223"/>
      <c r="O129" s="1138">
        <f t="shared" si="13"/>
        <v>0</v>
      </c>
    </row>
    <row r="130" spans="1:15" s="360" customFormat="1" ht="15" hidden="1">
      <c r="A130" s="356" t="s">
        <v>483</v>
      </c>
      <c r="B130" s="707" t="s">
        <v>505</v>
      </c>
      <c r="C130" s="633">
        <f t="shared" si="10"/>
        <v>0</v>
      </c>
      <c r="D130" s="354"/>
      <c r="E130" s="622">
        <f t="shared" si="11"/>
        <v>242.02</v>
      </c>
      <c r="F130" s="917">
        <f t="shared" si="9"/>
        <v>0</v>
      </c>
      <c r="G130" s="358">
        <f>WORK!I1033</f>
        <v>0</v>
      </c>
      <c r="H130" s="354" t="s">
        <v>102</v>
      </c>
      <c r="I130" s="355">
        <f>WORK!K1033</f>
        <v>242.02</v>
      </c>
      <c r="J130" s="353">
        <f t="shared" si="12"/>
        <v>0</v>
      </c>
      <c r="K130" s="1911">
        <f>IF((J130+J131+J132+J133)&gt;(F130+F131+F132+F133),(J130+J131+J132+J133)-(F130+F131+F132+F133),0)</f>
        <v>0</v>
      </c>
      <c r="L130" s="1911">
        <f>IF((J130+J131+J132+J133)&lt;(F130+F131+F132+F133),(F130+F131+F132+F133)-(J130+J131+J132+J133),0)</f>
        <v>0</v>
      </c>
      <c r="M130" s="708" t="s">
        <v>2226</v>
      </c>
      <c r="N130" s="223"/>
      <c r="O130" s="706">
        <f t="shared" si="13"/>
        <v>0</v>
      </c>
    </row>
    <row r="131" spans="1:15" s="360" customFormat="1" ht="15" hidden="1">
      <c r="A131" s="356" t="s">
        <v>483</v>
      </c>
      <c r="B131" s="707" t="s">
        <v>505</v>
      </c>
      <c r="C131" s="633">
        <f t="shared" si="10"/>
        <v>0</v>
      </c>
      <c r="D131" s="354"/>
      <c r="E131" s="622">
        <f t="shared" si="11"/>
        <v>261.07</v>
      </c>
      <c r="F131" s="917">
        <f t="shared" si="9"/>
        <v>0</v>
      </c>
      <c r="G131" s="358">
        <f>WORK!I1040</f>
        <v>0</v>
      </c>
      <c r="H131" s="354" t="s">
        <v>102</v>
      </c>
      <c r="I131" s="355">
        <f>WORK!K1040</f>
        <v>261.07</v>
      </c>
      <c r="J131" s="353">
        <f t="shared" si="12"/>
        <v>0</v>
      </c>
      <c r="K131" s="1912"/>
      <c r="L131" s="1912"/>
      <c r="M131" s="708" t="s">
        <v>2308</v>
      </c>
      <c r="N131" s="223"/>
      <c r="O131" s="706">
        <f t="shared" si="13"/>
        <v>0</v>
      </c>
    </row>
    <row r="132" spans="1:15" s="360" customFormat="1" ht="15" hidden="1">
      <c r="A132" s="356" t="s">
        <v>483</v>
      </c>
      <c r="B132" s="707" t="s">
        <v>505</v>
      </c>
      <c r="C132" s="633">
        <f t="shared" si="10"/>
        <v>0</v>
      </c>
      <c r="D132" s="354"/>
      <c r="E132" s="622">
        <f t="shared" si="11"/>
        <v>277.43</v>
      </c>
      <c r="F132" s="917">
        <f t="shared" si="9"/>
        <v>0</v>
      </c>
      <c r="G132" s="358">
        <f>WORK!I1047</f>
        <v>0</v>
      </c>
      <c r="H132" s="354" t="s">
        <v>102</v>
      </c>
      <c r="I132" s="355">
        <f>WORK!K1047</f>
        <v>277.43</v>
      </c>
      <c r="J132" s="353">
        <f t="shared" si="12"/>
        <v>0</v>
      </c>
      <c r="K132" s="1912"/>
      <c r="L132" s="1912"/>
      <c r="M132" s="708" t="s">
        <v>2321</v>
      </c>
      <c r="N132" s="223"/>
      <c r="O132" s="706">
        <f t="shared" si="13"/>
        <v>0</v>
      </c>
    </row>
    <row r="133" spans="1:15" s="360" customFormat="1" ht="15" hidden="1">
      <c r="A133" s="356" t="s">
        <v>483</v>
      </c>
      <c r="B133" s="707" t="s">
        <v>505</v>
      </c>
      <c r="C133" s="633">
        <f t="shared" si="10"/>
        <v>0</v>
      </c>
      <c r="D133" s="354"/>
      <c r="E133" s="622">
        <f t="shared" si="11"/>
        <v>294.70999999999998</v>
      </c>
      <c r="F133" s="917">
        <f t="shared" si="9"/>
        <v>0</v>
      </c>
      <c r="G133" s="358">
        <f>WORK!I1054</f>
        <v>0</v>
      </c>
      <c r="H133" s="354" t="s">
        <v>102</v>
      </c>
      <c r="I133" s="355">
        <f>WORK!K1054</f>
        <v>294.70999999999998</v>
      </c>
      <c r="J133" s="353">
        <f t="shared" si="12"/>
        <v>0</v>
      </c>
      <c r="K133" s="1913"/>
      <c r="L133" s="1913"/>
      <c r="M133" s="708" t="s">
        <v>2322</v>
      </c>
      <c r="N133" s="223"/>
      <c r="O133" s="706">
        <f t="shared" si="13"/>
        <v>0</v>
      </c>
    </row>
    <row r="134" spans="1:15" s="360" customFormat="1" ht="63.75" hidden="1">
      <c r="A134" s="356" t="s">
        <v>480</v>
      </c>
      <c r="B134" s="707" t="s">
        <v>3279</v>
      </c>
      <c r="C134" s="633">
        <f t="shared" si="10"/>
        <v>0</v>
      </c>
      <c r="D134" s="354" t="s">
        <v>102</v>
      </c>
      <c r="E134" s="622">
        <f t="shared" si="11"/>
        <v>259.87</v>
      </c>
      <c r="F134" s="917">
        <f t="shared" si="9"/>
        <v>0</v>
      </c>
      <c r="G134" s="358">
        <f>WORK!I1059</f>
        <v>0</v>
      </c>
      <c r="H134" s="354" t="s">
        <v>102</v>
      </c>
      <c r="I134" s="355">
        <f>WORK!K1059</f>
        <v>259.87</v>
      </c>
      <c r="J134" s="353">
        <f t="shared" si="12"/>
        <v>0</v>
      </c>
      <c r="K134" s="1930">
        <f>IF((J134+J135+J136+J137)&gt;(F134+F135+F136+F137),(J134+J135+J136+J137)-(F134+F135+F136+F137),0)</f>
        <v>0</v>
      </c>
      <c r="L134" s="1930">
        <f>IF((J134+J135+J136+J137)&lt;(F134+F135+F136+F137),(F134+F135+F136+F137)-(J134+J135+J136+J137),0)</f>
        <v>0</v>
      </c>
      <c r="M134" s="1139" t="s">
        <v>2226</v>
      </c>
      <c r="N134" s="223"/>
      <c r="O134" s="1138">
        <f t="shared" si="13"/>
        <v>0</v>
      </c>
    </row>
    <row r="135" spans="1:15" s="360" customFormat="1" ht="15" hidden="1">
      <c r="A135" s="356" t="s">
        <v>484</v>
      </c>
      <c r="B135" s="707" t="s">
        <v>631</v>
      </c>
      <c r="C135" s="633">
        <f t="shared" si="10"/>
        <v>0</v>
      </c>
      <c r="D135" s="354"/>
      <c r="E135" s="622">
        <f t="shared" si="11"/>
        <v>279.49</v>
      </c>
      <c r="F135" s="917">
        <f t="shared" si="9"/>
        <v>0</v>
      </c>
      <c r="G135" s="358">
        <f>WORK!I1066</f>
        <v>0</v>
      </c>
      <c r="H135" s="354" t="s">
        <v>102</v>
      </c>
      <c r="I135" s="355">
        <f>WORK!K1066</f>
        <v>279.49</v>
      </c>
      <c r="J135" s="353">
        <f t="shared" si="12"/>
        <v>0</v>
      </c>
      <c r="K135" s="1912"/>
      <c r="L135" s="1912"/>
      <c r="M135" s="708" t="s">
        <v>2308</v>
      </c>
      <c r="N135" s="223"/>
      <c r="O135" s="706">
        <f t="shared" si="13"/>
        <v>0</v>
      </c>
    </row>
    <row r="136" spans="1:15" s="360" customFormat="1" ht="15" hidden="1">
      <c r="A136" s="356" t="s">
        <v>484</v>
      </c>
      <c r="B136" s="707" t="s">
        <v>631</v>
      </c>
      <c r="C136" s="633">
        <f t="shared" si="10"/>
        <v>0</v>
      </c>
      <c r="D136" s="354"/>
      <c r="E136" s="622">
        <f t="shared" si="11"/>
        <v>297.13</v>
      </c>
      <c r="F136" s="917">
        <f t="shared" si="9"/>
        <v>0</v>
      </c>
      <c r="G136" s="358">
        <f>WORK!I1073</f>
        <v>0</v>
      </c>
      <c r="H136" s="354" t="s">
        <v>102</v>
      </c>
      <c r="I136" s="355">
        <f>WORK!K1073</f>
        <v>297.13</v>
      </c>
      <c r="J136" s="353">
        <f t="shared" si="12"/>
        <v>0</v>
      </c>
      <c r="K136" s="1912"/>
      <c r="L136" s="1912"/>
      <c r="M136" s="708" t="s">
        <v>2321</v>
      </c>
      <c r="N136" s="223"/>
      <c r="O136" s="706">
        <f t="shared" si="13"/>
        <v>0</v>
      </c>
    </row>
    <row r="137" spans="1:15" s="360" customFormat="1" ht="15" hidden="1">
      <c r="A137" s="356" t="s">
        <v>484</v>
      </c>
      <c r="B137" s="707" t="s">
        <v>631</v>
      </c>
      <c r="C137" s="633">
        <f t="shared" si="10"/>
        <v>0</v>
      </c>
      <c r="D137" s="354"/>
      <c r="E137" s="622">
        <f t="shared" si="11"/>
        <v>314.89999999999998</v>
      </c>
      <c r="F137" s="917">
        <f t="shared" ref="F137:F200" si="14">ROUND(C137*E137,0)</f>
        <v>0</v>
      </c>
      <c r="G137" s="358">
        <f>WORK!I1078</f>
        <v>0</v>
      </c>
      <c r="H137" s="354" t="s">
        <v>102</v>
      </c>
      <c r="I137" s="355">
        <f>WORK!K1078</f>
        <v>314.89999999999998</v>
      </c>
      <c r="J137" s="353">
        <f t="shared" si="12"/>
        <v>0</v>
      </c>
      <c r="K137" s="1913"/>
      <c r="L137" s="1913"/>
      <c r="M137" s="708" t="s">
        <v>2322</v>
      </c>
      <c r="N137" s="223"/>
      <c r="O137" s="706">
        <f t="shared" si="13"/>
        <v>0</v>
      </c>
    </row>
    <row r="138" spans="1:15" s="360" customFormat="1" ht="51">
      <c r="A138" s="356" t="s">
        <v>480</v>
      </c>
      <c r="B138" s="707" t="s">
        <v>3280</v>
      </c>
      <c r="C138" s="633">
        <f t="shared" ref="C138:C201" si="15">G138</f>
        <v>216.86</v>
      </c>
      <c r="D138" s="916" t="s">
        <v>102</v>
      </c>
      <c r="E138" s="622">
        <f t="shared" ref="E138:E201" si="16">I138</f>
        <v>317.8</v>
      </c>
      <c r="F138" s="917">
        <f t="shared" si="14"/>
        <v>68918</v>
      </c>
      <c r="G138" s="358">
        <f>WORK!I1100</f>
        <v>216.86</v>
      </c>
      <c r="H138" s="354" t="s">
        <v>102</v>
      </c>
      <c r="I138" s="355">
        <f>WORK!K1100</f>
        <v>317.8</v>
      </c>
      <c r="J138" s="353">
        <f t="shared" ref="J138:J201" si="17">ROUND(G138*I138,2)</f>
        <v>68918.11</v>
      </c>
      <c r="K138" s="1930">
        <f>IF((J138+J139+J140+J141)&gt;(F138+F139+F140+F141),(J138+J139+J140+J141)-(F138+F139+F140+F141),0)</f>
        <v>0.11000000000058208</v>
      </c>
      <c r="L138" s="1930">
        <f>IF((J138+J139+J140+J141)&lt;(F138+F139+F140+F141),(F138+F139+F140+F141)-(J138+J139+J140+J141),0)</f>
        <v>0</v>
      </c>
      <c r="M138" s="1139" t="s">
        <v>2226</v>
      </c>
      <c r="N138" s="223"/>
      <c r="O138" s="1138">
        <f t="shared" si="13"/>
        <v>-0.11000000000058208</v>
      </c>
    </row>
    <row r="139" spans="1:15" s="360" customFormat="1" ht="51" hidden="1">
      <c r="A139" s="356" t="s">
        <v>491</v>
      </c>
      <c r="B139" s="707" t="s">
        <v>3280</v>
      </c>
      <c r="C139" s="633">
        <f t="shared" si="15"/>
        <v>0</v>
      </c>
      <c r="D139" s="354" t="s">
        <v>102</v>
      </c>
      <c r="E139" s="622">
        <f t="shared" si="16"/>
        <v>343.65</v>
      </c>
      <c r="F139" s="917">
        <f t="shared" si="14"/>
        <v>0</v>
      </c>
      <c r="G139" s="358">
        <f>WORK!I1118</f>
        <v>0</v>
      </c>
      <c r="H139" s="354" t="s">
        <v>102</v>
      </c>
      <c r="I139" s="355">
        <f>WORK!K1118</f>
        <v>343.65</v>
      </c>
      <c r="J139" s="353">
        <f t="shared" si="17"/>
        <v>0</v>
      </c>
      <c r="K139" s="1912"/>
      <c r="L139" s="1912"/>
      <c r="M139" s="1139" t="s">
        <v>2308</v>
      </c>
      <c r="N139" s="223"/>
      <c r="O139" s="1138">
        <f t="shared" ref="O139:O202" si="18">F139-J139</f>
        <v>0</v>
      </c>
    </row>
    <row r="140" spans="1:15" s="360" customFormat="1" ht="15" hidden="1">
      <c r="A140" s="356" t="s">
        <v>487</v>
      </c>
      <c r="B140" s="707" t="s">
        <v>830</v>
      </c>
      <c r="C140" s="633">
        <f t="shared" si="15"/>
        <v>0</v>
      </c>
      <c r="D140" s="354"/>
      <c r="E140" s="622">
        <f t="shared" si="16"/>
        <v>364.75</v>
      </c>
      <c r="F140" s="917">
        <f t="shared" si="14"/>
        <v>0</v>
      </c>
      <c r="G140" s="358">
        <f>WORK!I1145</f>
        <v>0</v>
      </c>
      <c r="H140" s="354" t="s">
        <v>102</v>
      </c>
      <c r="I140" s="355">
        <f>WORK!K1145</f>
        <v>364.75</v>
      </c>
      <c r="J140" s="353">
        <f t="shared" si="17"/>
        <v>0</v>
      </c>
      <c r="K140" s="1912"/>
      <c r="L140" s="1912"/>
      <c r="M140" s="708" t="s">
        <v>2321</v>
      </c>
      <c r="N140" s="223"/>
      <c r="O140" s="706">
        <f t="shared" si="18"/>
        <v>0</v>
      </c>
    </row>
    <row r="141" spans="1:15" s="360" customFormat="1" ht="51" hidden="1">
      <c r="A141" s="356" t="s">
        <v>2476</v>
      </c>
      <c r="B141" s="707" t="s">
        <v>3280</v>
      </c>
      <c r="C141" s="633">
        <f t="shared" si="15"/>
        <v>0</v>
      </c>
      <c r="D141" s="354" t="s">
        <v>102</v>
      </c>
      <c r="E141" s="622">
        <f t="shared" si="16"/>
        <v>388.21</v>
      </c>
      <c r="F141" s="917">
        <f t="shared" si="14"/>
        <v>0</v>
      </c>
      <c r="G141" s="358">
        <f>WORK!I1155</f>
        <v>0</v>
      </c>
      <c r="H141" s="354" t="s">
        <v>102</v>
      </c>
      <c r="I141" s="355">
        <f>WORK!K1155</f>
        <v>388.21</v>
      </c>
      <c r="J141" s="353">
        <f t="shared" si="17"/>
        <v>0</v>
      </c>
      <c r="K141" s="1913"/>
      <c r="L141" s="1913"/>
      <c r="M141" s="1139" t="s">
        <v>2322</v>
      </c>
      <c r="N141" s="223"/>
      <c r="O141" s="1138">
        <f t="shared" si="18"/>
        <v>0</v>
      </c>
    </row>
    <row r="142" spans="1:15" s="360" customFormat="1" ht="51">
      <c r="A142" s="356" t="s">
        <v>482</v>
      </c>
      <c r="B142" s="707" t="s">
        <v>3281</v>
      </c>
      <c r="C142" s="633">
        <f t="shared" si="15"/>
        <v>134.19000000000003</v>
      </c>
      <c r="D142" s="916" t="s">
        <v>102</v>
      </c>
      <c r="E142" s="622">
        <f t="shared" si="16"/>
        <v>331.15</v>
      </c>
      <c r="F142" s="917">
        <f t="shared" si="14"/>
        <v>44437</v>
      </c>
      <c r="G142" s="358">
        <f>WORK!I1167</f>
        <v>134.19000000000003</v>
      </c>
      <c r="H142" s="354" t="s">
        <v>102</v>
      </c>
      <c r="I142" s="355">
        <f>WORK!K1167</f>
        <v>331.15</v>
      </c>
      <c r="J142" s="353">
        <f t="shared" si="17"/>
        <v>44437.02</v>
      </c>
      <c r="K142" s="1911">
        <f>IF((J142+J143+J144+J145)&gt;(F142+F143+F144+F145),(J142+J143+J144+J145)-(F142+F143+F144+F145),0)</f>
        <v>1.9999999996798579E-2</v>
      </c>
      <c r="L142" s="1911">
        <f>IF((J142+J143+J144+J145)&lt;(F142+F143+F144+F145),(F142+F143+F144+F145)-(J142+J143+J144+J145),0)</f>
        <v>0</v>
      </c>
      <c r="M142" s="1139" t="s">
        <v>2226</v>
      </c>
      <c r="N142" s="223"/>
      <c r="O142" s="1138">
        <f t="shared" si="18"/>
        <v>-1.9999999996798579E-2</v>
      </c>
    </row>
    <row r="143" spans="1:15" s="360" customFormat="1" ht="51" hidden="1">
      <c r="A143" s="356" t="s">
        <v>1516</v>
      </c>
      <c r="B143" s="707" t="s">
        <v>3281</v>
      </c>
      <c r="C143" s="633">
        <f t="shared" si="15"/>
        <v>0</v>
      </c>
      <c r="D143" s="354" t="s">
        <v>102</v>
      </c>
      <c r="E143" s="622">
        <f t="shared" si="16"/>
        <v>357.58</v>
      </c>
      <c r="F143" s="917">
        <f t="shared" si="14"/>
        <v>0</v>
      </c>
      <c r="G143" s="358">
        <f>WORK!I1177</f>
        <v>0</v>
      </c>
      <c r="H143" s="354" t="s">
        <v>102</v>
      </c>
      <c r="I143" s="355">
        <f>WORK!K1177</f>
        <v>357.58</v>
      </c>
      <c r="J143" s="353">
        <f t="shared" si="17"/>
        <v>0</v>
      </c>
      <c r="K143" s="1912"/>
      <c r="L143" s="1912"/>
      <c r="M143" s="708" t="s">
        <v>2308</v>
      </c>
      <c r="N143" s="223"/>
      <c r="O143" s="706">
        <f t="shared" si="18"/>
        <v>0</v>
      </c>
    </row>
    <row r="144" spans="1:15" s="360" customFormat="1" ht="15" hidden="1">
      <c r="A144" s="356" t="s">
        <v>488</v>
      </c>
      <c r="B144" s="707" t="s">
        <v>541</v>
      </c>
      <c r="C144" s="633">
        <f t="shared" si="15"/>
        <v>0</v>
      </c>
      <c r="D144" s="354"/>
      <c r="E144" s="622">
        <f t="shared" si="16"/>
        <v>380.06</v>
      </c>
      <c r="F144" s="917">
        <f t="shared" si="14"/>
        <v>0</v>
      </c>
      <c r="G144" s="358">
        <f>WORK!I1186</f>
        <v>0</v>
      </c>
      <c r="H144" s="354" t="s">
        <v>102</v>
      </c>
      <c r="I144" s="355">
        <f>WORK!K1186</f>
        <v>380.06</v>
      </c>
      <c r="J144" s="353">
        <f t="shared" si="17"/>
        <v>0</v>
      </c>
      <c r="K144" s="1912"/>
      <c r="L144" s="1912"/>
      <c r="M144" s="708" t="s">
        <v>2321</v>
      </c>
      <c r="N144" s="223"/>
      <c r="O144" s="706">
        <f t="shared" si="18"/>
        <v>0</v>
      </c>
    </row>
    <row r="145" spans="1:15" s="360" customFormat="1" ht="51" hidden="1">
      <c r="A145" s="356" t="s">
        <v>480</v>
      </c>
      <c r="B145" s="707" t="s">
        <v>3281</v>
      </c>
      <c r="C145" s="633">
        <f t="shared" si="15"/>
        <v>0</v>
      </c>
      <c r="D145" s="354" t="s">
        <v>102</v>
      </c>
      <c r="E145" s="622">
        <f t="shared" si="16"/>
        <v>404.02</v>
      </c>
      <c r="F145" s="917">
        <f t="shared" si="14"/>
        <v>0</v>
      </c>
      <c r="G145" s="358">
        <f>WORK!I1201</f>
        <v>0</v>
      </c>
      <c r="H145" s="354" t="s">
        <v>102</v>
      </c>
      <c r="I145" s="355">
        <f>WORK!K1201</f>
        <v>404.02</v>
      </c>
      <c r="J145" s="353">
        <f t="shared" si="17"/>
        <v>0</v>
      </c>
      <c r="K145" s="1927"/>
      <c r="L145" s="1927"/>
      <c r="M145" s="1139" t="s">
        <v>2322</v>
      </c>
      <c r="N145" s="223"/>
      <c r="O145" s="1138">
        <f t="shared" si="18"/>
        <v>0</v>
      </c>
    </row>
    <row r="146" spans="1:15" s="360" customFormat="1" ht="63.75" hidden="1">
      <c r="A146" s="356" t="s">
        <v>485</v>
      </c>
      <c r="B146" s="707" t="s">
        <v>3282</v>
      </c>
      <c r="C146" s="633">
        <f t="shared" si="15"/>
        <v>0</v>
      </c>
      <c r="D146" s="916" t="s">
        <v>102</v>
      </c>
      <c r="E146" s="622">
        <f t="shared" si="16"/>
        <v>991.04</v>
      </c>
      <c r="F146" s="917">
        <f t="shared" si="14"/>
        <v>0</v>
      </c>
      <c r="G146" s="358">
        <f>WORK!I1232</f>
        <v>0</v>
      </c>
      <c r="H146" s="354" t="s">
        <v>102</v>
      </c>
      <c r="I146" s="355">
        <f>WORK!K1232</f>
        <v>991.04</v>
      </c>
      <c r="J146" s="353">
        <f t="shared" si="17"/>
        <v>0</v>
      </c>
      <c r="K146" s="1911">
        <f>IF((J146+J147+J148+J149)&gt;(F146+F147+F148+F149),(J146+J147+J148+J149)-(F146+F147+F148+F149),0)</f>
        <v>0</v>
      </c>
      <c r="L146" s="1911">
        <f>IF((J146+J147+J148+J149)&lt;(F146+F147+F148+F149),(F146+F147+F148+F149)-(J146+J147+J148+J149),0)</f>
        <v>0</v>
      </c>
      <c r="M146" s="708" t="s">
        <v>2226</v>
      </c>
      <c r="N146" s="223"/>
      <c r="O146" s="706">
        <f t="shared" si="18"/>
        <v>0</v>
      </c>
    </row>
    <row r="147" spans="1:15" s="360" customFormat="1" ht="15" hidden="1">
      <c r="A147" s="356" t="s">
        <v>1516</v>
      </c>
      <c r="B147" s="707" t="s">
        <v>507</v>
      </c>
      <c r="C147" s="633">
        <f t="shared" si="15"/>
        <v>0</v>
      </c>
      <c r="D147" s="354"/>
      <c r="E147" s="622">
        <f t="shared" si="16"/>
        <v>1019.43</v>
      </c>
      <c r="F147" s="917">
        <f t="shared" si="14"/>
        <v>0</v>
      </c>
      <c r="G147" s="358">
        <f>WORK!I1242</f>
        <v>0</v>
      </c>
      <c r="H147" s="354" t="s">
        <v>102</v>
      </c>
      <c r="I147" s="355">
        <f>WORK!K1242</f>
        <v>1019.43</v>
      </c>
      <c r="J147" s="353">
        <f t="shared" si="17"/>
        <v>0</v>
      </c>
      <c r="K147" s="1912"/>
      <c r="L147" s="1912"/>
      <c r="M147" s="708" t="s">
        <v>2308</v>
      </c>
      <c r="N147" s="223"/>
      <c r="O147" s="706">
        <f t="shared" si="18"/>
        <v>0</v>
      </c>
    </row>
    <row r="148" spans="1:15" s="360" customFormat="1" ht="15" hidden="1">
      <c r="A148" s="356" t="s">
        <v>489</v>
      </c>
      <c r="B148" s="707" t="s">
        <v>507</v>
      </c>
      <c r="C148" s="633">
        <f t="shared" si="15"/>
        <v>0</v>
      </c>
      <c r="D148" s="354" t="s">
        <v>102</v>
      </c>
      <c r="E148" s="622">
        <f t="shared" si="16"/>
        <v>1041.26</v>
      </c>
      <c r="F148" s="917">
        <f t="shared" si="14"/>
        <v>0</v>
      </c>
      <c r="G148" s="358">
        <f>WORK!I1250</f>
        <v>0</v>
      </c>
      <c r="H148" s="354" t="s">
        <v>102</v>
      </c>
      <c r="I148" s="355">
        <f>WORK!K1250</f>
        <v>1041.26</v>
      </c>
      <c r="J148" s="353">
        <f t="shared" si="17"/>
        <v>0</v>
      </c>
      <c r="K148" s="1912"/>
      <c r="L148" s="1912"/>
      <c r="M148" s="708" t="s">
        <v>2321</v>
      </c>
      <c r="N148" s="223"/>
      <c r="O148" s="706">
        <f t="shared" si="18"/>
        <v>0</v>
      </c>
    </row>
    <row r="149" spans="1:15" s="360" customFormat="1" ht="63.75" hidden="1">
      <c r="A149" s="356" t="s">
        <v>482</v>
      </c>
      <c r="B149" s="707" t="s">
        <v>3282</v>
      </c>
      <c r="C149" s="633">
        <f t="shared" si="15"/>
        <v>0</v>
      </c>
      <c r="D149" s="354" t="s">
        <v>102</v>
      </c>
      <c r="E149" s="622">
        <f t="shared" si="16"/>
        <v>1067.3599999999999</v>
      </c>
      <c r="F149" s="917">
        <f t="shared" si="14"/>
        <v>0</v>
      </c>
      <c r="G149" s="358">
        <f>WORK!I1259</f>
        <v>0</v>
      </c>
      <c r="H149" s="354" t="s">
        <v>102</v>
      </c>
      <c r="I149" s="355">
        <f>WORK!K1259</f>
        <v>1067.3599999999999</v>
      </c>
      <c r="J149" s="353">
        <f t="shared" si="17"/>
        <v>0</v>
      </c>
      <c r="K149" s="1913"/>
      <c r="L149" s="1913"/>
      <c r="M149" s="1139" t="s">
        <v>2322</v>
      </c>
      <c r="N149" s="223"/>
      <c r="O149" s="1138">
        <f t="shared" si="18"/>
        <v>0</v>
      </c>
    </row>
    <row r="150" spans="1:15" s="360" customFormat="1" ht="63.75" hidden="1">
      <c r="A150" s="356" t="s">
        <v>486</v>
      </c>
      <c r="B150" s="707" t="s">
        <v>3283</v>
      </c>
      <c r="C150" s="633">
        <f t="shared" si="15"/>
        <v>0</v>
      </c>
      <c r="D150" s="916" t="s">
        <v>102</v>
      </c>
      <c r="E150" s="622">
        <f t="shared" si="16"/>
        <v>986.97</v>
      </c>
      <c r="F150" s="917">
        <f t="shared" si="14"/>
        <v>0</v>
      </c>
      <c r="G150" s="358">
        <f>WORK!I1266</f>
        <v>0</v>
      </c>
      <c r="H150" s="354" t="s">
        <v>102</v>
      </c>
      <c r="I150" s="355">
        <f>WORK!K1266</f>
        <v>986.97</v>
      </c>
      <c r="J150" s="353">
        <f t="shared" si="17"/>
        <v>0</v>
      </c>
      <c r="K150" s="1911">
        <f>IF((J150+J151+J152+J153)&gt;(F150+F151+F152+F153),(J150+J151+J152+J153)-(F150+F151+F152+F153),0)</f>
        <v>0</v>
      </c>
      <c r="L150" s="1911">
        <f>IF((J150+J151+J152+J153)&lt;(F150+F151+F152+F153),(F150+F151+F152+F153)-(J150+J151+J152+J153),0)</f>
        <v>0</v>
      </c>
      <c r="M150" s="708" t="s">
        <v>2226</v>
      </c>
      <c r="N150" s="223"/>
      <c r="O150" s="706">
        <f t="shared" si="18"/>
        <v>0</v>
      </c>
    </row>
    <row r="151" spans="1:15" s="360" customFormat="1" ht="15" hidden="1">
      <c r="A151" s="356" t="s">
        <v>493</v>
      </c>
      <c r="B151" s="707" t="s">
        <v>1482</v>
      </c>
      <c r="C151" s="633">
        <f t="shared" si="15"/>
        <v>0</v>
      </c>
      <c r="D151" s="354"/>
      <c r="E151" s="622">
        <f t="shared" si="16"/>
        <v>1015.1</v>
      </c>
      <c r="F151" s="917">
        <f t="shared" si="14"/>
        <v>0</v>
      </c>
      <c r="G151" s="358">
        <f>WORK!I1278</f>
        <v>0</v>
      </c>
      <c r="H151" s="354" t="s">
        <v>102</v>
      </c>
      <c r="I151" s="355">
        <f>WORK!K1278</f>
        <v>1015.1</v>
      </c>
      <c r="J151" s="353">
        <f t="shared" si="17"/>
        <v>0</v>
      </c>
      <c r="K151" s="1912"/>
      <c r="L151" s="1912"/>
      <c r="M151" s="708" t="s">
        <v>2308</v>
      </c>
      <c r="N151" s="223"/>
      <c r="O151" s="706">
        <f t="shared" si="18"/>
        <v>0</v>
      </c>
    </row>
    <row r="152" spans="1:15" s="360" customFormat="1" ht="15" hidden="1">
      <c r="A152" s="356" t="s">
        <v>490</v>
      </c>
      <c r="B152" s="707" t="s">
        <v>1482</v>
      </c>
      <c r="C152" s="633">
        <f t="shared" si="15"/>
        <v>0</v>
      </c>
      <c r="D152" s="354" t="s">
        <v>102</v>
      </c>
      <c r="E152" s="622">
        <f t="shared" si="16"/>
        <v>1036.32</v>
      </c>
      <c r="F152" s="917">
        <f t="shared" si="14"/>
        <v>0</v>
      </c>
      <c r="G152" s="358">
        <f>WORK!I1289</f>
        <v>0</v>
      </c>
      <c r="H152" s="354" t="s">
        <v>102</v>
      </c>
      <c r="I152" s="355">
        <f>WORK!K1289</f>
        <v>1036.32</v>
      </c>
      <c r="J152" s="353">
        <f t="shared" si="17"/>
        <v>0</v>
      </c>
      <c r="K152" s="1912"/>
      <c r="L152" s="1912"/>
      <c r="M152" s="708" t="s">
        <v>2321</v>
      </c>
      <c r="N152" s="223"/>
      <c r="O152" s="706">
        <f t="shared" si="18"/>
        <v>0</v>
      </c>
    </row>
    <row r="153" spans="1:15" s="360" customFormat="1" ht="63.75" hidden="1">
      <c r="A153" s="356" t="s">
        <v>483</v>
      </c>
      <c r="B153" s="707" t="s">
        <v>3283</v>
      </c>
      <c r="C153" s="633">
        <f t="shared" si="15"/>
        <v>0</v>
      </c>
      <c r="D153" s="354" t="s">
        <v>102</v>
      </c>
      <c r="E153" s="622">
        <f t="shared" si="16"/>
        <v>1062.03</v>
      </c>
      <c r="F153" s="917">
        <f t="shared" si="14"/>
        <v>0</v>
      </c>
      <c r="G153" s="358">
        <f>WORK!I1299</f>
        <v>0</v>
      </c>
      <c r="H153" s="354" t="s">
        <v>102</v>
      </c>
      <c r="I153" s="355">
        <f>WORK!K1299</f>
        <v>1062.03</v>
      </c>
      <c r="J153" s="353">
        <f t="shared" si="17"/>
        <v>0</v>
      </c>
      <c r="K153" s="1913"/>
      <c r="L153" s="1913"/>
      <c r="M153" s="1139" t="s">
        <v>2322</v>
      </c>
      <c r="N153" s="223"/>
      <c r="O153" s="1138">
        <f t="shared" si="18"/>
        <v>0</v>
      </c>
    </row>
    <row r="154" spans="1:15" s="360" customFormat="1" ht="63.75">
      <c r="A154" s="356" t="s">
        <v>483</v>
      </c>
      <c r="B154" s="707" t="s">
        <v>3377</v>
      </c>
      <c r="C154" s="633">
        <f t="shared" si="15"/>
        <v>111.85000000000002</v>
      </c>
      <c r="D154" s="354" t="s">
        <v>102</v>
      </c>
      <c r="E154" s="622">
        <f t="shared" si="16"/>
        <v>2828.1</v>
      </c>
      <c r="F154" s="917">
        <f t="shared" si="14"/>
        <v>316323</v>
      </c>
      <c r="G154" s="358">
        <f>WORK!I1312</f>
        <v>111.85000000000002</v>
      </c>
      <c r="H154" s="354" t="s">
        <v>77</v>
      </c>
      <c r="I154" s="355">
        <f>WORK!K1312</f>
        <v>2828.1</v>
      </c>
      <c r="J154" s="353">
        <f t="shared" si="17"/>
        <v>316322.99</v>
      </c>
      <c r="K154" s="1911">
        <f>IF((J154+J155+J156+J157)&gt;(F154+F155+F156+F157),(J154+J155+J156+J157)-(F154+F155+F156+F157),0)</f>
        <v>0</v>
      </c>
      <c r="L154" s="1911">
        <f>IF((J154+J155+J156+J157)&lt;(F154+F155+F156+F157),(F154+F155+F156+F157)-(J154+J155+J156+J157),0)</f>
        <v>1.0000000009313226E-2</v>
      </c>
      <c r="M154" s="1139" t="s">
        <v>2226</v>
      </c>
      <c r="N154" s="223"/>
      <c r="O154" s="1138">
        <f t="shared" si="18"/>
        <v>1.0000000009313226E-2</v>
      </c>
    </row>
    <row r="155" spans="1:15" s="360" customFormat="1" ht="63.75" hidden="1">
      <c r="A155" s="356" t="s">
        <v>489</v>
      </c>
      <c r="B155" s="707" t="s">
        <v>3282</v>
      </c>
      <c r="C155" s="633">
        <f t="shared" si="15"/>
        <v>0</v>
      </c>
      <c r="D155" s="354"/>
      <c r="E155" s="622">
        <f t="shared" si="16"/>
        <v>2886.61</v>
      </c>
      <c r="F155" s="917">
        <f t="shared" si="14"/>
        <v>0</v>
      </c>
      <c r="G155" s="358">
        <f>WORK!I1323</f>
        <v>0</v>
      </c>
      <c r="H155" s="354" t="s">
        <v>77</v>
      </c>
      <c r="I155" s="355">
        <f>WORK!K1323</f>
        <v>2886.61</v>
      </c>
      <c r="J155" s="353">
        <f t="shared" si="17"/>
        <v>0</v>
      </c>
      <c r="K155" s="1912"/>
      <c r="L155" s="1912"/>
      <c r="M155" s="708" t="s">
        <v>2308</v>
      </c>
      <c r="N155" s="223"/>
      <c r="O155" s="706">
        <f t="shared" si="18"/>
        <v>0</v>
      </c>
    </row>
    <row r="156" spans="1:15" s="360" customFormat="1" ht="15" hidden="1">
      <c r="A156" s="356" t="s">
        <v>491</v>
      </c>
      <c r="B156" s="707" t="s">
        <v>708</v>
      </c>
      <c r="C156" s="633">
        <f t="shared" si="15"/>
        <v>0</v>
      </c>
      <c r="D156" s="354" t="s">
        <v>102</v>
      </c>
      <c r="E156" s="622">
        <f t="shared" si="16"/>
        <v>2942.62</v>
      </c>
      <c r="F156" s="917">
        <f t="shared" si="14"/>
        <v>0</v>
      </c>
      <c r="G156" s="358">
        <f>WORK!I1328</f>
        <v>0</v>
      </c>
      <c r="H156" s="354" t="s">
        <v>77</v>
      </c>
      <c r="I156" s="355">
        <f>WORK!K1328</f>
        <v>2942.62</v>
      </c>
      <c r="J156" s="353">
        <f t="shared" si="17"/>
        <v>0</v>
      </c>
      <c r="K156" s="1912"/>
      <c r="L156" s="1912"/>
      <c r="M156" s="708" t="s">
        <v>2321</v>
      </c>
      <c r="N156" s="223"/>
      <c r="O156" s="706">
        <f t="shared" si="18"/>
        <v>0</v>
      </c>
    </row>
    <row r="157" spans="1:15" s="360" customFormat="1" ht="63.75" hidden="1">
      <c r="A157" s="356" t="s">
        <v>484</v>
      </c>
      <c r="B157" s="707" t="s">
        <v>3284</v>
      </c>
      <c r="C157" s="633">
        <f t="shared" si="15"/>
        <v>0</v>
      </c>
      <c r="D157" s="354" t="s">
        <v>102</v>
      </c>
      <c r="E157" s="622">
        <f t="shared" si="16"/>
        <v>3115.07</v>
      </c>
      <c r="F157" s="917">
        <f t="shared" si="14"/>
        <v>0</v>
      </c>
      <c r="G157" s="358">
        <f>WORK!I1344</f>
        <v>0</v>
      </c>
      <c r="H157" s="354" t="s">
        <v>77</v>
      </c>
      <c r="I157" s="355">
        <f>WORK!K1344</f>
        <v>3115.07</v>
      </c>
      <c r="J157" s="353">
        <f t="shared" si="17"/>
        <v>0</v>
      </c>
      <c r="K157" s="1927"/>
      <c r="L157" s="1927"/>
      <c r="M157" s="1139" t="s">
        <v>2322</v>
      </c>
      <c r="N157" s="223"/>
      <c r="O157" s="1138">
        <f t="shared" si="18"/>
        <v>0</v>
      </c>
    </row>
    <row r="158" spans="1:15" s="360" customFormat="1" ht="63.75">
      <c r="A158" s="356" t="s">
        <v>484</v>
      </c>
      <c r="B158" s="707" t="s">
        <v>3379</v>
      </c>
      <c r="C158" s="633">
        <f t="shared" si="15"/>
        <v>9.15</v>
      </c>
      <c r="D158" s="354" t="s">
        <v>102</v>
      </c>
      <c r="E158" s="622">
        <f t="shared" si="16"/>
        <v>2667.63</v>
      </c>
      <c r="F158" s="917">
        <f t="shared" si="14"/>
        <v>24409</v>
      </c>
      <c r="G158" s="358">
        <f>WORK!I1357</f>
        <v>9.15</v>
      </c>
      <c r="H158" s="354" t="s">
        <v>102</v>
      </c>
      <c r="I158" s="355">
        <f>WORK!K1357</f>
        <v>2667.63</v>
      </c>
      <c r="J158" s="353">
        <f t="shared" si="17"/>
        <v>24408.81</v>
      </c>
      <c r="K158" s="1911">
        <f>IF((J158+J159+J160+J161)&gt;(F158+F159+F160+F161),(J158+J159+J160+J161)-(F158+F159+F160+F161),0)</f>
        <v>0</v>
      </c>
      <c r="L158" s="1911">
        <f>IF((J158+J159+J160+J161)&lt;(F158+F159+F160+F161),(F158+F159+F160+F161)-(J158+J159+J160+J161),0)</f>
        <v>0.18999999999869033</v>
      </c>
      <c r="M158" s="1139" t="s">
        <v>2226</v>
      </c>
      <c r="N158" s="223"/>
      <c r="O158" s="1138">
        <f t="shared" si="18"/>
        <v>0.18999999999869033</v>
      </c>
    </row>
    <row r="159" spans="1:15" s="360" customFormat="1" ht="63.75" hidden="1">
      <c r="A159" s="356" t="s">
        <v>490</v>
      </c>
      <c r="B159" s="707" t="s">
        <v>3283</v>
      </c>
      <c r="C159" s="633">
        <f t="shared" si="15"/>
        <v>0</v>
      </c>
      <c r="D159" s="354"/>
      <c r="E159" s="622">
        <f t="shared" si="16"/>
        <v>2708.07</v>
      </c>
      <c r="F159" s="917">
        <f t="shared" si="14"/>
        <v>0</v>
      </c>
      <c r="G159" s="358">
        <f>WORK!I1367</f>
        <v>0</v>
      </c>
      <c r="H159" s="354" t="s">
        <v>102</v>
      </c>
      <c r="I159" s="355">
        <f>WORK!K1367</f>
        <v>2708.07</v>
      </c>
      <c r="J159" s="353">
        <f t="shared" si="17"/>
        <v>0</v>
      </c>
      <c r="K159" s="1912"/>
      <c r="L159" s="1912"/>
      <c r="M159" s="708" t="s">
        <v>2308</v>
      </c>
      <c r="N159" s="223"/>
      <c r="O159" s="706">
        <f t="shared" si="18"/>
        <v>0</v>
      </c>
    </row>
    <row r="160" spans="1:15" s="360" customFormat="1" ht="15" hidden="1">
      <c r="A160" s="356" t="s">
        <v>1516</v>
      </c>
      <c r="B160" s="707" t="s">
        <v>709</v>
      </c>
      <c r="C160" s="633">
        <f t="shared" si="15"/>
        <v>0</v>
      </c>
      <c r="D160" s="354" t="s">
        <v>102</v>
      </c>
      <c r="E160" s="622">
        <f t="shared" si="16"/>
        <v>2747.34</v>
      </c>
      <c r="F160" s="917">
        <f t="shared" si="14"/>
        <v>0</v>
      </c>
      <c r="G160" s="358">
        <f>WORK!I1372</f>
        <v>0</v>
      </c>
      <c r="H160" s="354" t="s">
        <v>102</v>
      </c>
      <c r="I160" s="355">
        <f>WORK!K1372</f>
        <v>2747.34</v>
      </c>
      <c r="J160" s="353">
        <f t="shared" si="17"/>
        <v>0</v>
      </c>
      <c r="K160" s="1912"/>
      <c r="L160" s="1912"/>
      <c r="M160" s="708" t="s">
        <v>2321</v>
      </c>
      <c r="N160" s="223"/>
      <c r="O160" s="706">
        <f t="shared" si="18"/>
        <v>0</v>
      </c>
    </row>
    <row r="161" spans="1:15" s="360" customFormat="1" ht="63.75" hidden="1">
      <c r="A161" s="356" t="s">
        <v>485</v>
      </c>
      <c r="B161" s="707" t="s">
        <v>3285</v>
      </c>
      <c r="C161" s="633">
        <f t="shared" si="15"/>
        <v>0</v>
      </c>
      <c r="D161" s="354" t="s">
        <v>102</v>
      </c>
      <c r="E161" s="622">
        <f t="shared" si="16"/>
        <v>2905.43</v>
      </c>
      <c r="F161" s="917">
        <f t="shared" si="14"/>
        <v>0</v>
      </c>
      <c r="G161" s="358">
        <f>WORK!I1386</f>
        <v>0</v>
      </c>
      <c r="H161" s="354" t="s">
        <v>102</v>
      </c>
      <c r="I161" s="355">
        <f>WORK!K1386</f>
        <v>2905.43</v>
      </c>
      <c r="J161" s="353">
        <f t="shared" si="17"/>
        <v>0</v>
      </c>
      <c r="K161" s="1927"/>
      <c r="L161" s="1927"/>
      <c r="M161" s="1139" t="s">
        <v>2322</v>
      </c>
      <c r="N161" s="223"/>
      <c r="O161" s="1138">
        <f t="shared" si="18"/>
        <v>0</v>
      </c>
    </row>
    <row r="162" spans="1:15" s="360" customFormat="1" ht="15" hidden="1">
      <c r="A162" s="356" t="s">
        <v>498</v>
      </c>
      <c r="B162" s="707" t="s">
        <v>710</v>
      </c>
      <c r="C162" s="633">
        <f t="shared" si="15"/>
        <v>0</v>
      </c>
      <c r="D162" s="354"/>
      <c r="E162" s="622">
        <f t="shared" si="16"/>
        <v>605.58000000000004</v>
      </c>
      <c r="F162" s="917">
        <f t="shared" si="14"/>
        <v>0</v>
      </c>
      <c r="G162" s="358">
        <f>WORK!I1393</f>
        <v>0</v>
      </c>
      <c r="H162" s="354" t="s">
        <v>102</v>
      </c>
      <c r="I162" s="355">
        <f>WORK!K1393</f>
        <v>605.58000000000004</v>
      </c>
      <c r="J162" s="353">
        <f t="shared" si="17"/>
        <v>0</v>
      </c>
      <c r="K162" s="1911">
        <f>IF((J162+J163+J164+J165)&gt;(F162+F163+F164+F165),(J162+J163+J164+J165)-(F162+F163+F164+F165),0)</f>
        <v>0</v>
      </c>
      <c r="L162" s="1911">
        <f>IF((J162+J163+J164+J165)&lt;(F162+F163+F164+F165),(F162+F163+F164+F165)-(J162+J163+J164+J165),0)</f>
        <v>0</v>
      </c>
      <c r="M162" s="708" t="s">
        <v>2226</v>
      </c>
      <c r="N162" s="223"/>
      <c r="O162" s="706">
        <f t="shared" si="18"/>
        <v>0</v>
      </c>
    </row>
    <row r="163" spans="1:15" s="360" customFormat="1" ht="15" hidden="1">
      <c r="A163" s="356" t="s">
        <v>498</v>
      </c>
      <c r="B163" s="707" t="s">
        <v>710</v>
      </c>
      <c r="C163" s="633">
        <f t="shared" si="15"/>
        <v>0</v>
      </c>
      <c r="D163" s="354"/>
      <c r="E163" s="622">
        <f t="shared" si="16"/>
        <v>646.33000000000004</v>
      </c>
      <c r="F163" s="917">
        <f t="shared" si="14"/>
        <v>0</v>
      </c>
      <c r="G163" s="358">
        <f>WORK!I1403</f>
        <v>0</v>
      </c>
      <c r="H163" s="354" t="s">
        <v>102</v>
      </c>
      <c r="I163" s="355">
        <f>WORK!K1403</f>
        <v>646.33000000000004</v>
      </c>
      <c r="J163" s="353">
        <f t="shared" si="17"/>
        <v>0</v>
      </c>
      <c r="K163" s="1912"/>
      <c r="L163" s="1912"/>
      <c r="M163" s="708" t="s">
        <v>2308</v>
      </c>
      <c r="N163" s="223"/>
      <c r="O163" s="706">
        <f t="shared" si="18"/>
        <v>0</v>
      </c>
    </row>
    <row r="164" spans="1:15" s="360" customFormat="1" ht="15" hidden="1">
      <c r="A164" s="356" t="s">
        <v>498</v>
      </c>
      <c r="B164" s="707" t="s">
        <v>710</v>
      </c>
      <c r="C164" s="633">
        <f t="shared" si="15"/>
        <v>0</v>
      </c>
      <c r="D164" s="354"/>
      <c r="E164" s="622">
        <f t="shared" si="16"/>
        <v>653.95000000000005</v>
      </c>
      <c r="F164" s="917">
        <f t="shared" si="14"/>
        <v>0</v>
      </c>
      <c r="G164" s="358">
        <f>WORK!I1410</f>
        <v>0</v>
      </c>
      <c r="H164" s="354" t="s">
        <v>102</v>
      </c>
      <c r="I164" s="355">
        <f>WORK!K1410</f>
        <v>653.95000000000005</v>
      </c>
      <c r="J164" s="353">
        <f t="shared" si="17"/>
        <v>0</v>
      </c>
      <c r="K164" s="1912"/>
      <c r="L164" s="1912"/>
      <c r="M164" s="708" t="s">
        <v>2321</v>
      </c>
      <c r="N164" s="223"/>
      <c r="O164" s="706">
        <f t="shared" si="18"/>
        <v>0</v>
      </c>
    </row>
    <row r="165" spans="1:15" s="360" customFormat="1" ht="15" hidden="1">
      <c r="A165" s="356" t="s">
        <v>498</v>
      </c>
      <c r="B165" s="707" t="s">
        <v>710</v>
      </c>
      <c r="C165" s="633">
        <f t="shared" si="15"/>
        <v>0</v>
      </c>
      <c r="D165" s="354"/>
      <c r="E165" s="622">
        <f t="shared" si="16"/>
        <v>744.7</v>
      </c>
      <c r="F165" s="917">
        <f t="shared" si="14"/>
        <v>0</v>
      </c>
      <c r="G165" s="358">
        <f>WORK!I1417</f>
        <v>0</v>
      </c>
      <c r="H165" s="354" t="s">
        <v>102</v>
      </c>
      <c r="I165" s="355">
        <f>WORK!K1417</f>
        <v>744.7</v>
      </c>
      <c r="J165" s="353">
        <f t="shared" si="17"/>
        <v>0</v>
      </c>
      <c r="K165" s="1913"/>
      <c r="L165" s="1913"/>
      <c r="M165" s="708" t="s">
        <v>2322</v>
      </c>
      <c r="N165" s="223"/>
      <c r="O165" s="706">
        <f t="shared" si="18"/>
        <v>0</v>
      </c>
    </row>
    <row r="166" spans="1:15" s="360" customFormat="1" ht="15" hidden="1">
      <c r="A166" s="356" t="s">
        <v>499</v>
      </c>
      <c r="B166" s="707" t="s">
        <v>711</v>
      </c>
      <c r="C166" s="633">
        <f t="shared" si="15"/>
        <v>0</v>
      </c>
      <c r="D166" s="354"/>
      <c r="E166" s="622">
        <f t="shared" si="16"/>
        <v>623.66999999999996</v>
      </c>
      <c r="F166" s="917">
        <f t="shared" si="14"/>
        <v>0</v>
      </c>
      <c r="G166" s="358">
        <f>WORK!I1424</f>
        <v>0</v>
      </c>
      <c r="H166" s="354" t="s">
        <v>102</v>
      </c>
      <c r="I166" s="355">
        <f>WORK!K1424</f>
        <v>623.66999999999996</v>
      </c>
      <c r="J166" s="353">
        <f t="shared" si="17"/>
        <v>0</v>
      </c>
      <c r="K166" s="1911">
        <f>IF((J166+J167+J168+J169)&gt;(F166+F167+F168+F169),(J166+J167+J168+J169)-(F166+F167+F168+F169),0)</f>
        <v>0</v>
      </c>
      <c r="L166" s="1911">
        <f>IF((J166+J167+J168+J169)&lt;(F166+F167+F168+F169),(F166+F167+F168+F169)-(J166+J167+J168+J169),0)</f>
        <v>0</v>
      </c>
      <c r="M166" s="708" t="s">
        <v>2226</v>
      </c>
      <c r="N166" s="223"/>
      <c r="O166" s="706">
        <f t="shared" si="18"/>
        <v>0</v>
      </c>
    </row>
    <row r="167" spans="1:15" s="360" customFormat="1" ht="15" hidden="1">
      <c r="A167" s="356" t="s">
        <v>499</v>
      </c>
      <c r="B167" s="707" t="s">
        <v>711</v>
      </c>
      <c r="C167" s="633">
        <f t="shared" si="15"/>
        <v>0</v>
      </c>
      <c r="D167" s="354"/>
      <c r="E167" s="622">
        <f t="shared" si="16"/>
        <v>651.79999999999995</v>
      </c>
      <c r="F167" s="917">
        <f t="shared" si="14"/>
        <v>0</v>
      </c>
      <c r="G167" s="358">
        <f>WORK!I1432</f>
        <v>0</v>
      </c>
      <c r="H167" s="354" t="s">
        <v>102</v>
      </c>
      <c r="I167" s="355">
        <f>WORK!K1432</f>
        <v>651.79999999999995</v>
      </c>
      <c r="J167" s="353">
        <f t="shared" si="17"/>
        <v>0</v>
      </c>
      <c r="K167" s="1912"/>
      <c r="L167" s="1912"/>
      <c r="M167" s="708" t="s">
        <v>2308</v>
      </c>
      <c r="N167" s="223"/>
      <c r="O167" s="706">
        <f t="shared" si="18"/>
        <v>0</v>
      </c>
    </row>
    <row r="168" spans="1:15" s="360" customFormat="1" ht="15" hidden="1">
      <c r="A168" s="356" t="s">
        <v>499</v>
      </c>
      <c r="B168" s="707" t="s">
        <v>711</v>
      </c>
      <c r="C168" s="633">
        <f t="shared" si="15"/>
        <v>0</v>
      </c>
      <c r="D168" s="354"/>
      <c r="E168" s="622">
        <f t="shared" si="16"/>
        <v>673.02</v>
      </c>
      <c r="F168" s="917">
        <f t="shared" si="14"/>
        <v>0</v>
      </c>
      <c r="G168" s="358">
        <f>WORK!I1439</f>
        <v>0</v>
      </c>
      <c r="H168" s="354" t="s">
        <v>102</v>
      </c>
      <c r="I168" s="355">
        <f>WORK!K1439</f>
        <v>673.02</v>
      </c>
      <c r="J168" s="353">
        <f t="shared" si="17"/>
        <v>0</v>
      </c>
      <c r="K168" s="1912"/>
      <c r="L168" s="1912"/>
      <c r="M168" s="708" t="s">
        <v>2321</v>
      </c>
      <c r="N168" s="223"/>
      <c r="O168" s="706">
        <f t="shared" si="18"/>
        <v>0</v>
      </c>
    </row>
    <row r="169" spans="1:15" s="360" customFormat="1" ht="15" hidden="1">
      <c r="A169" s="356" t="s">
        <v>499</v>
      </c>
      <c r="B169" s="707" t="s">
        <v>711</v>
      </c>
      <c r="C169" s="633">
        <f t="shared" si="15"/>
        <v>0</v>
      </c>
      <c r="D169" s="354"/>
      <c r="E169" s="622">
        <f t="shared" si="16"/>
        <v>750.18</v>
      </c>
      <c r="F169" s="917">
        <f t="shared" si="14"/>
        <v>0</v>
      </c>
      <c r="G169" s="358">
        <f>WORK!I1446</f>
        <v>0</v>
      </c>
      <c r="H169" s="354" t="s">
        <v>102</v>
      </c>
      <c r="I169" s="355">
        <f>WORK!K1446</f>
        <v>750.18</v>
      </c>
      <c r="J169" s="353">
        <f t="shared" si="17"/>
        <v>0</v>
      </c>
      <c r="K169" s="1913"/>
      <c r="L169" s="1913"/>
      <c r="M169" s="708" t="s">
        <v>2322</v>
      </c>
      <c r="N169" s="223"/>
      <c r="O169" s="706">
        <f t="shared" si="18"/>
        <v>0</v>
      </c>
    </row>
    <row r="170" spans="1:15" s="360" customFormat="1" ht="15" hidden="1">
      <c r="A170" s="356" t="s">
        <v>1516</v>
      </c>
      <c r="B170" s="707" t="s">
        <v>511</v>
      </c>
      <c r="C170" s="633">
        <f t="shared" si="15"/>
        <v>0</v>
      </c>
      <c r="D170" s="354"/>
      <c r="E170" s="622">
        <f t="shared" si="16"/>
        <v>726.78</v>
      </c>
      <c r="F170" s="917">
        <f t="shared" si="14"/>
        <v>0</v>
      </c>
      <c r="G170" s="358">
        <f>WORK!I1452</f>
        <v>0</v>
      </c>
      <c r="H170" s="354" t="s">
        <v>102</v>
      </c>
      <c r="I170" s="355">
        <f>WORK!K1452</f>
        <v>726.78</v>
      </c>
      <c r="J170" s="353">
        <f t="shared" si="17"/>
        <v>0</v>
      </c>
      <c r="K170" s="1911">
        <f>IF((J170+J171+J172+J173)&gt;(F170+F171+F172+F173),(J170+J171+J172+J173)-(F170+F171+F172+F173),0)</f>
        <v>0</v>
      </c>
      <c r="L170" s="1911">
        <f>IF((J170+J171+J172+J173)&lt;(F170+F171+F172+F173),(F170+F171+F172+F173)-(J170+J171+J172+J173),0)</f>
        <v>0</v>
      </c>
      <c r="M170" s="708" t="s">
        <v>2226</v>
      </c>
      <c r="N170" s="223"/>
      <c r="O170" s="706">
        <f t="shared" si="18"/>
        <v>0</v>
      </c>
    </row>
    <row r="171" spans="1:15" s="360" customFormat="1" ht="15" hidden="1">
      <c r="A171" s="356" t="s">
        <v>495</v>
      </c>
      <c r="B171" s="707" t="s">
        <v>511</v>
      </c>
      <c r="C171" s="633">
        <f t="shared" si="15"/>
        <v>0</v>
      </c>
      <c r="D171" s="354"/>
      <c r="E171" s="622">
        <f t="shared" si="16"/>
        <v>754.91</v>
      </c>
      <c r="F171" s="917">
        <f t="shared" si="14"/>
        <v>0</v>
      </c>
      <c r="G171" s="358">
        <f>WORK!I1457</f>
        <v>0</v>
      </c>
      <c r="H171" s="354" t="s">
        <v>102</v>
      </c>
      <c r="I171" s="355">
        <f>WORK!K1457</f>
        <v>754.91</v>
      </c>
      <c r="J171" s="353">
        <f t="shared" si="17"/>
        <v>0</v>
      </c>
      <c r="K171" s="1912"/>
      <c r="L171" s="1912"/>
      <c r="M171" s="708" t="s">
        <v>2308</v>
      </c>
      <c r="N171" s="223"/>
      <c r="O171" s="706">
        <f t="shared" si="18"/>
        <v>0</v>
      </c>
    </row>
    <row r="172" spans="1:15" s="360" customFormat="1" ht="15" hidden="1">
      <c r="A172" s="356" t="s">
        <v>492</v>
      </c>
      <c r="B172" s="707" t="s">
        <v>511</v>
      </c>
      <c r="C172" s="633">
        <f t="shared" si="15"/>
        <v>0</v>
      </c>
      <c r="D172" s="354"/>
      <c r="E172" s="622">
        <f t="shared" si="16"/>
        <v>776.13</v>
      </c>
      <c r="F172" s="917">
        <f t="shared" si="14"/>
        <v>0</v>
      </c>
      <c r="G172" s="358">
        <f>WORK!I1464</f>
        <v>0</v>
      </c>
      <c r="H172" s="354" t="s">
        <v>102</v>
      </c>
      <c r="I172" s="355">
        <f>WORK!K1464</f>
        <v>776.13</v>
      </c>
      <c r="J172" s="353">
        <f t="shared" si="17"/>
        <v>0</v>
      </c>
      <c r="K172" s="1912"/>
      <c r="L172" s="1912"/>
      <c r="M172" s="708" t="s">
        <v>2321</v>
      </c>
      <c r="N172" s="223"/>
      <c r="O172" s="706">
        <f t="shared" si="18"/>
        <v>0</v>
      </c>
    </row>
    <row r="173" spans="1:15" s="360" customFormat="1" ht="63.75" hidden="1">
      <c r="A173" s="356" t="s">
        <v>487</v>
      </c>
      <c r="B173" s="707" t="s">
        <v>3380</v>
      </c>
      <c r="C173" s="633">
        <f t="shared" si="15"/>
        <v>0</v>
      </c>
      <c r="D173" s="354" t="s">
        <v>102</v>
      </c>
      <c r="E173" s="622">
        <f t="shared" si="16"/>
        <v>801.83</v>
      </c>
      <c r="F173" s="917">
        <f t="shared" si="14"/>
        <v>0</v>
      </c>
      <c r="G173" s="358">
        <f>WORK!I1469</f>
        <v>0</v>
      </c>
      <c r="H173" s="354" t="s">
        <v>102</v>
      </c>
      <c r="I173" s="355">
        <f>WORK!K1469</f>
        <v>801.83</v>
      </c>
      <c r="J173" s="353">
        <f t="shared" si="17"/>
        <v>0</v>
      </c>
      <c r="K173" s="1913"/>
      <c r="L173" s="1913"/>
      <c r="M173" s="1139" t="s">
        <v>2322</v>
      </c>
      <c r="N173" s="223"/>
      <c r="O173" s="1138">
        <f t="shared" si="18"/>
        <v>0</v>
      </c>
    </row>
    <row r="174" spans="1:15" s="360" customFormat="1" ht="15" hidden="1">
      <c r="A174" s="356" t="s">
        <v>492</v>
      </c>
      <c r="B174" s="707" t="s">
        <v>570</v>
      </c>
      <c r="C174" s="633">
        <f t="shared" si="15"/>
        <v>0</v>
      </c>
      <c r="D174" s="354"/>
      <c r="E174" s="622">
        <f t="shared" si="16"/>
        <v>487.61</v>
      </c>
      <c r="F174" s="917">
        <f t="shared" si="14"/>
        <v>0</v>
      </c>
      <c r="G174" s="358">
        <f>WORK!I1476</f>
        <v>0</v>
      </c>
      <c r="H174" s="354" t="s">
        <v>102</v>
      </c>
      <c r="I174" s="355">
        <f>WORK!K1476</f>
        <v>487.61</v>
      </c>
      <c r="J174" s="353">
        <f t="shared" si="17"/>
        <v>0</v>
      </c>
      <c r="K174" s="1911">
        <f>IF((J174+J175+J176+J177)&gt;(F174+F175+F176+F177),(J174+J175+J176+J177)-(F174+F175+F176+F177),0)</f>
        <v>0</v>
      </c>
      <c r="L174" s="1911">
        <f>IF((J174+J175+J176+J177)&lt;(F174+F175+F176+F177),(F174+F175+F176+F177)-(J174+J175+J176+J177),0)</f>
        <v>0</v>
      </c>
      <c r="M174" s="708" t="s">
        <v>2226</v>
      </c>
      <c r="N174" s="223"/>
      <c r="O174" s="706">
        <f t="shared" si="18"/>
        <v>0</v>
      </c>
    </row>
    <row r="175" spans="1:15" s="360" customFormat="1" ht="15" hidden="1">
      <c r="A175" s="356" t="s">
        <v>492</v>
      </c>
      <c r="B175" s="707" t="s">
        <v>570</v>
      </c>
      <c r="C175" s="633">
        <f t="shared" si="15"/>
        <v>0</v>
      </c>
      <c r="D175" s="354"/>
      <c r="E175" s="622">
        <f t="shared" si="16"/>
        <v>496.21</v>
      </c>
      <c r="F175" s="917">
        <f t="shared" si="14"/>
        <v>0</v>
      </c>
      <c r="G175" s="358">
        <f>WORK!I1483</f>
        <v>0</v>
      </c>
      <c r="H175" s="354" t="s">
        <v>102</v>
      </c>
      <c r="I175" s="355">
        <f>WORK!K1483</f>
        <v>496.21</v>
      </c>
      <c r="J175" s="353">
        <f t="shared" si="17"/>
        <v>0</v>
      </c>
      <c r="K175" s="1912"/>
      <c r="L175" s="1912"/>
      <c r="M175" s="708" t="s">
        <v>2308</v>
      </c>
      <c r="N175" s="223"/>
      <c r="O175" s="706">
        <f t="shared" si="18"/>
        <v>0</v>
      </c>
    </row>
    <row r="176" spans="1:15" s="360" customFormat="1" ht="15" hidden="1">
      <c r="A176" s="356" t="s">
        <v>493</v>
      </c>
      <c r="B176" s="707" t="s">
        <v>570</v>
      </c>
      <c r="C176" s="633">
        <f t="shared" si="15"/>
        <v>0</v>
      </c>
      <c r="D176" s="354"/>
      <c r="E176" s="622">
        <f t="shared" si="16"/>
        <v>503.67</v>
      </c>
      <c r="F176" s="917">
        <f t="shared" si="14"/>
        <v>0</v>
      </c>
      <c r="G176" s="358">
        <f>WORK!I1488</f>
        <v>0</v>
      </c>
      <c r="H176" s="354" t="s">
        <v>102</v>
      </c>
      <c r="I176" s="355">
        <f>WORK!K1488</f>
        <v>503.67</v>
      </c>
      <c r="J176" s="353">
        <f t="shared" si="17"/>
        <v>0</v>
      </c>
      <c r="K176" s="1912"/>
      <c r="L176" s="1912"/>
      <c r="M176" s="708" t="s">
        <v>2321</v>
      </c>
      <c r="N176" s="223"/>
      <c r="O176" s="706">
        <f t="shared" si="18"/>
        <v>0</v>
      </c>
    </row>
    <row r="177" spans="1:15" s="360" customFormat="1" ht="15" hidden="1">
      <c r="A177" s="356" t="s">
        <v>492</v>
      </c>
      <c r="B177" s="707" t="s">
        <v>570</v>
      </c>
      <c r="C177" s="633">
        <f t="shared" si="15"/>
        <v>0</v>
      </c>
      <c r="D177" s="354"/>
      <c r="E177" s="622">
        <f t="shared" si="16"/>
        <v>518.15</v>
      </c>
      <c r="F177" s="917">
        <f t="shared" si="14"/>
        <v>0</v>
      </c>
      <c r="G177" s="358">
        <f>WORK!I1494</f>
        <v>0</v>
      </c>
      <c r="H177" s="354" t="s">
        <v>102</v>
      </c>
      <c r="I177" s="355">
        <f>WORK!K1494</f>
        <v>518.15</v>
      </c>
      <c r="J177" s="353">
        <f t="shared" si="17"/>
        <v>0</v>
      </c>
      <c r="K177" s="1913"/>
      <c r="L177" s="1913"/>
      <c r="M177" s="708" t="s">
        <v>2322</v>
      </c>
      <c r="N177" s="223"/>
      <c r="O177" s="706">
        <f t="shared" si="18"/>
        <v>0</v>
      </c>
    </row>
    <row r="178" spans="1:15" s="360" customFormat="1" ht="38.25">
      <c r="A178" s="356" t="s">
        <v>485</v>
      </c>
      <c r="B178" s="707" t="s">
        <v>3382</v>
      </c>
      <c r="C178" s="633">
        <f t="shared" si="15"/>
        <v>19.310000000000002</v>
      </c>
      <c r="D178" s="354" t="s">
        <v>102</v>
      </c>
      <c r="E178" s="622">
        <f t="shared" si="16"/>
        <v>911.63</v>
      </c>
      <c r="F178" s="917">
        <f t="shared" si="14"/>
        <v>17604</v>
      </c>
      <c r="G178" s="358">
        <f>WORK!I1501</f>
        <v>19.310000000000002</v>
      </c>
      <c r="H178" s="354" t="s">
        <v>102</v>
      </c>
      <c r="I178" s="355">
        <f>WORK!K1501</f>
        <v>911.63</v>
      </c>
      <c r="J178" s="353">
        <f t="shared" si="17"/>
        <v>17603.580000000002</v>
      </c>
      <c r="K178" s="1911">
        <f>IF((J178+J179+J180+J181)&gt;(F178+F179+F180+F181),(J178+J179+J180+J181)-(F178+F179+F180+F181),0)</f>
        <v>0</v>
      </c>
      <c r="L178" s="1911">
        <f>IF((J178+J179+J180+J181)&lt;(F178+F179+F180+F181),(F178+F179+F180+F181)-(J178+J179+J180+J181),0)</f>
        <v>0.41999999999825377</v>
      </c>
      <c r="M178" s="1139" t="s">
        <v>2226</v>
      </c>
      <c r="N178" s="223"/>
      <c r="O178" s="1138">
        <f t="shared" si="18"/>
        <v>0.41999999999825377</v>
      </c>
    </row>
    <row r="179" spans="1:15" s="360" customFormat="1" ht="15" hidden="1">
      <c r="A179" s="356" t="s">
        <v>491</v>
      </c>
      <c r="B179" s="707" t="s">
        <v>1223</v>
      </c>
      <c r="C179" s="633">
        <f t="shared" si="15"/>
        <v>0</v>
      </c>
      <c r="D179" s="354"/>
      <c r="E179" s="622">
        <f t="shared" si="16"/>
        <v>950.67</v>
      </c>
      <c r="F179" s="917">
        <f t="shared" si="14"/>
        <v>0</v>
      </c>
      <c r="G179" s="358">
        <f>WORK!I1507</f>
        <v>0</v>
      </c>
      <c r="H179" s="354" t="s">
        <v>102</v>
      </c>
      <c r="I179" s="355">
        <f>WORK!K1507</f>
        <v>950.67</v>
      </c>
      <c r="J179" s="353">
        <f t="shared" si="17"/>
        <v>0</v>
      </c>
      <c r="K179" s="1912"/>
      <c r="L179" s="1912"/>
      <c r="M179" s="708" t="s">
        <v>2308</v>
      </c>
      <c r="N179" s="223"/>
      <c r="O179" s="706">
        <f t="shared" si="18"/>
        <v>0</v>
      </c>
    </row>
    <row r="180" spans="1:15" s="360" customFormat="1" ht="15" hidden="1">
      <c r="A180" s="356" t="s">
        <v>494</v>
      </c>
      <c r="B180" s="707" t="s">
        <v>1223</v>
      </c>
      <c r="C180" s="633">
        <f t="shared" si="15"/>
        <v>0</v>
      </c>
      <c r="D180" s="354" t="s">
        <v>102</v>
      </c>
      <c r="E180" s="622">
        <f t="shared" si="16"/>
        <v>981.79</v>
      </c>
      <c r="F180" s="917">
        <f t="shared" si="14"/>
        <v>0</v>
      </c>
      <c r="G180" s="358">
        <f>WORK!I1513</f>
        <v>0</v>
      </c>
      <c r="H180" s="354" t="s">
        <v>102</v>
      </c>
      <c r="I180" s="355">
        <f>WORK!K1513</f>
        <v>981.79</v>
      </c>
      <c r="J180" s="353">
        <f t="shared" si="17"/>
        <v>0</v>
      </c>
      <c r="K180" s="1912"/>
      <c r="L180" s="1912"/>
      <c r="M180" s="708" t="s">
        <v>2321</v>
      </c>
      <c r="N180" s="223"/>
      <c r="O180" s="706">
        <f t="shared" si="18"/>
        <v>0</v>
      </c>
    </row>
    <row r="181" spans="1:15" s="360" customFormat="1" ht="38.25" hidden="1">
      <c r="A181" s="356" t="s">
        <v>488</v>
      </c>
      <c r="B181" s="707" t="s">
        <v>3403</v>
      </c>
      <c r="C181" s="633">
        <f t="shared" si="15"/>
        <v>0</v>
      </c>
      <c r="D181" s="354" t="s">
        <v>102</v>
      </c>
      <c r="E181" s="622">
        <f t="shared" si="16"/>
        <v>1017.93</v>
      </c>
      <c r="F181" s="917">
        <f t="shared" si="14"/>
        <v>0</v>
      </c>
      <c r="G181" s="358">
        <f>WORK!I1520</f>
        <v>0</v>
      </c>
      <c r="H181" s="354" t="s">
        <v>102</v>
      </c>
      <c r="I181" s="355">
        <f>WORK!K1520</f>
        <v>1017.93</v>
      </c>
      <c r="J181" s="353">
        <f t="shared" si="17"/>
        <v>0</v>
      </c>
      <c r="K181" s="1913"/>
      <c r="L181" s="1913"/>
      <c r="M181" s="1139" t="s">
        <v>2322</v>
      </c>
      <c r="N181" s="223"/>
      <c r="O181" s="1138">
        <f t="shared" si="18"/>
        <v>0</v>
      </c>
    </row>
    <row r="182" spans="1:15" s="360" customFormat="1" ht="15" hidden="1">
      <c r="A182" s="356"/>
      <c r="B182" s="707" t="s">
        <v>2271</v>
      </c>
      <c r="C182" s="633">
        <f t="shared" si="15"/>
        <v>0</v>
      </c>
      <c r="D182" s="354"/>
      <c r="E182" s="622">
        <f t="shared" si="16"/>
        <v>489</v>
      </c>
      <c r="F182" s="917">
        <f t="shared" si="14"/>
        <v>0</v>
      </c>
      <c r="G182" s="358">
        <f>WORK!I1527</f>
        <v>0</v>
      </c>
      <c r="H182" s="354" t="s">
        <v>102</v>
      </c>
      <c r="I182" s="355">
        <f>WORK!K1527</f>
        <v>489</v>
      </c>
      <c r="J182" s="353">
        <f t="shared" si="17"/>
        <v>0</v>
      </c>
      <c r="K182" s="1911">
        <f>IF((J182+J183+J184+J185)&gt;(F182+F183+F184+F185),(J182+J183+J184+J185)-(F182+F183+F184+F185),0)</f>
        <v>0</v>
      </c>
      <c r="L182" s="1911">
        <f>IF((J182+J183+J184+J185)&lt;(F182+F183+F184+F185),(F182+F183+F184+F185)-(J182+J183+J184+J185),0)</f>
        <v>0</v>
      </c>
      <c r="M182" s="708" t="s">
        <v>2226</v>
      </c>
      <c r="N182" s="223"/>
      <c r="O182" s="706">
        <f t="shared" si="18"/>
        <v>0</v>
      </c>
    </row>
    <row r="183" spans="1:15" s="360" customFormat="1" ht="15" hidden="1">
      <c r="A183" s="356"/>
      <c r="B183" s="707" t="s">
        <v>2271</v>
      </c>
      <c r="C183" s="633">
        <f t="shared" si="15"/>
        <v>0</v>
      </c>
      <c r="D183" s="354"/>
      <c r="E183" s="622">
        <f t="shared" si="16"/>
        <v>489</v>
      </c>
      <c r="F183" s="917">
        <f t="shared" si="14"/>
        <v>0</v>
      </c>
      <c r="G183" s="358">
        <f>WORK!I1534</f>
        <v>0</v>
      </c>
      <c r="H183" s="354" t="s">
        <v>102</v>
      </c>
      <c r="I183" s="355">
        <f>WORK!K1534</f>
        <v>489</v>
      </c>
      <c r="J183" s="353">
        <f t="shared" si="17"/>
        <v>0</v>
      </c>
      <c r="K183" s="1912"/>
      <c r="L183" s="1912"/>
      <c r="M183" s="708" t="s">
        <v>2308</v>
      </c>
      <c r="N183" s="223"/>
      <c r="O183" s="706">
        <f t="shared" si="18"/>
        <v>0</v>
      </c>
    </row>
    <row r="184" spans="1:15" s="360" customFormat="1" ht="15" hidden="1">
      <c r="A184" s="356"/>
      <c r="B184" s="707" t="s">
        <v>2271</v>
      </c>
      <c r="C184" s="633">
        <f t="shared" si="15"/>
        <v>0</v>
      </c>
      <c r="D184" s="354"/>
      <c r="E184" s="622">
        <f t="shared" si="16"/>
        <v>510</v>
      </c>
      <c r="F184" s="917">
        <f t="shared" si="14"/>
        <v>0</v>
      </c>
      <c r="G184" s="358">
        <f>WORK!I1541</f>
        <v>0</v>
      </c>
      <c r="H184" s="354" t="s">
        <v>102</v>
      </c>
      <c r="I184" s="355">
        <f>WORK!K1541</f>
        <v>510</v>
      </c>
      <c r="J184" s="353">
        <f t="shared" si="17"/>
        <v>0</v>
      </c>
      <c r="K184" s="1912"/>
      <c r="L184" s="1912"/>
      <c r="M184" s="708" t="s">
        <v>2321</v>
      </c>
      <c r="N184" s="223"/>
      <c r="O184" s="706">
        <f t="shared" si="18"/>
        <v>0</v>
      </c>
    </row>
    <row r="185" spans="1:15" s="360" customFormat="1" ht="15" hidden="1">
      <c r="A185" s="356"/>
      <c r="B185" s="707" t="s">
        <v>2271</v>
      </c>
      <c r="C185" s="633">
        <f t="shared" si="15"/>
        <v>0</v>
      </c>
      <c r="D185" s="354"/>
      <c r="E185" s="622">
        <f t="shared" si="16"/>
        <v>610</v>
      </c>
      <c r="F185" s="917">
        <f t="shared" si="14"/>
        <v>0</v>
      </c>
      <c r="G185" s="358">
        <f>WORK!I1548</f>
        <v>0</v>
      </c>
      <c r="H185" s="354" t="s">
        <v>102</v>
      </c>
      <c r="I185" s="355">
        <f>WORK!K1548</f>
        <v>610</v>
      </c>
      <c r="J185" s="353">
        <f t="shared" si="17"/>
        <v>0</v>
      </c>
      <c r="K185" s="1913"/>
      <c r="L185" s="1913"/>
      <c r="M185" s="708" t="s">
        <v>2322</v>
      </c>
      <c r="N185" s="223"/>
      <c r="O185" s="706">
        <f t="shared" si="18"/>
        <v>0</v>
      </c>
    </row>
    <row r="186" spans="1:15" s="360" customFormat="1" ht="51" hidden="1">
      <c r="A186" s="356" t="s">
        <v>489</v>
      </c>
      <c r="B186" s="707" t="s">
        <v>3286</v>
      </c>
      <c r="C186" s="633">
        <f t="shared" si="15"/>
        <v>0</v>
      </c>
      <c r="D186" s="916" t="s">
        <v>102</v>
      </c>
      <c r="E186" s="622">
        <f t="shared" si="16"/>
        <v>288.70999999999998</v>
      </c>
      <c r="F186" s="917">
        <f t="shared" si="14"/>
        <v>0</v>
      </c>
      <c r="G186" s="358">
        <f>WORK!I1555</f>
        <v>0</v>
      </c>
      <c r="H186" s="354" t="s">
        <v>102</v>
      </c>
      <c r="I186" s="355">
        <f>WORK!K1555</f>
        <v>288.70999999999998</v>
      </c>
      <c r="J186" s="353">
        <f t="shared" si="17"/>
        <v>0</v>
      </c>
      <c r="K186" s="1911">
        <f>IF((J186+J187+J188+J189)&gt;(F186+F187+F188+F189),(J186+J187+J188+J189)-(F186+F187+F188+F189),0)</f>
        <v>0</v>
      </c>
      <c r="L186" s="1911">
        <f>IF((J186+J187+J188+J189)&lt;(F186+F187+F188+F189),(F186+F187+F188+F189)-(J186+J187+J188+J189),0)</f>
        <v>0</v>
      </c>
      <c r="M186" s="708" t="s">
        <v>2226</v>
      </c>
      <c r="N186" s="223"/>
      <c r="O186" s="706">
        <f t="shared" si="18"/>
        <v>0</v>
      </c>
    </row>
    <row r="187" spans="1:15" s="360" customFormat="1" ht="15" hidden="1">
      <c r="A187" s="356"/>
      <c r="B187" s="707" t="s">
        <v>2272</v>
      </c>
      <c r="C187" s="633">
        <f t="shared" si="15"/>
        <v>0</v>
      </c>
      <c r="D187" s="354"/>
      <c r="E187" s="622">
        <f t="shared" si="16"/>
        <v>309.07</v>
      </c>
      <c r="F187" s="917">
        <f t="shared" si="14"/>
        <v>0</v>
      </c>
      <c r="G187" s="358">
        <f>WORK!I1562</f>
        <v>0</v>
      </c>
      <c r="H187" s="354" t="s">
        <v>102</v>
      </c>
      <c r="I187" s="355">
        <f>WORK!K1562</f>
        <v>309.07</v>
      </c>
      <c r="J187" s="353">
        <f t="shared" si="17"/>
        <v>0</v>
      </c>
      <c r="K187" s="1912"/>
      <c r="L187" s="1912"/>
      <c r="M187" s="708" t="s">
        <v>2308</v>
      </c>
      <c r="N187" s="223"/>
      <c r="O187" s="706">
        <f t="shared" si="18"/>
        <v>0</v>
      </c>
    </row>
    <row r="188" spans="1:15" s="360" customFormat="1" ht="15" hidden="1">
      <c r="A188" s="356"/>
      <c r="B188" s="707" t="s">
        <v>2272</v>
      </c>
      <c r="C188" s="633">
        <f t="shared" si="15"/>
        <v>0</v>
      </c>
      <c r="D188" s="354"/>
      <c r="E188" s="622">
        <f t="shared" si="16"/>
        <v>325.58</v>
      </c>
      <c r="F188" s="917">
        <f t="shared" si="14"/>
        <v>0</v>
      </c>
      <c r="G188" s="358">
        <f>WORK!I1569</f>
        <v>0</v>
      </c>
      <c r="H188" s="354" t="s">
        <v>102</v>
      </c>
      <c r="I188" s="355">
        <f>WORK!K1569</f>
        <v>325.58</v>
      </c>
      <c r="J188" s="353">
        <f t="shared" si="17"/>
        <v>0</v>
      </c>
      <c r="K188" s="1912"/>
      <c r="L188" s="1912"/>
      <c r="M188" s="708" t="s">
        <v>2321</v>
      </c>
      <c r="N188" s="223"/>
      <c r="O188" s="706">
        <f t="shared" si="18"/>
        <v>0</v>
      </c>
    </row>
    <row r="189" spans="1:15" s="360" customFormat="1" ht="15" hidden="1">
      <c r="A189" s="356"/>
      <c r="B189" s="707" t="s">
        <v>2272</v>
      </c>
      <c r="C189" s="633">
        <f t="shared" si="15"/>
        <v>0</v>
      </c>
      <c r="D189" s="354"/>
      <c r="E189" s="622">
        <f t="shared" si="16"/>
        <v>345.47</v>
      </c>
      <c r="F189" s="917">
        <f t="shared" si="14"/>
        <v>0</v>
      </c>
      <c r="G189" s="358">
        <f>WORK!I1576</f>
        <v>0</v>
      </c>
      <c r="H189" s="354" t="s">
        <v>102</v>
      </c>
      <c r="I189" s="355">
        <f>WORK!K1576</f>
        <v>345.47</v>
      </c>
      <c r="J189" s="353">
        <f t="shared" si="17"/>
        <v>0</v>
      </c>
      <c r="K189" s="1913"/>
      <c r="L189" s="1913"/>
      <c r="M189" s="708" t="s">
        <v>2322</v>
      </c>
      <c r="N189" s="223"/>
      <c r="O189" s="706">
        <f t="shared" si="18"/>
        <v>0</v>
      </c>
    </row>
    <row r="190" spans="1:15" s="360" customFormat="1" ht="15" hidden="1">
      <c r="A190" s="356" t="s">
        <v>491</v>
      </c>
      <c r="B190" s="707" t="s">
        <v>959</v>
      </c>
      <c r="C190" s="633">
        <f t="shared" si="15"/>
        <v>0</v>
      </c>
      <c r="D190" s="354"/>
      <c r="E190" s="622">
        <f t="shared" si="16"/>
        <v>19.87</v>
      </c>
      <c r="F190" s="917">
        <f t="shared" si="14"/>
        <v>0</v>
      </c>
      <c r="G190" s="358">
        <f>WORK!I1583</f>
        <v>0</v>
      </c>
      <c r="H190" s="354" t="s">
        <v>102</v>
      </c>
      <c r="I190" s="355">
        <f>WORK!K1583</f>
        <v>19.87</v>
      </c>
      <c r="J190" s="353">
        <f t="shared" si="17"/>
        <v>0</v>
      </c>
      <c r="K190" s="1911">
        <f>IF((J190+J191+J192+J193)&gt;(F190+F191+F192+F193),(J190+J191+J192+J193)-(F190+F191+F192+F193),0)</f>
        <v>0</v>
      </c>
      <c r="L190" s="1911">
        <f>IF((J190+J191+J192+J193)&lt;(F190+F191+F192+F193),(F190+F191+F192+F193)-(J190+J191+J192+J193),0)</f>
        <v>0</v>
      </c>
      <c r="M190" s="708" t="s">
        <v>2226</v>
      </c>
      <c r="N190" s="223"/>
      <c r="O190" s="706">
        <f t="shared" si="18"/>
        <v>0</v>
      </c>
    </row>
    <row r="191" spans="1:15" s="360" customFormat="1" ht="15" hidden="1">
      <c r="A191" s="356" t="s">
        <v>491</v>
      </c>
      <c r="B191" s="707" t="s">
        <v>959</v>
      </c>
      <c r="C191" s="633">
        <f t="shared" si="15"/>
        <v>0</v>
      </c>
      <c r="D191" s="354"/>
      <c r="E191" s="622">
        <f t="shared" si="16"/>
        <v>21.19</v>
      </c>
      <c r="F191" s="917">
        <f t="shared" si="14"/>
        <v>0</v>
      </c>
      <c r="G191" s="358">
        <f>WORK!I1590</f>
        <v>0</v>
      </c>
      <c r="H191" s="354" t="s">
        <v>102</v>
      </c>
      <c r="I191" s="355">
        <f>WORK!K1590</f>
        <v>21.19</v>
      </c>
      <c r="J191" s="353">
        <f t="shared" si="17"/>
        <v>0</v>
      </c>
      <c r="K191" s="1912"/>
      <c r="L191" s="1912"/>
      <c r="M191" s="708" t="s">
        <v>2308</v>
      </c>
      <c r="N191" s="223"/>
      <c r="O191" s="706">
        <f t="shared" si="18"/>
        <v>0</v>
      </c>
    </row>
    <row r="192" spans="1:15" s="360" customFormat="1" ht="15" hidden="1">
      <c r="A192" s="356" t="s">
        <v>491</v>
      </c>
      <c r="B192" s="707" t="s">
        <v>959</v>
      </c>
      <c r="C192" s="633">
        <f t="shared" si="15"/>
        <v>0</v>
      </c>
      <c r="D192" s="354"/>
      <c r="E192" s="622">
        <f t="shared" si="16"/>
        <v>22.35</v>
      </c>
      <c r="F192" s="917">
        <f t="shared" si="14"/>
        <v>0</v>
      </c>
      <c r="G192" s="358">
        <f>WORK!I1597</f>
        <v>0</v>
      </c>
      <c r="H192" s="354" t="s">
        <v>102</v>
      </c>
      <c r="I192" s="355">
        <f>WORK!K1597</f>
        <v>22.35</v>
      </c>
      <c r="J192" s="353">
        <f t="shared" si="17"/>
        <v>0</v>
      </c>
      <c r="K192" s="1912"/>
      <c r="L192" s="1912"/>
      <c r="M192" s="708" t="s">
        <v>2321</v>
      </c>
      <c r="N192" s="223"/>
      <c r="O192" s="706">
        <f t="shared" si="18"/>
        <v>0</v>
      </c>
    </row>
    <row r="193" spans="1:15" s="360" customFormat="1" ht="15" hidden="1">
      <c r="A193" s="356" t="s">
        <v>491</v>
      </c>
      <c r="B193" s="707" t="s">
        <v>959</v>
      </c>
      <c r="C193" s="633">
        <f t="shared" si="15"/>
        <v>0</v>
      </c>
      <c r="D193" s="354"/>
      <c r="E193" s="622">
        <f t="shared" si="16"/>
        <v>24.05</v>
      </c>
      <c r="F193" s="917">
        <f t="shared" si="14"/>
        <v>0</v>
      </c>
      <c r="G193" s="358">
        <f>WORK!I1604</f>
        <v>0</v>
      </c>
      <c r="H193" s="354" t="s">
        <v>102</v>
      </c>
      <c r="I193" s="355">
        <f>WORK!K1604</f>
        <v>24.05</v>
      </c>
      <c r="J193" s="353">
        <f t="shared" si="17"/>
        <v>0</v>
      </c>
      <c r="K193" s="1913"/>
      <c r="L193" s="1913"/>
      <c r="M193" s="708" t="s">
        <v>2322</v>
      </c>
      <c r="N193" s="223"/>
      <c r="O193" s="706">
        <f t="shared" si="18"/>
        <v>0</v>
      </c>
    </row>
    <row r="194" spans="1:15" s="360" customFormat="1" ht="51">
      <c r="A194" s="356" t="s">
        <v>486</v>
      </c>
      <c r="B194" s="707" t="s">
        <v>3287</v>
      </c>
      <c r="C194" s="633">
        <f t="shared" si="15"/>
        <v>293.25000000000011</v>
      </c>
      <c r="D194" s="916" t="s">
        <v>102</v>
      </c>
      <c r="E194" s="622">
        <f t="shared" si="16"/>
        <v>148.07</v>
      </c>
      <c r="F194" s="917">
        <f t="shared" si="14"/>
        <v>43422</v>
      </c>
      <c r="G194" s="358">
        <f>WORK!I1626</f>
        <v>293.25000000000011</v>
      </c>
      <c r="H194" s="354" t="s">
        <v>102</v>
      </c>
      <c r="I194" s="355">
        <f>WORK!K1626</f>
        <v>148.07</v>
      </c>
      <c r="J194" s="353">
        <f t="shared" si="17"/>
        <v>43421.53</v>
      </c>
      <c r="K194" s="1911">
        <f>IF((J194+J195+J196+J197)&gt;(F194+F195+F196+F197),(J194+J195+J196+J197)-(F194+F195+F196+F197),0)</f>
        <v>0</v>
      </c>
      <c r="L194" s="1911">
        <f>IF((J194+J195+J196+J197)&lt;(F194+F195+F196+F197),(F194+F195+F196+F197)-(J194+J195+J196+J197),0)</f>
        <v>0.47000000000116415</v>
      </c>
      <c r="M194" s="1139" t="s">
        <v>2226</v>
      </c>
      <c r="N194" s="223"/>
      <c r="O194" s="1138">
        <f t="shared" si="18"/>
        <v>0.47000000000116415</v>
      </c>
    </row>
    <row r="195" spans="1:15" s="360" customFormat="1" ht="15" hidden="1">
      <c r="A195" s="356" t="s">
        <v>1518</v>
      </c>
      <c r="B195" s="707" t="s">
        <v>960</v>
      </c>
      <c r="C195" s="633">
        <f t="shared" si="15"/>
        <v>0</v>
      </c>
      <c r="D195" s="354" t="s">
        <v>102</v>
      </c>
      <c r="E195" s="622">
        <f t="shared" si="16"/>
        <v>155.29</v>
      </c>
      <c r="F195" s="917">
        <f t="shared" si="14"/>
        <v>0</v>
      </c>
      <c r="G195" s="358">
        <f>WORK!I1647</f>
        <v>0</v>
      </c>
      <c r="H195" s="354" t="s">
        <v>102</v>
      </c>
      <c r="I195" s="355">
        <f>WORK!K1647</f>
        <v>155.29</v>
      </c>
      <c r="J195" s="353">
        <f t="shared" si="17"/>
        <v>0</v>
      </c>
      <c r="K195" s="1912"/>
      <c r="L195" s="1912"/>
      <c r="M195" s="708" t="s">
        <v>2308</v>
      </c>
      <c r="N195" s="223"/>
      <c r="O195" s="706">
        <f t="shared" si="18"/>
        <v>0</v>
      </c>
    </row>
    <row r="196" spans="1:15" s="360" customFormat="1" ht="15" hidden="1">
      <c r="A196" s="356" t="s">
        <v>495</v>
      </c>
      <c r="B196" s="707" t="s">
        <v>960</v>
      </c>
      <c r="C196" s="633">
        <f t="shared" si="15"/>
        <v>0</v>
      </c>
      <c r="D196" s="354"/>
      <c r="E196" s="622">
        <f t="shared" si="16"/>
        <v>160.76</v>
      </c>
      <c r="F196" s="917">
        <f t="shared" si="14"/>
        <v>0</v>
      </c>
      <c r="G196" s="358">
        <f>WORK!I1665</f>
        <v>0</v>
      </c>
      <c r="H196" s="354" t="s">
        <v>102</v>
      </c>
      <c r="I196" s="355">
        <f>WORK!K1665</f>
        <v>160.76</v>
      </c>
      <c r="J196" s="353">
        <f t="shared" si="17"/>
        <v>0</v>
      </c>
      <c r="K196" s="1912"/>
      <c r="L196" s="1912"/>
      <c r="M196" s="708" t="s">
        <v>2321</v>
      </c>
      <c r="N196" s="223"/>
      <c r="O196" s="706">
        <f t="shared" si="18"/>
        <v>0</v>
      </c>
    </row>
    <row r="197" spans="1:15" s="360" customFormat="1" ht="51" hidden="1">
      <c r="A197" s="356" t="s">
        <v>484</v>
      </c>
      <c r="B197" s="707" t="s">
        <v>3287</v>
      </c>
      <c r="C197" s="633">
        <f t="shared" si="15"/>
        <v>0</v>
      </c>
      <c r="D197" s="354" t="s">
        <v>102</v>
      </c>
      <c r="E197" s="622">
        <f t="shared" si="16"/>
        <v>173.73</v>
      </c>
      <c r="F197" s="917">
        <f t="shared" si="14"/>
        <v>0</v>
      </c>
      <c r="G197" s="358">
        <f>WORK!I1688</f>
        <v>0</v>
      </c>
      <c r="H197" s="354" t="s">
        <v>102</v>
      </c>
      <c r="I197" s="355">
        <f>WORK!K1688</f>
        <v>173.73</v>
      </c>
      <c r="J197" s="353">
        <f t="shared" si="17"/>
        <v>0</v>
      </c>
      <c r="K197" s="1927"/>
      <c r="L197" s="1927"/>
      <c r="M197" s="1139" t="s">
        <v>2322</v>
      </c>
      <c r="N197" s="223"/>
      <c r="O197" s="1138">
        <f t="shared" si="18"/>
        <v>0</v>
      </c>
    </row>
    <row r="198" spans="1:15" s="360" customFormat="1" ht="51">
      <c r="A198" s="356" t="s">
        <v>487</v>
      </c>
      <c r="B198" s="707" t="s">
        <v>3288</v>
      </c>
      <c r="C198" s="633">
        <f t="shared" si="15"/>
        <v>293.25000000000011</v>
      </c>
      <c r="D198" s="916" t="s">
        <v>102</v>
      </c>
      <c r="E198" s="622">
        <f t="shared" si="16"/>
        <v>122.02</v>
      </c>
      <c r="F198" s="917">
        <f t="shared" si="14"/>
        <v>35782</v>
      </c>
      <c r="G198" s="358">
        <f>WORK!I1710</f>
        <v>293.25000000000011</v>
      </c>
      <c r="H198" s="354" t="s">
        <v>102</v>
      </c>
      <c r="I198" s="355">
        <f>WORK!K1710</f>
        <v>122.02</v>
      </c>
      <c r="J198" s="353">
        <f t="shared" si="17"/>
        <v>35782.370000000003</v>
      </c>
      <c r="K198" s="1911">
        <f>IF((J198+J199+J200+J201)&gt;(F198+F199+F200+F201),(J198+J199+J200+J201)-(F198+F199+F200+F201),0)</f>
        <v>0.37000000000261934</v>
      </c>
      <c r="L198" s="1911">
        <f>IF((J198+J199+J200+J201)&lt;(F198+F199+F200+F201),(F198+F199+F200+F201)-(J198+J199+J200+J201),0)</f>
        <v>0</v>
      </c>
      <c r="M198" s="1139" t="s">
        <v>2226</v>
      </c>
      <c r="N198" s="223"/>
      <c r="O198" s="1138">
        <f t="shared" si="18"/>
        <v>-0.37000000000261934</v>
      </c>
    </row>
    <row r="199" spans="1:15" s="360" customFormat="1" ht="15" hidden="1">
      <c r="A199" s="356" t="s">
        <v>1519</v>
      </c>
      <c r="B199" s="707" t="s">
        <v>1165</v>
      </c>
      <c r="C199" s="633">
        <f t="shared" si="15"/>
        <v>0</v>
      </c>
      <c r="D199" s="354" t="s">
        <v>102</v>
      </c>
      <c r="E199" s="622">
        <f t="shared" si="16"/>
        <v>129.35</v>
      </c>
      <c r="F199" s="917">
        <f t="shared" si="14"/>
        <v>0</v>
      </c>
      <c r="G199" s="358">
        <f>WORK!I1731</f>
        <v>0</v>
      </c>
      <c r="H199" s="354" t="s">
        <v>102</v>
      </c>
      <c r="I199" s="355">
        <f>WORK!K1731</f>
        <v>129.35</v>
      </c>
      <c r="J199" s="353">
        <f t="shared" si="17"/>
        <v>0</v>
      </c>
      <c r="K199" s="1912"/>
      <c r="L199" s="1912"/>
      <c r="M199" s="708" t="s">
        <v>2308</v>
      </c>
      <c r="N199" s="223"/>
      <c r="O199" s="706">
        <f t="shared" si="18"/>
        <v>0</v>
      </c>
    </row>
    <row r="200" spans="1:15" s="360" customFormat="1" ht="15" hidden="1">
      <c r="A200" s="356" t="s">
        <v>1517</v>
      </c>
      <c r="B200" s="707" t="s">
        <v>1165</v>
      </c>
      <c r="C200" s="633">
        <f t="shared" si="15"/>
        <v>0</v>
      </c>
      <c r="D200" s="354"/>
      <c r="E200" s="622">
        <f t="shared" si="16"/>
        <v>134.97</v>
      </c>
      <c r="F200" s="917">
        <f t="shared" si="14"/>
        <v>0</v>
      </c>
      <c r="G200" s="358">
        <f>WORK!I1749</f>
        <v>0</v>
      </c>
      <c r="H200" s="354" t="s">
        <v>102</v>
      </c>
      <c r="I200" s="355">
        <f>WORK!K1749</f>
        <v>134.97</v>
      </c>
      <c r="J200" s="353">
        <f t="shared" si="17"/>
        <v>0</v>
      </c>
      <c r="K200" s="1912"/>
      <c r="L200" s="1912"/>
      <c r="M200" s="708" t="s">
        <v>2321</v>
      </c>
      <c r="N200" s="223"/>
      <c r="O200" s="706">
        <f t="shared" si="18"/>
        <v>0</v>
      </c>
    </row>
    <row r="201" spans="1:15" s="360" customFormat="1" ht="51" hidden="1">
      <c r="A201" s="356" t="s">
        <v>1516</v>
      </c>
      <c r="B201" s="707" t="s">
        <v>3288</v>
      </c>
      <c r="C201" s="633">
        <f t="shared" si="15"/>
        <v>0</v>
      </c>
      <c r="D201" s="354" t="s">
        <v>102</v>
      </c>
      <c r="E201" s="622">
        <f t="shared" si="16"/>
        <v>146.82</v>
      </c>
      <c r="F201" s="917">
        <f t="shared" ref="F201:F238" si="19">ROUND(C201*E201,0)</f>
        <v>0</v>
      </c>
      <c r="G201" s="358">
        <f>WORK!I1756</f>
        <v>0</v>
      </c>
      <c r="H201" s="354" t="s">
        <v>102</v>
      </c>
      <c r="I201" s="355">
        <f>WORK!K1756</f>
        <v>146.82</v>
      </c>
      <c r="J201" s="353">
        <f t="shared" si="17"/>
        <v>0</v>
      </c>
      <c r="K201" s="1927"/>
      <c r="L201" s="1927"/>
      <c r="M201" s="1139" t="s">
        <v>2322</v>
      </c>
      <c r="N201" s="223"/>
      <c r="O201" s="1138">
        <f t="shared" si="18"/>
        <v>0</v>
      </c>
    </row>
    <row r="202" spans="1:15" s="360" customFormat="1" ht="51">
      <c r="A202" s="356" t="s">
        <v>488</v>
      </c>
      <c r="B202" s="707" t="s">
        <v>3289</v>
      </c>
      <c r="C202" s="633">
        <f t="shared" ref="C202:C265" si="20">G202</f>
        <v>206.78999999999996</v>
      </c>
      <c r="D202" s="916" t="s">
        <v>102</v>
      </c>
      <c r="E202" s="622">
        <f t="shared" ref="E202:E238" si="21">I202</f>
        <v>166.22</v>
      </c>
      <c r="F202" s="917">
        <f t="shared" si="19"/>
        <v>34373</v>
      </c>
      <c r="G202" s="358">
        <f>WORK!I1785</f>
        <v>206.78999999999996</v>
      </c>
      <c r="H202" s="354" t="s">
        <v>102</v>
      </c>
      <c r="I202" s="355">
        <f>WORK!K1785</f>
        <v>166.22</v>
      </c>
      <c r="J202" s="353">
        <f t="shared" ref="J202:J265" si="22">ROUND(G202*I202,2)</f>
        <v>34372.629999999997</v>
      </c>
      <c r="K202" s="1911">
        <f>IF((J202+J203+J204+J205)&gt;(F202+F203+F204+F205),(J202+J203+J204+J205)-(F202+F203+F204+F205),0)</f>
        <v>0</v>
      </c>
      <c r="L202" s="1911">
        <f>IF((J202+J203+J204+J205)&lt;(F202+F203+F204+F205),(F202+F203+F204+F205)-(J202+J203+J204+J205),0)</f>
        <v>0.37000000000261934</v>
      </c>
      <c r="M202" s="1139" t="s">
        <v>2226</v>
      </c>
      <c r="N202" s="223"/>
      <c r="O202" s="1138">
        <f t="shared" si="18"/>
        <v>0.37000000000261934</v>
      </c>
    </row>
    <row r="203" spans="1:15" s="360" customFormat="1" ht="15" hidden="1">
      <c r="A203" s="356" t="s">
        <v>1520</v>
      </c>
      <c r="B203" s="707" t="s">
        <v>1166</v>
      </c>
      <c r="C203" s="633">
        <f t="shared" si="20"/>
        <v>0</v>
      </c>
      <c r="D203" s="354" t="s">
        <v>102</v>
      </c>
      <c r="E203" s="622">
        <f t="shared" si="21"/>
        <v>177.63</v>
      </c>
      <c r="F203" s="917">
        <f t="shared" si="19"/>
        <v>0</v>
      </c>
      <c r="G203" s="358">
        <f>WORK!I1796</f>
        <v>0</v>
      </c>
      <c r="H203" s="354" t="s">
        <v>102</v>
      </c>
      <c r="I203" s="355">
        <f>WORK!K1796</f>
        <v>177.63</v>
      </c>
      <c r="J203" s="353">
        <f t="shared" si="22"/>
        <v>0</v>
      </c>
      <c r="K203" s="1912"/>
      <c r="L203" s="1912"/>
      <c r="M203" s="708" t="s">
        <v>2308</v>
      </c>
      <c r="N203" s="223"/>
      <c r="O203" s="706">
        <f t="shared" ref="O203:O267" si="23">F203-J203</f>
        <v>0</v>
      </c>
    </row>
    <row r="204" spans="1:15" s="360" customFormat="1" ht="15" hidden="1">
      <c r="A204" s="356" t="s">
        <v>1518</v>
      </c>
      <c r="B204" s="707" t="s">
        <v>1166</v>
      </c>
      <c r="C204" s="633">
        <f t="shared" si="20"/>
        <v>0</v>
      </c>
      <c r="D204" s="354"/>
      <c r="E204" s="622">
        <f t="shared" si="21"/>
        <v>186.27</v>
      </c>
      <c r="F204" s="917">
        <f t="shared" si="19"/>
        <v>0</v>
      </c>
      <c r="G204" s="358">
        <f>WORK!I1821</f>
        <v>0</v>
      </c>
      <c r="H204" s="354" t="s">
        <v>102</v>
      </c>
      <c r="I204" s="355">
        <f>WORK!K1821</f>
        <v>186.27</v>
      </c>
      <c r="J204" s="353">
        <f t="shared" si="22"/>
        <v>0</v>
      </c>
      <c r="K204" s="1912"/>
      <c r="L204" s="1912"/>
      <c r="M204" s="708" t="s">
        <v>2321</v>
      </c>
      <c r="N204" s="223"/>
      <c r="O204" s="706">
        <f t="shared" si="23"/>
        <v>0</v>
      </c>
    </row>
    <row r="205" spans="1:15" s="360" customFormat="1" ht="51" hidden="1">
      <c r="A205" s="356" t="s">
        <v>492</v>
      </c>
      <c r="B205" s="707" t="s">
        <v>3289</v>
      </c>
      <c r="C205" s="633">
        <f t="shared" si="20"/>
        <v>0</v>
      </c>
      <c r="D205" s="354" t="s">
        <v>102</v>
      </c>
      <c r="E205" s="622">
        <f t="shared" si="21"/>
        <v>200.84</v>
      </c>
      <c r="F205" s="917">
        <f t="shared" si="19"/>
        <v>0</v>
      </c>
      <c r="G205" s="358">
        <f>WORK!I1828</f>
        <v>0</v>
      </c>
      <c r="H205" s="354" t="s">
        <v>102</v>
      </c>
      <c r="I205" s="355">
        <f>WORK!K1828</f>
        <v>200.84</v>
      </c>
      <c r="J205" s="353">
        <f t="shared" si="22"/>
        <v>0</v>
      </c>
      <c r="K205" s="1927"/>
      <c r="L205" s="1927"/>
      <c r="M205" s="1139" t="s">
        <v>2322</v>
      </c>
      <c r="N205" s="223"/>
      <c r="O205" s="1138">
        <f t="shared" si="23"/>
        <v>0</v>
      </c>
    </row>
    <row r="206" spans="1:15" s="360" customFormat="1" ht="25.5" hidden="1">
      <c r="A206" s="356" t="s">
        <v>491</v>
      </c>
      <c r="B206" s="707" t="s">
        <v>1224</v>
      </c>
      <c r="C206" s="633">
        <f t="shared" si="20"/>
        <v>0</v>
      </c>
      <c r="D206" s="354"/>
      <c r="E206" s="622">
        <f t="shared" si="21"/>
        <v>786.87</v>
      </c>
      <c r="F206" s="917">
        <f t="shared" si="19"/>
        <v>0</v>
      </c>
      <c r="G206" s="358">
        <f>WORK!I1884</f>
        <v>0</v>
      </c>
      <c r="H206" s="354" t="s">
        <v>102</v>
      </c>
      <c r="I206" s="355">
        <f>WORK!K1884</f>
        <v>786.87</v>
      </c>
      <c r="J206" s="353">
        <f t="shared" si="22"/>
        <v>0</v>
      </c>
      <c r="K206" s="1911">
        <f>IF((J206+J207+J208+J209)&gt;(F206+F207+F208+F209),(J206+J207+J208+J209)-(F206+F207+F208+F209),0)</f>
        <v>0</v>
      </c>
      <c r="L206" s="1911">
        <f>IF((J206+J207+J208+J209)&lt;(F206+F207+F208+F209),(F206+F207+F208+F209)-(J206+J207+J208+J209),0)</f>
        <v>0</v>
      </c>
      <c r="M206" s="708" t="s">
        <v>2226</v>
      </c>
      <c r="N206" s="223"/>
      <c r="O206" s="706">
        <f t="shared" si="23"/>
        <v>0</v>
      </c>
    </row>
    <row r="207" spans="1:15" s="360" customFormat="1" ht="25.5" hidden="1">
      <c r="A207" s="356" t="s">
        <v>491</v>
      </c>
      <c r="B207" s="707" t="s">
        <v>1224</v>
      </c>
      <c r="C207" s="633">
        <f t="shared" si="20"/>
        <v>0</v>
      </c>
      <c r="D207" s="354"/>
      <c r="E207" s="622">
        <f t="shared" si="21"/>
        <v>849.67000000000007</v>
      </c>
      <c r="F207" s="917">
        <f t="shared" si="19"/>
        <v>0</v>
      </c>
      <c r="G207" s="358">
        <f>WORK!I1889</f>
        <v>0</v>
      </c>
      <c r="H207" s="354" t="s">
        <v>102</v>
      </c>
      <c r="I207" s="355">
        <f>WORK!K1889</f>
        <v>849.67000000000007</v>
      </c>
      <c r="J207" s="353">
        <f t="shared" si="22"/>
        <v>0</v>
      </c>
      <c r="K207" s="1912"/>
      <c r="L207" s="1912"/>
      <c r="M207" s="708" t="s">
        <v>2308</v>
      </c>
      <c r="N207" s="223"/>
      <c r="O207" s="706">
        <f t="shared" si="23"/>
        <v>0</v>
      </c>
    </row>
    <row r="208" spans="1:15" s="360" customFormat="1" ht="25.5" hidden="1">
      <c r="A208" s="356" t="s">
        <v>491</v>
      </c>
      <c r="B208" s="707" t="s">
        <v>1224</v>
      </c>
      <c r="C208" s="633">
        <f t="shared" si="20"/>
        <v>0</v>
      </c>
      <c r="D208" s="354"/>
      <c r="E208" s="622">
        <f t="shared" si="21"/>
        <v>897.27</v>
      </c>
      <c r="F208" s="917">
        <f t="shared" si="19"/>
        <v>0</v>
      </c>
      <c r="G208" s="358">
        <f>WORK!I1894</f>
        <v>0</v>
      </c>
      <c r="H208" s="354" t="s">
        <v>102</v>
      </c>
      <c r="I208" s="355">
        <f>WORK!K1894</f>
        <v>897.27</v>
      </c>
      <c r="J208" s="353">
        <f t="shared" si="22"/>
        <v>0</v>
      </c>
      <c r="K208" s="1912"/>
      <c r="L208" s="1912"/>
      <c r="M208" s="708" t="s">
        <v>2321</v>
      </c>
      <c r="N208" s="223"/>
      <c r="O208" s="706">
        <f t="shared" si="23"/>
        <v>0</v>
      </c>
    </row>
    <row r="209" spans="1:15" s="360" customFormat="1" ht="38.25" hidden="1">
      <c r="A209" s="356" t="s">
        <v>1516</v>
      </c>
      <c r="B209" s="707" t="s">
        <v>3404</v>
      </c>
      <c r="C209" s="633">
        <f t="shared" si="20"/>
        <v>0</v>
      </c>
      <c r="D209" s="354" t="s">
        <v>102</v>
      </c>
      <c r="E209" s="622">
        <f t="shared" si="21"/>
        <v>968.78</v>
      </c>
      <c r="F209" s="917">
        <f t="shared" si="19"/>
        <v>0</v>
      </c>
      <c r="G209" s="358">
        <f>WORK!I1899</f>
        <v>0</v>
      </c>
      <c r="H209" s="354" t="s">
        <v>102</v>
      </c>
      <c r="I209" s="355">
        <f>WORK!K1899</f>
        <v>968.78</v>
      </c>
      <c r="J209" s="353">
        <f t="shared" si="22"/>
        <v>0</v>
      </c>
      <c r="K209" s="1913"/>
      <c r="L209" s="1913"/>
      <c r="M209" s="1139" t="s">
        <v>2322</v>
      </c>
      <c r="N209" s="223"/>
      <c r="O209" s="1138">
        <f t="shared" si="23"/>
        <v>0</v>
      </c>
    </row>
    <row r="210" spans="1:15" s="360" customFormat="1" ht="51" hidden="1">
      <c r="A210" s="356" t="s">
        <v>494</v>
      </c>
      <c r="B210" s="707" t="s">
        <v>3290</v>
      </c>
      <c r="C210" s="633">
        <f t="shared" si="20"/>
        <v>0</v>
      </c>
      <c r="D210" s="919" t="s">
        <v>102</v>
      </c>
      <c r="E210" s="622">
        <f t="shared" si="21"/>
        <v>3198</v>
      </c>
      <c r="F210" s="917">
        <f t="shared" si="19"/>
        <v>0</v>
      </c>
      <c r="G210" s="429">
        <f>WORK!I1904</f>
        <v>0</v>
      </c>
      <c r="H210" s="221" t="s">
        <v>102</v>
      </c>
      <c r="I210" s="430">
        <f>WORK!K1904</f>
        <v>3198</v>
      </c>
      <c r="J210" s="353">
        <f t="shared" si="22"/>
        <v>0</v>
      </c>
      <c r="K210" s="1911">
        <f>IF((J210+J211+J212+J213)&gt;(F210+F211+F212+F213),(J210+J211+J212+J213)-(F210+F211+F212+F213),0)</f>
        <v>0</v>
      </c>
      <c r="L210" s="1911">
        <f>IF((J210+J211+J212+J213)&lt;(F210+F211+F212+F213),(F210+F211+F212+F213)-(J210+J211+J212+J213),0)</f>
        <v>0</v>
      </c>
      <c r="M210" s="708" t="s">
        <v>2226</v>
      </c>
      <c r="N210" s="223"/>
      <c r="O210" s="706">
        <f t="shared" si="23"/>
        <v>0</v>
      </c>
    </row>
    <row r="211" spans="1:15" s="360" customFormat="1" ht="25.5" hidden="1">
      <c r="A211" s="356" t="s">
        <v>500</v>
      </c>
      <c r="B211" s="707" t="s">
        <v>706</v>
      </c>
      <c r="C211" s="633">
        <f t="shared" si="20"/>
        <v>0</v>
      </c>
      <c r="D211" s="221"/>
      <c r="E211" s="622">
        <f t="shared" si="21"/>
        <v>3198</v>
      </c>
      <c r="F211" s="917">
        <f t="shared" si="19"/>
        <v>0</v>
      </c>
      <c r="G211" s="429">
        <f>WORK!I1909</f>
        <v>0</v>
      </c>
      <c r="H211" s="221" t="s">
        <v>102</v>
      </c>
      <c r="I211" s="430">
        <f>WORK!K1909</f>
        <v>3198</v>
      </c>
      <c r="J211" s="353">
        <f t="shared" si="22"/>
        <v>0</v>
      </c>
      <c r="K211" s="1912"/>
      <c r="L211" s="1912"/>
      <c r="M211" s="708" t="s">
        <v>2308</v>
      </c>
      <c r="N211" s="223"/>
      <c r="O211" s="706">
        <f t="shared" si="23"/>
        <v>0</v>
      </c>
    </row>
    <row r="212" spans="1:15" s="360" customFormat="1" ht="25.5" hidden="1">
      <c r="A212" s="356" t="s">
        <v>497</v>
      </c>
      <c r="B212" s="707" t="s">
        <v>706</v>
      </c>
      <c r="C212" s="633">
        <f t="shared" si="20"/>
        <v>0</v>
      </c>
      <c r="D212" s="221"/>
      <c r="E212" s="622">
        <f t="shared" si="21"/>
        <v>3500</v>
      </c>
      <c r="F212" s="917">
        <f t="shared" si="19"/>
        <v>0</v>
      </c>
      <c r="G212" s="429">
        <f>WORK!I1914</f>
        <v>0</v>
      </c>
      <c r="H212" s="221" t="s">
        <v>102</v>
      </c>
      <c r="I212" s="430">
        <f>WORK!K1914</f>
        <v>3500</v>
      </c>
      <c r="J212" s="353">
        <f t="shared" si="22"/>
        <v>0</v>
      </c>
      <c r="K212" s="1912"/>
      <c r="L212" s="1912"/>
      <c r="M212" s="708" t="s">
        <v>2321</v>
      </c>
      <c r="N212" s="223"/>
      <c r="O212" s="706">
        <f t="shared" si="23"/>
        <v>0</v>
      </c>
    </row>
    <row r="213" spans="1:15" s="360" customFormat="1" ht="51" hidden="1">
      <c r="A213" s="356" t="s">
        <v>489</v>
      </c>
      <c r="B213" s="707" t="s">
        <v>3290</v>
      </c>
      <c r="C213" s="633">
        <f t="shared" si="20"/>
        <v>0</v>
      </c>
      <c r="D213" s="221" t="s">
        <v>102</v>
      </c>
      <c r="E213" s="622">
        <f t="shared" si="21"/>
        <v>4025</v>
      </c>
      <c r="F213" s="917">
        <f t="shared" si="19"/>
        <v>0</v>
      </c>
      <c r="G213" s="429">
        <f>WORK!I1919</f>
        <v>0</v>
      </c>
      <c r="H213" s="221" t="s">
        <v>102</v>
      </c>
      <c r="I213" s="430">
        <f>WORK!K1919</f>
        <v>4025</v>
      </c>
      <c r="J213" s="353">
        <f t="shared" si="22"/>
        <v>0</v>
      </c>
      <c r="K213" s="1927"/>
      <c r="L213" s="1927"/>
      <c r="M213" s="1139" t="s">
        <v>2322</v>
      </c>
      <c r="N213" s="223"/>
      <c r="O213" s="1138">
        <f t="shared" si="23"/>
        <v>0</v>
      </c>
    </row>
    <row r="214" spans="1:15" s="360" customFormat="1" ht="38.25" hidden="1">
      <c r="A214" s="356" t="s">
        <v>1517</v>
      </c>
      <c r="B214" s="707" t="s">
        <v>3291</v>
      </c>
      <c r="C214" s="633">
        <f t="shared" si="20"/>
        <v>0</v>
      </c>
      <c r="D214" s="916" t="s">
        <v>102</v>
      </c>
      <c r="E214" s="622">
        <f t="shared" si="21"/>
        <v>172.75</v>
      </c>
      <c r="F214" s="917">
        <f t="shared" si="19"/>
        <v>0</v>
      </c>
      <c r="G214" s="358">
        <f>WORK!I1834</f>
        <v>0</v>
      </c>
      <c r="H214" s="354" t="s">
        <v>102</v>
      </c>
      <c r="I214" s="355">
        <f>WORK!K1834</f>
        <v>172.75</v>
      </c>
      <c r="J214" s="353">
        <f t="shared" si="22"/>
        <v>0</v>
      </c>
      <c r="K214" s="1911">
        <f>IF((J214+J215+J216+J217)&gt;(F214+F215+F216+F217),(J214+J215+J216+J217)-(F214+F215+F216+F217),0)</f>
        <v>0</v>
      </c>
      <c r="L214" s="1911">
        <f>IF((J214+J215+J216+J217)&lt;(F214+F215+F216+F217),(F214+F215+F216+F217)-(J214+J215+J216+J217),0)</f>
        <v>0</v>
      </c>
      <c r="M214" s="708" t="s">
        <v>2226</v>
      </c>
      <c r="N214" s="223"/>
      <c r="O214" s="706">
        <f t="shared" si="23"/>
        <v>0</v>
      </c>
    </row>
    <row r="215" spans="1:15" s="360" customFormat="1" ht="25.5" hidden="1">
      <c r="A215" s="356" t="s">
        <v>492</v>
      </c>
      <c r="B215" s="707" t="s">
        <v>961</v>
      </c>
      <c r="C215" s="633">
        <f t="shared" si="20"/>
        <v>0</v>
      </c>
      <c r="D215" s="354"/>
      <c r="E215" s="622">
        <f t="shared" si="21"/>
        <v>132.55000000000001</v>
      </c>
      <c r="F215" s="917">
        <f t="shared" si="19"/>
        <v>0</v>
      </c>
      <c r="G215" s="358">
        <f>WORK!I1844</f>
        <v>0</v>
      </c>
      <c r="H215" s="354" t="s">
        <v>102</v>
      </c>
      <c r="I215" s="355">
        <f>WORK!K1844</f>
        <v>132.55000000000001</v>
      </c>
      <c r="J215" s="353">
        <f t="shared" si="22"/>
        <v>0</v>
      </c>
      <c r="K215" s="1912"/>
      <c r="L215" s="1912"/>
      <c r="M215" s="708" t="s">
        <v>2308</v>
      </c>
      <c r="N215" s="223"/>
      <c r="O215" s="706">
        <f t="shared" si="23"/>
        <v>0</v>
      </c>
    </row>
    <row r="216" spans="1:15" s="360" customFormat="1" ht="25.5" hidden="1">
      <c r="A216" s="356" t="s">
        <v>492</v>
      </c>
      <c r="B216" s="707" t="s">
        <v>961</v>
      </c>
      <c r="C216" s="633">
        <f t="shared" si="20"/>
        <v>0</v>
      </c>
      <c r="D216" s="354"/>
      <c r="E216" s="622">
        <f t="shared" si="21"/>
        <v>137.6</v>
      </c>
      <c r="F216" s="917">
        <f t="shared" si="19"/>
        <v>0</v>
      </c>
      <c r="G216" s="358">
        <f>WORK!I1850</f>
        <v>0</v>
      </c>
      <c r="H216" s="354" t="s">
        <v>102</v>
      </c>
      <c r="I216" s="355">
        <f>WORK!K1850</f>
        <v>137.6</v>
      </c>
      <c r="J216" s="353">
        <f t="shared" si="22"/>
        <v>0</v>
      </c>
      <c r="K216" s="1912"/>
      <c r="L216" s="1912"/>
      <c r="M216" s="708" t="s">
        <v>2321</v>
      </c>
      <c r="N216" s="223"/>
      <c r="O216" s="706">
        <f t="shared" si="23"/>
        <v>0</v>
      </c>
    </row>
    <row r="217" spans="1:15" s="360" customFormat="1" ht="38.25" hidden="1">
      <c r="A217" s="356" t="s">
        <v>493</v>
      </c>
      <c r="B217" s="707" t="s">
        <v>3405</v>
      </c>
      <c r="C217" s="633">
        <f t="shared" si="20"/>
        <v>0</v>
      </c>
      <c r="D217" s="354" t="s">
        <v>102</v>
      </c>
      <c r="E217" s="622">
        <f t="shared" si="21"/>
        <v>149.86000000000001</v>
      </c>
      <c r="F217" s="917">
        <f t="shared" si="19"/>
        <v>0</v>
      </c>
      <c r="G217" s="358">
        <f>WORK!I1855</f>
        <v>0</v>
      </c>
      <c r="H217" s="354" t="s">
        <v>102</v>
      </c>
      <c r="I217" s="355">
        <f>WORK!K1855</f>
        <v>149.86000000000001</v>
      </c>
      <c r="J217" s="353">
        <f t="shared" si="22"/>
        <v>0</v>
      </c>
      <c r="K217" s="1913"/>
      <c r="L217" s="1913"/>
      <c r="M217" s="1139" t="s">
        <v>2322</v>
      </c>
      <c r="N217" s="223"/>
      <c r="O217" s="1138">
        <f t="shared" si="23"/>
        <v>0</v>
      </c>
    </row>
    <row r="218" spans="1:15" s="360" customFormat="1" ht="15" hidden="1">
      <c r="A218" s="356"/>
      <c r="B218" s="707" t="s">
        <v>2277</v>
      </c>
      <c r="C218" s="633">
        <f t="shared" si="20"/>
        <v>0</v>
      </c>
      <c r="D218" s="354"/>
      <c r="E218" s="622">
        <f t="shared" si="21"/>
        <v>630</v>
      </c>
      <c r="F218" s="917">
        <f t="shared" si="19"/>
        <v>0</v>
      </c>
      <c r="G218" s="358">
        <f>WORK!I1861</f>
        <v>0</v>
      </c>
      <c r="H218" s="354" t="s">
        <v>102</v>
      </c>
      <c r="I218" s="355">
        <f>WORK!K1861</f>
        <v>630</v>
      </c>
      <c r="J218" s="353">
        <f t="shared" si="22"/>
        <v>0</v>
      </c>
      <c r="K218" s="1911">
        <f>IF((J218+J219+J220+J221)&gt;(F218+F219+F220+F221),(J218+J219+J220+J221)-(F218+F219+F220+F221),0)</f>
        <v>0</v>
      </c>
      <c r="L218" s="1911">
        <f>IF((J218+J219+J220+J221)&lt;(F218+F219+F220+F221),(F218+F219+F220+F221)-(J218+J219+J220+J221),0)</f>
        <v>0</v>
      </c>
      <c r="M218" s="708" t="s">
        <v>2226</v>
      </c>
      <c r="N218" s="223"/>
      <c r="O218" s="706">
        <f t="shared" si="23"/>
        <v>0</v>
      </c>
    </row>
    <row r="219" spans="1:15" s="360" customFormat="1" ht="15" hidden="1">
      <c r="A219" s="356"/>
      <c r="B219" s="707" t="s">
        <v>2277</v>
      </c>
      <c r="C219" s="633">
        <f t="shared" si="20"/>
        <v>0</v>
      </c>
      <c r="D219" s="354"/>
      <c r="E219" s="622">
        <f t="shared" si="21"/>
        <v>630</v>
      </c>
      <c r="F219" s="917">
        <f t="shared" si="19"/>
        <v>0</v>
      </c>
      <c r="G219" s="358">
        <f>WORK!I1867</f>
        <v>0</v>
      </c>
      <c r="H219" s="354" t="s">
        <v>102</v>
      </c>
      <c r="I219" s="355">
        <f>WORK!K1867</f>
        <v>630</v>
      </c>
      <c r="J219" s="353">
        <f t="shared" si="22"/>
        <v>0</v>
      </c>
      <c r="K219" s="1912"/>
      <c r="L219" s="1912"/>
      <c r="M219" s="708" t="s">
        <v>2308</v>
      </c>
      <c r="N219" s="223"/>
      <c r="O219" s="706">
        <f t="shared" si="23"/>
        <v>0</v>
      </c>
    </row>
    <row r="220" spans="1:15" s="360" customFormat="1" ht="15" hidden="1">
      <c r="A220" s="356"/>
      <c r="B220" s="707" t="s">
        <v>2277</v>
      </c>
      <c r="C220" s="633">
        <f t="shared" si="20"/>
        <v>0</v>
      </c>
      <c r="D220" s="354"/>
      <c r="E220" s="622">
        <f t="shared" si="21"/>
        <v>630</v>
      </c>
      <c r="F220" s="917">
        <f t="shared" si="19"/>
        <v>0</v>
      </c>
      <c r="G220" s="358">
        <f>WORK!I1873</f>
        <v>0</v>
      </c>
      <c r="H220" s="354" t="s">
        <v>102</v>
      </c>
      <c r="I220" s="355">
        <f>WORK!K1873</f>
        <v>630</v>
      </c>
      <c r="J220" s="353">
        <f t="shared" si="22"/>
        <v>0</v>
      </c>
      <c r="K220" s="1912"/>
      <c r="L220" s="1912"/>
      <c r="M220" s="708" t="s">
        <v>2321</v>
      </c>
      <c r="N220" s="223"/>
      <c r="O220" s="706">
        <f t="shared" si="23"/>
        <v>0</v>
      </c>
    </row>
    <row r="221" spans="1:15" s="360" customFormat="1" ht="15" hidden="1">
      <c r="A221" s="356" t="s">
        <v>501</v>
      </c>
      <c r="B221" s="707" t="s">
        <v>2277</v>
      </c>
      <c r="C221" s="633">
        <f t="shared" si="20"/>
        <v>0</v>
      </c>
      <c r="D221" s="354"/>
      <c r="E221" s="622">
        <f t="shared" si="21"/>
        <v>630</v>
      </c>
      <c r="F221" s="917">
        <f t="shared" si="19"/>
        <v>0</v>
      </c>
      <c r="G221" s="358">
        <f>WORK!I1879</f>
        <v>0</v>
      </c>
      <c r="H221" s="354" t="s">
        <v>102</v>
      </c>
      <c r="I221" s="355">
        <f>WORK!K1879</f>
        <v>630</v>
      </c>
      <c r="J221" s="353">
        <f t="shared" si="22"/>
        <v>0</v>
      </c>
      <c r="K221" s="1913"/>
      <c r="L221" s="1913"/>
      <c r="M221" s="708" t="s">
        <v>2322</v>
      </c>
      <c r="N221" s="223"/>
      <c r="O221" s="706">
        <f t="shared" si="23"/>
        <v>0</v>
      </c>
    </row>
    <row r="222" spans="1:15" s="360" customFormat="1" ht="15" hidden="1">
      <c r="A222" s="356" t="s">
        <v>492</v>
      </c>
      <c r="B222" s="707" t="s">
        <v>1483</v>
      </c>
      <c r="C222" s="633">
        <f t="shared" si="20"/>
        <v>0</v>
      </c>
      <c r="D222" s="354"/>
      <c r="E222" s="622">
        <f t="shared" si="21"/>
        <v>666.66</v>
      </c>
      <c r="F222" s="917">
        <f t="shared" si="19"/>
        <v>0</v>
      </c>
      <c r="G222" s="358">
        <f>WORK!I1924</f>
        <v>0</v>
      </c>
      <c r="H222" s="354" t="s">
        <v>115</v>
      </c>
      <c r="I222" s="355">
        <f>WORK!K1924</f>
        <v>666.66</v>
      </c>
      <c r="J222" s="353">
        <f t="shared" si="22"/>
        <v>0</v>
      </c>
      <c r="K222" s="1911">
        <f>IF((J222+J223+J224+J225)&gt;(F222+F223+F224+F225),(J222+J223+J224+J225)-(F222+F223+F224+F225),0)</f>
        <v>0</v>
      </c>
      <c r="L222" s="1911">
        <f>IF((J222+J223+J224+J225)&lt;(F222+F223+F224+F225),(F222+F223+F224+F225)-(J222+J223+J224+J225),0)</f>
        <v>0</v>
      </c>
      <c r="M222" s="708" t="s">
        <v>2226</v>
      </c>
      <c r="N222" s="223"/>
      <c r="O222" s="706">
        <f t="shared" si="23"/>
        <v>0</v>
      </c>
    </row>
    <row r="223" spans="1:15" s="360" customFormat="1" ht="15" hidden="1">
      <c r="A223" s="356" t="s">
        <v>492</v>
      </c>
      <c r="B223" s="707" t="s">
        <v>1483</v>
      </c>
      <c r="C223" s="633">
        <f t="shared" si="20"/>
        <v>0</v>
      </c>
      <c r="D223" s="354"/>
      <c r="E223" s="622">
        <f t="shared" si="21"/>
        <v>666.66</v>
      </c>
      <c r="F223" s="917">
        <f t="shared" si="19"/>
        <v>0</v>
      </c>
      <c r="G223" s="358">
        <f>WORK!I1929</f>
        <v>0</v>
      </c>
      <c r="H223" s="354" t="s">
        <v>115</v>
      </c>
      <c r="I223" s="355">
        <f>WORK!K1929</f>
        <v>666.66</v>
      </c>
      <c r="J223" s="353">
        <f t="shared" si="22"/>
        <v>0</v>
      </c>
      <c r="K223" s="1912"/>
      <c r="L223" s="1912"/>
      <c r="M223" s="708" t="s">
        <v>2308</v>
      </c>
      <c r="N223" s="223"/>
      <c r="O223" s="706">
        <f t="shared" si="23"/>
        <v>0</v>
      </c>
    </row>
    <row r="224" spans="1:15" s="360" customFormat="1" ht="15" hidden="1">
      <c r="A224" s="356" t="s">
        <v>492</v>
      </c>
      <c r="B224" s="707" t="s">
        <v>1483</v>
      </c>
      <c r="C224" s="633">
        <f t="shared" si="20"/>
        <v>0</v>
      </c>
      <c r="D224" s="354"/>
      <c r="E224" s="622">
        <f t="shared" si="21"/>
        <v>733.33</v>
      </c>
      <c r="F224" s="917">
        <f t="shared" si="19"/>
        <v>0</v>
      </c>
      <c r="G224" s="358">
        <f>WORK!I1934</f>
        <v>0</v>
      </c>
      <c r="H224" s="354" t="s">
        <v>115</v>
      </c>
      <c r="I224" s="355">
        <f>WORK!K1934</f>
        <v>733.33</v>
      </c>
      <c r="J224" s="353">
        <f t="shared" si="22"/>
        <v>0</v>
      </c>
      <c r="K224" s="1912"/>
      <c r="L224" s="1912"/>
      <c r="M224" s="708" t="s">
        <v>2321</v>
      </c>
      <c r="N224" s="223"/>
      <c r="O224" s="706">
        <f t="shared" si="23"/>
        <v>0</v>
      </c>
    </row>
    <row r="225" spans="1:15" s="360" customFormat="1" ht="15" hidden="1">
      <c r="A225" s="356" t="s">
        <v>492</v>
      </c>
      <c r="B225" s="707" t="s">
        <v>1483</v>
      </c>
      <c r="C225" s="633">
        <f t="shared" si="20"/>
        <v>0</v>
      </c>
      <c r="D225" s="354"/>
      <c r="E225" s="622">
        <f t="shared" si="21"/>
        <v>808</v>
      </c>
      <c r="F225" s="917">
        <f t="shared" si="19"/>
        <v>0</v>
      </c>
      <c r="G225" s="358">
        <f>WORK!I1939</f>
        <v>0</v>
      </c>
      <c r="H225" s="354" t="s">
        <v>115</v>
      </c>
      <c r="I225" s="355">
        <f>WORK!K1939</f>
        <v>808</v>
      </c>
      <c r="J225" s="353">
        <f t="shared" si="22"/>
        <v>0</v>
      </c>
      <c r="K225" s="1913"/>
      <c r="L225" s="1913"/>
      <c r="M225" s="708" t="s">
        <v>2322</v>
      </c>
      <c r="N225" s="223"/>
      <c r="O225" s="706">
        <f t="shared" si="23"/>
        <v>0</v>
      </c>
    </row>
    <row r="226" spans="1:15" s="360" customFormat="1" ht="15" hidden="1">
      <c r="A226" s="356" t="s">
        <v>492</v>
      </c>
      <c r="B226" s="707" t="s">
        <v>1484</v>
      </c>
      <c r="C226" s="633">
        <f t="shared" si="20"/>
        <v>0</v>
      </c>
      <c r="D226" s="354"/>
      <c r="E226" s="622">
        <f t="shared" si="21"/>
        <v>500</v>
      </c>
      <c r="F226" s="917">
        <f t="shared" si="19"/>
        <v>0</v>
      </c>
      <c r="G226" s="358">
        <f>WORK!I1944</f>
        <v>0</v>
      </c>
      <c r="H226" s="354" t="s">
        <v>115</v>
      </c>
      <c r="I226" s="355">
        <f>WORK!K1944</f>
        <v>500</v>
      </c>
      <c r="J226" s="353">
        <f t="shared" si="22"/>
        <v>0</v>
      </c>
      <c r="K226" s="1911">
        <f>IF((J226+J227+J228+J229)&gt;(F226+F227+F228+F229),(J226+J227+J228+J229)-(F226+F227+F228+F229),0)</f>
        <v>0</v>
      </c>
      <c r="L226" s="1911">
        <f>IF((J226+J227+J228+J229)&lt;(F226+F227+F228+F229),(F226+F227+F228+F229)-(J226+J227+J228+J229),0)</f>
        <v>0</v>
      </c>
      <c r="M226" s="708" t="s">
        <v>2226</v>
      </c>
      <c r="N226" s="223"/>
      <c r="O226" s="706">
        <f t="shared" si="23"/>
        <v>0</v>
      </c>
    </row>
    <row r="227" spans="1:15" s="360" customFormat="1" ht="15" hidden="1">
      <c r="A227" s="356" t="s">
        <v>492</v>
      </c>
      <c r="B227" s="707" t="s">
        <v>1484</v>
      </c>
      <c r="C227" s="633">
        <f t="shared" si="20"/>
        <v>0</v>
      </c>
      <c r="D227" s="354"/>
      <c r="E227" s="622">
        <f t="shared" si="21"/>
        <v>500</v>
      </c>
      <c r="F227" s="917">
        <f t="shared" si="19"/>
        <v>0</v>
      </c>
      <c r="G227" s="358">
        <f>WORK!I1949</f>
        <v>0</v>
      </c>
      <c r="H227" s="354" t="s">
        <v>115</v>
      </c>
      <c r="I227" s="355">
        <f>WORK!K1949</f>
        <v>500</v>
      </c>
      <c r="J227" s="353">
        <f t="shared" si="22"/>
        <v>0</v>
      </c>
      <c r="K227" s="1912"/>
      <c r="L227" s="1912"/>
      <c r="M227" s="708" t="s">
        <v>2308</v>
      </c>
      <c r="N227" s="223"/>
      <c r="O227" s="706">
        <f t="shared" si="23"/>
        <v>0</v>
      </c>
    </row>
    <row r="228" spans="1:15" s="360" customFormat="1" ht="15" hidden="1">
      <c r="A228" s="356" t="s">
        <v>492</v>
      </c>
      <c r="B228" s="707" t="s">
        <v>1484</v>
      </c>
      <c r="C228" s="633">
        <f t="shared" si="20"/>
        <v>0</v>
      </c>
      <c r="D228" s="354"/>
      <c r="E228" s="622">
        <f t="shared" si="21"/>
        <v>550</v>
      </c>
      <c r="F228" s="917">
        <f t="shared" si="19"/>
        <v>0</v>
      </c>
      <c r="G228" s="358">
        <f>WORK!I1954</f>
        <v>0</v>
      </c>
      <c r="H228" s="354" t="s">
        <v>115</v>
      </c>
      <c r="I228" s="355">
        <f>WORK!K1954</f>
        <v>550</v>
      </c>
      <c r="J228" s="353">
        <f t="shared" si="22"/>
        <v>0</v>
      </c>
      <c r="K228" s="1912"/>
      <c r="L228" s="1912"/>
      <c r="M228" s="708" t="s">
        <v>2321</v>
      </c>
      <c r="N228" s="223"/>
      <c r="O228" s="706">
        <f t="shared" si="23"/>
        <v>0</v>
      </c>
    </row>
    <row r="229" spans="1:15" s="360" customFormat="1" ht="15" hidden="1">
      <c r="A229" s="356" t="s">
        <v>492</v>
      </c>
      <c r="B229" s="707" t="s">
        <v>1484</v>
      </c>
      <c r="C229" s="633">
        <f t="shared" si="20"/>
        <v>0</v>
      </c>
      <c r="D229" s="354"/>
      <c r="E229" s="622">
        <f t="shared" si="21"/>
        <v>606</v>
      </c>
      <c r="F229" s="917">
        <f t="shared" si="19"/>
        <v>0</v>
      </c>
      <c r="G229" s="358">
        <f>WORK!I1959</f>
        <v>0</v>
      </c>
      <c r="H229" s="354" t="s">
        <v>115</v>
      </c>
      <c r="I229" s="355">
        <f>WORK!K1959</f>
        <v>606</v>
      </c>
      <c r="J229" s="353">
        <f t="shared" si="22"/>
        <v>0</v>
      </c>
      <c r="K229" s="1913"/>
      <c r="L229" s="1913"/>
      <c r="M229" s="708" t="s">
        <v>2322</v>
      </c>
      <c r="N229" s="223"/>
      <c r="O229" s="706">
        <f t="shared" si="23"/>
        <v>0</v>
      </c>
    </row>
    <row r="230" spans="1:15" s="360" customFormat="1" ht="15" hidden="1">
      <c r="A230" s="356" t="s">
        <v>508</v>
      </c>
      <c r="B230" s="707" t="s">
        <v>1485</v>
      </c>
      <c r="C230" s="633">
        <f t="shared" si="20"/>
        <v>0</v>
      </c>
      <c r="D230" s="354"/>
      <c r="E230" s="622">
        <f t="shared" si="21"/>
        <v>130</v>
      </c>
      <c r="F230" s="917">
        <f t="shared" si="19"/>
        <v>0</v>
      </c>
      <c r="G230" s="358">
        <f>WORK!I1964</f>
        <v>0</v>
      </c>
      <c r="H230" s="354" t="s">
        <v>115</v>
      </c>
      <c r="I230" s="355">
        <f>WORK!K1964</f>
        <v>130</v>
      </c>
      <c r="J230" s="353">
        <f t="shared" si="22"/>
        <v>0</v>
      </c>
      <c r="K230" s="1911">
        <f>IF((J230+J231+J232+J233)&gt;(F230+F231+F232+F233),(J230+J231+J232+J233)-(F230+F231+F232+F233),0)</f>
        <v>0</v>
      </c>
      <c r="L230" s="1911">
        <f>IF((J230+J231+J232+J233)&lt;(F230+F231+F232+F233),(F230+F231+F232+F233)-(J230+J231+J232+J233),0)</f>
        <v>0</v>
      </c>
      <c r="M230" s="708" t="s">
        <v>2226</v>
      </c>
      <c r="N230" s="223"/>
      <c r="O230" s="706">
        <f t="shared" si="23"/>
        <v>0</v>
      </c>
    </row>
    <row r="231" spans="1:15" s="360" customFormat="1" ht="15" hidden="1">
      <c r="A231" s="356" t="s">
        <v>508</v>
      </c>
      <c r="B231" s="707" t="s">
        <v>1485</v>
      </c>
      <c r="C231" s="633">
        <f t="shared" si="20"/>
        <v>0</v>
      </c>
      <c r="D231" s="354"/>
      <c r="E231" s="622">
        <f t="shared" si="21"/>
        <v>130</v>
      </c>
      <c r="F231" s="917">
        <f t="shared" si="19"/>
        <v>0</v>
      </c>
      <c r="G231" s="358">
        <f>WORK!I1969</f>
        <v>0</v>
      </c>
      <c r="H231" s="354" t="s">
        <v>115</v>
      </c>
      <c r="I231" s="355">
        <f>WORK!K1969</f>
        <v>130</v>
      </c>
      <c r="J231" s="353">
        <f t="shared" si="22"/>
        <v>0</v>
      </c>
      <c r="K231" s="1912"/>
      <c r="L231" s="1912"/>
      <c r="M231" s="708" t="s">
        <v>2308</v>
      </c>
      <c r="N231" s="223"/>
      <c r="O231" s="706">
        <f t="shared" si="23"/>
        <v>0</v>
      </c>
    </row>
    <row r="232" spans="1:15" s="360" customFormat="1" ht="15" hidden="1">
      <c r="A232" s="356" t="s">
        <v>508</v>
      </c>
      <c r="B232" s="707" t="s">
        <v>1485</v>
      </c>
      <c r="C232" s="633">
        <f t="shared" si="20"/>
        <v>0</v>
      </c>
      <c r="D232" s="354"/>
      <c r="E232" s="622">
        <f t="shared" si="21"/>
        <v>143</v>
      </c>
      <c r="F232" s="917">
        <f t="shared" si="19"/>
        <v>0</v>
      </c>
      <c r="G232" s="358">
        <f>WORK!I1974</f>
        <v>0</v>
      </c>
      <c r="H232" s="354" t="s">
        <v>115</v>
      </c>
      <c r="I232" s="355">
        <f>WORK!K1974</f>
        <v>143</v>
      </c>
      <c r="J232" s="353">
        <f t="shared" si="22"/>
        <v>0</v>
      </c>
      <c r="K232" s="1912"/>
      <c r="L232" s="1912"/>
      <c r="M232" s="708" t="s">
        <v>2321</v>
      </c>
      <c r="N232" s="223"/>
      <c r="O232" s="706">
        <f t="shared" si="23"/>
        <v>0</v>
      </c>
    </row>
    <row r="233" spans="1:15" s="360" customFormat="1" ht="15" hidden="1">
      <c r="A233" s="356" t="s">
        <v>508</v>
      </c>
      <c r="B233" s="707" t="s">
        <v>1485</v>
      </c>
      <c r="C233" s="633">
        <f t="shared" si="20"/>
        <v>0</v>
      </c>
      <c r="D233" s="354"/>
      <c r="E233" s="622">
        <f t="shared" si="21"/>
        <v>157</v>
      </c>
      <c r="F233" s="917">
        <f t="shared" si="19"/>
        <v>0</v>
      </c>
      <c r="G233" s="358">
        <f>WORK!I1979</f>
        <v>0</v>
      </c>
      <c r="H233" s="354" t="s">
        <v>115</v>
      </c>
      <c r="I233" s="355">
        <f>WORK!K1979</f>
        <v>157</v>
      </c>
      <c r="J233" s="353">
        <f t="shared" si="22"/>
        <v>0</v>
      </c>
      <c r="K233" s="1913"/>
      <c r="L233" s="1913"/>
      <c r="M233" s="708" t="s">
        <v>2322</v>
      </c>
      <c r="N233" s="223"/>
      <c r="O233" s="706">
        <f t="shared" si="23"/>
        <v>0</v>
      </c>
    </row>
    <row r="234" spans="1:15" s="360" customFormat="1" ht="38.25">
      <c r="A234" s="356" t="s">
        <v>489</v>
      </c>
      <c r="B234" s="707" t="s">
        <v>3292</v>
      </c>
      <c r="C234" s="633">
        <f t="shared" si="20"/>
        <v>4.88</v>
      </c>
      <c r="D234" s="919" t="s">
        <v>872</v>
      </c>
      <c r="E234" s="622">
        <f t="shared" si="21"/>
        <v>62198.5</v>
      </c>
      <c r="F234" s="917">
        <f t="shared" si="19"/>
        <v>303529</v>
      </c>
      <c r="G234" s="429">
        <f>WORK!I1989</f>
        <v>4.88</v>
      </c>
      <c r="H234" s="221" t="s">
        <v>29</v>
      </c>
      <c r="I234" s="430">
        <f>WORK!K1989</f>
        <v>62198.5</v>
      </c>
      <c r="J234" s="353">
        <f t="shared" si="22"/>
        <v>303528.68</v>
      </c>
      <c r="K234" s="1930">
        <f>IF((J234+J235+J236+J237)&gt;(F234+F235+F236+F237),(J234+J235+J236+J237)-(F234+F235+F236+F237),0)</f>
        <v>0</v>
      </c>
      <c r="L234" s="1930">
        <f>IF((J234+J235+J236+J237)&lt;(F234+F235+F236+F237),(F234+F235+F236+F237)-(J234+J235+J236+J237),0)</f>
        <v>0.32000000000698492</v>
      </c>
      <c r="M234" s="1139" t="s">
        <v>2226</v>
      </c>
      <c r="N234" s="223"/>
      <c r="O234" s="1138">
        <f t="shared" si="23"/>
        <v>0.32000000000698492</v>
      </c>
    </row>
    <row r="235" spans="1:15" s="360" customFormat="1" ht="38.25" hidden="1">
      <c r="A235" s="356" t="s">
        <v>1520</v>
      </c>
      <c r="B235" s="707" t="s">
        <v>3292</v>
      </c>
      <c r="C235" s="633">
        <f t="shared" si="20"/>
        <v>0</v>
      </c>
      <c r="D235" s="221" t="s">
        <v>29</v>
      </c>
      <c r="E235" s="622">
        <f t="shared" si="21"/>
        <v>62385</v>
      </c>
      <c r="F235" s="917">
        <f t="shared" si="19"/>
        <v>0</v>
      </c>
      <c r="G235" s="429">
        <f>WORK!I1994</f>
        <v>0</v>
      </c>
      <c r="H235" s="221" t="s">
        <v>29</v>
      </c>
      <c r="I235" s="430">
        <f>WORK!K1994</f>
        <v>62385</v>
      </c>
      <c r="J235" s="353">
        <f t="shared" si="22"/>
        <v>0</v>
      </c>
      <c r="K235" s="1912"/>
      <c r="L235" s="1912"/>
      <c r="M235" s="1139" t="s">
        <v>2308</v>
      </c>
      <c r="N235" s="223"/>
      <c r="O235" s="1138">
        <f t="shared" si="23"/>
        <v>0</v>
      </c>
    </row>
    <row r="236" spans="1:15" s="360" customFormat="1" ht="15" hidden="1">
      <c r="A236" s="356" t="s">
        <v>1521</v>
      </c>
      <c r="B236" s="707" t="s">
        <v>477</v>
      </c>
      <c r="C236" s="633">
        <f t="shared" si="20"/>
        <v>0</v>
      </c>
      <c r="D236" s="221"/>
      <c r="E236" s="622">
        <f t="shared" si="21"/>
        <v>79809.5</v>
      </c>
      <c r="F236" s="917">
        <f t="shared" si="19"/>
        <v>0</v>
      </c>
      <c r="G236" s="429">
        <f>WORK!I1999</f>
        <v>0</v>
      </c>
      <c r="H236" s="221" t="s">
        <v>29</v>
      </c>
      <c r="I236" s="430">
        <f>WORK!K1999</f>
        <v>79809.5</v>
      </c>
      <c r="J236" s="353">
        <f t="shared" si="22"/>
        <v>0</v>
      </c>
      <c r="K236" s="1912"/>
      <c r="L236" s="1912"/>
      <c r="M236" s="708" t="s">
        <v>2321</v>
      </c>
      <c r="N236" s="223"/>
      <c r="O236" s="706">
        <f t="shared" si="23"/>
        <v>0</v>
      </c>
    </row>
    <row r="237" spans="1:15" s="360" customFormat="1" ht="38.25" hidden="1">
      <c r="A237" s="356" t="s">
        <v>488</v>
      </c>
      <c r="B237" s="707" t="s">
        <v>3292</v>
      </c>
      <c r="C237" s="633">
        <f t="shared" si="20"/>
        <v>0</v>
      </c>
      <c r="D237" s="221" t="s">
        <v>29</v>
      </c>
      <c r="E237" s="622">
        <f t="shared" si="21"/>
        <v>92466</v>
      </c>
      <c r="F237" s="917">
        <f t="shared" si="19"/>
        <v>0</v>
      </c>
      <c r="G237" s="429">
        <f>WORK!I2004</f>
        <v>0</v>
      </c>
      <c r="H237" s="221" t="s">
        <v>29</v>
      </c>
      <c r="I237" s="430">
        <f>WORK!K2004</f>
        <v>92466</v>
      </c>
      <c r="J237" s="353">
        <f t="shared" si="22"/>
        <v>0</v>
      </c>
      <c r="K237" s="1913"/>
      <c r="L237" s="1913"/>
      <c r="M237" s="1139" t="s">
        <v>2322</v>
      </c>
      <c r="N237" s="223"/>
      <c r="O237" s="1138">
        <f t="shared" si="23"/>
        <v>0</v>
      </c>
    </row>
    <row r="238" spans="1:15" s="360" customFormat="1" ht="51" hidden="1">
      <c r="A238" s="356" t="s">
        <v>1519</v>
      </c>
      <c r="B238" s="707" t="s">
        <v>3293</v>
      </c>
      <c r="C238" s="633">
        <f t="shared" si="20"/>
        <v>0</v>
      </c>
      <c r="D238" s="919" t="s">
        <v>872</v>
      </c>
      <c r="E238" s="622">
        <f t="shared" si="21"/>
        <v>0</v>
      </c>
      <c r="F238" s="917">
        <f t="shared" si="19"/>
        <v>0</v>
      </c>
      <c r="G238" s="358"/>
      <c r="H238" s="354"/>
      <c r="I238" s="355"/>
      <c r="J238" s="353">
        <f t="shared" si="22"/>
        <v>0</v>
      </c>
      <c r="K238" s="743">
        <f t="shared" ref="K238" si="24">IF(J238&gt;F238,J238-F238,0)</f>
        <v>0</v>
      </c>
      <c r="L238" s="368">
        <f t="shared" ref="L238" si="25">IF(J238&lt;F238,F238-J238,0)</f>
        <v>0</v>
      </c>
      <c r="M238" s="708" t="s">
        <v>2226</v>
      </c>
      <c r="N238" s="223"/>
      <c r="O238" s="706">
        <f t="shared" si="23"/>
        <v>0</v>
      </c>
    </row>
    <row r="239" spans="1:15" ht="15" hidden="1">
      <c r="A239" s="23"/>
      <c r="B239" s="702" t="s">
        <v>496</v>
      </c>
      <c r="C239" s="713"/>
      <c r="D239" s="714"/>
      <c r="E239" s="715"/>
      <c r="F239" s="883"/>
      <c r="G239" s="28"/>
      <c r="H239" s="224"/>
      <c r="I239" s="37"/>
      <c r="J239" s="353">
        <f t="shared" si="22"/>
        <v>0</v>
      </c>
      <c r="K239" s="25"/>
      <c r="L239" s="25"/>
      <c r="M239" s="1139" t="s">
        <v>2226</v>
      </c>
      <c r="N239" s="223"/>
      <c r="O239" s="1138">
        <v>1</v>
      </c>
    </row>
    <row r="240" spans="1:15" s="360" customFormat="1" ht="51" hidden="1">
      <c r="A240" s="356" t="s">
        <v>491</v>
      </c>
      <c r="B240" s="707" t="s">
        <v>3267</v>
      </c>
      <c r="C240" s="633">
        <f t="shared" si="20"/>
        <v>0</v>
      </c>
      <c r="D240" s="916" t="s">
        <v>5</v>
      </c>
      <c r="E240" s="10">
        <f>I240</f>
        <v>9806.8100000000013</v>
      </c>
      <c r="F240" s="917">
        <f t="shared" ref="F240:F303" si="26">ROUND(C240*E240,0)</f>
        <v>0</v>
      </c>
      <c r="G240" s="358">
        <f>FF!I16</f>
        <v>0</v>
      </c>
      <c r="H240" s="354" t="s">
        <v>5</v>
      </c>
      <c r="I240" s="355">
        <f>FF!K16</f>
        <v>9806.8100000000013</v>
      </c>
      <c r="J240" s="353">
        <f t="shared" si="22"/>
        <v>0</v>
      </c>
      <c r="K240" s="1911">
        <f>IF((J240+J241+J242+J243)&gt;(F240+F241+F242+F243),(J240+J241+J242+J243)-(F240+F241+F242+F243),0)</f>
        <v>0</v>
      </c>
      <c r="L240" s="1911">
        <f>IF((J240+J241+J242+J243)&lt;(F240+F241+F242+F243),(F240+F241+F242+F243)-(J240+J241+J242+J243),0)</f>
        <v>0</v>
      </c>
      <c r="M240" s="1139" t="s">
        <v>2226</v>
      </c>
      <c r="N240" s="223"/>
      <c r="O240" s="1138">
        <f t="shared" si="23"/>
        <v>0</v>
      </c>
    </row>
    <row r="241" spans="1:15" s="360" customFormat="1" ht="15" hidden="1">
      <c r="A241" s="356" t="s">
        <v>495</v>
      </c>
      <c r="B241" s="707" t="s">
        <v>2068</v>
      </c>
      <c r="C241" s="633">
        <f t="shared" si="20"/>
        <v>0</v>
      </c>
      <c r="D241" s="354"/>
      <c r="E241" s="15">
        <f t="shared" ref="E241:E304" si="27">I241</f>
        <v>10177.17</v>
      </c>
      <c r="F241" s="917">
        <f t="shared" si="26"/>
        <v>0</v>
      </c>
      <c r="G241" s="358">
        <f>FF!I21</f>
        <v>0</v>
      </c>
      <c r="H241" s="354" t="s">
        <v>5</v>
      </c>
      <c r="I241" s="355">
        <f>FF!K21</f>
        <v>10177.17</v>
      </c>
      <c r="J241" s="353">
        <f t="shared" si="22"/>
        <v>0</v>
      </c>
      <c r="K241" s="1912"/>
      <c r="L241" s="1912"/>
      <c r="M241" s="708" t="s">
        <v>2308</v>
      </c>
      <c r="N241" s="223"/>
      <c r="O241" s="706">
        <f t="shared" si="23"/>
        <v>0</v>
      </c>
    </row>
    <row r="242" spans="1:15" s="360" customFormat="1" ht="15" hidden="1">
      <c r="A242" s="356" t="s">
        <v>495</v>
      </c>
      <c r="B242" s="707" t="s">
        <v>2068</v>
      </c>
      <c r="C242" s="633">
        <f t="shared" si="20"/>
        <v>0</v>
      </c>
      <c r="D242" s="354"/>
      <c r="E242" s="15">
        <f t="shared" si="27"/>
        <v>10761.36</v>
      </c>
      <c r="F242" s="917">
        <f t="shared" si="26"/>
        <v>0</v>
      </c>
      <c r="G242" s="358">
        <f>FF!I30</f>
        <v>0</v>
      </c>
      <c r="H242" s="354" t="s">
        <v>5</v>
      </c>
      <c r="I242" s="355">
        <f>FF!K30</f>
        <v>10761.36</v>
      </c>
      <c r="J242" s="353">
        <f t="shared" si="22"/>
        <v>0</v>
      </c>
      <c r="K242" s="1912"/>
      <c r="L242" s="1912"/>
      <c r="M242" s="708" t="s">
        <v>2321</v>
      </c>
      <c r="N242" s="223"/>
      <c r="O242" s="706">
        <f t="shared" si="23"/>
        <v>0</v>
      </c>
    </row>
    <row r="243" spans="1:15" s="360" customFormat="1" ht="15" hidden="1">
      <c r="A243" s="356" t="s">
        <v>495</v>
      </c>
      <c r="B243" s="707" t="s">
        <v>2068</v>
      </c>
      <c r="C243" s="633">
        <f t="shared" si="20"/>
        <v>0</v>
      </c>
      <c r="D243" s="354"/>
      <c r="E243" s="15">
        <f t="shared" si="27"/>
        <v>11192.01</v>
      </c>
      <c r="F243" s="917">
        <f t="shared" si="26"/>
        <v>0</v>
      </c>
      <c r="G243" s="358">
        <f>FF!I35</f>
        <v>0</v>
      </c>
      <c r="H243" s="354" t="s">
        <v>5</v>
      </c>
      <c r="I243" s="355">
        <f>FF!K35</f>
        <v>11192.01</v>
      </c>
      <c r="J243" s="353">
        <f t="shared" si="22"/>
        <v>0</v>
      </c>
      <c r="K243" s="1913"/>
      <c r="L243" s="1913"/>
      <c r="M243" s="708" t="s">
        <v>2322</v>
      </c>
      <c r="N243" s="223"/>
      <c r="O243" s="706">
        <f t="shared" si="23"/>
        <v>0</v>
      </c>
    </row>
    <row r="244" spans="1:15" s="360" customFormat="1" ht="51" hidden="1">
      <c r="A244" s="356" t="s">
        <v>1516</v>
      </c>
      <c r="B244" s="707" t="s">
        <v>3269</v>
      </c>
      <c r="C244" s="633">
        <f t="shared" si="20"/>
        <v>0</v>
      </c>
      <c r="D244" s="916" t="s">
        <v>5</v>
      </c>
      <c r="E244" s="10">
        <f t="shared" si="27"/>
        <v>9468.130000000001</v>
      </c>
      <c r="F244" s="917">
        <f t="shared" si="26"/>
        <v>0</v>
      </c>
      <c r="G244" s="358">
        <f>FF!I59</f>
        <v>0</v>
      </c>
      <c r="H244" s="354" t="s">
        <v>5</v>
      </c>
      <c r="I244" s="355">
        <f>FF!K59</f>
        <v>9468.130000000001</v>
      </c>
      <c r="J244" s="353">
        <f t="shared" si="22"/>
        <v>0</v>
      </c>
      <c r="K244" s="1930">
        <f>IF((J244+J245+J246+J247)&gt;(F244+F245+F246+F247),(J244+J245+J246+J247)-(F244+F245+F246+F247),0)</f>
        <v>0</v>
      </c>
      <c r="L244" s="1930">
        <f>IF((J244+J245+J246+J247)&lt;(F244+F245+F246+F247),(F244+F245+F246+F247)-(J244+J245+J246+J247),0)</f>
        <v>0</v>
      </c>
      <c r="M244" s="1139" t="s">
        <v>2226</v>
      </c>
      <c r="N244" s="223"/>
      <c r="O244" s="1138">
        <f t="shared" si="23"/>
        <v>0</v>
      </c>
    </row>
    <row r="245" spans="1:15" s="360" customFormat="1" ht="15" hidden="1">
      <c r="A245" s="356" t="s">
        <v>510</v>
      </c>
      <c r="B245" s="707" t="s">
        <v>2070</v>
      </c>
      <c r="C245" s="633">
        <f t="shared" si="20"/>
        <v>0</v>
      </c>
      <c r="D245" s="354"/>
      <c r="E245" s="15">
        <f t="shared" si="27"/>
        <v>9694.16</v>
      </c>
      <c r="F245" s="917">
        <f t="shared" si="26"/>
        <v>0</v>
      </c>
      <c r="G245" s="358">
        <f>FF!I74</f>
        <v>0</v>
      </c>
      <c r="H245" s="354" t="s">
        <v>5</v>
      </c>
      <c r="I245" s="355">
        <f>FF!K74</f>
        <v>9694.16</v>
      </c>
      <c r="J245" s="353">
        <f t="shared" si="22"/>
        <v>0</v>
      </c>
      <c r="K245" s="1912"/>
      <c r="L245" s="1912"/>
      <c r="M245" s="708" t="s">
        <v>2308</v>
      </c>
      <c r="N245" s="223"/>
      <c r="O245" s="706">
        <f t="shared" si="23"/>
        <v>0</v>
      </c>
    </row>
    <row r="246" spans="1:15" s="360" customFormat="1" ht="15" hidden="1">
      <c r="A246" s="356" t="s">
        <v>1517</v>
      </c>
      <c r="B246" s="707" t="s">
        <v>2070</v>
      </c>
      <c r="C246" s="633">
        <f t="shared" si="20"/>
        <v>0</v>
      </c>
      <c r="D246" s="354"/>
      <c r="E246" s="15">
        <f t="shared" si="27"/>
        <v>10194.73</v>
      </c>
      <c r="F246" s="917">
        <f t="shared" si="26"/>
        <v>0</v>
      </c>
      <c r="G246" s="358">
        <f>FF!I98</f>
        <v>0</v>
      </c>
      <c r="H246" s="354" t="s">
        <v>5</v>
      </c>
      <c r="I246" s="355">
        <f>FF!K98</f>
        <v>10194.73</v>
      </c>
      <c r="J246" s="353">
        <f t="shared" si="22"/>
        <v>0</v>
      </c>
      <c r="K246" s="1912"/>
      <c r="L246" s="1912"/>
      <c r="M246" s="708" t="s">
        <v>2321</v>
      </c>
      <c r="N246" s="223"/>
      <c r="O246" s="706">
        <f t="shared" si="23"/>
        <v>0</v>
      </c>
    </row>
    <row r="247" spans="1:15" s="360" customFormat="1" ht="15" hidden="1">
      <c r="A247" s="356" t="s">
        <v>1517</v>
      </c>
      <c r="B247" s="707" t="s">
        <v>2070</v>
      </c>
      <c r="C247" s="633">
        <f t="shared" si="20"/>
        <v>0</v>
      </c>
      <c r="D247" s="354"/>
      <c r="E247" s="15">
        <f t="shared" si="27"/>
        <v>10490.18</v>
      </c>
      <c r="F247" s="917">
        <f t="shared" si="26"/>
        <v>0</v>
      </c>
      <c r="G247" s="358">
        <f>FF!I104</f>
        <v>0</v>
      </c>
      <c r="H247" s="354" t="s">
        <v>5</v>
      </c>
      <c r="I247" s="355">
        <f>FF!K104</f>
        <v>10490.18</v>
      </c>
      <c r="J247" s="353">
        <f t="shared" si="22"/>
        <v>0</v>
      </c>
      <c r="K247" s="1913"/>
      <c r="L247" s="1913"/>
      <c r="M247" s="708" t="s">
        <v>2322</v>
      </c>
      <c r="N247" s="223"/>
      <c r="O247" s="706">
        <f t="shared" si="23"/>
        <v>0</v>
      </c>
    </row>
    <row r="248" spans="1:15" s="360" customFormat="1" ht="51" hidden="1">
      <c r="A248" s="356" t="s">
        <v>492</v>
      </c>
      <c r="B248" s="707" t="s">
        <v>3270</v>
      </c>
      <c r="C248" s="633">
        <f t="shared" si="20"/>
        <v>0</v>
      </c>
      <c r="D248" s="916" t="s">
        <v>102</v>
      </c>
      <c r="E248" s="10">
        <f t="shared" si="27"/>
        <v>1231.97</v>
      </c>
      <c r="F248" s="917">
        <f t="shared" si="26"/>
        <v>0</v>
      </c>
      <c r="G248" s="358">
        <f>FF!I140</f>
        <v>0</v>
      </c>
      <c r="H248" s="354" t="s">
        <v>102</v>
      </c>
      <c r="I248" s="355">
        <f>FF!K140</f>
        <v>1231.97</v>
      </c>
      <c r="J248" s="353">
        <f t="shared" si="22"/>
        <v>0</v>
      </c>
      <c r="K248" s="1930">
        <f>IF((J248+J249+J250+J251)&gt;(F248+F249+F250+F251),(J248+J249+J250+J251)-(F248+F249+F250+F251),0)</f>
        <v>0</v>
      </c>
      <c r="L248" s="1930">
        <f>IF((J248+J249+J250+J251)&lt;(F248+F249+F250+F251),(F248+F249+F250+F251)-(J248+J249+J250+J251),0)</f>
        <v>0</v>
      </c>
      <c r="M248" s="1139" t="s">
        <v>2226</v>
      </c>
      <c r="N248" s="223"/>
      <c r="O248" s="1138">
        <f t="shared" si="23"/>
        <v>0</v>
      </c>
    </row>
    <row r="249" spans="1:15" s="360" customFormat="1" ht="15" hidden="1">
      <c r="A249" s="356" t="s">
        <v>512</v>
      </c>
      <c r="B249" s="707" t="s">
        <v>2071</v>
      </c>
      <c r="C249" s="633">
        <f t="shared" si="20"/>
        <v>0</v>
      </c>
      <c r="D249" s="354"/>
      <c r="E249" s="15">
        <f t="shared" si="27"/>
        <v>1269.73</v>
      </c>
      <c r="F249" s="917">
        <f t="shared" si="26"/>
        <v>0</v>
      </c>
      <c r="G249" s="358">
        <f>FF!I146</f>
        <v>0</v>
      </c>
      <c r="H249" s="354" t="s">
        <v>102</v>
      </c>
      <c r="I249" s="355">
        <f>FF!K146</f>
        <v>1269.73</v>
      </c>
      <c r="J249" s="353">
        <f t="shared" si="22"/>
        <v>0</v>
      </c>
      <c r="K249" s="1912"/>
      <c r="L249" s="1912"/>
      <c r="M249" s="708" t="s">
        <v>2308</v>
      </c>
      <c r="N249" s="223"/>
      <c r="O249" s="706">
        <f t="shared" si="23"/>
        <v>0</v>
      </c>
    </row>
    <row r="250" spans="1:15" s="360" customFormat="1" ht="15" hidden="1">
      <c r="A250" s="356" t="s">
        <v>1518</v>
      </c>
      <c r="B250" s="707" t="s">
        <v>2071</v>
      </c>
      <c r="C250" s="633">
        <f t="shared" si="20"/>
        <v>0</v>
      </c>
      <c r="D250" s="354"/>
      <c r="E250" s="15">
        <f t="shared" si="27"/>
        <v>1350.5700000000002</v>
      </c>
      <c r="F250" s="917">
        <f t="shared" si="26"/>
        <v>0</v>
      </c>
      <c r="G250" s="358">
        <f>FF!I153</f>
        <v>0</v>
      </c>
      <c r="H250" s="354" t="s">
        <v>102</v>
      </c>
      <c r="I250" s="355">
        <f>FF!K153</f>
        <v>1350.5700000000002</v>
      </c>
      <c r="J250" s="353">
        <f t="shared" si="22"/>
        <v>0</v>
      </c>
      <c r="K250" s="1912"/>
      <c r="L250" s="1912"/>
      <c r="M250" s="708" t="s">
        <v>2321</v>
      </c>
      <c r="N250" s="223"/>
      <c r="O250" s="706">
        <f t="shared" si="23"/>
        <v>0</v>
      </c>
    </row>
    <row r="251" spans="1:15" s="360" customFormat="1" ht="15" hidden="1">
      <c r="A251" s="356" t="s">
        <v>1518</v>
      </c>
      <c r="B251" s="707" t="s">
        <v>2071</v>
      </c>
      <c r="C251" s="633">
        <f t="shared" si="20"/>
        <v>0</v>
      </c>
      <c r="D251" s="354"/>
      <c r="E251" s="15">
        <f t="shared" si="27"/>
        <v>1395.89</v>
      </c>
      <c r="F251" s="917">
        <f t="shared" si="26"/>
        <v>0</v>
      </c>
      <c r="G251" s="358">
        <f>FF!I159</f>
        <v>0</v>
      </c>
      <c r="H251" s="354" t="s">
        <v>102</v>
      </c>
      <c r="I251" s="355">
        <f>FF!K159</f>
        <v>1395.89</v>
      </c>
      <c r="J251" s="353">
        <f t="shared" si="22"/>
        <v>0</v>
      </c>
      <c r="K251" s="1913"/>
      <c r="L251" s="1913"/>
      <c r="M251" s="708" t="s">
        <v>2322</v>
      </c>
      <c r="N251" s="223"/>
      <c r="O251" s="706">
        <f t="shared" si="23"/>
        <v>0</v>
      </c>
    </row>
    <row r="252" spans="1:15" s="360" customFormat="1" ht="15" hidden="1">
      <c r="A252" s="356" t="s">
        <v>487</v>
      </c>
      <c r="B252" s="707" t="s">
        <v>2073</v>
      </c>
      <c r="C252" s="633">
        <f t="shared" si="20"/>
        <v>0</v>
      </c>
      <c r="D252" s="354"/>
      <c r="E252" s="15">
        <f t="shared" si="27"/>
        <v>1107.81</v>
      </c>
      <c r="F252" s="917">
        <f t="shared" si="26"/>
        <v>0</v>
      </c>
      <c r="G252" s="358">
        <f>FF!I164</f>
        <v>0</v>
      </c>
      <c r="H252" s="354" t="s">
        <v>102</v>
      </c>
      <c r="I252" s="355">
        <f>FF!K164</f>
        <v>1107.81</v>
      </c>
      <c r="J252" s="353">
        <f t="shared" si="22"/>
        <v>0</v>
      </c>
      <c r="K252" s="1911">
        <f>IF((J252+J253+J254+J255)&gt;(F252+F253+F254+F255),(J252+J253+J254+J255)-(F252+F253+F254+F255),0)</f>
        <v>0</v>
      </c>
      <c r="L252" s="1911">
        <f>IF((J252+J253+J254+J255)&lt;(F252+F253+F254+F255),(F252+F253+F254+F255)-(J252+J253+J254+J255),0)</f>
        <v>0</v>
      </c>
      <c r="M252" s="708" t="s">
        <v>2226</v>
      </c>
      <c r="N252" s="223"/>
      <c r="O252" s="706">
        <f t="shared" si="23"/>
        <v>0</v>
      </c>
    </row>
    <row r="253" spans="1:15" s="360" customFormat="1" ht="15" hidden="1">
      <c r="A253" s="356" t="s">
        <v>487</v>
      </c>
      <c r="B253" s="707" t="s">
        <v>2073</v>
      </c>
      <c r="C253" s="633">
        <f t="shared" si="20"/>
        <v>0</v>
      </c>
      <c r="D253" s="354"/>
      <c r="E253" s="15">
        <f t="shared" si="27"/>
        <v>1140.19</v>
      </c>
      <c r="F253" s="917">
        <f t="shared" si="26"/>
        <v>0</v>
      </c>
      <c r="G253" s="358">
        <f>FF!I169</f>
        <v>0</v>
      </c>
      <c r="H253" s="354" t="s">
        <v>102</v>
      </c>
      <c r="I253" s="355">
        <f>FF!K169</f>
        <v>1140.19</v>
      </c>
      <c r="J253" s="353">
        <f t="shared" si="22"/>
        <v>0</v>
      </c>
      <c r="K253" s="1912"/>
      <c r="L253" s="1912"/>
      <c r="M253" s="708" t="s">
        <v>2308</v>
      </c>
      <c r="N253" s="223"/>
      <c r="O253" s="706">
        <f t="shared" si="23"/>
        <v>0</v>
      </c>
    </row>
    <row r="254" spans="1:15" s="360" customFormat="1" ht="15" hidden="1">
      <c r="A254" s="356" t="s">
        <v>487</v>
      </c>
      <c r="B254" s="707" t="s">
        <v>2073</v>
      </c>
      <c r="C254" s="633">
        <f t="shared" si="20"/>
        <v>0</v>
      </c>
      <c r="D254" s="354"/>
      <c r="E254" s="15">
        <f t="shared" si="27"/>
        <v>1214.83</v>
      </c>
      <c r="F254" s="917">
        <f t="shared" si="26"/>
        <v>0</v>
      </c>
      <c r="G254" s="358">
        <f>FF!I174</f>
        <v>0</v>
      </c>
      <c r="H254" s="354" t="s">
        <v>102</v>
      </c>
      <c r="I254" s="355">
        <f>FF!K174</f>
        <v>1214.83</v>
      </c>
      <c r="J254" s="353">
        <f t="shared" si="22"/>
        <v>0</v>
      </c>
      <c r="K254" s="1912"/>
      <c r="L254" s="1912"/>
      <c r="M254" s="708" t="s">
        <v>2321</v>
      </c>
      <c r="N254" s="223"/>
      <c r="O254" s="706">
        <f t="shared" si="23"/>
        <v>0</v>
      </c>
    </row>
    <row r="255" spans="1:15" s="360" customFormat="1" ht="15" hidden="1">
      <c r="A255" s="356" t="s">
        <v>487</v>
      </c>
      <c r="B255" s="707" t="s">
        <v>2073</v>
      </c>
      <c r="C255" s="633">
        <f t="shared" si="20"/>
        <v>0</v>
      </c>
      <c r="D255" s="354"/>
      <c r="E255" s="15">
        <f t="shared" si="27"/>
        <v>1253.01</v>
      </c>
      <c r="F255" s="917">
        <f t="shared" si="26"/>
        <v>0</v>
      </c>
      <c r="G255" s="358">
        <f>FF!I179</f>
        <v>0</v>
      </c>
      <c r="H255" s="354" t="s">
        <v>102</v>
      </c>
      <c r="I255" s="355">
        <f>FF!K179</f>
        <v>1253.01</v>
      </c>
      <c r="J255" s="353">
        <f t="shared" si="22"/>
        <v>0</v>
      </c>
      <c r="K255" s="1913"/>
      <c r="L255" s="1913"/>
      <c r="M255" s="708" t="s">
        <v>2322</v>
      </c>
      <c r="N255" s="223"/>
      <c r="O255" s="706">
        <f t="shared" si="23"/>
        <v>0</v>
      </c>
    </row>
    <row r="256" spans="1:15" s="360" customFormat="1" ht="51" hidden="1">
      <c r="A256" s="356" t="s">
        <v>493</v>
      </c>
      <c r="B256" s="707" t="s">
        <v>3271</v>
      </c>
      <c r="C256" s="633">
        <f t="shared" si="20"/>
        <v>0</v>
      </c>
      <c r="D256" s="919" t="s">
        <v>102</v>
      </c>
      <c r="E256" s="10">
        <f t="shared" si="27"/>
        <v>1356.1200000000001</v>
      </c>
      <c r="F256" s="917">
        <f t="shared" si="26"/>
        <v>0</v>
      </c>
      <c r="G256" s="358">
        <f>FF!I112</f>
        <v>0</v>
      </c>
      <c r="H256" s="221" t="s">
        <v>102</v>
      </c>
      <c r="I256" s="355">
        <f>FF!K112</f>
        <v>1356.1200000000001</v>
      </c>
      <c r="J256" s="353">
        <f t="shared" si="22"/>
        <v>0</v>
      </c>
      <c r="K256" s="1930">
        <f>IF((J256+J257+J258+J259)&gt;(F256+F257+F258+F259),(J256+J257+J258+J259)-(F256+F257+F258+F259),0)</f>
        <v>0</v>
      </c>
      <c r="L256" s="1930">
        <f>IF((J256+J257+J258+J259)&lt;(F256+F257+F258+F259),(F256+F257+F258+F259)-(J256+J257+J258+J259),0)</f>
        <v>0</v>
      </c>
      <c r="M256" s="1139" t="s">
        <v>2226</v>
      </c>
      <c r="N256" s="223"/>
      <c r="O256" s="1138">
        <f t="shared" si="23"/>
        <v>0</v>
      </c>
    </row>
    <row r="257" spans="1:15" s="360" customFormat="1" ht="15" hidden="1">
      <c r="A257" s="356" t="s">
        <v>514</v>
      </c>
      <c r="B257" s="707" t="s">
        <v>2072</v>
      </c>
      <c r="C257" s="633">
        <f t="shared" si="20"/>
        <v>0</v>
      </c>
      <c r="D257" s="221"/>
      <c r="E257" s="15">
        <f t="shared" si="27"/>
        <v>1399.27</v>
      </c>
      <c r="F257" s="917">
        <f t="shared" si="26"/>
        <v>0</v>
      </c>
      <c r="G257" s="358">
        <f>FF!I120</f>
        <v>0</v>
      </c>
      <c r="H257" s="221" t="s">
        <v>102</v>
      </c>
      <c r="I257" s="355">
        <f>FF!K120</f>
        <v>1399.27</v>
      </c>
      <c r="J257" s="353">
        <f t="shared" si="22"/>
        <v>0</v>
      </c>
      <c r="K257" s="1912"/>
      <c r="L257" s="1912"/>
      <c r="M257" s="708" t="s">
        <v>2308</v>
      </c>
      <c r="N257" s="223"/>
      <c r="O257" s="706">
        <f t="shared" si="23"/>
        <v>0</v>
      </c>
    </row>
    <row r="258" spans="1:15" s="360" customFormat="1" ht="15" hidden="1">
      <c r="A258" s="356" t="s">
        <v>1519</v>
      </c>
      <c r="B258" s="707" t="s">
        <v>2072</v>
      </c>
      <c r="C258" s="633">
        <f t="shared" si="20"/>
        <v>0</v>
      </c>
      <c r="D258" s="221"/>
      <c r="E258" s="15">
        <f t="shared" si="27"/>
        <v>1486.3000000000002</v>
      </c>
      <c r="F258" s="917">
        <f t="shared" si="26"/>
        <v>0</v>
      </c>
      <c r="G258" s="358">
        <f>FF!I128</f>
        <v>0</v>
      </c>
      <c r="H258" s="221" t="s">
        <v>102</v>
      </c>
      <c r="I258" s="355">
        <f>FF!K128</f>
        <v>1486.3000000000002</v>
      </c>
      <c r="J258" s="353">
        <f t="shared" si="22"/>
        <v>0</v>
      </c>
      <c r="K258" s="1912"/>
      <c r="L258" s="1912"/>
      <c r="M258" s="708" t="s">
        <v>2321</v>
      </c>
      <c r="N258" s="223"/>
      <c r="O258" s="706">
        <f t="shared" si="23"/>
        <v>0</v>
      </c>
    </row>
    <row r="259" spans="1:15" s="360" customFormat="1" ht="15" hidden="1">
      <c r="A259" s="356" t="s">
        <v>1519</v>
      </c>
      <c r="B259" s="707" t="s">
        <v>2072</v>
      </c>
      <c r="C259" s="633">
        <f t="shared" si="20"/>
        <v>0</v>
      </c>
      <c r="D259" s="221"/>
      <c r="E259" s="15">
        <f t="shared" si="27"/>
        <v>1538.77</v>
      </c>
      <c r="F259" s="917">
        <f t="shared" si="26"/>
        <v>0</v>
      </c>
      <c r="G259" s="358">
        <f>FF!I133</f>
        <v>0</v>
      </c>
      <c r="H259" s="221" t="s">
        <v>102</v>
      </c>
      <c r="I259" s="355">
        <f>FF!K133</f>
        <v>1538.77</v>
      </c>
      <c r="J259" s="353">
        <f t="shared" si="22"/>
        <v>0</v>
      </c>
      <c r="K259" s="1913"/>
      <c r="L259" s="1913"/>
      <c r="M259" s="708" t="s">
        <v>2322</v>
      </c>
      <c r="N259" s="223"/>
      <c r="O259" s="706">
        <f t="shared" si="23"/>
        <v>0</v>
      </c>
    </row>
    <row r="260" spans="1:15" s="360" customFormat="1" ht="15" hidden="1">
      <c r="A260" s="356" t="s">
        <v>517</v>
      </c>
      <c r="B260" s="707" t="s">
        <v>2079</v>
      </c>
      <c r="C260" s="633">
        <f t="shared" si="20"/>
        <v>0</v>
      </c>
      <c r="D260" s="221"/>
      <c r="E260" s="15">
        <f t="shared" si="27"/>
        <v>608.34999999999991</v>
      </c>
      <c r="F260" s="917">
        <f t="shared" si="26"/>
        <v>0</v>
      </c>
      <c r="G260" s="358">
        <f>FF!I185</f>
        <v>0</v>
      </c>
      <c r="H260" s="221" t="s">
        <v>102</v>
      </c>
      <c r="I260" s="355">
        <f>FF!K185</f>
        <v>608.34999999999991</v>
      </c>
      <c r="J260" s="353">
        <f t="shared" si="22"/>
        <v>0</v>
      </c>
      <c r="K260" s="1911">
        <f>IF((J260+J261+J262+J263)&gt;(F260+F261+F262+F263),(J260+J261+J262+J263)-(F260+F261+F262+F263),0)</f>
        <v>0</v>
      </c>
      <c r="L260" s="1911">
        <f>IF((J260+J261+J262+J263)&lt;(F260+F261+F262+F263),(F260+F261+F262+F263)-(J260+J261+J262+J263),0)</f>
        <v>0</v>
      </c>
      <c r="M260" s="708" t="s">
        <v>2226</v>
      </c>
      <c r="N260" s="223"/>
      <c r="O260" s="706">
        <f t="shared" si="23"/>
        <v>0</v>
      </c>
    </row>
    <row r="261" spans="1:15" s="360" customFormat="1" ht="15" hidden="1">
      <c r="A261" s="356" t="s">
        <v>517</v>
      </c>
      <c r="B261" s="707" t="s">
        <v>2079</v>
      </c>
      <c r="C261" s="633">
        <f t="shared" si="20"/>
        <v>0</v>
      </c>
      <c r="D261" s="221"/>
      <c r="E261" s="15">
        <f t="shared" si="27"/>
        <v>629.79</v>
      </c>
      <c r="F261" s="917">
        <f t="shared" si="26"/>
        <v>0</v>
      </c>
      <c r="G261" s="358">
        <f>FF!I191</f>
        <v>0</v>
      </c>
      <c r="H261" s="221" t="s">
        <v>102</v>
      </c>
      <c r="I261" s="355">
        <f>FF!K191</f>
        <v>629.79</v>
      </c>
      <c r="J261" s="353">
        <f t="shared" si="22"/>
        <v>0</v>
      </c>
      <c r="K261" s="1912"/>
      <c r="L261" s="1912"/>
      <c r="M261" s="708" t="s">
        <v>2308</v>
      </c>
      <c r="N261" s="223"/>
      <c r="O261" s="706">
        <f t="shared" si="23"/>
        <v>0</v>
      </c>
    </row>
    <row r="262" spans="1:15" s="360" customFormat="1" ht="15" hidden="1">
      <c r="A262" s="356" t="s">
        <v>517</v>
      </c>
      <c r="B262" s="707" t="s">
        <v>2079</v>
      </c>
      <c r="C262" s="633">
        <f t="shared" si="20"/>
        <v>0</v>
      </c>
      <c r="D262" s="221"/>
      <c r="E262" s="15">
        <f t="shared" si="27"/>
        <v>670.91</v>
      </c>
      <c r="F262" s="917">
        <f t="shared" si="26"/>
        <v>0</v>
      </c>
      <c r="G262" s="358">
        <f>FF!I197</f>
        <v>0</v>
      </c>
      <c r="H262" s="221" t="s">
        <v>102</v>
      </c>
      <c r="I262" s="355">
        <f>FF!K197</f>
        <v>670.91</v>
      </c>
      <c r="J262" s="353">
        <f t="shared" si="22"/>
        <v>0</v>
      </c>
      <c r="K262" s="1912"/>
      <c r="L262" s="1912"/>
      <c r="M262" s="708" t="s">
        <v>2321</v>
      </c>
      <c r="N262" s="223"/>
      <c r="O262" s="706">
        <f t="shared" si="23"/>
        <v>0</v>
      </c>
    </row>
    <row r="263" spans="1:15" s="360" customFormat="1" ht="15" hidden="1">
      <c r="A263" s="356" t="s">
        <v>517</v>
      </c>
      <c r="B263" s="707" t="s">
        <v>2079</v>
      </c>
      <c r="C263" s="633">
        <f t="shared" si="20"/>
        <v>0</v>
      </c>
      <c r="D263" s="221"/>
      <c r="E263" s="15">
        <f t="shared" si="27"/>
        <v>694.54</v>
      </c>
      <c r="F263" s="917">
        <f t="shared" si="26"/>
        <v>0</v>
      </c>
      <c r="G263" s="358">
        <f>FF!I203</f>
        <v>0</v>
      </c>
      <c r="H263" s="221" t="s">
        <v>102</v>
      </c>
      <c r="I263" s="355">
        <f>FF!K203</f>
        <v>694.54</v>
      </c>
      <c r="J263" s="353">
        <f t="shared" si="22"/>
        <v>0</v>
      </c>
      <c r="K263" s="1913"/>
      <c r="L263" s="1913"/>
      <c r="M263" s="708" t="s">
        <v>2322</v>
      </c>
      <c r="N263" s="223"/>
      <c r="O263" s="706">
        <f t="shared" si="23"/>
        <v>0</v>
      </c>
    </row>
    <row r="264" spans="1:15" s="360" customFormat="1" ht="15" hidden="1">
      <c r="A264" s="356" t="s">
        <v>517</v>
      </c>
      <c r="B264" s="707" t="s">
        <v>2080</v>
      </c>
      <c r="C264" s="633">
        <f t="shared" si="20"/>
        <v>0</v>
      </c>
      <c r="D264" s="221"/>
      <c r="E264" s="15">
        <f t="shared" si="27"/>
        <v>485.58</v>
      </c>
      <c r="F264" s="917">
        <f t="shared" si="26"/>
        <v>0</v>
      </c>
      <c r="G264" s="358">
        <f>FF!I209</f>
        <v>0</v>
      </c>
      <c r="H264" s="221" t="s">
        <v>102</v>
      </c>
      <c r="I264" s="355">
        <f>FF!K209</f>
        <v>485.58</v>
      </c>
      <c r="J264" s="353">
        <f t="shared" si="22"/>
        <v>0</v>
      </c>
      <c r="K264" s="1911">
        <f>IF((J264+J265+J266+J267)&gt;(F264+F265+F266+F267),(J264+J265+J266+J267)-(F264+F265+F266+F267),0)</f>
        <v>0</v>
      </c>
      <c r="L264" s="1911">
        <f>IF((J264+J265+J266+J267)&lt;(F264+F265+F266+F267),(F264+F265+F266+F267)-(J264+J265+J266+J267),0)</f>
        <v>0</v>
      </c>
      <c r="M264" s="708" t="s">
        <v>2226</v>
      </c>
      <c r="N264" s="223"/>
      <c r="O264" s="706">
        <f t="shared" si="23"/>
        <v>0</v>
      </c>
    </row>
    <row r="265" spans="1:15" s="360" customFormat="1" ht="15" hidden="1">
      <c r="A265" s="356" t="s">
        <v>517</v>
      </c>
      <c r="B265" s="707" t="s">
        <v>2080</v>
      </c>
      <c r="C265" s="633">
        <f t="shared" si="20"/>
        <v>0</v>
      </c>
      <c r="D265" s="221"/>
      <c r="E265" s="15">
        <f t="shared" si="27"/>
        <v>501.74</v>
      </c>
      <c r="F265" s="917">
        <f t="shared" si="26"/>
        <v>0</v>
      </c>
      <c r="G265" s="358">
        <f>FF!I215</f>
        <v>0</v>
      </c>
      <c r="H265" s="221" t="s">
        <v>102</v>
      </c>
      <c r="I265" s="355">
        <f>FF!K215</f>
        <v>501.74</v>
      </c>
      <c r="J265" s="353">
        <f t="shared" si="22"/>
        <v>0</v>
      </c>
      <c r="K265" s="1912"/>
      <c r="L265" s="1912"/>
      <c r="M265" s="708" t="s">
        <v>2308</v>
      </c>
      <c r="N265" s="223"/>
      <c r="O265" s="706">
        <f t="shared" si="23"/>
        <v>0</v>
      </c>
    </row>
    <row r="266" spans="1:15" s="360" customFormat="1" ht="15" hidden="1">
      <c r="A266" s="356" t="s">
        <v>517</v>
      </c>
      <c r="B266" s="707" t="s">
        <v>2080</v>
      </c>
      <c r="C266" s="633">
        <f t="shared" ref="C266:C329" si="28">G266</f>
        <v>0</v>
      </c>
      <c r="D266" s="221"/>
      <c r="E266" s="15">
        <f t="shared" si="27"/>
        <v>536.78</v>
      </c>
      <c r="F266" s="917">
        <f t="shared" si="26"/>
        <v>0</v>
      </c>
      <c r="G266" s="358">
        <f>FF!I221</f>
        <v>0</v>
      </c>
      <c r="H266" s="221" t="s">
        <v>102</v>
      </c>
      <c r="I266" s="355">
        <f>FF!K221</f>
        <v>536.78</v>
      </c>
      <c r="J266" s="353">
        <f t="shared" ref="J266:J329" si="29">ROUND(G266*I266,2)</f>
        <v>0</v>
      </c>
      <c r="K266" s="1912"/>
      <c r="L266" s="1912"/>
      <c r="M266" s="708" t="s">
        <v>2321</v>
      </c>
      <c r="N266" s="223"/>
      <c r="O266" s="706">
        <f t="shared" si="23"/>
        <v>0</v>
      </c>
    </row>
    <row r="267" spans="1:15" s="360" customFormat="1" ht="15" hidden="1">
      <c r="A267" s="356" t="s">
        <v>517</v>
      </c>
      <c r="B267" s="707" t="s">
        <v>2080</v>
      </c>
      <c r="C267" s="633">
        <f t="shared" si="28"/>
        <v>0</v>
      </c>
      <c r="D267" s="221"/>
      <c r="E267" s="15">
        <f t="shared" si="27"/>
        <v>553.39</v>
      </c>
      <c r="F267" s="917">
        <f t="shared" si="26"/>
        <v>0</v>
      </c>
      <c r="G267" s="358">
        <f>FF!I227</f>
        <v>0</v>
      </c>
      <c r="H267" s="221" t="s">
        <v>102</v>
      </c>
      <c r="I267" s="355">
        <f>FF!K227</f>
        <v>553.39</v>
      </c>
      <c r="J267" s="353">
        <f t="shared" si="29"/>
        <v>0</v>
      </c>
      <c r="K267" s="1913"/>
      <c r="L267" s="1913"/>
      <c r="M267" s="708" t="s">
        <v>2322</v>
      </c>
      <c r="N267" s="223"/>
      <c r="O267" s="706">
        <f t="shared" si="23"/>
        <v>0</v>
      </c>
    </row>
    <row r="268" spans="1:15" s="360" customFormat="1" ht="51" hidden="1">
      <c r="A268" s="356" t="s">
        <v>494</v>
      </c>
      <c r="B268" s="707" t="s">
        <v>3272</v>
      </c>
      <c r="C268" s="633">
        <f t="shared" si="28"/>
        <v>0</v>
      </c>
      <c r="D268" s="916" t="s">
        <v>5</v>
      </c>
      <c r="E268" s="10">
        <f t="shared" si="27"/>
        <v>9842.01</v>
      </c>
      <c r="F268" s="917">
        <f t="shared" si="26"/>
        <v>0</v>
      </c>
      <c r="G268" s="358">
        <f>FF!I238</f>
        <v>0</v>
      </c>
      <c r="H268" s="354" t="s">
        <v>5</v>
      </c>
      <c r="I268" s="355">
        <f>FF!K238</f>
        <v>9842.01</v>
      </c>
      <c r="J268" s="353">
        <f t="shared" si="29"/>
        <v>0</v>
      </c>
      <c r="K268" s="1930">
        <f>IF((J268+J269+J270+J271)&gt;(F268+F269+F270+F271),(J268+J269+J270+J271)-(F268+F269+F270+F271),0)</f>
        <v>0</v>
      </c>
      <c r="L268" s="1930">
        <f>IF((J268+J269+J270+J271)&lt;(F268+F269+F270+F271),(F268+F269+F270+F271)-(J268+J269+J270+J271),0)</f>
        <v>0</v>
      </c>
      <c r="M268" s="1139" t="s">
        <v>2226</v>
      </c>
      <c r="N268" s="223"/>
      <c r="O268" s="1138">
        <f t="shared" ref="O268:O331" si="30">F268-J268</f>
        <v>0</v>
      </c>
    </row>
    <row r="269" spans="1:15" s="360" customFormat="1" ht="15" hidden="1">
      <c r="A269" s="356" t="s">
        <v>516</v>
      </c>
      <c r="B269" s="707" t="s">
        <v>2076</v>
      </c>
      <c r="C269" s="633">
        <f t="shared" si="28"/>
        <v>0</v>
      </c>
      <c r="D269" s="354"/>
      <c r="E269" s="15">
        <f t="shared" si="27"/>
        <v>10212.370000000001</v>
      </c>
      <c r="F269" s="917">
        <f t="shared" si="26"/>
        <v>0</v>
      </c>
      <c r="G269" s="358">
        <f>FF!I259</f>
        <v>0</v>
      </c>
      <c r="H269" s="354" t="s">
        <v>5</v>
      </c>
      <c r="I269" s="355">
        <f>FF!K259</f>
        <v>10212.370000000001</v>
      </c>
      <c r="J269" s="353">
        <f t="shared" si="29"/>
        <v>0</v>
      </c>
      <c r="K269" s="1912"/>
      <c r="L269" s="1912"/>
      <c r="M269" s="708" t="s">
        <v>2308</v>
      </c>
      <c r="N269" s="223"/>
      <c r="O269" s="706">
        <f t="shared" si="30"/>
        <v>0</v>
      </c>
    </row>
    <row r="270" spans="1:15" s="360" customFormat="1" ht="15" hidden="1">
      <c r="A270" s="356" t="s">
        <v>513</v>
      </c>
      <c r="B270" s="707" t="s">
        <v>2076</v>
      </c>
      <c r="C270" s="633">
        <f t="shared" si="28"/>
        <v>0</v>
      </c>
      <c r="D270" s="354"/>
      <c r="E270" s="15">
        <f t="shared" si="27"/>
        <v>10781.86</v>
      </c>
      <c r="F270" s="917">
        <f t="shared" si="26"/>
        <v>0</v>
      </c>
      <c r="G270" s="358">
        <f>FF!I270</f>
        <v>0</v>
      </c>
      <c r="H270" s="354" t="s">
        <v>5</v>
      </c>
      <c r="I270" s="355">
        <f>FF!K270</f>
        <v>10781.86</v>
      </c>
      <c r="J270" s="353">
        <f t="shared" si="29"/>
        <v>0</v>
      </c>
      <c r="K270" s="1912"/>
      <c r="L270" s="1912"/>
      <c r="M270" s="708" t="s">
        <v>2321</v>
      </c>
      <c r="N270" s="223"/>
      <c r="O270" s="706">
        <f t="shared" si="30"/>
        <v>0</v>
      </c>
    </row>
    <row r="271" spans="1:15" s="360" customFormat="1" ht="15" hidden="1">
      <c r="A271" s="356" t="s">
        <v>513</v>
      </c>
      <c r="B271" s="707" t="s">
        <v>2076</v>
      </c>
      <c r="C271" s="633">
        <f t="shared" si="28"/>
        <v>0</v>
      </c>
      <c r="D271" s="354"/>
      <c r="E271" s="15">
        <f t="shared" si="27"/>
        <v>11212.51</v>
      </c>
      <c r="F271" s="917">
        <f t="shared" si="26"/>
        <v>0</v>
      </c>
      <c r="G271" s="358">
        <f>FF!I276</f>
        <v>0</v>
      </c>
      <c r="H271" s="354" t="s">
        <v>5</v>
      </c>
      <c r="I271" s="355">
        <f>FF!K276</f>
        <v>11212.51</v>
      </c>
      <c r="J271" s="353">
        <f t="shared" si="29"/>
        <v>0</v>
      </c>
      <c r="K271" s="1913"/>
      <c r="L271" s="1913"/>
      <c r="M271" s="708" t="s">
        <v>2322</v>
      </c>
      <c r="N271" s="223"/>
      <c r="O271" s="706">
        <f t="shared" si="30"/>
        <v>0</v>
      </c>
    </row>
    <row r="272" spans="1:15" s="360" customFormat="1" ht="51" hidden="1">
      <c r="A272" s="356" t="s">
        <v>495</v>
      </c>
      <c r="B272" s="707" t="s">
        <v>3273</v>
      </c>
      <c r="C272" s="633">
        <f t="shared" si="28"/>
        <v>0</v>
      </c>
      <c r="D272" s="919" t="s">
        <v>277</v>
      </c>
      <c r="E272" s="10">
        <f t="shared" si="27"/>
        <v>568.34999999999991</v>
      </c>
      <c r="F272" s="917">
        <f t="shared" si="26"/>
        <v>0</v>
      </c>
      <c r="G272" s="358">
        <f>FF!I282</f>
        <v>0</v>
      </c>
      <c r="H272" s="221" t="s">
        <v>277</v>
      </c>
      <c r="I272" s="355">
        <f>FF!K282</f>
        <v>568.34999999999991</v>
      </c>
      <c r="J272" s="353">
        <f t="shared" si="29"/>
        <v>0</v>
      </c>
      <c r="K272" s="1930">
        <f>IF((J272+J273+J274+J275)&gt;(F272+F273+F274+F275),(J272+J273+J274+J275)-(F272+F273+F274+F275),0)</f>
        <v>0</v>
      </c>
      <c r="L272" s="1930">
        <f>IF((J272+J273+J274+J275)&lt;(F272+F273+F274+F275),(F272+F273+F274+F275)-(J272+J273+J274+J275),0)</f>
        <v>0</v>
      </c>
      <c r="M272" s="1139" t="s">
        <v>2226</v>
      </c>
      <c r="N272" s="223"/>
      <c r="O272" s="1138">
        <f t="shared" si="30"/>
        <v>0</v>
      </c>
    </row>
    <row r="273" spans="1:15" s="360" customFormat="1" ht="15" hidden="1">
      <c r="A273" s="356" t="s">
        <v>518</v>
      </c>
      <c r="B273" s="707" t="s">
        <v>2077</v>
      </c>
      <c r="C273" s="633">
        <f t="shared" si="28"/>
        <v>0</v>
      </c>
      <c r="D273" s="221"/>
      <c r="E273" s="15">
        <f t="shared" si="27"/>
        <v>582.93999999999994</v>
      </c>
      <c r="F273" s="917">
        <f t="shared" si="26"/>
        <v>0</v>
      </c>
      <c r="G273" s="358">
        <f>FF!I288</f>
        <v>0</v>
      </c>
      <c r="H273" s="221" t="s">
        <v>277</v>
      </c>
      <c r="I273" s="355">
        <f>FF!K288</f>
        <v>582.93999999999994</v>
      </c>
      <c r="J273" s="353">
        <f t="shared" si="29"/>
        <v>0</v>
      </c>
      <c r="K273" s="1912"/>
      <c r="L273" s="1912"/>
      <c r="M273" s="708" t="s">
        <v>2308</v>
      </c>
      <c r="N273" s="223"/>
      <c r="O273" s="706">
        <f t="shared" si="30"/>
        <v>0</v>
      </c>
    </row>
    <row r="274" spans="1:15" s="360" customFormat="1" ht="15" hidden="1">
      <c r="A274" s="356" t="s">
        <v>515</v>
      </c>
      <c r="B274" s="707" t="s">
        <v>2077</v>
      </c>
      <c r="C274" s="633">
        <f t="shared" si="28"/>
        <v>0</v>
      </c>
      <c r="D274" s="221"/>
      <c r="E274" s="15">
        <f t="shared" si="27"/>
        <v>613.88</v>
      </c>
      <c r="F274" s="917">
        <f t="shared" si="26"/>
        <v>0</v>
      </c>
      <c r="G274" s="358">
        <f>FF!I295</f>
        <v>0</v>
      </c>
      <c r="H274" s="221" t="s">
        <v>277</v>
      </c>
      <c r="I274" s="355">
        <f>FF!K295</f>
        <v>613.88</v>
      </c>
      <c r="J274" s="353">
        <f t="shared" si="29"/>
        <v>0</v>
      </c>
      <c r="K274" s="1912"/>
      <c r="L274" s="1912"/>
      <c r="M274" s="708" t="s">
        <v>2321</v>
      </c>
      <c r="N274" s="223"/>
      <c r="O274" s="706">
        <f t="shared" si="30"/>
        <v>0</v>
      </c>
    </row>
    <row r="275" spans="1:15" s="360" customFormat="1" ht="15" hidden="1">
      <c r="A275" s="356" t="s">
        <v>515</v>
      </c>
      <c r="B275" s="707" t="s">
        <v>2077</v>
      </c>
      <c r="C275" s="633">
        <f t="shared" si="28"/>
        <v>0</v>
      </c>
      <c r="D275" s="221"/>
      <c r="E275" s="15">
        <f t="shared" si="27"/>
        <v>630.35</v>
      </c>
      <c r="F275" s="917">
        <f t="shared" si="26"/>
        <v>0</v>
      </c>
      <c r="G275" s="358">
        <f>FF!I301</f>
        <v>0</v>
      </c>
      <c r="H275" s="221" t="s">
        <v>277</v>
      </c>
      <c r="I275" s="355">
        <f>FF!K301</f>
        <v>630.35</v>
      </c>
      <c r="J275" s="353">
        <f t="shared" si="29"/>
        <v>0</v>
      </c>
      <c r="K275" s="1913"/>
      <c r="L275" s="1913"/>
      <c r="M275" s="708" t="s">
        <v>2322</v>
      </c>
      <c r="N275" s="223"/>
      <c r="O275" s="706">
        <f t="shared" si="30"/>
        <v>0</v>
      </c>
    </row>
    <row r="276" spans="1:15" s="360" customFormat="1" ht="15" hidden="1">
      <c r="A276" s="356" t="s">
        <v>514</v>
      </c>
      <c r="B276" s="707" t="s">
        <v>1480</v>
      </c>
      <c r="C276" s="633">
        <f t="shared" si="28"/>
        <v>0</v>
      </c>
      <c r="D276" s="221"/>
      <c r="E276" s="15">
        <f t="shared" si="27"/>
        <v>278.81</v>
      </c>
      <c r="F276" s="917">
        <f t="shared" si="26"/>
        <v>0</v>
      </c>
      <c r="G276" s="358">
        <f>FF!I307</f>
        <v>0</v>
      </c>
      <c r="H276" s="221" t="s">
        <v>102</v>
      </c>
      <c r="I276" s="355">
        <f>FF!K307</f>
        <v>278.81</v>
      </c>
      <c r="J276" s="353">
        <f t="shared" si="29"/>
        <v>0</v>
      </c>
      <c r="K276" s="1911">
        <f>IF((J276+J277+J278+J279)&gt;(F276+F277+F278+F279),(J276+J277+J278+J279)-(F276+F277+F278+F279),0)</f>
        <v>0</v>
      </c>
      <c r="L276" s="1911">
        <f>IF((J276+J277+J278+J279)&lt;(F276+F277+F278+F279),(F276+F277+F278+F279)-(J276+J277+J278+J279),0)</f>
        <v>0</v>
      </c>
      <c r="M276" s="708" t="s">
        <v>2226</v>
      </c>
      <c r="N276" s="223"/>
      <c r="O276" s="706">
        <f t="shared" si="30"/>
        <v>0</v>
      </c>
    </row>
    <row r="277" spans="1:15" s="360" customFormat="1" ht="15" hidden="1">
      <c r="A277" s="356" t="s">
        <v>519</v>
      </c>
      <c r="B277" s="707" t="s">
        <v>1480</v>
      </c>
      <c r="C277" s="633">
        <f t="shared" si="28"/>
        <v>0</v>
      </c>
      <c r="D277" s="221"/>
      <c r="E277" s="15">
        <f t="shared" si="27"/>
        <v>300.63</v>
      </c>
      <c r="F277" s="917">
        <f t="shared" si="26"/>
        <v>0</v>
      </c>
      <c r="G277" s="358">
        <f>FF!I314</f>
        <v>0</v>
      </c>
      <c r="H277" s="221" t="s">
        <v>102</v>
      </c>
      <c r="I277" s="355">
        <f>FF!K314</f>
        <v>300.63</v>
      </c>
      <c r="J277" s="353">
        <f t="shared" si="29"/>
        <v>0</v>
      </c>
      <c r="K277" s="1912"/>
      <c r="L277" s="1912"/>
      <c r="M277" s="708" t="s">
        <v>2308</v>
      </c>
      <c r="N277" s="223"/>
      <c r="O277" s="706">
        <f t="shared" si="30"/>
        <v>0</v>
      </c>
    </row>
    <row r="278" spans="1:15" s="360" customFormat="1" ht="15" hidden="1">
      <c r="A278" s="356" t="s">
        <v>497</v>
      </c>
      <c r="B278" s="707" t="s">
        <v>1480</v>
      </c>
      <c r="C278" s="633">
        <f t="shared" si="28"/>
        <v>0</v>
      </c>
      <c r="D278" s="221"/>
      <c r="E278" s="15">
        <f t="shared" si="27"/>
        <v>319.08</v>
      </c>
      <c r="F278" s="917">
        <f t="shared" si="26"/>
        <v>0</v>
      </c>
      <c r="G278" s="358">
        <f>FF!I320</f>
        <v>0</v>
      </c>
      <c r="H278" s="221" t="s">
        <v>102</v>
      </c>
      <c r="I278" s="355">
        <f>FF!K320</f>
        <v>319.08</v>
      </c>
      <c r="J278" s="353">
        <f t="shared" si="29"/>
        <v>0</v>
      </c>
      <c r="K278" s="1912"/>
      <c r="L278" s="1912"/>
      <c r="M278" s="708" t="s">
        <v>2321</v>
      </c>
      <c r="N278" s="223"/>
      <c r="O278" s="706">
        <f t="shared" si="30"/>
        <v>0</v>
      </c>
    </row>
    <row r="279" spans="1:15" s="360" customFormat="1" ht="15" hidden="1">
      <c r="A279" s="356" t="s">
        <v>497</v>
      </c>
      <c r="B279" s="707" t="s">
        <v>1480</v>
      </c>
      <c r="C279" s="633">
        <f t="shared" si="28"/>
        <v>0</v>
      </c>
      <c r="D279" s="221"/>
      <c r="E279" s="15">
        <f t="shared" si="27"/>
        <v>339.16</v>
      </c>
      <c r="F279" s="917">
        <f t="shared" si="26"/>
        <v>0</v>
      </c>
      <c r="G279" s="358">
        <f>FF!I326</f>
        <v>0</v>
      </c>
      <c r="H279" s="221" t="s">
        <v>102</v>
      </c>
      <c r="I279" s="355">
        <f>FF!K326</f>
        <v>339.16</v>
      </c>
      <c r="J279" s="353">
        <f t="shared" si="29"/>
        <v>0</v>
      </c>
      <c r="K279" s="1913"/>
      <c r="L279" s="1913"/>
      <c r="M279" s="708" t="s">
        <v>2322</v>
      </c>
      <c r="N279" s="223"/>
      <c r="O279" s="706">
        <f t="shared" si="30"/>
        <v>0</v>
      </c>
    </row>
    <row r="280" spans="1:15" s="360" customFormat="1" ht="51" hidden="1">
      <c r="A280" s="356" t="s">
        <v>501</v>
      </c>
      <c r="B280" s="707" t="s">
        <v>3294</v>
      </c>
      <c r="C280" s="633">
        <f t="shared" si="28"/>
        <v>0</v>
      </c>
      <c r="D280" s="919" t="s">
        <v>102</v>
      </c>
      <c r="E280" s="15">
        <f t="shared" si="27"/>
        <v>356.32</v>
      </c>
      <c r="F280" s="917">
        <f t="shared" si="26"/>
        <v>0</v>
      </c>
      <c r="G280" s="358">
        <f>FF!I332</f>
        <v>0</v>
      </c>
      <c r="H280" s="221" t="s">
        <v>102</v>
      </c>
      <c r="I280" s="355">
        <f>FF!K332</f>
        <v>356.32</v>
      </c>
      <c r="J280" s="353">
        <f t="shared" si="29"/>
        <v>0</v>
      </c>
      <c r="K280" s="1911">
        <f>IF((J280+J281+J282+J283)&gt;(F280+F281+F282+F283),(J280+J281+J282+J283)-(F280+F281+F282+F283),0)</f>
        <v>0</v>
      </c>
      <c r="L280" s="1911">
        <f>IF((J280+J281+J282+J283)&lt;(F280+F281+F282+F283),(F280+F281+F282+F283)-(J280+J281+J282+J283),0)</f>
        <v>0</v>
      </c>
      <c r="M280" s="708" t="s">
        <v>2226</v>
      </c>
      <c r="N280" s="223"/>
      <c r="O280" s="706">
        <f t="shared" si="30"/>
        <v>0</v>
      </c>
    </row>
    <row r="281" spans="1:15" s="360" customFormat="1" ht="15" hidden="1">
      <c r="A281" s="356" t="s">
        <v>520</v>
      </c>
      <c r="B281" s="707" t="s">
        <v>1481</v>
      </c>
      <c r="C281" s="633">
        <f t="shared" si="28"/>
        <v>0</v>
      </c>
      <c r="D281" s="221"/>
      <c r="E281" s="15">
        <f t="shared" si="27"/>
        <v>385.97</v>
      </c>
      <c r="F281" s="917">
        <f t="shared" si="26"/>
        <v>0</v>
      </c>
      <c r="G281" s="358">
        <f>FF!I338</f>
        <v>0</v>
      </c>
      <c r="H281" s="221" t="s">
        <v>102</v>
      </c>
      <c r="I281" s="355">
        <f>FF!K338</f>
        <v>385.97</v>
      </c>
      <c r="J281" s="353">
        <f t="shared" si="29"/>
        <v>0</v>
      </c>
      <c r="K281" s="1912"/>
      <c r="L281" s="1912"/>
      <c r="M281" s="708" t="s">
        <v>2308</v>
      </c>
      <c r="N281" s="223"/>
      <c r="O281" s="706">
        <f t="shared" si="30"/>
        <v>0</v>
      </c>
    </row>
    <row r="282" spans="1:15" s="360" customFormat="1" ht="15" hidden="1">
      <c r="A282" s="356" t="s">
        <v>520</v>
      </c>
      <c r="B282" s="707" t="s">
        <v>1481</v>
      </c>
      <c r="C282" s="633">
        <f t="shared" si="28"/>
        <v>0</v>
      </c>
      <c r="D282" s="221"/>
      <c r="E282" s="15">
        <f t="shared" si="27"/>
        <v>410.82</v>
      </c>
      <c r="F282" s="917">
        <f t="shared" si="26"/>
        <v>0</v>
      </c>
      <c r="G282" s="358">
        <f>FF!I344</f>
        <v>0</v>
      </c>
      <c r="H282" s="221" t="s">
        <v>102</v>
      </c>
      <c r="I282" s="355">
        <f>FF!K344</f>
        <v>410.82</v>
      </c>
      <c r="J282" s="353">
        <f t="shared" si="29"/>
        <v>0</v>
      </c>
      <c r="K282" s="1912"/>
      <c r="L282" s="1912"/>
      <c r="M282" s="708" t="s">
        <v>2321</v>
      </c>
      <c r="N282" s="223"/>
      <c r="O282" s="706">
        <f t="shared" si="30"/>
        <v>0</v>
      </c>
    </row>
    <row r="283" spans="1:15" s="360" customFormat="1" ht="15" hidden="1">
      <c r="A283" s="356" t="s">
        <v>520</v>
      </c>
      <c r="B283" s="707" t="s">
        <v>1481</v>
      </c>
      <c r="C283" s="633">
        <f t="shared" si="28"/>
        <v>0</v>
      </c>
      <c r="D283" s="221"/>
      <c r="E283" s="15">
        <f t="shared" si="27"/>
        <v>438.06</v>
      </c>
      <c r="F283" s="917">
        <f t="shared" si="26"/>
        <v>0</v>
      </c>
      <c r="G283" s="358">
        <f>FF!I350</f>
        <v>0</v>
      </c>
      <c r="H283" s="221" t="s">
        <v>102</v>
      </c>
      <c r="I283" s="355">
        <f>FF!K350</f>
        <v>438.06</v>
      </c>
      <c r="J283" s="353">
        <f t="shared" si="29"/>
        <v>0</v>
      </c>
      <c r="K283" s="1913"/>
      <c r="L283" s="1913"/>
      <c r="M283" s="708" t="s">
        <v>2322</v>
      </c>
      <c r="N283" s="223"/>
      <c r="O283" s="706">
        <f t="shared" si="30"/>
        <v>0</v>
      </c>
    </row>
    <row r="284" spans="1:15" s="360" customFormat="1" ht="63.75" hidden="1">
      <c r="A284" s="356" t="s">
        <v>1517</v>
      </c>
      <c r="B284" s="707" t="s">
        <v>3276</v>
      </c>
      <c r="C284" s="633">
        <f t="shared" si="28"/>
        <v>0</v>
      </c>
      <c r="D284" s="916" t="s">
        <v>5</v>
      </c>
      <c r="E284" s="10">
        <f t="shared" si="27"/>
        <v>5961.27</v>
      </c>
      <c r="F284" s="917">
        <f t="shared" si="26"/>
        <v>0</v>
      </c>
      <c r="G284" s="358">
        <f>FF!I396</f>
        <v>0</v>
      </c>
      <c r="H284" s="354" t="s">
        <v>5</v>
      </c>
      <c r="I284" s="355">
        <f>FF!K396</f>
        <v>5961.27</v>
      </c>
      <c r="J284" s="353">
        <f t="shared" si="29"/>
        <v>0</v>
      </c>
      <c r="K284" s="1930">
        <f>IF((J284+J285+J286+J287)&gt;(F284+F285+F286+F287),(J284+J285+J286+J287)-(F284+F285+F286+F287),0)</f>
        <v>0</v>
      </c>
      <c r="L284" s="1930">
        <f>IF((J284+J285+J286+J287)&lt;(F284+F285+F286+F287),(F284+F285+F286+F287)-(J284+J285+J286+J287),0)</f>
        <v>0</v>
      </c>
      <c r="M284" s="1139" t="s">
        <v>2226</v>
      </c>
      <c r="N284" s="223"/>
      <c r="O284" s="1138">
        <f t="shared" si="30"/>
        <v>0</v>
      </c>
    </row>
    <row r="285" spans="1:15" s="360" customFormat="1" ht="15" hidden="1">
      <c r="A285" s="356" t="s">
        <v>522</v>
      </c>
      <c r="B285" s="707" t="s">
        <v>829</v>
      </c>
      <c r="C285" s="633">
        <f t="shared" si="28"/>
        <v>0</v>
      </c>
      <c r="D285" s="354"/>
      <c r="E285" s="15">
        <f t="shared" si="27"/>
        <v>6135.0899999999992</v>
      </c>
      <c r="F285" s="917">
        <f t="shared" si="26"/>
        <v>0</v>
      </c>
      <c r="G285" s="358">
        <f>FF!I435</f>
        <v>0</v>
      </c>
      <c r="H285" s="354" t="s">
        <v>5</v>
      </c>
      <c r="I285" s="355">
        <f>FF!K435</f>
        <v>6135.0899999999992</v>
      </c>
      <c r="J285" s="353">
        <f t="shared" si="29"/>
        <v>0</v>
      </c>
      <c r="K285" s="1912"/>
      <c r="L285" s="1912"/>
      <c r="M285" s="708" t="s">
        <v>2308</v>
      </c>
      <c r="N285" s="223"/>
      <c r="O285" s="706">
        <f t="shared" si="30"/>
        <v>0</v>
      </c>
    </row>
    <row r="286" spans="1:15" s="360" customFormat="1" ht="15" hidden="1">
      <c r="A286" s="356" t="s">
        <v>519</v>
      </c>
      <c r="B286" s="707" t="s">
        <v>829</v>
      </c>
      <c r="C286" s="633">
        <f t="shared" si="28"/>
        <v>0</v>
      </c>
      <c r="D286" s="354"/>
      <c r="E286" s="15">
        <f t="shared" si="27"/>
        <v>6558.3</v>
      </c>
      <c r="F286" s="917">
        <f t="shared" si="26"/>
        <v>0</v>
      </c>
      <c r="G286" s="358">
        <f>FF!I454</f>
        <v>0</v>
      </c>
      <c r="H286" s="354" t="s">
        <v>5</v>
      </c>
      <c r="I286" s="355">
        <f>FF!K454</f>
        <v>6558.3</v>
      </c>
      <c r="J286" s="353">
        <f t="shared" si="29"/>
        <v>0</v>
      </c>
      <c r="K286" s="1912"/>
      <c r="L286" s="1912"/>
      <c r="M286" s="708" t="s">
        <v>2321</v>
      </c>
      <c r="N286" s="223"/>
      <c r="O286" s="706">
        <f t="shared" si="30"/>
        <v>0</v>
      </c>
    </row>
    <row r="287" spans="1:15" s="360" customFormat="1" ht="15" hidden="1">
      <c r="A287" s="356" t="s">
        <v>519</v>
      </c>
      <c r="B287" s="707" t="s">
        <v>829</v>
      </c>
      <c r="C287" s="633">
        <f t="shared" si="28"/>
        <v>0</v>
      </c>
      <c r="D287" s="354"/>
      <c r="E287" s="15">
        <f t="shared" si="27"/>
        <v>7283.96</v>
      </c>
      <c r="F287" s="917">
        <f t="shared" si="26"/>
        <v>0</v>
      </c>
      <c r="G287" s="358">
        <f>FF!I460</f>
        <v>0</v>
      </c>
      <c r="H287" s="354" t="s">
        <v>5</v>
      </c>
      <c r="I287" s="355">
        <f>FF!K460</f>
        <v>7283.96</v>
      </c>
      <c r="J287" s="353">
        <f t="shared" si="29"/>
        <v>0</v>
      </c>
      <c r="K287" s="1913"/>
      <c r="L287" s="1913"/>
      <c r="M287" s="708" t="s">
        <v>2322</v>
      </c>
      <c r="N287" s="223"/>
      <c r="O287" s="706">
        <f t="shared" si="30"/>
        <v>0</v>
      </c>
    </row>
    <row r="288" spans="1:15" s="360" customFormat="1" ht="15" hidden="1">
      <c r="A288" s="356" t="s">
        <v>491</v>
      </c>
      <c r="B288" s="707" t="s">
        <v>828</v>
      </c>
      <c r="C288" s="633">
        <f t="shared" si="28"/>
        <v>0</v>
      </c>
      <c r="D288" s="354"/>
      <c r="E288" s="15">
        <f t="shared" si="27"/>
        <v>5904.8700000000008</v>
      </c>
      <c r="F288" s="917">
        <f t="shared" si="26"/>
        <v>0</v>
      </c>
      <c r="G288" s="358">
        <f>FF!I356</f>
        <v>0</v>
      </c>
      <c r="H288" s="354" t="s">
        <v>5</v>
      </c>
      <c r="I288" s="355">
        <f>FF!K356</f>
        <v>5904.8700000000008</v>
      </c>
      <c r="J288" s="353">
        <f t="shared" si="29"/>
        <v>0</v>
      </c>
      <c r="K288" s="1911">
        <f>IF((J288+J289+J290+J291)&gt;(F288+F289+F290+F291),(J288+J289+J290+J291)-(F288+F289+F290+F291),0)</f>
        <v>0</v>
      </c>
      <c r="L288" s="1911">
        <f>IF((J288+J289+J290+J291)&lt;(F288+F289+F290+F291),(F288+F289+F290+F291)-(J288+J289+J290+J291),0)</f>
        <v>0</v>
      </c>
      <c r="M288" s="708" t="s">
        <v>2226</v>
      </c>
      <c r="N288" s="223"/>
      <c r="O288" s="706">
        <f t="shared" si="30"/>
        <v>0</v>
      </c>
    </row>
    <row r="289" spans="1:15" s="360" customFormat="1" ht="15" hidden="1">
      <c r="A289" s="356" t="s">
        <v>491</v>
      </c>
      <c r="B289" s="707" t="s">
        <v>828</v>
      </c>
      <c r="C289" s="633">
        <f t="shared" si="28"/>
        <v>0</v>
      </c>
      <c r="D289" s="354"/>
      <c r="E289" s="15">
        <f t="shared" si="27"/>
        <v>6078.69</v>
      </c>
      <c r="F289" s="917">
        <f t="shared" si="26"/>
        <v>0</v>
      </c>
      <c r="G289" s="358">
        <f>FF!I362</f>
        <v>0</v>
      </c>
      <c r="H289" s="354" t="s">
        <v>5</v>
      </c>
      <c r="I289" s="355">
        <f>FF!K362</f>
        <v>6078.69</v>
      </c>
      <c r="J289" s="353">
        <f t="shared" si="29"/>
        <v>0</v>
      </c>
      <c r="K289" s="1912"/>
      <c r="L289" s="1912"/>
      <c r="M289" s="708" t="s">
        <v>2308</v>
      </c>
      <c r="N289" s="223"/>
      <c r="O289" s="706">
        <f t="shared" si="30"/>
        <v>0</v>
      </c>
    </row>
    <row r="290" spans="1:15" s="360" customFormat="1" ht="15" hidden="1">
      <c r="A290" s="356" t="s">
        <v>491</v>
      </c>
      <c r="B290" s="707" t="s">
        <v>828</v>
      </c>
      <c r="C290" s="633">
        <f t="shared" si="28"/>
        <v>0</v>
      </c>
      <c r="D290" s="354"/>
      <c r="E290" s="15">
        <f t="shared" si="27"/>
        <v>6501.9000000000005</v>
      </c>
      <c r="F290" s="917">
        <f t="shared" si="26"/>
        <v>0</v>
      </c>
      <c r="G290" s="358">
        <f>FF!I368</f>
        <v>0</v>
      </c>
      <c r="H290" s="354" t="s">
        <v>5</v>
      </c>
      <c r="I290" s="355">
        <f>FF!K368</f>
        <v>6501.9000000000005</v>
      </c>
      <c r="J290" s="353">
        <f t="shared" si="29"/>
        <v>0</v>
      </c>
      <c r="K290" s="1912"/>
      <c r="L290" s="1912"/>
      <c r="M290" s="708" t="s">
        <v>2321</v>
      </c>
      <c r="N290" s="223"/>
      <c r="O290" s="706">
        <f t="shared" si="30"/>
        <v>0</v>
      </c>
    </row>
    <row r="291" spans="1:15" s="360" customFormat="1" ht="15" hidden="1">
      <c r="A291" s="356" t="s">
        <v>491</v>
      </c>
      <c r="B291" s="707" t="s">
        <v>828</v>
      </c>
      <c r="C291" s="633">
        <f t="shared" si="28"/>
        <v>0</v>
      </c>
      <c r="D291" s="354"/>
      <c r="E291" s="15">
        <f t="shared" si="27"/>
        <v>7227.5599999999995</v>
      </c>
      <c r="F291" s="917">
        <f t="shared" si="26"/>
        <v>0</v>
      </c>
      <c r="G291" s="358">
        <f>FF!I374</f>
        <v>0</v>
      </c>
      <c r="H291" s="354" t="s">
        <v>5</v>
      </c>
      <c r="I291" s="355">
        <f>FF!K374</f>
        <v>7227.5599999999995</v>
      </c>
      <c r="J291" s="353">
        <f t="shared" si="29"/>
        <v>0</v>
      </c>
      <c r="K291" s="1913"/>
      <c r="L291" s="1913"/>
      <c r="M291" s="708" t="s">
        <v>2322</v>
      </c>
      <c r="N291" s="223"/>
      <c r="O291" s="706">
        <f t="shared" si="30"/>
        <v>0</v>
      </c>
    </row>
    <row r="292" spans="1:15" s="360" customFormat="1" ht="51" hidden="1">
      <c r="A292" s="356" t="s">
        <v>1518</v>
      </c>
      <c r="B292" s="707" t="s">
        <v>3277</v>
      </c>
      <c r="C292" s="633">
        <f t="shared" si="28"/>
        <v>0</v>
      </c>
      <c r="D292" s="916" t="s">
        <v>102</v>
      </c>
      <c r="E292" s="10">
        <f t="shared" si="27"/>
        <v>767.73</v>
      </c>
      <c r="F292" s="917">
        <f t="shared" si="26"/>
        <v>0</v>
      </c>
      <c r="G292" s="358">
        <f>FF!I487</f>
        <v>0</v>
      </c>
      <c r="H292" s="354" t="s">
        <v>102</v>
      </c>
      <c r="I292" s="355">
        <f>FF!K487</f>
        <v>767.73</v>
      </c>
      <c r="J292" s="353">
        <f t="shared" si="29"/>
        <v>0</v>
      </c>
      <c r="K292" s="1930">
        <f>IF((J292+J293+J294+J295)&gt;(F292+F293+F294+F295),(J292+J293+J294+J295)-(F292+F293+F294+F295),0)</f>
        <v>0</v>
      </c>
      <c r="L292" s="1930">
        <f>IF((J292+J293+J294+J295)&lt;(F292+F293+F294+F295),(F292+F293+F294+F295)-(J292+J293+J294+J295),0)</f>
        <v>0</v>
      </c>
      <c r="M292" s="1139" t="s">
        <v>2226</v>
      </c>
      <c r="N292" s="223"/>
      <c r="O292" s="1138">
        <f t="shared" si="30"/>
        <v>0</v>
      </c>
    </row>
    <row r="293" spans="1:15" s="360" customFormat="1" ht="25.5" hidden="1">
      <c r="A293" s="356" t="s">
        <v>525</v>
      </c>
      <c r="B293" s="707" t="s">
        <v>705</v>
      </c>
      <c r="C293" s="633">
        <f t="shared" si="28"/>
        <v>0</v>
      </c>
      <c r="D293" s="354"/>
      <c r="E293" s="15">
        <f t="shared" si="27"/>
        <v>791.59</v>
      </c>
      <c r="F293" s="917">
        <f t="shared" si="26"/>
        <v>0</v>
      </c>
      <c r="G293" s="358">
        <f>FF!I520</f>
        <v>0</v>
      </c>
      <c r="H293" s="354" t="s">
        <v>102</v>
      </c>
      <c r="I293" s="355">
        <f>FF!K520</f>
        <v>791.59</v>
      </c>
      <c r="J293" s="353">
        <f t="shared" si="29"/>
        <v>0</v>
      </c>
      <c r="K293" s="1912"/>
      <c r="L293" s="1912"/>
      <c r="M293" s="708" t="s">
        <v>2308</v>
      </c>
      <c r="N293" s="223"/>
      <c r="O293" s="706">
        <f t="shared" si="30"/>
        <v>0</v>
      </c>
    </row>
    <row r="294" spans="1:15" s="360" customFormat="1" ht="25.5" hidden="1">
      <c r="A294" s="356" t="s">
        <v>521</v>
      </c>
      <c r="B294" s="707" t="s">
        <v>705</v>
      </c>
      <c r="C294" s="633">
        <f t="shared" si="28"/>
        <v>0</v>
      </c>
      <c r="D294" s="354"/>
      <c r="E294" s="15">
        <f t="shared" si="27"/>
        <v>845.07</v>
      </c>
      <c r="F294" s="917">
        <f t="shared" si="26"/>
        <v>0</v>
      </c>
      <c r="G294" s="358">
        <f>FF!I541</f>
        <v>0</v>
      </c>
      <c r="H294" s="354" t="s">
        <v>102</v>
      </c>
      <c r="I294" s="355">
        <f>FF!K541</f>
        <v>845.07</v>
      </c>
      <c r="J294" s="353">
        <f t="shared" si="29"/>
        <v>0</v>
      </c>
      <c r="K294" s="1912"/>
      <c r="L294" s="1912"/>
      <c r="M294" s="708" t="s">
        <v>2321</v>
      </c>
      <c r="N294" s="223"/>
      <c r="O294" s="706">
        <f t="shared" si="30"/>
        <v>0</v>
      </c>
    </row>
    <row r="295" spans="1:15" s="360" customFormat="1" ht="25.5" hidden="1">
      <c r="A295" s="356" t="s">
        <v>521</v>
      </c>
      <c r="B295" s="707" t="s">
        <v>705</v>
      </c>
      <c r="C295" s="633">
        <f t="shared" si="28"/>
        <v>0</v>
      </c>
      <c r="D295" s="354"/>
      <c r="E295" s="15">
        <f t="shared" si="27"/>
        <v>929.28</v>
      </c>
      <c r="F295" s="917">
        <f t="shared" si="26"/>
        <v>0</v>
      </c>
      <c r="G295" s="358">
        <f>FF!I550</f>
        <v>0</v>
      </c>
      <c r="H295" s="354" t="s">
        <v>102</v>
      </c>
      <c r="I295" s="355">
        <f>FF!K550</f>
        <v>929.28</v>
      </c>
      <c r="J295" s="353">
        <f t="shared" si="29"/>
        <v>0</v>
      </c>
      <c r="K295" s="1913"/>
      <c r="L295" s="1913"/>
      <c r="M295" s="708" t="s">
        <v>2322</v>
      </c>
      <c r="N295" s="223"/>
      <c r="O295" s="706">
        <f t="shared" si="30"/>
        <v>0</v>
      </c>
    </row>
    <row r="296" spans="1:15" s="360" customFormat="1" ht="15" hidden="1">
      <c r="A296" s="356" t="s">
        <v>483</v>
      </c>
      <c r="B296" s="707" t="s">
        <v>1222</v>
      </c>
      <c r="C296" s="633">
        <f t="shared" si="28"/>
        <v>0</v>
      </c>
      <c r="D296" s="354"/>
      <c r="E296" s="15">
        <f t="shared" si="27"/>
        <v>5604.44</v>
      </c>
      <c r="F296" s="917">
        <f t="shared" si="26"/>
        <v>0</v>
      </c>
      <c r="G296" s="358">
        <f>FF!I557</f>
        <v>0</v>
      </c>
      <c r="H296" s="354" t="s">
        <v>102</v>
      </c>
      <c r="I296" s="355">
        <f>FF!K557</f>
        <v>5604.44</v>
      </c>
      <c r="J296" s="353">
        <f t="shared" si="29"/>
        <v>0</v>
      </c>
      <c r="K296" s="1911">
        <f>IF((J296+J297+J298+J299)&gt;(F296+F297+F298+F299),(J296+J297+J298+J299)-(F296+F297+F298+F299),0)</f>
        <v>0</v>
      </c>
      <c r="L296" s="1911">
        <f>IF((J296+J297+J298+J299)&lt;(F296+F297+F298+F299),(F296+F297+F298+F299)-(J296+J297+J298+J299),0)</f>
        <v>0</v>
      </c>
      <c r="M296" s="708" t="s">
        <v>2226</v>
      </c>
      <c r="N296" s="223"/>
      <c r="O296" s="706">
        <f t="shared" si="30"/>
        <v>0</v>
      </c>
    </row>
    <row r="297" spans="1:15" s="360" customFormat="1" ht="15" hidden="1">
      <c r="A297" s="356" t="s">
        <v>483</v>
      </c>
      <c r="B297" s="707" t="s">
        <v>1222</v>
      </c>
      <c r="C297" s="633">
        <f t="shared" si="28"/>
        <v>0</v>
      </c>
      <c r="D297" s="354"/>
      <c r="E297" s="15">
        <f t="shared" si="27"/>
        <v>5800.61</v>
      </c>
      <c r="F297" s="917">
        <f t="shared" si="26"/>
        <v>0</v>
      </c>
      <c r="G297" s="358">
        <f>FF!I564</f>
        <v>0</v>
      </c>
      <c r="H297" s="354" t="s">
        <v>102</v>
      </c>
      <c r="I297" s="355">
        <f>FF!K564</f>
        <v>5800.61</v>
      </c>
      <c r="J297" s="353">
        <f t="shared" si="29"/>
        <v>0</v>
      </c>
      <c r="K297" s="1912"/>
      <c r="L297" s="1912"/>
      <c r="M297" s="708" t="s">
        <v>2308</v>
      </c>
      <c r="N297" s="223"/>
      <c r="O297" s="706">
        <f t="shared" si="30"/>
        <v>0</v>
      </c>
    </row>
    <row r="298" spans="1:15" s="360" customFormat="1" ht="15" hidden="1">
      <c r="A298" s="356" t="s">
        <v>483</v>
      </c>
      <c r="B298" s="707" t="s">
        <v>1222</v>
      </c>
      <c r="C298" s="633">
        <f t="shared" si="28"/>
        <v>0</v>
      </c>
      <c r="D298" s="354"/>
      <c r="E298" s="15">
        <f t="shared" si="27"/>
        <v>6321.16</v>
      </c>
      <c r="F298" s="917">
        <f t="shared" si="26"/>
        <v>0</v>
      </c>
      <c r="G298" s="358">
        <f>FF!I571</f>
        <v>0</v>
      </c>
      <c r="H298" s="354" t="s">
        <v>102</v>
      </c>
      <c r="I298" s="355">
        <f>FF!K571</f>
        <v>6321.16</v>
      </c>
      <c r="J298" s="353">
        <f t="shared" si="29"/>
        <v>0</v>
      </c>
      <c r="K298" s="1912"/>
      <c r="L298" s="1912"/>
      <c r="M298" s="708" t="s">
        <v>2321</v>
      </c>
      <c r="N298" s="223"/>
      <c r="O298" s="706">
        <f t="shared" si="30"/>
        <v>0</v>
      </c>
    </row>
    <row r="299" spans="1:15" s="360" customFormat="1" ht="15" hidden="1">
      <c r="A299" s="356" t="s">
        <v>483</v>
      </c>
      <c r="B299" s="707" t="s">
        <v>1222</v>
      </c>
      <c r="C299" s="633">
        <f t="shared" si="28"/>
        <v>0</v>
      </c>
      <c r="D299" s="354"/>
      <c r="E299" s="15">
        <f t="shared" si="27"/>
        <v>6718.55</v>
      </c>
      <c r="F299" s="917">
        <f t="shared" si="26"/>
        <v>0</v>
      </c>
      <c r="G299" s="358">
        <f>FF!I578</f>
        <v>0</v>
      </c>
      <c r="H299" s="354" t="s">
        <v>102</v>
      </c>
      <c r="I299" s="355">
        <f>FF!K578</f>
        <v>6718.55</v>
      </c>
      <c r="J299" s="353">
        <f t="shared" si="29"/>
        <v>0</v>
      </c>
      <c r="K299" s="1913"/>
      <c r="L299" s="1913"/>
      <c r="M299" s="708" t="s">
        <v>2322</v>
      </c>
      <c r="N299" s="223"/>
      <c r="O299" s="706">
        <f t="shared" si="30"/>
        <v>0</v>
      </c>
    </row>
    <row r="300" spans="1:15" s="360" customFormat="1" ht="15" hidden="1">
      <c r="A300" s="356" t="s">
        <v>484</v>
      </c>
      <c r="B300" s="707" t="s">
        <v>1215</v>
      </c>
      <c r="C300" s="633">
        <f t="shared" si="28"/>
        <v>0</v>
      </c>
      <c r="D300" s="354"/>
      <c r="E300" s="15">
        <f t="shared" si="27"/>
        <v>1906.95</v>
      </c>
      <c r="F300" s="917">
        <f t="shared" si="26"/>
        <v>0</v>
      </c>
      <c r="G300" s="358">
        <f>FF!I584</f>
        <v>0</v>
      </c>
      <c r="H300" s="354" t="s">
        <v>102</v>
      </c>
      <c r="I300" s="355">
        <f>FF!K584</f>
        <v>1906.95</v>
      </c>
      <c r="J300" s="353">
        <f t="shared" si="29"/>
        <v>0</v>
      </c>
      <c r="K300" s="1911">
        <f>IF((J300+J301+J302+J303)&gt;(F300+F301+F302+F303),(J300+J301+J302+J303)-(F300+F301+F302+F303),0)</f>
        <v>0</v>
      </c>
      <c r="L300" s="1911">
        <f>IF((J300+J301+J302+J303)&lt;(F300+F301+F302+F303),(F300+F301+F302+F303)-(J300+J301+J302+J303),0)</f>
        <v>0</v>
      </c>
      <c r="M300" s="708" t="s">
        <v>2226</v>
      </c>
      <c r="N300" s="223"/>
      <c r="O300" s="706">
        <f t="shared" si="30"/>
        <v>0</v>
      </c>
    </row>
    <row r="301" spans="1:15" s="360" customFormat="1" ht="15" hidden="1">
      <c r="A301" s="356" t="s">
        <v>484</v>
      </c>
      <c r="B301" s="707" t="s">
        <v>1215</v>
      </c>
      <c r="C301" s="633">
        <f t="shared" si="28"/>
        <v>0</v>
      </c>
      <c r="D301" s="354"/>
      <c r="E301" s="15">
        <f t="shared" si="27"/>
        <v>2066.33</v>
      </c>
      <c r="F301" s="917">
        <f t="shared" si="26"/>
        <v>0</v>
      </c>
      <c r="G301" s="358">
        <f>FF!I590</f>
        <v>0</v>
      </c>
      <c r="H301" s="354" t="s">
        <v>102</v>
      </c>
      <c r="I301" s="355">
        <f>FF!K590</f>
        <v>2066.33</v>
      </c>
      <c r="J301" s="353">
        <f t="shared" si="29"/>
        <v>0</v>
      </c>
      <c r="K301" s="1912"/>
      <c r="L301" s="1912"/>
      <c r="M301" s="708" t="s">
        <v>2308</v>
      </c>
      <c r="N301" s="223"/>
      <c r="O301" s="706">
        <f t="shared" si="30"/>
        <v>0</v>
      </c>
    </row>
    <row r="302" spans="1:15" s="360" customFormat="1" ht="15" hidden="1">
      <c r="A302" s="356" t="s">
        <v>484</v>
      </c>
      <c r="B302" s="707" t="s">
        <v>1215</v>
      </c>
      <c r="C302" s="633">
        <f t="shared" si="28"/>
        <v>0</v>
      </c>
      <c r="D302" s="354"/>
      <c r="E302" s="15">
        <f t="shared" si="27"/>
        <v>2199.0300000000002</v>
      </c>
      <c r="F302" s="917">
        <f t="shared" si="26"/>
        <v>0</v>
      </c>
      <c r="G302" s="358">
        <f>FF!I596</f>
        <v>0</v>
      </c>
      <c r="H302" s="354" t="s">
        <v>102</v>
      </c>
      <c r="I302" s="355">
        <f>FF!K596</f>
        <v>2199.0300000000002</v>
      </c>
      <c r="J302" s="353">
        <f t="shared" si="29"/>
        <v>0</v>
      </c>
      <c r="K302" s="1912"/>
      <c r="L302" s="1912"/>
      <c r="M302" s="708" t="s">
        <v>2321</v>
      </c>
      <c r="N302" s="223"/>
      <c r="O302" s="706">
        <f t="shared" si="30"/>
        <v>0</v>
      </c>
    </row>
    <row r="303" spans="1:15" s="360" customFormat="1" ht="15" hidden="1">
      <c r="A303" s="356" t="s">
        <v>484</v>
      </c>
      <c r="B303" s="707" t="s">
        <v>1215</v>
      </c>
      <c r="C303" s="633">
        <f t="shared" si="28"/>
        <v>0</v>
      </c>
      <c r="D303" s="354"/>
      <c r="E303" s="15">
        <f t="shared" si="27"/>
        <v>2346.34</v>
      </c>
      <c r="F303" s="917">
        <f t="shared" si="26"/>
        <v>0</v>
      </c>
      <c r="G303" s="358">
        <f>FF!I602</f>
        <v>0</v>
      </c>
      <c r="H303" s="354" t="s">
        <v>102</v>
      </c>
      <c r="I303" s="355">
        <f>FF!K602</f>
        <v>2346.34</v>
      </c>
      <c r="J303" s="353">
        <f t="shared" si="29"/>
        <v>0</v>
      </c>
      <c r="K303" s="1913"/>
      <c r="L303" s="1913"/>
      <c r="M303" s="708" t="s">
        <v>2322</v>
      </c>
      <c r="N303" s="223"/>
      <c r="O303" s="706">
        <f t="shared" si="30"/>
        <v>0</v>
      </c>
    </row>
    <row r="304" spans="1:15" s="360" customFormat="1" ht="63.75" hidden="1">
      <c r="A304" s="356" t="s">
        <v>1519</v>
      </c>
      <c r="B304" s="707" t="s">
        <v>3278</v>
      </c>
      <c r="C304" s="633">
        <f t="shared" si="28"/>
        <v>0</v>
      </c>
      <c r="D304" s="916" t="s">
        <v>102</v>
      </c>
      <c r="E304" s="10">
        <f t="shared" si="27"/>
        <v>292.7</v>
      </c>
      <c r="F304" s="917">
        <f t="shared" ref="F304:F367" si="31">ROUND(C304*E304,0)</f>
        <v>0</v>
      </c>
      <c r="G304" s="358">
        <f>FF!I621</f>
        <v>0</v>
      </c>
      <c r="H304" s="354" t="s">
        <v>102</v>
      </c>
      <c r="I304" s="355">
        <f>FF!K621</f>
        <v>292.7</v>
      </c>
      <c r="J304" s="353">
        <f t="shared" si="29"/>
        <v>0</v>
      </c>
      <c r="K304" s="1930">
        <f>IF((J304+J305+J306+J307)&gt;(F304+F305+F306+F307),(J304+J305+J306+J307)-(F304+F305+F306+F307),0)</f>
        <v>0</v>
      </c>
      <c r="L304" s="1930">
        <f>IF((J304+J305+J306+J307)&lt;(F304+F305+F306+F307),(F304+F305+F306+F307)-(J304+J305+J306+J307),0)</f>
        <v>0</v>
      </c>
      <c r="M304" s="1139" t="s">
        <v>2226</v>
      </c>
      <c r="N304" s="223"/>
      <c r="O304" s="1138">
        <f t="shared" si="30"/>
        <v>0</v>
      </c>
    </row>
    <row r="305" spans="1:15" s="360" customFormat="1" ht="15" hidden="1">
      <c r="A305" s="356" t="s">
        <v>527</v>
      </c>
      <c r="B305" s="707" t="s">
        <v>481</v>
      </c>
      <c r="C305" s="633">
        <f t="shared" si="28"/>
        <v>0</v>
      </c>
      <c r="D305" s="354"/>
      <c r="E305" s="15">
        <f t="shared" ref="E305:E368" si="32">I305</f>
        <v>313.52</v>
      </c>
      <c r="F305" s="917">
        <f t="shared" si="31"/>
        <v>0</v>
      </c>
      <c r="G305" s="358">
        <f>FF!I652</f>
        <v>0</v>
      </c>
      <c r="H305" s="354" t="s">
        <v>102</v>
      </c>
      <c r="I305" s="355">
        <f>FF!K652</f>
        <v>313.52</v>
      </c>
      <c r="J305" s="353">
        <f t="shared" si="29"/>
        <v>0</v>
      </c>
      <c r="K305" s="1912"/>
      <c r="L305" s="1912"/>
      <c r="M305" s="708" t="s">
        <v>2308</v>
      </c>
      <c r="N305" s="223"/>
      <c r="O305" s="706">
        <f t="shared" si="30"/>
        <v>0</v>
      </c>
    </row>
    <row r="306" spans="1:15" s="360" customFormat="1" ht="15" hidden="1">
      <c r="A306" s="356" t="s">
        <v>516</v>
      </c>
      <c r="B306" s="707" t="s">
        <v>481</v>
      </c>
      <c r="C306" s="633">
        <f t="shared" si="28"/>
        <v>0</v>
      </c>
      <c r="D306" s="354"/>
      <c r="E306" s="15">
        <f t="shared" si="32"/>
        <v>332.3</v>
      </c>
      <c r="F306" s="917">
        <f t="shared" si="31"/>
        <v>0</v>
      </c>
      <c r="G306" s="358">
        <f>FF!I659</f>
        <v>0</v>
      </c>
      <c r="H306" s="354" t="s">
        <v>102</v>
      </c>
      <c r="I306" s="355">
        <f>FF!K659</f>
        <v>332.3</v>
      </c>
      <c r="J306" s="353">
        <f t="shared" si="29"/>
        <v>0</v>
      </c>
      <c r="K306" s="1912"/>
      <c r="L306" s="1912"/>
      <c r="M306" s="708" t="s">
        <v>2321</v>
      </c>
      <c r="N306" s="223"/>
      <c r="O306" s="706">
        <f t="shared" si="30"/>
        <v>0</v>
      </c>
    </row>
    <row r="307" spans="1:15" s="360" customFormat="1" ht="15" hidden="1">
      <c r="A307" s="356" t="s">
        <v>516</v>
      </c>
      <c r="B307" s="707" t="s">
        <v>481</v>
      </c>
      <c r="C307" s="633">
        <f t="shared" si="28"/>
        <v>0</v>
      </c>
      <c r="D307" s="354"/>
      <c r="E307" s="15">
        <f t="shared" si="32"/>
        <v>351.17</v>
      </c>
      <c r="F307" s="917">
        <f t="shared" si="31"/>
        <v>0</v>
      </c>
      <c r="G307" s="358">
        <f>FF!I678</f>
        <v>0</v>
      </c>
      <c r="H307" s="354" t="s">
        <v>102</v>
      </c>
      <c r="I307" s="355">
        <f>FF!K678</f>
        <v>351.17</v>
      </c>
      <c r="J307" s="353">
        <f t="shared" si="29"/>
        <v>0</v>
      </c>
      <c r="K307" s="1913"/>
      <c r="L307" s="1913"/>
      <c r="M307" s="708" t="s">
        <v>2322</v>
      </c>
      <c r="N307" s="223"/>
      <c r="O307" s="706">
        <f t="shared" si="30"/>
        <v>0</v>
      </c>
    </row>
    <row r="308" spans="1:15" s="360" customFormat="1" ht="15" hidden="1">
      <c r="A308" s="356" t="s">
        <v>516</v>
      </c>
      <c r="B308" s="707" t="s">
        <v>505</v>
      </c>
      <c r="C308" s="633">
        <f t="shared" si="28"/>
        <v>0</v>
      </c>
      <c r="D308" s="916"/>
      <c r="E308" s="15">
        <f t="shared" si="32"/>
        <v>265.42</v>
      </c>
      <c r="F308" s="917">
        <f t="shared" si="31"/>
        <v>0</v>
      </c>
      <c r="G308" s="358">
        <f>FF!I686</f>
        <v>0</v>
      </c>
      <c r="H308" s="354" t="s">
        <v>102</v>
      </c>
      <c r="I308" s="355">
        <f>FF!K686</f>
        <v>265.42</v>
      </c>
      <c r="J308" s="353">
        <f t="shared" si="29"/>
        <v>0</v>
      </c>
      <c r="K308" s="1911">
        <f>IF((J308+J309+J310+J311)&gt;(F308+F309+F310+F311),(J308+J309+J310+J311)-(F308+F309+F310+F311),0)</f>
        <v>0</v>
      </c>
      <c r="L308" s="1911">
        <f>IF((J308+J309+J310+J311)&lt;(F308+F309+F310+F311),(F308+F309+F310+F311)-(J308+J309+J310+J311),0)</f>
        <v>0</v>
      </c>
      <c r="M308" s="708" t="s">
        <v>2226</v>
      </c>
      <c r="N308" s="223"/>
      <c r="O308" s="706">
        <f t="shared" si="30"/>
        <v>0</v>
      </c>
    </row>
    <row r="309" spans="1:15" s="360" customFormat="1" ht="15" hidden="1">
      <c r="A309" s="356" t="s">
        <v>516</v>
      </c>
      <c r="B309" s="707" t="s">
        <v>505</v>
      </c>
      <c r="C309" s="633">
        <f t="shared" si="28"/>
        <v>0</v>
      </c>
      <c r="D309" s="354"/>
      <c r="E309" s="15">
        <f t="shared" si="32"/>
        <v>286.25</v>
      </c>
      <c r="F309" s="917">
        <f t="shared" si="31"/>
        <v>0</v>
      </c>
      <c r="G309" s="358">
        <f>FF!I694</f>
        <v>0</v>
      </c>
      <c r="H309" s="354" t="s">
        <v>102</v>
      </c>
      <c r="I309" s="355">
        <f>FF!K694</f>
        <v>286.25</v>
      </c>
      <c r="J309" s="353">
        <f t="shared" si="29"/>
        <v>0</v>
      </c>
      <c r="K309" s="1912"/>
      <c r="L309" s="1912"/>
      <c r="M309" s="708" t="s">
        <v>2308</v>
      </c>
      <c r="N309" s="223"/>
      <c r="O309" s="706">
        <f t="shared" si="30"/>
        <v>0</v>
      </c>
    </row>
    <row r="310" spans="1:15" s="360" customFormat="1" ht="15" hidden="1">
      <c r="A310" s="356" t="s">
        <v>516</v>
      </c>
      <c r="B310" s="707" t="s">
        <v>505</v>
      </c>
      <c r="C310" s="633">
        <f t="shared" si="28"/>
        <v>0</v>
      </c>
      <c r="D310" s="354"/>
      <c r="E310" s="15">
        <f t="shared" si="32"/>
        <v>304.16000000000003</v>
      </c>
      <c r="F310" s="917">
        <f t="shared" si="31"/>
        <v>0</v>
      </c>
      <c r="G310" s="358">
        <f>FF!I702</f>
        <v>0</v>
      </c>
      <c r="H310" s="354" t="s">
        <v>102</v>
      </c>
      <c r="I310" s="355">
        <f>FF!K702</f>
        <v>304.16000000000003</v>
      </c>
      <c r="J310" s="353">
        <f t="shared" si="29"/>
        <v>0</v>
      </c>
      <c r="K310" s="1912"/>
      <c r="L310" s="1912"/>
      <c r="M310" s="708" t="s">
        <v>2321</v>
      </c>
      <c r="N310" s="223"/>
      <c r="O310" s="706">
        <f t="shared" si="30"/>
        <v>0</v>
      </c>
    </row>
    <row r="311" spans="1:15" s="360" customFormat="1" ht="15" hidden="1">
      <c r="A311" s="356" t="s">
        <v>516</v>
      </c>
      <c r="B311" s="707" t="s">
        <v>505</v>
      </c>
      <c r="C311" s="633">
        <f t="shared" si="28"/>
        <v>0</v>
      </c>
      <c r="D311" s="354"/>
      <c r="E311" s="15">
        <f t="shared" si="32"/>
        <v>323.04000000000002</v>
      </c>
      <c r="F311" s="917">
        <f t="shared" si="31"/>
        <v>0</v>
      </c>
      <c r="G311" s="358">
        <f>FF!I710</f>
        <v>0</v>
      </c>
      <c r="H311" s="354" t="s">
        <v>102</v>
      </c>
      <c r="I311" s="355">
        <f>FF!K710</f>
        <v>323.04000000000002</v>
      </c>
      <c r="J311" s="353">
        <f t="shared" si="29"/>
        <v>0</v>
      </c>
      <c r="K311" s="1913"/>
      <c r="L311" s="1913"/>
      <c r="M311" s="708" t="s">
        <v>2322</v>
      </c>
      <c r="N311" s="223"/>
      <c r="O311" s="706">
        <f t="shared" si="30"/>
        <v>0</v>
      </c>
    </row>
    <row r="312" spans="1:15" s="360" customFormat="1" ht="15" hidden="1">
      <c r="A312" s="356" t="s">
        <v>517</v>
      </c>
      <c r="B312" s="707" t="s">
        <v>805</v>
      </c>
      <c r="C312" s="633">
        <f t="shared" si="28"/>
        <v>0</v>
      </c>
      <c r="D312" s="354"/>
      <c r="E312" s="15">
        <f t="shared" si="32"/>
        <v>283.27999999999997</v>
      </c>
      <c r="F312" s="917">
        <f t="shared" si="31"/>
        <v>0</v>
      </c>
      <c r="G312" s="358">
        <f>FF!I718</f>
        <v>0</v>
      </c>
      <c r="H312" s="354" t="s">
        <v>102</v>
      </c>
      <c r="I312" s="355">
        <f>FF!K718</f>
        <v>283.27999999999997</v>
      </c>
      <c r="J312" s="353">
        <f t="shared" si="29"/>
        <v>0</v>
      </c>
      <c r="K312" s="1911">
        <f>IF((J312+J313+J314+J315)&gt;(F312+F313+F314+F315),(J312+J313+J314+J315)-(F312+F313+F314+F315),0)</f>
        <v>0</v>
      </c>
      <c r="L312" s="1911">
        <f>IF((J312+J313+J314+J315)&lt;(F312+F313+F314+F315),(F312+F313+F314+F315)-(J312+J313+J314+J315),0)</f>
        <v>0</v>
      </c>
      <c r="M312" s="708" t="s">
        <v>2226</v>
      </c>
      <c r="N312" s="223"/>
      <c r="O312" s="706">
        <f t="shared" si="30"/>
        <v>0</v>
      </c>
    </row>
    <row r="313" spans="1:15" s="360" customFormat="1" ht="15" hidden="1">
      <c r="A313" s="356" t="s">
        <v>517</v>
      </c>
      <c r="B313" s="707" t="s">
        <v>805</v>
      </c>
      <c r="C313" s="633">
        <f t="shared" si="28"/>
        <v>0</v>
      </c>
      <c r="D313" s="354"/>
      <c r="E313" s="15">
        <f t="shared" si="32"/>
        <v>304.66000000000003</v>
      </c>
      <c r="F313" s="917">
        <f t="shared" si="31"/>
        <v>0</v>
      </c>
      <c r="G313" s="358">
        <f>FF!I726</f>
        <v>0</v>
      </c>
      <c r="H313" s="354" t="s">
        <v>102</v>
      </c>
      <c r="I313" s="355">
        <f>FF!K726</f>
        <v>304.66000000000003</v>
      </c>
      <c r="J313" s="353">
        <f t="shared" si="29"/>
        <v>0</v>
      </c>
      <c r="K313" s="1912"/>
      <c r="L313" s="1912"/>
      <c r="M313" s="708" t="s">
        <v>2308</v>
      </c>
      <c r="N313" s="223"/>
      <c r="O313" s="706">
        <f t="shared" si="30"/>
        <v>0</v>
      </c>
    </row>
    <row r="314" spans="1:15" s="360" customFormat="1" ht="15" hidden="1">
      <c r="A314" s="356" t="s">
        <v>517</v>
      </c>
      <c r="B314" s="707" t="s">
        <v>805</v>
      </c>
      <c r="C314" s="633">
        <f t="shared" si="28"/>
        <v>0</v>
      </c>
      <c r="D314" s="354"/>
      <c r="E314" s="15">
        <f t="shared" si="32"/>
        <v>323.85000000000002</v>
      </c>
      <c r="F314" s="917">
        <f t="shared" si="31"/>
        <v>0</v>
      </c>
      <c r="G314" s="358">
        <f>FF!I734</f>
        <v>0</v>
      </c>
      <c r="H314" s="354" t="s">
        <v>102</v>
      </c>
      <c r="I314" s="355">
        <f>FF!K734</f>
        <v>323.85000000000002</v>
      </c>
      <c r="J314" s="353">
        <f t="shared" si="29"/>
        <v>0</v>
      </c>
      <c r="K314" s="1912"/>
      <c r="L314" s="1912"/>
      <c r="M314" s="708" t="s">
        <v>2321</v>
      </c>
      <c r="N314" s="223"/>
      <c r="O314" s="706">
        <f t="shared" si="30"/>
        <v>0</v>
      </c>
    </row>
    <row r="315" spans="1:15" s="360" customFormat="1" ht="15" hidden="1">
      <c r="A315" s="356" t="s">
        <v>517</v>
      </c>
      <c r="B315" s="707" t="s">
        <v>805</v>
      </c>
      <c r="C315" s="633">
        <f t="shared" si="28"/>
        <v>0</v>
      </c>
      <c r="D315" s="354"/>
      <c r="E315" s="15">
        <f t="shared" si="32"/>
        <v>343.23</v>
      </c>
      <c r="F315" s="917">
        <f t="shared" si="31"/>
        <v>0</v>
      </c>
      <c r="G315" s="358">
        <f>FF!I742</f>
        <v>0</v>
      </c>
      <c r="H315" s="354" t="s">
        <v>102</v>
      </c>
      <c r="I315" s="355">
        <f>FF!K742</f>
        <v>343.23</v>
      </c>
      <c r="J315" s="353">
        <f t="shared" si="29"/>
        <v>0</v>
      </c>
      <c r="K315" s="1913"/>
      <c r="L315" s="1913"/>
      <c r="M315" s="708" t="s">
        <v>2322</v>
      </c>
      <c r="N315" s="223"/>
      <c r="O315" s="706">
        <f t="shared" si="30"/>
        <v>0</v>
      </c>
    </row>
    <row r="316" spans="1:15" s="360" customFormat="1" ht="51" hidden="1">
      <c r="A316" s="356" t="s">
        <v>1520</v>
      </c>
      <c r="B316" s="707" t="s">
        <v>3280</v>
      </c>
      <c r="C316" s="633">
        <f t="shared" si="28"/>
        <v>0</v>
      </c>
      <c r="D316" s="916" t="s">
        <v>102</v>
      </c>
      <c r="E316" s="10">
        <f t="shared" si="32"/>
        <v>348.66</v>
      </c>
      <c r="F316" s="917">
        <f t="shared" si="31"/>
        <v>0</v>
      </c>
      <c r="G316" s="358">
        <f>FF!I770</f>
        <v>0</v>
      </c>
      <c r="H316" s="354" t="s">
        <v>102</v>
      </c>
      <c r="I316" s="355">
        <f>FF!K770</f>
        <v>348.66</v>
      </c>
      <c r="J316" s="353">
        <f t="shared" si="29"/>
        <v>0</v>
      </c>
      <c r="K316" s="1930">
        <f>IF((J316+J317+J318+J319)&gt;(F316+F317+F318+F319),(J316+J317+J318+J319)-(F316+F317+F318+F319),0)</f>
        <v>0</v>
      </c>
      <c r="L316" s="1930">
        <f>IF((J316+J317+J318+J319)&lt;(F316+F317+F318+F319),(F316+F317+F318+F319)-(J316+J317+J318+J319),0)</f>
        <v>0</v>
      </c>
      <c r="M316" s="1139" t="s">
        <v>2226</v>
      </c>
      <c r="N316" s="223"/>
      <c r="O316" s="1138">
        <f t="shared" si="30"/>
        <v>0</v>
      </c>
    </row>
    <row r="317" spans="1:15" s="360" customFormat="1" ht="15" hidden="1">
      <c r="A317" s="356" t="s">
        <v>1582</v>
      </c>
      <c r="B317" s="707" t="s">
        <v>830</v>
      </c>
      <c r="C317" s="633">
        <f t="shared" si="28"/>
        <v>0</v>
      </c>
      <c r="D317" s="354"/>
      <c r="E317" s="15">
        <f t="shared" si="32"/>
        <v>376.98</v>
      </c>
      <c r="F317" s="917">
        <f t="shared" si="31"/>
        <v>0</v>
      </c>
      <c r="G317" s="358">
        <f>FF!I823</f>
        <v>0</v>
      </c>
      <c r="H317" s="354" t="s">
        <v>102</v>
      </c>
      <c r="I317" s="355">
        <f>FF!K823</f>
        <v>376.98</v>
      </c>
      <c r="J317" s="353">
        <f t="shared" si="29"/>
        <v>0</v>
      </c>
      <c r="K317" s="1912"/>
      <c r="L317" s="1912"/>
      <c r="M317" s="708" t="s">
        <v>2308</v>
      </c>
      <c r="N317" s="223"/>
      <c r="O317" s="706">
        <f t="shared" si="30"/>
        <v>0</v>
      </c>
    </row>
    <row r="318" spans="1:15" s="360" customFormat="1" ht="15" hidden="1">
      <c r="A318" s="356" t="s">
        <v>518</v>
      </c>
      <c r="B318" s="707" t="s">
        <v>830</v>
      </c>
      <c r="C318" s="633">
        <f t="shared" si="28"/>
        <v>0</v>
      </c>
      <c r="D318" s="354"/>
      <c r="E318" s="15">
        <f t="shared" si="32"/>
        <v>400.13</v>
      </c>
      <c r="F318" s="917">
        <f t="shared" si="31"/>
        <v>0</v>
      </c>
      <c r="G318" s="358">
        <f>FF!I830</f>
        <v>0</v>
      </c>
      <c r="H318" s="354" t="s">
        <v>102</v>
      </c>
      <c r="I318" s="355">
        <f>FF!K830</f>
        <v>400.13</v>
      </c>
      <c r="J318" s="353">
        <f t="shared" si="29"/>
        <v>0</v>
      </c>
      <c r="K318" s="1912"/>
      <c r="L318" s="1912"/>
      <c r="M318" s="708" t="s">
        <v>2321</v>
      </c>
      <c r="N318" s="223"/>
      <c r="O318" s="706">
        <f t="shared" si="30"/>
        <v>0</v>
      </c>
    </row>
    <row r="319" spans="1:15" s="360" customFormat="1" ht="15" hidden="1">
      <c r="A319" s="356" t="s">
        <v>518</v>
      </c>
      <c r="B319" s="707" t="s">
        <v>830</v>
      </c>
      <c r="C319" s="633">
        <f t="shared" si="28"/>
        <v>0</v>
      </c>
      <c r="D319" s="354"/>
      <c r="E319" s="15">
        <f t="shared" si="32"/>
        <v>425.82</v>
      </c>
      <c r="F319" s="917">
        <f t="shared" si="31"/>
        <v>0</v>
      </c>
      <c r="G319" s="358">
        <f>FF!I858</f>
        <v>0</v>
      </c>
      <c r="H319" s="354" t="s">
        <v>102</v>
      </c>
      <c r="I319" s="355">
        <f>FF!K858</f>
        <v>425.82</v>
      </c>
      <c r="J319" s="353">
        <f t="shared" si="29"/>
        <v>0</v>
      </c>
      <c r="K319" s="1913"/>
      <c r="L319" s="1913"/>
      <c r="M319" s="708" t="s">
        <v>2322</v>
      </c>
      <c r="N319" s="223"/>
      <c r="O319" s="706">
        <f t="shared" si="30"/>
        <v>0</v>
      </c>
    </row>
    <row r="320" spans="1:15" s="360" customFormat="1" ht="51" hidden="1">
      <c r="A320" s="356" t="s">
        <v>1521</v>
      </c>
      <c r="B320" s="707" t="s">
        <v>3281</v>
      </c>
      <c r="C320" s="633">
        <f t="shared" si="28"/>
        <v>0</v>
      </c>
      <c r="D320" s="916" t="s">
        <v>102</v>
      </c>
      <c r="E320" s="10">
        <f t="shared" si="32"/>
        <v>362.01</v>
      </c>
      <c r="F320" s="917">
        <f t="shared" si="31"/>
        <v>0</v>
      </c>
      <c r="G320" s="358">
        <f>FF!I865</f>
        <v>0</v>
      </c>
      <c r="H320" s="354" t="s">
        <v>102</v>
      </c>
      <c r="I320" s="355">
        <f>FF!K865</f>
        <v>362.01</v>
      </c>
      <c r="J320" s="353">
        <f t="shared" si="29"/>
        <v>0</v>
      </c>
      <c r="K320" s="1911">
        <f>IF((J320+J321+J322+J323)&gt;(F320+F321+F322+F323),(J320+J321+J322+J323)-(F320+F321+F322+F323),0)</f>
        <v>0</v>
      </c>
      <c r="L320" s="1911">
        <f>IF((J320+J321+J322+J323)&lt;(F320+F321+F322+F323),(F320+F321+F322+F323)-(J320+J321+J322+J323),0)</f>
        <v>0</v>
      </c>
      <c r="M320" s="1139" t="s">
        <v>2226</v>
      </c>
      <c r="N320" s="223"/>
      <c r="O320" s="1138">
        <f t="shared" si="30"/>
        <v>0</v>
      </c>
    </row>
    <row r="321" spans="1:15" s="360" customFormat="1" ht="15" hidden="1">
      <c r="A321" s="356" t="s">
        <v>530</v>
      </c>
      <c r="B321" s="707" t="s">
        <v>541</v>
      </c>
      <c r="C321" s="633">
        <f t="shared" si="28"/>
        <v>0</v>
      </c>
      <c r="D321" s="354"/>
      <c r="E321" s="15">
        <f t="shared" si="32"/>
        <v>390.9</v>
      </c>
      <c r="F321" s="917">
        <f t="shared" si="31"/>
        <v>0</v>
      </c>
      <c r="G321" s="358">
        <f>FF!I890</f>
        <v>0</v>
      </c>
      <c r="H321" s="354" t="s">
        <v>102</v>
      </c>
      <c r="I321" s="355">
        <f>FF!K890</f>
        <v>390.9</v>
      </c>
      <c r="J321" s="353">
        <f t="shared" si="29"/>
        <v>0</v>
      </c>
      <c r="K321" s="1912"/>
      <c r="L321" s="1912"/>
      <c r="M321" s="708" t="s">
        <v>2308</v>
      </c>
      <c r="N321" s="223"/>
      <c r="O321" s="706">
        <f t="shared" si="30"/>
        <v>0</v>
      </c>
    </row>
    <row r="322" spans="1:15" s="360" customFormat="1" ht="15" hidden="1">
      <c r="A322" s="356" t="s">
        <v>520</v>
      </c>
      <c r="B322" s="707" t="s">
        <v>541</v>
      </c>
      <c r="C322" s="633">
        <f t="shared" si="28"/>
        <v>0</v>
      </c>
      <c r="D322" s="354"/>
      <c r="E322" s="15">
        <f t="shared" si="32"/>
        <v>415.44</v>
      </c>
      <c r="F322" s="917">
        <f t="shared" si="31"/>
        <v>0</v>
      </c>
      <c r="G322" s="358">
        <f>FF!I897</f>
        <v>0</v>
      </c>
      <c r="H322" s="354" t="s">
        <v>102</v>
      </c>
      <c r="I322" s="355">
        <f>FF!K897</f>
        <v>415.44</v>
      </c>
      <c r="J322" s="353">
        <f t="shared" si="29"/>
        <v>0</v>
      </c>
      <c r="K322" s="1912"/>
      <c r="L322" s="1912"/>
      <c r="M322" s="708" t="s">
        <v>2321</v>
      </c>
      <c r="N322" s="223"/>
      <c r="O322" s="706">
        <f t="shared" si="30"/>
        <v>0</v>
      </c>
    </row>
    <row r="323" spans="1:15" s="360" customFormat="1" ht="51" hidden="1">
      <c r="A323" s="356" t="s">
        <v>1520</v>
      </c>
      <c r="B323" s="707" t="s">
        <v>3281</v>
      </c>
      <c r="C323" s="633">
        <f t="shared" si="28"/>
        <v>0</v>
      </c>
      <c r="D323" s="354"/>
      <c r="E323" s="10">
        <f t="shared" si="32"/>
        <v>441.63</v>
      </c>
      <c r="F323" s="917">
        <f t="shared" si="31"/>
        <v>0</v>
      </c>
      <c r="G323" s="358">
        <f>FF!I904</f>
        <v>0</v>
      </c>
      <c r="H323" s="354" t="s">
        <v>102</v>
      </c>
      <c r="I323" s="355">
        <f>FF!K904</f>
        <v>441.63</v>
      </c>
      <c r="J323" s="353">
        <f t="shared" si="29"/>
        <v>0</v>
      </c>
      <c r="K323" s="1927"/>
      <c r="L323" s="1927"/>
      <c r="M323" s="1139" t="s">
        <v>2322</v>
      </c>
      <c r="N323" s="223"/>
      <c r="O323" s="1138">
        <f t="shared" si="30"/>
        <v>0</v>
      </c>
    </row>
    <row r="324" spans="1:15" s="360" customFormat="1" ht="15" hidden="1">
      <c r="A324" s="356" t="s">
        <v>503</v>
      </c>
      <c r="B324" s="707" t="s">
        <v>2078</v>
      </c>
      <c r="C324" s="633">
        <f t="shared" si="28"/>
        <v>0</v>
      </c>
      <c r="D324" s="354"/>
      <c r="E324" s="15">
        <f t="shared" si="32"/>
        <v>5049.2099999999991</v>
      </c>
      <c r="F324" s="917">
        <f t="shared" si="31"/>
        <v>0</v>
      </c>
      <c r="G324" s="358">
        <f>FF!I911</f>
        <v>0</v>
      </c>
      <c r="H324" s="354" t="s">
        <v>5</v>
      </c>
      <c r="I324" s="355">
        <f>FF!K911</f>
        <v>5049.2099999999991</v>
      </c>
      <c r="J324" s="353">
        <f t="shared" si="29"/>
        <v>0</v>
      </c>
      <c r="K324" s="1911">
        <f>IF((J324+J325+J326+J327)&gt;(F324+F325+F326+F327),(J324+J325+J326+J327)-(F324+F325+F326+F327),0)</f>
        <v>0</v>
      </c>
      <c r="L324" s="1911">
        <f>IF((J324+J325+J326+J327)&lt;(F324+F325+F326+F327),(F324+F325+F326+F327)-(J324+J325+J326+J327),0)</f>
        <v>0</v>
      </c>
      <c r="M324" s="708" t="s">
        <v>2226</v>
      </c>
      <c r="N324" s="223"/>
      <c r="O324" s="706">
        <f t="shared" si="30"/>
        <v>0</v>
      </c>
    </row>
    <row r="325" spans="1:15" s="360" customFormat="1" ht="15" hidden="1">
      <c r="A325" s="356" t="s">
        <v>503</v>
      </c>
      <c r="B325" s="707" t="s">
        <v>2078</v>
      </c>
      <c r="C325" s="633">
        <f t="shared" si="28"/>
        <v>0</v>
      </c>
      <c r="D325" s="354"/>
      <c r="E325" s="15">
        <f t="shared" si="32"/>
        <v>5224.6200000000008</v>
      </c>
      <c r="F325" s="917">
        <f t="shared" si="31"/>
        <v>0</v>
      </c>
      <c r="G325" s="358">
        <f>FF!I918</f>
        <v>0</v>
      </c>
      <c r="H325" s="354" t="s">
        <v>5</v>
      </c>
      <c r="I325" s="355">
        <f>FF!K918</f>
        <v>5224.6200000000008</v>
      </c>
      <c r="J325" s="353">
        <f t="shared" si="29"/>
        <v>0</v>
      </c>
      <c r="K325" s="1912"/>
      <c r="L325" s="1912"/>
      <c r="M325" s="708" t="s">
        <v>2308</v>
      </c>
      <c r="N325" s="223"/>
      <c r="O325" s="706">
        <f t="shared" si="30"/>
        <v>0</v>
      </c>
    </row>
    <row r="326" spans="1:15" s="360" customFormat="1" ht="15" hidden="1">
      <c r="A326" s="356" t="s">
        <v>503</v>
      </c>
      <c r="B326" s="707" t="s">
        <v>2078</v>
      </c>
      <c r="C326" s="633">
        <f t="shared" si="28"/>
        <v>0</v>
      </c>
      <c r="D326" s="354"/>
      <c r="E326" s="15">
        <f t="shared" si="32"/>
        <v>5464.2000000000007</v>
      </c>
      <c r="F326" s="917">
        <f t="shared" si="31"/>
        <v>0</v>
      </c>
      <c r="G326" s="358">
        <f>FF!I925</f>
        <v>0</v>
      </c>
      <c r="H326" s="354" t="s">
        <v>5</v>
      </c>
      <c r="I326" s="355">
        <f>FF!K925</f>
        <v>5464.2000000000007</v>
      </c>
      <c r="J326" s="353">
        <f t="shared" si="29"/>
        <v>0</v>
      </c>
      <c r="K326" s="1912"/>
      <c r="L326" s="1912"/>
      <c r="M326" s="708" t="s">
        <v>2321</v>
      </c>
      <c r="N326" s="223"/>
      <c r="O326" s="706">
        <f t="shared" si="30"/>
        <v>0</v>
      </c>
    </row>
    <row r="327" spans="1:15" s="360" customFormat="1" ht="15" hidden="1">
      <c r="A327" s="356" t="s">
        <v>503</v>
      </c>
      <c r="B327" s="707" t="s">
        <v>2078</v>
      </c>
      <c r="C327" s="633">
        <f t="shared" si="28"/>
        <v>0</v>
      </c>
      <c r="D327" s="354"/>
      <c r="E327" s="15">
        <f t="shared" si="32"/>
        <v>5722.81</v>
      </c>
      <c r="F327" s="917">
        <f t="shared" si="31"/>
        <v>0</v>
      </c>
      <c r="G327" s="358">
        <f>FF!I932</f>
        <v>0</v>
      </c>
      <c r="H327" s="354" t="s">
        <v>5</v>
      </c>
      <c r="I327" s="355">
        <f>FF!K932</f>
        <v>5722.81</v>
      </c>
      <c r="J327" s="353">
        <f t="shared" si="29"/>
        <v>0</v>
      </c>
      <c r="K327" s="1913"/>
      <c r="L327" s="1913"/>
      <c r="M327" s="708" t="s">
        <v>2322</v>
      </c>
      <c r="N327" s="223"/>
      <c r="O327" s="706">
        <f t="shared" si="30"/>
        <v>0</v>
      </c>
    </row>
    <row r="328" spans="1:15" s="360" customFormat="1" ht="63.75" hidden="1">
      <c r="A328" s="356" t="s">
        <v>510</v>
      </c>
      <c r="B328" s="707" t="s">
        <v>3282</v>
      </c>
      <c r="C328" s="633">
        <f t="shared" si="28"/>
        <v>0</v>
      </c>
      <c r="D328" s="916" t="s">
        <v>102</v>
      </c>
      <c r="E328" s="15">
        <f t="shared" si="32"/>
        <v>1020.01</v>
      </c>
      <c r="F328" s="917">
        <f t="shared" si="31"/>
        <v>0</v>
      </c>
      <c r="G328" s="358">
        <f>FF!I939</f>
        <v>0</v>
      </c>
      <c r="H328" s="354" t="s">
        <v>102</v>
      </c>
      <c r="I328" s="355">
        <f>FF!K939</f>
        <v>1020.01</v>
      </c>
      <c r="J328" s="353">
        <f t="shared" si="29"/>
        <v>0</v>
      </c>
      <c r="K328" s="1911">
        <f>IF((J328+J329+J330+J331)&gt;(F328+F329+F330+F331),(J328+J329+J330+J331)-(F328+F329+F330+F331),0)</f>
        <v>0</v>
      </c>
      <c r="L328" s="1911">
        <f>IF((J328+J329+J330+J331)&lt;(F328+F329+F330+F331),(F328+F329+F330+F331)-(J328+J329+J330+J331),0)</f>
        <v>0</v>
      </c>
      <c r="M328" s="708" t="s">
        <v>2226</v>
      </c>
      <c r="N328" s="223"/>
      <c r="O328" s="706">
        <f t="shared" si="30"/>
        <v>0</v>
      </c>
    </row>
    <row r="329" spans="1:15" s="360" customFormat="1" ht="15" hidden="1">
      <c r="A329" s="356" t="s">
        <v>532</v>
      </c>
      <c r="B329" s="707" t="s">
        <v>507</v>
      </c>
      <c r="C329" s="633">
        <f t="shared" si="28"/>
        <v>0</v>
      </c>
      <c r="D329" s="354"/>
      <c r="E329" s="15">
        <f t="shared" si="32"/>
        <v>1051.0899999999999</v>
      </c>
      <c r="F329" s="917">
        <f t="shared" si="31"/>
        <v>0</v>
      </c>
      <c r="G329" s="358">
        <f>FF!I949</f>
        <v>0</v>
      </c>
      <c r="H329" s="354" t="s">
        <v>102</v>
      </c>
      <c r="I329" s="355">
        <f>FF!K949</f>
        <v>1051.0899999999999</v>
      </c>
      <c r="J329" s="353">
        <f t="shared" si="29"/>
        <v>0</v>
      </c>
      <c r="K329" s="1912"/>
      <c r="L329" s="1912"/>
      <c r="M329" s="708" t="s">
        <v>2308</v>
      </c>
      <c r="N329" s="223"/>
      <c r="O329" s="706">
        <f t="shared" si="30"/>
        <v>0</v>
      </c>
    </row>
    <row r="330" spans="1:15" s="360" customFormat="1" ht="15" hidden="1">
      <c r="A330" s="356" t="s">
        <v>522</v>
      </c>
      <c r="B330" s="707" t="s">
        <v>507</v>
      </c>
      <c r="C330" s="633">
        <f t="shared" ref="C330:C393" si="33">G330</f>
        <v>0</v>
      </c>
      <c r="D330" s="354"/>
      <c r="E330" s="15">
        <f t="shared" si="32"/>
        <v>1074.81</v>
      </c>
      <c r="F330" s="917">
        <f t="shared" si="31"/>
        <v>0</v>
      </c>
      <c r="G330" s="358">
        <f>FF!I956</f>
        <v>0</v>
      </c>
      <c r="H330" s="354" t="s">
        <v>102</v>
      </c>
      <c r="I330" s="355">
        <f>FF!K956</f>
        <v>1074.81</v>
      </c>
      <c r="J330" s="353">
        <f t="shared" ref="J330:J393" si="34">ROUND(G330*I330,2)</f>
        <v>0</v>
      </c>
      <c r="K330" s="1912"/>
      <c r="L330" s="1912"/>
      <c r="M330" s="708" t="s">
        <v>2321</v>
      </c>
      <c r="N330" s="223"/>
      <c r="O330" s="706">
        <f t="shared" si="30"/>
        <v>0</v>
      </c>
    </row>
    <row r="331" spans="1:15" s="360" customFormat="1" ht="15" hidden="1">
      <c r="A331" s="356" t="s">
        <v>522</v>
      </c>
      <c r="B331" s="707" t="s">
        <v>507</v>
      </c>
      <c r="C331" s="633">
        <f t="shared" si="33"/>
        <v>0</v>
      </c>
      <c r="D331" s="354"/>
      <c r="E331" s="15">
        <f t="shared" si="32"/>
        <v>1103.3900000000001</v>
      </c>
      <c r="F331" s="917">
        <f t="shared" si="31"/>
        <v>0</v>
      </c>
      <c r="G331" s="358">
        <f>FF!I963</f>
        <v>0</v>
      </c>
      <c r="H331" s="354" t="s">
        <v>102</v>
      </c>
      <c r="I331" s="355">
        <f>FF!K963</f>
        <v>1103.3900000000001</v>
      </c>
      <c r="J331" s="353">
        <f t="shared" si="34"/>
        <v>0</v>
      </c>
      <c r="K331" s="1913"/>
      <c r="L331" s="1913"/>
      <c r="M331" s="708" t="s">
        <v>2322</v>
      </c>
      <c r="N331" s="223"/>
      <c r="O331" s="706">
        <f t="shared" si="30"/>
        <v>0</v>
      </c>
    </row>
    <row r="332" spans="1:15" s="360" customFormat="1" ht="63.75" hidden="1">
      <c r="A332" s="356" t="s">
        <v>1522</v>
      </c>
      <c r="B332" s="707" t="s">
        <v>3283</v>
      </c>
      <c r="C332" s="633">
        <f t="shared" si="33"/>
        <v>0</v>
      </c>
      <c r="D332" s="916" t="s">
        <v>102</v>
      </c>
      <c r="E332" s="15">
        <f t="shared" si="32"/>
        <v>1015.94</v>
      </c>
      <c r="F332" s="917">
        <f t="shared" si="31"/>
        <v>0</v>
      </c>
      <c r="G332" s="358">
        <f>FF!I970</f>
        <v>0</v>
      </c>
      <c r="H332" s="354" t="s">
        <v>102</v>
      </c>
      <c r="I332" s="355">
        <f>FF!K970</f>
        <v>1015.94</v>
      </c>
      <c r="J332" s="353">
        <f t="shared" si="34"/>
        <v>0</v>
      </c>
      <c r="K332" s="1911">
        <f>IF((J332+J333+J334+J335)&gt;(F332+F333+F334+F335),(J332+J333+J334+J335)-(F332+F333+F334+F335),0)</f>
        <v>0</v>
      </c>
      <c r="L332" s="1911">
        <f>IF((J332+J333+J334+J335)&lt;(F332+F333+F334+F335),(F332+F333+F334+F335)-(J332+J333+J334+J335),0)</f>
        <v>0</v>
      </c>
      <c r="M332" s="708" t="s">
        <v>2226</v>
      </c>
      <c r="N332" s="223"/>
      <c r="O332" s="706">
        <f t="shared" ref="O332:O395" si="35">F332-J332</f>
        <v>0</v>
      </c>
    </row>
    <row r="333" spans="1:15" s="360" customFormat="1" ht="15" hidden="1">
      <c r="A333" s="356" t="s">
        <v>533</v>
      </c>
      <c r="B333" s="707" t="s">
        <v>509</v>
      </c>
      <c r="C333" s="633">
        <f t="shared" si="33"/>
        <v>0</v>
      </c>
      <c r="D333" s="354"/>
      <c r="E333" s="15">
        <f t="shared" si="32"/>
        <v>1046.76</v>
      </c>
      <c r="F333" s="917">
        <f t="shared" si="31"/>
        <v>0</v>
      </c>
      <c r="G333" s="358">
        <f>FF!I988</f>
        <v>0</v>
      </c>
      <c r="H333" s="354" t="s">
        <v>102</v>
      </c>
      <c r="I333" s="355">
        <f>FF!K988</f>
        <v>1046.76</v>
      </c>
      <c r="J333" s="353">
        <f t="shared" si="34"/>
        <v>0</v>
      </c>
      <c r="K333" s="1912"/>
      <c r="L333" s="1912"/>
      <c r="M333" s="708" t="s">
        <v>2308</v>
      </c>
      <c r="N333" s="223"/>
      <c r="O333" s="706">
        <f t="shared" si="35"/>
        <v>0</v>
      </c>
    </row>
    <row r="334" spans="1:15" s="360" customFormat="1" ht="15" hidden="1">
      <c r="A334" s="356" t="s">
        <v>525</v>
      </c>
      <c r="B334" s="707" t="s">
        <v>509</v>
      </c>
      <c r="C334" s="633">
        <f t="shared" si="33"/>
        <v>0</v>
      </c>
      <c r="D334" s="354"/>
      <c r="E334" s="15">
        <f t="shared" si="32"/>
        <v>1069.8699999999999</v>
      </c>
      <c r="F334" s="917">
        <f t="shared" si="31"/>
        <v>0</v>
      </c>
      <c r="G334" s="358">
        <f>FF!I995</f>
        <v>0</v>
      </c>
      <c r="H334" s="354" t="s">
        <v>102</v>
      </c>
      <c r="I334" s="355">
        <f>FF!K995</f>
        <v>1069.8699999999999</v>
      </c>
      <c r="J334" s="353">
        <f t="shared" si="34"/>
        <v>0</v>
      </c>
      <c r="K334" s="1912"/>
      <c r="L334" s="1912"/>
      <c r="M334" s="708" t="s">
        <v>2321</v>
      </c>
      <c r="N334" s="223"/>
      <c r="O334" s="706">
        <f t="shared" si="35"/>
        <v>0</v>
      </c>
    </row>
    <row r="335" spans="1:15" s="360" customFormat="1" ht="15" hidden="1">
      <c r="A335" s="356" t="s">
        <v>525</v>
      </c>
      <c r="B335" s="707" t="s">
        <v>509</v>
      </c>
      <c r="C335" s="633">
        <f t="shared" si="33"/>
        <v>0</v>
      </c>
      <c r="D335" s="354"/>
      <c r="E335" s="15">
        <f t="shared" si="32"/>
        <v>1098.05</v>
      </c>
      <c r="F335" s="917">
        <f t="shared" si="31"/>
        <v>0</v>
      </c>
      <c r="G335" s="358">
        <f>FF!I1002</f>
        <v>0</v>
      </c>
      <c r="H335" s="354" t="s">
        <v>102</v>
      </c>
      <c r="I335" s="355">
        <f>FF!K1002</f>
        <v>1098.05</v>
      </c>
      <c r="J335" s="353">
        <f t="shared" si="34"/>
        <v>0</v>
      </c>
      <c r="K335" s="1913"/>
      <c r="L335" s="1913"/>
      <c r="M335" s="708" t="s">
        <v>2322</v>
      </c>
      <c r="N335" s="223"/>
      <c r="O335" s="706">
        <f t="shared" si="35"/>
        <v>0</v>
      </c>
    </row>
    <row r="336" spans="1:15" s="360" customFormat="1" ht="15" hidden="1">
      <c r="A336" s="356" t="s">
        <v>526</v>
      </c>
      <c r="B336" s="707" t="s">
        <v>708</v>
      </c>
      <c r="C336" s="633">
        <f t="shared" si="33"/>
        <v>0</v>
      </c>
      <c r="D336" s="354"/>
      <c r="E336" s="15">
        <f t="shared" si="32"/>
        <v>2881.3</v>
      </c>
      <c r="F336" s="917">
        <f t="shared" si="31"/>
        <v>0</v>
      </c>
      <c r="G336" s="358">
        <f>FF!I1009</f>
        <v>0</v>
      </c>
      <c r="H336" s="354" t="s">
        <v>77</v>
      </c>
      <c r="I336" s="355">
        <f>FF!K1009</f>
        <v>2881.3</v>
      </c>
      <c r="J336" s="353">
        <f t="shared" si="34"/>
        <v>0</v>
      </c>
      <c r="K336" s="1911">
        <f>IF((J336+J337+J338+J339)&gt;(F336+F337+F338+F339),(J336+J337+J338+J339)-(F336+F337+F338+F339),0)</f>
        <v>0</v>
      </c>
      <c r="L336" s="1911">
        <f>IF((J336+J337+J338+J339)&lt;(F336+F337+F338+F339),(F336+F337+F338+F339)-(J336+J337+J338+J339),0)</f>
        <v>0</v>
      </c>
      <c r="M336" s="708" t="s">
        <v>2226</v>
      </c>
      <c r="N336" s="223"/>
      <c r="O336" s="706">
        <f t="shared" si="35"/>
        <v>0</v>
      </c>
    </row>
    <row r="337" spans="1:15" s="360" customFormat="1" ht="15" hidden="1">
      <c r="A337" s="356" t="s">
        <v>534</v>
      </c>
      <c r="B337" s="707" t="s">
        <v>708</v>
      </c>
      <c r="C337" s="633">
        <f t="shared" si="33"/>
        <v>0</v>
      </c>
      <c r="D337" s="354"/>
      <c r="E337" s="15">
        <f t="shared" si="32"/>
        <v>2944.91</v>
      </c>
      <c r="F337" s="917">
        <f t="shared" si="31"/>
        <v>0</v>
      </c>
      <c r="G337" s="358">
        <f>FF!I1017</f>
        <v>0</v>
      </c>
      <c r="H337" s="354" t="s">
        <v>77</v>
      </c>
      <c r="I337" s="355">
        <f>FF!K1017</f>
        <v>2944.91</v>
      </c>
      <c r="J337" s="353">
        <f t="shared" si="34"/>
        <v>0</v>
      </c>
      <c r="K337" s="1912"/>
      <c r="L337" s="1912"/>
      <c r="M337" s="708" t="s">
        <v>2308</v>
      </c>
      <c r="N337" s="223"/>
      <c r="O337" s="706">
        <f t="shared" si="35"/>
        <v>0</v>
      </c>
    </row>
    <row r="338" spans="1:15" s="360" customFormat="1" ht="15" hidden="1">
      <c r="A338" s="356" t="s">
        <v>526</v>
      </c>
      <c r="B338" s="707" t="s">
        <v>708</v>
      </c>
      <c r="C338" s="633">
        <f t="shared" si="33"/>
        <v>0</v>
      </c>
      <c r="D338" s="354"/>
      <c r="E338" s="15">
        <f t="shared" si="32"/>
        <v>3004.62</v>
      </c>
      <c r="F338" s="917">
        <f t="shared" si="31"/>
        <v>0</v>
      </c>
      <c r="G338" s="358">
        <f>FF!I1024</f>
        <v>0</v>
      </c>
      <c r="H338" s="354" t="s">
        <v>77</v>
      </c>
      <c r="I338" s="355">
        <f>FF!K1024</f>
        <v>3004.62</v>
      </c>
      <c r="J338" s="353">
        <f t="shared" si="34"/>
        <v>0</v>
      </c>
      <c r="K338" s="1912"/>
      <c r="L338" s="1912"/>
      <c r="M338" s="708" t="s">
        <v>2321</v>
      </c>
      <c r="N338" s="223"/>
      <c r="O338" s="706">
        <f t="shared" si="35"/>
        <v>0</v>
      </c>
    </row>
    <row r="339" spans="1:15" s="360" customFormat="1" ht="63.75" hidden="1">
      <c r="A339" s="356" t="s">
        <v>497</v>
      </c>
      <c r="B339" s="707" t="s">
        <v>3284</v>
      </c>
      <c r="C339" s="633">
        <f t="shared" si="33"/>
        <v>0</v>
      </c>
      <c r="D339" s="354" t="s">
        <v>102</v>
      </c>
      <c r="E339" s="10">
        <f t="shared" si="32"/>
        <v>3181.62</v>
      </c>
      <c r="F339" s="917">
        <f t="shared" si="31"/>
        <v>0</v>
      </c>
      <c r="G339" s="358">
        <f>FF!I1041</f>
        <v>0</v>
      </c>
      <c r="H339" s="354" t="s">
        <v>77</v>
      </c>
      <c r="I339" s="355">
        <f>FF!K1041</f>
        <v>3181.62</v>
      </c>
      <c r="J339" s="353">
        <f t="shared" si="34"/>
        <v>0</v>
      </c>
      <c r="K339" s="1927"/>
      <c r="L339" s="1927"/>
      <c r="M339" s="1139" t="s">
        <v>2322</v>
      </c>
      <c r="N339" s="223"/>
      <c r="O339" s="1138">
        <f t="shared" si="35"/>
        <v>0</v>
      </c>
    </row>
    <row r="340" spans="1:15" s="360" customFormat="1" ht="15" hidden="1">
      <c r="A340" s="356" t="s">
        <v>527</v>
      </c>
      <c r="B340" s="707" t="s">
        <v>877</v>
      </c>
      <c r="C340" s="633">
        <f t="shared" si="33"/>
        <v>0</v>
      </c>
      <c r="D340" s="354"/>
      <c r="E340" s="15">
        <f t="shared" si="32"/>
        <v>2704.03</v>
      </c>
      <c r="F340" s="917">
        <f t="shared" si="31"/>
        <v>0</v>
      </c>
      <c r="G340" s="358">
        <f>FF!I1048</f>
        <v>0</v>
      </c>
      <c r="H340" s="354" t="s">
        <v>102</v>
      </c>
      <c r="I340" s="355">
        <f>FF!K1048</f>
        <v>2704.03</v>
      </c>
      <c r="J340" s="353">
        <f t="shared" si="34"/>
        <v>0</v>
      </c>
      <c r="K340" s="1911">
        <f>IF((J340+J341+J342+J343)&gt;(F340+F341+F342+F343),(J340+J341+J342+J343)-(F340+F341+F342+F343),0)</f>
        <v>0</v>
      </c>
      <c r="L340" s="1911">
        <f>IF((J340+J341+J342+J343)&lt;(F340+F341+F342+F343),(F340+F341+F342+F343)-(J340+J341+J342+J343),0)</f>
        <v>0</v>
      </c>
      <c r="M340" s="708" t="s">
        <v>2226</v>
      </c>
      <c r="N340" s="223"/>
      <c r="O340" s="706">
        <f t="shared" si="35"/>
        <v>0</v>
      </c>
    </row>
    <row r="341" spans="1:15" s="360" customFormat="1" ht="15" hidden="1">
      <c r="A341" s="356" t="s">
        <v>1582</v>
      </c>
      <c r="B341" s="707" t="s">
        <v>877</v>
      </c>
      <c r="C341" s="633">
        <f t="shared" si="33"/>
        <v>0</v>
      </c>
      <c r="D341" s="354"/>
      <c r="E341" s="15">
        <f t="shared" si="32"/>
        <v>2747.8</v>
      </c>
      <c r="F341" s="917">
        <f t="shared" si="31"/>
        <v>0</v>
      </c>
      <c r="G341" s="358">
        <f>FF!I1057</f>
        <v>0</v>
      </c>
      <c r="H341" s="354" t="s">
        <v>102</v>
      </c>
      <c r="I341" s="355">
        <f>FF!K1057</f>
        <v>2747.8</v>
      </c>
      <c r="J341" s="353">
        <f t="shared" si="34"/>
        <v>0</v>
      </c>
      <c r="K341" s="1912"/>
      <c r="L341" s="1912"/>
      <c r="M341" s="708" t="s">
        <v>2308</v>
      </c>
      <c r="N341" s="223"/>
      <c r="O341" s="706">
        <f t="shared" si="35"/>
        <v>0</v>
      </c>
    </row>
    <row r="342" spans="1:15" s="360" customFormat="1" ht="15" hidden="1">
      <c r="A342" s="356" t="s">
        <v>527</v>
      </c>
      <c r="B342" s="707" t="s">
        <v>877</v>
      </c>
      <c r="C342" s="633">
        <f t="shared" si="33"/>
        <v>0</v>
      </c>
      <c r="D342" s="354"/>
      <c r="E342" s="15">
        <f t="shared" si="32"/>
        <v>2789.27</v>
      </c>
      <c r="F342" s="917">
        <f t="shared" si="31"/>
        <v>0</v>
      </c>
      <c r="G342" s="358">
        <f>FF!I1064</f>
        <v>0</v>
      </c>
      <c r="H342" s="354" t="s">
        <v>102</v>
      </c>
      <c r="I342" s="355">
        <f>FF!K1064</f>
        <v>2789.27</v>
      </c>
      <c r="J342" s="353">
        <f t="shared" si="34"/>
        <v>0</v>
      </c>
      <c r="K342" s="1912"/>
      <c r="L342" s="1912"/>
      <c r="M342" s="708" t="s">
        <v>2321</v>
      </c>
      <c r="N342" s="223"/>
      <c r="O342" s="706">
        <f t="shared" si="35"/>
        <v>0</v>
      </c>
    </row>
    <row r="343" spans="1:15" s="360" customFormat="1" ht="63.75" hidden="1">
      <c r="A343" s="356" t="s">
        <v>498</v>
      </c>
      <c r="B343" s="707" t="s">
        <v>3285</v>
      </c>
      <c r="C343" s="633">
        <f t="shared" si="33"/>
        <v>0</v>
      </c>
      <c r="D343" s="354" t="s">
        <v>102</v>
      </c>
      <c r="E343" s="10">
        <f t="shared" si="32"/>
        <v>2950.54</v>
      </c>
      <c r="F343" s="917">
        <f t="shared" si="31"/>
        <v>0</v>
      </c>
      <c r="G343" s="358">
        <f>FF!I1081</f>
        <v>0</v>
      </c>
      <c r="H343" s="354" t="s">
        <v>102</v>
      </c>
      <c r="I343" s="355">
        <f>FF!K1081</f>
        <v>2950.54</v>
      </c>
      <c r="J343" s="353">
        <f t="shared" si="34"/>
        <v>0</v>
      </c>
      <c r="K343" s="1927"/>
      <c r="L343" s="1927"/>
      <c r="M343" s="1139" t="s">
        <v>2322</v>
      </c>
      <c r="N343" s="223"/>
      <c r="O343" s="1138">
        <f t="shared" si="35"/>
        <v>0</v>
      </c>
    </row>
    <row r="344" spans="1:15" s="360" customFormat="1" ht="15" hidden="1">
      <c r="A344" s="356" t="s">
        <v>529</v>
      </c>
      <c r="B344" s="707" t="s">
        <v>710</v>
      </c>
      <c r="C344" s="633">
        <f t="shared" si="33"/>
        <v>0</v>
      </c>
      <c r="D344" s="354"/>
      <c r="E344" s="15">
        <f t="shared" si="32"/>
        <v>633.27</v>
      </c>
      <c r="F344" s="917">
        <f t="shared" si="31"/>
        <v>0</v>
      </c>
      <c r="G344" s="358">
        <f>FF!I1089</f>
        <v>0</v>
      </c>
      <c r="H344" s="354" t="s">
        <v>102</v>
      </c>
      <c r="I344" s="355">
        <f>FF!K1089</f>
        <v>633.27</v>
      </c>
      <c r="J344" s="353">
        <f t="shared" si="34"/>
        <v>0</v>
      </c>
      <c r="K344" s="1911">
        <f>IF((J344+J345+J346+J347)&gt;(F344+F345+F346+F347),(J344+J345+J346+J347)-(F344+F345+F346+F347),0)</f>
        <v>0</v>
      </c>
      <c r="L344" s="1911">
        <f>IF((J344+J345+J346+J347)&lt;(F344+F345+F346+F347),(F344+F345+F346+F347)-(J344+J345+J346+J347),0)</f>
        <v>0</v>
      </c>
      <c r="M344" s="708" t="s">
        <v>2226</v>
      </c>
      <c r="N344" s="223"/>
      <c r="O344" s="706">
        <f t="shared" si="35"/>
        <v>0</v>
      </c>
    </row>
    <row r="345" spans="1:15" s="360" customFormat="1" ht="15" hidden="1">
      <c r="A345" s="356" t="s">
        <v>529</v>
      </c>
      <c r="B345" s="707" t="s">
        <v>710</v>
      </c>
      <c r="C345" s="633">
        <f t="shared" si="33"/>
        <v>0</v>
      </c>
      <c r="D345" s="354"/>
      <c r="E345" s="15">
        <f t="shared" si="32"/>
        <v>677.99</v>
      </c>
      <c r="F345" s="917">
        <f t="shared" si="31"/>
        <v>0</v>
      </c>
      <c r="G345" s="358">
        <f>FF!I1100</f>
        <v>0</v>
      </c>
      <c r="H345" s="354" t="s">
        <v>102</v>
      </c>
      <c r="I345" s="355">
        <f>FF!K1100</f>
        <v>677.99</v>
      </c>
      <c r="J345" s="353">
        <f t="shared" si="34"/>
        <v>0</v>
      </c>
      <c r="K345" s="1912"/>
      <c r="L345" s="1912"/>
      <c r="M345" s="708" t="s">
        <v>2308</v>
      </c>
      <c r="N345" s="223"/>
      <c r="O345" s="706">
        <f t="shared" si="35"/>
        <v>0</v>
      </c>
    </row>
    <row r="346" spans="1:15" s="360" customFormat="1" ht="15" hidden="1">
      <c r="A346" s="356" t="s">
        <v>529</v>
      </c>
      <c r="B346" s="707" t="s">
        <v>710</v>
      </c>
      <c r="C346" s="633">
        <f t="shared" si="33"/>
        <v>0</v>
      </c>
      <c r="D346" s="354"/>
      <c r="E346" s="15">
        <f t="shared" si="32"/>
        <v>686.13</v>
      </c>
      <c r="F346" s="917">
        <f t="shared" si="31"/>
        <v>0</v>
      </c>
      <c r="G346" s="358">
        <f>FF!I1108</f>
        <v>0</v>
      </c>
      <c r="H346" s="354" t="s">
        <v>102</v>
      </c>
      <c r="I346" s="355">
        <f>FF!K1108</f>
        <v>686.13</v>
      </c>
      <c r="J346" s="353">
        <f t="shared" si="34"/>
        <v>0</v>
      </c>
      <c r="K346" s="1912"/>
      <c r="L346" s="1912"/>
      <c r="M346" s="708" t="s">
        <v>2321</v>
      </c>
      <c r="N346" s="223"/>
      <c r="O346" s="706">
        <f t="shared" si="35"/>
        <v>0</v>
      </c>
    </row>
    <row r="347" spans="1:15" s="360" customFormat="1" ht="15" hidden="1">
      <c r="A347" s="356" t="s">
        <v>529</v>
      </c>
      <c r="B347" s="707" t="s">
        <v>710</v>
      </c>
      <c r="C347" s="633">
        <f t="shared" si="33"/>
        <v>0</v>
      </c>
      <c r="D347" s="354"/>
      <c r="E347" s="15">
        <f t="shared" si="32"/>
        <v>780.73</v>
      </c>
      <c r="F347" s="917">
        <f t="shared" si="31"/>
        <v>0</v>
      </c>
      <c r="G347" s="358">
        <f>FF!I1116</f>
        <v>0</v>
      </c>
      <c r="H347" s="354" t="s">
        <v>102</v>
      </c>
      <c r="I347" s="355">
        <f>FF!K1116</f>
        <v>780.73</v>
      </c>
      <c r="J347" s="353">
        <f t="shared" si="34"/>
        <v>0</v>
      </c>
      <c r="K347" s="1913"/>
      <c r="L347" s="1913"/>
      <c r="M347" s="708" t="s">
        <v>2322</v>
      </c>
      <c r="N347" s="223"/>
      <c r="O347" s="706">
        <f t="shared" si="35"/>
        <v>0</v>
      </c>
    </row>
    <row r="348" spans="1:15" s="360" customFormat="1" ht="15" hidden="1">
      <c r="A348" s="356" t="s">
        <v>530</v>
      </c>
      <c r="B348" s="707" t="s">
        <v>711</v>
      </c>
      <c r="C348" s="633">
        <f t="shared" si="33"/>
        <v>0</v>
      </c>
      <c r="D348" s="354"/>
      <c r="E348" s="15">
        <f t="shared" si="32"/>
        <v>652.64</v>
      </c>
      <c r="F348" s="917">
        <f t="shared" si="31"/>
        <v>0</v>
      </c>
      <c r="G348" s="358">
        <f>FF!I1123</f>
        <v>0</v>
      </c>
      <c r="H348" s="354" t="s">
        <v>102</v>
      </c>
      <c r="I348" s="355">
        <f>FF!K1123</f>
        <v>652.64</v>
      </c>
      <c r="J348" s="353">
        <f t="shared" si="34"/>
        <v>0</v>
      </c>
      <c r="K348" s="1911">
        <f>IF((J348+J349+J350+J351)&gt;(F348+F349+F350+F351),(J348+J349+J350+J351)-(F348+F349+F350+F351),0)</f>
        <v>0</v>
      </c>
      <c r="L348" s="1911">
        <f>IF((J348+J349+J350+J351)&lt;(F348+F349+F350+F351),(F348+F349+F350+F351)-(J348+J349+J350+J351),0)</f>
        <v>0</v>
      </c>
      <c r="M348" s="708" t="s">
        <v>2226</v>
      </c>
      <c r="N348" s="223"/>
      <c r="O348" s="706">
        <f t="shared" si="35"/>
        <v>0</v>
      </c>
    </row>
    <row r="349" spans="1:15" s="360" customFormat="1" ht="15" hidden="1">
      <c r="A349" s="356" t="s">
        <v>530</v>
      </c>
      <c r="B349" s="707" t="s">
        <v>711</v>
      </c>
      <c r="C349" s="633">
        <f t="shared" si="33"/>
        <v>0</v>
      </c>
      <c r="D349" s="354"/>
      <c r="E349" s="15">
        <f t="shared" si="32"/>
        <v>683.46</v>
      </c>
      <c r="F349" s="917">
        <f t="shared" si="31"/>
        <v>0</v>
      </c>
      <c r="G349" s="358">
        <f>FF!I1134</f>
        <v>0</v>
      </c>
      <c r="H349" s="354" t="s">
        <v>102</v>
      </c>
      <c r="I349" s="355">
        <f>FF!K1134</f>
        <v>683.46</v>
      </c>
      <c r="J349" s="353">
        <f t="shared" si="34"/>
        <v>0</v>
      </c>
      <c r="K349" s="1912"/>
      <c r="L349" s="1912"/>
      <c r="M349" s="708" t="s">
        <v>2308</v>
      </c>
      <c r="N349" s="223"/>
      <c r="O349" s="706">
        <f t="shared" si="35"/>
        <v>0</v>
      </c>
    </row>
    <row r="350" spans="1:15" s="360" customFormat="1" ht="15" hidden="1">
      <c r="A350" s="356" t="s">
        <v>530</v>
      </c>
      <c r="B350" s="707" t="s">
        <v>711</v>
      </c>
      <c r="C350" s="633">
        <f t="shared" si="33"/>
        <v>0</v>
      </c>
      <c r="D350" s="354"/>
      <c r="E350" s="15">
        <f t="shared" si="32"/>
        <v>706.57</v>
      </c>
      <c r="F350" s="917">
        <f t="shared" si="31"/>
        <v>0</v>
      </c>
      <c r="G350" s="358">
        <f>FF!I1141</f>
        <v>0</v>
      </c>
      <c r="H350" s="354" t="s">
        <v>102</v>
      </c>
      <c r="I350" s="355">
        <f>FF!K1141</f>
        <v>706.57</v>
      </c>
      <c r="J350" s="353">
        <f t="shared" si="34"/>
        <v>0</v>
      </c>
      <c r="K350" s="1912"/>
      <c r="L350" s="1912"/>
      <c r="M350" s="708" t="s">
        <v>2321</v>
      </c>
      <c r="N350" s="223"/>
      <c r="O350" s="706">
        <f t="shared" si="35"/>
        <v>0</v>
      </c>
    </row>
    <row r="351" spans="1:15" s="360" customFormat="1" ht="15" hidden="1">
      <c r="A351" s="356" t="s">
        <v>530</v>
      </c>
      <c r="B351" s="707" t="s">
        <v>711</v>
      </c>
      <c r="C351" s="633">
        <f t="shared" si="33"/>
        <v>0</v>
      </c>
      <c r="D351" s="354"/>
      <c r="E351" s="15">
        <f t="shared" si="32"/>
        <v>786.2</v>
      </c>
      <c r="F351" s="917">
        <f t="shared" si="31"/>
        <v>0</v>
      </c>
      <c r="G351" s="358">
        <f>FF!I1148</f>
        <v>0</v>
      </c>
      <c r="H351" s="354" t="s">
        <v>102</v>
      </c>
      <c r="I351" s="355">
        <f>FF!K1148</f>
        <v>786.2</v>
      </c>
      <c r="J351" s="353">
        <f t="shared" si="34"/>
        <v>0</v>
      </c>
      <c r="K351" s="1913"/>
      <c r="L351" s="1913"/>
      <c r="M351" s="708" t="s">
        <v>2322</v>
      </c>
      <c r="N351" s="223"/>
      <c r="O351" s="706">
        <f t="shared" si="35"/>
        <v>0</v>
      </c>
    </row>
    <row r="352" spans="1:15" s="360" customFormat="1" ht="51" hidden="1">
      <c r="A352" s="356" t="s">
        <v>514</v>
      </c>
      <c r="B352" s="707" t="s">
        <v>3295</v>
      </c>
      <c r="C352" s="633">
        <f t="shared" si="33"/>
        <v>0</v>
      </c>
      <c r="D352" s="916" t="s">
        <v>102</v>
      </c>
      <c r="E352" s="15">
        <f t="shared" si="32"/>
        <v>755.74</v>
      </c>
      <c r="F352" s="917">
        <f t="shared" si="31"/>
        <v>0</v>
      </c>
      <c r="G352" s="358">
        <f>FF!I1155</f>
        <v>0</v>
      </c>
      <c r="H352" s="354" t="s">
        <v>102</v>
      </c>
      <c r="I352" s="355">
        <f>FF!K1155</f>
        <v>755.74</v>
      </c>
      <c r="J352" s="353">
        <f t="shared" si="34"/>
        <v>0</v>
      </c>
      <c r="K352" s="1911">
        <f>IF((J352+J353+J354+J355)&gt;(F352+F353+F354+F355),(J352+J353+J354+J355)-(F352+F353+F354+F355),0)</f>
        <v>0</v>
      </c>
      <c r="L352" s="1911">
        <f>IF((J352+J353+J354+J355)&lt;(F352+F353+F354+F355),(F352+F353+F354+F355)-(J352+J353+J354+J355),0)</f>
        <v>0</v>
      </c>
      <c r="M352" s="708" t="s">
        <v>2226</v>
      </c>
      <c r="N352" s="223"/>
      <c r="O352" s="706">
        <f t="shared" si="35"/>
        <v>0</v>
      </c>
    </row>
    <row r="353" spans="1:15" s="360" customFormat="1" ht="15" hidden="1">
      <c r="A353" s="356" t="s">
        <v>643</v>
      </c>
      <c r="B353" s="707" t="s">
        <v>511</v>
      </c>
      <c r="C353" s="633">
        <f t="shared" si="33"/>
        <v>0</v>
      </c>
      <c r="D353" s="354"/>
      <c r="E353" s="15">
        <f t="shared" si="32"/>
        <v>786.57</v>
      </c>
      <c r="F353" s="917">
        <f t="shared" si="31"/>
        <v>0</v>
      </c>
      <c r="G353" s="358">
        <f>FF!I1163</f>
        <v>0</v>
      </c>
      <c r="H353" s="354" t="s">
        <v>102</v>
      </c>
      <c r="I353" s="355">
        <f>FF!K1163</f>
        <v>786.57</v>
      </c>
      <c r="J353" s="353">
        <f t="shared" si="34"/>
        <v>0</v>
      </c>
      <c r="K353" s="1912"/>
      <c r="L353" s="1912"/>
      <c r="M353" s="708" t="s">
        <v>2308</v>
      </c>
      <c r="N353" s="223"/>
      <c r="O353" s="706">
        <f t="shared" si="35"/>
        <v>0</v>
      </c>
    </row>
    <row r="354" spans="1:15" s="360" customFormat="1" ht="15" hidden="1">
      <c r="A354" s="356" t="s">
        <v>528</v>
      </c>
      <c r="B354" s="707" t="s">
        <v>511</v>
      </c>
      <c r="C354" s="633">
        <f t="shared" si="33"/>
        <v>0</v>
      </c>
      <c r="D354" s="354"/>
      <c r="E354" s="15">
        <f t="shared" si="32"/>
        <v>809.68</v>
      </c>
      <c r="F354" s="917">
        <f t="shared" si="31"/>
        <v>0</v>
      </c>
      <c r="G354" s="358">
        <f>FF!I1170</f>
        <v>0</v>
      </c>
      <c r="H354" s="354" t="s">
        <v>102</v>
      </c>
      <c r="I354" s="355">
        <f>FF!K1170</f>
        <v>809.68</v>
      </c>
      <c r="J354" s="353">
        <f t="shared" si="34"/>
        <v>0</v>
      </c>
      <c r="K354" s="1912"/>
      <c r="L354" s="1912"/>
      <c r="M354" s="708" t="s">
        <v>2321</v>
      </c>
      <c r="N354" s="223"/>
      <c r="O354" s="706">
        <f t="shared" si="35"/>
        <v>0</v>
      </c>
    </row>
    <row r="355" spans="1:15" s="360" customFormat="1" ht="15" hidden="1">
      <c r="A355" s="356" t="s">
        <v>528</v>
      </c>
      <c r="B355" s="707" t="s">
        <v>511</v>
      </c>
      <c r="C355" s="633">
        <f t="shared" si="33"/>
        <v>0</v>
      </c>
      <c r="D355" s="354"/>
      <c r="E355" s="15">
        <f t="shared" si="32"/>
        <v>837.86</v>
      </c>
      <c r="F355" s="917">
        <f t="shared" si="31"/>
        <v>0</v>
      </c>
      <c r="G355" s="358">
        <f>FF!I1175</f>
        <v>0</v>
      </c>
      <c r="H355" s="354" t="s">
        <v>102</v>
      </c>
      <c r="I355" s="355">
        <f>FF!K1175</f>
        <v>837.86</v>
      </c>
      <c r="J355" s="353">
        <f t="shared" si="34"/>
        <v>0</v>
      </c>
      <c r="K355" s="1913"/>
      <c r="L355" s="1913"/>
      <c r="M355" s="708" t="s">
        <v>2322</v>
      </c>
      <c r="N355" s="223"/>
      <c r="O355" s="706">
        <f t="shared" si="35"/>
        <v>0</v>
      </c>
    </row>
    <row r="356" spans="1:15" s="360" customFormat="1" ht="63.75" hidden="1">
      <c r="A356" s="356" t="s">
        <v>515</v>
      </c>
      <c r="B356" s="707" t="s">
        <v>3296</v>
      </c>
      <c r="C356" s="633">
        <f t="shared" si="33"/>
        <v>0</v>
      </c>
      <c r="D356" s="916" t="s">
        <v>102</v>
      </c>
      <c r="E356" s="15">
        <f t="shared" si="32"/>
        <v>494.82</v>
      </c>
      <c r="F356" s="917">
        <f t="shared" si="31"/>
        <v>0</v>
      </c>
      <c r="G356" s="358">
        <f>FF!I1182</f>
        <v>0</v>
      </c>
      <c r="H356" s="354" t="s">
        <v>102</v>
      </c>
      <c r="I356" s="355">
        <f>FF!K1182</f>
        <v>494.82</v>
      </c>
      <c r="J356" s="353">
        <f t="shared" si="34"/>
        <v>0</v>
      </c>
      <c r="K356" s="1911">
        <f>IF((J356+J357+J358+J359)&gt;(F356+F357+F358+F359),(J356+J357+J358+J359)-(F356+F357+F358+F359),0)</f>
        <v>0</v>
      </c>
      <c r="L356" s="1911">
        <f>IF((J356+J357+J358+J359)&lt;(F356+F357+F358+F359),(F356+F357+F358+F359)-(J356+J357+J358+J359),0)</f>
        <v>0</v>
      </c>
      <c r="M356" s="708" t="s">
        <v>2226</v>
      </c>
      <c r="N356" s="223"/>
      <c r="O356" s="706">
        <f t="shared" si="35"/>
        <v>0</v>
      </c>
    </row>
    <row r="357" spans="1:15" s="360" customFormat="1" ht="15" hidden="1">
      <c r="A357" s="356" t="s">
        <v>1577</v>
      </c>
      <c r="B357" s="707" t="s">
        <v>570</v>
      </c>
      <c r="C357" s="633">
        <f t="shared" si="33"/>
        <v>0</v>
      </c>
      <c r="D357" s="354"/>
      <c r="E357" s="15">
        <f t="shared" si="32"/>
        <v>504.13</v>
      </c>
      <c r="F357" s="917">
        <f t="shared" si="31"/>
        <v>0</v>
      </c>
      <c r="G357" s="358">
        <f>FF!I1190</f>
        <v>0</v>
      </c>
      <c r="H357" s="354" t="s">
        <v>102</v>
      </c>
      <c r="I357" s="355">
        <f>FF!K1190</f>
        <v>504.13</v>
      </c>
      <c r="J357" s="353">
        <f t="shared" si="34"/>
        <v>0</v>
      </c>
      <c r="K357" s="1912"/>
      <c r="L357" s="1912"/>
      <c r="M357" s="708" t="s">
        <v>2308</v>
      </c>
      <c r="N357" s="223"/>
      <c r="O357" s="706">
        <f t="shared" si="35"/>
        <v>0</v>
      </c>
    </row>
    <row r="358" spans="1:15" s="360" customFormat="1" ht="15" hidden="1">
      <c r="A358" s="356" t="s">
        <v>529</v>
      </c>
      <c r="B358" s="707" t="s">
        <v>570</v>
      </c>
      <c r="C358" s="633">
        <f t="shared" si="33"/>
        <v>0</v>
      </c>
      <c r="D358" s="354"/>
      <c r="E358" s="15">
        <f t="shared" si="32"/>
        <v>512.09</v>
      </c>
      <c r="F358" s="917">
        <f t="shared" si="31"/>
        <v>0</v>
      </c>
      <c r="G358" s="358">
        <f>FF!I1197</f>
        <v>0</v>
      </c>
      <c r="H358" s="354" t="s">
        <v>102</v>
      </c>
      <c r="I358" s="355">
        <f>FF!K1197</f>
        <v>512.09</v>
      </c>
      <c r="J358" s="353">
        <f t="shared" si="34"/>
        <v>0</v>
      </c>
      <c r="K358" s="1912"/>
      <c r="L358" s="1912"/>
      <c r="M358" s="708" t="s">
        <v>2321</v>
      </c>
      <c r="N358" s="223"/>
      <c r="O358" s="706">
        <f t="shared" si="35"/>
        <v>0</v>
      </c>
    </row>
    <row r="359" spans="1:15" s="360" customFormat="1" ht="15" hidden="1">
      <c r="A359" s="356" t="s">
        <v>529</v>
      </c>
      <c r="B359" s="707" t="s">
        <v>570</v>
      </c>
      <c r="C359" s="633">
        <f t="shared" si="33"/>
        <v>0</v>
      </c>
      <c r="D359" s="354"/>
      <c r="E359" s="15">
        <f t="shared" si="32"/>
        <v>527.21</v>
      </c>
      <c r="F359" s="917">
        <f t="shared" si="31"/>
        <v>0</v>
      </c>
      <c r="G359" s="358">
        <f>FF!I1209</f>
        <v>0</v>
      </c>
      <c r="H359" s="354" t="s">
        <v>102</v>
      </c>
      <c r="I359" s="355">
        <f>FF!K1209</f>
        <v>527.21</v>
      </c>
      <c r="J359" s="353">
        <f t="shared" si="34"/>
        <v>0</v>
      </c>
      <c r="K359" s="1913"/>
      <c r="L359" s="1913"/>
      <c r="M359" s="708" t="s">
        <v>2322</v>
      </c>
      <c r="N359" s="223"/>
      <c r="O359" s="706">
        <f t="shared" si="35"/>
        <v>0</v>
      </c>
    </row>
    <row r="360" spans="1:15" s="360" customFormat="1" ht="15" hidden="1">
      <c r="A360" s="356" t="s">
        <v>492</v>
      </c>
      <c r="B360" s="707" t="s">
        <v>1223</v>
      </c>
      <c r="C360" s="633">
        <f t="shared" si="33"/>
        <v>0</v>
      </c>
      <c r="D360" s="354"/>
      <c r="E360" s="15">
        <f t="shared" si="32"/>
        <v>944.79</v>
      </c>
      <c r="F360" s="917">
        <f t="shared" si="31"/>
        <v>0</v>
      </c>
      <c r="G360" s="358">
        <f>FF!I1217</f>
        <v>0</v>
      </c>
      <c r="H360" s="354" t="s">
        <v>102</v>
      </c>
      <c r="I360" s="355">
        <f>FF!K1217</f>
        <v>944.79</v>
      </c>
      <c r="J360" s="353">
        <f t="shared" si="34"/>
        <v>0</v>
      </c>
      <c r="K360" s="1911">
        <f>IF((J360+J361+J362+J363)&gt;(F360+F361+F362+F363),(J360+J361+J362+J363)-(F360+F361+F362+F363),0)</f>
        <v>0</v>
      </c>
      <c r="L360" s="1911">
        <f>IF((J360+J361+J362+J363)&lt;(F360+F361+F362+F363),(F360+F361+F362+F363)-(J360+J361+J362+J363),0)</f>
        <v>0</v>
      </c>
      <c r="M360" s="708" t="s">
        <v>2226</v>
      </c>
      <c r="N360" s="223"/>
      <c r="O360" s="706">
        <f t="shared" si="35"/>
        <v>0</v>
      </c>
    </row>
    <row r="361" spans="1:15" s="360" customFormat="1" ht="15" hidden="1">
      <c r="A361" s="356" t="s">
        <v>492</v>
      </c>
      <c r="B361" s="707" t="s">
        <v>1223</v>
      </c>
      <c r="C361" s="633">
        <f t="shared" si="33"/>
        <v>0</v>
      </c>
      <c r="D361" s="354"/>
      <c r="E361" s="15">
        <f t="shared" si="32"/>
        <v>986.93</v>
      </c>
      <c r="F361" s="917">
        <f t="shared" si="31"/>
        <v>0</v>
      </c>
      <c r="G361" s="358">
        <f>FF!I1225</f>
        <v>0</v>
      </c>
      <c r="H361" s="354" t="s">
        <v>102</v>
      </c>
      <c r="I361" s="355">
        <f>FF!K1225</f>
        <v>986.93</v>
      </c>
      <c r="J361" s="353">
        <f t="shared" si="34"/>
        <v>0</v>
      </c>
      <c r="K361" s="1912"/>
      <c r="L361" s="1912"/>
      <c r="M361" s="708" t="s">
        <v>2308</v>
      </c>
      <c r="N361" s="223"/>
      <c r="O361" s="706">
        <f t="shared" si="35"/>
        <v>0</v>
      </c>
    </row>
    <row r="362" spans="1:15" s="360" customFormat="1" ht="15" hidden="1">
      <c r="A362" s="356" t="s">
        <v>492</v>
      </c>
      <c r="B362" s="707" t="s">
        <v>1223</v>
      </c>
      <c r="C362" s="633">
        <f t="shared" si="33"/>
        <v>0</v>
      </c>
      <c r="D362" s="354"/>
      <c r="E362" s="15">
        <f t="shared" si="32"/>
        <v>1020.23</v>
      </c>
      <c r="F362" s="917">
        <f t="shared" si="31"/>
        <v>0</v>
      </c>
      <c r="G362" s="358">
        <f>FF!I1233</f>
        <v>0</v>
      </c>
      <c r="H362" s="354" t="s">
        <v>102</v>
      </c>
      <c r="I362" s="355">
        <f>FF!K1233</f>
        <v>1020.23</v>
      </c>
      <c r="J362" s="353">
        <f t="shared" si="34"/>
        <v>0</v>
      </c>
      <c r="K362" s="1912"/>
      <c r="L362" s="1912"/>
      <c r="M362" s="708" t="s">
        <v>2321</v>
      </c>
      <c r="N362" s="223"/>
      <c r="O362" s="706">
        <f t="shared" si="35"/>
        <v>0</v>
      </c>
    </row>
    <row r="363" spans="1:15" s="360" customFormat="1" ht="15" hidden="1">
      <c r="A363" s="356" t="s">
        <v>492</v>
      </c>
      <c r="B363" s="707" t="s">
        <v>1223</v>
      </c>
      <c r="C363" s="633">
        <f t="shared" si="33"/>
        <v>0</v>
      </c>
      <c r="D363" s="354"/>
      <c r="E363" s="15">
        <f t="shared" si="32"/>
        <v>1059.21</v>
      </c>
      <c r="F363" s="917">
        <f t="shared" si="31"/>
        <v>0</v>
      </c>
      <c r="G363" s="358">
        <f>FF!I1241</f>
        <v>0</v>
      </c>
      <c r="H363" s="354" t="s">
        <v>102</v>
      </c>
      <c r="I363" s="355">
        <f>FF!K1241</f>
        <v>1059.21</v>
      </c>
      <c r="J363" s="353">
        <f t="shared" si="34"/>
        <v>0</v>
      </c>
      <c r="K363" s="1913"/>
      <c r="L363" s="1913"/>
      <c r="M363" s="708" t="s">
        <v>2322</v>
      </c>
      <c r="N363" s="223"/>
      <c r="O363" s="706">
        <f t="shared" si="35"/>
        <v>0</v>
      </c>
    </row>
    <row r="364" spans="1:15" s="360" customFormat="1" ht="15" hidden="1">
      <c r="A364" s="356" t="s">
        <v>533</v>
      </c>
      <c r="B364" s="707" t="s">
        <v>707</v>
      </c>
      <c r="C364" s="633">
        <f t="shared" si="33"/>
        <v>0</v>
      </c>
      <c r="D364" s="354"/>
      <c r="E364" s="15">
        <f t="shared" si="32"/>
        <v>21.43</v>
      </c>
      <c r="F364" s="917">
        <f t="shared" si="31"/>
        <v>0</v>
      </c>
      <c r="G364" s="358">
        <f>FF!I1250</f>
        <v>0</v>
      </c>
      <c r="H364" s="354" t="s">
        <v>102</v>
      </c>
      <c r="I364" s="355">
        <f>FF!K1250</f>
        <v>21.43</v>
      </c>
      <c r="J364" s="353">
        <f t="shared" si="34"/>
        <v>0</v>
      </c>
      <c r="K364" s="1911">
        <f>IF((J364+J365+J366+J367)&gt;(F364+F365+F366+F367),(J364+J365+J366+J367)-(F364+F365+F366+F367),0)</f>
        <v>0</v>
      </c>
      <c r="L364" s="1911">
        <f>IF((J364+J365+J366+J367)&lt;(F364+F365+F366+F367),(F364+F365+F366+F367)-(J364+J365+J366+J367),0)</f>
        <v>0</v>
      </c>
      <c r="M364" s="708" t="s">
        <v>2226</v>
      </c>
      <c r="N364" s="223"/>
      <c r="O364" s="706">
        <f t="shared" si="35"/>
        <v>0</v>
      </c>
    </row>
    <row r="365" spans="1:15" s="360" customFormat="1" ht="15" hidden="1">
      <c r="A365" s="356" t="s">
        <v>533</v>
      </c>
      <c r="B365" s="707" t="s">
        <v>707</v>
      </c>
      <c r="C365" s="633">
        <f t="shared" si="33"/>
        <v>0</v>
      </c>
      <c r="D365" s="354"/>
      <c r="E365" s="15">
        <f t="shared" si="32"/>
        <v>22.88</v>
      </c>
      <c r="F365" s="917">
        <f t="shared" si="31"/>
        <v>0</v>
      </c>
      <c r="G365" s="358">
        <f>FF!I1259</f>
        <v>0</v>
      </c>
      <c r="H365" s="354" t="s">
        <v>102</v>
      </c>
      <c r="I365" s="355">
        <f>FF!K1259</f>
        <v>22.88</v>
      </c>
      <c r="J365" s="353">
        <f t="shared" si="34"/>
        <v>0</v>
      </c>
      <c r="K365" s="1912"/>
      <c r="L365" s="1912"/>
      <c r="M365" s="708" t="s">
        <v>2308</v>
      </c>
      <c r="N365" s="223"/>
      <c r="O365" s="706">
        <f t="shared" si="35"/>
        <v>0</v>
      </c>
    </row>
    <row r="366" spans="1:15" s="360" customFormat="1" ht="15" hidden="1">
      <c r="A366" s="356" t="s">
        <v>533</v>
      </c>
      <c r="B366" s="707" t="s">
        <v>707</v>
      </c>
      <c r="C366" s="633">
        <f t="shared" si="33"/>
        <v>0</v>
      </c>
      <c r="D366" s="354"/>
      <c r="E366" s="15">
        <f t="shared" si="32"/>
        <v>24.15</v>
      </c>
      <c r="F366" s="917">
        <f t="shared" si="31"/>
        <v>0</v>
      </c>
      <c r="G366" s="358">
        <f>FF!I1268</f>
        <v>0</v>
      </c>
      <c r="H366" s="354" t="s">
        <v>102</v>
      </c>
      <c r="I366" s="355">
        <f>FF!K1268</f>
        <v>24.15</v>
      </c>
      <c r="J366" s="353">
        <f t="shared" si="34"/>
        <v>0</v>
      </c>
      <c r="K366" s="1912"/>
      <c r="L366" s="1912"/>
      <c r="M366" s="708" t="s">
        <v>2321</v>
      </c>
      <c r="N366" s="223"/>
      <c r="O366" s="706">
        <f t="shared" si="35"/>
        <v>0</v>
      </c>
    </row>
    <row r="367" spans="1:15" s="360" customFormat="1" ht="15" hidden="1">
      <c r="A367" s="356" t="s">
        <v>533</v>
      </c>
      <c r="B367" s="707" t="s">
        <v>707</v>
      </c>
      <c r="C367" s="633">
        <f t="shared" si="33"/>
        <v>0</v>
      </c>
      <c r="D367" s="354"/>
      <c r="E367" s="15">
        <f t="shared" si="32"/>
        <v>25.98</v>
      </c>
      <c r="F367" s="917">
        <f t="shared" si="31"/>
        <v>0</v>
      </c>
      <c r="G367" s="358">
        <f>FF!I1277</f>
        <v>0</v>
      </c>
      <c r="H367" s="354" t="s">
        <v>102</v>
      </c>
      <c r="I367" s="355">
        <f>FF!K1277</f>
        <v>25.98</v>
      </c>
      <c r="J367" s="353">
        <f t="shared" si="34"/>
        <v>0</v>
      </c>
      <c r="K367" s="1913"/>
      <c r="L367" s="1913"/>
      <c r="M367" s="708" t="s">
        <v>2322</v>
      </c>
      <c r="N367" s="223"/>
      <c r="O367" s="706">
        <f t="shared" si="35"/>
        <v>0</v>
      </c>
    </row>
    <row r="368" spans="1:15" s="360" customFormat="1" ht="15" hidden="1">
      <c r="A368" s="356" t="s">
        <v>499</v>
      </c>
      <c r="B368" s="707" t="s">
        <v>888</v>
      </c>
      <c r="C368" s="633">
        <f t="shared" si="33"/>
        <v>0</v>
      </c>
      <c r="D368" s="354" t="s">
        <v>102</v>
      </c>
      <c r="E368" s="10">
        <f t="shared" si="32"/>
        <v>156.41</v>
      </c>
      <c r="F368" s="917">
        <f t="shared" ref="F368:F431" si="36">ROUND(C368*E368,0)</f>
        <v>0</v>
      </c>
      <c r="G368" s="358">
        <f>FF!I1302</f>
        <v>0</v>
      </c>
      <c r="H368" s="354" t="s">
        <v>102</v>
      </c>
      <c r="I368" s="355">
        <f>FF!K1302</f>
        <v>156.41</v>
      </c>
      <c r="J368" s="353">
        <f t="shared" si="34"/>
        <v>0</v>
      </c>
      <c r="K368" s="1911">
        <f>IF((J368+J369+J370+J371)&gt;(F368+F369+F370+F371),(J368+J369+J370+J371)-(F368+F369+F370+F371),0)</f>
        <v>0</v>
      </c>
      <c r="L368" s="1911">
        <f>IF((J368+J369+J370+J371)&lt;(F368+F369+F370+F371),(F368+F369+F370+F371)-(J368+J369+J370+J371),0)</f>
        <v>0</v>
      </c>
      <c r="M368" s="1139" t="s">
        <v>2226</v>
      </c>
      <c r="N368" s="223"/>
      <c r="O368" s="1138">
        <f t="shared" si="35"/>
        <v>0</v>
      </c>
    </row>
    <row r="369" spans="1:15" s="360" customFormat="1" ht="15" hidden="1">
      <c r="A369" s="356" t="s">
        <v>1584</v>
      </c>
      <c r="B369" s="707" t="s">
        <v>888</v>
      </c>
      <c r="C369" s="633">
        <f t="shared" si="33"/>
        <v>0</v>
      </c>
      <c r="D369" s="354"/>
      <c r="E369" s="15">
        <f t="shared" ref="E369:E432" si="37">I369</f>
        <v>164.34</v>
      </c>
      <c r="F369" s="917">
        <f t="shared" si="36"/>
        <v>0</v>
      </c>
      <c r="G369" s="358">
        <f>FF!I1334</f>
        <v>0</v>
      </c>
      <c r="H369" s="354" t="s">
        <v>102</v>
      </c>
      <c r="I369" s="355">
        <f>FF!K1334</f>
        <v>164.34</v>
      </c>
      <c r="J369" s="353">
        <f t="shared" si="34"/>
        <v>0</v>
      </c>
      <c r="K369" s="1912"/>
      <c r="L369" s="1912"/>
      <c r="M369" s="708" t="s">
        <v>2308</v>
      </c>
      <c r="N369" s="223"/>
      <c r="O369" s="706">
        <f t="shared" si="35"/>
        <v>0</v>
      </c>
    </row>
    <row r="370" spans="1:15" s="360" customFormat="1" ht="15" hidden="1">
      <c r="A370" s="356" t="s">
        <v>530</v>
      </c>
      <c r="B370" s="707" t="s">
        <v>888</v>
      </c>
      <c r="C370" s="633">
        <f t="shared" si="33"/>
        <v>0</v>
      </c>
      <c r="D370" s="354"/>
      <c r="E370" s="15">
        <f t="shared" si="37"/>
        <v>170.35</v>
      </c>
      <c r="F370" s="917">
        <f t="shared" si="36"/>
        <v>0</v>
      </c>
      <c r="G370" s="358">
        <f>FF!I1344</f>
        <v>0</v>
      </c>
      <c r="H370" s="354" t="s">
        <v>102</v>
      </c>
      <c r="I370" s="355">
        <f>FF!K1344</f>
        <v>170.35</v>
      </c>
      <c r="J370" s="353">
        <f t="shared" si="34"/>
        <v>0</v>
      </c>
      <c r="K370" s="1912"/>
      <c r="L370" s="1912"/>
      <c r="M370" s="708" t="s">
        <v>2321</v>
      </c>
      <c r="N370" s="223"/>
      <c r="O370" s="706">
        <f t="shared" si="35"/>
        <v>0</v>
      </c>
    </row>
    <row r="371" spans="1:15" s="360" customFormat="1" ht="51" hidden="1">
      <c r="A371" s="356" t="s">
        <v>498</v>
      </c>
      <c r="B371" s="707" t="s">
        <v>3287</v>
      </c>
      <c r="C371" s="633">
        <f t="shared" si="33"/>
        <v>0</v>
      </c>
      <c r="D371" s="354"/>
      <c r="E371" s="10">
        <f t="shared" si="37"/>
        <v>184.03</v>
      </c>
      <c r="F371" s="917">
        <f t="shared" si="36"/>
        <v>0</v>
      </c>
      <c r="G371" s="358">
        <f>FF!I1369</f>
        <v>0</v>
      </c>
      <c r="H371" s="354" t="s">
        <v>102</v>
      </c>
      <c r="I371" s="355">
        <f>FF!K1369</f>
        <v>184.03</v>
      </c>
      <c r="J371" s="353">
        <f t="shared" si="34"/>
        <v>0</v>
      </c>
      <c r="K371" s="1927"/>
      <c r="L371" s="1927"/>
      <c r="M371" s="1139" t="s">
        <v>2322</v>
      </c>
      <c r="N371" s="223"/>
      <c r="O371" s="1138">
        <f t="shared" si="35"/>
        <v>0</v>
      </c>
    </row>
    <row r="372" spans="1:15" s="360" customFormat="1" ht="51" hidden="1">
      <c r="A372" s="356" t="s">
        <v>517</v>
      </c>
      <c r="B372" s="707" t="s">
        <v>3288</v>
      </c>
      <c r="C372" s="633">
        <f t="shared" si="33"/>
        <v>0</v>
      </c>
      <c r="D372" s="916" t="s">
        <v>102</v>
      </c>
      <c r="E372" s="15">
        <f t="shared" si="37"/>
        <v>131.44999999999999</v>
      </c>
      <c r="F372" s="917">
        <f t="shared" si="36"/>
        <v>0</v>
      </c>
      <c r="G372" s="358">
        <f>FF!I1378</f>
        <v>0</v>
      </c>
      <c r="H372" s="354" t="s">
        <v>102</v>
      </c>
      <c r="I372" s="355">
        <f>FF!K1378</f>
        <v>131.44999999999999</v>
      </c>
      <c r="J372" s="353">
        <f t="shared" si="34"/>
        <v>0</v>
      </c>
      <c r="K372" s="1911">
        <f>IF((J372+J373+J374+J375)&gt;(F372+F373+F374+F375),(J372+J373+J374+J375)-(F372+F373+F374+F375),0)</f>
        <v>0</v>
      </c>
      <c r="L372" s="1911">
        <f>IF((J372+J373+J374+J375)&lt;(F372+F373+F374+F375),(F372+F373+F374+F375)-(J372+J373+J374+J375),0)</f>
        <v>0</v>
      </c>
      <c r="M372" s="708" t="s">
        <v>2226</v>
      </c>
      <c r="N372" s="223"/>
      <c r="O372" s="706">
        <f t="shared" si="35"/>
        <v>0</v>
      </c>
    </row>
    <row r="373" spans="1:15" s="360" customFormat="1" ht="15" hidden="1">
      <c r="A373" s="356" t="s">
        <v>1143</v>
      </c>
      <c r="B373" s="707" t="s">
        <v>571</v>
      </c>
      <c r="C373" s="633">
        <f t="shared" si="33"/>
        <v>0</v>
      </c>
      <c r="D373" s="354"/>
      <c r="E373" s="15">
        <f t="shared" si="37"/>
        <v>139.51</v>
      </c>
      <c r="F373" s="917">
        <f t="shared" si="36"/>
        <v>0</v>
      </c>
      <c r="G373" s="358">
        <f>FF!I1420</f>
        <v>0</v>
      </c>
      <c r="H373" s="354" t="s">
        <v>102</v>
      </c>
      <c r="I373" s="355">
        <f>FF!K1420</f>
        <v>139.51</v>
      </c>
      <c r="J373" s="353">
        <f t="shared" si="34"/>
        <v>0</v>
      </c>
      <c r="K373" s="1912"/>
      <c r="L373" s="1912"/>
      <c r="M373" s="708" t="s">
        <v>2308</v>
      </c>
      <c r="N373" s="223"/>
      <c r="O373" s="706">
        <f t="shared" si="35"/>
        <v>0</v>
      </c>
    </row>
    <row r="374" spans="1:15" s="360" customFormat="1" ht="15" hidden="1">
      <c r="A374" s="356" t="s">
        <v>532</v>
      </c>
      <c r="B374" s="707" t="s">
        <v>571</v>
      </c>
      <c r="C374" s="633">
        <f t="shared" si="33"/>
        <v>0</v>
      </c>
      <c r="D374" s="354"/>
      <c r="E374" s="15">
        <f t="shared" si="37"/>
        <v>145.68</v>
      </c>
      <c r="F374" s="917">
        <f t="shared" si="36"/>
        <v>0</v>
      </c>
      <c r="G374" s="358">
        <f>FF!I1429</f>
        <v>0</v>
      </c>
      <c r="H374" s="354" t="s">
        <v>102</v>
      </c>
      <c r="I374" s="355">
        <f>FF!K1429</f>
        <v>145.68</v>
      </c>
      <c r="J374" s="353">
        <f t="shared" si="34"/>
        <v>0</v>
      </c>
      <c r="K374" s="1912"/>
      <c r="L374" s="1912"/>
      <c r="M374" s="708" t="s">
        <v>2321</v>
      </c>
      <c r="N374" s="223"/>
      <c r="O374" s="706">
        <f t="shared" si="35"/>
        <v>0</v>
      </c>
    </row>
    <row r="375" spans="1:15" s="360" customFormat="1" ht="51" hidden="1">
      <c r="A375" s="356" t="s">
        <v>500</v>
      </c>
      <c r="B375" s="707" t="s">
        <v>3288</v>
      </c>
      <c r="C375" s="633">
        <f t="shared" si="33"/>
        <v>0</v>
      </c>
      <c r="D375" s="354" t="s">
        <v>102</v>
      </c>
      <c r="E375" s="10">
        <f t="shared" si="37"/>
        <v>158.36000000000001</v>
      </c>
      <c r="F375" s="917">
        <f t="shared" si="36"/>
        <v>0</v>
      </c>
      <c r="G375" s="358">
        <f>FF!I1454</f>
        <v>0</v>
      </c>
      <c r="H375" s="354" t="s">
        <v>102</v>
      </c>
      <c r="I375" s="355">
        <f>FF!K1454</f>
        <v>158.36000000000001</v>
      </c>
      <c r="J375" s="353">
        <f t="shared" si="34"/>
        <v>0</v>
      </c>
      <c r="K375" s="1927"/>
      <c r="L375" s="1927"/>
      <c r="M375" s="1139" t="s">
        <v>2322</v>
      </c>
      <c r="N375" s="223"/>
      <c r="O375" s="1138">
        <f t="shared" si="35"/>
        <v>0</v>
      </c>
    </row>
    <row r="376" spans="1:15" s="360" customFormat="1" ht="51" hidden="1">
      <c r="A376" s="356" t="s">
        <v>519</v>
      </c>
      <c r="B376" s="707" t="s">
        <v>3289</v>
      </c>
      <c r="C376" s="633">
        <f t="shared" si="33"/>
        <v>0</v>
      </c>
      <c r="D376" s="916" t="s">
        <v>102</v>
      </c>
      <c r="E376" s="15">
        <f t="shared" si="37"/>
        <v>179.47</v>
      </c>
      <c r="F376" s="917">
        <f t="shared" si="36"/>
        <v>0</v>
      </c>
      <c r="G376" s="358">
        <f>FF!I1461</f>
        <v>0</v>
      </c>
      <c r="H376" s="354" t="s">
        <v>102</v>
      </c>
      <c r="I376" s="355">
        <f>FF!K1461</f>
        <v>179.47</v>
      </c>
      <c r="J376" s="353">
        <f t="shared" si="34"/>
        <v>0</v>
      </c>
      <c r="K376" s="1911">
        <f>IF((J376+J377+J378+J379)&gt;(F376+F377+F378+F379),(J376+J377+J378+J379)-(F376+F377+F378+F379),0)</f>
        <v>0</v>
      </c>
      <c r="L376" s="1911">
        <f>IF((J376+J377+J378+J379)&lt;(F376+F377+F378+F379),(F376+F377+F378+F379)-(J376+J377+J378+J379),0)</f>
        <v>0</v>
      </c>
      <c r="M376" s="708" t="s">
        <v>2226</v>
      </c>
      <c r="N376" s="223"/>
      <c r="O376" s="706">
        <f t="shared" si="35"/>
        <v>0</v>
      </c>
    </row>
    <row r="377" spans="1:15" s="360" customFormat="1" ht="15" hidden="1">
      <c r="A377" s="356" t="s">
        <v>645</v>
      </c>
      <c r="B377" s="707" t="s">
        <v>1227</v>
      </c>
      <c r="C377" s="633">
        <f t="shared" si="33"/>
        <v>0</v>
      </c>
      <c r="D377" s="354"/>
      <c r="E377" s="15">
        <f t="shared" si="37"/>
        <v>192.01</v>
      </c>
      <c r="F377" s="917">
        <f t="shared" si="36"/>
        <v>0</v>
      </c>
      <c r="G377" s="358">
        <f>FF!I1493</f>
        <v>0</v>
      </c>
      <c r="H377" s="354" t="s">
        <v>102</v>
      </c>
      <c r="I377" s="355">
        <f>FF!K1493</f>
        <v>192.01</v>
      </c>
      <c r="J377" s="353">
        <f t="shared" si="34"/>
        <v>0</v>
      </c>
      <c r="K377" s="1912"/>
      <c r="L377" s="1912"/>
      <c r="M377" s="708" t="s">
        <v>2308</v>
      </c>
      <c r="N377" s="223"/>
      <c r="O377" s="706">
        <f t="shared" si="35"/>
        <v>0</v>
      </c>
    </row>
    <row r="378" spans="1:15" s="360" customFormat="1" ht="15" hidden="1">
      <c r="A378" s="356" t="s">
        <v>533</v>
      </c>
      <c r="B378" s="707" t="s">
        <v>1227</v>
      </c>
      <c r="C378" s="633">
        <f t="shared" si="33"/>
        <v>0</v>
      </c>
      <c r="D378" s="354"/>
      <c r="E378" s="15">
        <f t="shared" si="37"/>
        <v>201.51</v>
      </c>
      <c r="F378" s="917">
        <f t="shared" si="36"/>
        <v>0</v>
      </c>
      <c r="G378" s="358">
        <f>FF!I1500</f>
        <v>0</v>
      </c>
      <c r="H378" s="354" t="s">
        <v>102</v>
      </c>
      <c r="I378" s="355">
        <f>FF!K1500</f>
        <v>201.51</v>
      </c>
      <c r="J378" s="353">
        <f t="shared" si="34"/>
        <v>0</v>
      </c>
      <c r="K378" s="1912"/>
      <c r="L378" s="1912"/>
      <c r="M378" s="708" t="s">
        <v>2321</v>
      </c>
      <c r="N378" s="223"/>
      <c r="O378" s="706">
        <f t="shared" si="35"/>
        <v>0</v>
      </c>
    </row>
    <row r="379" spans="1:15" s="360" customFormat="1" ht="51" hidden="1">
      <c r="A379" s="356" t="s">
        <v>501</v>
      </c>
      <c r="B379" s="707" t="s">
        <v>3289</v>
      </c>
      <c r="C379" s="633">
        <f t="shared" si="33"/>
        <v>0</v>
      </c>
      <c r="D379" s="354" t="s">
        <v>102</v>
      </c>
      <c r="E379" s="10">
        <f t="shared" si="37"/>
        <v>217.22</v>
      </c>
      <c r="F379" s="917">
        <f t="shared" si="36"/>
        <v>0</v>
      </c>
      <c r="G379" s="358">
        <f>FF!I1514</f>
        <v>0</v>
      </c>
      <c r="H379" s="354" t="s">
        <v>102</v>
      </c>
      <c r="I379" s="355">
        <f>FF!K1514</f>
        <v>217.22</v>
      </c>
      <c r="J379" s="353">
        <f t="shared" si="34"/>
        <v>0</v>
      </c>
      <c r="K379" s="1927"/>
      <c r="L379" s="1927"/>
      <c r="M379" s="1139" t="s">
        <v>2322</v>
      </c>
      <c r="N379" s="223"/>
      <c r="O379" s="1138">
        <f t="shared" si="35"/>
        <v>0</v>
      </c>
    </row>
    <row r="380" spans="1:15" s="360" customFormat="1" ht="15" hidden="1">
      <c r="A380" s="356" t="s">
        <v>502</v>
      </c>
      <c r="B380" s="707" t="s">
        <v>477</v>
      </c>
      <c r="C380" s="633">
        <f t="shared" si="33"/>
        <v>0</v>
      </c>
      <c r="D380" s="919" t="s">
        <v>872</v>
      </c>
      <c r="E380" s="10">
        <f t="shared" si="37"/>
        <v>63243.5</v>
      </c>
      <c r="F380" s="917">
        <f t="shared" si="36"/>
        <v>0</v>
      </c>
      <c r="G380" s="429">
        <f>FF!I1522</f>
        <v>0</v>
      </c>
      <c r="H380" s="221" t="s">
        <v>29</v>
      </c>
      <c r="I380" s="430">
        <f>FF!K1522</f>
        <v>63243.5</v>
      </c>
      <c r="J380" s="353">
        <f t="shared" si="34"/>
        <v>0</v>
      </c>
      <c r="K380" s="1930">
        <f>IF((J380+J381+J382+J383)&gt;(F380+F381+F382+F383),(J380+J381+J382+J383)-(F380+F381+F382+F383),0)</f>
        <v>0</v>
      </c>
      <c r="L380" s="1930">
        <f>IF((J380+J381+J382+J383)&lt;(F380+F381+F382+F383),(F380+F381+F382+F383)-(J380+J381+J382+J383),0)</f>
        <v>0</v>
      </c>
      <c r="M380" s="1139" t="s">
        <v>2226</v>
      </c>
      <c r="N380" s="223"/>
      <c r="O380" s="1138">
        <f t="shared" si="35"/>
        <v>0</v>
      </c>
    </row>
    <row r="381" spans="1:15" s="360" customFormat="1" ht="15" hidden="1">
      <c r="A381" s="356" t="s">
        <v>1588</v>
      </c>
      <c r="B381" s="707" t="s">
        <v>477</v>
      </c>
      <c r="C381" s="633">
        <f t="shared" si="33"/>
        <v>0</v>
      </c>
      <c r="D381" s="221"/>
      <c r="E381" s="15">
        <f t="shared" si="37"/>
        <v>63510</v>
      </c>
      <c r="F381" s="917">
        <f t="shared" si="36"/>
        <v>0</v>
      </c>
      <c r="G381" s="429">
        <f>FF!I1527</f>
        <v>0</v>
      </c>
      <c r="H381" s="221" t="s">
        <v>29</v>
      </c>
      <c r="I381" s="430">
        <f>FF!K1527</f>
        <v>63510</v>
      </c>
      <c r="J381" s="353">
        <f t="shared" si="34"/>
        <v>0</v>
      </c>
      <c r="K381" s="1912"/>
      <c r="L381" s="1912"/>
      <c r="M381" s="708" t="s">
        <v>2308</v>
      </c>
      <c r="N381" s="223"/>
      <c r="O381" s="706">
        <f t="shared" si="35"/>
        <v>0</v>
      </c>
    </row>
    <row r="382" spans="1:15" s="360" customFormat="1" ht="15" hidden="1">
      <c r="A382" s="356" t="s">
        <v>1143</v>
      </c>
      <c r="B382" s="707" t="s">
        <v>477</v>
      </c>
      <c r="C382" s="633">
        <f t="shared" si="33"/>
        <v>0</v>
      </c>
      <c r="D382" s="221"/>
      <c r="E382" s="15">
        <f t="shared" si="37"/>
        <v>80999.5</v>
      </c>
      <c r="F382" s="917">
        <f t="shared" si="36"/>
        <v>0</v>
      </c>
      <c r="G382" s="429">
        <f>FF!I1535</f>
        <v>0</v>
      </c>
      <c r="H382" s="221" t="s">
        <v>29</v>
      </c>
      <c r="I382" s="430">
        <f>FF!K1535</f>
        <v>80999.5</v>
      </c>
      <c r="J382" s="353">
        <f t="shared" si="34"/>
        <v>0</v>
      </c>
      <c r="K382" s="1912"/>
      <c r="L382" s="1912"/>
      <c r="M382" s="708" t="s">
        <v>2321</v>
      </c>
      <c r="N382" s="223"/>
      <c r="O382" s="706">
        <f t="shared" si="35"/>
        <v>0</v>
      </c>
    </row>
    <row r="383" spans="1:15" s="360" customFormat="1" ht="15" hidden="1">
      <c r="A383" s="356" t="s">
        <v>1143</v>
      </c>
      <c r="B383" s="707" t="s">
        <v>477</v>
      </c>
      <c r="C383" s="633">
        <f t="shared" si="33"/>
        <v>0</v>
      </c>
      <c r="D383" s="221"/>
      <c r="E383" s="15">
        <f t="shared" si="37"/>
        <v>93741</v>
      </c>
      <c r="F383" s="917">
        <f t="shared" si="36"/>
        <v>0</v>
      </c>
      <c r="G383" s="429">
        <f>FF!I1542</f>
        <v>0</v>
      </c>
      <c r="H383" s="221" t="s">
        <v>29</v>
      </c>
      <c r="I383" s="430">
        <f>FF!K1542</f>
        <v>93741</v>
      </c>
      <c r="J383" s="353">
        <f t="shared" si="34"/>
        <v>0</v>
      </c>
      <c r="K383" s="1913"/>
      <c r="L383" s="1913"/>
      <c r="M383" s="708" t="s">
        <v>2322</v>
      </c>
      <c r="N383" s="223"/>
      <c r="O383" s="706">
        <f t="shared" si="35"/>
        <v>0</v>
      </c>
    </row>
    <row r="384" spans="1:15" ht="15" hidden="1">
      <c r="A384" s="23"/>
      <c r="B384" s="702" t="s">
        <v>889</v>
      </c>
      <c r="C384" s="633">
        <f t="shared" si="33"/>
        <v>0</v>
      </c>
      <c r="D384" s="714"/>
      <c r="E384" s="10">
        <f t="shared" si="37"/>
        <v>0</v>
      </c>
      <c r="F384" s="883"/>
      <c r="G384" s="28"/>
      <c r="H384" s="224"/>
      <c r="I384" s="37"/>
      <c r="J384" s="353">
        <f t="shared" si="34"/>
        <v>0</v>
      </c>
      <c r="K384" s="25"/>
      <c r="L384" s="25"/>
      <c r="M384" s="1139" t="s">
        <v>2226</v>
      </c>
      <c r="N384" s="223"/>
      <c r="O384" s="1138">
        <v>1</v>
      </c>
    </row>
    <row r="385" spans="1:15" s="360" customFormat="1" ht="51" hidden="1">
      <c r="A385" s="356" t="s">
        <v>503</v>
      </c>
      <c r="B385" s="707" t="s">
        <v>3267</v>
      </c>
      <c r="C385" s="633">
        <f t="shared" si="33"/>
        <v>0</v>
      </c>
      <c r="D385" s="354" t="s">
        <v>5</v>
      </c>
      <c r="E385" s="10">
        <f t="shared" si="37"/>
        <v>10542.140000000001</v>
      </c>
      <c r="F385" s="917">
        <f t="shared" si="36"/>
        <v>0</v>
      </c>
      <c r="G385" s="358">
        <f>SF!I14</f>
        <v>0</v>
      </c>
      <c r="H385" s="354" t="s">
        <v>5</v>
      </c>
      <c r="I385" s="355">
        <f>SF!K14</f>
        <v>10542.140000000001</v>
      </c>
      <c r="J385" s="353">
        <f t="shared" si="34"/>
        <v>0</v>
      </c>
      <c r="K385" s="1930">
        <f>IF((J385+J386+J387+J388)&gt;(F385+F386+F387+F388),(J385+J386+J387+J388)-(F385+F386+F387+F388),0)</f>
        <v>0</v>
      </c>
      <c r="L385" s="1930">
        <f>IF((J385+J386+J387+J388)&lt;(F385+F386+F387+F388),(F385+F386+F387+F388)-(J385+J386+J387+J388),0)</f>
        <v>0</v>
      </c>
      <c r="M385" s="1139" t="s">
        <v>2226</v>
      </c>
      <c r="N385" s="223"/>
      <c r="O385" s="1138">
        <f t="shared" si="35"/>
        <v>0</v>
      </c>
    </row>
    <row r="386" spans="1:15" s="360" customFormat="1" ht="15" hidden="1">
      <c r="A386" s="356" t="s">
        <v>1144</v>
      </c>
      <c r="B386" s="707" t="s">
        <v>2068</v>
      </c>
      <c r="C386" s="633">
        <f t="shared" si="33"/>
        <v>0</v>
      </c>
      <c r="D386" s="354"/>
      <c r="E386" s="15">
        <f t="shared" si="37"/>
        <v>10932.800000000001</v>
      </c>
      <c r="F386" s="917">
        <f t="shared" si="36"/>
        <v>0</v>
      </c>
      <c r="G386" s="358">
        <f>SF!I21</f>
        <v>0</v>
      </c>
      <c r="H386" s="354" t="s">
        <v>5</v>
      </c>
      <c r="I386" s="355">
        <f>SF!K21</f>
        <v>10932.800000000001</v>
      </c>
      <c r="J386" s="353">
        <f t="shared" si="34"/>
        <v>0</v>
      </c>
      <c r="K386" s="1912"/>
      <c r="L386" s="1912"/>
      <c r="M386" s="708" t="s">
        <v>2308</v>
      </c>
      <c r="N386" s="223"/>
      <c r="O386" s="706">
        <f t="shared" si="35"/>
        <v>0</v>
      </c>
    </row>
    <row r="387" spans="1:15" s="360" customFormat="1" ht="15" hidden="1">
      <c r="A387" s="356" t="s">
        <v>1586</v>
      </c>
      <c r="B387" s="707" t="s">
        <v>2068</v>
      </c>
      <c r="C387" s="633">
        <f t="shared" si="33"/>
        <v>0</v>
      </c>
      <c r="D387" s="354"/>
      <c r="E387" s="15">
        <f t="shared" si="37"/>
        <v>11565.1</v>
      </c>
      <c r="F387" s="917">
        <f t="shared" si="36"/>
        <v>0</v>
      </c>
      <c r="G387" s="358">
        <f>SF!I28</f>
        <v>0</v>
      </c>
      <c r="H387" s="354" t="s">
        <v>5</v>
      </c>
      <c r="I387" s="355">
        <f>SF!K28</f>
        <v>11565.1</v>
      </c>
      <c r="J387" s="353">
        <f t="shared" si="34"/>
        <v>0</v>
      </c>
      <c r="K387" s="1912"/>
      <c r="L387" s="1912"/>
      <c r="M387" s="708" t="s">
        <v>2321</v>
      </c>
      <c r="N387" s="223"/>
      <c r="O387" s="706">
        <f t="shared" si="35"/>
        <v>0</v>
      </c>
    </row>
    <row r="388" spans="1:15" s="360" customFormat="1" ht="15" hidden="1">
      <c r="A388" s="356" t="s">
        <v>1586</v>
      </c>
      <c r="B388" s="707" t="s">
        <v>2068</v>
      </c>
      <c r="C388" s="633">
        <f t="shared" si="33"/>
        <v>0</v>
      </c>
      <c r="D388" s="354"/>
      <c r="E388" s="15">
        <f t="shared" si="37"/>
        <v>12013.61</v>
      </c>
      <c r="F388" s="917">
        <f t="shared" si="36"/>
        <v>0</v>
      </c>
      <c r="G388" s="358">
        <f>SF!I33</f>
        <v>0</v>
      </c>
      <c r="H388" s="354" t="s">
        <v>5</v>
      </c>
      <c r="I388" s="355">
        <f>SF!K33</f>
        <v>12013.61</v>
      </c>
      <c r="J388" s="353">
        <f t="shared" si="34"/>
        <v>0</v>
      </c>
      <c r="K388" s="1913"/>
      <c r="L388" s="1913"/>
      <c r="M388" s="708" t="s">
        <v>2322</v>
      </c>
      <c r="N388" s="223"/>
      <c r="O388" s="706">
        <f t="shared" si="35"/>
        <v>0</v>
      </c>
    </row>
    <row r="389" spans="1:15" s="360" customFormat="1" ht="51" hidden="1">
      <c r="A389" s="356" t="s">
        <v>504</v>
      </c>
      <c r="B389" s="707" t="s">
        <v>3269</v>
      </c>
      <c r="C389" s="633">
        <f t="shared" si="33"/>
        <v>0</v>
      </c>
      <c r="D389" s="354" t="s">
        <v>5</v>
      </c>
      <c r="E389" s="10">
        <f t="shared" si="37"/>
        <v>10021.1</v>
      </c>
      <c r="F389" s="917">
        <f t="shared" si="36"/>
        <v>0</v>
      </c>
      <c r="G389" s="358">
        <f>SF!I39</f>
        <v>0</v>
      </c>
      <c r="H389" s="354" t="s">
        <v>5</v>
      </c>
      <c r="I389" s="355">
        <f>SF!K39</f>
        <v>10021.1</v>
      </c>
      <c r="J389" s="353">
        <f t="shared" si="34"/>
        <v>0</v>
      </c>
      <c r="K389" s="1930">
        <f>IF((J389+J390+J391+J392)&gt;(F389+F390+F391+F392),(J389+J390+J391+J392)-(F389+F390+F391+F392),0)</f>
        <v>0</v>
      </c>
      <c r="L389" s="1930">
        <f>IF((J389+J390+J391+J392)&lt;(F389+F390+F391+F392),(F389+F390+F391+F392)-(J389+J390+J391+J392),0)</f>
        <v>0</v>
      </c>
      <c r="M389" s="1139" t="s">
        <v>2226</v>
      </c>
      <c r="N389" s="223"/>
      <c r="O389" s="1138">
        <f t="shared" si="35"/>
        <v>0</v>
      </c>
    </row>
    <row r="390" spans="1:15" s="360" customFormat="1" ht="15" hidden="1">
      <c r="A390" s="356" t="s">
        <v>1589</v>
      </c>
      <c r="B390" s="707" t="s">
        <v>2070</v>
      </c>
      <c r="C390" s="633">
        <f t="shared" si="33"/>
        <v>0</v>
      </c>
      <c r="D390" s="354"/>
      <c r="E390" s="15">
        <f t="shared" si="37"/>
        <v>10257.99</v>
      </c>
      <c r="F390" s="917">
        <f t="shared" si="36"/>
        <v>0</v>
      </c>
      <c r="G390" s="358">
        <f>SF!I45</f>
        <v>0</v>
      </c>
      <c r="H390" s="354" t="s">
        <v>5</v>
      </c>
      <c r="I390" s="355">
        <f>SF!K45</f>
        <v>10257.99</v>
      </c>
      <c r="J390" s="353">
        <f t="shared" si="34"/>
        <v>0</v>
      </c>
      <c r="K390" s="1912"/>
      <c r="L390" s="1912"/>
      <c r="M390" s="708" t="s">
        <v>2308</v>
      </c>
      <c r="N390" s="223"/>
      <c r="O390" s="706">
        <f t="shared" si="35"/>
        <v>0</v>
      </c>
    </row>
    <row r="391" spans="1:15" s="360" customFormat="1" ht="15" hidden="1">
      <c r="A391" s="356" t="s">
        <v>645</v>
      </c>
      <c r="B391" s="707" t="s">
        <v>2070</v>
      </c>
      <c r="C391" s="633">
        <f t="shared" si="33"/>
        <v>0</v>
      </c>
      <c r="D391" s="354"/>
      <c r="E391" s="15">
        <f t="shared" si="37"/>
        <v>10793.54</v>
      </c>
      <c r="F391" s="917">
        <f t="shared" si="36"/>
        <v>0</v>
      </c>
      <c r="G391" s="358">
        <f>SF!I51</f>
        <v>0</v>
      </c>
      <c r="H391" s="354" t="s">
        <v>5</v>
      </c>
      <c r="I391" s="355">
        <f>SF!K51</f>
        <v>10793.54</v>
      </c>
      <c r="J391" s="353">
        <f t="shared" si="34"/>
        <v>0</v>
      </c>
      <c r="K391" s="1912"/>
      <c r="L391" s="1912"/>
      <c r="M391" s="708" t="s">
        <v>2321</v>
      </c>
      <c r="N391" s="223"/>
      <c r="O391" s="706">
        <f t="shared" si="35"/>
        <v>0</v>
      </c>
    </row>
    <row r="392" spans="1:15" s="360" customFormat="1" ht="15" hidden="1">
      <c r="A392" s="356" t="s">
        <v>645</v>
      </c>
      <c r="B392" s="707" t="s">
        <v>2070</v>
      </c>
      <c r="C392" s="633">
        <f t="shared" si="33"/>
        <v>0</v>
      </c>
      <c r="D392" s="354"/>
      <c r="E392" s="15">
        <f t="shared" si="37"/>
        <v>11098.560000000001</v>
      </c>
      <c r="F392" s="917">
        <f t="shared" si="36"/>
        <v>0</v>
      </c>
      <c r="G392" s="358">
        <f>SF!I57</f>
        <v>0</v>
      </c>
      <c r="H392" s="354" t="s">
        <v>5</v>
      </c>
      <c r="I392" s="355">
        <f>SF!K57</f>
        <v>11098.560000000001</v>
      </c>
      <c r="J392" s="353">
        <f t="shared" si="34"/>
        <v>0</v>
      </c>
      <c r="K392" s="1913"/>
      <c r="L392" s="1913"/>
      <c r="M392" s="708" t="s">
        <v>2322</v>
      </c>
      <c r="N392" s="223"/>
      <c r="O392" s="706">
        <f t="shared" si="35"/>
        <v>0</v>
      </c>
    </row>
    <row r="393" spans="1:15" s="360" customFormat="1" ht="15" hidden="1">
      <c r="A393" s="356" t="s">
        <v>1143</v>
      </c>
      <c r="B393" s="707" t="s">
        <v>2071</v>
      </c>
      <c r="C393" s="633">
        <f t="shared" si="33"/>
        <v>0</v>
      </c>
      <c r="D393" s="354"/>
      <c r="E393" s="15">
        <f t="shared" si="37"/>
        <v>1395.34</v>
      </c>
      <c r="F393" s="917">
        <f t="shared" si="36"/>
        <v>0</v>
      </c>
      <c r="G393" s="358">
        <f>SF!I86</f>
        <v>0</v>
      </c>
      <c r="H393" s="354" t="s">
        <v>102</v>
      </c>
      <c r="I393" s="355">
        <f>SF!K86</f>
        <v>1395.34</v>
      </c>
      <c r="J393" s="353">
        <f t="shared" si="34"/>
        <v>0</v>
      </c>
      <c r="K393" s="1911">
        <f>IF((J393+J394+J395+J396)&gt;(F393+F394+F395+F396),(J393+J394+J395+J396)-(F393+F394+F395+F396),0)</f>
        <v>0</v>
      </c>
      <c r="L393" s="1911">
        <f>IF((J393+J394+J395+J396)&lt;(F393+F394+F395+F396),(F393+F394+F395+F396)-(J393+J394+J395+J396),0)</f>
        <v>0</v>
      </c>
      <c r="M393" s="708" t="s">
        <v>2226</v>
      </c>
      <c r="N393" s="223"/>
      <c r="O393" s="706">
        <f t="shared" si="35"/>
        <v>0</v>
      </c>
    </row>
    <row r="394" spans="1:15" s="360" customFormat="1" ht="15" hidden="1">
      <c r="A394" s="356" t="s">
        <v>1590</v>
      </c>
      <c r="B394" s="707" t="s">
        <v>2071</v>
      </c>
      <c r="C394" s="633">
        <f t="shared" ref="C394:C457" si="38">G394</f>
        <v>0</v>
      </c>
      <c r="D394" s="354"/>
      <c r="E394" s="15">
        <f t="shared" si="37"/>
        <v>1443.96</v>
      </c>
      <c r="F394" s="917">
        <f t="shared" si="36"/>
        <v>0</v>
      </c>
      <c r="G394" s="358">
        <f>SF!I91</f>
        <v>0</v>
      </c>
      <c r="H394" s="354" t="s">
        <v>102</v>
      </c>
      <c r="I394" s="355">
        <f>SF!K91</f>
        <v>1443.96</v>
      </c>
      <c r="J394" s="353">
        <f t="shared" ref="J394:J457" si="39">ROUND(G394*I394,2)</f>
        <v>0</v>
      </c>
      <c r="K394" s="1912"/>
      <c r="L394" s="1912"/>
      <c r="M394" s="708" t="s">
        <v>2308</v>
      </c>
      <c r="N394" s="223"/>
      <c r="O394" s="706">
        <f t="shared" si="35"/>
        <v>0</v>
      </c>
    </row>
    <row r="395" spans="1:15" s="360" customFormat="1" ht="15" hidden="1">
      <c r="A395" s="356" t="s">
        <v>1587</v>
      </c>
      <c r="B395" s="707" t="s">
        <v>2071</v>
      </c>
      <c r="C395" s="633">
        <f t="shared" si="38"/>
        <v>0</v>
      </c>
      <c r="D395" s="354"/>
      <c r="E395" s="15">
        <f t="shared" si="37"/>
        <v>1539.2800000000002</v>
      </c>
      <c r="F395" s="917">
        <f t="shared" si="36"/>
        <v>0</v>
      </c>
      <c r="G395" s="358">
        <f>SF!I96</f>
        <v>0</v>
      </c>
      <c r="H395" s="354" t="s">
        <v>102</v>
      </c>
      <c r="I395" s="355">
        <f>SF!K96</f>
        <v>1539.2800000000002</v>
      </c>
      <c r="J395" s="353">
        <f t="shared" si="39"/>
        <v>0</v>
      </c>
      <c r="K395" s="1912"/>
      <c r="L395" s="1912"/>
      <c r="M395" s="708" t="s">
        <v>2321</v>
      </c>
      <c r="N395" s="223"/>
      <c r="O395" s="706">
        <f t="shared" si="35"/>
        <v>0</v>
      </c>
    </row>
    <row r="396" spans="1:15" s="360" customFormat="1" ht="15" hidden="1">
      <c r="A396" s="356" t="s">
        <v>1587</v>
      </c>
      <c r="B396" s="707" t="s">
        <v>2071</v>
      </c>
      <c r="C396" s="633">
        <f t="shared" si="38"/>
        <v>0</v>
      </c>
      <c r="D396" s="354"/>
      <c r="E396" s="15">
        <f t="shared" si="37"/>
        <v>1594.17</v>
      </c>
      <c r="F396" s="917">
        <f t="shared" si="36"/>
        <v>0</v>
      </c>
      <c r="G396" s="358">
        <f>SF!I101</f>
        <v>0</v>
      </c>
      <c r="H396" s="354" t="s">
        <v>102</v>
      </c>
      <c r="I396" s="355">
        <f>SF!K101</f>
        <v>1594.17</v>
      </c>
      <c r="J396" s="353">
        <f t="shared" si="39"/>
        <v>0</v>
      </c>
      <c r="K396" s="1913"/>
      <c r="L396" s="1913"/>
      <c r="M396" s="708" t="s">
        <v>2322</v>
      </c>
      <c r="N396" s="223"/>
      <c r="O396" s="706">
        <f t="shared" ref="O396:O459" si="40">F396-J396</f>
        <v>0</v>
      </c>
    </row>
    <row r="397" spans="1:15" s="360" customFormat="1" ht="51" hidden="1">
      <c r="A397" s="356" t="s">
        <v>506</v>
      </c>
      <c r="B397" s="707" t="s">
        <v>3297</v>
      </c>
      <c r="C397" s="633">
        <f t="shared" si="38"/>
        <v>0</v>
      </c>
      <c r="D397" s="354" t="s">
        <v>5</v>
      </c>
      <c r="E397" s="10">
        <f t="shared" si="37"/>
        <v>1271.18</v>
      </c>
      <c r="F397" s="917">
        <f t="shared" si="36"/>
        <v>0</v>
      </c>
      <c r="G397" s="358">
        <f>SF!I106</f>
        <v>0</v>
      </c>
      <c r="H397" s="354" t="s">
        <v>102</v>
      </c>
      <c r="I397" s="355">
        <f>SF!K106</f>
        <v>1271.18</v>
      </c>
      <c r="J397" s="353">
        <f t="shared" si="39"/>
        <v>0</v>
      </c>
      <c r="K397" s="1930">
        <f>IF((J397+J398+J399+J400)&gt;(F397+F398+F399+F400),(J397+J398+J399+J400)-(F397+F398+F399+F400),0)</f>
        <v>0</v>
      </c>
      <c r="L397" s="1930">
        <f>IF((J397+J398+J399+J400)&lt;(F397+F398+F399+F400),(F397+F398+F399+F400)-(J397+J398+J399+J400),0)</f>
        <v>0</v>
      </c>
      <c r="M397" s="1139" t="s">
        <v>2226</v>
      </c>
      <c r="N397" s="223"/>
      <c r="O397" s="1138">
        <f t="shared" si="40"/>
        <v>0</v>
      </c>
    </row>
    <row r="398" spans="1:15" s="360" customFormat="1" ht="15" hidden="1">
      <c r="A398" s="356" t="s">
        <v>487</v>
      </c>
      <c r="B398" s="707" t="s">
        <v>2073</v>
      </c>
      <c r="C398" s="633">
        <f t="shared" si="38"/>
        <v>0</v>
      </c>
      <c r="D398" s="354"/>
      <c r="E398" s="15">
        <f t="shared" si="37"/>
        <v>1314.42</v>
      </c>
      <c r="F398" s="917">
        <f t="shared" si="36"/>
        <v>0</v>
      </c>
      <c r="G398" s="358">
        <f>SF!I111</f>
        <v>0</v>
      </c>
      <c r="H398" s="354" t="s">
        <v>102</v>
      </c>
      <c r="I398" s="355">
        <f>SF!K111</f>
        <v>1314.42</v>
      </c>
      <c r="J398" s="353">
        <f t="shared" si="39"/>
        <v>0</v>
      </c>
      <c r="K398" s="1912"/>
      <c r="L398" s="1912"/>
      <c r="M398" s="708" t="s">
        <v>2308</v>
      </c>
      <c r="N398" s="223"/>
      <c r="O398" s="706">
        <f t="shared" si="40"/>
        <v>0</v>
      </c>
    </row>
    <row r="399" spans="1:15" s="360" customFormat="1" ht="15" hidden="1">
      <c r="A399" s="356" t="s">
        <v>487</v>
      </c>
      <c r="B399" s="707" t="s">
        <v>2073</v>
      </c>
      <c r="C399" s="633">
        <f t="shared" si="38"/>
        <v>0</v>
      </c>
      <c r="D399" s="354"/>
      <c r="E399" s="15">
        <f t="shared" si="37"/>
        <v>1403.54</v>
      </c>
      <c r="F399" s="917">
        <f t="shared" si="36"/>
        <v>0</v>
      </c>
      <c r="G399" s="358">
        <f>SF!I116</f>
        <v>0</v>
      </c>
      <c r="H399" s="354" t="s">
        <v>102</v>
      </c>
      <c r="I399" s="355">
        <f>SF!K116</f>
        <v>1403.54</v>
      </c>
      <c r="J399" s="353">
        <f t="shared" si="39"/>
        <v>0</v>
      </c>
      <c r="K399" s="1912"/>
      <c r="L399" s="1912"/>
      <c r="M399" s="708" t="s">
        <v>2321</v>
      </c>
      <c r="N399" s="223"/>
      <c r="O399" s="706">
        <f t="shared" si="40"/>
        <v>0</v>
      </c>
    </row>
    <row r="400" spans="1:15" s="360" customFormat="1" ht="15" hidden="1">
      <c r="A400" s="356" t="s">
        <v>487</v>
      </c>
      <c r="B400" s="707" t="s">
        <v>2073</v>
      </c>
      <c r="C400" s="633">
        <f t="shared" si="38"/>
        <v>0</v>
      </c>
      <c r="D400" s="354"/>
      <c r="E400" s="15">
        <f t="shared" si="37"/>
        <v>1451.29</v>
      </c>
      <c r="F400" s="917">
        <f t="shared" si="36"/>
        <v>0</v>
      </c>
      <c r="G400" s="358">
        <f>SF!I121</f>
        <v>0</v>
      </c>
      <c r="H400" s="354" t="s">
        <v>102</v>
      </c>
      <c r="I400" s="355">
        <f>SF!K121</f>
        <v>1451.29</v>
      </c>
      <c r="J400" s="353">
        <f t="shared" si="39"/>
        <v>0</v>
      </c>
      <c r="K400" s="1913"/>
      <c r="L400" s="1913"/>
      <c r="M400" s="708" t="s">
        <v>2322</v>
      </c>
      <c r="N400" s="223"/>
      <c r="O400" s="706">
        <f t="shared" si="40"/>
        <v>0</v>
      </c>
    </row>
    <row r="401" spans="1:15" s="360" customFormat="1" ht="15" hidden="1">
      <c r="A401" s="356" t="s">
        <v>516</v>
      </c>
      <c r="B401" s="707" t="s">
        <v>2072</v>
      </c>
      <c r="C401" s="633">
        <f t="shared" si="38"/>
        <v>0</v>
      </c>
      <c r="D401" s="221"/>
      <c r="E401" s="15">
        <f t="shared" si="37"/>
        <v>1519.49</v>
      </c>
      <c r="F401" s="917">
        <f t="shared" si="36"/>
        <v>0</v>
      </c>
      <c r="G401" s="358">
        <f>SF!I63</f>
        <v>0</v>
      </c>
      <c r="H401" s="221" t="s">
        <v>102</v>
      </c>
      <c r="I401" s="355">
        <f>SF!K63</f>
        <v>1519.49</v>
      </c>
      <c r="J401" s="353">
        <f t="shared" si="39"/>
        <v>0</v>
      </c>
      <c r="K401" s="1911">
        <f>IF((J401+J402+J403+J404)&gt;(F401+F402+F403+F404),(J401+J402+J403+J404)-(F401+F402+F403+F404),0)</f>
        <v>0</v>
      </c>
      <c r="L401" s="1911">
        <f>IF((J401+J402+J403+J404)&lt;(F401+F402+F403+F404),(F401+F402+F403+F404)-(J401+J402+J403+J404),0)</f>
        <v>0</v>
      </c>
      <c r="M401" s="708" t="s">
        <v>2226</v>
      </c>
      <c r="N401" s="223"/>
      <c r="O401" s="706">
        <f t="shared" si="40"/>
        <v>0</v>
      </c>
    </row>
    <row r="402" spans="1:15" s="360" customFormat="1" ht="15" hidden="1">
      <c r="A402" s="356" t="s">
        <v>516</v>
      </c>
      <c r="B402" s="707" t="s">
        <v>2072</v>
      </c>
      <c r="C402" s="633">
        <f t="shared" si="38"/>
        <v>0</v>
      </c>
      <c r="D402" s="221"/>
      <c r="E402" s="15">
        <f t="shared" si="37"/>
        <v>1573.5</v>
      </c>
      <c r="F402" s="917">
        <f t="shared" si="36"/>
        <v>0</v>
      </c>
      <c r="G402" s="358">
        <f>SF!I69</f>
        <v>0</v>
      </c>
      <c r="H402" s="221" t="s">
        <v>102</v>
      </c>
      <c r="I402" s="355">
        <f>SF!K69</f>
        <v>1573.5</v>
      </c>
      <c r="J402" s="353">
        <f t="shared" si="39"/>
        <v>0</v>
      </c>
      <c r="K402" s="1912"/>
      <c r="L402" s="1912"/>
      <c r="M402" s="708" t="s">
        <v>2308</v>
      </c>
      <c r="N402" s="223"/>
      <c r="O402" s="706">
        <f t="shared" si="40"/>
        <v>0</v>
      </c>
    </row>
    <row r="403" spans="1:15" s="360" customFormat="1" ht="15" hidden="1">
      <c r="A403" s="356" t="s">
        <v>516</v>
      </c>
      <c r="B403" s="707" t="s">
        <v>2072</v>
      </c>
      <c r="C403" s="633">
        <f t="shared" si="38"/>
        <v>0</v>
      </c>
      <c r="D403" s="221"/>
      <c r="E403" s="15">
        <f t="shared" si="37"/>
        <v>1675.0100000000002</v>
      </c>
      <c r="F403" s="917">
        <f t="shared" si="36"/>
        <v>0</v>
      </c>
      <c r="G403" s="358">
        <f>SF!I75</f>
        <v>0</v>
      </c>
      <c r="H403" s="221" t="s">
        <v>102</v>
      </c>
      <c r="I403" s="355">
        <f>SF!K75</f>
        <v>1675.0100000000002</v>
      </c>
      <c r="J403" s="353">
        <f t="shared" si="39"/>
        <v>0</v>
      </c>
      <c r="K403" s="1912"/>
      <c r="L403" s="1912"/>
      <c r="M403" s="708" t="s">
        <v>2321</v>
      </c>
      <c r="N403" s="223"/>
      <c r="O403" s="706">
        <f t="shared" si="40"/>
        <v>0</v>
      </c>
    </row>
    <row r="404" spans="1:15" s="360" customFormat="1" ht="15" hidden="1">
      <c r="A404" s="356" t="s">
        <v>516</v>
      </c>
      <c r="B404" s="707" t="s">
        <v>2072</v>
      </c>
      <c r="C404" s="633">
        <f t="shared" si="38"/>
        <v>0</v>
      </c>
      <c r="D404" s="221"/>
      <c r="E404" s="15">
        <f t="shared" si="37"/>
        <v>1737.05</v>
      </c>
      <c r="F404" s="917">
        <f t="shared" si="36"/>
        <v>0</v>
      </c>
      <c r="G404" s="358">
        <f>SF!I81</f>
        <v>0</v>
      </c>
      <c r="H404" s="221" t="s">
        <v>102</v>
      </c>
      <c r="I404" s="355">
        <f>SF!K81</f>
        <v>1737.05</v>
      </c>
      <c r="J404" s="353">
        <f t="shared" si="39"/>
        <v>0</v>
      </c>
      <c r="K404" s="1913"/>
      <c r="L404" s="1913"/>
      <c r="M404" s="708" t="s">
        <v>2322</v>
      </c>
      <c r="N404" s="223"/>
      <c r="O404" s="706">
        <f t="shared" si="40"/>
        <v>0</v>
      </c>
    </row>
    <row r="405" spans="1:15" s="360" customFormat="1" ht="15" hidden="1">
      <c r="A405" s="356" t="s">
        <v>517</v>
      </c>
      <c r="B405" s="707" t="s">
        <v>2079</v>
      </c>
      <c r="C405" s="633">
        <f t="shared" si="38"/>
        <v>0</v>
      </c>
      <c r="D405" s="221"/>
      <c r="E405" s="15">
        <f t="shared" si="37"/>
        <v>747.27</v>
      </c>
      <c r="F405" s="917">
        <f t="shared" si="36"/>
        <v>0</v>
      </c>
      <c r="G405" s="358">
        <f>SF!I127</f>
        <v>0</v>
      </c>
      <c r="H405" s="221" t="s">
        <v>102</v>
      </c>
      <c r="I405" s="355">
        <f>SF!K127</f>
        <v>747.27</v>
      </c>
      <c r="J405" s="353">
        <f t="shared" si="39"/>
        <v>0</v>
      </c>
      <c r="K405" s="1911">
        <f>IF((J405+J406+J407+J408)&gt;(F405+F406+F407+F408),(J405+J406+J407+J408)-(F405+F406+F407+F408),0)</f>
        <v>0</v>
      </c>
      <c r="L405" s="1911">
        <f>IF((J405+J406+J407+J408)&lt;(F405+F406+F407+F408),(F405+F406+F407+F408)-(J405+J406+J407+J408),0)</f>
        <v>0</v>
      </c>
      <c r="M405" s="708" t="s">
        <v>2226</v>
      </c>
      <c r="N405" s="223"/>
      <c r="O405" s="706">
        <f t="shared" si="40"/>
        <v>0</v>
      </c>
    </row>
    <row r="406" spans="1:15" s="360" customFormat="1" ht="15" hidden="1">
      <c r="A406" s="356" t="s">
        <v>517</v>
      </c>
      <c r="B406" s="707" t="s">
        <v>2079</v>
      </c>
      <c r="C406" s="633">
        <f t="shared" si="38"/>
        <v>0</v>
      </c>
      <c r="D406" s="221"/>
      <c r="E406" s="15">
        <f t="shared" si="37"/>
        <v>779.57</v>
      </c>
      <c r="F406" s="917">
        <f t="shared" si="36"/>
        <v>0</v>
      </c>
      <c r="G406" s="358">
        <f>SF!I133</f>
        <v>0</v>
      </c>
      <c r="H406" s="221" t="s">
        <v>102</v>
      </c>
      <c r="I406" s="355">
        <f>SF!K133</f>
        <v>779.57</v>
      </c>
      <c r="J406" s="353">
        <f t="shared" si="39"/>
        <v>0</v>
      </c>
      <c r="K406" s="1912"/>
      <c r="L406" s="1912"/>
      <c r="M406" s="708" t="s">
        <v>2308</v>
      </c>
      <c r="N406" s="223"/>
      <c r="O406" s="706">
        <f t="shared" si="40"/>
        <v>0</v>
      </c>
    </row>
    <row r="407" spans="1:15" s="360" customFormat="1" ht="15" hidden="1">
      <c r="A407" s="356" t="s">
        <v>517</v>
      </c>
      <c r="B407" s="707" t="s">
        <v>2079</v>
      </c>
      <c r="C407" s="633">
        <f t="shared" si="38"/>
        <v>0</v>
      </c>
      <c r="D407" s="221"/>
      <c r="E407" s="15">
        <f t="shared" si="37"/>
        <v>831.97</v>
      </c>
      <c r="F407" s="917">
        <f t="shared" si="36"/>
        <v>0</v>
      </c>
      <c r="G407" s="358">
        <f>SF!I139</f>
        <v>0</v>
      </c>
      <c r="H407" s="221" t="s">
        <v>102</v>
      </c>
      <c r="I407" s="355">
        <f>SF!K139</f>
        <v>831.97</v>
      </c>
      <c r="J407" s="353">
        <f t="shared" si="39"/>
        <v>0</v>
      </c>
      <c r="K407" s="1912"/>
      <c r="L407" s="1912"/>
      <c r="M407" s="708" t="s">
        <v>2321</v>
      </c>
      <c r="N407" s="223"/>
      <c r="O407" s="706">
        <f t="shared" si="40"/>
        <v>0</v>
      </c>
    </row>
    <row r="408" spans="1:15" s="360" customFormat="1" ht="15" hidden="1">
      <c r="A408" s="356" t="s">
        <v>517</v>
      </c>
      <c r="B408" s="707" t="s">
        <v>2079</v>
      </c>
      <c r="C408" s="633">
        <f t="shared" si="38"/>
        <v>0</v>
      </c>
      <c r="D408" s="221"/>
      <c r="E408" s="15">
        <f t="shared" si="37"/>
        <v>865.17</v>
      </c>
      <c r="F408" s="917">
        <f t="shared" si="36"/>
        <v>0</v>
      </c>
      <c r="G408" s="358">
        <f>SF!I145</f>
        <v>0</v>
      </c>
      <c r="H408" s="221" t="s">
        <v>102</v>
      </c>
      <c r="I408" s="355">
        <f>SF!K145</f>
        <v>865.17</v>
      </c>
      <c r="J408" s="353">
        <f t="shared" si="39"/>
        <v>0</v>
      </c>
      <c r="K408" s="1913"/>
      <c r="L408" s="1913"/>
      <c r="M408" s="708" t="s">
        <v>2322</v>
      </c>
      <c r="N408" s="223"/>
      <c r="O408" s="706">
        <f t="shared" si="40"/>
        <v>0</v>
      </c>
    </row>
    <row r="409" spans="1:15" s="360" customFormat="1" ht="15" hidden="1">
      <c r="A409" s="356" t="s">
        <v>517</v>
      </c>
      <c r="B409" s="707" t="s">
        <v>2080</v>
      </c>
      <c r="C409" s="633">
        <f t="shared" si="38"/>
        <v>0</v>
      </c>
      <c r="D409" s="221"/>
      <c r="E409" s="15">
        <f t="shared" si="37"/>
        <v>624.5</v>
      </c>
      <c r="F409" s="917">
        <f t="shared" si="36"/>
        <v>0</v>
      </c>
      <c r="G409" s="358">
        <f>SF!I151</f>
        <v>0</v>
      </c>
      <c r="H409" s="221" t="s">
        <v>102</v>
      </c>
      <c r="I409" s="355">
        <f>SF!K151</f>
        <v>624.5</v>
      </c>
      <c r="J409" s="353">
        <f t="shared" si="39"/>
        <v>0</v>
      </c>
      <c r="K409" s="1911">
        <f>IF((J409+J410+J411+J412)&gt;(F409+F410+F411+F412),(J409+J410+J411+J412)-(F409+F410+F411+F412),0)</f>
        <v>0</v>
      </c>
      <c r="L409" s="1911">
        <f>IF((J409+J410+J411+J412)&lt;(F409+F410+F411+F412),(F409+F410+F411+F412)-(J409+J410+J411+J412),0)</f>
        <v>0</v>
      </c>
      <c r="M409" s="708" t="s">
        <v>2226</v>
      </c>
      <c r="N409" s="223"/>
      <c r="O409" s="706">
        <f t="shared" si="40"/>
        <v>0</v>
      </c>
    </row>
    <row r="410" spans="1:15" s="360" customFormat="1" ht="15" hidden="1">
      <c r="A410" s="356" t="s">
        <v>517</v>
      </c>
      <c r="B410" s="707" t="s">
        <v>2080</v>
      </c>
      <c r="C410" s="633">
        <f t="shared" si="38"/>
        <v>0</v>
      </c>
      <c r="D410" s="221"/>
      <c r="E410" s="15">
        <f t="shared" si="37"/>
        <v>651.52</v>
      </c>
      <c r="F410" s="917">
        <f t="shared" si="36"/>
        <v>0</v>
      </c>
      <c r="G410" s="358">
        <f>SF!I157</f>
        <v>0</v>
      </c>
      <c r="H410" s="221" t="s">
        <v>102</v>
      </c>
      <c r="I410" s="355">
        <f>SF!K157</f>
        <v>651.52</v>
      </c>
      <c r="J410" s="353">
        <f t="shared" si="39"/>
        <v>0</v>
      </c>
      <c r="K410" s="1912"/>
      <c r="L410" s="1912"/>
      <c r="M410" s="708" t="s">
        <v>2308</v>
      </c>
      <c r="N410" s="223"/>
      <c r="O410" s="706">
        <f t="shared" si="40"/>
        <v>0</v>
      </c>
    </row>
    <row r="411" spans="1:15" s="360" customFormat="1" ht="15" hidden="1">
      <c r="A411" s="356" t="s">
        <v>517</v>
      </c>
      <c r="B411" s="707" t="s">
        <v>2080</v>
      </c>
      <c r="C411" s="633">
        <f t="shared" si="38"/>
        <v>0</v>
      </c>
      <c r="D411" s="221"/>
      <c r="E411" s="15">
        <f t="shared" si="37"/>
        <v>697.83999999999992</v>
      </c>
      <c r="F411" s="917">
        <f t="shared" si="36"/>
        <v>0</v>
      </c>
      <c r="G411" s="358">
        <f>SF!I163</f>
        <v>0</v>
      </c>
      <c r="H411" s="221" t="s">
        <v>102</v>
      </c>
      <c r="I411" s="355">
        <f>SF!K163</f>
        <v>697.83999999999992</v>
      </c>
      <c r="J411" s="353">
        <f t="shared" si="39"/>
        <v>0</v>
      </c>
      <c r="K411" s="1912"/>
      <c r="L411" s="1912"/>
      <c r="M411" s="708" t="s">
        <v>2321</v>
      </c>
      <c r="N411" s="223"/>
      <c r="O411" s="706">
        <f t="shared" si="40"/>
        <v>0</v>
      </c>
    </row>
    <row r="412" spans="1:15" s="360" customFormat="1" ht="15" hidden="1">
      <c r="A412" s="356" t="s">
        <v>517</v>
      </c>
      <c r="B412" s="707" t="s">
        <v>2080</v>
      </c>
      <c r="C412" s="633">
        <f t="shared" si="38"/>
        <v>0</v>
      </c>
      <c r="D412" s="221"/>
      <c r="E412" s="15">
        <f t="shared" si="37"/>
        <v>724.02</v>
      </c>
      <c r="F412" s="917">
        <f t="shared" si="36"/>
        <v>0</v>
      </c>
      <c r="G412" s="358">
        <f>SF!I169</f>
        <v>0</v>
      </c>
      <c r="H412" s="221" t="s">
        <v>102</v>
      </c>
      <c r="I412" s="355">
        <f>SF!K169</f>
        <v>724.02</v>
      </c>
      <c r="J412" s="353">
        <f t="shared" si="39"/>
        <v>0</v>
      </c>
      <c r="K412" s="1913"/>
      <c r="L412" s="1913"/>
      <c r="M412" s="708" t="s">
        <v>2322</v>
      </c>
      <c r="N412" s="223"/>
      <c r="O412" s="706">
        <f t="shared" si="40"/>
        <v>0</v>
      </c>
    </row>
    <row r="413" spans="1:15" s="360" customFormat="1" ht="15" hidden="1">
      <c r="A413" s="356" t="s">
        <v>518</v>
      </c>
      <c r="B413" s="707" t="s">
        <v>2076</v>
      </c>
      <c r="C413" s="633">
        <f t="shared" si="38"/>
        <v>0</v>
      </c>
      <c r="D413" s="354"/>
      <c r="E413" s="15">
        <f t="shared" si="37"/>
        <v>10426.34</v>
      </c>
      <c r="F413" s="917">
        <f t="shared" si="36"/>
        <v>0</v>
      </c>
      <c r="G413" s="358">
        <f>SF!I176</f>
        <v>0</v>
      </c>
      <c r="H413" s="354" t="s">
        <v>5</v>
      </c>
      <c r="I413" s="355">
        <f>SF!K176</f>
        <v>10426.34</v>
      </c>
      <c r="J413" s="353">
        <f t="shared" si="39"/>
        <v>0</v>
      </c>
      <c r="K413" s="1911">
        <f>IF((J413+J414+J415+J416)&gt;(F413+F414+F415+F416),(J413+J414+J415+J416)-(F413+F414+F415+F416),0)</f>
        <v>0</v>
      </c>
      <c r="L413" s="1911">
        <f>IF((J413+J414+J415+J416)&lt;(F413+F414+F415+F416),(F413+F414+F415+F416)-(J413+J414+J415+J416),0)</f>
        <v>0</v>
      </c>
      <c r="M413" s="708" t="s">
        <v>2226</v>
      </c>
      <c r="N413" s="223"/>
      <c r="O413" s="706">
        <f t="shared" si="40"/>
        <v>0</v>
      </c>
    </row>
    <row r="414" spans="1:15" s="360" customFormat="1" ht="15" hidden="1">
      <c r="A414" s="356" t="s">
        <v>518</v>
      </c>
      <c r="B414" s="707" t="s">
        <v>2076</v>
      </c>
      <c r="C414" s="633">
        <f t="shared" si="38"/>
        <v>0</v>
      </c>
      <c r="D414" s="354"/>
      <c r="E414" s="15">
        <f t="shared" si="37"/>
        <v>10817</v>
      </c>
      <c r="F414" s="917">
        <f t="shared" si="36"/>
        <v>0</v>
      </c>
      <c r="G414" s="358">
        <f>SF!I183</f>
        <v>0</v>
      </c>
      <c r="H414" s="354" t="s">
        <v>5</v>
      </c>
      <c r="I414" s="355">
        <f>SF!K183</f>
        <v>10817</v>
      </c>
      <c r="J414" s="353">
        <f t="shared" si="39"/>
        <v>0</v>
      </c>
      <c r="K414" s="1912"/>
      <c r="L414" s="1912"/>
      <c r="M414" s="708" t="s">
        <v>2308</v>
      </c>
      <c r="N414" s="223"/>
      <c r="O414" s="706">
        <f t="shared" si="40"/>
        <v>0</v>
      </c>
    </row>
    <row r="415" spans="1:15" s="360" customFormat="1" ht="15" hidden="1">
      <c r="A415" s="356" t="s">
        <v>518</v>
      </c>
      <c r="B415" s="707" t="s">
        <v>2076</v>
      </c>
      <c r="C415" s="633">
        <f t="shared" si="38"/>
        <v>0</v>
      </c>
      <c r="D415" s="354"/>
      <c r="E415" s="15">
        <f t="shared" si="37"/>
        <v>11426.3</v>
      </c>
      <c r="F415" s="917">
        <f t="shared" si="36"/>
        <v>0</v>
      </c>
      <c r="G415" s="358">
        <f>SF!I190</f>
        <v>0</v>
      </c>
      <c r="H415" s="354" t="s">
        <v>5</v>
      </c>
      <c r="I415" s="355">
        <f>SF!K190</f>
        <v>11426.3</v>
      </c>
      <c r="J415" s="353">
        <f t="shared" si="39"/>
        <v>0</v>
      </c>
      <c r="K415" s="1912"/>
      <c r="L415" s="1912"/>
      <c r="M415" s="708" t="s">
        <v>2321</v>
      </c>
      <c r="N415" s="223"/>
      <c r="O415" s="706">
        <f t="shared" si="40"/>
        <v>0</v>
      </c>
    </row>
    <row r="416" spans="1:15" s="360" customFormat="1" ht="15" hidden="1">
      <c r="A416" s="356" t="s">
        <v>518</v>
      </c>
      <c r="B416" s="707" t="s">
        <v>2076</v>
      </c>
      <c r="C416" s="633">
        <f t="shared" si="38"/>
        <v>0</v>
      </c>
      <c r="D416" s="354"/>
      <c r="E416" s="15">
        <f t="shared" si="37"/>
        <v>11874.810000000001</v>
      </c>
      <c r="F416" s="917">
        <f t="shared" si="36"/>
        <v>0</v>
      </c>
      <c r="G416" s="358">
        <f>SF!I197</f>
        <v>0</v>
      </c>
      <c r="H416" s="354" t="s">
        <v>5</v>
      </c>
      <c r="I416" s="355">
        <f>SF!K197</f>
        <v>11874.810000000001</v>
      </c>
      <c r="J416" s="353">
        <f t="shared" si="39"/>
        <v>0</v>
      </c>
      <c r="K416" s="1913"/>
      <c r="L416" s="1913"/>
      <c r="M416" s="708" t="s">
        <v>2322</v>
      </c>
      <c r="N416" s="223"/>
      <c r="O416" s="706">
        <f t="shared" si="40"/>
        <v>0</v>
      </c>
    </row>
    <row r="417" spans="1:15" s="360" customFormat="1" ht="15" hidden="1">
      <c r="A417" s="356" t="s">
        <v>519</v>
      </c>
      <c r="B417" s="707" t="s">
        <v>2077</v>
      </c>
      <c r="C417" s="633">
        <f t="shared" si="38"/>
        <v>0</v>
      </c>
      <c r="D417" s="221"/>
      <c r="E417" s="15">
        <f t="shared" si="37"/>
        <v>663.65999999999985</v>
      </c>
      <c r="F417" s="917">
        <f t="shared" si="36"/>
        <v>0</v>
      </c>
      <c r="G417" s="358">
        <f>SF!I202</f>
        <v>0</v>
      </c>
      <c r="H417" s="221" t="s">
        <v>277</v>
      </c>
      <c r="I417" s="355">
        <f>SF!K202</f>
        <v>663.65999999999985</v>
      </c>
      <c r="J417" s="353">
        <f t="shared" si="39"/>
        <v>0</v>
      </c>
      <c r="K417" s="1911">
        <f>IF((J417+J418+J419+J420)&gt;(F417+F418+F419+F420),(J417+J418+J419+J420)-(F417+F418+F419+F420),0)</f>
        <v>0</v>
      </c>
      <c r="L417" s="1911">
        <f>IF((J417+J418+J419+J420)&lt;(F417+F418+F419+F420),(F417+F418+F419+F420)-(J417+J418+J419+J420),0)</f>
        <v>0</v>
      </c>
      <c r="M417" s="708" t="s">
        <v>2226</v>
      </c>
      <c r="N417" s="223"/>
      <c r="O417" s="706">
        <f t="shared" si="40"/>
        <v>0</v>
      </c>
    </row>
    <row r="418" spans="1:15" s="360" customFormat="1" ht="15" hidden="1">
      <c r="A418" s="356" t="s">
        <v>519</v>
      </c>
      <c r="B418" s="707" t="s">
        <v>2077</v>
      </c>
      <c r="C418" s="633">
        <f t="shared" si="38"/>
        <v>0</v>
      </c>
      <c r="D418" s="221"/>
      <c r="E418" s="15">
        <f t="shared" si="37"/>
        <v>684.77</v>
      </c>
      <c r="F418" s="917">
        <f t="shared" si="36"/>
        <v>0</v>
      </c>
      <c r="G418" s="358">
        <f>SF!I207</f>
        <v>0</v>
      </c>
      <c r="H418" s="221" t="s">
        <v>277</v>
      </c>
      <c r="I418" s="355">
        <f>SF!K207</f>
        <v>684.77</v>
      </c>
      <c r="J418" s="353">
        <f t="shared" si="39"/>
        <v>0</v>
      </c>
      <c r="K418" s="1912"/>
      <c r="L418" s="1912"/>
      <c r="M418" s="708" t="s">
        <v>2308</v>
      </c>
      <c r="N418" s="223"/>
      <c r="O418" s="706">
        <f t="shared" si="40"/>
        <v>0</v>
      </c>
    </row>
    <row r="419" spans="1:15" s="360" customFormat="1" ht="15" hidden="1">
      <c r="A419" s="356" t="s">
        <v>519</v>
      </c>
      <c r="B419" s="707" t="s">
        <v>2077</v>
      </c>
      <c r="C419" s="633">
        <f t="shared" si="38"/>
        <v>0</v>
      </c>
      <c r="D419" s="221"/>
      <c r="E419" s="15">
        <f t="shared" si="37"/>
        <v>722.50999999999988</v>
      </c>
      <c r="F419" s="917">
        <f t="shared" si="36"/>
        <v>0</v>
      </c>
      <c r="G419" s="358">
        <f>SF!I212</f>
        <v>0</v>
      </c>
      <c r="H419" s="221" t="s">
        <v>277</v>
      </c>
      <c r="I419" s="355">
        <f>SF!K212</f>
        <v>722.50999999999988</v>
      </c>
      <c r="J419" s="353">
        <f t="shared" si="39"/>
        <v>0</v>
      </c>
      <c r="K419" s="1912"/>
      <c r="L419" s="1912"/>
      <c r="M419" s="708" t="s">
        <v>2321</v>
      </c>
      <c r="N419" s="223"/>
      <c r="O419" s="706">
        <f t="shared" si="40"/>
        <v>0</v>
      </c>
    </row>
    <row r="420" spans="1:15" s="360" customFormat="1" ht="15" hidden="1">
      <c r="A420" s="356" t="s">
        <v>519</v>
      </c>
      <c r="B420" s="707" t="s">
        <v>2077</v>
      </c>
      <c r="C420" s="633">
        <f t="shared" si="38"/>
        <v>0</v>
      </c>
      <c r="D420" s="221"/>
      <c r="E420" s="15">
        <f t="shared" si="37"/>
        <v>744.7299999999999</v>
      </c>
      <c r="F420" s="917">
        <f t="shared" si="36"/>
        <v>0</v>
      </c>
      <c r="G420" s="358">
        <f>SF!I217</f>
        <v>0</v>
      </c>
      <c r="H420" s="221" t="s">
        <v>277</v>
      </c>
      <c r="I420" s="355">
        <f>SF!K217</f>
        <v>744.7299999999999</v>
      </c>
      <c r="J420" s="353">
        <f t="shared" si="39"/>
        <v>0</v>
      </c>
      <c r="K420" s="1913"/>
      <c r="L420" s="1913"/>
      <c r="M420" s="708" t="s">
        <v>2322</v>
      </c>
      <c r="N420" s="223"/>
      <c r="O420" s="706">
        <f t="shared" si="40"/>
        <v>0</v>
      </c>
    </row>
    <row r="421" spans="1:15" s="360" customFormat="1" ht="15" hidden="1">
      <c r="A421" s="356" t="s">
        <v>519</v>
      </c>
      <c r="B421" s="707" t="s">
        <v>1480</v>
      </c>
      <c r="C421" s="633">
        <f t="shared" si="38"/>
        <v>0</v>
      </c>
      <c r="D421" s="221"/>
      <c r="E421" s="15">
        <f t="shared" si="37"/>
        <v>297.64999999999998</v>
      </c>
      <c r="F421" s="917">
        <f t="shared" si="36"/>
        <v>0</v>
      </c>
      <c r="G421" s="358">
        <f>SF!I222</f>
        <v>0</v>
      </c>
      <c r="H421" s="221" t="s">
        <v>102</v>
      </c>
      <c r="I421" s="355">
        <f>SF!K222</f>
        <v>297.64999999999998</v>
      </c>
      <c r="J421" s="353">
        <f t="shared" si="39"/>
        <v>0</v>
      </c>
      <c r="K421" s="1911">
        <f>IF((J421+J422+J423+J424)&gt;(F421+F422+F423+F424),(J421+J422+J423+J424)-(F421+F422+F423+F424),0)</f>
        <v>0</v>
      </c>
      <c r="L421" s="1911">
        <f>IF((J421+J422+J423+J424)&lt;(F421+F422+F423+F424),(F421+F422+F423+F424)-(J421+J422+J423+J424),0)</f>
        <v>0</v>
      </c>
      <c r="M421" s="708" t="s">
        <v>2226</v>
      </c>
      <c r="N421" s="223"/>
      <c r="O421" s="706">
        <f t="shared" si="40"/>
        <v>0</v>
      </c>
    </row>
    <row r="422" spans="1:15" s="360" customFormat="1" ht="15" hidden="1">
      <c r="A422" s="356" t="s">
        <v>519</v>
      </c>
      <c r="B422" s="707" t="s">
        <v>1480</v>
      </c>
      <c r="C422" s="633">
        <f t="shared" si="38"/>
        <v>0</v>
      </c>
      <c r="D422" s="221"/>
      <c r="E422" s="15">
        <f t="shared" si="37"/>
        <v>321.24</v>
      </c>
      <c r="F422" s="917">
        <f t="shared" si="36"/>
        <v>0</v>
      </c>
      <c r="G422" s="358">
        <f>SF!I227</f>
        <v>0</v>
      </c>
      <c r="H422" s="221" t="s">
        <v>102</v>
      </c>
      <c r="I422" s="355">
        <f>SF!K227</f>
        <v>321.24</v>
      </c>
      <c r="J422" s="353">
        <f t="shared" si="39"/>
        <v>0</v>
      </c>
      <c r="K422" s="1912"/>
      <c r="L422" s="1912"/>
      <c r="M422" s="708" t="s">
        <v>2308</v>
      </c>
      <c r="N422" s="223"/>
      <c r="O422" s="706">
        <f t="shared" si="40"/>
        <v>0</v>
      </c>
    </row>
    <row r="423" spans="1:15" s="360" customFormat="1" ht="15" hidden="1">
      <c r="A423" s="356" t="s">
        <v>519</v>
      </c>
      <c r="B423" s="707" t="s">
        <v>1480</v>
      </c>
      <c r="C423" s="633">
        <f t="shared" si="38"/>
        <v>0</v>
      </c>
      <c r="D423" s="221"/>
      <c r="E423" s="15">
        <f t="shared" si="37"/>
        <v>340.95</v>
      </c>
      <c r="F423" s="917">
        <f t="shared" si="36"/>
        <v>0</v>
      </c>
      <c r="G423" s="358">
        <f>SF!I232</f>
        <v>0</v>
      </c>
      <c r="H423" s="221" t="s">
        <v>102</v>
      </c>
      <c r="I423" s="355">
        <f>SF!K232</f>
        <v>340.95</v>
      </c>
      <c r="J423" s="353">
        <f t="shared" si="39"/>
        <v>0</v>
      </c>
      <c r="K423" s="1912"/>
      <c r="L423" s="1912"/>
      <c r="M423" s="708" t="s">
        <v>2321</v>
      </c>
      <c r="N423" s="223"/>
      <c r="O423" s="706">
        <f t="shared" si="40"/>
        <v>0</v>
      </c>
    </row>
    <row r="424" spans="1:15" s="360" customFormat="1" ht="15" hidden="1">
      <c r="A424" s="356" t="s">
        <v>519</v>
      </c>
      <c r="B424" s="707" t="s">
        <v>1480</v>
      </c>
      <c r="C424" s="633">
        <f t="shared" si="38"/>
        <v>0</v>
      </c>
      <c r="D424" s="221"/>
      <c r="E424" s="15">
        <f t="shared" si="37"/>
        <v>362.63</v>
      </c>
      <c r="F424" s="917">
        <f t="shared" si="36"/>
        <v>0</v>
      </c>
      <c r="G424" s="358">
        <f>SF!I237</f>
        <v>0</v>
      </c>
      <c r="H424" s="221" t="s">
        <v>102</v>
      </c>
      <c r="I424" s="355">
        <f>SF!K237</f>
        <v>362.63</v>
      </c>
      <c r="J424" s="353">
        <f t="shared" si="39"/>
        <v>0</v>
      </c>
      <c r="K424" s="1913"/>
      <c r="L424" s="1913"/>
      <c r="M424" s="708" t="s">
        <v>2322</v>
      </c>
      <c r="N424" s="223"/>
      <c r="O424" s="706">
        <f t="shared" si="40"/>
        <v>0</v>
      </c>
    </row>
    <row r="425" spans="1:15" s="360" customFormat="1" ht="15" hidden="1">
      <c r="A425" s="356" t="s">
        <v>520</v>
      </c>
      <c r="B425" s="707" t="s">
        <v>1481</v>
      </c>
      <c r="C425" s="633">
        <f t="shared" si="38"/>
        <v>0</v>
      </c>
      <c r="D425" s="221"/>
      <c r="E425" s="15">
        <f t="shared" si="37"/>
        <v>382.24</v>
      </c>
      <c r="F425" s="917">
        <f t="shared" si="36"/>
        <v>0</v>
      </c>
      <c r="G425" s="358">
        <f>SF!I243</f>
        <v>0</v>
      </c>
      <c r="H425" s="221" t="s">
        <v>102</v>
      </c>
      <c r="I425" s="355">
        <f>SF!K243</f>
        <v>382.24</v>
      </c>
      <c r="J425" s="353">
        <f t="shared" si="39"/>
        <v>0</v>
      </c>
      <c r="K425" s="1911">
        <f>IF((J425+J426+J427+J428)&gt;(F425+F426+F427+F428),(J425+J426+J427+J428)-(F425+F426+F427+F428),0)</f>
        <v>0</v>
      </c>
      <c r="L425" s="1911">
        <f>IF((J425+J426+J427+J428)&lt;(F425+F426+F427+F428),(F425+F426+F427+F428)-(J425+J426+J427+J428),0)</f>
        <v>0</v>
      </c>
      <c r="M425" s="708" t="s">
        <v>2226</v>
      </c>
      <c r="N425" s="223"/>
      <c r="O425" s="706">
        <f t="shared" si="40"/>
        <v>0</v>
      </c>
    </row>
    <row r="426" spans="1:15" s="360" customFormat="1" ht="15" hidden="1">
      <c r="A426" s="356" t="s">
        <v>520</v>
      </c>
      <c r="B426" s="707" t="s">
        <v>1481</v>
      </c>
      <c r="C426" s="633">
        <f t="shared" si="38"/>
        <v>0</v>
      </c>
      <c r="D426" s="221"/>
      <c r="E426" s="15">
        <f t="shared" si="37"/>
        <v>414.32</v>
      </c>
      <c r="F426" s="917">
        <f t="shared" si="36"/>
        <v>0</v>
      </c>
      <c r="G426" s="358">
        <f>SF!I249</f>
        <v>0</v>
      </c>
      <c r="H426" s="221" t="s">
        <v>102</v>
      </c>
      <c r="I426" s="355">
        <f>SF!K249</f>
        <v>414.32</v>
      </c>
      <c r="J426" s="353">
        <f t="shared" si="39"/>
        <v>0</v>
      </c>
      <c r="K426" s="1912"/>
      <c r="L426" s="1912"/>
      <c r="M426" s="708" t="s">
        <v>2308</v>
      </c>
      <c r="N426" s="223"/>
      <c r="O426" s="706">
        <f t="shared" si="40"/>
        <v>0</v>
      </c>
    </row>
    <row r="427" spans="1:15" s="360" customFormat="1" ht="15" hidden="1">
      <c r="A427" s="356" t="s">
        <v>520</v>
      </c>
      <c r="B427" s="707" t="s">
        <v>1481</v>
      </c>
      <c r="C427" s="633">
        <f t="shared" si="38"/>
        <v>0</v>
      </c>
      <c r="D427" s="221"/>
      <c r="E427" s="15">
        <f t="shared" si="37"/>
        <v>440.9</v>
      </c>
      <c r="F427" s="917">
        <f t="shared" si="36"/>
        <v>0</v>
      </c>
      <c r="G427" s="358">
        <f>SF!I255</f>
        <v>0</v>
      </c>
      <c r="H427" s="221" t="s">
        <v>102</v>
      </c>
      <c r="I427" s="355">
        <f>SF!K255</f>
        <v>440.9</v>
      </c>
      <c r="J427" s="353">
        <f t="shared" si="39"/>
        <v>0</v>
      </c>
      <c r="K427" s="1912"/>
      <c r="L427" s="1912"/>
      <c r="M427" s="708" t="s">
        <v>2321</v>
      </c>
      <c r="N427" s="223"/>
      <c r="O427" s="706">
        <f t="shared" si="40"/>
        <v>0</v>
      </c>
    </row>
    <row r="428" spans="1:15" s="360" customFormat="1" ht="15" hidden="1">
      <c r="A428" s="356" t="s">
        <v>520</v>
      </c>
      <c r="B428" s="707" t="s">
        <v>1481</v>
      </c>
      <c r="C428" s="633">
        <f t="shared" si="38"/>
        <v>0</v>
      </c>
      <c r="D428" s="221"/>
      <c r="E428" s="15">
        <f t="shared" si="37"/>
        <v>470.34</v>
      </c>
      <c r="F428" s="917">
        <f t="shared" si="36"/>
        <v>0</v>
      </c>
      <c r="G428" s="358">
        <f>SF!I261</f>
        <v>0</v>
      </c>
      <c r="H428" s="221" t="s">
        <v>102</v>
      </c>
      <c r="I428" s="355">
        <f>SF!K261</f>
        <v>470.34</v>
      </c>
      <c r="J428" s="353">
        <f t="shared" si="39"/>
        <v>0</v>
      </c>
      <c r="K428" s="1913"/>
      <c r="L428" s="1913"/>
      <c r="M428" s="708" t="s">
        <v>2322</v>
      </c>
      <c r="N428" s="223"/>
      <c r="O428" s="706">
        <f t="shared" si="40"/>
        <v>0</v>
      </c>
    </row>
    <row r="429" spans="1:15" s="360" customFormat="1" ht="63.75" hidden="1">
      <c r="A429" s="356" t="s">
        <v>508</v>
      </c>
      <c r="B429" s="707" t="s">
        <v>3276</v>
      </c>
      <c r="C429" s="633">
        <f t="shared" si="38"/>
        <v>0</v>
      </c>
      <c r="D429" s="354" t="s">
        <v>5</v>
      </c>
      <c r="E429" s="10">
        <f t="shared" si="37"/>
        <v>6307.0100000000011</v>
      </c>
      <c r="F429" s="917">
        <f t="shared" si="36"/>
        <v>0</v>
      </c>
      <c r="G429" s="358">
        <f>SF!I298</f>
        <v>0</v>
      </c>
      <c r="H429" s="354" t="s">
        <v>5</v>
      </c>
      <c r="I429" s="355">
        <f>SF!K298</f>
        <v>6307.0100000000011</v>
      </c>
      <c r="J429" s="353">
        <f t="shared" si="39"/>
        <v>0</v>
      </c>
      <c r="K429" s="1930">
        <f>IF((J429+J430+J431+J432)&gt;(F429+F430+F431+F432),(J429+J430+J431+J432)-(F429+F430+F431+F432),0)</f>
        <v>0</v>
      </c>
      <c r="L429" s="1930">
        <f>IF((J429+J430+J431+J432)&lt;(F429+F430+F431+F432),(F429+F430+F431+F432)-(J429+J430+J431+J432),0)</f>
        <v>0</v>
      </c>
      <c r="M429" s="1139" t="s">
        <v>2226</v>
      </c>
      <c r="N429" s="223"/>
      <c r="O429" s="1138">
        <f t="shared" si="40"/>
        <v>0</v>
      </c>
    </row>
    <row r="430" spans="1:15" s="360" customFormat="1" ht="15" hidden="1">
      <c r="A430" s="356" t="s">
        <v>1591</v>
      </c>
      <c r="B430" s="707" t="s">
        <v>829</v>
      </c>
      <c r="C430" s="633">
        <f t="shared" si="38"/>
        <v>0</v>
      </c>
      <c r="D430" s="354"/>
      <c r="E430" s="15">
        <f t="shared" si="37"/>
        <v>6491.829999999999</v>
      </c>
      <c r="F430" s="917">
        <f t="shared" si="36"/>
        <v>0</v>
      </c>
      <c r="G430" s="358">
        <f>SF!I307</f>
        <v>0</v>
      </c>
      <c r="H430" s="354" t="s">
        <v>5</v>
      </c>
      <c r="I430" s="355">
        <f>SF!K307</f>
        <v>6491.829999999999</v>
      </c>
      <c r="J430" s="353">
        <f t="shared" si="39"/>
        <v>0</v>
      </c>
      <c r="K430" s="1912"/>
      <c r="L430" s="1912"/>
      <c r="M430" s="708" t="s">
        <v>2308</v>
      </c>
      <c r="N430" s="223"/>
      <c r="O430" s="706">
        <f t="shared" si="40"/>
        <v>0</v>
      </c>
    </row>
    <row r="431" spans="1:15" s="360" customFormat="1" ht="15" hidden="1">
      <c r="A431" s="356" t="s">
        <v>1588</v>
      </c>
      <c r="B431" s="707" t="s">
        <v>829</v>
      </c>
      <c r="C431" s="633">
        <f t="shared" si="38"/>
        <v>0</v>
      </c>
      <c r="D431" s="354"/>
      <c r="E431" s="15">
        <f t="shared" si="37"/>
        <v>6937.8099999999995</v>
      </c>
      <c r="F431" s="917">
        <f t="shared" si="36"/>
        <v>0</v>
      </c>
      <c r="G431" s="358">
        <f>SF!I312</f>
        <v>0</v>
      </c>
      <c r="H431" s="354" t="s">
        <v>5</v>
      </c>
      <c r="I431" s="355">
        <f>SF!K312</f>
        <v>6937.8099999999995</v>
      </c>
      <c r="J431" s="353">
        <f t="shared" si="39"/>
        <v>0</v>
      </c>
      <c r="K431" s="1912"/>
      <c r="L431" s="1912"/>
      <c r="M431" s="708" t="s">
        <v>2321</v>
      </c>
      <c r="N431" s="223"/>
      <c r="O431" s="706">
        <f t="shared" si="40"/>
        <v>0</v>
      </c>
    </row>
    <row r="432" spans="1:15" s="360" customFormat="1" ht="15" hidden="1">
      <c r="A432" s="356" t="s">
        <v>1588</v>
      </c>
      <c r="B432" s="707" t="s">
        <v>829</v>
      </c>
      <c r="C432" s="633">
        <f t="shared" si="38"/>
        <v>0</v>
      </c>
      <c r="D432" s="354"/>
      <c r="E432" s="15">
        <f t="shared" si="37"/>
        <v>7673.4</v>
      </c>
      <c r="F432" s="917">
        <f t="shared" ref="F432:F495" si="41">ROUND(C432*E432,0)</f>
        <v>0</v>
      </c>
      <c r="G432" s="358">
        <f>SF!I320</f>
        <v>0</v>
      </c>
      <c r="H432" s="354" t="s">
        <v>5</v>
      </c>
      <c r="I432" s="355">
        <f>SF!K320</f>
        <v>7673.4</v>
      </c>
      <c r="J432" s="353">
        <f t="shared" si="39"/>
        <v>0</v>
      </c>
      <c r="K432" s="1913"/>
      <c r="L432" s="1913"/>
      <c r="M432" s="708" t="s">
        <v>2322</v>
      </c>
      <c r="N432" s="223"/>
      <c r="O432" s="706">
        <f t="shared" si="40"/>
        <v>0</v>
      </c>
    </row>
    <row r="433" spans="1:15" s="360" customFormat="1" ht="15" hidden="1">
      <c r="A433" s="356" t="s">
        <v>491</v>
      </c>
      <c r="B433" s="707" t="s">
        <v>828</v>
      </c>
      <c r="C433" s="633">
        <f t="shared" si="38"/>
        <v>0</v>
      </c>
      <c r="D433" s="354"/>
      <c r="E433" s="15">
        <f t="shared" ref="E433:E496" si="42">I433</f>
        <v>6250.6100000000015</v>
      </c>
      <c r="F433" s="917">
        <f t="shared" si="41"/>
        <v>0</v>
      </c>
      <c r="G433" s="358">
        <f>SF!I269</f>
        <v>0</v>
      </c>
      <c r="H433" s="354" t="s">
        <v>5</v>
      </c>
      <c r="I433" s="355">
        <f>SF!K269</f>
        <v>6250.6100000000015</v>
      </c>
      <c r="J433" s="353">
        <f t="shared" si="39"/>
        <v>0</v>
      </c>
      <c r="K433" s="1911">
        <f>IF((J433+J434+J435+J436)&gt;(F433+F434+F435+F436),(J433+J434+J435+J436)-(F433+F434+F435+F436),0)</f>
        <v>0</v>
      </c>
      <c r="L433" s="1911">
        <f>IF((J433+J434+J435+J436)&lt;(F433+F434+F435+F436),(F433+F434+F435+F436)-(J433+J434+J435+J436),0)</f>
        <v>0</v>
      </c>
      <c r="M433" s="708" t="s">
        <v>2226</v>
      </c>
      <c r="N433" s="223"/>
      <c r="O433" s="706">
        <f t="shared" si="40"/>
        <v>0</v>
      </c>
    </row>
    <row r="434" spans="1:15" s="360" customFormat="1" ht="15" hidden="1">
      <c r="A434" s="356" t="s">
        <v>647</v>
      </c>
      <c r="B434" s="707" t="s">
        <v>828</v>
      </c>
      <c r="C434" s="633">
        <f t="shared" si="38"/>
        <v>0</v>
      </c>
      <c r="D434" s="354"/>
      <c r="E434" s="15">
        <f t="shared" si="42"/>
        <v>6435.4299999999994</v>
      </c>
      <c r="F434" s="917">
        <f t="shared" si="41"/>
        <v>0</v>
      </c>
      <c r="G434" s="358">
        <f>SF!I274</f>
        <v>0</v>
      </c>
      <c r="H434" s="354" t="s">
        <v>5</v>
      </c>
      <c r="I434" s="355">
        <f>SF!K274</f>
        <v>6435.4299999999994</v>
      </c>
      <c r="J434" s="353">
        <f t="shared" si="39"/>
        <v>0</v>
      </c>
      <c r="K434" s="1912"/>
      <c r="L434" s="1912"/>
      <c r="M434" s="708" t="s">
        <v>2308</v>
      </c>
      <c r="N434" s="223"/>
      <c r="O434" s="706">
        <f t="shared" si="40"/>
        <v>0</v>
      </c>
    </row>
    <row r="435" spans="1:15" s="360" customFormat="1" ht="15" hidden="1">
      <c r="A435" s="356" t="s">
        <v>491</v>
      </c>
      <c r="B435" s="707" t="s">
        <v>828</v>
      </c>
      <c r="C435" s="633">
        <f t="shared" si="38"/>
        <v>0</v>
      </c>
      <c r="D435" s="354"/>
      <c r="E435" s="15">
        <f t="shared" si="42"/>
        <v>6881.41</v>
      </c>
      <c r="F435" s="917">
        <f t="shared" si="41"/>
        <v>0</v>
      </c>
      <c r="G435" s="358">
        <f>SF!I282</f>
        <v>0</v>
      </c>
      <c r="H435" s="354" t="s">
        <v>5</v>
      </c>
      <c r="I435" s="355">
        <f>SF!K282</f>
        <v>6881.41</v>
      </c>
      <c r="J435" s="353">
        <f t="shared" si="39"/>
        <v>0</v>
      </c>
      <c r="K435" s="1912"/>
      <c r="L435" s="1912"/>
      <c r="M435" s="708" t="s">
        <v>2321</v>
      </c>
      <c r="N435" s="223"/>
      <c r="O435" s="706">
        <f t="shared" si="40"/>
        <v>0</v>
      </c>
    </row>
    <row r="436" spans="1:15" s="360" customFormat="1" ht="15" hidden="1">
      <c r="A436" s="356" t="s">
        <v>491</v>
      </c>
      <c r="B436" s="707" t="s">
        <v>828</v>
      </c>
      <c r="C436" s="633">
        <f t="shared" si="38"/>
        <v>0</v>
      </c>
      <c r="D436" s="354"/>
      <c r="E436" s="15">
        <f t="shared" si="42"/>
        <v>7616.9999999999991</v>
      </c>
      <c r="F436" s="917">
        <f t="shared" si="41"/>
        <v>0</v>
      </c>
      <c r="G436" s="358">
        <f>SF!I290</f>
        <v>0</v>
      </c>
      <c r="H436" s="354" t="s">
        <v>5</v>
      </c>
      <c r="I436" s="355">
        <f>SF!K290</f>
        <v>7616.9999999999991</v>
      </c>
      <c r="J436" s="353">
        <f t="shared" si="39"/>
        <v>0</v>
      </c>
      <c r="K436" s="1913"/>
      <c r="L436" s="1913"/>
      <c r="M436" s="708" t="s">
        <v>2322</v>
      </c>
      <c r="N436" s="223"/>
      <c r="O436" s="706">
        <f t="shared" si="40"/>
        <v>0</v>
      </c>
    </row>
    <row r="437" spans="1:15" s="360" customFormat="1" ht="51" hidden="1">
      <c r="A437" s="356" t="s">
        <v>510</v>
      </c>
      <c r="B437" s="707" t="s">
        <v>3277</v>
      </c>
      <c r="C437" s="633">
        <f t="shared" si="38"/>
        <v>0</v>
      </c>
      <c r="D437" s="354" t="s">
        <v>102</v>
      </c>
      <c r="E437" s="10">
        <f t="shared" si="42"/>
        <v>830.76</v>
      </c>
      <c r="F437" s="917">
        <f t="shared" si="41"/>
        <v>0</v>
      </c>
      <c r="G437" s="358">
        <f>SF!I328</f>
        <v>0</v>
      </c>
      <c r="H437" s="354" t="s">
        <v>102</v>
      </c>
      <c r="I437" s="355">
        <f>SF!K328</f>
        <v>830.76</v>
      </c>
      <c r="J437" s="353">
        <f t="shared" si="39"/>
        <v>0</v>
      </c>
      <c r="K437" s="1930">
        <f>IF((J437+J438+J439+J440)&gt;(F437+F438+F439+F440),(J437+J438+J439+J440)-(F437+F438+F439+F440),0)</f>
        <v>0</v>
      </c>
      <c r="L437" s="1930">
        <f>IF((J437+J438+J439+J440)&lt;(F437+F438+F439+F440),(F437+F438+F439+F440)-(J437+J438+J439+J440),0)</f>
        <v>0</v>
      </c>
      <c r="M437" s="1139" t="s">
        <v>2226</v>
      </c>
      <c r="N437" s="223"/>
      <c r="O437" s="1138">
        <f t="shared" si="40"/>
        <v>0</v>
      </c>
    </row>
    <row r="438" spans="1:15" s="360" customFormat="1" ht="25.5" hidden="1">
      <c r="A438" s="356" t="s">
        <v>1592</v>
      </c>
      <c r="B438" s="707" t="s">
        <v>705</v>
      </c>
      <c r="C438" s="633">
        <f t="shared" si="38"/>
        <v>0</v>
      </c>
      <c r="D438" s="354"/>
      <c r="E438" s="15">
        <f t="shared" si="42"/>
        <v>856.26</v>
      </c>
      <c r="F438" s="917">
        <f t="shared" si="41"/>
        <v>0</v>
      </c>
      <c r="G438" s="358">
        <f>SF!I333</f>
        <v>0</v>
      </c>
      <c r="H438" s="354" t="s">
        <v>102</v>
      </c>
      <c r="I438" s="355">
        <f>SF!K333</f>
        <v>856.26</v>
      </c>
      <c r="J438" s="353">
        <f t="shared" si="39"/>
        <v>0</v>
      </c>
      <c r="K438" s="1912"/>
      <c r="L438" s="1912"/>
      <c r="M438" s="708" t="s">
        <v>2308</v>
      </c>
      <c r="N438" s="223"/>
      <c r="O438" s="706">
        <f t="shared" si="40"/>
        <v>0</v>
      </c>
    </row>
    <row r="439" spans="1:15" s="360" customFormat="1" ht="25.5" hidden="1">
      <c r="A439" s="356" t="s">
        <v>646</v>
      </c>
      <c r="B439" s="707" t="s">
        <v>705</v>
      </c>
      <c r="C439" s="633">
        <f t="shared" si="38"/>
        <v>0</v>
      </c>
      <c r="D439" s="354"/>
      <c r="E439" s="15">
        <f t="shared" si="42"/>
        <v>913.89</v>
      </c>
      <c r="F439" s="917">
        <f t="shared" si="41"/>
        <v>0</v>
      </c>
      <c r="G439" s="358">
        <f>SF!I339</f>
        <v>0</v>
      </c>
      <c r="H439" s="354" t="s">
        <v>102</v>
      </c>
      <c r="I439" s="355">
        <f>SF!K339</f>
        <v>913.89</v>
      </c>
      <c r="J439" s="353">
        <f t="shared" si="39"/>
        <v>0</v>
      </c>
      <c r="K439" s="1912"/>
      <c r="L439" s="1912"/>
      <c r="M439" s="708" t="s">
        <v>2321</v>
      </c>
      <c r="N439" s="223"/>
      <c r="O439" s="706">
        <f t="shared" si="40"/>
        <v>0</v>
      </c>
    </row>
    <row r="440" spans="1:15" s="360" customFormat="1" ht="25.5" hidden="1">
      <c r="A440" s="356" t="s">
        <v>646</v>
      </c>
      <c r="B440" s="707" t="s">
        <v>705</v>
      </c>
      <c r="C440" s="633">
        <f t="shared" si="38"/>
        <v>0</v>
      </c>
      <c r="D440" s="354"/>
      <c r="E440" s="15">
        <f t="shared" si="42"/>
        <v>999.57</v>
      </c>
      <c r="F440" s="917">
        <f t="shared" si="41"/>
        <v>0</v>
      </c>
      <c r="G440" s="358">
        <f>SF!I347</f>
        <v>0</v>
      </c>
      <c r="H440" s="354" t="s">
        <v>102</v>
      </c>
      <c r="I440" s="355">
        <f>SF!K347</f>
        <v>999.57</v>
      </c>
      <c r="J440" s="353">
        <f t="shared" si="39"/>
        <v>0</v>
      </c>
      <c r="K440" s="1913"/>
      <c r="L440" s="1913"/>
      <c r="M440" s="708" t="s">
        <v>2322</v>
      </c>
      <c r="N440" s="223"/>
      <c r="O440" s="706">
        <f t="shared" si="40"/>
        <v>0</v>
      </c>
    </row>
    <row r="441" spans="1:15" s="360" customFormat="1" ht="15" hidden="1">
      <c r="A441" s="356" t="s">
        <v>483</v>
      </c>
      <c r="B441" s="707" t="s">
        <v>1222</v>
      </c>
      <c r="C441" s="633">
        <f t="shared" si="38"/>
        <v>0</v>
      </c>
      <c r="D441" s="354"/>
      <c r="E441" s="15">
        <f t="shared" si="42"/>
        <v>6013.9600000000009</v>
      </c>
      <c r="F441" s="917">
        <f t="shared" si="41"/>
        <v>0</v>
      </c>
      <c r="G441" s="358">
        <f>SF!I354</f>
        <v>0</v>
      </c>
      <c r="H441" s="354" t="s">
        <v>102</v>
      </c>
      <c r="I441" s="355">
        <f>SF!K354</f>
        <v>6013.9600000000009</v>
      </c>
      <c r="J441" s="353">
        <f t="shared" si="39"/>
        <v>0</v>
      </c>
      <c r="K441" s="1911">
        <f>IF((J441+J442+J443+J444)&gt;(F441+F442+F443+F444),(J441+J442+J443+J444)-(F441+F442+F443+F444),0)</f>
        <v>0</v>
      </c>
      <c r="L441" s="1911">
        <f>IF((J441+J442+J443+J444)&lt;(F441+F442+F443+F444),(F441+F442+F443+F444)-(J441+J442+J443+J444),0)</f>
        <v>0</v>
      </c>
      <c r="M441" s="708" t="s">
        <v>2226</v>
      </c>
      <c r="N441" s="223"/>
      <c r="O441" s="706">
        <f t="shared" si="40"/>
        <v>0</v>
      </c>
    </row>
    <row r="442" spans="1:15" s="360" customFormat="1" ht="15" hidden="1">
      <c r="A442" s="356" t="s">
        <v>483</v>
      </c>
      <c r="B442" s="707" t="s">
        <v>1222</v>
      </c>
      <c r="C442" s="633">
        <f t="shared" si="38"/>
        <v>0</v>
      </c>
      <c r="D442" s="354"/>
      <c r="E442" s="15">
        <f t="shared" si="42"/>
        <v>6227.11</v>
      </c>
      <c r="F442" s="917">
        <f t="shared" si="41"/>
        <v>0</v>
      </c>
      <c r="G442" s="358">
        <f>SF!I361</f>
        <v>0</v>
      </c>
      <c r="H442" s="354" t="s">
        <v>102</v>
      </c>
      <c r="I442" s="355">
        <f>SF!K361</f>
        <v>6227.11</v>
      </c>
      <c r="J442" s="353">
        <f t="shared" si="39"/>
        <v>0</v>
      </c>
      <c r="K442" s="1912"/>
      <c r="L442" s="1912"/>
      <c r="M442" s="708" t="s">
        <v>2308</v>
      </c>
      <c r="N442" s="223"/>
      <c r="O442" s="706">
        <f t="shared" si="40"/>
        <v>0</v>
      </c>
    </row>
    <row r="443" spans="1:15" s="360" customFormat="1" ht="15" hidden="1">
      <c r="A443" s="356" t="s">
        <v>483</v>
      </c>
      <c r="B443" s="707" t="s">
        <v>1222</v>
      </c>
      <c r="C443" s="633">
        <f t="shared" si="38"/>
        <v>0</v>
      </c>
      <c r="D443" s="354"/>
      <c r="E443" s="15">
        <f t="shared" si="42"/>
        <v>6774.69</v>
      </c>
      <c r="F443" s="917">
        <f t="shared" si="41"/>
        <v>0</v>
      </c>
      <c r="G443" s="358">
        <f>SF!I368</f>
        <v>0</v>
      </c>
      <c r="H443" s="354" t="s">
        <v>102</v>
      </c>
      <c r="I443" s="355">
        <f>SF!K368</f>
        <v>6774.69</v>
      </c>
      <c r="J443" s="353">
        <f t="shared" si="39"/>
        <v>0</v>
      </c>
      <c r="K443" s="1912"/>
      <c r="L443" s="1912"/>
      <c r="M443" s="708" t="s">
        <v>2321</v>
      </c>
      <c r="N443" s="223"/>
      <c r="O443" s="706">
        <f t="shared" si="40"/>
        <v>0</v>
      </c>
    </row>
    <row r="444" spans="1:15" s="360" customFormat="1" ht="15" hidden="1">
      <c r="A444" s="356" t="s">
        <v>483</v>
      </c>
      <c r="B444" s="707" t="s">
        <v>1222</v>
      </c>
      <c r="C444" s="633">
        <f t="shared" si="38"/>
        <v>0</v>
      </c>
      <c r="D444" s="354"/>
      <c r="E444" s="15">
        <f t="shared" si="42"/>
        <v>7187.4500000000007</v>
      </c>
      <c r="F444" s="917">
        <f t="shared" si="41"/>
        <v>0</v>
      </c>
      <c r="G444" s="358">
        <f>SF!I375</f>
        <v>0</v>
      </c>
      <c r="H444" s="354" t="s">
        <v>102</v>
      </c>
      <c r="I444" s="355">
        <f>SF!K375</f>
        <v>7187.4500000000007</v>
      </c>
      <c r="J444" s="353">
        <f t="shared" si="39"/>
        <v>0</v>
      </c>
      <c r="K444" s="1913"/>
      <c r="L444" s="1913"/>
      <c r="M444" s="708" t="s">
        <v>2322</v>
      </c>
      <c r="N444" s="223"/>
      <c r="O444" s="706">
        <f t="shared" si="40"/>
        <v>0</v>
      </c>
    </row>
    <row r="445" spans="1:15" s="360" customFormat="1" ht="63.75" hidden="1">
      <c r="A445" s="356" t="s">
        <v>1522</v>
      </c>
      <c r="B445" s="707" t="s">
        <v>3278</v>
      </c>
      <c r="C445" s="633">
        <f t="shared" si="38"/>
        <v>0</v>
      </c>
      <c r="D445" s="354" t="s">
        <v>102</v>
      </c>
      <c r="E445" s="10">
        <f t="shared" si="42"/>
        <v>321.79000000000002</v>
      </c>
      <c r="F445" s="917">
        <f t="shared" si="41"/>
        <v>0</v>
      </c>
      <c r="G445" s="358">
        <f>SF!I382</f>
        <v>0</v>
      </c>
      <c r="H445" s="354" t="s">
        <v>102</v>
      </c>
      <c r="I445" s="355">
        <f>SF!K382</f>
        <v>321.79000000000002</v>
      </c>
      <c r="J445" s="353">
        <f t="shared" si="39"/>
        <v>0</v>
      </c>
      <c r="K445" s="1930">
        <f>IF((J445+J446+J447+J448)&gt;(F445+F446+F447+F448),(J445+J446+J447+J448)-(F445+F446+F447+F448),0)</f>
        <v>0</v>
      </c>
      <c r="L445" s="1930">
        <f>IF((J445+J446+J447+J448)&lt;(F445+F446+F447+F448),(F445+F446+F447+F448)-(J445+J446+J447+J448),0)</f>
        <v>0</v>
      </c>
      <c r="M445" s="1139" t="s">
        <v>2226</v>
      </c>
      <c r="N445" s="223"/>
      <c r="O445" s="1138">
        <f t="shared" si="40"/>
        <v>0</v>
      </c>
    </row>
    <row r="446" spans="1:15" s="360" customFormat="1" ht="15" hidden="1">
      <c r="A446" s="356" t="s">
        <v>1578</v>
      </c>
      <c r="B446" s="707" t="s">
        <v>481</v>
      </c>
      <c r="C446" s="633">
        <f t="shared" si="38"/>
        <v>0</v>
      </c>
      <c r="D446" s="354"/>
      <c r="E446" s="15">
        <f t="shared" si="42"/>
        <v>344.38</v>
      </c>
      <c r="F446" s="917">
        <f t="shared" si="41"/>
        <v>0</v>
      </c>
      <c r="G446" s="358">
        <f>SF!I390</f>
        <v>0</v>
      </c>
      <c r="H446" s="354" t="s">
        <v>102</v>
      </c>
      <c r="I446" s="355">
        <f>SF!K390</f>
        <v>344.38</v>
      </c>
      <c r="J446" s="353">
        <f t="shared" si="39"/>
        <v>0</v>
      </c>
      <c r="K446" s="1912"/>
      <c r="L446" s="1912"/>
      <c r="M446" s="708" t="s">
        <v>2308</v>
      </c>
      <c r="N446" s="223"/>
      <c r="O446" s="706">
        <f t="shared" si="40"/>
        <v>0</v>
      </c>
    </row>
    <row r="447" spans="1:15" s="360" customFormat="1" ht="15" hidden="1">
      <c r="A447" s="356" t="s">
        <v>1585</v>
      </c>
      <c r="B447" s="707" t="s">
        <v>481</v>
      </c>
      <c r="C447" s="633">
        <f t="shared" si="38"/>
        <v>0</v>
      </c>
      <c r="D447" s="354"/>
      <c r="E447" s="15">
        <f t="shared" si="42"/>
        <v>365.08</v>
      </c>
      <c r="F447" s="917">
        <f t="shared" si="41"/>
        <v>0</v>
      </c>
      <c r="G447" s="358">
        <f>SF!I397</f>
        <v>0</v>
      </c>
      <c r="H447" s="354" t="s">
        <v>102</v>
      </c>
      <c r="I447" s="355">
        <f>SF!K397</f>
        <v>365.08</v>
      </c>
      <c r="J447" s="353">
        <f t="shared" si="39"/>
        <v>0</v>
      </c>
      <c r="K447" s="1912"/>
      <c r="L447" s="1912"/>
      <c r="M447" s="708" t="s">
        <v>2321</v>
      </c>
      <c r="N447" s="223"/>
      <c r="O447" s="706">
        <f t="shared" si="40"/>
        <v>0</v>
      </c>
    </row>
    <row r="448" spans="1:15" s="360" customFormat="1" ht="15" hidden="1">
      <c r="A448" s="356" t="s">
        <v>1585</v>
      </c>
      <c r="B448" s="707" t="s">
        <v>481</v>
      </c>
      <c r="C448" s="633">
        <f t="shared" si="38"/>
        <v>0</v>
      </c>
      <c r="D448" s="354"/>
      <c r="E448" s="15">
        <f t="shared" si="42"/>
        <v>385.55</v>
      </c>
      <c r="F448" s="917">
        <f t="shared" si="41"/>
        <v>0</v>
      </c>
      <c r="G448" s="358">
        <f>SF!I404</f>
        <v>0</v>
      </c>
      <c r="H448" s="354" t="s">
        <v>102</v>
      </c>
      <c r="I448" s="355">
        <f>SF!K404</f>
        <v>385.55</v>
      </c>
      <c r="J448" s="353">
        <f t="shared" si="39"/>
        <v>0</v>
      </c>
      <c r="K448" s="1913"/>
      <c r="L448" s="1913"/>
      <c r="M448" s="708" t="s">
        <v>2322</v>
      </c>
      <c r="N448" s="223"/>
      <c r="O448" s="706">
        <f t="shared" si="40"/>
        <v>0</v>
      </c>
    </row>
    <row r="449" spans="1:15" s="360" customFormat="1" ht="15" hidden="1">
      <c r="A449" s="356" t="s">
        <v>1584</v>
      </c>
      <c r="B449" s="707" t="s">
        <v>505</v>
      </c>
      <c r="C449" s="633">
        <f t="shared" si="38"/>
        <v>0</v>
      </c>
      <c r="D449" s="354"/>
      <c r="E449" s="15">
        <f t="shared" si="42"/>
        <v>289.52</v>
      </c>
      <c r="F449" s="917">
        <f t="shared" si="41"/>
        <v>0</v>
      </c>
      <c r="G449" s="358">
        <f>SF!I412</f>
        <v>0</v>
      </c>
      <c r="H449" s="354" t="s">
        <v>102</v>
      </c>
      <c r="I449" s="355">
        <f>SF!K412</f>
        <v>289.52</v>
      </c>
      <c r="J449" s="353">
        <f t="shared" si="39"/>
        <v>0</v>
      </c>
      <c r="K449" s="1911">
        <f>IF((J449+J450+J451+J452)&gt;(F449+F450+F451+F452),(J449+J450+J451+J452)-(F449+F450+F451+F452),0)</f>
        <v>0</v>
      </c>
      <c r="L449" s="1911">
        <f>IF((J449+J450+J451+J452)&lt;(F449+F450+F451+F452),(F449+F450+F451+F452)-(J449+J450+J451+J452),0)</f>
        <v>0</v>
      </c>
      <c r="M449" s="708" t="s">
        <v>2226</v>
      </c>
      <c r="N449" s="223"/>
      <c r="O449" s="706">
        <f t="shared" si="40"/>
        <v>0</v>
      </c>
    </row>
    <row r="450" spans="1:15" s="360" customFormat="1" ht="15" hidden="1">
      <c r="A450" s="356" t="s">
        <v>1584</v>
      </c>
      <c r="B450" s="707" t="s">
        <v>505</v>
      </c>
      <c r="C450" s="633">
        <f t="shared" si="38"/>
        <v>0</v>
      </c>
      <c r="D450" s="354"/>
      <c r="E450" s="15">
        <f t="shared" si="42"/>
        <v>312.11</v>
      </c>
      <c r="F450" s="917">
        <f t="shared" si="41"/>
        <v>0</v>
      </c>
      <c r="G450" s="358">
        <f>SF!I420</f>
        <v>0</v>
      </c>
      <c r="H450" s="354" t="s">
        <v>102</v>
      </c>
      <c r="I450" s="355">
        <f>SF!K420</f>
        <v>312.11</v>
      </c>
      <c r="J450" s="353">
        <f t="shared" si="39"/>
        <v>0</v>
      </c>
      <c r="K450" s="1912"/>
      <c r="L450" s="1912"/>
      <c r="M450" s="708" t="s">
        <v>2308</v>
      </c>
      <c r="N450" s="223"/>
      <c r="O450" s="706">
        <f t="shared" si="40"/>
        <v>0</v>
      </c>
    </row>
    <row r="451" spans="1:15" s="360" customFormat="1" ht="15" hidden="1">
      <c r="A451" s="356" t="s">
        <v>1584</v>
      </c>
      <c r="B451" s="707" t="s">
        <v>505</v>
      </c>
      <c r="C451" s="633">
        <f t="shared" si="38"/>
        <v>0</v>
      </c>
      <c r="D451" s="354"/>
      <c r="E451" s="15">
        <f t="shared" si="42"/>
        <v>331.62</v>
      </c>
      <c r="F451" s="917">
        <f t="shared" si="41"/>
        <v>0</v>
      </c>
      <c r="G451" s="358">
        <f>SF!I428</f>
        <v>0</v>
      </c>
      <c r="H451" s="354" t="s">
        <v>102</v>
      </c>
      <c r="I451" s="355">
        <f>SF!K428</f>
        <v>331.62</v>
      </c>
      <c r="J451" s="353">
        <f t="shared" si="39"/>
        <v>0</v>
      </c>
      <c r="K451" s="1912"/>
      <c r="L451" s="1912"/>
      <c r="M451" s="708" t="s">
        <v>2321</v>
      </c>
      <c r="N451" s="223"/>
      <c r="O451" s="706">
        <f t="shared" si="40"/>
        <v>0</v>
      </c>
    </row>
    <row r="452" spans="1:15" s="360" customFormat="1" ht="15" hidden="1">
      <c r="A452" s="356" t="s">
        <v>1584</v>
      </c>
      <c r="B452" s="707" t="s">
        <v>505</v>
      </c>
      <c r="C452" s="633">
        <f t="shared" si="38"/>
        <v>0</v>
      </c>
      <c r="D452" s="354"/>
      <c r="E452" s="15">
        <f t="shared" si="42"/>
        <v>352.1</v>
      </c>
      <c r="F452" s="917">
        <f t="shared" si="41"/>
        <v>0</v>
      </c>
      <c r="G452" s="358">
        <f>SF!I436</f>
        <v>0</v>
      </c>
      <c r="H452" s="354" t="s">
        <v>102</v>
      </c>
      <c r="I452" s="355">
        <f>SF!K436</f>
        <v>352.1</v>
      </c>
      <c r="J452" s="353">
        <f t="shared" si="39"/>
        <v>0</v>
      </c>
      <c r="K452" s="1913"/>
      <c r="L452" s="1913"/>
      <c r="M452" s="708" t="s">
        <v>2322</v>
      </c>
      <c r="N452" s="223"/>
      <c r="O452" s="706">
        <f t="shared" si="40"/>
        <v>0</v>
      </c>
    </row>
    <row r="453" spans="1:15" s="360" customFormat="1" ht="15" hidden="1">
      <c r="A453" s="356" t="s">
        <v>1585</v>
      </c>
      <c r="B453" s="707" t="s">
        <v>805</v>
      </c>
      <c r="C453" s="633">
        <f t="shared" si="38"/>
        <v>0</v>
      </c>
      <c r="D453" s="354"/>
      <c r="E453" s="15">
        <f t="shared" si="42"/>
        <v>307.37</v>
      </c>
      <c r="F453" s="917">
        <f t="shared" si="41"/>
        <v>0</v>
      </c>
      <c r="G453" s="358">
        <f>SF!I444</f>
        <v>0</v>
      </c>
      <c r="H453" s="354" t="s">
        <v>102</v>
      </c>
      <c r="I453" s="355">
        <f>SF!K444</f>
        <v>307.37</v>
      </c>
      <c r="J453" s="353">
        <f t="shared" si="39"/>
        <v>0</v>
      </c>
      <c r="K453" s="1911">
        <f>IF((J453+J454+J455+J456)&gt;(F453+F454+F455+F456),(J453+J454+J455+J456)-(F453+F454+F455+F456),0)</f>
        <v>0</v>
      </c>
      <c r="L453" s="1911">
        <f>IF((J453+J454+J455+J456)&lt;(F453+F454+F455+F456),(F453+F454+F455+F456)-(J453+J454+J455+J456),0)</f>
        <v>0</v>
      </c>
      <c r="M453" s="708" t="s">
        <v>2226</v>
      </c>
      <c r="N453" s="223"/>
      <c r="O453" s="706">
        <f t="shared" si="40"/>
        <v>0</v>
      </c>
    </row>
    <row r="454" spans="1:15" s="360" customFormat="1" ht="15" hidden="1">
      <c r="A454" s="356" t="s">
        <v>1585</v>
      </c>
      <c r="B454" s="707" t="s">
        <v>805</v>
      </c>
      <c r="C454" s="633">
        <f t="shared" si="38"/>
        <v>0</v>
      </c>
      <c r="D454" s="354"/>
      <c r="E454" s="15">
        <f t="shared" si="42"/>
        <v>330.52</v>
      </c>
      <c r="F454" s="917">
        <f t="shared" si="41"/>
        <v>0</v>
      </c>
      <c r="G454" s="358">
        <f>SF!I452</f>
        <v>0</v>
      </c>
      <c r="H454" s="354" t="s">
        <v>102</v>
      </c>
      <c r="I454" s="355">
        <f>SF!K452</f>
        <v>330.52</v>
      </c>
      <c r="J454" s="353">
        <f t="shared" si="39"/>
        <v>0</v>
      </c>
      <c r="K454" s="1912"/>
      <c r="L454" s="1912"/>
      <c r="M454" s="708" t="s">
        <v>2308</v>
      </c>
      <c r="N454" s="223"/>
      <c r="O454" s="706">
        <f t="shared" si="40"/>
        <v>0</v>
      </c>
    </row>
    <row r="455" spans="1:15" s="360" customFormat="1" ht="15" hidden="1">
      <c r="A455" s="356" t="s">
        <v>1585</v>
      </c>
      <c r="B455" s="707" t="s">
        <v>805</v>
      </c>
      <c r="C455" s="633">
        <f t="shared" si="38"/>
        <v>0</v>
      </c>
      <c r="D455" s="354"/>
      <c r="E455" s="15">
        <f t="shared" si="42"/>
        <v>351.31</v>
      </c>
      <c r="F455" s="917">
        <f t="shared" si="41"/>
        <v>0</v>
      </c>
      <c r="G455" s="358">
        <f>SF!I460</f>
        <v>0</v>
      </c>
      <c r="H455" s="354" t="s">
        <v>102</v>
      </c>
      <c r="I455" s="355">
        <f>SF!K460</f>
        <v>351.31</v>
      </c>
      <c r="J455" s="353">
        <f t="shared" si="39"/>
        <v>0</v>
      </c>
      <c r="K455" s="1912"/>
      <c r="L455" s="1912"/>
      <c r="M455" s="708" t="s">
        <v>2321</v>
      </c>
      <c r="N455" s="223"/>
      <c r="O455" s="706">
        <f t="shared" si="40"/>
        <v>0</v>
      </c>
    </row>
    <row r="456" spans="1:15" s="360" customFormat="1" ht="15" hidden="1">
      <c r="A456" s="356" t="s">
        <v>1585</v>
      </c>
      <c r="B456" s="707" t="s">
        <v>805</v>
      </c>
      <c r="C456" s="633">
        <f t="shared" si="38"/>
        <v>0</v>
      </c>
      <c r="D456" s="354"/>
      <c r="E456" s="15">
        <f t="shared" si="42"/>
        <v>372.29</v>
      </c>
      <c r="F456" s="917">
        <f t="shared" si="41"/>
        <v>0</v>
      </c>
      <c r="G456" s="358">
        <f>SF!I468</f>
        <v>0</v>
      </c>
      <c r="H456" s="354" t="s">
        <v>102</v>
      </c>
      <c r="I456" s="355">
        <f>SF!K468</f>
        <v>372.29</v>
      </c>
      <c r="J456" s="353">
        <f t="shared" si="39"/>
        <v>0</v>
      </c>
      <c r="K456" s="1913"/>
      <c r="L456" s="1913"/>
      <c r="M456" s="708" t="s">
        <v>2322</v>
      </c>
      <c r="N456" s="223"/>
      <c r="O456" s="706">
        <f t="shared" si="40"/>
        <v>0</v>
      </c>
    </row>
    <row r="457" spans="1:15" s="360" customFormat="1" ht="51" hidden="1">
      <c r="A457" s="356" t="s">
        <v>512</v>
      </c>
      <c r="B457" s="707" t="s">
        <v>3280</v>
      </c>
      <c r="C457" s="633">
        <f t="shared" si="38"/>
        <v>0</v>
      </c>
      <c r="D457" s="354" t="s">
        <v>102</v>
      </c>
      <c r="E457" s="10">
        <f t="shared" si="42"/>
        <v>380.2</v>
      </c>
      <c r="F457" s="917">
        <f t="shared" si="41"/>
        <v>0</v>
      </c>
      <c r="G457" s="358">
        <f>SF!I480</f>
        <v>0</v>
      </c>
      <c r="H457" s="354" t="s">
        <v>102</v>
      </c>
      <c r="I457" s="355">
        <f>SF!K480</f>
        <v>380.2</v>
      </c>
      <c r="J457" s="353">
        <f t="shared" si="39"/>
        <v>0</v>
      </c>
      <c r="K457" s="1930">
        <f>IF((J457+J458+J459+J460)&gt;(F457+F458+F459+F460),(J457+J458+J459+J460)-(F457+F458+F459+F460),0)</f>
        <v>0</v>
      </c>
      <c r="L457" s="1930">
        <f>IF((J457+J458+J459+J460)&lt;(F457+F458+F459+F460),(F457+F458+F459+F460)-(J457+J458+J459+J460),0)</f>
        <v>0</v>
      </c>
      <c r="M457" s="1139" t="s">
        <v>2226</v>
      </c>
      <c r="N457" s="223"/>
      <c r="O457" s="1138">
        <f t="shared" si="40"/>
        <v>0</v>
      </c>
    </row>
    <row r="458" spans="1:15" s="360" customFormat="1" ht="15" hidden="1">
      <c r="A458" s="356" t="s">
        <v>1593</v>
      </c>
      <c r="B458" s="707" t="s">
        <v>830</v>
      </c>
      <c r="C458" s="633">
        <f t="shared" ref="C458:C521" si="43">G458</f>
        <v>0</v>
      </c>
      <c r="D458" s="354"/>
      <c r="E458" s="15">
        <f t="shared" si="42"/>
        <v>410.98</v>
      </c>
      <c r="F458" s="917">
        <f t="shared" si="41"/>
        <v>0</v>
      </c>
      <c r="G458" s="358">
        <f>SF!I489</f>
        <v>0</v>
      </c>
      <c r="H458" s="354" t="s">
        <v>102</v>
      </c>
      <c r="I458" s="355">
        <f>SF!K489</f>
        <v>410.98</v>
      </c>
      <c r="J458" s="353">
        <f t="shared" ref="J458:J521" si="44">ROUND(G458*I458,2)</f>
        <v>0</v>
      </c>
      <c r="K458" s="1912"/>
      <c r="L458" s="1912"/>
      <c r="M458" s="708" t="s">
        <v>2308</v>
      </c>
      <c r="N458" s="223"/>
      <c r="O458" s="706">
        <f t="shared" si="40"/>
        <v>0</v>
      </c>
    </row>
    <row r="459" spans="1:15" s="360" customFormat="1" ht="15" hidden="1">
      <c r="A459" s="356" t="s">
        <v>1143</v>
      </c>
      <c r="B459" s="707" t="s">
        <v>830</v>
      </c>
      <c r="C459" s="633">
        <f t="shared" si="43"/>
        <v>0</v>
      </c>
      <c r="D459" s="354"/>
      <c r="E459" s="15">
        <f t="shared" si="42"/>
        <v>436.23</v>
      </c>
      <c r="F459" s="917">
        <f t="shared" si="41"/>
        <v>0</v>
      </c>
      <c r="G459" s="358">
        <f>SF!I496</f>
        <v>0</v>
      </c>
      <c r="H459" s="354" t="s">
        <v>102</v>
      </c>
      <c r="I459" s="355">
        <f>SF!K496</f>
        <v>436.23</v>
      </c>
      <c r="J459" s="353">
        <f t="shared" si="44"/>
        <v>0</v>
      </c>
      <c r="K459" s="1912"/>
      <c r="L459" s="1912"/>
      <c r="M459" s="708" t="s">
        <v>2321</v>
      </c>
      <c r="N459" s="223"/>
      <c r="O459" s="706">
        <f t="shared" si="40"/>
        <v>0</v>
      </c>
    </row>
    <row r="460" spans="1:15" s="360" customFormat="1" ht="15" hidden="1">
      <c r="A460" s="356" t="s">
        <v>1143</v>
      </c>
      <c r="B460" s="707" t="s">
        <v>830</v>
      </c>
      <c r="C460" s="633">
        <f t="shared" si="43"/>
        <v>0</v>
      </c>
      <c r="D460" s="354"/>
      <c r="E460" s="15">
        <f t="shared" si="42"/>
        <v>464.16</v>
      </c>
      <c r="F460" s="917">
        <f t="shared" si="41"/>
        <v>0</v>
      </c>
      <c r="G460" s="358">
        <f>SF!I508</f>
        <v>0</v>
      </c>
      <c r="H460" s="354" t="s">
        <v>102</v>
      </c>
      <c r="I460" s="355">
        <f>SF!K508</f>
        <v>464.16</v>
      </c>
      <c r="J460" s="353">
        <f t="shared" si="44"/>
        <v>0</v>
      </c>
      <c r="K460" s="1913"/>
      <c r="L460" s="1913"/>
      <c r="M460" s="708" t="s">
        <v>2322</v>
      </c>
      <c r="N460" s="223"/>
      <c r="O460" s="706">
        <f t="shared" ref="O460:O523" si="45">F460-J460</f>
        <v>0</v>
      </c>
    </row>
    <row r="461" spans="1:15" s="360" customFormat="1" ht="15" hidden="1">
      <c r="A461" s="356" t="s">
        <v>513</v>
      </c>
      <c r="B461" s="707" t="s">
        <v>541</v>
      </c>
      <c r="C461" s="633">
        <f t="shared" si="43"/>
        <v>0</v>
      </c>
      <c r="D461" s="354" t="s">
        <v>102</v>
      </c>
      <c r="E461" s="10">
        <f t="shared" si="42"/>
        <v>393.56</v>
      </c>
      <c r="F461" s="917">
        <f t="shared" si="41"/>
        <v>0</v>
      </c>
      <c r="G461" s="358">
        <f>SF!I515</f>
        <v>0</v>
      </c>
      <c r="H461" s="354" t="s">
        <v>102</v>
      </c>
      <c r="I461" s="355">
        <f>SF!K515</f>
        <v>393.56</v>
      </c>
      <c r="J461" s="353">
        <f t="shared" si="44"/>
        <v>0</v>
      </c>
      <c r="K461" s="1911">
        <f>IF((J461+J462+J463+J464)&gt;(F461+F462+F463+F464),(J461+J462+J463+J464)-(F461+F462+F463+F464),0)</f>
        <v>0</v>
      </c>
      <c r="L461" s="1911">
        <f>IF((J461+J462+J463+J464)&lt;(F461+F462+F463+F464),(F461+F462+F463+F464)-(J461+J462+J463+J464),0)</f>
        <v>0</v>
      </c>
      <c r="M461" s="1139" t="s">
        <v>2226</v>
      </c>
      <c r="N461" s="223"/>
      <c r="O461" s="1138">
        <f t="shared" si="45"/>
        <v>0</v>
      </c>
    </row>
    <row r="462" spans="1:15" s="360" customFormat="1" ht="15" hidden="1">
      <c r="A462" s="356" t="s">
        <v>1579</v>
      </c>
      <c r="B462" s="707" t="s">
        <v>541</v>
      </c>
      <c r="C462" s="633">
        <f t="shared" si="43"/>
        <v>0</v>
      </c>
      <c r="D462" s="354"/>
      <c r="E462" s="15">
        <f t="shared" si="42"/>
        <v>424.91</v>
      </c>
      <c r="F462" s="917">
        <f t="shared" si="41"/>
        <v>0</v>
      </c>
      <c r="G462" s="358">
        <f>SF!I525</f>
        <v>0</v>
      </c>
      <c r="H462" s="354" t="s">
        <v>102</v>
      </c>
      <c r="I462" s="355">
        <f>SF!K525</f>
        <v>424.91</v>
      </c>
      <c r="J462" s="353">
        <f t="shared" si="44"/>
        <v>0</v>
      </c>
      <c r="K462" s="1912"/>
      <c r="L462" s="1912"/>
      <c r="M462" s="708" t="s">
        <v>2308</v>
      </c>
      <c r="N462" s="223"/>
      <c r="O462" s="706">
        <f t="shared" si="45"/>
        <v>0</v>
      </c>
    </row>
    <row r="463" spans="1:15" s="360" customFormat="1" ht="19.5" hidden="1" customHeight="1">
      <c r="A463" s="356" t="s">
        <v>1586</v>
      </c>
      <c r="B463" s="707" t="s">
        <v>541</v>
      </c>
      <c r="C463" s="633">
        <f t="shared" si="43"/>
        <v>0</v>
      </c>
      <c r="D463" s="354"/>
      <c r="E463" s="15">
        <f t="shared" si="42"/>
        <v>451.54</v>
      </c>
      <c r="F463" s="917">
        <f t="shared" si="41"/>
        <v>0</v>
      </c>
      <c r="G463" s="358">
        <f>SF!I532</f>
        <v>0</v>
      </c>
      <c r="H463" s="354" t="s">
        <v>102</v>
      </c>
      <c r="I463" s="355">
        <f>SF!K532</f>
        <v>451.54</v>
      </c>
      <c r="J463" s="353">
        <f t="shared" si="44"/>
        <v>0</v>
      </c>
      <c r="K463" s="1912"/>
      <c r="L463" s="1912"/>
      <c r="M463" s="708" t="s">
        <v>2321</v>
      </c>
      <c r="N463" s="223"/>
      <c r="O463" s="706">
        <f t="shared" si="45"/>
        <v>0</v>
      </c>
    </row>
    <row r="464" spans="1:15" s="360" customFormat="1" ht="51" hidden="1">
      <c r="A464" s="356" t="s">
        <v>512</v>
      </c>
      <c r="B464" s="707" t="s">
        <v>3281</v>
      </c>
      <c r="C464" s="633">
        <f t="shared" si="43"/>
        <v>0</v>
      </c>
      <c r="D464" s="354"/>
      <c r="E464" s="10">
        <f t="shared" si="42"/>
        <v>479.98</v>
      </c>
      <c r="F464" s="917">
        <f t="shared" si="41"/>
        <v>0</v>
      </c>
      <c r="G464" s="358">
        <f>SF!I539</f>
        <v>0</v>
      </c>
      <c r="H464" s="354" t="s">
        <v>102</v>
      </c>
      <c r="I464" s="355">
        <f>SF!K539</f>
        <v>479.98</v>
      </c>
      <c r="J464" s="353">
        <f t="shared" si="44"/>
        <v>0</v>
      </c>
      <c r="K464" s="1927"/>
      <c r="L464" s="1927"/>
      <c r="M464" s="1139" t="s">
        <v>2322</v>
      </c>
      <c r="N464" s="223"/>
      <c r="O464" s="1138">
        <f t="shared" si="45"/>
        <v>0</v>
      </c>
    </row>
    <row r="465" spans="1:15" s="360" customFormat="1" ht="15" hidden="1">
      <c r="A465" s="356" t="s">
        <v>473</v>
      </c>
      <c r="B465" s="707" t="s">
        <v>2078</v>
      </c>
      <c r="C465" s="633">
        <f t="shared" si="43"/>
        <v>0</v>
      </c>
      <c r="D465" s="354"/>
      <c r="E465" s="15">
        <f t="shared" si="42"/>
        <v>5152.2499999999991</v>
      </c>
      <c r="F465" s="917">
        <f t="shared" si="41"/>
        <v>0</v>
      </c>
      <c r="G465" s="358">
        <f>SF!I544</f>
        <v>0</v>
      </c>
      <c r="H465" s="354" t="s">
        <v>5</v>
      </c>
      <c r="I465" s="355">
        <f>SF!K544</f>
        <v>5152.2499999999991</v>
      </c>
      <c r="J465" s="353">
        <f t="shared" si="44"/>
        <v>0</v>
      </c>
      <c r="K465" s="1911">
        <f>IF((J465+J466+J467+J468)&gt;(F465+F466+F467+F468),(J465+J466+J467+J468)-(F465+F466+F467+F468),0)</f>
        <v>0</v>
      </c>
      <c r="L465" s="1911">
        <f>IF((J465+J466+J467+J468)&lt;(F465+F466+F467+F468),(F465+F466+F467+F468)-(J465+J466+J467+J468),0)</f>
        <v>0</v>
      </c>
      <c r="M465" s="708" t="s">
        <v>2226</v>
      </c>
      <c r="N465" s="223"/>
      <c r="O465" s="706">
        <f t="shared" si="45"/>
        <v>0</v>
      </c>
    </row>
    <row r="466" spans="1:15" s="360" customFormat="1" ht="15" hidden="1">
      <c r="A466" s="356" t="s">
        <v>473</v>
      </c>
      <c r="B466" s="707" t="s">
        <v>2078</v>
      </c>
      <c r="C466" s="633">
        <f t="shared" si="43"/>
        <v>0</v>
      </c>
      <c r="D466" s="354"/>
      <c r="E466" s="15">
        <f t="shared" si="42"/>
        <v>5333.72</v>
      </c>
      <c r="F466" s="917">
        <f t="shared" si="41"/>
        <v>0</v>
      </c>
      <c r="G466" s="358">
        <f>SF!I549</f>
        <v>0</v>
      </c>
      <c r="H466" s="354" t="s">
        <v>5</v>
      </c>
      <c r="I466" s="355">
        <f>SF!K549</f>
        <v>5333.72</v>
      </c>
      <c r="J466" s="353">
        <f t="shared" si="44"/>
        <v>0</v>
      </c>
      <c r="K466" s="1912"/>
      <c r="L466" s="1912"/>
      <c r="M466" s="708" t="s">
        <v>2308</v>
      </c>
      <c r="N466" s="223"/>
      <c r="O466" s="706">
        <f t="shared" si="45"/>
        <v>0</v>
      </c>
    </row>
    <row r="467" spans="1:15" s="360" customFormat="1" ht="15" hidden="1">
      <c r="A467" s="356" t="s">
        <v>473</v>
      </c>
      <c r="B467" s="707" t="s">
        <v>2078</v>
      </c>
      <c r="C467" s="633">
        <f t="shared" si="43"/>
        <v>0</v>
      </c>
      <c r="D467" s="354"/>
      <c r="E467" s="15">
        <f t="shared" si="42"/>
        <v>5579.3200000000006</v>
      </c>
      <c r="F467" s="917">
        <f t="shared" si="41"/>
        <v>0</v>
      </c>
      <c r="G467" s="358">
        <f>SF!I554</f>
        <v>0</v>
      </c>
      <c r="H467" s="354" t="s">
        <v>5</v>
      </c>
      <c r="I467" s="355">
        <f>SF!K554</f>
        <v>5579.3200000000006</v>
      </c>
      <c r="J467" s="353">
        <f t="shared" si="44"/>
        <v>0</v>
      </c>
      <c r="K467" s="1912"/>
      <c r="L467" s="1912"/>
      <c r="M467" s="708" t="s">
        <v>2321</v>
      </c>
      <c r="N467" s="223"/>
      <c r="O467" s="706">
        <f t="shared" si="45"/>
        <v>0</v>
      </c>
    </row>
    <row r="468" spans="1:15" s="360" customFormat="1" ht="15" hidden="1">
      <c r="A468" s="356" t="s">
        <v>473</v>
      </c>
      <c r="B468" s="707" t="s">
        <v>2078</v>
      </c>
      <c r="C468" s="633">
        <f t="shared" si="43"/>
        <v>0</v>
      </c>
      <c r="D468" s="354"/>
      <c r="E468" s="15">
        <f t="shared" si="42"/>
        <v>5843.9400000000005</v>
      </c>
      <c r="F468" s="917">
        <f t="shared" si="41"/>
        <v>0</v>
      </c>
      <c r="G468" s="358">
        <f>SF!I559</f>
        <v>0</v>
      </c>
      <c r="H468" s="354" t="s">
        <v>5</v>
      </c>
      <c r="I468" s="355">
        <f>SF!K559</f>
        <v>5843.9400000000005</v>
      </c>
      <c r="J468" s="353">
        <f t="shared" si="44"/>
        <v>0</v>
      </c>
      <c r="K468" s="1913"/>
      <c r="L468" s="1913"/>
      <c r="M468" s="708" t="s">
        <v>2322</v>
      </c>
      <c r="N468" s="223"/>
      <c r="O468" s="706">
        <f t="shared" si="45"/>
        <v>0</v>
      </c>
    </row>
    <row r="469" spans="1:15" s="360" customFormat="1" ht="15" hidden="1">
      <c r="A469" s="356" t="s">
        <v>525</v>
      </c>
      <c r="B469" s="707" t="s">
        <v>507</v>
      </c>
      <c r="C469" s="633">
        <f t="shared" si="43"/>
        <v>0</v>
      </c>
      <c r="D469" s="354"/>
      <c r="E469" s="15">
        <f t="shared" si="42"/>
        <v>1048.97</v>
      </c>
      <c r="F469" s="917">
        <f t="shared" si="41"/>
        <v>0</v>
      </c>
      <c r="G469" s="358">
        <f>SF!I565</f>
        <v>0</v>
      </c>
      <c r="H469" s="354" t="s">
        <v>102</v>
      </c>
      <c r="I469" s="355">
        <f>SF!K565</f>
        <v>1048.97</v>
      </c>
      <c r="J469" s="353">
        <f t="shared" si="44"/>
        <v>0</v>
      </c>
      <c r="K469" s="1911">
        <f>IF((J469+J470+J471+J472)&gt;(F469+F470+F471+F472),(J469+J470+J471+J472)-(F469+F470+F471+F472),0)</f>
        <v>0</v>
      </c>
      <c r="L469" s="1911">
        <f>IF((J469+J470+J471+J472)&lt;(F469+F470+F471+F472),(F469+F470+F471+F472)-(J469+J470+J471+J472),0)</f>
        <v>0</v>
      </c>
      <c r="M469" s="708" t="s">
        <v>2226</v>
      </c>
      <c r="N469" s="223"/>
      <c r="O469" s="706">
        <f t="shared" si="45"/>
        <v>0</v>
      </c>
    </row>
    <row r="470" spans="1:15" s="360" customFormat="1" ht="15" hidden="1">
      <c r="A470" s="356" t="s">
        <v>525</v>
      </c>
      <c r="B470" s="707" t="s">
        <v>507</v>
      </c>
      <c r="C470" s="633">
        <f t="shared" si="43"/>
        <v>0</v>
      </c>
      <c r="D470" s="354"/>
      <c r="E470" s="15">
        <f t="shared" si="42"/>
        <v>1082.75</v>
      </c>
      <c r="F470" s="917">
        <f t="shared" si="41"/>
        <v>0</v>
      </c>
      <c r="G470" s="358">
        <f>SF!I571</f>
        <v>0</v>
      </c>
      <c r="H470" s="354" t="s">
        <v>102</v>
      </c>
      <c r="I470" s="355">
        <f>SF!K571</f>
        <v>1082.75</v>
      </c>
      <c r="J470" s="353">
        <f t="shared" si="44"/>
        <v>0</v>
      </c>
      <c r="K470" s="1912"/>
      <c r="L470" s="1912"/>
      <c r="M470" s="708" t="s">
        <v>2308</v>
      </c>
      <c r="N470" s="223"/>
      <c r="O470" s="706">
        <f t="shared" si="45"/>
        <v>0</v>
      </c>
    </row>
    <row r="471" spans="1:15" s="360" customFormat="1" ht="15" hidden="1">
      <c r="A471" s="356" t="s">
        <v>525</v>
      </c>
      <c r="B471" s="707" t="s">
        <v>507</v>
      </c>
      <c r="C471" s="633">
        <f t="shared" si="43"/>
        <v>0</v>
      </c>
      <c r="D471" s="354"/>
      <c r="E471" s="15">
        <f t="shared" si="42"/>
        <v>1108.3499999999999</v>
      </c>
      <c r="F471" s="917">
        <f t="shared" si="41"/>
        <v>0</v>
      </c>
      <c r="G471" s="358">
        <f>SF!I577</f>
        <v>0</v>
      </c>
      <c r="H471" s="354" t="s">
        <v>102</v>
      </c>
      <c r="I471" s="355">
        <f>SF!K577</f>
        <v>1108.3499999999999</v>
      </c>
      <c r="J471" s="353">
        <f t="shared" si="44"/>
        <v>0</v>
      </c>
      <c r="K471" s="1912"/>
      <c r="L471" s="1912"/>
      <c r="M471" s="708" t="s">
        <v>2321</v>
      </c>
      <c r="N471" s="223"/>
      <c r="O471" s="706">
        <f t="shared" si="45"/>
        <v>0</v>
      </c>
    </row>
    <row r="472" spans="1:15" s="360" customFormat="1" ht="15" hidden="1">
      <c r="A472" s="356" t="s">
        <v>525</v>
      </c>
      <c r="B472" s="707" t="s">
        <v>507</v>
      </c>
      <c r="C472" s="633">
        <f t="shared" si="43"/>
        <v>0</v>
      </c>
      <c r="D472" s="354"/>
      <c r="E472" s="15">
        <f t="shared" si="42"/>
        <v>1139.42</v>
      </c>
      <c r="F472" s="917">
        <f t="shared" si="41"/>
        <v>0</v>
      </c>
      <c r="G472" s="358">
        <f>SF!I583</f>
        <v>0</v>
      </c>
      <c r="H472" s="354" t="s">
        <v>102</v>
      </c>
      <c r="I472" s="355">
        <f>SF!K583</f>
        <v>1139.42</v>
      </c>
      <c r="J472" s="353">
        <f t="shared" si="44"/>
        <v>0</v>
      </c>
      <c r="K472" s="1913"/>
      <c r="L472" s="1913"/>
      <c r="M472" s="708" t="s">
        <v>2322</v>
      </c>
      <c r="N472" s="223"/>
      <c r="O472" s="706">
        <f t="shared" si="45"/>
        <v>0</v>
      </c>
    </row>
    <row r="473" spans="1:15" s="360" customFormat="1" ht="15" hidden="1">
      <c r="A473" s="356" t="s">
        <v>528</v>
      </c>
      <c r="B473" s="707" t="s">
        <v>509</v>
      </c>
      <c r="C473" s="633">
        <f t="shared" si="43"/>
        <v>0</v>
      </c>
      <c r="D473" s="354"/>
      <c r="E473" s="15">
        <f t="shared" si="42"/>
        <v>1044.9000000000001</v>
      </c>
      <c r="F473" s="917">
        <f t="shared" si="41"/>
        <v>0</v>
      </c>
      <c r="G473" s="358">
        <f>SF!I590</f>
        <v>0</v>
      </c>
      <c r="H473" s="354" t="s">
        <v>102</v>
      </c>
      <c r="I473" s="355">
        <f>SF!K590</f>
        <v>1044.9000000000001</v>
      </c>
      <c r="J473" s="353">
        <f t="shared" si="44"/>
        <v>0</v>
      </c>
      <c r="K473" s="1911">
        <f>IF((J473+J474+J475+J476)&gt;(F473+F474+F475+F476),(J473+J474+J475+J476)-(F473+F474+F475+F476),0)</f>
        <v>0</v>
      </c>
      <c r="L473" s="1911">
        <f>IF((J473+J474+J475+J476)&lt;(F473+F474+F475+F476),(F473+F474+F475+F476)-(J473+J474+J475+J476),0)</f>
        <v>0</v>
      </c>
      <c r="M473" s="708" t="s">
        <v>2226</v>
      </c>
      <c r="N473" s="223"/>
      <c r="O473" s="706">
        <f t="shared" si="45"/>
        <v>0</v>
      </c>
    </row>
    <row r="474" spans="1:15" s="360" customFormat="1" ht="15" hidden="1">
      <c r="A474" s="356" t="s">
        <v>528</v>
      </c>
      <c r="B474" s="707" t="s">
        <v>509</v>
      </c>
      <c r="C474" s="633">
        <f t="shared" si="43"/>
        <v>0</v>
      </c>
      <c r="D474" s="354"/>
      <c r="E474" s="15">
        <f t="shared" si="42"/>
        <v>1078.42</v>
      </c>
      <c r="F474" s="917">
        <f t="shared" si="41"/>
        <v>0</v>
      </c>
      <c r="G474" s="358">
        <f>SF!I597</f>
        <v>0</v>
      </c>
      <c r="H474" s="354" t="s">
        <v>102</v>
      </c>
      <c r="I474" s="355">
        <f>SF!K597</f>
        <v>1078.42</v>
      </c>
      <c r="J474" s="353">
        <f t="shared" si="44"/>
        <v>0</v>
      </c>
      <c r="K474" s="1912"/>
      <c r="L474" s="1912"/>
      <c r="M474" s="708" t="s">
        <v>2308</v>
      </c>
      <c r="N474" s="223"/>
      <c r="O474" s="706">
        <f t="shared" si="45"/>
        <v>0</v>
      </c>
    </row>
    <row r="475" spans="1:15" s="360" customFormat="1" ht="15" hidden="1">
      <c r="A475" s="356" t="s">
        <v>528</v>
      </c>
      <c r="B475" s="707" t="s">
        <v>509</v>
      </c>
      <c r="C475" s="633">
        <f t="shared" si="43"/>
        <v>0</v>
      </c>
      <c r="D475" s="354"/>
      <c r="E475" s="15">
        <f t="shared" si="42"/>
        <v>1103.42</v>
      </c>
      <c r="F475" s="917">
        <f t="shared" si="41"/>
        <v>0</v>
      </c>
      <c r="G475" s="358">
        <f>SF!I604</f>
        <v>0</v>
      </c>
      <c r="H475" s="354" t="s">
        <v>102</v>
      </c>
      <c r="I475" s="355">
        <f>SF!K604</f>
        <v>1103.42</v>
      </c>
      <c r="J475" s="353">
        <f t="shared" si="44"/>
        <v>0</v>
      </c>
      <c r="K475" s="1912"/>
      <c r="L475" s="1912"/>
      <c r="M475" s="708" t="s">
        <v>2321</v>
      </c>
      <c r="N475" s="223"/>
      <c r="O475" s="706">
        <f t="shared" si="45"/>
        <v>0</v>
      </c>
    </row>
    <row r="476" spans="1:15" s="360" customFormat="1" ht="15" hidden="1">
      <c r="A476" s="356" t="s">
        <v>528</v>
      </c>
      <c r="B476" s="707" t="s">
        <v>509</v>
      </c>
      <c r="C476" s="633">
        <f t="shared" si="43"/>
        <v>0</v>
      </c>
      <c r="D476" s="354"/>
      <c r="E476" s="15">
        <f t="shared" si="42"/>
        <v>1134.08</v>
      </c>
      <c r="F476" s="917">
        <f t="shared" si="41"/>
        <v>0</v>
      </c>
      <c r="G476" s="358">
        <f>SF!I611</f>
        <v>0</v>
      </c>
      <c r="H476" s="354" t="s">
        <v>102</v>
      </c>
      <c r="I476" s="355">
        <f>SF!K611</f>
        <v>1134.08</v>
      </c>
      <c r="J476" s="353">
        <f t="shared" si="44"/>
        <v>0</v>
      </c>
      <c r="K476" s="1913"/>
      <c r="L476" s="1913"/>
      <c r="M476" s="708" t="s">
        <v>2322</v>
      </c>
      <c r="N476" s="223"/>
      <c r="O476" s="706">
        <f t="shared" si="45"/>
        <v>0</v>
      </c>
    </row>
    <row r="477" spans="1:15" s="360" customFormat="1" ht="15" hidden="1">
      <c r="A477" s="356" t="s">
        <v>508</v>
      </c>
      <c r="B477" s="707" t="s">
        <v>708</v>
      </c>
      <c r="C477" s="633">
        <f t="shared" si="43"/>
        <v>0</v>
      </c>
      <c r="D477" s="354"/>
      <c r="E477" s="15">
        <f t="shared" si="42"/>
        <v>2934.5</v>
      </c>
      <c r="F477" s="917">
        <f t="shared" si="41"/>
        <v>0</v>
      </c>
      <c r="G477" s="358">
        <f>SF!I618</f>
        <v>0</v>
      </c>
      <c r="H477" s="354" t="s">
        <v>77</v>
      </c>
      <c r="I477" s="355">
        <f>SF!K618</f>
        <v>2934.5</v>
      </c>
      <c r="J477" s="353">
        <f t="shared" si="44"/>
        <v>0</v>
      </c>
      <c r="K477" s="1911">
        <f>IF((J477+J478+J479+J480)&gt;(F477+F478+F479+F480),(J477+J478+J479+J480)-(F477+F478+F479+F480),0)</f>
        <v>0</v>
      </c>
      <c r="L477" s="1911">
        <f>IF((J477+J478+J479+J480)&lt;(F477+F478+F479+F480),(F477+F478+F479+F480)-(J477+J478+J479+J480),0)</f>
        <v>0</v>
      </c>
      <c r="M477" s="708" t="s">
        <v>2226</v>
      </c>
      <c r="N477" s="223"/>
      <c r="O477" s="706">
        <f t="shared" si="45"/>
        <v>0</v>
      </c>
    </row>
    <row r="478" spans="1:15" s="360" customFormat="1" ht="15" hidden="1">
      <c r="A478" s="356" t="s">
        <v>508</v>
      </c>
      <c r="B478" s="707" t="s">
        <v>708</v>
      </c>
      <c r="C478" s="633">
        <f t="shared" si="43"/>
        <v>0</v>
      </c>
      <c r="D478" s="354"/>
      <c r="E478" s="15">
        <f t="shared" si="42"/>
        <v>3003.21</v>
      </c>
      <c r="F478" s="917">
        <f t="shared" si="41"/>
        <v>0</v>
      </c>
      <c r="G478" s="358">
        <f>SF!I625</f>
        <v>0</v>
      </c>
      <c r="H478" s="354" t="s">
        <v>77</v>
      </c>
      <c r="I478" s="355">
        <f>SF!K625</f>
        <v>3003.21</v>
      </c>
      <c r="J478" s="353">
        <f t="shared" si="44"/>
        <v>0</v>
      </c>
      <c r="K478" s="1912"/>
      <c r="L478" s="1912"/>
      <c r="M478" s="708" t="s">
        <v>2308</v>
      </c>
      <c r="N478" s="223"/>
      <c r="O478" s="706">
        <f t="shared" si="45"/>
        <v>0</v>
      </c>
    </row>
    <row r="479" spans="1:15" s="360" customFormat="1" ht="15" hidden="1">
      <c r="A479" s="356" t="s">
        <v>508</v>
      </c>
      <c r="B479" s="707" t="s">
        <v>708</v>
      </c>
      <c r="C479" s="633">
        <f t="shared" si="43"/>
        <v>0</v>
      </c>
      <c r="D479" s="354"/>
      <c r="E479" s="15">
        <f t="shared" si="42"/>
        <v>3066.62</v>
      </c>
      <c r="F479" s="917">
        <f t="shared" si="41"/>
        <v>0</v>
      </c>
      <c r="G479" s="358">
        <f>SF!I632</f>
        <v>0</v>
      </c>
      <c r="H479" s="354" t="s">
        <v>77</v>
      </c>
      <c r="I479" s="355">
        <f>SF!K632</f>
        <v>3066.62</v>
      </c>
      <c r="J479" s="353">
        <f t="shared" si="44"/>
        <v>0</v>
      </c>
      <c r="K479" s="1912"/>
      <c r="L479" s="1912"/>
      <c r="M479" s="708" t="s">
        <v>2321</v>
      </c>
      <c r="N479" s="223"/>
      <c r="O479" s="706">
        <f t="shared" si="45"/>
        <v>0</v>
      </c>
    </row>
    <row r="480" spans="1:15" s="360" customFormat="1" ht="15" hidden="1">
      <c r="A480" s="356" t="s">
        <v>508</v>
      </c>
      <c r="B480" s="707" t="s">
        <v>708</v>
      </c>
      <c r="C480" s="633">
        <f t="shared" si="43"/>
        <v>0</v>
      </c>
      <c r="D480" s="354"/>
      <c r="E480" s="15">
        <f t="shared" si="42"/>
        <v>3248.17</v>
      </c>
      <c r="F480" s="917">
        <f t="shared" si="41"/>
        <v>0</v>
      </c>
      <c r="G480" s="358">
        <f>SF!I639</f>
        <v>0</v>
      </c>
      <c r="H480" s="354" t="s">
        <v>77</v>
      </c>
      <c r="I480" s="355">
        <f>SF!K639</f>
        <v>3248.17</v>
      </c>
      <c r="J480" s="353">
        <f t="shared" si="44"/>
        <v>0</v>
      </c>
      <c r="K480" s="1913"/>
      <c r="L480" s="1913"/>
      <c r="M480" s="708" t="s">
        <v>2322</v>
      </c>
      <c r="N480" s="223"/>
      <c r="O480" s="706">
        <f t="shared" si="45"/>
        <v>0</v>
      </c>
    </row>
    <row r="481" spans="1:15" s="360" customFormat="1" ht="15" hidden="1">
      <c r="A481" s="356" t="s">
        <v>510</v>
      </c>
      <c r="B481" s="707" t="s">
        <v>877</v>
      </c>
      <c r="C481" s="633">
        <f t="shared" si="43"/>
        <v>0</v>
      </c>
      <c r="D481" s="354"/>
      <c r="E481" s="15">
        <f t="shared" si="42"/>
        <v>2740.43</v>
      </c>
      <c r="F481" s="917">
        <f t="shared" si="41"/>
        <v>0</v>
      </c>
      <c r="G481" s="358">
        <f>SF!I646</f>
        <v>0</v>
      </c>
      <c r="H481" s="354" t="s">
        <v>102</v>
      </c>
      <c r="I481" s="355">
        <f>SF!K646</f>
        <v>2740.43</v>
      </c>
      <c r="J481" s="353">
        <f t="shared" si="44"/>
        <v>0</v>
      </c>
      <c r="K481" s="1911">
        <f>IF((J481+J482+J483+J484)&gt;(F481+F482+F483+F484),(J481+J482+J483+J484)-(F481+F482+F483+F484),0)</f>
        <v>0</v>
      </c>
      <c r="L481" s="1911">
        <f>IF((J481+J482+J483+J484)&lt;(F481+F482+F483+F484),(F481+F482+F483+F484)-(J481+J482+J483+J484),0)</f>
        <v>0</v>
      </c>
      <c r="M481" s="708" t="s">
        <v>2226</v>
      </c>
      <c r="N481" s="223"/>
      <c r="O481" s="706">
        <f t="shared" si="45"/>
        <v>0</v>
      </c>
    </row>
    <row r="482" spans="1:15" s="360" customFormat="1" ht="15" hidden="1">
      <c r="A482" s="356" t="s">
        <v>510</v>
      </c>
      <c r="B482" s="707" t="s">
        <v>877</v>
      </c>
      <c r="C482" s="633">
        <f t="shared" si="43"/>
        <v>0</v>
      </c>
      <c r="D482" s="354"/>
      <c r="E482" s="15">
        <f t="shared" si="42"/>
        <v>2787.53</v>
      </c>
      <c r="F482" s="917">
        <f t="shared" si="41"/>
        <v>0</v>
      </c>
      <c r="G482" s="358">
        <f>SF!I653</f>
        <v>0</v>
      </c>
      <c r="H482" s="354" t="s">
        <v>102</v>
      </c>
      <c r="I482" s="355">
        <f>SF!K653</f>
        <v>2787.53</v>
      </c>
      <c r="J482" s="353">
        <f t="shared" si="44"/>
        <v>0</v>
      </c>
      <c r="K482" s="1912"/>
      <c r="L482" s="1912"/>
      <c r="M482" s="708" t="s">
        <v>2308</v>
      </c>
      <c r="N482" s="223"/>
      <c r="O482" s="706">
        <f t="shared" si="45"/>
        <v>0</v>
      </c>
    </row>
    <row r="483" spans="1:15" s="360" customFormat="1" ht="15" hidden="1">
      <c r="A483" s="356" t="s">
        <v>510</v>
      </c>
      <c r="B483" s="707" t="s">
        <v>877</v>
      </c>
      <c r="C483" s="633">
        <f t="shared" si="43"/>
        <v>0</v>
      </c>
      <c r="D483" s="354"/>
      <c r="E483" s="15">
        <f t="shared" si="42"/>
        <v>2831.2</v>
      </c>
      <c r="F483" s="917">
        <f t="shared" si="41"/>
        <v>0</v>
      </c>
      <c r="G483" s="358">
        <f>SF!I660</f>
        <v>0</v>
      </c>
      <c r="H483" s="354" t="s">
        <v>102</v>
      </c>
      <c r="I483" s="355">
        <f>SF!K660</f>
        <v>2831.2</v>
      </c>
      <c r="J483" s="353">
        <f t="shared" si="44"/>
        <v>0</v>
      </c>
      <c r="K483" s="1912"/>
      <c r="L483" s="1912"/>
      <c r="M483" s="708" t="s">
        <v>2321</v>
      </c>
      <c r="N483" s="223"/>
      <c r="O483" s="706">
        <f t="shared" si="45"/>
        <v>0</v>
      </c>
    </row>
    <row r="484" spans="1:15" s="360" customFormat="1" ht="15" hidden="1">
      <c r="A484" s="356" t="s">
        <v>510</v>
      </c>
      <c r="B484" s="707" t="s">
        <v>877</v>
      </c>
      <c r="C484" s="633">
        <f t="shared" si="43"/>
        <v>0</v>
      </c>
      <c r="D484" s="354"/>
      <c r="E484" s="15">
        <f t="shared" si="42"/>
        <v>2995.66</v>
      </c>
      <c r="F484" s="917">
        <f t="shared" si="41"/>
        <v>0</v>
      </c>
      <c r="G484" s="358">
        <f>SF!I667</f>
        <v>0</v>
      </c>
      <c r="H484" s="354" t="s">
        <v>102</v>
      </c>
      <c r="I484" s="355">
        <f>SF!K667</f>
        <v>2995.66</v>
      </c>
      <c r="J484" s="353">
        <f t="shared" si="44"/>
        <v>0</v>
      </c>
      <c r="K484" s="1913"/>
      <c r="L484" s="1913"/>
      <c r="M484" s="708" t="s">
        <v>2322</v>
      </c>
      <c r="N484" s="223"/>
      <c r="O484" s="706">
        <f t="shared" si="45"/>
        <v>0</v>
      </c>
    </row>
    <row r="485" spans="1:15" s="360" customFormat="1" ht="15" hidden="1">
      <c r="A485" s="356" t="s">
        <v>529</v>
      </c>
      <c r="B485" s="707" t="s">
        <v>710</v>
      </c>
      <c r="C485" s="633">
        <f t="shared" si="43"/>
        <v>0</v>
      </c>
      <c r="D485" s="354"/>
      <c r="E485" s="15">
        <f t="shared" si="42"/>
        <v>660.95</v>
      </c>
      <c r="F485" s="917">
        <f t="shared" si="41"/>
        <v>0</v>
      </c>
      <c r="G485" s="358">
        <f>SF!I674</f>
        <v>0</v>
      </c>
      <c r="H485" s="354" t="s">
        <v>102</v>
      </c>
      <c r="I485" s="355">
        <f>SF!K674</f>
        <v>660.95</v>
      </c>
      <c r="J485" s="353">
        <f t="shared" si="44"/>
        <v>0</v>
      </c>
      <c r="K485" s="1911">
        <f>IF((J485+J486+J487+J488)&gt;(F485+F486+F487+F488),(J485+J486+J487+J488)-(F485+F486+F487+F488),0)</f>
        <v>0</v>
      </c>
      <c r="L485" s="1911">
        <f>IF((J485+J486+J487+J488)&lt;(F485+F486+F487+F488),(F485+F486+F487+F488)-(J485+J486+J487+J488),0)</f>
        <v>0</v>
      </c>
      <c r="M485" s="708" t="s">
        <v>2226</v>
      </c>
      <c r="N485" s="223"/>
      <c r="O485" s="706">
        <f t="shared" si="45"/>
        <v>0</v>
      </c>
    </row>
    <row r="486" spans="1:15" s="360" customFormat="1" ht="15" hidden="1">
      <c r="A486" s="356" t="s">
        <v>529</v>
      </c>
      <c r="B486" s="707" t="s">
        <v>710</v>
      </c>
      <c r="C486" s="633">
        <f t="shared" si="43"/>
        <v>0</v>
      </c>
      <c r="D486" s="354"/>
      <c r="E486" s="15">
        <f t="shared" si="42"/>
        <v>709.65</v>
      </c>
      <c r="F486" s="917">
        <f t="shared" si="41"/>
        <v>0</v>
      </c>
      <c r="G486" s="358">
        <f>SF!I681</f>
        <v>0</v>
      </c>
      <c r="H486" s="354" t="s">
        <v>102</v>
      </c>
      <c r="I486" s="355">
        <f>SF!K681</f>
        <v>709.65</v>
      </c>
      <c r="J486" s="353">
        <f t="shared" si="44"/>
        <v>0</v>
      </c>
      <c r="K486" s="1912"/>
      <c r="L486" s="1912"/>
      <c r="M486" s="708" t="s">
        <v>2308</v>
      </c>
      <c r="N486" s="223"/>
      <c r="O486" s="706">
        <f t="shared" si="45"/>
        <v>0</v>
      </c>
    </row>
    <row r="487" spans="1:15" s="360" customFormat="1" ht="15" hidden="1">
      <c r="A487" s="356" t="s">
        <v>529</v>
      </c>
      <c r="B487" s="707" t="s">
        <v>710</v>
      </c>
      <c r="C487" s="633">
        <f t="shared" si="43"/>
        <v>0</v>
      </c>
      <c r="D487" s="354"/>
      <c r="E487" s="15">
        <f t="shared" si="42"/>
        <v>718.32</v>
      </c>
      <c r="F487" s="917">
        <f t="shared" si="41"/>
        <v>0</v>
      </c>
      <c r="G487" s="358">
        <f>SF!I688</f>
        <v>0</v>
      </c>
      <c r="H487" s="354" t="s">
        <v>102</v>
      </c>
      <c r="I487" s="355">
        <f>SF!K688</f>
        <v>718.32</v>
      </c>
      <c r="J487" s="353">
        <f t="shared" si="44"/>
        <v>0</v>
      </c>
      <c r="K487" s="1912"/>
      <c r="L487" s="1912"/>
      <c r="M487" s="708" t="s">
        <v>2321</v>
      </c>
      <c r="N487" s="223"/>
      <c r="O487" s="706">
        <f t="shared" si="45"/>
        <v>0</v>
      </c>
    </row>
    <row r="488" spans="1:15" s="360" customFormat="1" ht="15" hidden="1">
      <c r="A488" s="356" t="s">
        <v>529</v>
      </c>
      <c r="B488" s="707" t="s">
        <v>710</v>
      </c>
      <c r="C488" s="633">
        <f t="shared" si="43"/>
        <v>0</v>
      </c>
      <c r="D488" s="354"/>
      <c r="E488" s="15">
        <f t="shared" si="42"/>
        <v>816.76</v>
      </c>
      <c r="F488" s="917">
        <f t="shared" si="41"/>
        <v>0</v>
      </c>
      <c r="G488" s="358">
        <f>SF!I695</f>
        <v>0</v>
      </c>
      <c r="H488" s="354" t="s">
        <v>102</v>
      </c>
      <c r="I488" s="355">
        <f>SF!K695</f>
        <v>816.76</v>
      </c>
      <c r="J488" s="353">
        <f t="shared" si="44"/>
        <v>0</v>
      </c>
      <c r="K488" s="1913"/>
      <c r="L488" s="1913"/>
      <c r="M488" s="708" t="s">
        <v>2322</v>
      </c>
      <c r="N488" s="223"/>
      <c r="O488" s="706">
        <f t="shared" si="45"/>
        <v>0</v>
      </c>
    </row>
    <row r="489" spans="1:15" s="360" customFormat="1" ht="15" hidden="1">
      <c r="A489" s="356" t="s">
        <v>530</v>
      </c>
      <c r="B489" s="707" t="s">
        <v>711</v>
      </c>
      <c r="C489" s="633">
        <f t="shared" si="43"/>
        <v>0</v>
      </c>
      <c r="D489" s="354"/>
      <c r="E489" s="15">
        <f t="shared" si="42"/>
        <v>681.6</v>
      </c>
      <c r="F489" s="917">
        <f t="shared" si="41"/>
        <v>0</v>
      </c>
      <c r="G489" s="358">
        <f>SF!I702</f>
        <v>0</v>
      </c>
      <c r="H489" s="354" t="s">
        <v>102</v>
      </c>
      <c r="I489" s="355">
        <f>SF!K702</f>
        <v>681.6</v>
      </c>
      <c r="J489" s="353">
        <f t="shared" si="44"/>
        <v>0</v>
      </c>
      <c r="K489" s="1911">
        <f>IF((J489+J490+J491+J492)&gt;(F489+F490+F491+F492),(J489+J490+J491+J492)-(F489+F490+F491+F492),0)</f>
        <v>0</v>
      </c>
      <c r="L489" s="1911">
        <f>IF((J489+J490+J491+J492)&lt;(F489+F490+F491+F492),(F489+F490+F491+F492)-(J489+J490+J491+J492),0)</f>
        <v>0</v>
      </c>
      <c r="M489" s="708" t="s">
        <v>2226</v>
      </c>
      <c r="N489" s="223"/>
      <c r="O489" s="706">
        <f t="shared" si="45"/>
        <v>0</v>
      </c>
    </row>
    <row r="490" spans="1:15" s="360" customFormat="1" ht="15" hidden="1">
      <c r="A490" s="356" t="s">
        <v>530</v>
      </c>
      <c r="B490" s="707" t="s">
        <v>711</v>
      </c>
      <c r="C490" s="633">
        <f t="shared" si="43"/>
        <v>0</v>
      </c>
      <c r="D490" s="354"/>
      <c r="E490" s="15">
        <f t="shared" si="42"/>
        <v>715.12</v>
      </c>
      <c r="F490" s="917">
        <f t="shared" si="41"/>
        <v>0</v>
      </c>
      <c r="G490" s="358">
        <f>SF!I709</f>
        <v>0</v>
      </c>
      <c r="H490" s="354" t="s">
        <v>102</v>
      </c>
      <c r="I490" s="355">
        <f>SF!K709</f>
        <v>715.12</v>
      </c>
      <c r="J490" s="353">
        <f t="shared" si="44"/>
        <v>0</v>
      </c>
      <c r="K490" s="1912"/>
      <c r="L490" s="1912"/>
      <c r="M490" s="708" t="s">
        <v>2308</v>
      </c>
      <c r="N490" s="223"/>
      <c r="O490" s="706">
        <f t="shared" si="45"/>
        <v>0</v>
      </c>
    </row>
    <row r="491" spans="1:15" s="360" customFormat="1" ht="15" hidden="1">
      <c r="A491" s="356" t="s">
        <v>530</v>
      </c>
      <c r="B491" s="707" t="s">
        <v>711</v>
      </c>
      <c r="C491" s="633">
        <f t="shared" si="43"/>
        <v>0</v>
      </c>
      <c r="D491" s="354"/>
      <c r="E491" s="15">
        <f t="shared" si="42"/>
        <v>740.12</v>
      </c>
      <c r="F491" s="917">
        <f t="shared" si="41"/>
        <v>0</v>
      </c>
      <c r="G491" s="358">
        <f>SF!I716</f>
        <v>0</v>
      </c>
      <c r="H491" s="354" t="s">
        <v>102</v>
      </c>
      <c r="I491" s="355">
        <f>SF!K716</f>
        <v>740.12</v>
      </c>
      <c r="J491" s="353">
        <f t="shared" si="44"/>
        <v>0</v>
      </c>
      <c r="K491" s="1912"/>
      <c r="L491" s="1912"/>
      <c r="M491" s="708" t="s">
        <v>2321</v>
      </c>
      <c r="N491" s="223"/>
      <c r="O491" s="706">
        <f t="shared" si="45"/>
        <v>0</v>
      </c>
    </row>
    <row r="492" spans="1:15" s="360" customFormat="1" ht="15" hidden="1">
      <c r="A492" s="356" t="s">
        <v>530</v>
      </c>
      <c r="B492" s="707" t="s">
        <v>711</v>
      </c>
      <c r="C492" s="633">
        <f t="shared" si="43"/>
        <v>0</v>
      </c>
      <c r="D492" s="354"/>
      <c r="E492" s="15">
        <f t="shared" si="42"/>
        <v>822.23</v>
      </c>
      <c r="F492" s="917">
        <f t="shared" si="41"/>
        <v>0</v>
      </c>
      <c r="G492" s="358">
        <f>SF!I723</f>
        <v>0</v>
      </c>
      <c r="H492" s="354" t="s">
        <v>102</v>
      </c>
      <c r="I492" s="355">
        <f>SF!K723</f>
        <v>822.23</v>
      </c>
      <c r="J492" s="353">
        <f t="shared" si="44"/>
        <v>0</v>
      </c>
      <c r="K492" s="1913"/>
      <c r="L492" s="1913"/>
      <c r="M492" s="708" t="s">
        <v>2322</v>
      </c>
      <c r="N492" s="223"/>
      <c r="O492" s="706">
        <f t="shared" si="45"/>
        <v>0</v>
      </c>
    </row>
    <row r="493" spans="1:15" s="360" customFormat="1" ht="15" hidden="1">
      <c r="A493" s="356" t="s">
        <v>531</v>
      </c>
      <c r="B493" s="707" t="s">
        <v>511</v>
      </c>
      <c r="C493" s="633">
        <f t="shared" si="43"/>
        <v>0</v>
      </c>
      <c r="D493" s="354"/>
      <c r="E493" s="15">
        <f t="shared" si="42"/>
        <v>784.71</v>
      </c>
      <c r="F493" s="917">
        <f t="shared" si="41"/>
        <v>0</v>
      </c>
      <c r="G493" s="358">
        <f>SF!I730</f>
        <v>0</v>
      </c>
      <c r="H493" s="354" t="s">
        <v>102</v>
      </c>
      <c r="I493" s="355">
        <f>SF!K730</f>
        <v>784.71</v>
      </c>
      <c r="J493" s="353">
        <f t="shared" si="44"/>
        <v>0</v>
      </c>
      <c r="K493" s="1911">
        <f>IF((J493+J494+J495+J496)&gt;(F493+F494+F495+F496),(J493+J494+J495+J496)-(F493+F494+F495+F496),0)</f>
        <v>0</v>
      </c>
      <c r="L493" s="1911">
        <f>IF((J493+J494+J495+J496)&lt;(F493+F494+F495+F496),(F493+F494+F495+F496)-(J493+J494+J495+J496),0)</f>
        <v>0</v>
      </c>
      <c r="M493" s="708" t="s">
        <v>2226</v>
      </c>
      <c r="N493" s="223"/>
      <c r="O493" s="706">
        <f t="shared" si="45"/>
        <v>0</v>
      </c>
    </row>
    <row r="494" spans="1:15" s="360" customFormat="1" ht="15" hidden="1">
      <c r="A494" s="356" t="s">
        <v>531</v>
      </c>
      <c r="B494" s="707" t="s">
        <v>511</v>
      </c>
      <c r="C494" s="633">
        <f t="shared" si="43"/>
        <v>0</v>
      </c>
      <c r="D494" s="354"/>
      <c r="E494" s="15">
        <f t="shared" si="42"/>
        <v>818.23</v>
      </c>
      <c r="F494" s="917">
        <f t="shared" si="41"/>
        <v>0</v>
      </c>
      <c r="G494" s="358">
        <f>SF!I737</f>
        <v>0</v>
      </c>
      <c r="H494" s="354" t="s">
        <v>102</v>
      </c>
      <c r="I494" s="355">
        <f>SF!K737</f>
        <v>818.23</v>
      </c>
      <c r="J494" s="353">
        <f t="shared" si="44"/>
        <v>0</v>
      </c>
      <c r="K494" s="1912"/>
      <c r="L494" s="1912"/>
      <c r="M494" s="708" t="s">
        <v>2308</v>
      </c>
      <c r="N494" s="223"/>
      <c r="O494" s="706">
        <f t="shared" si="45"/>
        <v>0</v>
      </c>
    </row>
    <row r="495" spans="1:15" s="360" customFormat="1" ht="15" hidden="1">
      <c r="A495" s="356" t="s">
        <v>531</v>
      </c>
      <c r="B495" s="707" t="s">
        <v>511</v>
      </c>
      <c r="C495" s="633">
        <f t="shared" si="43"/>
        <v>0</v>
      </c>
      <c r="D495" s="354"/>
      <c r="E495" s="15">
        <f t="shared" si="42"/>
        <v>843.23</v>
      </c>
      <c r="F495" s="917">
        <f t="shared" si="41"/>
        <v>0</v>
      </c>
      <c r="G495" s="358">
        <f>SF!I744</f>
        <v>0</v>
      </c>
      <c r="H495" s="354" t="s">
        <v>102</v>
      </c>
      <c r="I495" s="355">
        <f>SF!K744</f>
        <v>843.23</v>
      </c>
      <c r="J495" s="353">
        <f t="shared" si="44"/>
        <v>0</v>
      </c>
      <c r="K495" s="1912"/>
      <c r="L495" s="1912"/>
      <c r="M495" s="708" t="s">
        <v>2321</v>
      </c>
      <c r="N495" s="223"/>
      <c r="O495" s="706">
        <f t="shared" si="45"/>
        <v>0</v>
      </c>
    </row>
    <row r="496" spans="1:15" s="360" customFormat="1" ht="15" hidden="1">
      <c r="A496" s="356" t="s">
        <v>531</v>
      </c>
      <c r="B496" s="707" t="s">
        <v>511</v>
      </c>
      <c r="C496" s="633">
        <f t="shared" si="43"/>
        <v>0</v>
      </c>
      <c r="D496" s="354"/>
      <c r="E496" s="15">
        <f t="shared" si="42"/>
        <v>873.89</v>
      </c>
      <c r="F496" s="917">
        <f t="shared" ref="F496:F559" si="46">ROUND(C496*E496,0)</f>
        <v>0</v>
      </c>
      <c r="G496" s="358">
        <f>SF!I751</f>
        <v>0</v>
      </c>
      <c r="H496" s="354" t="s">
        <v>102</v>
      </c>
      <c r="I496" s="355">
        <f>SF!K751</f>
        <v>873.89</v>
      </c>
      <c r="J496" s="353">
        <f t="shared" si="44"/>
        <v>0</v>
      </c>
      <c r="K496" s="1913"/>
      <c r="L496" s="1913"/>
      <c r="M496" s="708" t="s">
        <v>2322</v>
      </c>
      <c r="N496" s="223"/>
      <c r="O496" s="706">
        <f t="shared" si="45"/>
        <v>0</v>
      </c>
    </row>
    <row r="497" spans="1:15" s="360" customFormat="1" ht="15" hidden="1">
      <c r="A497" s="356" t="s">
        <v>532</v>
      </c>
      <c r="B497" s="707" t="s">
        <v>570</v>
      </c>
      <c r="C497" s="633">
        <f t="shared" si="43"/>
        <v>0</v>
      </c>
      <c r="D497" s="354"/>
      <c r="E497" s="15">
        <f t="shared" ref="E497:E560" si="47">I497</f>
        <v>502.03</v>
      </c>
      <c r="F497" s="917">
        <f t="shared" si="46"/>
        <v>0</v>
      </c>
      <c r="G497" s="358">
        <f>SF!I757</f>
        <v>0</v>
      </c>
      <c r="H497" s="354" t="s">
        <v>102</v>
      </c>
      <c r="I497" s="355">
        <f>SF!K757</f>
        <v>502.03</v>
      </c>
      <c r="J497" s="353">
        <f t="shared" si="44"/>
        <v>0</v>
      </c>
      <c r="K497" s="1911">
        <f>IF((J497+J498+J499+J500)&gt;(F497+F498+F499+F500),(J497+J498+J499+J500)-(F497+F498+F499+F500),0)</f>
        <v>0</v>
      </c>
      <c r="L497" s="1911">
        <f>IF((J497+J498+J499+J500)&lt;(F497+F498+F499+F500),(F497+F498+F499+F500)-(J497+J498+J499+J500),0)</f>
        <v>0</v>
      </c>
      <c r="M497" s="708" t="s">
        <v>2226</v>
      </c>
      <c r="N497" s="223"/>
      <c r="O497" s="706">
        <f t="shared" si="45"/>
        <v>0</v>
      </c>
    </row>
    <row r="498" spans="1:15" s="360" customFormat="1" ht="15" hidden="1">
      <c r="A498" s="356" t="s">
        <v>532</v>
      </c>
      <c r="B498" s="707" t="s">
        <v>570</v>
      </c>
      <c r="C498" s="633">
        <f t="shared" si="43"/>
        <v>0</v>
      </c>
      <c r="D498" s="354"/>
      <c r="E498" s="15">
        <f t="shared" si="47"/>
        <v>512.04</v>
      </c>
      <c r="F498" s="917">
        <f t="shared" si="46"/>
        <v>0</v>
      </c>
      <c r="G498" s="358">
        <f>SF!I763</f>
        <v>0</v>
      </c>
      <c r="H498" s="354" t="s">
        <v>102</v>
      </c>
      <c r="I498" s="355">
        <f>SF!K763</f>
        <v>512.04</v>
      </c>
      <c r="J498" s="353">
        <f t="shared" si="44"/>
        <v>0</v>
      </c>
      <c r="K498" s="1912"/>
      <c r="L498" s="1912"/>
      <c r="M498" s="708" t="s">
        <v>2308</v>
      </c>
      <c r="N498" s="223"/>
      <c r="O498" s="706">
        <f t="shared" si="45"/>
        <v>0</v>
      </c>
    </row>
    <row r="499" spans="1:15" s="360" customFormat="1" ht="15" hidden="1">
      <c r="A499" s="356" t="s">
        <v>532</v>
      </c>
      <c r="B499" s="707" t="s">
        <v>570</v>
      </c>
      <c r="C499" s="633">
        <f t="shared" si="43"/>
        <v>0</v>
      </c>
      <c r="D499" s="354"/>
      <c r="E499" s="15">
        <f t="shared" si="47"/>
        <v>520.52</v>
      </c>
      <c r="F499" s="917">
        <f t="shared" si="46"/>
        <v>0</v>
      </c>
      <c r="G499" s="358">
        <f>SF!I769</f>
        <v>0</v>
      </c>
      <c r="H499" s="354" t="s">
        <v>102</v>
      </c>
      <c r="I499" s="355">
        <f>SF!K769</f>
        <v>520.52</v>
      </c>
      <c r="J499" s="353">
        <f t="shared" si="44"/>
        <v>0</v>
      </c>
      <c r="K499" s="1912"/>
      <c r="L499" s="1912"/>
      <c r="M499" s="708" t="s">
        <v>2321</v>
      </c>
      <c r="N499" s="223"/>
      <c r="O499" s="706">
        <f t="shared" si="45"/>
        <v>0</v>
      </c>
    </row>
    <row r="500" spans="1:15" s="360" customFormat="1" ht="15" hidden="1">
      <c r="A500" s="356" t="s">
        <v>532</v>
      </c>
      <c r="B500" s="707" t="s">
        <v>570</v>
      </c>
      <c r="C500" s="633">
        <f t="shared" si="43"/>
        <v>0</v>
      </c>
      <c r="D500" s="354"/>
      <c r="E500" s="15">
        <f t="shared" si="47"/>
        <v>536.26</v>
      </c>
      <c r="F500" s="917">
        <f t="shared" si="46"/>
        <v>0</v>
      </c>
      <c r="G500" s="358">
        <f>SF!I775</f>
        <v>0</v>
      </c>
      <c r="H500" s="354" t="s">
        <v>102</v>
      </c>
      <c r="I500" s="355">
        <f>SF!K775</f>
        <v>536.26</v>
      </c>
      <c r="J500" s="353">
        <f t="shared" si="44"/>
        <v>0</v>
      </c>
      <c r="K500" s="1913"/>
      <c r="L500" s="1913"/>
      <c r="M500" s="708" t="s">
        <v>2322</v>
      </c>
      <c r="N500" s="223"/>
      <c r="O500" s="706">
        <f t="shared" si="45"/>
        <v>0</v>
      </c>
    </row>
    <row r="501" spans="1:15" s="360" customFormat="1" ht="15" hidden="1">
      <c r="A501" s="356" t="s">
        <v>492</v>
      </c>
      <c r="B501" s="707" t="s">
        <v>1223</v>
      </c>
      <c r="C501" s="633">
        <f t="shared" si="43"/>
        <v>0</v>
      </c>
      <c r="D501" s="354"/>
      <c r="E501" s="15">
        <f t="shared" si="47"/>
        <v>977.96</v>
      </c>
      <c r="F501" s="917">
        <f t="shared" si="46"/>
        <v>0</v>
      </c>
      <c r="G501" s="358">
        <f>SF!I781</f>
        <v>0</v>
      </c>
      <c r="H501" s="354" t="s">
        <v>102</v>
      </c>
      <c r="I501" s="355">
        <f>SF!K781</f>
        <v>977.96</v>
      </c>
      <c r="J501" s="353">
        <f t="shared" si="44"/>
        <v>0</v>
      </c>
      <c r="K501" s="1911">
        <f>IF((J501+J502+J503+J504)&gt;(F501+F502+F503+F504),(J501+J502+J503+J504)-(F501+F502+F503+F504),0)</f>
        <v>0</v>
      </c>
      <c r="L501" s="1911">
        <f>IF((J501+J502+J503+J504)&lt;(F501+F502+F503+F504),(F501+F502+F503+F504)-(J501+J502+J503+J504),0)</f>
        <v>0</v>
      </c>
      <c r="M501" s="708" t="s">
        <v>2226</v>
      </c>
      <c r="N501" s="223"/>
      <c r="O501" s="706">
        <f t="shared" si="45"/>
        <v>0</v>
      </c>
    </row>
    <row r="502" spans="1:15" s="360" customFormat="1" ht="15" hidden="1">
      <c r="A502" s="356" t="s">
        <v>492</v>
      </c>
      <c r="B502" s="707" t="s">
        <v>1223</v>
      </c>
      <c r="C502" s="633">
        <f t="shared" si="43"/>
        <v>0</v>
      </c>
      <c r="D502" s="354"/>
      <c r="E502" s="15">
        <f t="shared" si="47"/>
        <v>1023.19</v>
      </c>
      <c r="F502" s="917">
        <f t="shared" si="46"/>
        <v>0</v>
      </c>
      <c r="G502" s="358">
        <f>SF!I787</f>
        <v>0</v>
      </c>
      <c r="H502" s="354" t="s">
        <v>102</v>
      </c>
      <c r="I502" s="355">
        <f>SF!K787</f>
        <v>1023.19</v>
      </c>
      <c r="J502" s="353">
        <f t="shared" si="44"/>
        <v>0</v>
      </c>
      <c r="K502" s="1912"/>
      <c r="L502" s="1912"/>
      <c r="M502" s="708" t="s">
        <v>2308</v>
      </c>
      <c r="N502" s="223"/>
      <c r="O502" s="706">
        <f t="shared" si="45"/>
        <v>0</v>
      </c>
    </row>
    <row r="503" spans="1:15" s="360" customFormat="1" ht="15" hidden="1">
      <c r="A503" s="356" t="s">
        <v>492</v>
      </c>
      <c r="B503" s="707" t="s">
        <v>1223</v>
      </c>
      <c r="C503" s="633">
        <f t="shared" si="43"/>
        <v>0</v>
      </c>
      <c r="D503" s="354"/>
      <c r="E503" s="15">
        <f t="shared" si="47"/>
        <v>1058.68</v>
      </c>
      <c r="F503" s="917">
        <f t="shared" si="46"/>
        <v>0</v>
      </c>
      <c r="G503" s="358">
        <f>SF!I793</f>
        <v>0</v>
      </c>
      <c r="H503" s="354" t="s">
        <v>102</v>
      </c>
      <c r="I503" s="355">
        <f>SF!K793</f>
        <v>1058.68</v>
      </c>
      <c r="J503" s="353">
        <f t="shared" si="44"/>
        <v>0</v>
      </c>
      <c r="K503" s="1912"/>
      <c r="L503" s="1912"/>
      <c r="M503" s="708" t="s">
        <v>2321</v>
      </c>
      <c r="N503" s="223"/>
      <c r="O503" s="706">
        <f t="shared" si="45"/>
        <v>0</v>
      </c>
    </row>
    <row r="504" spans="1:15" s="360" customFormat="1" ht="15" hidden="1">
      <c r="A504" s="356" t="s">
        <v>492</v>
      </c>
      <c r="B504" s="707" t="s">
        <v>1223</v>
      </c>
      <c r="C504" s="633">
        <f t="shared" si="43"/>
        <v>0</v>
      </c>
      <c r="D504" s="354"/>
      <c r="E504" s="15">
        <f t="shared" si="47"/>
        <v>1100.49</v>
      </c>
      <c r="F504" s="917">
        <f t="shared" si="46"/>
        <v>0</v>
      </c>
      <c r="G504" s="358">
        <f>SF!I799</f>
        <v>0</v>
      </c>
      <c r="H504" s="354" t="s">
        <v>102</v>
      </c>
      <c r="I504" s="355">
        <f>SF!K799</f>
        <v>1100.49</v>
      </c>
      <c r="J504" s="353">
        <f t="shared" si="44"/>
        <v>0</v>
      </c>
      <c r="K504" s="1913"/>
      <c r="L504" s="1913"/>
      <c r="M504" s="708" t="s">
        <v>2322</v>
      </c>
      <c r="N504" s="223"/>
      <c r="O504" s="706">
        <f t="shared" si="45"/>
        <v>0</v>
      </c>
    </row>
    <row r="505" spans="1:15" s="360" customFormat="1" ht="15" hidden="1">
      <c r="A505" s="356" t="s">
        <v>533</v>
      </c>
      <c r="B505" s="707" t="s">
        <v>707</v>
      </c>
      <c r="C505" s="633">
        <f t="shared" si="43"/>
        <v>0</v>
      </c>
      <c r="D505" s="354"/>
      <c r="E505" s="15">
        <f t="shared" si="47"/>
        <v>21.43</v>
      </c>
      <c r="F505" s="917">
        <f t="shared" si="46"/>
        <v>0</v>
      </c>
      <c r="G505" s="358">
        <f>SF!I807</f>
        <v>0</v>
      </c>
      <c r="H505" s="354" t="s">
        <v>102</v>
      </c>
      <c r="I505" s="355">
        <f>SF!K807</f>
        <v>21.43</v>
      </c>
      <c r="J505" s="353">
        <f t="shared" si="44"/>
        <v>0</v>
      </c>
      <c r="K505" s="1911">
        <f>IF((J505+J506+J507+J508)&gt;(F505+F506+F507+F508),(J505+J506+J507+J508)-(F505+F506+F507+F508),0)</f>
        <v>0</v>
      </c>
      <c r="L505" s="1911">
        <f>IF((J505+J506+J507+J508)&lt;(F505+F506+F507+F508),(F505+F506+F507+F508)-(J505+J506+J507+J508),0)</f>
        <v>0</v>
      </c>
      <c r="M505" s="708" t="s">
        <v>2226</v>
      </c>
      <c r="N505" s="223"/>
      <c r="O505" s="706">
        <f t="shared" si="45"/>
        <v>0</v>
      </c>
    </row>
    <row r="506" spans="1:15" s="360" customFormat="1" ht="15" hidden="1">
      <c r="A506" s="356" t="s">
        <v>533</v>
      </c>
      <c r="B506" s="707" t="s">
        <v>707</v>
      </c>
      <c r="C506" s="633">
        <f t="shared" si="43"/>
        <v>0</v>
      </c>
      <c r="D506" s="354"/>
      <c r="E506" s="15">
        <f t="shared" si="47"/>
        <v>22.88</v>
      </c>
      <c r="F506" s="917">
        <f t="shared" si="46"/>
        <v>0</v>
      </c>
      <c r="G506" s="358">
        <f>SF!I815</f>
        <v>0</v>
      </c>
      <c r="H506" s="354" t="s">
        <v>102</v>
      </c>
      <c r="I506" s="355">
        <f>SF!K815</f>
        <v>22.88</v>
      </c>
      <c r="J506" s="353">
        <f t="shared" si="44"/>
        <v>0</v>
      </c>
      <c r="K506" s="1912"/>
      <c r="L506" s="1912"/>
      <c r="M506" s="708" t="s">
        <v>2308</v>
      </c>
      <c r="N506" s="223"/>
      <c r="O506" s="706">
        <f t="shared" si="45"/>
        <v>0</v>
      </c>
    </row>
    <row r="507" spans="1:15" s="360" customFormat="1" ht="15" hidden="1">
      <c r="A507" s="356" t="s">
        <v>533</v>
      </c>
      <c r="B507" s="707" t="s">
        <v>707</v>
      </c>
      <c r="C507" s="633">
        <f t="shared" si="43"/>
        <v>0</v>
      </c>
      <c r="D507" s="354"/>
      <c r="E507" s="15">
        <f t="shared" si="47"/>
        <v>25.95</v>
      </c>
      <c r="F507" s="917">
        <f t="shared" si="46"/>
        <v>0</v>
      </c>
      <c r="G507" s="358">
        <f>SF!I823</f>
        <v>0</v>
      </c>
      <c r="H507" s="354" t="s">
        <v>102</v>
      </c>
      <c r="I507" s="355">
        <f>SF!K823</f>
        <v>25.95</v>
      </c>
      <c r="J507" s="353">
        <f t="shared" si="44"/>
        <v>0</v>
      </c>
      <c r="K507" s="1912"/>
      <c r="L507" s="1912"/>
      <c r="M507" s="708" t="s">
        <v>2321</v>
      </c>
      <c r="N507" s="223"/>
      <c r="O507" s="706">
        <f t="shared" si="45"/>
        <v>0</v>
      </c>
    </row>
    <row r="508" spans="1:15" s="360" customFormat="1" ht="15" hidden="1">
      <c r="A508" s="356" t="s">
        <v>533</v>
      </c>
      <c r="B508" s="707" t="s">
        <v>707</v>
      </c>
      <c r="C508" s="633">
        <f t="shared" si="43"/>
        <v>0</v>
      </c>
      <c r="D508" s="354"/>
      <c r="E508" s="15">
        <f t="shared" si="47"/>
        <v>27.91</v>
      </c>
      <c r="F508" s="917">
        <f t="shared" si="46"/>
        <v>0</v>
      </c>
      <c r="G508" s="358">
        <f>SF!I831</f>
        <v>0</v>
      </c>
      <c r="H508" s="354" t="s">
        <v>102</v>
      </c>
      <c r="I508" s="355">
        <f>SF!K831</f>
        <v>27.91</v>
      </c>
      <c r="J508" s="353">
        <f t="shared" si="44"/>
        <v>0</v>
      </c>
      <c r="K508" s="1913"/>
      <c r="L508" s="1913"/>
      <c r="M508" s="708" t="s">
        <v>2322</v>
      </c>
      <c r="N508" s="223"/>
      <c r="O508" s="706">
        <f t="shared" si="45"/>
        <v>0</v>
      </c>
    </row>
    <row r="509" spans="1:15" s="360" customFormat="1" ht="15" hidden="1">
      <c r="A509" s="356" t="s">
        <v>514</v>
      </c>
      <c r="B509" s="707" t="s">
        <v>888</v>
      </c>
      <c r="C509" s="633">
        <f t="shared" si="43"/>
        <v>0</v>
      </c>
      <c r="D509" s="354" t="s">
        <v>102</v>
      </c>
      <c r="E509" s="10">
        <f t="shared" si="47"/>
        <v>164.74</v>
      </c>
      <c r="F509" s="917">
        <f t="shared" si="46"/>
        <v>0</v>
      </c>
      <c r="G509" s="358">
        <f>SF!I839</f>
        <v>0</v>
      </c>
      <c r="H509" s="354" t="s">
        <v>102</v>
      </c>
      <c r="I509" s="355">
        <f>SF!K839</f>
        <v>164.74</v>
      </c>
      <c r="J509" s="353">
        <f t="shared" si="44"/>
        <v>0</v>
      </c>
      <c r="K509" s="1911">
        <f>IF((J509+J510+J511+J512)&gt;(F509+F510+F511+F512),(J509+J510+J511+J512)-(F509+F510+F511+F512),0)</f>
        <v>0</v>
      </c>
      <c r="L509" s="1911">
        <f>IF((J509+J510+J511+J512)&lt;(F509+F510+F511+F512),(F509+F510+F511+F512)-(J509+J510+J511+J512),0)</f>
        <v>0</v>
      </c>
      <c r="M509" s="1139" t="s">
        <v>2226</v>
      </c>
      <c r="N509" s="223"/>
      <c r="O509" s="1138">
        <f t="shared" si="45"/>
        <v>0</v>
      </c>
    </row>
    <row r="510" spans="1:15" s="360" customFormat="1" ht="15" hidden="1">
      <c r="A510" s="356" t="s">
        <v>1143</v>
      </c>
      <c r="B510" s="707" t="s">
        <v>888</v>
      </c>
      <c r="C510" s="633">
        <f t="shared" si="43"/>
        <v>0</v>
      </c>
      <c r="D510" s="354"/>
      <c r="E510" s="15">
        <f t="shared" si="47"/>
        <v>173.39</v>
      </c>
      <c r="F510" s="917">
        <f t="shared" si="46"/>
        <v>0</v>
      </c>
      <c r="G510" s="358">
        <f>SF!I847</f>
        <v>0</v>
      </c>
      <c r="H510" s="354" t="s">
        <v>102</v>
      </c>
      <c r="I510" s="355">
        <f>SF!K847</f>
        <v>173.39</v>
      </c>
      <c r="J510" s="353">
        <f t="shared" si="44"/>
        <v>0</v>
      </c>
      <c r="K510" s="1912"/>
      <c r="L510" s="1912"/>
      <c r="M510" s="708" t="s">
        <v>2308</v>
      </c>
      <c r="N510" s="223"/>
      <c r="O510" s="706">
        <f t="shared" si="45"/>
        <v>0</v>
      </c>
    </row>
    <row r="511" spans="1:15" s="360" customFormat="1" ht="15" hidden="1">
      <c r="A511" s="356" t="s">
        <v>1143</v>
      </c>
      <c r="B511" s="707" t="s">
        <v>888</v>
      </c>
      <c r="C511" s="633">
        <f t="shared" si="43"/>
        <v>0</v>
      </c>
      <c r="D511" s="354"/>
      <c r="E511" s="15">
        <f t="shared" si="47"/>
        <v>179.94</v>
      </c>
      <c r="F511" s="917">
        <f t="shared" si="46"/>
        <v>0</v>
      </c>
      <c r="G511" s="358">
        <f>SF!I855</f>
        <v>0</v>
      </c>
      <c r="H511" s="354" t="s">
        <v>102</v>
      </c>
      <c r="I511" s="355">
        <f>SF!K855</f>
        <v>179.94</v>
      </c>
      <c r="J511" s="353">
        <f t="shared" si="44"/>
        <v>0</v>
      </c>
      <c r="K511" s="1912"/>
      <c r="L511" s="1912"/>
      <c r="M511" s="708" t="s">
        <v>2321</v>
      </c>
      <c r="N511" s="223"/>
      <c r="O511" s="706">
        <f t="shared" si="45"/>
        <v>0</v>
      </c>
    </row>
    <row r="512" spans="1:15" s="360" customFormat="1" ht="51" hidden="1">
      <c r="A512" s="356" t="s">
        <v>513</v>
      </c>
      <c r="B512" s="707" t="s">
        <v>3287</v>
      </c>
      <c r="C512" s="633">
        <f t="shared" si="43"/>
        <v>0</v>
      </c>
      <c r="D512" s="354"/>
      <c r="E512" s="10">
        <f t="shared" si="47"/>
        <v>194.34</v>
      </c>
      <c r="F512" s="917">
        <f t="shared" si="46"/>
        <v>0</v>
      </c>
      <c r="G512" s="358">
        <f>SF!I863</f>
        <v>0</v>
      </c>
      <c r="H512" s="354" t="s">
        <v>102</v>
      </c>
      <c r="I512" s="355">
        <f>SF!K863</f>
        <v>194.34</v>
      </c>
      <c r="J512" s="353">
        <f t="shared" si="44"/>
        <v>0</v>
      </c>
      <c r="K512" s="1927"/>
      <c r="L512" s="1927"/>
      <c r="M512" s="1139" t="s">
        <v>2322</v>
      </c>
      <c r="N512" s="223"/>
      <c r="O512" s="1138">
        <f t="shared" si="45"/>
        <v>0</v>
      </c>
    </row>
    <row r="513" spans="1:15" s="360" customFormat="1" ht="15" hidden="1">
      <c r="A513" s="356" t="s">
        <v>645</v>
      </c>
      <c r="B513" s="707" t="s">
        <v>571</v>
      </c>
      <c r="C513" s="633">
        <f t="shared" si="43"/>
        <v>0</v>
      </c>
      <c r="D513" s="354"/>
      <c r="E513" s="15">
        <f t="shared" si="47"/>
        <v>140.87</v>
      </c>
      <c r="F513" s="917">
        <f t="shared" si="46"/>
        <v>0</v>
      </c>
      <c r="G513" s="358">
        <f>SF!I871</f>
        <v>0</v>
      </c>
      <c r="H513" s="354" t="s">
        <v>102</v>
      </c>
      <c r="I513" s="355">
        <f>SF!K871</f>
        <v>140.87</v>
      </c>
      <c r="J513" s="353">
        <f t="shared" si="44"/>
        <v>0</v>
      </c>
      <c r="K513" s="1911">
        <f>IF((J513+J514+J515+J516)&gt;(F513+F514+F515+F516),(J513+J514+J515+J516)-(F513+F514+F515+F516),0)</f>
        <v>0</v>
      </c>
      <c r="L513" s="1911">
        <f>IF((J513+J514+J515+J516)&lt;(F513+F514+F515+F516),(F513+F514+F515+F516)-(J513+J514+J515+J516),0)</f>
        <v>0</v>
      </c>
      <c r="M513" s="708" t="s">
        <v>2226</v>
      </c>
      <c r="N513" s="223"/>
      <c r="O513" s="706">
        <f t="shared" si="45"/>
        <v>0</v>
      </c>
    </row>
    <row r="514" spans="1:15" s="360" customFormat="1" ht="15" hidden="1">
      <c r="A514" s="356" t="s">
        <v>1580</v>
      </c>
      <c r="B514" s="707" t="s">
        <v>571</v>
      </c>
      <c r="C514" s="633">
        <f t="shared" si="43"/>
        <v>0</v>
      </c>
      <c r="D514" s="354"/>
      <c r="E514" s="15">
        <f t="shared" si="47"/>
        <v>149.66</v>
      </c>
      <c r="F514" s="917">
        <f t="shared" si="46"/>
        <v>0</v>
      </c>
      <c r="G514" s="358">
        <f>SF!I883</f>
        <v>0</v>
      </c>
      <c r="H514" s="354" t="s">
        <v>102</v>
      </c>
      <c r="I514" s="355">
        <f>SF!K883</f>
        <v>149.66</v>
      </c>
      <c r="J514" s="353">
        <f t="shared" si="44"/>
        <v>0</v>
      </c>
      <c r="K514" s="1912"/>
      <c r="L514" s="1912"/>
      <c r="M514" s="708" t="s">
        <v>2308</v>
      </c>
      <c r="N514" s="223"/>
      <c r="O514" s="706">
        <f t="shared" si="45"/>
        <v>0</v>
      </c>
    </row>
    <row r="515" spans="1:15" s="360" customFormat="1" ht="15" hidden="1">
      <c r="A515" s="356" t="s">
        <v>645</v>
      </c>
      <c r="B515" s="707" t="s">
        <v>571</v>
      </c>
      <c r="C515" s="633">
        <f t="shared" si="43"/>
        <v>0</v>
      </c>
      <c r="D515" s="354"/>
      <c r="E515" s="15">
        <f t="shared" si="47"/>
        <v>156.4</v>
      </c>
      <c r="F515" s="917">
        <f t="shared" si="46"/>
        <v>0</v>
      </c>
      <c r="G515" s="358">
        <f>SF!I891</f>
        <v>0</v>
      </c>
      <c r="H515" s="354" t="s">
        <v>102</v>
      </c>
      <c r="I515" s="355">
        <f>SF!K891</f>
        <v>156.4</v>
      </c>
      <c r="J515" s="353">
        <f t="shared" si="44"/>
        <v>0</v>
      </c>
      <c r="K515" s="1912"/>
      <c r="L515" s="1912"/>
      <c r="M515" s="708" t="s">
        <v>2321</v>
      </c>
      <c r="N515" s="223"/>
      <c r="O515" s="706">
        <f t="shared" si="45"/>
        <v>0</v>
      </c>
    </row>
    <row r="516" spans="1:15" s="360" customFormat="1" ht="51" hidden="1">
      <c r="A516" s="356" t="s">
        <v>515</v>
      </c>
      <c r="B516" s="707" t="s">
        <v>3288</v>
      </c>
      <c r="C516" s="633">
        <f t="shared" si="43"/>
        <v>0</v>
      </c>
      <c r="D516" s="354" t="s">
        <v>102</v>
      </c>
      <c r="E516" s="10">
        <f t="shared" si="47"/>
        <v>169.89</v>
      </c>
      <c r="F516" s="917">
        <f t="shared" si="46"/>
        <v>0</v>
      </c>
      <c r="G516" s="358">
        <f>SF!I899</f>
        <v>0</v>
      </c>
      <c r="H516" s="354" t="s">
        <v>102</v>
      </c>
      <c r="I516" s="355">
        <f>SF!K899</f>
        <v>169.89</v>
      </c>
      <c r="J516" s="353">
        <f t="shared" si="44"/>
        <v>0</v>
      </c>
      <c r="K516" s="1927"/>
      <c r="L516" s="1927"/>
      <c r="M516" s="1139" t="s">
        <v>2322</v>
      </c>
      <c r="N516" s="223"/>
      <c r="O516" s="1138">
        <f t="shared" si="45"/>
        <v>0</v>
      </c>
    </row>
    <row r="517" spans="1:15" s="360" customFormat="1" ht="15" hidden="1">
      <c r="A517" s="356" t="s">
        <v>1587</v>
      </c>
      <c r="B517" s="707" t="s">
        <v>1227</v>
      </c>
      <c r="C517" s="633">
        <f t="shared" si="43"/>
        <v>0</v>
      </c>
      <c r="D517" s="354"/>
      <c r="E517" s="15">
        <f t="shared" si="47"/>
        <v>192.71</v>
      </c>
      <c r="F517" s="917">
        <f t="shared" si="46"/>
        <v>0</v>
      </c>
      <c r="G517" s="358">
        <f>SF!I906</f>
        <v>0</v>
      </c>
      <c r="H517" s="354" t="s">
        <v>102</v>
      </c>
      <c r="I517" s="355">
        <f>SF!K906</f>
        <v>192.71</v>
      </c>
      <c r="J517" s="353">
        <f t="shared" si="44"/>
        <v>0</v>
      </c>
      <c r="K517" s="1911">
        <f>IF((J517+J518+J519+J520)&gt;(F517+F518+F519+F520),(J517+J518+J519+J520)-(F517+F518+F519+F520),0)</f>
        <v>0</v>
      </c>
      <c r="L517" s="1911">
        <f>IF((J517+J518+J519+J520)&lt;(F517+F518+F519+F520),(F517+F518+F519+F520)-(J517+J518+J519+J520),0)</f>
        <v>0</v>
      </c>
      <c r="M517" s="708" t="s">
        <v>2226</v>
      </c>
      <c r="N517" s="223"/>
      <c r="O517" s="706">
        <f t="shared" si="45"/>
        <v>0</v>
      </c>
    </row>
    <row r="518" spans="1:15" s="360" customFormat="1" ht="15" hidden="1">
      <c r="A518" s="356" t="s">
        <v>1145</v>
      </c>
      <c r="B518" s="707" t="s">
        <v>1227</v>
      </c>
      <c r="C518" s="633">
        <f t="shared" si="43"/>
        <v>0</v>
      </c>
      <c r="D518" s="354"/>
      <c r="E518" s="15">
        <f t="shared" si="47"/>
        <v>206.39</v>
      </c>
      <c r="F518" s="917">
        <f t="shared" si="46"/>
        <v>0</v>
      </c>
      <c r="G518" s="358">
        <f>SF!I914</f>
        <v>0</v>
      </c>
      <c r="H518" s="354" t="s">
        <v>102</v>
      </c>
      <c r="I518" s="355">
        <f>SF!K914</f>
        <v>206.39</v>
      </c>
      <c r="J518" s="353">
        <f t="shared" si="44"/>
        <v>0</v>
      </c>
      <c r="K518" s="1912"/>
      <c r="L518" s="1912"/>
      <c r="M518" s="708" t="s">
        <v>2308</v>
      </c>
      <c r="N518" s="223"/>
      <c r="O518" s="706">
        <f t="shared" si="45"/>
        <v>0</v>
      </c>
    </row>
    <row r="519" spans="1:15" s="360" customFormat="1" ht="15" hidden="1">
      <c r="A519" s="356" t="s">
        <v>1587</v>
      </c>
      <c r="B519" s="707" t="s">
        <v>1227</v>
      </c>
      <c r="C519" s="633">
        <f t="shared" si="43"/>
        <v>0</v>
      </c>
      <c r="D519" s="354"/>
      <c r="E519" s="15">
        <f t="shared" si="47"/>
        <v>216.76</v>
      </c>
      <c r="F519" s="917">
        <f t="shared" si="46"/>
        <v>0</v>
      </c>
      <c r="G519" s="358">
        <f>SF!I921</f>
        <v>0</v>
      </c>
      <c r="H519" s="354" t="s">
        <v>102</v>
      </c>
      <c r="I519" s="355">
        <f>SF!K921</f>
        <v>216.76</v>
      </c>
      <c r="J519" s="353">
        <f t="shared" si="44"/>
        <v>0</v>
      </c>
      <c r="K519" s="1912"/>
      <c r="L519" s="1912"/>
      <c r="M519" s="708" t="s">
        <v>2321</v>
      </c>
      <c r="N519" s="223"/>
      <c r="O519" s="706">
        <f t="shared" si="45"/>
        <v>0</v>
      </c>
    </row>
    <row r="520" spans="1:15" s="360" customFormat="1" ht="51" hidden="1">
      <c r="A520" s="356" t="s">
        <v>516</v>
      </c>
      <c r="B520" s="707" t="s">
        <v>3289</v>
      </c>
      <c r="C520" s="633">
        <f t="shared" si="43"/>
        <v>0</v>
      </c>
      <c r="D520" s="354" t="s">
        <v>102</v>
      </c>
      <c r="E520" s="10">
        <f t="shared" si="47"/>
        <v>233.59</v>
      </c>
      <c r="F520" s="917">
        <f t="shared" si="46"/>
        <v>0</v>
      </c>
      <c r="G520" s="358">
        <f>SF!I937</f>
        <v>0</v>
      </c>
      <c r="H520" s="354" t="s">
        <v>102</v>
      </c>
      <c r="I520" s="355">
        <f>SF!K937</f>
        <v>233.59</v>
      </c>
      <c r="J520" s="353">
        <f t="shared" si="44"/>
        <v>0</v>
      </c>
      <c r="K520" s="1927"/>
      <c r="L520" s="1927"/>
      <c r="M520" s="1139" t="s">
        <v>2322</v>
      </c>
      <c r="N520" s="223"/>
      <c r="O520" s="1138">
        <f t="shared" si="45"/>
        <v>0</v>
      </c>
    </row>
    <row r="521" spans="1:15" s="360" customFormat="1" ht="38.25" hidden="1">
      <c r="A521" s="356" t="s">
        <v>517</v>
      </c>
      <c r="B521" s="707" t="s">
        <v>3292</v>
      </c>
      <c r="C521" s="633">
        <f t="shared" si="43"/>
        <v>0</v>
      </c>
      <c r="D521" s="221" t="s">
        <v>29</v>
      </c>
      <c r="E521" s="10">
        <f t="shared" si="47"/>
        <v>64288.5</v>
      </c>
      <c r="F521" s="917">
        <f t="shared" si="46"/>
        <v>0</v>
      </c>
      <c r="G521" s="429">
        <f>SF!I943</f>
        <v>0</v>
      </c>
      <c r="H521" s="221" t="s">
        <v>29</v>
      </c>
      <c r="I521" s="430">
        <f>SF!K943</f>
        <v>64288.5</v>
      </c>
      <c r="J521" s="353">
        <f t="shared" si="44"/>
        <v>0</v>
      </c>
      <c r="K521" s="1930">
        <f>IF((J521+J522+J523+J524)&gt;(F521+F522+F523+F524),(J521+J522+J523+J524)-(F521+F522+F523+F524),0)</f>
        <v>0</v>
      </c>
      <c r="L521" s="1930">
        <f>IF((J521+J522+J523+J524)&lt;(F521+F522+F523+F524),(F521+F522+F523+F524)-(J521+J522+J523+J524),0)</f>
        <v>0</v>
      </c>
      <c r="M521" s="1139" t="s">
        <v>2226</v>
      </c>
      <c r="N521" s="223"/>
      <c r="O521" s="1138">
        <f t="shared" si="45"/>
        <v>0</v>
      </c>
    </row>
    <row r="522" spans="1:15" s="360" customFormat="1" ht="15" hidden="1">
      <c r="A522" s="356" t="s">
        <v>1594</v>
      </c>
      <c r="B522" s="707" t="s">
        <v>477</v>
      </c>
      <c r="C522" s="633">
        <f t="shared" ref="C522:C585" si="48">G522</f>
        <v>0</v>
      </c>
      <c r="D522" s="221"/>
      <c r="E522" s="15">
        <f t="shared" si="47"/>
        <v>64635</v>
      </c>
      <c r="F522" s="917">
        <f t="shared" si="46"/>
        <v>0</v>
      </c>
      <c r="G522" s="429">
        <f>SF!I948</f>
        <v>0</v>
      </c>
      <c r="H522" s="221" t="s">
        <v>29</v>
      </c>
      <c r="I522" s="430">
        <f>SF!K948</f>
        <v>64635</v>
      </c>
      <c r="J522" s="353">
        <f t="shared" ref="J522:J585" si="49">ROUND(G522*I522,2)</f>
        <v>0</v>
      </c>
      <c r="K522" s="1912"/>
      <c r="L522" s="1912"/>
      <c r="M522" s="708" t="s">
        <v>2308</v>
      </c>
      <c r="N522" s="223"/>
      <c r="O522" s="706">
        <f t="shared" si="45"/>
        <v>0</v>
      </c>
    </row>
    <row r="523" spans="1:15" s="360" customFormat="1" ht="15" hidden="1">
      <c r="A523" s="356" t="s">
        <v>1578</v>
      </c>
      <c r="B523" s="707" t="s">
        <v>477</v>
      </c>
      <c r="C523" s="633">
        <f t="shared" si="48"/>
        <v>0</v>
      </c>
      <c r="D523" s="221"/>
      <c r="E523" s="15">
        <f t="shared" si="47"/>
        <v>82189.5</v>
      </c>
      <c r="F523" s="917">
        <f t="shared" si="46"/>
        <v>0</v>
      </c>
      <c r="G523" s="429">
        <f>SF!I954</f>
        <v>0</v>
      </c>
      <c r="H523" s="221" t="s">
        <v>29</v>
      </c>
      <c r="I523" s="430">
        <f>SF!K954</f>
        <v>82189.5</v>
      </c>
      <c r="J523" s="353">
        <f t="shared" si="49"/>
        <v>0</v>
      </c>
      <c r="K523" s="1912"/>
      <c r="L523" s="1912"/>
      <c r="M523" s="708" t="s">
        <v>2321</v>
      </c>
      <c r="N523" s="223"/>
      <c r="O523" s="706">
        <f t="shared" si="45"/>
        <v>0</v>
      </c>
    </row>
    <row r="524" spans="1:15" s="360" customFormat="1" ht="15" hidden="1">
      <c r="A524" s="356" t="s">
        <v>1578</v>
      </c>
      <c r="B524" s="707" t="s">
        <v>477</v>
      </c>
      <c r="C524" s="633">
        <f t="shared" si="48"/>
        <v>0</v>
      </c>
      <c r="D524" s="221"/>
      <c r="E524" s="15">
        <f t="shared" si="47"/>
        <v>95016</v>
      </c>
      <c r="F524" s="917">
        <f t="shared" si="46"/>
        <v>0</v>
      </c>
      <c r="G524" s="429">
        <f>SF!I960</f>
        <v>0</v>
      </c>
      <c r="H524" s="221" t="s">
        <v>29</v>
      </c>
      <c r="I524" s="430">
        <f>SF!K960</f>
        <v>95016</v>
      </c>
      <c r="J524" s="353">
        <f t="shared" si="49"/>
        <v>0</v>
      </c>
      <c r="K524" s="1913"/>
      <c r="L524" s="1913"/>
      <c r="M524" s="708" t="s">
        <v>2322</v>
      </c>
      <c r="N524" s="223"/>
      <c r="O524" s="706">
        <f t="shared" ref="O524:O588" si="50">F524-J524</f>
        <v>0</v>
      </c>
    </row>
    <row r="525" spans="1:15" ht="15">
      <c r="A525" s="23"/>
      <c r="B525" s="702" t="s">
        <v>890</v>
      </c>
      <c r="C525" s="633">
        <f t="shared" si="48"/>
        <v>0</v>
      </c>
      <c r="D525" s="721"/>
      <c r="E525" s="10">
        <f t="shared" si="47"/>
        <v>0</v>
      </c>
      <c r="F525" s="883">
        <v>1.0000000000000001E-5</v>
      </c>
      <c r="G525" s="723"/>
      <c r="H525" s="724"/>
      <c r="I525" s="725"/>
      <c r="J525" s="353">
        <f t="shared" si="49"/>
        <v>0</v>
      </c>
      <c r="K525" s="25"/>
      <c r="L525" s="25"/>
      <c r="M525" s="1139" t="s">
        <v>2226</v>
      </c>
      <c r="N525" s="223"/>
      <c r="O525" s="1138">
        <v>1</v>
      </c>
    </row>
    <row r="526" spans="1:15" s="360" customFormat="1" ht="51">
      <c r="A526" s="356" t="s">
        <v>490</v>
      </c>
      <c r="B526" s="707" t="s">
        <v>3298</v>
      </c>
      <c r="C526" s="633">
        <f t="shared" si="48"/>
        <v>1</v>
      </c>
      <c r="D526" s="916" t="s">
        <v>115</v>
      </c>
      <c r="E526" s="10">
        <f t="shared" si="47"/>
        <v>20396.340000000004</v>
      </c>
      <c r="F526" s="917">
        <f t="shared" si="46"/>
        <v>20396</v>
      </c>
      <c r="G526" s="358">
        <f>WORK!I2010</f>
        <v>1</v>
      </c>
      <c r="H526" s="354" t="s">
        <v>115</v>
      </c>
      <c r="I526" s="355">
        <f>WORK!K2010</f>
        <v>20396.340000000004</v>
      </c>
      <c r="J526" s="353">
        <f t="shared" si="49"/>
        <v>20396.34</v>
      </c>
      <c r="K526" s="1911">
        <f>IF((J526+J527+J528+J529)&gt;(F526+F527+F528+F529),(J526+J527+J528+J529)-(F526+F527+F528+F529),0)</f>
        <v>0.34000000000014552</v>
      </c>
      <c r="L526" s="1911">
        <f>IF((J526+J527+J528+J529)&lt;(F526+F527+F528+F529),(F526+F527+F528+F529)-(J526+J527+J528+J529),0)</f>
        <v>0</v>
      </c>
      <c r="M526" s="1139" t="s">
        <v>2226</v>
      </c>
      <c r="N526" s="223"/>
      <c r="O526" s="1138">
        <f t="shared" si="50"/>
        <v>-0.34000000000014552</v>
      </c>
    </row>
    <row r="527" spans="1:15" s="360" customFormat="1" ht="15" hidden="1">
      <c r="A527" s="356" t="s">
        <v>498</v>
      </c>
      <c r="B527" s="707" t="s">
        <v>1229</v>
      </c>
      <c r="C527" s="633">
        <f t="shared" si="48"/>
        <v>0</v>
      </c>
      <c r="D527" s="354" t="s">
        <v>115</v>
      </c>
      <c r="E527" s="15">
        <f t="shared" si="47"/>
        <v>20396.340000000004</v>
      </c>
      <c r="F527" s="917">
        <f t="shared" si="46"/>
        <v>0</v>
      </c>
      <c r="G527" s="358">
        <f>WORK!I2144</f>
        <v>0</v>
      </c>
      <c r="H527" s="354" t="s">
        <v>115</v>
      </c>
      <c r="I527" s="355">
        <f>WORK!K2144</f>
        <v>20396.340000000004</v>
      </c>
      <c r="J527" s="353">
        <f t="shared" si="49"/>
        <v>0</v>
      </c>
      <c r="K527" s="1912"/>
      <c r="L527" s="1912"/>
      <c r="M527" s="708" t="s">
        <v>2308</v>
      </c>
      <c r="N527" s="223"/>
      <c r="O527" s="706">
        <f t="shared" si="50"/>
        <v>0</v>
      </c>
    </row>
    <row r="528" spans="1:15" s="360" customFormat="1" ht="15" hidden="1">
      <c r="A528" s="356" t="s">
        <v>497</v>
      </c>
      <c r="B528" s="707" t="s">
        <v>1229</v>
      </c>
      <c r="C528" s="633">
        <f t="shared" si="48"/>
        <v>0</v>
      </c>
      <c r="D528" s="354"/>
      <c r="E528" s="15">
        <f t="shared" si="47"/>
        <v>24683.69</v>
      </c>
      <c r="F528" s="917">
        <f t="shared" si="46"/>
        <v>0</v>
      </c>
      <c r="G528" s="358">
        <f>WORK!I2286</f>
        <v>0</v>
      </c>
      <c r="H528" s="354" t="s">
        <v>115</v>
      </c>
      <c r="I528" s="355">
        <f>WORK!K2286</f>
        <v>24683.69</v>
      </c>
      <c r="J528" s="353">
        <f t="shared" si="49"/>
        <v>0</v>
      </c>
      <c r="K528" s="1912"/>
      <c r="L528" s="1912"/>
      <c r="M528" s="708" t="s">
        <v>2321</v>
      </c>
      <c r="N528" s="223"/>
      <c r="O528" s="706">
        <f t="shared" si="50"/>
        <v>0</v>
      </c>
    </row>
    <row r="529" spans="1:15" s="360" customFormat="1" ht="51" hidden="1">
      <c r="A529" s="356" t="s">
        <v>495</v>
      </c>
      <c r="B529" s="707" t="s">
        <v>3298</v>
      </c>
      <c r="C529" s="633">
        <f t="shared" si="48"/>
        <v>0</v>
      </c>
      <c r="D529" s="354" t="s">
        <v>115</v>
      </c>
      <c r="E529" s="10">
        <f t="shared" si="47"/>
        <v>22903.660000000003</v>
      </c>
      <c r="F529" s="917">
        <f t="shared" si="46"/>
        <v>0</v>
      </c>
      <c r="G529" s="358">
        <f>WORK!I2421</f>
        <v>0</v>
      </c>
      <c r="H529" s="354" t="s">
        <v>115</v>
      </c>
      <c r="I529" s="355">
        <f>WORK!K2421</f>
        <v>22903.660000000003</v>
      </c>
      <c r="J529" s="353">
        <f t="shared" si="49"/>
        <v>0</v>
      </c>
      <c r="K529" s="1927"/>
      <c r="L529" s="1927"/>
      <c r="M529" s="1139" t="s">
        <v>2322</v>
      </c>
      <c r="N529" s="223"/>
      <c r="O529" s="1138">
        <f t="shared" si="50"/>
        <v>0</v>
      </c>
    </row>
    <row r="530" spans="1:15" s="360" customFormat="1" ht="15" hidden="1">
      <c r="A530" s="356" t="s">
        <v>508</v>
      </c>
      <c r="B530" s="707" t="s">
        <v>2004</v>
      </c>
      <c r="C530" s="633">
        <f t="shared" si="48"/>
        <v>0</v>
      </c>
      <c r="D530" s="860"/>
      <c r="E530" s="15">
        <f t="shared" si="47"/>
        <v>14099.53</v>
      </c>
      <c r="F530" s="917">
        <f t="shared" si="46"/>
        <v>0</v>
      </c>
      <c r="G530" s="358">
        <f>WORK!I2025</f>
        <v>0</v>
      </c>
      <c r="H530" s="354" t="s">
        <v>115</v>
      </c>
      <c r="I530" s="355">
        <f>WORK!K2025</f>
        <v>14099.53</v>
      </c>
      <c r="J530" s="353">
        <f t="shared" si="49"/>
        <v>0</v>
      </c>
      <c r="K530" s="1911">
        <f>IF((J530+J531+J532+J533)&gt;(F530+F531+F532+F533),(J530+J531+J532+J533)-(F530+F531+F532+F533),0)</f>
        <v>0</v>
      </c>
      <c r="L530" s="1911">
        <f>IF((J530+J531+J532+J533)&lt;(F530+F531+F532+F533),(F530+F531+F532+F533)-(J530+J531+J532+J533),0)</f>
        <v>0</v>
      </c>
      <c r="M530" s="708" t="s">
        <v>2226</v>
      </c>
      <c r="N530" s="223"/>
      <c r="O530" s="706">
        <f t="shared" si="50"/>
        <v>0</v>
      </c>
    </row>
    <row r="531" spans="1:15" s="360" customFormat="1" ht="15" hidden="1">
      <c r="A531" s="356" t="s">
        <v>485</v>
      </c>
      <c r="B531" s="707" t="s">
        <v>2004</v>
      </c>
      <c r="C531" s="633">
        <f t="shared" si="48"/>
        <v>0</v>
      </c>
      <c r="D531" s="354"/>
      <c r="E531" s="15">
        <f t="shared" si="47"/>
        <v>14099.53</v>
      </c>
      <c r="F531" s="917">
        <f t="shared" si="46"/>
        <v>0</v>
      </c>
      <c r="G531" s="358">
        <f>WORK!I2159</f>
        <v>0</v>
      </c>
      <c r="H531" s="354" t="s">
        <v>115</v>
      </c>
      <c r="I531" s="355">
        <f>WORK!K2159</f>
        <v>14099.53</v>
      </c>
      <c r="J531" s="353">
        <f t="shared" si="49"/>
        <v>0</v>
      </c>
      <c r="K531" s="1912"/>
      <c r="L531" s="1912"/>
      <c r="M531" s="708" t="s">
        <v>2308</v>
      </c>
      <c r="N531" s="223"/>
      <c r="O531" s="706">
        <f t="shared" si="50"/>
        <v>0</v>
      </c>
    </row>
    <row r="532" spans="1:15" s="360" customFormat="1" ht="15" hidden="1">
      <c r="A532" s="356" t="s">
        <v>485</v>
      </c>
      <c r="B532" s="707" t="s">
        <v>2004</v>
      </c>
      <c r="C532" s="633">
        <f t="shared" si="48"/>
        <v>0</v>
      </c>
      <c r="D532" s="354"/>
      <c r="E532" s="15">
        <f t="shared" si="47"/>
        <v>8918.9600000000009</v>
      </c>
      <c r="F532" s="917">
        <f t="shared" si="46"/>
        <v>0</v>
      </c>
      <c r="G532" s="358">
        <f>WORK!I2301</f>
        <v>0</v>
      </c>
      <c r="H532" s="354" t="s">
        <v>115</v>
      </c>
      <c r="I532" s="355">
        <f>WORK!K2301</f>
        <v>8918.9600000000009</v>
      </c>
      <c r="J532" s="353">
        <f t="shared" si="49"/>
        <v>0</v>
      </c>
      <c r="K532" s="1912"/>
      <c r="L532" s="1912"/>
      <c r="M532" s="708" t="s">
        <v>2321</v>
      </c>
      <c r="N532" s="223"/>
      <c r="O532" s="706">
        <f t="shared" si="50"/>
        <v>0</v>
      </c>
    </row>
    <row r="533" spans="1:15" s="360" customFormat="1" ht="15" hidden="1">
      <c r="A533" s="356" t="s">
        <v>485</v>
      </c>
      <c r="B533" s="707" t="s">
        <v>2004</v>
      </c>
      <c r="C533" s="633">
        <f t="shared" si="48"/>
        <v>0</v>
      </c>
      <c r="D533" s="354"/>
      <c r="E533" s="15">
        <f t="shared" si="47"/>
        <v>15875.19</v>
      </c>
      <c r="F533" s="917">
        <f t="shared" si="46"/>
        <v>0</v>
      </c>
      <c r="G533" s="358">
        <f>WORK!I2436</f>
        <v>0</v>
      </c>
      <c r="H533" s="354" t="s">
        <v>115</v>
      </c>
      <c r="I533" s="355">
        <f>WORK!K2436</f>
        <v>15875.19</v>
      </c>
      <c r="J533" s="353">
        <f t="shared" si="49"/>
        <v>0</v>
      </c>
      <c r="K533" s="1913"/>
      <c r="L533" s="1913"/>
      <c r="M533" s="708" t="s">
        <v>2322</v>
      </c>
      <c r="N533" s="223"/>
      <c r="O533" s="706">
        <f t="shared" si="50"/>
        <v>0</v>
      </c>
    </row>
    <row r="534" spans="1:15" s="360" customFormat="1" ht="15" hidden="1">
      <c r="A534" s="356"/>
      <c r="B534" s="707" t="s">
        <v>2005</v>
      </c>
      <c r="C534" s="633">
        <f t="shared" si="48"/>
        <v>0</v>
      </c>
      <c r="D534" s="354"/>
      <c r="E534" s="15">
        <f t="shared" si="47"/>
        <v>13359.1</v>
      </c>
      <c r="F534" s="917">
        <f t="shared" si="46"/>
        <v>0</v>
      </c>
      <c r="G534" s="358">
        <f>WORK!I2030</f>
        <v>0</v>
      </c>
      <c r="H534" s="354" t="s">
        <v>115</v>
      </c>
      <c r="I534" s="355">
        <f>WORK!K2030</f>
        <v>13359.1</v>
      </c>
      <c r="J534" s="353">
        <f t="shared" si="49"/>
        <v>0</v>
      </c>
      <c r="K534" s="1911">
        <f>IF((J534+J535+J536+J537)&gt;(F534+F535+F536+F537),(J534+J535+J536+J537)-(F534+F535+F536+F537),0)</f>
        <v>0</v>
      </c>
      <c r="L534" s="1911">
        <f>IF((J534+J535+J536+J537)&lt;(F534+F535+F536+F537),(F534+F535+F536+F537)-(J534+J535+J536+J537),0)</f>
        <v>0</v>
      </c>
      <c r="M534" s="708" t="s">
        <v>2226</v>
      </c>
      <c r="N534" s="223"/>
      <c r="O534" s="706">
        <f t="shared" si="50"/>
        <v>0</v>
      </c>
    </row>
    <row r="535" spans="1:15" s="360" customFormat="1" ht="15" hidden="1">
      <c r="A535" s="356"/>
      <c r="B535" s="707" t="s">
        <v>2005</v>
      </c>
      <c r="C535" s="633">
        <f t="shared" si="48"/>
        <v>0</v>
      </c>
      <c r="D535" s="354"/>
      <c r="E535" s="15">
        <f t="shared" si="47"/>
        <v>13359.1</v>
      </c>
      <c r="F535" s="917">
        <f t="shared" si="46"/>
        <v>0</v>
      </c>
      <c r="G535" s="358">
        <f>WORK!I2164</f>
        <v>0</v>
      </c>
      <c r="H535" s="354" t="s">
        <v>115</v>
      </c>
      <c r="I535" s="355">
        <f>WORK!K2164</f>
        <v>13359.1</v>
      </c>
      <c r="J535" s="353">
        <f t="shared" si="49"/>
        <v>0</v>
      </c>
      <c r="K535" s="1912"/>
      <c r="L535" s="1912"/>
      <c r="M535" s="708" t="s">
        <v>2308</v>
      </c>
      <c r="N535" s="223"/>
      <c r="O535" s="706">
        <f t="shared" si="50"/>
        <v>0</v>
      </c>
    </row>
    <row r="536" spans="1:15" s="360" customFormat="1" ht="15" hidden="1">
      <c r="A536" s="356"/>
      <c r="B536" s="707" t="s">
        <v>2005</v>
      </c>
      <c r="C536" s="633">
        <f t="shared" si="48"/>
        <v>0</v>
      </c>
      <c r="D536" s="354"/>
      <c r="E536" s="15">
        <f t="shared" si="47"/>
        <v>7973.17</v>
      </c>
      <c r="F536" s="917">
        <f t="shared" si="46"/>
        <v>0</v>
      </c>
      <c r="G536" s="358">
        <f>WORK!I2306</f>
        <v>0</v>
      </c>
      <c r="H536" s="354" t="s">
        <v>115</v>
      </c>
      <c r="I536" s="355">
        <f>WORK!K2306</f>
        <v>7973.17</v>
      </c>
      <c r="J536" s="353">
        <f t="shared" si="49"/>
        <v>0</v>
      </c>
      <c r="K536" s="1912"/>
      <c r="L536" s="1912"/>
      <c r="M536" s="708" t="s">
        <v>2321</v>
      </c>
      <c r="N536" s="223"/>
      <c r="O536" s="706">
        <f t="shared" si="50"/>
        <v>0</v>
      </c>
    </row>
    <row r="537" spans="1:15" s="360" customFormat="1" ht="15" hidden="1">
      <c r="A537" s="356"/>
      <c r="B537" s="707" t="s">
        <v>2005</v>
      </c>
      <c r="C537" s="633">
        <f t="shared" si="48"/>
        <v>0</v>
      </c>
      <c r="D537" s="354"/>
      <c r="E537" s="15">
        <f t="shared" si="47"/>
        <v>15037.220000000001</v>
      </c>
      <c r="F537" s="917">
        <f t="shared" si="46"/>
        <v>0</v>
      </c>
      <c r="G537" s="358">
        <f>WORK!I2441</f>
        <v>0</v>
      </c>
      <c r="H537" s="354" t="s">
        <v>115</v>
      </c>
      <c r="I537" s="355">
        <f>WORK!K2441</f>
        <v>15037.220000000001</v>
      </c>
      <c r="J537" s="353">
        <f t="shared" si="49"/>
        <v>0</v>
      </c>
      <c r="K537" s="1913"/>
      <c r="L537" s="1913"/>
      <c r="M537" s="708" t="s">
        <v>2322</v>
      </c>
      <c r="N537" s="223"/>
      <c r="O537" s="706">
        <f t="shared" si="50"/>
        <v>0</v>
      </c>
    </row>
    <row r="538" spans="1:15" s="360" customFormat="1" ht="15" hidden="1">
      <c r="A538" s="356" t="s">
        <v>1144</v>
      </c>
      <c r="B538" s="707" t="s">
        <v>2004</v>
      </c>
      <c r="C538" s="633">
        <f t="shared" si="48"/>
        <v>0</v>
      </c>
      <c r="D538" s="354"/>
      <c r="E538" s="15">
        <f t="shared" si="47"/>
        <v>8905.99</v>
      </c>
      <c r="F538" s="917">
        <f t="shared" si="46"/>
        <v>0</v>
      </c>
      <c r="G538" s="358">
        <f>WORK!I2035</f>
        <v>0</v>
      </c>
      <c r="H538" s="354" t="s">
        <v>115</v>
      </c>
      <c r="I538" s="355">
        <f>WORK!K2035</f>
        <v>8905.99</v>
      </c>
      <c r="J538" s="353">
        <f t="shared" si="49"/>
        <v>0</v>
      </c>
      <c r="K538" s="1911">
        <f>IF((J538+J539+J540+J541)&gt;(F538+F539+F540+F541),(J538+J539+J540+J541)-(F538+F539+F540+F541),0)</f>
        <v>0</v>
      </c>
      <c r="L538" s="1911">
        <f>IF((J538+J539+J540+J541)&lt;(F538+F539+F540+F541),(F538+F539+F540+F541)-(J538+J539+J540+J541),0)</f>
        <v>0</v>
      </c>
      <c r="M538" s="708" t="s">
        <v>2226</v>
      </c>
      <c r="N538" s="223"/>
      <c r="O538" s="706">
        <f t="shared" si="50"/>
        <v>0</v>
      </c>
    </row>
    <row r="539" spans="1:15" s="360" customFormat="1" ht="15" hidden="1">
      <c r="A539" s="356" t="s">
        <v>1144</v>
      </c>
      <c r="B539" s="707" t="s">
        <v>2004</v>
      </c>
      <c r="C539" s="633">
        <f t="shared" si="48"/>
        <v>0</v>
      </c>
      <c r="D539" s="354"/>
      <c r="E539" s="15">
        <f t="shared" si="47"/>
        <v>8905.99</v>
      </c>
      <c r="F539" s="917">
        <f t="shared" si="46"/>
        <v>0</v>
      </c>
      <c r="G539" s="358">
        <f>WORK!I2169</f>
        <v>0</v>
      </c>
      <c r="H539" s="354" t="s">
        <v>115</v>
      </c>
      <c r="I539" s="355">
        <f>WORK!K2169</f>
        <v>8905.99</v>
      </c>
      <c r="J539" s="353">
        <f t="shared" si="49"/>
        <v>0</v>
      </c>
      <c r="K539" s="1912"/>
      <c r="L539" s="1912"/>
      <c r="M539" s="708" t="s">
        <v>2308</v>
      </c>
      <c r="N539" s="223"/>
      <c r="O539" s="706">
        <f t="shared" si="50"/>
        <v>0</v>
      </c>
    </row>
    <row r="540" spans="1:15" s="360" customFormat="1" ht="15" hidden="1">
      <c r="A540" s="356" t="s">
        <v>1144</v>
      </c>
      <c r="B540" s="707" t="s">
        <v>2004</v>
      </c>
      <c r="C540" s="633">
        <f t="shared" si="48"/>
        <v>0</v>
      </c>
      <c r="D540" s="354"/>
      <c r="E540" s="15">
        <f t="shared" si="47"/>
        <v>9185.3799999999992</v>
      </c>
      <c r="F540" s="917">
        <f t="shared" si="46"/>
        <v>0</v>
      </c>
      <c r="G540" s="358">
        <f>WORK!I2311</f>
        <v>0</v>
      </c>
      <c r="H540" s="354" t="s">
        <v>115</v>
      </c>
      <c r="I540" s="355">
        <f>WORK!K2311</f>
        <v>9185.3799999999992</v>
      </c>
      <c r="J540" s="353">
        <f t="shared" si="49"/>
        <v>0</v>
      </c>
      <c r="K540" s="1912"/>
      <c r="L540" s="1912"/>
      <c r="M540" s="708" t="s">
        <v>2321</v>
      </c>
      <c r="N540" s="223"/>
      <c r="O540" s="706">
        <f t="shared" si="50"/>
        <v>0</v>
      </c>
    </row>
    <row r="541" spans="1:15" s="360" customFormat="1" ht="15" hidden="1">
      <c r="A541" s="356" t="s">
        <v>1144</v>
      </c>
      <c r="B541" s="707" t="s">
        <v>2004</v>
      </c>
      <c r="C541" s="633">
        <f t="shared" si="48"/>
        <v>0</v>
      </c>
      <c r="D541" s="354"/>
      <c r="E541" s="15">
        <f t="shared" si="47"/>
        <v>10330.61</v>
      </c>
      <c r="F541" s="917">
        <f t="shared" si="46"/>
        <v>0</v>
      </c>
      <c r="G541" s="358">
        <f>WORK!I2446</f>
        <v>0</v>
      </c>
      <c r="H541" s="354" t="s">
        <v>115</v>
      </c>
      <c r="I541" s="355">
        <f>WORK!K2446</f>
        <v>10330.61</v>
      </c>
      <c r="J541" s="353">
        <f t="shared" si="49"/>
        <v>0</v>
      </c>
      <c r="K541" s="1913"/>
      <c r="L541" s="1913"/>
      <c r="M541" s="708" t="s">
        <v>2322</v>
      </c>
      <c r="N541" s="223"/>
      <c r="O541" s="706">
        <f t="shared" si="50"/>
        <v>0</v>
      </c>
    </row>
    <row r="542" spans="1:15" s="360" customFormat="1" ht="15" hidden="1">
      <c r="A542" s="356" t="s">
        <v>1582</v>
      </c>
      <c r="B542" s="707" t="s">
        <v>2006</v>
      </c>
      <c r="C542" s="633">
        <f t="shared" si="48"/>
        <v>0</v>
      </c>
      <c r="D542" s="354"/>
      <c r="E542" s="15">
        <f t="shared" si="47"/>
        <v>6334.76</v>
      </c>
      <c r="F542" s="917">
        <f t="shared" si="46"/>
        <v>0</v>
      </c>
      <c r="G542" s="358">
        <f>WORK!I2040</f>
        <v>0</v>
      </c>
      <c r="H542" s="354" t="s">
        <v>115</v>
      </c>
      <c r="I542" s="355">
        <f>WORK!K2040</f>
        <v>6334.76</v>
      </c>
      <c r="J542" s="353">
        <f t="shared" si="49"/>
        <v>0</v>
      </c>
      <c r="K542" s="1911">
        <f>IF((J542+J543+J544+J545)&gt;(F542+F543+F544+F545),(J542+J543+J544+J545)-(F542+F543+F544+F545),0)</f>
        <v>0</v>
      </c>
      <c r="L542" s="1911">
        <f>IF((J542+J543+J544+J545)&lt;(F542+F543+F544+F545),(F542+F543+F544+F545)-(J542+J543+J544+J545),0)</f>
        <v>0</v>
      </c>
      <c r="M542" s="708" t="s">
        <v>2226</v>
      </c>
      <c r="N542" s="223"/>
      <c r="O542" s="706">
        <f t="shared" si="50"/>
        <v>0</v>
      </c>
    </row>
    <row r="543" spans="1:15" s="360" customFormat="1" ht="15" hidden="1">
      <c r="A543" s="356" t="s">
        <v>1582</v>
      </c>
      <c r="B543" s="707" t="s">
        <v>2006</v>
      </c>
      <c r="C543" s="633">
        <f t="shared" si="48"/>
        <v>0</v>
      </c>
      <c r="D543" s="354"/>
      <c r="E543" s="15">
        <f t="shared" si="47"/>
        <v>6334.76</v>
      </c>
      <c r="F543" s="917">
        <f t="shared" si="46"/>
        <v>0</v>
      </c>
      <c r="G543" s="358">
        <f>WORK!I2174</f>
        <v>0</v>
      </c>
      <c r="H543" s="354" t="s">
        <v>115</v>
      </c>
      <c r="I543" s="355">
        <f>WORK!K2174</f>
        <v>6334.76</v>
      </c>
      <c r="J543" s="353">
        <f t="shared" si="49"/>
        <v>0</v>
      </c>
      <c r="K543" s="1912"/>
      <c r="L543" s="1912"/>
      <c r="M543" s="708" t="s">
        <v>2308</v>
      </c>
      <c r="N543" s="223"/>
      <c r="O543" s="706">
        <f t="shared" si="50"/>
        <v>0</v>
      </c>
    </row>
    <row r="544" spans="1:15" s="360" customFormat="1" ht="15" hidden="1">
      <c r="A544" s="356" t="s">
        <v>1582</v>
      </c>
      <c r="B544" s="707" t="s">
        <v>2006</v>
      </c>
      <c r="C544" s="633">
        <f t="shared" si="48"/>
        <v>0</v>
      </c>
      <c r="D544" s="354"/>
      <c r="E544" s="15">
        <f t="shared" si="47"/>
        <v>6584.41</v>
      </c>
      <c r="F544" s="917">
        <f t="shared" si="46"/>
        <v>0</v>
      </c>
      <c r="G544" s="358">
        <f>WORK!I2316</f>
        <v>0</v>
      </c>
      <c r="H544" s="354" t="s">
        <v>115</v>
      </c>
      <c r="I544" s="355">
        <f>WORK!K2316</f>
        <v>6584.41</v>
      </c>
      <c r="J544" s="353">
        <f t="shared" si="49"/>
        <v>0</v>
      </c>
      <c r="K544" s="1912"/>
      <c r="L544" s="1912"/>
      <c r="M544" s="708" t="s">
        <v>2321</v>
      </c>
      <c r="N544" s="223"/>
      <c r="O544" s="706">
        <f t="shared" si="50"/>
        <v>0</v>
      </c>
    </row>
    <row r="545" spans="1:15" s="360" customFormat="1" ht="15" hidden="1">
      <c r="A545" s="356" t="s">
        <v>1582</v>
      </c>
      <c r="B545" s="707" t="s">
        <v>2006</v>
      </c>
      <c r="C545" s="633">
        <f t="shared" si="48"/>
        <v>0</v>
      </c>
      <c r="D545" s="354"/>
      <c r="E545" s="15">
        <f t="shared" si="47"/>
        <v>7015.49</v>
      </c>
      <c r="F545" s="917">
        <f t="shared" si="46"/>
        <v>0</v>
      </c>
      <c r="G545" s="358">
        <f>WORK!I2451</f>
        <v>0</v>
      </c>
      <c r="H545" s="354" t="s">
        <v>115</v>
      </c>
      <c r="I545" s="355">
        <f>WORK!K2451</f>
        <v>7015.49</v>
      </c>
      <c r="J545" s="353">
        <f t="shared" si="49"/>
        <v>0</v>
      </c>
      <c r="K545" s="1913"/>
      <c r="L545" s="1913"/>
      <c r="M545" s="708" t="s">
        <v>2322</v>
      </c>
      <c r="N545" s="223"/>
      <c r="O545" s="706">
        <f t="shared" si="50"/>
        <v>0</v>
      </c>
    </row>
    <row r="546" spans="1:15" s="360" customFormat="1" ht="15" hidden="1" customHeight="1">
      <c r="A546" s="356" t="s">
        <v>1589</v>
      </c>
      <c r="B546" s="707" t="s">
        <v>1228</v>
      </c>
      <c r="C546" s="633">
        <f t="shared" si="48"/>
        <v>0</v>
      </c>
      <c r="D546" s="354"/>
      <c r="E546" s="15">
        <f t="shared" si="47"/>
        <v>10891.57</v>
      </c>
      <c r="F546" s="917">
        <f t="shared" si="46"/>
        <v>0</v>
      </c>
      <c r="G546" s="358">
        <f>WORK!I2015</f>
        <v>0</v>
      </c>
      <c r="H546" s="354" t="s">
        <v>115</v>
      </c>
      <c r="I546" s="355">
        <f>WORK!K2015</f>
        <v>10891.57</v>
      </c>
      <c r="J546" s="353">
        <f t="shared" si="49"/>
        <v>0</v>
      </c>
      <c r="K546" s="1911">
        <f>IF((J546+J547+J548+J549)&gt;(F546+F547+F548+F549),(J546+J547+J548+J549)-(F546+F547+F548+F549),0)</f>
        <v>0</v>
      </c>
      <c r="L546" s="1911">
        <f>IF((J546+J547+J548+J549)&lt;(F546+F547+F548+F549),(F546+F547+F548+F549)-(J546+J547+J548+J549),0)</f>
        <v>0</v>
      </c>
      <c r="M546" s="708" t="s">
        <v>2226</v>
      </c>
      <c r="N546" s="223"/>
      <c r="O546" s="706">
        <f t="shared" si="50"/>
        <v>0</v>
      </c>
    </row>
    <row r="547" spans="1:15" s="360" customFormat="1" ht="15" hidden="1" customHeight="1">
      <c r="A547" s="356" t="s">
        <v>1597</v>
      </c>
      <c r="B547" s="707" t="s">
        <v>1228</v>
      </c>
      <c r="C547" s="633">
        <f t="shared" si="48"/>
        <v>0</v>
      </c>
      <c r="D547" s="354"/>
      <c r="E547" s="15">
        <f t="shared" si="47"/>
        <v>4180.6099999999997</v>
      </c>
      <c r="F547" s="917">
        <f t="shared" si="46"/>
        <v>0</v>
      </c>
      <c r="G547" s="358">
        <f>WORK!I2149</f>
        <v>0</v>
      </c>
      <c r="H547" s="354" t="s">
        <v>115</v>
      </c>
      <c r="I547" s="355">
        <f>WORK!K2149</f>
        <v>4180.6099999999997</v>
      </c>
      <c r="J547" s="353">
        <f t="shared" si="49"/>
        <v>0</v>
      </c>
      <c r="K547" s="1912"/>
      <c r="L547" s="1912"/>
      <c r="M547" s="708" t="s">
        <v>2308</v>
      </c>
      <c r="N547" s="223"/>
      <c r="O547" s="706">
        <f t="shared" si="50"/>
        <v>0</v>
      </c>
    </row>
    <row r="548" spans="1:15" s="360" customFormat="1" ht="15" hidden="1" customHeight="1">
      <c r="A548" s="356" t="s">
        <v>1589</v>
      </c>
      <c r="B548" s="707" t="s">
        <v>1228</v>
      </c>
      <c r="C548" s="633">
        <f t="shared" si="48"/>
        <v>0</v>
      </c>
      <c r="D548" s="354"/>
      <c r="E548" s="15">
        <f t="shared" si="47"/>
        <v>11215.33</v>
      </c>
      <c r="F548" s="917">
        <f t="shared" si="46"/>
        <v>0</v>
      </c>
      <c r="G548" s="358">
        <f>WORK!I2291</f>
        <v>0</v>
      </c>
      <c r="H548" s="354" t="s">
        <v>115</v>
      </c>
      <c r="I548" s="355">
        <f>WORK!K2291</f>
        <v>11215.33</v>
      </c>
      <c r="J548" s="353">
        <f t="shared" si="49"/>
        <v>0</v>
      </c>
      <c r="K548" s="1912"/>
      <c r="L548" s="1912"/>
      <c r="M548" s="708" t="s">
        <v>2321</v>
      </c>
      <c r="N548" s="223"/>
      <c r="O548" s="706">
        <f t="shared" si="50"/>
        <v>0</v>
      </c>
    </row>
    <row r="549" spans="1:15" s="360" customFormat="1" ht="15" hidden="1" customHeight="1">
      <c r="A549" s="356" t="s">
        <v>519</v>
      </c>
      <c r="B549" s="707" t="s">
        <v>3298</v>
      </c>
      <c r="C549" s="633">
        <f t="shared" si="48"/>
        <v>0</v>
      </c>
      <c r="D549" s="354" t="s">
        <v>115</v>
      </c>
      <c r="E549" s="10">
        <f t="shared" si="47"/>
        <v>11464.42</v>
      </c>
      <c r="F549" s="917">
        <f t="shared" si="46"/>
        <v>0</v>
      </c>
      <c r="G549" s="358">
        <f>WORK!I2426</f>
        <v>0</v>
      </c>
      <c r="H549" s="354" t="s">
        <v>115</v>
      </c>
      <c r="I549" s="355">
        <f>WORK!K2426</f>
        <v>11464.42</v>
      </c>
      <c r="J549" s="353">
        <f t="shared" si="49"/>
        <v>0</v>
      </c>
      <c r="K549" s="1927"/>
      <c r="L549" s="1927"/>
      <c r="M549" s="1139" t="s">
        <v>2322</v>
      </c>
      <c r="N549" s="223"/>
      <c r="O549" s="1138">
        <f t="shared" si="50"/>
        <v>0</v>
      </c>
    </row>
    <row r="550" spans="1:15" s="360" customFormat="1" ht="15" hidden="1" customHeight="1">
      <c r="A550" s="356" t="s">
        <v>1590</v>
      </c>
      <c r="B550" s="707" t="s">
        <v>1228</v>
      </c>
      <c r="C550" s="633">
        <f t="shared" si="48"/>
        <v>0</v>
      </c>
      <c r="D550" s="354"/>
      <c r="E550" s="15">
        <f t="shared" si="47"/>
        <v>9855.7799999999988</v>
      </c>
      <c r="F550" s="917">
        <f t="shared" si="46"/>
        <v>0</v>
      </c>
      <c r="G550" s="358">
        <f>WORK!I2020</f>
        <v>0</v>
      </c>
      <c r="H550" s="354" t="s">
        <v>115</v>
      </c>
      <c r="I550" s="355">
        <f>WORK!K2020</f>
        <v>9855.7799999999988</v>
      </c>
      <c r="J550" s="353">
        <f t="shared" si="49"/>
        <v>0</v>
      </c>
      <c r="K550" s="1911">
        <f>IF((J550+J551+J552+J553)&gt;(F550+F551+F552+F553),(J550+J551+J552+J553)-(F550+F551+F552+F553),0)</f>
        <v>0</v>
      </c>
      <c r="L550" s="1911">
        <f>IF((J550+J551+J552+J553)&lt;(F550+F551+F552+F553),(F550+F551+F552+F553)-(J550+J551+J552+J553),0)</f>
        <v>0</v>
      </c>
      <c r="M550" s="708" t="s">
        <v>2226</v>
      </c>
      <c r="N550" s="223"/>
      <c r="O550" s="706">
        <f t="shared" si="50"/>
        <v>0</v>
      </c>
    </row>
    <row r="551" spans="1:15" s="360" customFormat="1" ht="15" hidden="1" customHeight="1">
      <c r="A551" s="356" t="s">
        <v>1593</v>
      </c>
      <c r="B551" s="707" t="s">
        <v>1228</v>
      </c>
      <c r="C551" s="633">
        <f t="shared" si="48"/>
        <v>0</v>
      </c>
      <c r="D551" s="354"/>
      <c r="E551" s="15">
        <f t="shared" si="47"/>
        <v>9855.7799999999988</v>
      </c>
      <c r="F551" s="917">
        <f t="shared" si="46"/>
        <v>0</v>
      </c>
      <c r="G551" s="358">
        <f>WORK!I2154</f>
        <v>0</v>
      </c>
      <c r="H551" s="354" t="s">
        <v>115</v>
      </c>
      <c r="I551" s="355">
        <f>WORK!K2154</f>
        <v>9855.7799999999988</v>
      </c>
      <c r="J551" s="353">
        <f t="shared" si="49"/>
        <v>0</v>
      </c>
      <c r="K551" s="1912"/>
      <c r="L551" s="1912"/>
      <c r="M551" s="708" t="s">
        <v>2308</v>
      </c>
      <c r="N551" s="223"/>
      <c r="O551" s="706">
        <f t="shared" si="50"/>
        <v>0</v>
      </c>
    </row>
    <row r="552" spans="1:15" s="360" customFormat="1" ht="15" hidden="1" customHeight="1">
      <c r="A552" s="356" t="s">
        <v>1590</v>
      </c>
      <c r="B552" s="707" t="s">
        <v>1228</v>
      </c>
      <c r="C552" s="633">
        <f t="shared" si="48"/>
        <v>0</v>
      </c>
      <c r="D552" s="354"/>
      <c r="E552" s="15">
        <f t="shared" si="47"/>
        <v>10134.49</v>
      </c>
      <c r="F552" s="917">
        <f t="shared" si="46"/>
        <v>0</v>
      </c>
      <c r="G552" s="358">
        <f>WORK!I2296</f>
        <v>0</v>
      </c>
      <c r="H552" s="354" t="s">
        <v>115</v>
      </c>
      <c r="I552" s="355">
        <f>WORK!K2296</f>
        <v>10134.49</v>
      </c>
      <c r="J552" s="353">
        <f t="shared" si="49"/>
        <v>0</v>
      </c>
      <c r="K552" s="1912"/>
      <c r="L552" s="1912"/>
      <c r="M552" s="708" t="s">
        <v>2321</v>
      </c>
      <c r="N552" s="223"/>
      <c r="O552" s="706">
        <f t="shared" si="50"/>
        <v>0</v>
      </c>
    </row>
    <row r="553" spans="1:15" s="360" customFormat="1" ht="15" hidden="1" customHeight="1">
      <c r="A553" s="356" t="s">
        <v>1590</v>
      </c>
      <c r="B553" s="707" t="s">
        <v>1228</v>
      </c>
      <c r="C553" s="633">
        <f t="shared" si="48"/>
        <v>0</v>
      </c>
      <c r="D553" s="354"/>
      <c r="E553" s="15">
        <f t="shared" si="47"/>
        <v>11442.58</v>
      </c>
      <c r="F553" s="917">
        <f t="shared" si="46"/>
        <v>0</v>
      </c>
      <c r="G553" s="358">
        <f>WORK!I2431</f>
        <v>0</v>
      </c>
      <c r="H553" s="354" t="s">
        <v>115</v>
      </c>
      <c r="I553" s="355">
        <f>WORK!K2431</f>
        <v>11442.58</v>
      </c>
      <c r="J553" s="353">
        <f t="shared" si="49"/>
        <v>0</v>
      </c>
      <c r="K553" s="1913"/>
      <c r="L553" s="1913"/>
      <c r="M553" s="708" t="s">
        <v>2322</v>
      </c>
      <c r="N553" s="223"/>
      <c r="O553" s="706">
        <f t="shared" si="50"/>
        <v>0</v>
      </c>
    </row>
    <row r="554" spans="1:15" s="360" customFormat="1" ht="51" hidden="1">
      <c r="A554" s="356" t="s">
        <v>642</v>
      </c>
      <c r="B554" s="707" t="s">
        <v>3299</v>
      </c>
      <c r="C554" s="633">
        <f t="shared" si="48"/>
        <v>0</v>
      </c>
      <c r="D554" s="916" t="s">
        <v>115</v>
      </c>
      <c r="E554" s="15">
        <f t="shared" si="47"/>
        <v>15555.64</v>
      </c>
      <c r="F554" s="917">
        <f t="shared" si="46"/>
        <v>0</v>
      </c>
      <c r="G554" s="358">
        <f>WORK!I2047</f>
        <v>0</v>
      </c>
      <c r="H554" s="354" t="s">
        <v>115</v>
      </c>
      <c r="I554" s="355">
        <f>WORK!K2047</f>
        <v>15555.64</v>
      </c>
      <c r="J554" s="353">
        <f t="shared" si="49"/>
        <v>0</v>
      </c>
      <c r="K554" s="1911">
        <f>IF((J554+J555+J556+J557)&gt;(F554+F555+F556+F557),(J554+J555+J556+J557)-(F554+F555+F556+F557),0)</f>
        <v>0</v>
      </c>
      <c r="L554" s="1911">
        <f>IF((J554+J555+J556+J557)&lt;(F554+F555+F556+F557),(F554+F555+F556+F557)-(J554+J555+J556+J557),0)</f>
        <v>0</v>
      </c>
      <c r="M554" s="708" t="s">
        <v>2226</v>
      </c>
      <c r="N554" s="223"/>
      <c r="O554" s="706">
        <f t="shared" si="50"/>
        <v>0</v>
      </c>
    </row>
    <row r="555" spans="1:15" s="360" customFormat="1" ht="15" hidden="1">
      <c r="A555" s="356" t="s">
        <v>529</v>
      </c>
      <c r="B555" s="707" t="s">
        <v>963</v>
      </c>
      <c r="C555" s="633">
        <f t="shared" si="48"/>
        <v>0</v>
      </c>
      <c r="D555" s="354"/>
      <c r="E555" s="15">
        <f t="shared" si="47"/>
        <v>15555.64</v>
      </c>
      <c r="F555" s="917">
        <f t="shared" si="46"/>
        <v>0</v>
      </c>
      <c r="G555" s="358">
        <f>WORK!I2182</f>
        <v>0</v>
      </c>
      <c r="H555" s="354" t="s">
        <v>115</v>
      </c>
      <c r="I555" s="355">
        <f>WORK!K2182</f>
        <v>15555.64</v>
      </c>
      <c r="J555" s="353">
        <f t="shared" si="49"/>
        <v>0</v>
      </c>
      <c r="K555" s="1912"/>
      <c r="L555" s="1912"/>
      <c r="M555" s="708" t="s">
        <v>2308</v>
      </c>
      <c r="N555" s="223"/>
      <c r="O555" s="706">
        <f t="shared" si="50"/>
        <v>0</v>
      </c>
    </row>
    <row r="556" spans="1:15" s="360" customFormat="1" ht="15" hidden="1">
      <c r="A556" s="356" t="s">
        <v>529</v>
      </c>
      <c r="B556" s="707" t="s">
        <v>963</v>
      </c>
      <c r="C556" s="633">
        <f t="shared" si="48"/>
        <v>0</v>
      </c>
      <c r="D556" s="354"/>
      <c r="E556" s="15">
        <f t="shared" si="47"/>
        <v>16143.809999999998</v>
      </c>
      <c r="F556" s="917">
        <f t="shared" si="46"/>
        <v>0</v>
      </c>
      <c r="G556" s="358">
        <f>WORK!I2323</f>
        <v>0</v>
      </c>
      <c r="H556" s="354" t="s">
        <v>115</v>
      </c>
      <c r="I556" s="355">
        <f>WORK!K2323</f>
        <v>16143.809999999998</v>
      </c>
      <c r="J556" s="353">
        <f t="shared" si="49"/>
        <v>0</v>
      </c>
      <c r="K556" s="1912"/>
      <c r="L556" s="1912"/>
      <c r="M556" s="708" t="s">
        <v>2321</v>
      </c>
      <c r="N556" s="223"/>
      <c r="O556" s="706">
        <f t="shared" si="50"/>
        <v>0</v>
      </c>
    </row>
    <row r="557" spans="1:15" s="360" customFormat="1" ht="15" hidden="1">
      <c r="A557" s="356" t="s">
        <v>529</v>
      </c>
      <c r="B557" s="707" t="s">
        <v>963</v>
      </c>
      <c r="C557" s="633">
        <f t="shared" si="48"/>
        <v>0</v>
      </c>
      <c r="D557" s="354"/>
      <c r="E557" s="15">
        <f t="shared" si="47"/>
        <v>17517.36</v>
      </c>
      <c r="F557" s="917">
        <f t="shared" si="46"/>
        <v>0</v>
      </c>
      <c r="G557" s="358">
        <f>WORK!I2458</f>
        <v>0</v>
      </c>
      <c r="H557" s="354" t="s">
        <v>115</v>
      </c>
      <c r="I557" s="355">
        <f>WORK!K2458</f>
        <v>17517.36</v>
      </c>
      <c r="J557" s="353">
        <f t="shared" si="49"/>
        <v>0</v>
      </c>
      <c r="K557" s="1913"/>
      <c r="L557" s="1913"/>
      <c r="M557" s="708" t="s">
        <v>2322</v>
      </c>
      <c r="N557" s="223"/>
      <c r="O557" s="706">
        <f t="shared" si="50"/>
        <v>0</v>
      </c>
    </row>
    <row r="558" spans="1:15" s="360" customFormat="1" ht="51" hidden="1">
      <c r="A558" s="356" t="s">
        <v>643</v>
      </c>
      <c r="B558" s="707" t="s">
        <v>3299</v>
      </c>
      <c r="C558" s="633">
        <f t="shared" si="48"/>
        <v>0</v>
      </c>
      <c r="D558" s="916" t="s">
        <v>115</v>
      </c>
      <c r="E558" s="15">
        <f t="shared" si="47"/>
        <v>9631.65</v>
      </c>
      <c r="F558" s="917">
        <f t="shared" si="46"/>
        <v>0</v>
      </c>
      <c r="G558" s="358">
        <f>WORK!I2054</f>
        <v>0</v>
      </c>
      <c r="H558" s="354" t="s">
        <v>115</v>
      </c>
      <c r="I558" s="355">
        <f>WORK!K2054</f>
        <v>9631.65</v>
      </c>
      <c r="J558" s="353">
        <f t="shared" si="49"/>
        <v>0</v>
      </c>
      <c r="K558" s="1911">
        <f>IF((J558+J559+J560+J561)&gt;(F558+F559+F560+F561),(J558+J559+J560+J561)-(F558+F559+F560+F561),0)</f>
        <v>0</v>
      </c>
      <c r="L558" s="1911">
        <f>IF((J558+J559+J560+J561)&lt;(F558+F559+F560+F561),(F558+F559+F560+F561)-(J558+J559+J560+J561),0)</f>
        <v>0</v>
      </c>
      <c r="M558" s="708" t="s">
        <v>2226</v>
      </c>
      <c r="N558" s="223"/>
      <c r="O558" s="706">
        <f t="shared" si="50"/>
        <v>0</v>
      </c>
    </row>
    <row r="559" spans="1:15" s="360" customFormat="1" ht="15" hidden="1">
      <c r="A559" s="356" t="s">
        <v>1148</v>
      </c>
      <c r="B559" s="707" t="s">
        <v>964</v>
      </c>
      <c r="C559" s="633">
        <f t="shared" si="48"/>
        <v>0</v>
      </c>
      <c r="D559" s="354"/>
      <c r="E559" s="15">
        <f t="shared" si="47"/>
        <v>4472.53</v>
      </c>
      <c r="F559" s="917">
        <f t="shared" si="46"/>
        <v>0</v>
      </c>
      <c r="G559" s="358">
        <f>WORK!I2190</f>
        <v>0</v>
      </c>
      <c r="H559" s="354" t="s">
        <v>115</v>
      </c>
      <c r="I559" s="355">
        <f>WORK!K2190</f>
        <v>4472.53</v>
      </c>
      <c r="J559" s="353">
        <f t="shared" si="49"/>
        <v>0</v>
      </c>
      <c r="K559" s="1912"/>
      <c r="L559" s="1912"/>
      <c r="M559" s="708" t="s">
        <v>2308</v>
      </c>
      <c r="N559" s="223"/>
      <c r="O559" s="706">
        <f t="shared" si="50"/>
        <v>0</v>
      </c>
    </row>
    <row r="560" spans="1:15" s="360" customFormat="1" ht="15" hidden="1">
      <c r="A560" s="356" t="s">
        <v>1592</v>
      </c>
      <c r="B560" s="707" t="s">
        <v>964</v>
      </c>
      <c r="C560" s="633">
        <f t="shared" si="48"/>
        <v>0</v>
      </c>
      <c r="D560" s="354"/>
      <c r="E560" s="15">
        <f t="shared" si="47"/>
        <v>9936.0399999999991</v>
      </c>
      <c r="F560" s="917">
        <f t="shared" ref="F560:F622" si="51">ROUND(C560*E560,0)</f>
        <v>0</v>
      </c>
      <c r="G560" s="358">
        <f>WORK!I2330</f>
        <v>0</v>
      </c>
      <c r="H560" s="354" t="s">
        <v>115</v>
      </c>
      <c r="I560" s="355">
        <f>WORK!K2330</f>
        <v>9936.0399999999991</v>
      </c>
      <c r="J560" s="353">
        <f t="shared" si="49"/>
        <v>0</v>
      </c>
      <c r="K560" s="1912"/>
      <c r="L560" s="1912"/>
      <c r="M560" s="708" t="s">
        <v>2321</v>
      </c>
      <c r="N560" s="223"/>
      <c r="O560" s="706">
        <f t="shared" si="50"/>
        <v>0</v>
      </c>
    </row>
    <row r="561" spans="1:15" s="360" customFormat="1" ht="15" hidden="1">
      <c r="A561" s="356" t="s">
        <v>1592</v>
      </c>
      <c r="B561" s="707" t="s">
        <v>964</v>
      </c>
      <c r="C561" s="633">
        <f t="shared" si="48"/>
        <v>0</v>
      </c>
      <c r="D561" s="354"/>
      <c r="E561" s="15">
        <f t="shared" ref="E561:E624" si="52">I561</f>
        <v>11186.3</v>
      </c>
      <c r="F561" s="917">
        <f t="shared" si="51"/>
        <v>0</v>
      </c>
      <c r="G561" s="358">
        <f>WORK!I2465</f>
        <v>0</v>
      </c>
      <c r="H561" s="354" t="s">
        <v>115</v>
      </c>
      <c r="I561" s="355">
        <f>WORK!K2465</f>
        <v>11186.3</v>
      </c>
      <c r="J561" s="353">
        <f t="shared" si="49"/>
        <v>0</v>
      </c>
      <c r="K561" s="1913"/>
      <c r="L561" s="1913"/>
      <c r="M561" s="708" t="s">
        <v>2322</v>
      </c>
      <c r="N561" s="223"/>
      <c r="O561" s="706">
        <f t="shared" si="50"/>
        <v>0</v>
      </c>
    </row>
    <row r="562" spans="1:15" s="360" customFormat="1" ht="38.25" hidden="1">
      <c r="A562" s="356" t="s">
        <v>644</v>
      </c>
      <c r="B562" s="707" t="s">
        <v>3300</v>
      </c>
      <c r="C562" s="633">
        <f t="shared" si="48"/>
        <v>0</v>
      </c>
      <c r="D562" s="916" t="s">
        <v>102</v>
      </c>
      <c r="E562" s="15">
        <f t="shared" si="52"/>
        <v>6011.2</v>
      </c>
      <c r="F562" s="917">
        <f t="shared" si="51"/>
        <v>0</v>
      </c>
      <c r="G562" s="358">
        <f>WORK!I2059</f>
        <v>0</v>
      </c>
      <c r="H562" s="354" t="s">
        <v>102</v>
      </c>
      <c r="I562" s="355">
        <f>WORK!K2059</f>
        <v>6011.2</v>
      </c>
      <c r="J562" s="353">
        <f t="shared" si="49"/>
        <v>0</v>
      </c>
      <c r="K562" s="1911">
        <f>IF((J562+J563+J564+J565)&gt;(F562+F563+F564+F565),(J562+J563+J564+J565)-(F562+F563+F564+F565),0)</f>
        <v>0</v>
      </c>
      <c r="L562" s="1911">
        <f>IF((J562+J563+J564+J565)&lt;(F562+F563+F564+F565),(F562+F563+F564+F565)-(J562+J563+J564+J565),0)</f>
        <v>0</v>
      </c>
      <c r="M562" s="708" t="s">
        <v>2226</v>
      </c>
      <c r="N562" s="223"/>
      <c r="O562" s="706">
        <f t="shared" si="50"/>
        <v>0</v>
      </c>
    </row>
    <row r="563" spans="1:15" s="360" customFormat="1" ht="15" hidden="1">
      <c r="A563" s="356" t="s">
        <v>1517</v>
      </c>
      <c r="B563" s="707" t="s">
        <v>2037</v>
      </c>
      <c r="C563" s="633">
        <f t="shared" si="48"/>
        <v>0</v>
      </c>
      <c r="D563" s="354"/>
      <c r="E563" s="15">
        <f t="shared" si="52"/>
        <v>5930.61</v>
      </c>
      <c r="F563" s="917">
        <f t="shared" si="51"/>
        <v>0</v>
      </c>
      <c r="G563" s="358">
        <f>WORK!I2199</f>
        <v>0</v>
      </c>
      <c r="H563" s="354" t="s">
        <v>102</v>
      </c>
      <c r="I563" s="355">
        <f>WORK!K2199</f>
        <v>5930.61</v>
      </c>
      <c r="J563" s="353">
        <f t="shared" si="49"/>
        <v>0</v>
      </c>
      <c r="K563" s="1912"/>
      <c r="L563" s="1912"/>
      <c r="M563" s="708" t="s">
        <v>2308</v>
      </c>
      <c r="N563" s="223"/>
      <c r="O563" s="706">
        <f t="shared" si="50"/>
        <v>0</v>
      </c>
    </row>
    <row r="564" spans="1:15" s="360" customFormat="1" ht="15" hidden="1">
      <c r="A564" s="356" t="s">
        <v>499</v>
      </c>
      <c r="B564" s="707" t="s">
        <v>2037</v>
      </c>
      <c r="C564" s="633">
        <f t="shared" si="48"/>
        <v>0</v>
      </c>
      <c r="D564" s="354" t="s">
        <v>102</v>
      </c>
      <c r="E564" s="15">
        <f t="shared" si="52"/>
        <v>5976.6</v>
      </c>
      <c r="F564" s="917">
        <f t="shared" si="51"/>
        <v>0</v>
      </c>
      <c r="G564" s="358">
        <f>WORK!I2336</f>
        <v>0</v>
      </c>
      <c r="H564" s="354" t="s">
        <v>102</v>
      </c>
      <c r="I564" s="355">
        <f>WORK!K2336</f>
        <v>5976.6</v>
      </c>
      <c r="J564" s="353">
        <f t="shared" si="49"/>
        <v>0</v>
      </c>
      <c r="K564" s="1912"/>
      <c r="L564" s="1912"/>
      <c r="M564" s="708" t="s">
        <v>2321</v>
      </c>
      <c r="N564" s="223"/>
      <c r="O564" s="706">
        <f t="shared" si="50"/>
        <v>0</v>
      </c>
    </row>
    <row r="565" spans="1:15" s="360" customFormat="1" ht="38.25" hidden="1">
      <c r="A565" s="356" t="s">
        <v>498</v>
      </c>
      <c r="B565" s="707" t="s">
        <v>3406</v>
      </c>
      <c r="C565" s="633">
        <f t="shared" si="48"/>
        <v>0</v>
      </c>
      <c r="D565" s="354" t="s">
        <v>102</v>
      </c>
      <c r="E565" s="10">
        <f t="shared" si="52"/>
        <v>6869.57</v>
      </c>
      <c r="F565" s="917">
        <f t="shared" si="51"/>
        <v>0</v>
      </c>
      <c r="G565" s="358">
        <f>WORK!I2470</f>
        <v>0</v>
      </c>
      <c r="H565" s="354" t="s">
        <v>102</v>
      </c>
      <c r="I565" s="355">
        <f>WORK!K2470</f>
        <v>6869.57</v>
      </c>
      <c r="J565" s="353">
        <f t="shared" si="49"/>
        <v>0</v>
      </c>
      <c r="K565" s="1913"/>
      <c r="L565" s="1913"/>
      <c r="M565" s="1139" t="s">
        <v>2322</v>
      </c>
      <c r="N565" s="223"/>
      <c r="O565" s="1138">
        <f t="shared" si="50"/>
        <v>0</v>
      </c>
    </row>
    <row r="566" spans="1:15" s="360" customFormat="1" ht="15" hidden="1">
      <c r="A566" s="356" t="s">
        <v>1147</v>
      </c>
      <c r="B566" s="707" t="s">
        <v>2038</v>
      </c>
      <c r="C566" s="633">
        <f t="shared" si="48"/>
        <v>0</v>
      </c>
      <c r="D566" s="354"/>
      <c r="E566" s="15">
        <f t="shared" si="52"/>
        <v>5617.52</v>
      </c>
      <c r="F566" s="917">
        <f t="shared" si="51"/>
        <v>0</v>
      </c>
      <c r="G566" s="358">
        <f>WORK!I2066</f>
        <v>0</v>
      </c>
      <c r="H566" s="354" t="s">
        <v>102</v>
      </c>
      <c r="I566" s="355">
        <f>WORK!K2066</f>
        <v>5617.52</v>
      </c>
      <c r="J566" s="353">
        <f t="shared" si="49"/>
        <v>0</v>
      </c>
      <c r="K566" s="1911">
        <f>IF((J566+J567+J568+J569)&gt;(F566+F567+F568+F569),(J566+J567+J568+J569)-(F566+F567+F568+F569),0)</f>
        <v>0</v>
      </c>
      <c r="L566" s="1911">
        <f>IF((J566+J567+J568+J569)&lt;(F566+F567+F568+F569),(F566+F567+F568+F569)-(J566+J567+J568+J569),0)</f>
        <v>0</v>
      </c>
      <c r="M566" s="708" t="s">
        <v>2226</v>
      </c>
      <c r="N566" s="223"/>
      <c r="O566" s="706">
        <f t="shared" si="50"/>
        <v>0</v>
      </c>
    </row>
    <row r="567" spans="1:15" s="360" customFormat="1" ht="15" hidden="1">
      <c r="A567" s="356" t="s">
        <v>1147</v>
      </c>
      <c r="B567" s="707" t="s">
        <v>2038</v>
      </c>
      <c r="C567" s="633">
        <f t="shared" si="48"/>
        <v>0</v>
      </c>
      <c r="D567" s="354"/>
      <c r="E567" s="15">
        <f t="shared" si="52"/>
        <v>5617.52</v>
      </c>
      <c r="F567" s="917">
        <f t="shared" si="51"/>
        <v>0</v>
      </c>
      <c r="G567" s="358">
        <f>WORK!I2206</f>
        <v>0</v>
      </c>
      <c r="H567" s="354" t="s">
        <v>102</v>
      </c>
      <c r="I567" s="355">
        <f>WORK!K2206</f>
        <v>5617.52</v>
      </c>
      <c r="J567" s="353">
        <f t="shared" si="49"/>
        <v>0</v>
      </c>
      <c r="K567" s="1912"/>
      <c r="L567" s="1912"/>
      <c r="M567" s="708" t="s">
        <v>2308</v>
      </c>
      <c r="N567" s="223"/>
      <c r="O567" s="706">
        <f t="shared" si="50"/>
        <v>0</v>
      </c>
    </row>
    <row r="568" spans="1:15" s="360" customFormat="1" ht="15" hidden="1">
      <c r="A568" s="356" t="s">
        <v>1147</v>
      </c>
      <c r="B568" s="707" t="s">
        <v>2038</v>
      </c>
      <c r="C568" s="633">
        <f t="shared" si="48"/>
        <v>0</v>
      </c>
      <c r="D568" s="354"/>
      <c r="E568" s="15">
        <f t="shared" si="52"/>
        <v>5663.52</v>
      </c>
      <c r="F568" s="917">
        <f t="shared" si="51"/>
        <v>0</v>
      </c>
      <c r="G568" s="358">
        <f>WORK!I2343</f>
        <v>0</v>
      </c>
      <c r="H568" s="354" t="s">
        <v>102</v>
      </c>
      <c r="I568" s="355">
        <f>WORK!K2343</f>
        <v>5663.52</v>
      </c>
      <c r="J568" s="353">
        <f t="shared" si="49"/>
        <v>0</v>
      </c>
      <c r="K568" s="1912"/>
      <c r="L568" s="1912"/>
      <c r="M568" s="708" t="s">
        <v>2321</v>
      </c>
      <c r="N568" s="223"/>
      <c r="O568" s="706">
        <f t="shared" si="50"/>
        <v>0</v>
      </c>
    </row>
    <row r="569" spans="1:15" s="360" customFormat="1" ht="15" hidden="1">
      <c r="A569" s="356" t="s">
        <v>1147</v>
      </c>
      <c r="B569" s="707" t="s">
        <v>2038</v>
      </c>
      <c r="C569" s="633">
        <f t="shared" si="48"/>
        <v>0</v>
      </c>
      <c r="D569" s="354"/>
      <c r="E569" s="15">
        <f t="shared" si="52"/>
        <v>6508.85</v>
      </c>
      <c r="F569" s="917">
        <f t="shared" si="51"/>
        <v>0</v>
      </c>
      <c r="G569" s="358">
        <f>WORK!I2477</f>
        <v>0</v>
      </c>
      <c r="H569" s="354" t="s">
        <v>102</v>
      </c>
      <c r="I569" s="355">
        <f>WORK!K2477</f>
        <v>6508.85</v>
      </c>
      <c r="J569" s="353">
        <f t="shared" si="49"/>
        <v>0</v>
      </c>
      <c r="K569" s="1913"/>
      <c r="L569" s="1913"/>
      <c r="M569" s="708" t="s">
        <v>2322</v>
      </c>
      <c r="N569" s="223"/>
      <c r="O569" s="706">
        <f t="shared" si="50"/>
        <v>0</v>
      </c>
    </row>
    <row r="570" spans="1:15" s="360" customFormat="1" ht="51" hidden="1">
      <c r="A570" s="356" t="s">
        <v>1577</v>
      </c>
      <c r="B570" s="707" t="s">
        <v>3301</v>
      </c>
      <c r="C570" s="633">
        <f t="shared" si="48"/>
        <v>0</v>
      </c>
      <c r="D570" s="916" t="s">
        <v>277</v>
      </c>
      <c r="E570" s="15">
        <f t="shared" si="52"/>
        <v>0</v>
      </c>
      <c r="F570" s="917">
        <f t="shared" si="51"/>
        <v>0</v>
      </c>
      <c r="G570" s="358"/>
      <c r="H570" s="354"/>
      <c r="I570" s="355"/>
      <c r="J570" s="353">
        <f t="shared" si="49"/>
        <v>0</v>
      </c>
      <c r="K570" s="743">
        <f t="shared" ref="K570" si="53">IF(J570&gt;F570,J570-F570,0)</f>
        <v>0</v>
      </c>
      <c r="L570" s="368">
        <f t="shared" ref="L570" si="54">IF(J570&lt;F570,F570-J570,0)</f>
        <v>0</v>
      </c>
      <c r="M570" s="708" t="s">
        <v>2226</v>
      </c>
      <c r="N570" s="223"/>
      <c r="O570" s="706">
        <f t="shared" si="50"/>
        <v>0</v>
      </c>
    </row>
    <row r="571" spans="1:15" s="360" customFormat="1" ht="38.25" hidden="1">
      <c r="A571" s="356" t="s">
        <v>1584</v>
      </c>
      <c r="B571" s="707" t="s">
        <v>3302</v>
      </c>
      <c r="C571" s="633">
        <f t="shared" si="48"/>
        <v>0</v>
      </c>
      <c r="D571" s="916" t="s">
        <v>102</v>
      </c>
      <c r="E571" s="15">
        <f t="shared" si="52"/>
        <v>8058</v>
      </c>
      <c r="F571" s="917">
        <f t="shared" si="51"/>
        <v>0</v>
      </c>
      <c r="G571" s="358">
        <f>WORK!I2073</f>
        <v>0</v>
      </c>
      <c r="H571" s="354" t="s">
        <v>102</v>
      </c>
      <c r="I571" s="355">
        <f>WORK!K2073</f>
        <v>8058</v>
      </c>
      <c r="J571" s="353">
        <f t="shared" si="49"/>
        <v>0</v>
      </c>
      <c r="K571" s="1911">
        <f>IF((J571+J572+J573+J574)&gt;(F571+F572+F573+F574),(J571+J572+J573+J574)-(F571+F572+F573+F574),0)</f>
        <v>0</v>
      </c>
      <c r="L571" s="1911">
        <f>IF((J571+J572+J573+J574)&lt;(F571+F572+F573+F574),(F571+F572+F573+F574)-(J571+J572+J573+J574),0)</f>
        <v>0</v>
      </c>
      <c r="M571" s="708" t="s">
        <v>2226</v>
      </c>
      <c r="N571" s="223"/>
      <c r="O571" s="706">
        <f t="shared" si="50"/>
        <v>0</v>
      </c>
    </row>
    <row r="572" spans="1:15" s="360" customFormat="1" ht="25.5" hidden="1">
      <c r="A572" s="356" t="s">
        <v>495</v>
      </c>
      <c r="B572" s="707" t="s">
        <v>965</v>
      </c>
      <c r="C572" s="633">
        <f t="shared" si="48"/>
        <v>0</v>
      </c>
      <c r="D572" s="354"/>
      <c r="E572" s="15">
        <f t="shared" si="52"/>
        <v>8058</v>
      </c>
      <c r="F572" s="917">
        <f t="shared" si="51"/>
        <v>0</v>
      </c>
      <c r="G572" s="358">
        <f>WORK!I2212</f>
        <v>0</v>
      </c>
      <c r="H572" s="354" t="s">
        <v>102</v>
      </c>
      <c r="I572" s="355">
        <f>WORK!K2212</f>
        <v>8058</v>
      </c>
      <c r="J572" s="353">
        <f t="shared" si="49"/>
        <v>0</v>
      </c>
      <c r="K572" s="1912"/>
      <c r="L572" s="1912"/>
      <c r="M572" s="708" t="s">
        <v>2308</v>
      </c>
      <c r="N572" s="223"/>
      <c r="O572" s="706">
        <f t="shared" si="50"/>
        <v>0</v>
      </c>
    </row>
    <row r="573" spans="1:15" s="360" customFormat="1" ht="25.5" hidden="1">
      <c r="A573" s="356" t="s">
        <v>500</v>
      </c>
      <c r="B573" s="707" t="s">
        <v>965</v>
      </c>
      <c r="C573" s="633">
        <f t="shared" si="48"/>
        <v>0</v>
      </c>
      <c r="D573" s="354" t="s">
        <v>102</v>
      </c>
      <c r="E573" s="15">
        <f t="shared" si="52"/>
        <v>8058</v>
      </c>
      <c r="F573" s="917">
        <f t="shared" si="51"/>
        <v>0</v>
      </c>
      <c r="G573" s="358">
        <f>WORK!I2349</f>
        <v>0</v>
      </c>
      <c r="H573" s="354" t="s">
        <v>102</v>
      </c>
      <c r="I573" s="355">
        <f>WORK!K2349</f>
        <v>8058</v>
      </c>
      <c r="J573" s="353">
        <f t="shared" si="49"/>
        <v>0</v>
      </c>
      <c r="K573" s="1912"/>
      <c r="L573" s="1912"/>
      <c r="M573" s="708" t="s">
        <v>2321</v>
      </c>
      <c r="N573" s="223"/>
      <c r="O573" s="706">
        <f t="shared" si="50"/>
        <v>0</v>
      </c>
    </row>
    <row r="574" spans="1:15" s="360" customFormat="1" ht="38.25" hidden="1">
      <c r="A574" s="356" t="s">
        <v>1517</v>
      </c>
      <c r="B574" s="707" t="s">
        <v>3302</v>
      </c>
      <c r="C574" s="633">
        <f t="shared" si="48"/>
        <v>0</v>
      </c>
      <c r="D574" s="354" t="s">
        <v>102</v>
      </c>
      <c r="E574" s="10">
        <f t="shared" si="52"/>
        <v>8622</v>
      </c>
      <c r="F574" s="917">
        <f t="shared" si="51"/>
        <v>0</v>
      </c>
      <c r="G574" s="358">
        <f>WORK!I2483</f>
        <v>0</v>
      </c>
      <c r="H574" s="354" t="s">
        <v>102</v>
      </c>
      <c r="I574" s="355">
        <f>WORK!K2483</f>
        <v>8622</v>
      </c>
      <c r="J574" s="353">
        <f t="shared" si="49"/>
        <v>0</v>
      </c>
      <c r="K574" s="1927"/>
      <c r="L574" s="1927"/>
      <c r="M574" s="1139" t="s">
        <v>2322</v>
      </c>
      <c r="N574" s="223"/>
      <c r="O574" s="1138">
        <f t="shared" si="50"/>
        <v>0</v>
      </c>
    </row>
    <row r="575" spans="1:15" s="360" customFormat="1" ht="25.5">
      <c r="A575" s="356" t="s">
        <v>491</v>
      </c>
      <c r="B575" s="707" t="s">
        <v>965</v>
      </c>
      <c r="C575" s="633">
        <f t="shared" si="48"/>
        <v>15.84</v>
      </c>
      <c r="D575" s="354" t="s">
        <v>102</v>
      </c>
      <c r="E575" s="10">
        <f t="shared" si="52"/>
        <v>6038</v>
      </c>
      <c r="F575" s="917">
        <f t="shared" si="51"/>
        <v>95642</v>
      </c>
      <c r="G575" s="358">
        <f>WORK!I2077</f>
        <v>15.84</v>
      </c>
      <c r="H575" s="354" t="s">
        <v>102</v>
      </c>
      <c r="I575" s="355">
        <f>WORK!K2077</f>
        <v>6038</v>
      </c>
      <c r="J575" s="353">
        <f t="shared" si="49"/>
        <v>95641.919999999998</v>
      </c>
      <c r="K575" s="1911">
        <f>IF((J575+J576+J577+J578)&gt;(F575+F576+F577+F578),(J575+J576+J577+J578)-(F575+F576+F577+F578),0)</f>
        <v>0</v>
      </c>
      <c r="L575" s="1911">
        <f>IF((J575+J576+J577+J578)&lt;(F575+F576+F577+F578),(F575+F576+F577+F578)-(J575+J576+J577+J578),0)</f>
        <v>8.000000000174623E-2</v>
      </c>
      <c r="M575" s="1139" t="s">
        <v>2226</v>
      </c>
      <c r="N575" s="223"/>
      <c r="O575" s="1138">
        <f t="shared" si="50"/>
        <v>8.000000000174623E-2</v>
      </c>
    </row>
    <row r="576" spans="1:15" s="360" customFormat="1" ht="25.5" hidden="1">
      <c r="A576" s="356" t="s">
        <v>1146</v>
      </c>
      <c r="B576" s="707" t="s">
        <v>965</v>
      </c>
      <c r="C576" s="633">
        <f t="shared" si="48"/>
        <v>0</v>
      </c>
      <c r="D576" s="354"/>
      <c r="E576" s="15">
        <f t="shared" si="52"/>
        <v>6038</v>
      </c>
      <c r="F576" s="917">
        <f t="shared" si="51"/>
        <v>0</v>
      </c>
      <c r="G576" s="358">
        <f>WORK!I2216</f>
        <v>0</v>
      </c>
      <c r="H576" s="354" t="s">
        <v>102</v>
      </c>
      <c r="I576" s="355">
        <f>WORK!K2216</f>
        <v>6038</v>
      </c>
      <c r="J576" s="353">
        <f t="shared" si="49"/>
        <v>0</v>
      </c>
      <c r="K576" s="1912"/>
      <c r="L576" s="1912"/>
      <c r="M576" s="708" t="s">
        <v>2308</v>
      </c>
      <c r="N576" s="223"/>
      <c r="O576" s="706">
        <f t="shared" si="50"/>
        <v>0</v>
      </c>
    </row>
    <row r="577" spans="1:15" s="360" customFormat="1" ht="25.5" hidden="1">
      <c r="A577" s="356" t="s">
        <v>1145</v>
      </c>
      <c r="B577" s="707" t="s">
        <v>965</v>
      </c>
      <c r="C577" s="633">
        <f t="shared" si="48"/>
        <v>0</v>
      </c>
      <c r="D577" s="354"/>
      <c r="E577" s="15">
        <f t="shared" si="52"/>
        <v>6038</v>
      </c>
      <c r="F577" s="917">
        <f t="shared" si="51"/>
        <v>0</v>
      </c>
      <c r="G577" s="358">
        <f>WORK!I2353</f>
        <v>0</v>
      </c>
      <c r="H577" s="354" t="s">
        <v>102</v>
      </c>
      <c r="I577" s="355">
        <f>WORK!K2353</f>
        <v>6038</v>
      </c>
      <c r="J577" s="353">
        <f t="shared" si="49"/>
        <v>0</v>
      </c>
      <c r="K577" s="1912"/>
      <c r="L577" s="1912"/>
      <c r="M577" s="708" t="s">
        <v>2321</v>
      </c>
      <c r="N577" s="223"/>
      <c r="O577" s="706">
        <f t="shared" si="50"/>
        <v>0</v>
      </c>
    </row>
    <row r="578" spans="1:15" s="360" customFormat="1" ht="25.5" hidden="1">
      <c r="A578" s="356" t="s">
        <v>499</v>
      </c>
      <c r="B578" s="707" t="s">
        <v>965</v>
      </c>
      <c r="C578" s="633">
        <f t="shared" si="48"/>
        <v>0</v>
      </c>
      <c r="D578" s="354"/>
      <c r="E578" s="15">
        <f t="shared" si="52"/>
        <v>6460</v>
      </c>
      <c r="F578" s="917">
        <f t="shared" si="51"/>
        <v>0</v>
      </c>
      <c r="G578" s="358">
        <f>WORK!I2487</f>
        <v>0</v>
      </c>
      <c r="H578" s="354" t="s">
        <v>102</v>
      </c>
      <c r="I578" s="355">
        <f>WORK!K2487</f>
        <v>6460</v>
      </c>
      <c r="J578" s="353">
        <f t="shared" si="49"/>
        <v>0</v>
      </c>
      <c r="K578" s="1913"/>
      <c r="L578" s="1913"/>
      <c r="M578" s="708" t="s">
        <v>2322</v>
      </c>
      <c r="N578" s="223"/>
      <c r="O578" s="706">
        <f t="shared" si="50"/>
        <v>0</v>
      </c>
    </row>
    <row r="579" spans="1:15" s="360" customFormat="1" ht="25.5" hidden="1">
      <c r="A579" s="356" t="s">
        <v>1579</v>
      </c>
      <c r="B579" s="707" t="s">
        <v>966</v>
      </c>
      <c r="C579" s="633">
        <f t="shared" si="48"/>
        <v>0</v>
      </c>
      <c r="D579" s="354"/>
      <c r="E579" s="15">
        <f t="shared" si="52"/>
        <v>5830</v>
      </c>
      <c r="F579" s="917">
        <f t="shared" si="51"/>
        <v>0</v>
      </c>
      <c r="G579" s="358">
        <f>WORK!I2081</f>
        <v>0</v>
      </c>
      <c r="H579" s="354" t="s">
        <v>102</v>
      </c>
      <c r="I579" s="355">
        <f>WORK!K2081</f>
        <v>5830</v>
      </c>
      <c r="J579" s="353">
        <f t="shared" si="49"/>
        <v>0</v>
      </c>
      <c r="K579" s="1911">
        <f>IF((J579+J580+J581+J582)&gt;(F579+F580+F581+F582),(J579+J580+J581+J582)-(F579+F580+F581+F582),0)</f>
        <v>0</v>
      </c>
      <c r="L579" s="1911">
        <f>IF((J579+J580+J581+J582)&lt;(F579+F580+F581+F582),(F579+F580+F581+F582)-(J579+J580+J581+J582),0)</f>
        <v>0</v>
      </c>
      <c r="M579" s="708" t="s">
        <v>2226</v>
      </c>
      <c r="N579" s="223"/>
      <c r="O579" s="706">
        <f t="shared" si="50"/>
        <v>0</v>
      </c>
    </row>
    <row r="580" spans="1:15" s="360" customFormat="1" ht="25.5" hidden="1">
      <c r="A580" s="356" t="s">
        <v>1579</v>
      </c>
      <c r="B580" s="707" t="s">
        <v>966</v>
      </c>
      <c r="C580" s="633">
        <f t="shared" si="48"/>
        <v>0</v>
      </c>
      <c r="D580" s="354"/>
      <c r="E580" s="15">
        <f t="shared" si="52"/>
        <v>5830</v>
      </c>
      <c r="F580" s="917">
        <f t="shared" si="51"/>
        <v>0</v>
      </c>
      <c r="G580" s="358">
        <f>WORK!I2222</f>
        <v>0</v>
      </c>
      <c r="H580" s="354" t="s">
        <v>102</v>
      </c>
      <c r="I580" s="355">
        <f>WORK!K2222</f>
        <v>5830</v>
      </c>
      <c r="J580" s="353">
        <f t="shared" si="49"/>
        <v>0</v>
      </c>
      <c r="K580" s="1912"/>
      <c r="L580" s="1912"/>
      <c r="M580" s="708" t="s">
        <v>2308</v>
      </c>
      <c r="N580" s="223"/>
      <c r="O580" s="706">
        <f t="shared" si="50"/>
        <v>0</v>
      </c>
    </row>
    <row r="581" spans="1:15" s="360" customFormat="1" ht="25.5" hidden="1">
      <c r="A581" s="356" t="s">
        <v>1579</v>
      </c>
      <c r="B581" s="707" t="s">
        <v>966</v>
      </c>
      <c r="C581" s="633">
        <f t="shared" si="48"/>
        <v>0</v>
      </c>
      <c r="D581" s="354"/>
      <c r="E581" s="15">
        <f t="shared" si="52"/>
        <v>5830</v>
      </c>
      <c r="F581" s="917">
        <f t="shared" si="51"/>
        <v>0</v>
      </c>
      <c r="G581" s="358">
        <f>WORK!I2357</f>
        <v>0</v>
      </c>
      <c r="H581" s="354" t="s">
        <v>102</v>
      </c>
      <c r="I581" s="355">
        <f>WORK!K2357</f>
        <v>5830</v>
      </c>
      <c r="J581" s="353">
        <f t="shared" si="49"/>
        <v>0</v>
      </c>
      <c r="K581" s="1912"/>
      <c r="L581" s="1912"/>
      <c r="M581" s="708" t="s">
        <v>2321</v>
      </c>
      <c r="N581" s="223"/>
      <c r="O581" s="706">
        <f t="shared" si="50"/>
        <v>0</v>
      </c>
    </row>
    <row r="582" spans="1:15" s="360" customFormat="1" ht="25.5" hidden="1">
      <c r="A582" s="356" t="s">
        <v>1579</v>
      </c>
      <c r="B582" s="707" t="s">
        <v>966</v>
      </c>
      <c r="C582" s="633">
        <f t="shared" si="48"/>
        <v>0</v>
      </c>
      <c r="D582" s="354"/>
      <c r="E582" s="15">
        <f t="shared" si="52"/>
        <v>6238</v>
      </c>
      <c r="F582" s="917">
        <f t="shared" si="51"/>
        <v>0</v>
      </c>
      <c r="G582" s="358">
        <f>WORK!I2491</f>
        <v>0</v>
      </c>
      <c r="H582" s="354" t="s">
        <v>102</v>
      </c>
      <c r="I582" s="355">
        <f>WORK!K2491</f>
        <v>6238</v>
      </c>
      <c r="J582" s="353">
        <f t="shared" si="49"/>
        <v>0</v>
      </c>
      <c r="K582" s="1913"/>
      <c r="L582" s="1913"/>
      <c r="M582" s="708" t="s">
        <v>2322</v>
      </c>
      <c r="N582" s="223"/>
      <c r="O582" s="706">
        <f t="shared" si="50"/>
        <v>0</v>
      </c>
    </row>
    <row r="583" spans="1:15" s="360" customFormat="1" ht="15" hidden="1">
      <c r="A583" s="356"/>
      <c r="B583" s="707" t="s">
        <v>2294</v>
      </c>
      <c r="C583" s="633">
        <f t="shared" si="48"/>
        <v>0</v>
      </c>
      <c r="D583" s="354"/>
      <c r="E583" s="15">
        <f t="shared" si="52"/>
        <v>3797</v>
      </c>
      <c r="F583" s="917">
        <f t="shared" si="51"/>
        <v>0</v>
      </c>
      <c r="G583" s="358">
        <f>WORK!I2086</f>
        <v>0</v>
      </c>
      <c r="H583" s="354" t="s">
        <v>102</v>
      </c>
      <c r="I583" s="355">
        <f>WORK!K2086</f>
        <v>3797</v>
      </c>
      <c r="J583" s="353">
        <f t="shared" si="49"/>
        <v>0</v>
      </c>
      <c r="K583" s="1911">
        <f>IF((J583+J584+J585+J586)&gt;(F583+F584+F585+F586),(J583+J584+J585+J586)-(F583+F584+F585+F586),0)</f>
        <v>0</v>
      </c>
      <c r="L583" s="1911">
        <f>IF((J583+J584+J585+J586)&lt;(F583+F584+F585+F586),(F583+F584+F585+F586)-(J583+J584+J585+J586),0)</f>
        <v>0</v>
      </c>
      <c r="M583" s="708" t="s">
        <v>2226</v>
      </c>
      <c r="N583" s="223"/>
      <c r="O583" s="706">
        <f t="shared" si="50"/>
        <v>0</v>
      </c>
    </row>
    <row r="584" spans="1:15" s="360" customFormat="1" ht="15" hidden="1">
      <c r="A584" s="356"/>
      <c r="B584" s="707" t="s">
        <v>2294</v>
      </c>
      <c r="C584" s="633">
        <f t="shared" si="48"/>
        <v>0</v>
      </c>
      <c r="D584" s="354"/>
      <c r="E584" s="15">
        <f t="shared" si="52"/>
        <v>3797</v>
      </c>
      <c r="F584" s="917">
        <f t="shared" si="51"/>
        <v>0</v>
      </c>
      <c r="G584" s="358">
        <f>WORK!I2227</f>
        <v>0</v>
      </c>
      <c r="H584" s="354" t="s">
        <v>102</v>
      </c>
      <c r="I584" s="355">
        <f>WORK!K2227</f>
        <v>3797</v>
      </c>
      <c r="J584" s="353">
        <f t="shared" si="49"/>
        <v>0</v>
      </c>
      <c r="K584" s="1912"/>
      <c r="L584" s="1912"/>
      <c r="M584" s="708" t="s">
        <v>2308</v>
      </c>
      <c r="N584" s="223"/>
      <c r="O584" s="706">
        <f t="shared" si="50"/>
        <v>0</v>
      </c>
    </row>
    <row r="585" spans="1:15" s="360" customFormat="1" ht="15" hidden="1">
      <c r="A585" s="356"/>
      <c r="B585" s="707" t="s">
        <v>2294</v>
      </c>
      <c r="C585" s="633">
        <f t="shared" si="48"/>
        <v>0</v>
      </c>
      <c r="D585" s="354"/>
      <c r="E585" s="15">
        <f t="shared" si="52"/>
        <v>3797</v>
      </c>
      <c r="F585" s="917">
        <f t="shared" si="51"/>
        <v>0</v>
      </c>
      <c r="G585" s="358">
        <f>WORK!I2362</f>
        <v>0</v>
      </c>
      <c r="H585" s="354" t="s">
        <v>102</v>
      </c>
      <c r="I585" s="355">
        <f>WORK!K2362</f>
        <v>3797</v>
      </c>
      <c r="J585" s="353">
        <f t="shared" si="49"/>
        <v>0</v>
      </c>
      <c r="K585" s="1912"/>
      <c r="L585" s="1912"/>
      <c r="M585" s="708" t="s">
        <v>2321</v>
      </c>
      <c r="N585" s="223"/>
      <c r="O585" s="706">
        <f t="shared" si="50"/>
        <v>0</v>
      </c>
    </row>
    <row r="586" spans="1:15" s="360" customFormat="1" ht="15" hidden="1">
      <c r="A586" s="356"/>
      <c r="B586" s="707" t="s">
        <v>2294</v>
      </c>
      <c r="C586" s="633">
        <f t="shared" ref="C586:C649" si="55">G586</f>
        <v>0</v>
      </c>
      <c r="D586" s="354"/>
      <c r="E586" s="15">
        <f t="shared" si="52"/>
        <v>4062</v>
      </c>
      <c r="F586" s="917">
        <f t="shared" si="51"/>
        <v>0</v>
      </c>
      <c r="G586" s="358">
        <f>WORK!I2496</f>
        <v>0</v>
      </c>
      <c r="H586" s="354" t="s">
        <v>102</v>
      </c>
      <c r="I586" s="355">
        <f>WORK!K2496</f>
        <v>4062</v>
      </c>
      <c r="J586" s="353">
        <f t="shared" ref="J586:J649" si="56">ROUND(G586*I586,2)</f>
        <v>0</v>
      </c>
      <c r="K586" s="1913"/>
      <c r="L586" s="1913"/>
      <c r="M586" s="708" t="s">
        <v>2322</v>
      </c>
      <c r="N586" s="223"/>
      <c r="O586" s="706">
        <f t="shared" si="50"/>
        <v>0</v>
      </c>
    </row>
    <row r="587" spans="1:15" s="360" customFormat="1" ht="15" hidden="1">
      <c r="A587" s="356" t="s">
        <v>1147</v>
      </c>
      <c r="B587" s="707" t="s">
        <v>712</v>
      </c>
      <c r="C587" s="633">
        <f t="shared" si="55"/>
        <v>0</v>
      </c>
      <c r="D587" s="354"/>
      <c r="E587" s="15">
        <f t="shared" si="52"/>
        <v>494.94</v>
      </c>
      <c r="F587" s="917">
        <f t="shared" si="51"/>
        <v>0</v>
      </c>
      <c r="G587" s="358">
        <f>WORK!I2091</f>
        <v>0</v>
      </c>
      <c r="H587" s="354" t="s">
        <v>115</v>
      </c>
      <c r="I587" s="355">
        <f>WORK!K2091</f>
        <v>494.94</v>
      </c>
      <c r="J587" s="353">
        <f t="shared" si="56"/>
        <v>0</v>
      </c>
      <c r="K587" s="1911">
        <f>IF((J587+J588+J589+J590)&gt;(F587+F588+F589+F590),(J587+J588+J589+J590)-(F587+F588+F589+F590),0)</f>
        <v>0</v>
      </c>
      <c r="L587" s="1911">
        <f>IF((J587+J588+J589+J590)&lt;(F587+F588+F589+F590),(F587+F588+F589+F590)-(J587+J588+J589+J590),0)</f>
        <v>0</v>
      </c>
      <c r="M587" s="708" t="s">
        <v>2226</v>
      </c>
      <c r="N587" s="223"/>
      <c r="O587" s="706">
        <f t="shared" si="50"/>
        <v>0</v>
      </c>
    </row>
    <row r="588" spans="1:15" s="360" customFormat="1" ht="15" hidden="1">
      <c r="A588" s="356" t="s">
        <v>1147</v>
      </c>
      <c r="B588" s="707" t="s">
        <v>712</v>
      </c>
      <c r="C588" s="633">
        <f t="shared" si="55"/>
        <v>0</v>
      </c>
      <c r="D588" s="354"/>
      <c r="E588" s="15">
        <f t="shared" si="52"/>
        <v>494.64</v>
      </c>
      <c r="F588" s="917">
        <f t="shared" si="51"/>
        <v>0</v>
      </c>
      <c r="G588" s="358">
        <f>WORK!I2232</f>
        <v>0</v>
      </c>
      <c r="H588" s="354" t="s">
        <v>115</v>
      </c>
      <c r="I588" s="355">
        <f>WORK!K2232</f>
        <v>494.64</v>
      </c>
      <c r="J588" s="353">
        <f t="shared" si="56"/>
        <v>0</v>
      </c>
      <c r="K588" s="1912"/>
      <c r="L588" s="1912"/>
      <c r="M588" s="708" t="s">
        <v>2308</v>
      </c>
      <c r="N588" s="223"/>
      <c r="O588" s="706">
        <f t="shared" si="50"/>
        <v>0</v>
      </c>
    </row>
    <row r="589" spans="1:15" s="360" customFormat="1" ht="15" hidden="1">
      <c r="A589" s="356" t="s">
        <v>1147</v>
      </c>
      <c r="B589" s="707" t="s">
        <v>712</v>
      </c>
      <c r="C589" s="633">
        <f t="shared" si="55"/>
        <v>0</v>
      </c>
      <c r="D589" s="354"/>
      <c r="E589" s="15">
        <f t="shared" si="52"/>
        <v>520.87</v>
      </c>
      <c r="F589" s="917">
        <f t="shared" si="51"/>
        <v>0</v>
      </c>
      <c r="G589" s="358">
        <f>WORK!I2367</f>
        <v>0</v>
      </c>
      <c r="H589" s="354" t="s">
        <v>115</v>
      </c>
      <c r="I589" s="355">
        <f>WORK!K2367</f>
        <v>520.87</v>
      </c>
      <c r="J589" s="353">
        <f t="shared" si="56"/>
        <v>0</v>
      </c>
      <c r="K589" s="1912"/>
      <c r="L589" s="1912"/>
      <c r="M589" s="708" t="s">
        <v>2321</v>
      </c>
      <c r="N589" s="223"/>
      <c r="O589" s="706">
        <f t="shared" ref="O589:O653" si="57">F589-J589</f>
        <v>0</v>
      </c>
    </row>
    <row r="590" spans="1:15" s="360" customFormat="1" ht="15" hidden="1">
      <c r="A590" s="356" t="s">
        <v>1147</v>
      </c>
      <c r="B590" s="707" t="s">
        <v>712</v>
      </c>
      <c r="C590" s="633">
        <f t="shared" si="55"/>
        <v>0</v>
      </c>
      <c r="D590" s="354"/>
      <c r="E590" s="15">
        <f t="shared" si="52"/>
        <v>576.98</v>
      </c>
      <c r="F590" s="917">
        <f t="shared" si="51"/>
        <v>0</v>
      </c>
      <c r="G590" s="358">
        <f>WORK!I2501</f>
        <v>0</v>
      </c>
      <c r="H590" s="354" t="s">
        <v>115</v>
      </c>
      <c r="I590" s="355">
        <f>WORK!K2501</f>
        <v>576.98</v>
      </c>
      <c r="J590" s="353">
        <f t="shared" si="56"/>
        <v>0</v>
      </c>
      <c r="K590" s="1913"/>
      <c r="L590" s="1913"/>
      <c r="M590" s="708" t="s">
        <v>2322</v>
      </c>
      <c r="N590" s="223"/>
      <c r="O590" s="706">
        <f t="shared" si="57"/>
        <v>0</v>
      </c>
    </row>
    <row r="591" spans="1:15" s="360" customFormat="1" ht="15">
      <c r="A591" s="356" t="s">
        <v>1516</v>
      </c>
      <c r="B591" s="707" t="s">
        <v>932</v>
      </c>
      <c r="C591" s="633">
        <f t="shared" si="55"/>
        <v>2.16</v>
      </c>
      <c r="D591" s="354" t="s">
        <v>102</v>
      </c>
      <c r="E591" s="10">
        <f t="shared" si="52"/>
        <v>513.1</v>
      </c>
      <c r="F591" s="917">
        <f t="shared" si="51"/>
        <v>1108</v>
      </c>
      <c r="G591" s="358">
        <f>WORK!I2096</f>
        <v>2.16</v>
      </c>
      <c r="H591" s="354" t="s">
        <v>102</v>
      </c>
      <c r="I591" s="355">
        <f>WORK!K2096</f>
        <v>513.1</v>
      </c>
      <c r="J591" s="353">
        <f t="shared" si="56"/>
        <v>1108.3</v>
      </c>
      <c r="K591" s="1911">
        <f>IF((J591+J592+J593+J594)&gt;(F591+F592+F593+F594),(J591+J592+J593+J594)-(F591+F592+F593+F594),0)</f>
        <v>0.29999999999995453</v>
      </c>
      <c r="L591" s="1911">
        <f>IF((J591+J592+J593+J594)&lt;(F591+F592+F593+F594),(F591+F592+F593+F594)-(J591+J592+J593+J594),0)</f>
        <v>0</v>
      </c>
      <c r="M591" s="1139" t="s">
        <v>2226</v>
      </c>
      <c r="N591" s="223"/>
      <c r="O591" s="1138">
        <f t="shared" si="57"/>
        <v>-0.29999999999995453</v>
      </c>
    </row>
    <row r="592" spans="1:15" s="360" customFormat="1" ht="15" hidden="1">
      <c r="A592" s="356" t="s">
        <v>1519</v>
      </c>
      <c r="B592" s="707" t="s">
        <v>932</v>
      </c>
      <c r="C592" s="633">
        <f t="shared" si="55"/>
        <v>0</v>
      </c>
      <c r="D592" s="354"/>
      <c r="E592" s="15">
        <f t="shared" si="52"/>
        <v>529.5</v>
      </c>
      <c r="F592" s="917">
        <f t="shared" si="51"/>
        <v>0</v>
      </c>
      <c r="G592" s="358">
        <f>WORK!I2237</f>
        <v>0</v>
      </c>
      <c r="H592" s="354" t="s">
        <v>102</v>
      </c>
      <c r="I592" s="355">
        <f>WORK!K2237</f>
        <v>529.5</v>
      </c>
      <c r="J592" s="353">
        <f t="shared" si="56"/>
        <v>0</v>
      </c>
      <c r="K592" s="1912"/>
      <c r="L592" s="1912"/>
      <c r="M592" s="708" t="s">
        <v>2308</v>
      </c>
      <c r="N592" s="223"/>
      <c r="O592" s="706">
        <f t="shared" si="57"/>
        <v>0</v>
      </c>
    </row>
    <row r="593" spans="1:15" s="360" customFormat="1" ht="15" hidden="1">
      <c r="A593" s="356" t="s">
        <v>501</v>
      </c>
      <c r="B593" s="707" t="s">
        <v>932</v>
      </c>
      <c r="C593" s="633">
        <f t="shared" si="55"/>
        <v>0</v>
      </c>
      <c r="D593" s="354" t="s">
        <v>102</v>
      </c>
      <c r="E593" s="15">
        <f t="shared" si="52"/>
        <v>554.35</v>
      </c>
      <c r="F593" s="917">
        <f t="shared" si="51"/>
        <v>0</v>
      </c>
      <c r="G593" s="358">
        <f>WORK!I2372</f>
        <v>0</v>
      </c>
      <c r="H593" s="354" t="s">
        <v>102</v>
      </c>
      <c r="I593" s="355">
        <f>WORK!K2372</f>
        <v>554.35</v>
      </c>
      <c r="J593" s="353">
        <f t="shared" si="56"/>
        <v>0</v>
      </c>
      <c r="K593" s="1912"/>
      <c r="L593" s="1912"/>
      <c r="M593" s="708" t="s">
        <v>2321</v>
      </c>
      <c r="N593" s="223"/>
      <c r="O593" s="706">
        <f t="shared" si="57"/>
        <v>0</v>
      </c>
    </row>
    <row r="594" spans="1:15" s="360" customFormat="1" ht="15" hidden="1">
      <c r="A594" s="356" t="s">
        <v>491</v>
      </c>
      <c r="B594" s="707" t="s">
        <v>932</v>
      </c>
      <c r="C594" s="633">
        <f t="shared" si="55"/>
        <v>0</v>
      </c>
      <c r="D594" s="354" t="s">
        <v>102</v>
      </c>
      <c r="E594" s="10">
        <f t="shared" si="52"/>
        <v>604.07999999999993</v>
      </c>
      <c r="F594" s="917">
        <f t="shared" si="51"/>
        <v>0</v>
      </c>
      <c r="G594" s="358">
        <f>WORK!I2506</f>
        <v>0</v>
      </c>
      <c r="H594" s="354" t="s">
        <v>102</v>
      </c>
      <c r="I594" s="355">
        <f>WORK!K2506</f>
        <v>604.07999999999993</v>
      </c>
      <c r="J594" s="353">
        <f t="shared" si="56"/>
        <v>0</v>
      </c>
      <c r="K594" s="1913"/>
      <c r="L594" s="1913"/>
      <c r="M594" s="1139" t="s">
        <v>2322</v>
      </c>
      <c r="N594" s="223"/>
      <c r="O594" s="1138">
        <f t="shared" si="57"/>
        <v>0</v>
      </c>
    </row>
    <row r="595" spans="1:15" s="360" customFormat="1" ht="51">
      <c r="A595" s="356" t="s">
        <v>492</v>
      </c>
      <c r="B595" s="707" t="s">
        <v>3303</v>
      </c>
      <c r="C595" s="633">
        <f t="shared" si="55"/>
        <v>385</v>
      </c>
      <c r="D595" s="354" t="s">
        <v>872</v>
      </c>
      <c r="E595" s="10">
        <f t="shared" si="52"/>
        <v>84.009999999999991</v>
      </c>
      <c r="F595" s="917">
        <f t="shared" si="51"/>
        <v>32344</v>
      </c>
      <c r="G595" s="358">
        <f>WORK!I2101</f>
        <v>385</v>
      </c>
      <c r="H595" s="354" t="s">
        <v>872</v>
      </c>
      <c r="I595" s="355">
        <f>WORK!K2101</f>
        <v>84.009999999999991</v>
      </c>
      <c r="J595" s="353">
        <f t="shared" si="56"/>
        <v>32343.85</v>
      </c>
      <c r="K595" s="1930">
        <f>IF((J595+J596+J597+J598)&gt;(F595+F596+F597+F598),(J595+J596+J597+J598)-(F595+F596+F597+F598),0)</f>
        <v>0</v>
      </c>
      <c r="L595" s="1930">
        <f>IF((J595+J596+J597+J598)&lt;(F595+F596+F597+F598),(F595+F596+F597+F598)-(J595+J596+J597+J598),0)</f>
        <v>0.15000000000145519</v>
      </c>
      <c r="M595" s="1139" t="s">
        <v>2226</v>
      </c>
      <c r="N595" s="223"/>
      <c r="O595" s="1138">
        <f t="shared" si="57"/>
        <v>0.15000000000145519</v>
      </c>
    </row>
    <row r="596" spans="1:15" s="360" customFormat="1" ht="51" hidden="1">
      <c r="A596" s="356" t="s">
        <v>502</v>
      </c>
      <c r="B596" s="707" t="s">
        <v>185</v>
      </c>
      <c r="C596" s="633">
        <f t="shared" si="55"/>
        <v>0</v>
      </c>
      <c r="D596" s="354" t="s">
        <v>872</v>
      </c>
      <c r="E596" s="15">
        <f t="shared" si="52"/>
        <v>82.8</v>
      </c>
      <c r="F596" s="917">
        <f t="shared" si="51"/>
        <v>0</v>
      </c>
      <c r="G596" s="358">
        <f>WORK!I2242</f>
        <v>0</v>
      </c>
      <c r="H596" s="354" t="s">
        <v>872</v>
      </c>
      <c r="I596" s="355">
        <f>WORK!K2242</f>
        <v>82.8</v>
      </c>
      <c r="J596" s="353">
        <f t="shared" si="56"/>
        <v>0</v>
      </c>
      <c r="K596" s="1912"/>
      <c r="L596" s="1912"/>
      <c r="M596" s="708" t="s">
        <v>2308</v>
      </c>
      <c r="N596" s="223"/>
      <c r="O596" s="706">
        <f t="shared" si="57"/>
        <v>0</v>
      </c>
    </row>
    <row r="597" spans="1:15" s="360" customFormat="1" ht="15" hidden="1">
      <c r="A597" s="356" t="s">
        <v>500</v>
      </c>
      <c r="B597" s="707" t="s">
        <v>542</v>
      </c>
      <c r="C597" s="633">
        <f t="shared" si="55"/>
        <v>0</v>
      </c>
      <c r="D597" s="354"/>
      <c r="E597" s="15">
        <f t="shared" si="52"/>
        <v>95.89</v>
      </c>
      <c r="F597" s="917">
        <f t="shared" si="51"/>
        <v>0</v>
      </c>
      <c r="G597" s="358">
        <f>WORK!I2377</f>
        <v>0</v>
      </c>
      <c r="H597" s="354" t="s">
        <v>872</v>
      </c>
      <c r="I597" s="355">
        <f>WORK!K2377</f>
        <v>95.89</v>
      </c>
      <c r="J597" s="353">
        <f t="shared" si="56"/>
        <v>0</v>
      </c>
      <c r="K597" s="1912"/>
      <c r="L597" s="1912"/>
      <c r="M597" s="708" t="s">
        <v>2321</v>
      </c>
      <c r="N597" s="223"/>
      <c r="O597" s="706">
        <f t="shared" si="57"/>
        <v>0</v>
      </c>
    </row>
    <row r="598" spans="1:15" s="360" customFormat="1" ht="51" hidden="1">
      <c r="A598" s="356" t="s">
        <v>1516</v>
      </c>
      <c r="B598" s="707" t="s">
        <v>3303</v>
      </c>
      <c r="C598" s="633">
        <f t="shared" si="55"/>
        <v>0</v>
      </c>
      <c r="D598" s="354" t="s">
        <v>872</v>
      </c>
      <c r="E598" s="10">
        <f t="shared" si="52"/>
        <v>110.99</v>
      </c>
      <c r="F598" s="917">
        <f t="shared" si="51"/>
        <v>0</v>
      </c>
      <c r="G598" s="358">
        <f>WORK!I2511</f>
        <v>0</v>
      </c>
      <c r="H598" s="354" t="s">
        <v>872</v>
      </c>
      <c r="I598" s="355">
        <f>WORK!K2511</f>
        <v>110.99</v>
      </c>
      <c r="J598" s="353">
        <f t="shared" si="56"/>
        <v>0</v>
      </c>
      <c r="K598" s="1927"/>
      <c r="L598" s="1927"/>
      <c r="M598" s="1139" t="s">
        <v>2322</v>
      </c>
      <c r="N598" s="223"/>
      <c r="O598" s="1138">
        <f t="shared" si="57"/>
        <v>0</v>
      </c>
    </row>
    <row r="599" spans="1:15" s="360" customFormat="1" ht="15" hidden="1">
      <c r="A599" s="356" t="s">
        <v>1594</v>
      </c>
      <c r="B599" s="707" t="s">
        <v>542</v>
      </c>
      <c r="C599" s="633">
        <f t="shared" si="55"/>
        <v>0</v>
      </c>
      <c r="D599" s="354"/>
      <c r="E599" s="15">
        <f t="shared" si="52"/>
        <v>2353.58</v>
      </c>
      <c r="F599" s="917">
        <f t="shared" si="51"/>
        <v>0</v>
      </c>
      <c r="G599" s="358">
        <f>WORK!I2108</f>
        <v>0</v>
      </c>
      <c r="H599" s="354" t="s">
        <v>102</v>
      </c>
      <c r="I599" s="355">
        <f>WORK!K2108</f>
        <v>2353.58</v>
      </c>
      <c r="J599" s="353">
        <f t="shared" si="56"/>
        <v>0</v>
      </c>
      <c r="K599" s="1911">
        <f>IF((J599+J600+J601+J602)&gt;(F599+F600+F601+F602),(J599+J600+J601+J602)-(F599+F600+F601+F602),0)</f>
        <v>0</v>
      </c>
      <c r="L599" s="1911">
        <f>IF((J599+J600+J601+J602)&lt;(F599+F600+F601+F602),(F599+F600+F601+F602)-(J599+J600+J601+J602),0)</f>
        <v>0</v>
      </c>
      <c r="M599" s="708" t="s">
        <v>2226</v>
      </c>
      <c r="N599" s="223"/>
      <c r="O599" s="706">
        <f t="shared" si="57"/>
        <v>0</v>
      </c>
    </row>
    <row r="600" spans="1:15" s="360" customFormat="1" ht="15" hidden="1">
      <c r="A600" s="356" t="s">
        <v>1518</v>
      </c>
      <c r="B600" s="707" t="s">
        <v>542</v>
      </c>
      <c r="C600" s="633">
        <f t="shared" si="55"/>
        <v>0</v>
      </c>
      <c r="D600" s="354"/>
      <c r="E600" s="15">
        <f t="shared" si="52"/>
        <v>2324.02</v>
      </c>
      <c r="F600" s="917">
        <f t="shared" si="51"/>
        <v>0</v>
      </c>
      <c r="G600" s="358">
        <f>WORK!I2247</f>
        <v>0</v>
      </c>
      <c r="H600" s="354" t="s">
        <v>102</v>
      </c>
      <c r="I600" s="355">
        <f>WORK!K2247</f>
        <v>2324.02</v>
      </c>
      <c r="J600" s="353">
        <f t="shared" si="56"/>
        <v>0</v>
      </c>
      <c r="K600" s="1912"/>
      <c r="L600" s="1912"/>
      <c r="M600" s="708" t="s">
        <v>2308</v>
      </c>
      <c r="N600" s="223"/>
      <c r="O600" s="706">
        <f t="shared" si="57"/>
        <v>0</v>
      </c>
    </row>
    <row r="601" spans="1:15" s="360" customFormat="1" ht="15" hidden="1">
      <c r="A601" s="356" t="s">
        <v>1522</v>
      </c>
      <c r="B601" s="707" t="s">
        <v>542</v>
      </c>
      <c r="C601" s="633">
        <f t="shared" si="55"/>
        <v>0</v>
      </c>
      <c r="D601" s="354"/>
      <c r="E601" s="15">
        <f t="shared" si="52"/>
        <v>2719.44</v>
      </c>
      <c r="F601" s="917">
        <f t="shared" si="51"/>
        <v>0</v>
      </c>
      <c r="G601" s="358">
        <f>WORK!I2382</f>
        <v>0</v>
      </c>
      <c r="H601" s="354" t="s">
        <v>102</v>
      </c>
      <c r="I601" s="355">
        <f>WORK!K2382</f>
        <v>2719.44</v>
      </c>
      <c r="J601" s="353">
        <f t="shared" si="56"/>
        <v>0</v>
      </c>
      <c r="K601" s="1912"/>
      <c r="L601" s="1912"/>
      <c r="M601" s="708" t="s">
        <v>2321</v>
      </c>
      <c r="N601" s="223"/>
      <c r="O601" s="706">
        <f t="shared" si="57"/>
        <v>0</v>
      </c>
    </row>
    <row r="602" spans="1:15" s="360" customFormat="1" ht="15" hidden="1">
      <c r="A602" s="356" t="s">
        <v>1594</v>
      </c>
      <c r="B602" s="707" t="s">
        <v>542</v>
      </c>
      <c r="C602" s="633">
        <f t="shared" si="55"/>
        <v>0</v>
      </c>
      <c r="D602" s="354"/>
      <c r="E602" s="15">
        <f t="shared" si="52"/>
        <v>3138.49</v>
      </c>
      <c r="F602" s="917">
        <f t="shared" si="51"/>
        <v>0</v>
      </c>
      <c r="G602" s="358">
        <f>WORK!I2518</f>
        <v>0</v>
      </c>
      <c r="H602" s="354" t="s">
        <v>102</v>
      </c>
      <c r="I602" s="355">
        <f>WORK!K2518</f>
        <v>3138.49</v>
      </c>
      <c r="J602" s="353">
        <f t="shared" si="56"/>
        <v>0</v>
      </c>
      <c r="K602" s="1913"/>
      <c r="L602" s="1913"/>
      <c r="M602" s="708" t="s">
        <v>2322</v>
      </c>
      <c r="N602" s="223"/>
      <c r="O602" s="706">
        <f t="shared" si="57"/>
        <v>0</v>
      </c>
    </row>
    <row r="603" spans="1:15" s="360" customFormat="1" ht="15" hidden="1">
      <c r="A603" s="356" t="s">
        <v>518</v>
      </c>
      <c r="B603" s="707" t="s">
        <v>632</v>
      </c>
      <c r="C603" s="633">
        <f t="shared" si="55"/>
        <v>0</v>
      </c>
      <c r="D603" s="354"/>
      <c r="E603" s="15">
        <f t="shared" si="52"/>
        <v>106.5</v>
      </c>
      <c r="F603" s="917">
        <f t="shared" si="51"/>
        <v>0</v>
      </c>
      <c r="G603" s="358">
        <f>WORK!I2113</f>
        <v>0</v>
      </c>
      <c r="H603" s="354"/>
      <c r="I603" s="355">
        <f>WORK!K2113</f>
        <v>106.5</v>
      </c>
      <c r="J603" s="353">
        <f t="shared" si="56"/>
        <v>0</v>
      </c>
      <c r="K603" s="1911">
        <f>IF((J603+J604+J605+J606)&gt;(F603+F604+F605+F606),(J603+J604+J605+J606)-(F603+F604+F605+F606),0)</f>
        <v>0</v>
      </c>
      <c r="L603" s="1911">
        <f>IF((J603+J604+J605+J606)&lt;(F603+F604+F605+F606),(F603+F604+F605+F606)-(J603+J604+J605+J606),0)</f>
        <v>0</v>
      </c>
      <c r="M603" s="708" t="s">
        <v>2226</v>
      </c>
      <c r="N603" s="223"/>
      <c r="O603" s="706">
        <f t="shared" si="57"/>
        <v>0</v>
      </c>
    </row>
    <row r="604" spans="1:15" s="360" customFormat="1" ht="15" hidden="1">
      <c r="A604" s="356" t="s">
        <v>518</v>
      </c>
      <c r="B604" s="707" t="s">
        <v>632</v>
      </c>
      <c r="C604" s="633">
        <f t="shared" si="55"/>
        <v>0</v>
      </c>
      <c r="D604" s="354"/>
      <c r="E604" s="15">
        <f t="shared" si="52"/>
        <v>106.5</v>
      </c>
      <c r="F604" s="917">
        <f t="shared" si="51"/>
        <v>0</v>
      </c>
      <c r="G604" s="358">
        <f>WORK!I2252</f>
        <v>0</v>
      </c>
      <c r="H604" s="354"/>
      <c r="I604" s="355">
        <f>WORK!K2252</f>
        <v>106.5</v>
      </c>
      <c r="J604" s="353">
        <f t="shared" si="56"/>
        <v>0</v>
      </c>
      <c r="K604" s="1912"/>
      <c r="L604" s="1912"/>
      <c r="M604" s="708" t="s">
        <v>2308</v>
      </c>
      <c r="N604" s="223"/>
      <c r="O604" s="706">
        <f t="shared" si="57"/>
        <v>0</v>
      </c>
    </row>
    <row r="605" spans="1:15" s="360" customFormat="1" ht="15" hidden="1">
      <c r="A605" s="356" t="s">
        <v>518</v>
      </c>
      <c r="B605" s="707" t="s">
        <v>632</v>
      </c>
      <c r="C605" s="633">
        <f t="shared" si="55"/>
        <v>0</v>
      </c>
      <c r="D605" s="354"/>
      <c r="E605" s="15">
        <f t="shared" si="52"/>
        <v>114.65</v>
      </c>
      <c r="F605" s="917">
        <f t="shared" si="51"/>
        <v>0</v>
      </c>
      <c r="G605" s="358">
        <f>WORK!I2387</f>
        <v>0</v>
      </c>
      <c r="H605" s="354"/>
      <c r="I605" s="355">
        <f>WORK!K2387</f>
        <v>114.65</v>
      </c>
      <c r="J605" s="353">
        <f t="shared" si="56"/>
        <v>0</v>
      </c>
      <c r="K605" s="1912"/>
      <c r="L605" s="1912"/>
      <c r="M605" s="708" t="s">
        <v>2321</v>
      </c>
      <c r="N605" s="223"/>
      <c r="O605" s="706">
        <f t="shared" si="57"/>
        <v>0</v>
      </c>
    </row>
    <row r="606" spans="1:15" s="360" customFormat="1" ht="15" hidden="1">
      <c r="A606" s="356" t="s">
        <v>518</v>
      </c>
      <c r="B606" s="707" t="s">
        <v>632</v>
      </c>
      <c r="C606" s="633">
        <f t="shared" si="55"/>
        <v>0</v>
      </c>
      <c r="D606" s="354"/>
      <c r="E606" s="15">
        <f t="shared" si="52"/>
        <v>126.9</v>
      </c>
      <c r="F606" s="917">
        <f t="shared" si="51"/>
        <v>0</v>
      </c>
      <c r="G606" s="358">
        <f>WORK!I2523</f>
        <v>0</v>
      </c>
      <c r="H606" s="354"/>
      <c r="I606" s="355">
        <f>WORK!K2523</f>
        <v>126.9</v>
      </c>
      <c r="J606" s="353">
        <f t="shared" si="56"/>
        <v>0</v>
      </c>
      <c r="K606" s="1913"/>
      <c r="L606" s="1913"/>
      <c r="M606" s="708" t="s">
        <v>2322</v>
      </c>
      <c r="N606" s="223"/>
      <c r="O606" s="706">
        <f t="shared" si="57"/>
        <v>0</v>
      </c>
    </row>
    <row r="607" spans="1:15" s="360" customFormat="1" ht="15">
      <c r="A607" s="356" t="s">
        <v>493</v>
      </c>
      <c r="B607" s="707" t="s">
        <v>2007</v>
      </c>
      <c r="C607" s="633">
        <f t="shared" si="55"/>
        <v>10.98</v>
      </c>
      <c r="D607" s="354" t="s">
        <v>102</v>
      </c>
      <c r="E607" s="10">
        <f t="shared" si="52"/>
        <v>2839.34</v>
      </c>
      <c r="F607" s="917">
        <f t="shared" si="51"/>
        <v>31176</v>
      </c>
      <c r="G607" s="358">
        <f>WORK!I2120</f>
        <v>10.98</v>
      </c>
      <c r="H607" s="354" t="s">
        <v>102</v>
      </c>
      <c r="I607" s="355">
        <f>WORK!K2120</f>
        <v>2839.34</v>
      </c>
      <c r="J607" s="353">
        <f t="shared" si="56"/>
        <v>31175.95</v>
      </c>
      <c r="K607" s="1911">
        <f>IF((J607+J608+J609+J610)&gt;(F607+F608+F609+F610),(J607+J608+J609+J610)-(F607+F608+F609+F610),0)</f>
        <v>0</v>
      </c>
      <c r="L607" s="1911">
        <f>IF((J607+J608+J609+J610)&lt;(F607+F608+F609+F610),(F607+F608+F609+F610)-(J607+J608+J609+J610),0)</f>
        <v>4.9999999999272404E-2</v>
      </c>
      <c r="M607" s="1139" t="s">
        <v>2226</v>
      </c>
      <c r="N607" s="223"/>
      <c r="O607" s="1138">
        <f t="shared" si="57"/>
        <v>4.9999999999272404E-2</v>
      </c>
    </row>
    <row r="608" spans="1:15" s="360" customFormat="1" ht="15" hidden="1">
      <c r="A608" s="356" t="s">
        <v>1153</v>
      </c>
      <c r="B608" s="707" t="s">
        <v>2007</v>
      </c>
      <c r="C608" s="633">
        <f t="shared" si="55"/>
        <v>0</v>
      </c>
      <c r="D608" s="354"/>
      <c r="E608" s="15">
        <f t="shared" si="52"/>
        <v>2839.34</v>
      </c>
      <c r="F608" s="917">
        <f t="shared" si="51"/>
        <v>0</v>
      </c>
      <c r="G608" s="358">
        <f>WORK!I2259</f>
        <v>0</v>
      </c>
      <c r="H608" s="354" t="s">
        <v>102</v>
      </c>
      <c r="I608" s="355">
        <f>WORK!K2259</f>
        <v>2839.34</v>
      </c>
      <c r="J608" s="353">
        <f t="shared" si="56"/>
        <v>0</v>
      </c>
      <c r="K608" s="1912"/>
      <c r="L608" s="1912"/>
      <c r="M608" s="708" t="s">
        <v>2308</v>
      </c>
      <c r="N608" s="223"/>
      <c r="O608" s="706">
        <f t="shared" si="57"/>
        <v>0</v>
      </c>
    </row>
    <row r="609" spans="1:15" s="360" customFormat="1" ht="15" hidden="1">
      <c r="A609" s="356" t="s">
        <v>501</v>
      </c>
      <c r="B609" s="707" t="s">
        <v>2007</v>
      </c>
      <c r="C609" s="633">
        <f t="shared" si="55"/>
        <v>0</v>
      </c>
      <c r="D609" s="354" t="s">
        <v>102</v>
      </c>
      <c r="E609" s="15">
        <f t="shared" si="52"/>
        <v>3034.69</v>
      </c>
      <c r="F609" s="917">
        <f t="shared" si="51"/>
        <v>0</v>
      </c>
      <c r="G609" s="358">
        <f>WORK!I2394</f>
        <v>0</v>
      </c>
      <c r="H609" s="354" t="s">
        <v>102</v>
      </c>
      <c r="I609" s="355">
        <f>WORK!K2394</f>
        <v>3034.69</v>
      </c>
      <c r="J609" s="353">
        <f t="shared" si="56"/>
        <v>0</v>
      </c>
      <c r="K609" s="1912"/>
      <c r="L609" s="1912"/>
      <c r="M609" s="708" t="s">
        <v>2321</v>
      </c>
      <c r="N609" s="223"/>
      <c r="O609" s="706">
        <f t="shared" si="57"/>
        <v>0</v>
      </c>
    </row>
    <row r="610" spans="1:15" s="360" customFormat="1" ht="38.25" hidden="1">
      <c r="A610" s="356" t="s">
        <v>524</v>
      </c>
      <c r="B610" s="707" t="s">
        <v>3304</v>
      </c>
      <c r="C610" s="633">
        <f t="shared" si="55"/>
        <v>0</v>
      </c>
      <c r="D610" s="354"/>
      <c r="E610" s="10">
        <f t="shared" si="52"/>
        <v>3345.94</v>
      </c>
      <c r="F610" s="917">
        <f t="shared" si="51"/>
        <v>0</v>
      </c>
      <c r="G610" s="358">
        <f>WORK!I2533</f>
        <v>0</v>
      </c>
      <c r="H610" s="354" t="s">
        <v>102</v>
      </c>
      <c r="I610" s="355">
        <f>WORK!K2533</f>
        <v>3345.94</v>
      </c>
      <c r="J610" s="353">
        <f t="shared" si="56"/>
        <v>0</v>
      </c>
      <c r="K610" s="1927"/>
      <c r="L610" s="1927"/>
      <c r="M610" s="1139" t="s">
        <v>2322</v>
      </c>
      <c r="N610" s="223"/>
      <c r="O610" s="1138">
        <f t="shared" si="57"/>
        <v>0</v>
      </c>
    </row>
    <row r="611" spans="1:15" s="360" customFormat="1" ht="15" hidden="1">
      <c r="A611" s="356" t="s">
        <v>642</v>
      </c>
      <c r="B611" s="707" t="s">
        <v>2083</v>
      </c>
      <c r="C611" s="633">
        <f t="shared" si="55"/>
        <v>0</v>
      </c>
      <c r="D611" s="354"/>
      <c r="E611" s="15">
        <f t="shared" si="52"/>
        <v>1258.8900000000001</v>
      </c>
      <c r="F611" s="917">
        <f t="shared" si="51"/>
        <v>0</v>
      </c>
      <c r="G611" s="358">
        <f>WORK!I2128</f>
        <v>0</v>
      </c>
      <c r="H611" s="354" t="s">
        <v>102</v>
      </c>
      <c r="I611" s="355">
        <f>WORK!K2128</f>
        <v>1258.8900000000001</v>
      </c>
      <c r="J611" s="353">
        <f t="shared" si="56"/>
        <v>0</v>
      </c>
      <c r="K611" s="1911">
        <f>IF((J611+J612+J613+J614)&gt;(F611+F612+F613+F614),(J611+J612+J613+J614)-(F611+F612+F613+F614),0)</f>
        <v>0</v>
      </c>
      <c r="L611" s="1911">
        <f>IF((J611+J612+J613+J614)&lt;(F611+F612+F613+F614),(F611+F612+F613+F614)-(J611+J612+J613+J614),0)</f>
        <v>0</v>
      </c>
      <c r="M611" s="708" t="s">
        <v>2226</v>
      </c>
      <c r="N611" s="223"/>
      <c r="O611" s="706">
        <f t="shared" si="57"/>
        <v>0</v>
      </c>
    </row>
    <row r="612" spans="1:15" s="360" customFormat="1" ht="15" hidden="1">
      <c r="A612" s="356" t="s">
        <v>642</v>
      </c>
      <c r="B612" s="707" t="s">
        <v>2083</v>
      </c>
      <c r="C612" s="633">
        <f t="shared" si="55"/>
        <v>0</v>
      </c>
      <c r="D612" s="354"/>
      <c r="E612" s="15">
        <f t="shared" si="52"/>
        <v>1258.8900000000001</v>
      </c>
      <c r="F612" s="917">
        <f t="shared" si="51"/>
        <v>0</v>
      </c>
      <c r="G612" s="358">
        <f>WORK!I2267</f>
        <v>0</v>
      </c>
      <c r="H612" s="354" t="s">
        <v>102</v>
      </c>
      <c r="I612" s="355">
        <f>WORK!K2267</f>
        <v>1258.8900000000001</v>
      </c>
      <c r="J612" s="353">
        <f t="shared" si="56"/>
        <v>0</v>
      </c>
      <c r="K612" s="1912"/>
      <c r="L612" s="1912"/>
      <c r="M612" s="708" t="s">
        <v>2308</v>
      </c>
      <c r="N612" s="223"/>
      <c r="O612" s="706">
        <f t="shared" si="57"/>
        <v>0</v>
      </c>
    </row>
    <row r="613" spans="1:15" s="360" customFormat="1" ht="15" hidden="1">
      <c r="A613" s="356" t="s">
        <v>642</v>
      </c>
      <c r="B613" s="707" t="s">
        <v>2083</v>
      </c>
      <c r="C613" s="633">
        <f t="shared" si="55"/>
        <v>0</v>
      </c>
      <c r="D613" s="354"/>
      <c r="E613" s="15">
        <f t="shared" si="52"/>
        <v>1357.37</v>
      </c>
      <c r="F613" s="917">
        <f t="shared" si="51"/>
        <v>0</v>
      </c>
      <c r="G613" s="358">
        <f>WORK!I2402</f>
        <v>0</v>
      </c>
      <c r="H613" s="354" t="s">
        <v>102</v>
      </c>
      <c r="I613" s="355">
        <f>WORK!K2402</f>
        <v>1357.37</v>
      </c>
      <c r="J613" s="353">
        <f t="shared" si="56"/>
        <v>0</v>
      </c>
      <c r="K613" s="1912"/>
      <c r="L613" s="1912"/>
      <c r="M613" s="708" t="s">
        <v>2321</v>
      </c>
      <c r="N613" s="223"/>
      <c r="O613" s="706">
        <f t="shared" si="57"/>
        <v>0</v>
      </c>
    </row>
    <row r="614" spans="1:15" s="360" customFormat="1" ht="15" hidden="1">
      <c r="A614" s="356" t="s">
        <v>642</v>
      </c>
      <c r="B614" s="707" t="s">
        <v>2083</v>
      </c>
      <c r="C614" s="633">
        <f t="shared" si="55"/>
        <v>0</v>
      </c>
      <c r="D614" s="354"/>
      <c r="E614" s="15">
        <f t="shared" si="52"/>
        <v>1514.34</v>
      </c>
      <c r="F614" s="917">
        <f t="shared" si="51"/>
        <v>0</v>
      </c>
      <c r="G614" s="358">
        <f>WORK!I2541</f>
        <v>0</v>
      </c>
      <c r="H614" s="354" t="s">
        <v>102</v>
      </c>
      <c r="I614" s="355">
        <f>WORK!K2541</f>
        <v>1514.34</v>
      </c>
      <c r="J614" s="353">
        <f t="shared" si="56"/>
        <v>0</v>
      </c>
      <c r="K614" s="1913"/>
      <c r="L614" s="1913"/>
      <c r="M614" s="708" t="s">
        <v>2322</v>
      </c>
      <c r="N614" s="223"/>
      <c r="O614" s="706">
        <f t="shared" si="57"/>
        <v>0</v>
      </c>
    </row>
    <row r="615" spans="1:15" s="360" customFormat="1" ht="15" hidden="1">
      <c r="A615" s="356" t="s">
        <v>642</v>
      </c>
      <c r="B615" s="707" t="s">
        <v>2297</v>
      </c>
      <c r="C615" s="633">
        <f t="shared" si="55"/>
        <v>0</v>
      </c>
      <c r="D615" s="354"/>
      <c r="E615" s="15">
        <f t="shared" si="52"/>
        <v>470.28</v>
      </c>
      <c r="F615" s="917">
        <f t="shared" si="51"/>
        <v>0</v>
      </c>
      <c r="G615" s="358">
        <f>WORK!I2133</f>
        <v>0</v>
      </c>
      <c r="H615" s="354" t="s">
        <v>872</v>
      </c>
      <c r="I615" s="355">
        <f>WORK!K2133</f>
        <v>470.28</v>
      </c>
      <c r="J615" s="353">
        <f t="shared" si="56"/>
        <v>0</v>
      </c>
      <c r="K615" s="1911">
        <f>IF((J615+J616+J617+J618)&gt;(F615+F616+F617+F618),(J615+J616+J617+J618)-(F615+F616+F617+F618),0)</f>
        <v>0</v>
      </c>
      <c r="L615" s="1911">
        <f>IF((J615+J616+J617+J618)&lt;(F615+F616+F617+F618),(F615+F616+F617+F618)-(J615+J616+J617+J618),0)</f>
        <v>0</v>
      </c>
      <c r="M615" s="708" t="s">
        <v>2226</v>
      </c>
      <c r="N615" s="223"/>
      <c r="O615" s="706">
        <f t="shared" si="57"/>
        <v>0</v>
      </c>
    </row>
    <row r="616" spans="1:15" s="360" customFormat="1" ht="15" hidden="1">
      <c r="A616" s="356" t="s">
        <v>642</v>
      </c>
      <c r="B616" s="707" t="s">
        <v>2297</v>
      </c>
      <c r="C616" s="633">
        <f t="shared" si="55"/>
        <v>0</v>
      </c>
      <c r="D616" s="354"/>
      <c r="E616" s="15">
        <f t="shared" si="52"/>
        <v>470.28</v>
      </c>
      <c r="F616" s="917">
        <f t="shared" si="51"/>
        <v>0</v>
      </c>
      <c r="G616" s="358">
        <f>WORK!I2272</f>
        <v>0</v>
      </c>
      <c r="H616" s="354" t="s">
        <v>872</v>
      </c>
      <c r="I616" s="355">
        <f>WORK!K2272</f>
        <v>470.28</v>
      </c>
      <c r="J616" s="353">
        <f t="shared" si="56"/>
        <v>0</v>
      </c>
      <c r="K616" s="1912"/>
      <c r="L616" s="1912"/>
      <c r="M616" s="708" t="s">
        <v>2308</v>
      </c>
      <c r="N616" s="223"/>
      <c r="O616" s="706">
        <f t="shared" si="57"/>
        <v>0</v>
      </c>
    </row>
    <row r="617" spans="1:15" s="360" customFormat="1" ht="15" hidden="1">
      <c r="A617" s="356" t="s">
        <v>642</v>
      </c>
      <c r="B617" s="707" t="s">
        <v>2297</v>
      </c>
      <c r="C617" s="633">
        <f t="shared" si="55"/>
        <v>0</v>
      </c>
      <c r="D617" s="354"/>
      <c r="E617" s="15">
        <f t="shared" si="52"/>
        <v>508</v>
      </c>
      <c r="F617" s="917">
        <f t="shared" si="51"/>
        <v>0</v>
      </c>
      <c r="G617" s="358">
        <f>WORK!I2407</f>
        <v>0</v>
      </c>
      <c r="H617" s="354" t="s">
        <v>872</v>
      </c>
      <c r="I617" s="355">
        <f>WORK!K2407</f>
        <v>508</v>
      </c>
      <c r="J617" s="353">
        <f t="shared" si="56"/>
        <v>0</v>
      </c>
      <c r="K617" s="1912"/>
      <c r="L617" s="1912"/>
      <c r="M617" s="708" t="s">
        <v>2321</v>
      </c>
      <c r="N617" s="223"/>
      <c r="O617" s="706">
        <f t="shared" si="57"/>
        <v>0</v>
      </c>
    </row>
    <row r="618" spans="1:15" s="360" customFormat="1" ht="15" hidden="1">
      <c r="A618" s="356" t="s">
        <v>642</v>
      </c>
      <c r="B618" s="707" t="s">
        <v>2297</v>
      </c>
      <c r="C618" s="633">
        <f t="shared" si="55"/>
        <v>0</v>
      </c>
      <c r="D618" s="354"/>
      <c r="E618" s="15">
        <f t="shared" si="52"/>
        <v>568.35</v>
      </c>
      <c r="F618" s="917">
        <f t="shared" si="51"/>
        <v>0</v>
      </c>
      <c r="G618" s="358">
        <f>WORK!I2546</f>
        <v>0</v>
      </c>
      <c r="H618" s="354" t="s">
        <v>872</v>
      </c>
      <c r="I618" s="355">
        <f>WORK!K2546</f>
        <v>568.35</v>
      </c>
      <c r="J618" s="353">
        <f t="shared" si="56"/>
        <v>0</v>
      </c>
      <c r="K618" s="1913"/>
      <c r="L618" s="1913"/>
      <c r="M618" s="708" t="s">
        <v>2322</v>
      </c>
      <c r="N618" s="223"/>
      <c r="O618" s="706">
        <f t="shared" si="57"/>
        <v>0</v>
      </c>
    </row>
    <row r="619" spans="1:15" s="360" customFormat="1" ht="15">
      <c r="A619" s="356" t="s">
        <v>494</v>
      </c>
      <c r="B619" s="707" t="s">
        <v>962</v>
      </c>
      <c r="C619" s="633">
        <f t="shared" si="55"/>
        <v>10.5</v>
      </c>
      <c r="D619" s="221" t="s">
        <v>277</v>
      </c>
      <c r="E619" s="10">
        <f t="shared" si="52"/>
        <v>412</v>
      </c>
      <c r="F619" s="917">
        <f t="shared" si="51"/>
        <v>4326</v>
      </c>
      <c r="G619" s="429">
        <f>WORK!I2138</f>
        <v>10.5</v>
      </c>
      <c r="H619" s="221" t="s">
        <v>277</v>
      </c>
      <c r="I619" s="430">
        <f>WORK!K2138</f>
        <v>412</v>
      </c>
      <c r="J619" s="353">
        <f t="shared" si="56"/>
        <v>4326</v>
      </c>
      <c r="K619" s="1911">
        <f>IF((J619+J620+J621+J622)&gt;(F619+F620+F621+F622),(J619+J620+J621+J622)-(F619+F620+F621+F622),0)</f>
        <v>0</v>
      </c>
      <c r="L619" s="1911">
        <f>IF((J619+J620+J621+J622)&lt;(F619+F620+F621+F622),(F619+F620+F621+F622)-(J619+J620+J621+J622),0)</f>
        <v>0</v>
      </c>
      <c r="M619" s="1139" t="s">
        <v>2226</v>
      </c>
      <c r="N619" s="223"/>
      <c r="O619" s="1138">
        <f t="shared" si="57"/>
        <v>0</v>
      </c>
    </row>
    <row r="620" spans="1:15" s="360" customFormat="1" ht="15" hidden="1">
      <c r="A620" s="356" t="s">
        <v>1151</v>
      </c>
      <c r="B620" s="707" t="s">
        <v>962</v>
      </c>
      <c r="C620" s="633">
        <f t="shared" si="55"/>
        <v>0</v>
      </c>
      <c r="D620" s="221"/>
      <c r="E620" s="15">
        <f t="shared" si="52"/>
        <v>412</v>
      </c>
      <c r="F620" s="917">
        <f t="shared" si="51"/>
        <v>0</v>
      </c>
      <c r="G620" s="429">
        <f>WORK!I2280</f>
        <v>0</v>
      </c>
      <c r="H620" s="221" t="s">
        <v>277</v>
      </c>
      <c r="I620" s="430">
        <f>WORK!K2280</f>
        <v>412</v>
      </c>
      <c r="J620" s="353">
        <f t="shared" si="56"/>
        <v>0</v>
      </c>
      <c r="K620" s="1912"/>
      <c r="L620" s="1912"/>
      <c r="M620" s="708" t="s">
        <v>2308</v>
      </c>
      <c r="N620" s="223"/>
      <c r="O620" s="706">
        <f t="shared" si="57"/>
        <v>0</v>
      </c>
    </row>
    <row r="621" spans="1:15" s="360" customFormat="1" ht="15" hidden="1">
      <c r="A621" s="356" t="s">
        <v>504</v>
      </c>
      <c r="B621" s="707" t="s">
        <v>962</v>
      </c>
      <c r="C621" s="633">
        <f t="shared" si="55"/>
        <v>0</v>
      </c>
      <c r="D621" s="221" t="s">
        <v>277</v>
      </c>
      <c r="E621" s="15">
        <f t="shared" si="52"/>
        <v>438</v>
      </c>
      <c r="F621" s="917">
        <f t="shared" si="51"/>
        <v>0</v>
      </c>
      <c r="G621" s="429">
        <f>WORK!I2415</f>
        <v>0</v>
      </c>
      <c r="H621" s="221" t="s">
        <v>277</v>
      </c>
      <c r="I621" s="430">
        <f>WORK!K2415</f>
        <v>438</v>
      </c>
      <c r="J621" s="353">
        <f t="shared" si="56"/>
        <v>0</v>
      </c>
      <c r="K621" s="1912"/>
      <c r="L621" s="1912"/>
      <c r="M621" s="708" t="s">
        <v>2321</v>
      </c>
      <c r="N621" s="223"/>
      <c r="O621" s="706">
        <f t="shared" si="57"/>
        <v>0</v>
      </c>
    </row>
    <row r="622" spans="1:15" s="360" customFormat="1" ht="15" hidden="1">
      <c r="A622" s="356" t="s">
        <v>1151</v>
      </c>
      <c r="B622" s="707" t="s">
        <v>962</v>
      </c>
      <c r="C622" s="633">
        <f t="shared" si="55"/>
        <v>0</v>
      </c>
      <c r="D622" s="221"/>
      <c r="E622" s="15">
        <f t="shared" si="52"/>
        <v>453</v>
      </c>
      <c r="F622" s="917">
        <f t="shared" si="51"/>
        <v>0</v>
      </c>
      <c r="G622" s="429">
        <f>WORK!I2554</f>
        <v>0</v>
      </c>
      <c r="H622" s="221" t="s">
        <v>277</v>
      </c>
      <c r="I622" s="430">
        <f>WORK!K2554</f>
        <v>453</v>
      </c>
      <c r="J622" s="353">
        <f t="shared" si="56"/>
        <v>0</v>
      </c>
      <c r="K622" s="1913"/>
      <c r="L622" s="1913"/>
      <c r="M622" s="708" t="s">
        <v>2322</v>
      </c>
      <c r="N622" s="223"/>
      <c r="O622" s="706">
        <f t="shared" si="57"/>
        <v>0</v>
      </c>
    </row>
    <row r="623" spans="1:15" ht="25.5" hidden="1">
      <c r="A623" s="23"/>
      <c r="B623" s="702" t="s">
        <v>523</v>
      </c>
      <c r="C623" s="633">
        <f t="shared" si="55"/>
        <v>0</v>
      </c>
      <c r="D623" s="714"/>
      <c r="E623" s="10">
        <f t="shared" si="52"/>
        <v>0</v>
      </c>
      <c r="F623" s="883"/>
      <c r="G623" s="726"/>
      <c r="H623" s="727"/>
      <c r="I623" s="728"/>
      <c r="J623" s="353">
        <f t="shared" si="56"/>
        <v>0</v>
      </c>
      <c r="K623" s="25"/>
      <c r="L623" s="25"/>
      <c r="M623" s="1139" t="s">
        <v>2226</v>
      </c>
      <c r="N623" s="223"/>
      <c r="O623" s="1138"/>
    </row>
    <row r="624" spans="1:15" s="360" customFormat="1" ht="38.25" hidden="1">
      <c r="A624" s="356" t="s">
        <v>645</v>
      </c>
      <c r="B624" s="707" t="s">
        <v>3305</v>
      </c>
      <c r="C624" s="633">
        <f t="shared" si="55"/>
        <v>0</v>
      </c>
      <c r="D624" s="916" t="s">
        <v>277</v>
      </c>
      <c r="E624" s="15">
        <f t="shared" si="52"/>
        <v>193</v>
      </c>
      <c r="F624" s="917">
        <f t="shared" ref="F624:F687" si="58">ROUND(C624*E624,0)</f>
        <v>0</v>
      </c>
      <c r="G624" s="358">
        <f>WORK!I2560</f>
        <v>0</v>
      </c>
      <c r="H624" s="354" t="s">
        <v>277</v>
      </c>
      <c r="I624" s="355">
        <f>WORK!K2560</f>
        <v>193</v>
      </c>
      <c r="J624" s="353">
        <f t="shared" si="56"/>
        <v>0</v>
      </c>
      <c r="K624" s="1911">
        <f>IF((J624+J625+J626+J627)&gt;(F624+F625+F626+F627),(J624+J625+J626+J627)-(F624+F625+F626+F627),0)</f>
        <v>0</v>
      </c>
      <c r="L624" s="1911">
        <f>IF((J624+J625+J626+J627)&lt;(F624+F625+F626+F627),(F624+F625+F626+F627)-(J624+J625+J626+J627),0)</f>
        <v>0</v>
      </c>
      <c r="M624" s="708" t="s">
        <v>2226</v>
      </c>
      <c r="N624" s="223"/>
      <c r="O624" s="706">
        <f t="shared" si="57"/>
        <v>0</v>
      </c>
    </row>
    <row r="625" spans="1:15" s="360" customFormat="1" ht="15" hidden="1">
      <c r="A625" s="356" t="s">
        <v>1518</v>
      </c>
      <c r="B625" s="707" t="s">
        <v>543</v>
      </c>
      <c r="C625" s="633">
        <f t="shared" si="55"/>
        <v>0</v>
      </c>
      <c r="D625" s="354"/>
      <c r="E625" s="15">
        <f t="shared" ref="E625:E688" si="59">I625</f>
        <v>193</v>
      </c>
      <c r="F625" s="917">
        <f t="shared" si="58"/>
        <v>0</v>
      </c>
      <c r="G625" s="358">
        <f>WORK!I2698</f>
        <v>0</v>
      </c>
      <c r="H625" s="354" t="s">
        <v>277</v>
      </c>
      <c r="I625" s="355">
        <f>WORK!K2698</f>
        <v>193</v>
      </c>
      <c r="J625" s="353">
        <f t="shared" si="56"/>
        <v>0</v>
      </c>
      <c r="K625" s="1912"/>
      <c r="L625" s="1912"/>
      <c r="M625" s="708" t="s">
        <v>2308</v>
      </c>
      <c r="N625" s="223"/>
      <c r="O625" s="706">
        <f t="shared" si="57"/>
        <v>0</v>
      </c>
    </row>
    <row r="626" spans="1:15" s="360" customFormat="1" ht="15" hidden="1">
      <c r="A626" s="356" t="s">
        <v>1518</v>
      </c>
      <c r="B626" s="707" t="s">
        <v>543</v>
      </c>
      <c r="C626" s="633">
        <f t="shared" si="55"/>
        <v>0</v>
      </c>
      <c r="D626" s="354"/>
      <c r="E626" s="15">
        <f t="shared" si="59"/>
        <v>202</v>
      </c>
      <c r="F626" s="917">
        <f t="shared" si="58"/>
        <v>0</v>
      </c>
      <c r="G626" s="358">
        <f>WORK!I2836</f>
        <v>0</v>
      </c>
      <c r="H626" s="354" t="s">
        <v>277</v>
      </c>
      <c r="I626" s="355">
        <f>WORK!K2836</f>
        <v>202</v>
      </c>
      <c r="J626" s="353">
        <f t="shared" si="56"/>
        <v>0</v>
      </c>
      <c r="K626" s="1912"/>
      <c r="L626" s="1912"/>
      <c r="M626" s="708" t="s">
        <v>2321</v>
      </c>
      <c r="N626" s="223"/>
      <c r="O626" s="706">
        <f t="shared" si="57"/>
        <v>0</v>
      </c>
    </row>
    <row r="627" spans="1:15" s="360" customFormat="1" ht="38.25" hidden="1">
      <c r="A627" s="356" t="s">
        <v>526</v>
      </c>
      <c r="B627" s="707" t="s">
        <v>3305</v>
      </c>
      <c r="C627" s="633">
        <f t="shared" si="55"/>
        <v>0</v>
      </c>
      <c r="D627" s="354"/>
      <c r="E627" s="10">
        <f t="shared" si="59"/>
        <v>214</v>
      </c>
      <c r="F627" s="917">
        <f t="shared" si="58"/>
        <v>0</v>
      </c>
      <c r="G627" s="358">
        <f>WORK!I2978</f>
        <v>0</v>
      </c>
      <c r="H627" s="354" t="s">
        <v>277</v>
      </c>
      <c r="I627" s="355">
        <f>WORK!K2978</f>
        <v>214</v>
      </c>
      <c r="J627" s="353">
        <f t="shared" si="56"/>
        <v>0</v>
      </c>
      <c r="K627" s="1927"/>
      <c r="L627" s="1927"/>
      <c r="M627" s="1139" t="s">
        <v>2322</v>
      </c>
      <c r="N627" s="223"/>
      <c r="O627" s="1138">
        <f t="shared" si="57"/>
        <v>0</v>
      </c>
    </row>
    <row r="628" spans="1:15" s="360" customFormat="1" ht="38.25" hidden="1">
      <c r="A628" s="356" t="s">
        <v>1587</v>
      </c>
      <c r="B628" s="707" t="s">
        <v>3306</v>
      </c>
      <c r="C628" s="633">
        <f t="shared" si="55"/>
        <v>0</v>
      </c>
      <c r="D628" s="916" t="s">
        <v>277</v>
      </c>
      <c r="E628" s="15">
        <f t="shared" si="59"/>
        <v>123</v>
      </c>
      <c r="F628" s="917">
        <f t="shared" si="58"/>
        <v>0</v>
      </c>
      <c r="G628" s="358">
        <f>WORK!I2565</f>
        <v>0</v>
      </c>
      <c r="H628" s="354" t="s">
        <v>277</v>
      </c>
      <c r="I628" s="355">
        <f>WORK!K2565</f>
        <v>123</v>
      </c>
      <c r="J628" s="353">
        <f t="shared" si="56"/>
        <v>0</v>
      </c>
      <c r="K628" s="1911">
        <f>IF((J628+J629+J630+J631)&gt;(F628+F629+F630+F631),(J628+J629+J630+J631)-(F628+F629+F630+F631),0)</f>
        <v>0</v>
      </c>
      <c r="L628" s="1911">
        <f>IF((J628+J629+J630+J631)&lt;(F628+F629+F630+F631),(F628+F629+F630+F631)-(J628+J629+J630+J631),0)</f>
        <v>0</v>
      </c>
      <c r="M628" s="708" t="s">
        <v>2226</v>
      </c>
      <c r="N628" s="223"/>
      <c r="O628" s="706">
        <f t="shared" si="57"/>
        <v>0</v>
      </c>
    </row>
    <row r="629" spans="1:15" s="360" customFormat="1" ht="15" hidden="1">
      <c r="A629" s="356" t="s">
        <v>1152</v>
      </c>
      <c r="B629" s="707" t="s">
        <v>544</v>
      </c>
      <c r="C629" s="633">
        <f t="shared" si="55"/>
        <v>0</v>
      </c>
      <c r="D629" s="354"/>
      <c r="E629" s="15">
        <f t="shared" si="59"/>
        <v>123</v>
      </c>
      <c r="F629" s="917">
        <f t="shared" si="58"/>
        <v>0</v>
      </c>
      <c r="G629" s="358">
        <f>WORK!I2703</f>
        <v>0</v>
      </c>
      <c r="H629" s="354" t="s">
        <v>277</v>
      </c>
      <c r="I629" s="355">
        <f>WORK!K2703</f>
        <v>123</v>
      </c>
      <c r="J629" s="353">
        <f t="shared" si="56"/>
        <v>0</v>
      </c>
      <c r="K629" s="1912"/>
      <c r="L629" s="1912"/>
      <c r="M629" s="708" t="s">
        <v>2308</v>
      </c>
      <c r="N629" s="223"/>
      <c r="O629" s="706">
        <f t="shared" si="57"/>
        <v>0</v>
      </c>
    </row>
    <row r="630" spans="1:15" s="360" customFormat="1" ht="15" hidden="1">
      <c r="A630" s="356" t="s">
        <v>1146</v>
      </c>
      <c r="B630" s="707" t="s">
        <v>544</v>
      </c>
      <c r="C630" s="633">
        <f t="shared" si="55"/>
        <v>0</v>
      </c>
      <c r="D630" s="354"/>
      <c r="E630" s="15">
        <f t="shared" si="59"/>
        <v>129</v>
      </c>
      <c r="F630" s="917">
        <f t="shared" si="58"/>
        <v>0</v>
      </c>
      <c r="G630" s="358">
        <f>WORK!I2841</f>
        <v>0</v>
      </c>
      <c r="H630" s="354" t="s">
        <v>277</v>
      </c>
      <c r="I630" s="355">
        <f>WORK!K2841</f>
        <v>129</v>
      </c>
      <c r="J630" s="353">
        <f t="shared" si="56"/>
        <v>0</v>
      </c>
      <c r="K630" s="1912"/>
      <c r="L630" s="1912"/>
      <c r="M630" s="708" t="s">
        <v>2321</v>
      </c>
      <c r="N630" s="223"/>
      <c r="O630" s="706">
        <f t="shared" si="57"/>
        <v>0</v>
      </c>
    </row>
    <row r="631" spans="1:15" s="360" customFormat="1" ht="38.25" hidden="1">
      <c r="A631" s="356" t="s">
        <v>527</v>
      </c>
      <c r="B631" s="707" t="s">
        <v>3306</v>
      </c>
      <c r="C631" s="633">
        <f t="shared" si="55"/>
        <v>0</v>
      </c>
      <c r="D631" s="354"/>
      <c r="E631" s="10">
        <f t="shared" si="59"/>
        <v>136</v>
      </c>
      <c r="F631" s="917">
        <f t="shared" si="58"/>
        <v>0</v>
      </c>
      <c r="G631" s="358">
        <f>WORK!I2983</f>
        <v>0</v>
      </c>
      <c r="H631" s="354" t="s">
        <v>277</v>
      </c>
      <c r="I631" s="355">
        <f>WORK!K2983</f>
        <v>136</v>
      </c>
      <c r="J631" s="353">
        <f t="shared" si="56"/>
        <v>0</v>
      </c>
      <c r="K631" s="1927"/>
      <c r="L631" s="1927"/>
      <c r="M631" s="1139" t="s">
        <v>2322</v>
      </c>
      <c r="N631" s="223"/>
      <c r="O631" s="1138">
        <f t="shared" si="57"/>
        <v>0</v>
      </c>
    </row>
    <row r="632" spans="1:15" s="360" customFormat="1" ht="15" hidden="1">
      <c r="A632" s="356" t="s">
        <v>514</v>
      </c>
      <c r="B632" s="707" t="s">
        <v>2008</v>
      </c>
      <c r="C632" s="633">
        <f t="shared" si="55"/>
        <v>0</v>
      </c>
      <c r="D632" s="354"/>
      <c r="E632" s="15">
        <f t="shared" si="59"/>
        <v>85</v>
      </c>
      <c r="F632" s="917">
        <f t="shared" si="58"/>
        <v>0</v>
      </c>
      <c r="G632" s="358">
        <f>WORK!I2570</f>
        <v>0</v>
      </c>
      <c r="H632" s="354" t="s">
        <v>277</v>
      </c>
      <c r="I632" s="355">
        <f>WORK!K2570</f>
        <v>85</v>
      </c>
      <c r="J632" s="353">
        <f t="shared" si="56"/>
        <v>0</v>
      </c>
      <c r="K632" s="1911">
        <f>IF((J632+J633+J634+J635)&gt;(F632+F633+F634+F635),(J632+J633+J634+J635)-(F632+F633+F634+F635),0)</f>
        <v>0</v>
      </c>
      <c r="L632" s="1911">
        <f>IF((J632+J633+J634+J635)&lt;(F632+F633+F634+F635),(F632+F633+F634+F635)-(J632+J633+J634+J635),0)</f>
        <v>0</v>
      </c>
      <c r="M632" s="708" t="s">
        <v>2226</v>
      </c>
      <c r="N632" s="223"/>
      <c r="O632" s="706">
        <f t="shared" si="57"/>
        <v>0</v>
      </c>
    </row>
    <row r="633" spans="1:15" s="360" customFormat="1" ht="15" hidden="1">
      <c r="A633" s="356" t="s">
        <v>1155</v>
      </c>
      <c r="B633" s="707" t="s">
        <v>2008</v>
      </c>
      <c r="C633" s="633">
        <f t="shared" si="55"/>
        <v>0</v>
      </c>
      <c r="D633" s="354"/>
      <c r="E633" s="15">
        <f t="shared" si="59"/>
        <v>85</v>
      </c>
      <c r="F633" s="917">
        <f t="shared" si="58"/>
        <v>0</v>
      </c>
      <c r="G633" s="358">
        <f>WORK!I2708</f>
        <v>0</v>
      </c>
      <c r="H633" s="354" t="s">
        <v>277</v>
      </c>
      <c r="I633" s="355">
        <f>WORK!K2708</f>
        <v>85</v>
      </c>
      <c r="J633" s="353">
        <f t="shared" si="56"/>
        <v>0</v>
      </c>
      <c r="K633" s="1912"/>
      <c r="L633" s="1912"/>
      <c r="M633" s="708" t="s">
        <v>2308</v>
      </c>
      <c r="N633" s="223"/>
      <c r="O633" s="706">
        <f t="shared" si="57"/>
        <v>0</v>
      </c>
    </row>
    <row r="634" spans="1:15" s="360" customFormat="1" ht="15" hidden="1">
      <c r="A634" s="356" t="s">
        <v>515</v>
      </c>
      <c r="B634" s="707" t="s">
        <v>2008</v>
      </c>
      <c r="C634" s="633">
        <f t="shared" si="55"/>
        <v>0</v>
      </c>
      <c r="D634" s="354"/>
      <c r="E634" s="15">
        <f t="shared" si="59"/>
        <v>89</v>
      </c>
      <c r="F634" s="917">
        <f t="shared" si="58"/>
        <v>0</v>
      </c>
      <c r="G634" s="358">
        <f>WORK!I2847</f>
        <v>0</v>
      </c>
      <c r="H634" s="354" t="s">
        <v>277</v>
      </c>
      <c r="I634" s="355">
        <f>WORK!K2847</f>
        <v>89</v>
      </c>
      <c r="J634" s="353">
        <f t="shared" si="56"/>
        <v>0</v>
      </c>
      <c r="K634" s="1912"/>
      <c r="L634" s="1912"/>
      <c r="M634" s="708" t="s">
        <v>2321</v>
      </c>
      <c r="N634" s="223"/>
      <c r="O634" s="706">
        <f t="shared" si="57"/>
        <v>0</v>
      </c>
    </row>
    <row r="635" spans="1:15" s="360" customFormat="1" ht="15" hidden="1">
      <c r="A635" s="356" t="s">
        <v>1597</v>
      </c>
      <c r="B635" s="707" t="s">
        <v>2008</v>
      </c>
      <c r="C635" s="633">
        <f t="shared" si="55"/>
        <v>0</v>
      </c>
      <c r="D635" s="354"/>
      <c r="E635" s="15">
        <f t="shared" si="59"/>
        <v>94</v>
      </c>
      <c r="F635" s="917">
        <f t="shared" si="58"/>
        <v>0</v>
      </c>
      <c r="G635" s="358">
        <f>WORK!I2988</f>
        <v>0</v>
      </c>
      <c r="H635" s="354" t="s">
        <v>277</v>
      </c>
      <c r="I635" s="355">
        <f>WORK!K2988</f>
        <v>94</v>
      </c>
      <c r="J635" s="353">
        <f t="shared" si="56"/>
        <v>0</v>
      </c>
      <c r="K635" s="1913"/>
      <c r="L635" s="1913"/>
      <c r="M635" s="708" t="s">
        <v>2322</v>
      </c>
      <c r="N635" s="223"/>
      <c r="O635" s="706">
        <f t="shared" si="57"/>
        <v>0</v>
      </c>
    </row>
    <row r="636" spans="1:15" s="360" customFormat="1" ht="38.25" hidden="1">
      <c r="A636" s="356" t="s">
        <v>1588</v>
      </c>
      <c r="B636" s="707" t="s">
        <v>3307</v>
      </c>
      <c r="C636" s="633">
        <f t="shared" si="55"/>
        <v>0</v>
      </c>
      <c r="D636" s="916" t="s">
        <v>277</v>
      </c>
      <c r="E636" s="15">
        <f t="shared" si="59"/>
        <v>24</v>
      </c>
      <c r="F636" s="917">
        <f t="shared" si="58"/>
        <v>0</v>
      </c>
      <c r="G636" s="358">
        <f>WORK!I2575</f>
        <v>0</v>
      </c>
      <c r="H636" s="354" t="s">
        <v>277</v>
      </c>
      <c r="I636" s="355">
        <f>WORK!K2575</f>
        <v>24</v>
      </c>
      <c r="J636" s="353">
        <f t="shared" si="56"/>
        <v>0</v>
      </c>
      <c r="K636" s="1911">
        <f>IF((J636+J637+J638+J639)&gt;(F636+F637+F638+F639),(J636+J637+J638+J639)-(F636+F637+F638+F639),0)</f>
        <v>0</v>
      </c>
      <c r="L636" s="1911">
        <f>IF((J636+J637+J638+J639)&lt;(F636+F637+F638+F639),(F636+F637+F638+F639)-(J636+J637+J638+J639),0)</f>
        <v>0</v>
      </c>
      <c r="M636" s="708" t="s">
        <v>2226</v>
      </c>
      <c r="N636" s="223"/>
      <c r="O636" s="706">
        <f t="shared" si="57"/>
        <v>0</v>
      </c>
    </row>
    <row r="637" spans="1:15" s="360" customFormat="1" ht="15" hidden="1">
      <c r="A637" s="356" t="s">
        <v>1153</v>
      </c>
      <c r="B637" s="707" t="s">
        <v>1256</v>
      </c>
      <c r="C637" s="633">
        <f t="shared" si="55"/>
        <v>0</v>
      </c>
      <c r="D637" s="354"/>
      <c r="E637" s="15">
        <f t="shared" si="59"/>
        <v>24</v>
      </c>
      <c r="F637" s="917">
        <f t="shared" si="58"/>
        <v>0</v>
      </c>
      <c r="G637" s="358">
        <f>WORK!I2713</f>
        <v>0</v>
      </c>
      <c r="H637" s="354" t="s">
        <v>277</v>
      </c>
      <c r="I637" s="355">
        <f>WORK!K2713</f>
        <v>24</v>
      </c>
      <c r="J637" s="353">
        <f t="shared" si="56"/>
        <v>0</v>
      </c>
      <c r="K637" s="1912"/>
      <c r="L637" s="1912"/>
      <c r="M637" s="708" t="s">
        <v>2308</v>
      </c>
      <c r="N637" s="223"/>
      <c r="O637" s="706">
        <f t="shared" si="57"/>
        <v>0</v>
      </c>
    </row>
    <row r="638" spans="1:15" s="360" customFormat="1" ht="15" hidden="1">
      <c r="A638" s="356" t="s">
        <v>1153</v>
      </c>
      <c r="B638" s="707" t="s">
        <v>1256</v>
      </c>
      <c r="C638" s="633">
        <f t="shared" si="55"/>
        <v>0</v>
      </c>
      <c r="D638" s="354"/>
      <c r="E638" s="15">
        <f t="shared" si="59"/>
        <v>33</v>
      </c>
      <c r="F638" s="917">
        <f t="shared" si="58"/>
        <v>0</v>
      </c>
      <c r="G638" s="358">
        <f>WORK!I2852</f>
        <v>0</v>
      </c>
      <c r="H638" s="354" t="s">
        <v>277</v>
      </c>
      <c r="I638" s="355">
        <f>WORK!K2852</f>
        <v>33</v>
      </c>
      <c r="J638" s="353">
        <f t="shared" si="56"/>
        <v>0</v>
      </c>
      <c r="K638" s="1912"/>
      <c r="L638" s="1912"/>
      <c r="M638" s="708" t="s">
        <v>2321</v>
      </c>
      <c r="N638" s="223"/>
      <c r="O638" s="706">
        <f t="shared" si="57"/>
        <v>0</v>
      </c>
    </row>
    <row r="639" spans="1:15" s="360" customFormat="1" ht="15" hidden="1">
      <c r="A639" s="356" t="s">
        <v>1153</v>
      </c>
      <c r="B639" s="707" t="s">
        <v>1256</v>
      </c>
      <c r="C639" s="633">
        <f t="shared" si="55"/>
        <v>0</v>
      </c>
      <c r="D639" s="354"/>
      <c r="E639" s="15">
        <f t="shared" si="59"/>
        <v>35</v>
      </c>
      <c r="F639" s="917">
        <f t="shared" si="58"/>
        <v>0</v>
      </c>
      <c r="G639" s="358">
        <f>WORK!I2993</f>
        <v>0</v>
      </c>
      <c r="H639" s="354" t="s">
        <v>277</v>
      </c>
      <c r="I639" s="355">
        <f>WORK!K2993</f>
        <v>35</v>
      </c>
      <c r="J639" s="353">
        <f t="shared" si="56"/>
        <v>0</v>
      </c>
      <c r="K639" s="1913"/>
      <c r="L639" s="1913"/>
      <c r="M639" s="708" t="s">
        <v>2322</v>
      </c>
      <c r="N639" s="223"/>
      <c r="O639" s="706">
        <f t="shared" si="57"/>
        <v>0</v>
      </c>
    </row>
    <row r="640" spans="1:15" s="360" customFormat="1" ht="38.25" hidden="1">
      <c r="A640" s="356" t="s">
        <v>646</v>
      </c>
      <c r="B640" s="707" t="s">
        <v>3308</v>
      </c>
      <c r="C640" s="633">
        <f t="shared" si="55"/>
        <v>0</v>
      </c>
      <c r="D640" s="916" t="s">
        <v>277</v>
      </c>
      <c r="E640" s="15">
        <f t="shared" si="59"/>
        <v>0</v>
      </c>
      <c r="F640" s="917">
        <f t="shared" si="58"/>
        <v>0</v>
      </c>
      <c r="G640" s="358"/>
      <c r="H640" s="354"/>
      <c r="I640" s="355"/>
      <c r="J640" s="353">
        <f t="shared" si="56"/>
        <v>0</v>
      </c>
      <c r="K640" s="743">
        <f t="shared" ref="K640" si="60">IF(J640&gt;F640,J640-F640,0)</f>
        <v>0</v>
      </c>
      <c r="L640" s="368">
        <f t="shared" ref="L640" si="61">IF(J640&lt;F640,F640-J640,0)</f>
        <v>0</v>
      </c>
      <c r="M640" s="708" t="s">
        <v>2226</v>
      </c>
      <c r="N640" s="223"/>
      <c r="O640" s="706">
        <f t="shared" si="57"/>
        <v>0</v>
      </c>
    </row>
    <row r="641" spans="1:15" s="360" customFormat="1" ht="25.5" hidden="1">
      <c r="A641" s="356" t="s">
        <v>1144</v>
      </c>
      <c r="B641" s="707" t="s">
        <v>3309</v>
      </c>
      <c r="C641" s="633">
        <f t="shared" si="55"/>
        <v>0</v>
      </c>
      <c r="D641" s="916" t="s">
        <v>277</v>
      </c>
      <c r="E641" s="15">
        <f t="shared" si="59"/>
        <v>31</v>
      </c>
      <c r="F641" s="917">
        <f t="shared" si="58"/>
        <v>0</v>
      </c>
      <c r="G641" s="358">
        <f>WORK!I2580</f>
        <v>0</v>
      </c>
      <c r="H641" s="354" t="s">
        <v>277</v>
      </c>
      <c r="I641" s="355">
        <f>WORK!K2580</f>
        <v>31</v>
      </c>
      <c r="J641" s="353">
        <f t="shared" si="56"/>
        <v>0</v>
      </c>
      <c r="K641" s="1911">
        <f>IF((J641+J642+J643+J644)&gt;(F641+F642+F643+F644),(J641+J642+J643+J644)-(F641+F642+F643+F644),0)</f>
        <v>0</v>
      </c>
      <c r="L641" s="1911">
        <f>IF((J641+J642+J643+J644)&lt;(F641+F642+F643+F644),(F641+F642+F643+F644)-(J641+J642+J643+J644),0)</f>
        <v>0</v>
      </c>
      <c r="M641" s="708" t="s">
        <v>2226</v>
      </c>
      <c r="N641" s="223"/>
      <c r="O641" s="706">
        <f t="shared" si="57"/>
        <v>0</v>
      </c>
    </row>
    <row r="642" spans="1:15" s="360" customFormat="1" ht="15" hidden="1">
      <c r="A642" s="356" t="s">
        <v>2701</v>
      </c>
      <c r="B642" s="707" t="s">
        <v>545</v>
      </c>
      <c r="C642" s="633">
        <f t="shared" si="55"/>
        <v>0</v>
      </c>
      <c r="D642" s="354"/>
      <c r="E642" s="15">
        <f t="shared" si="59"/>
        <v>31</v>
      </c>
      <c r="F642" s="917">
        <f t="shared" si="58"/>
        <v>0</v>
      </c>
      <c r="G642" s="358">
        <f>WORK!I2718</f>
        <v>0</v>
      </c>
      <c r="H642" s="354" t="s">
        <v>277</v>
      </c>
      <c r="I642" s="355">
        <f>WORK!K2718</f>
        <v>31</v>
      </c>
      <c r="J642" s="353">
        <f t="shared" si="56"/>
        <v>0</v>
      </c>
      <c r="K642" s="1912"/>
      <c r="L642" s="1912"/>
      <c r="M642" s="708" t="s">
        <v>2308</v>
      </c>
      <c r="N642" s="223"/>
      <c r="O642" s="706">
        <f t="shared" si="57"/>
        <v>0</v>
      </c>
    </row>
    <row r="643" spans="1:15" s="360" customFormat="1" ht="15" hidden="1">
      <c r="A643" s="356" t="s">
        <v>518</v>
      </c>
      <c r="B643" s="707" t="s">
        <v>545</v>
      </c>
      <c r="C643" s="633">
        <f t="shared" si="55"/>
        <v>0</v>
      </c>
      <c r="D643" s="354"/>
      <c r="E643" s="15">
        <f t="shared" si="59"/>
        <v>33</v>
      </c>
      <c r="F643" s="917">
        <f t="shared" si="58"/>
        <v>0</v>
      </c>
      <c r="G643" s="358">
        <f>WORK!I2858</f>
        <v>0</v>
      </c>
      <c r="H643" s="354" t="s">
        <v>277</v>
      </c>
      <c r="I643" s="355">
        <f>WORK!K2858</f>
        <v>33</v>
      </c>
      <c r="J643" s="353">
        <f t="shared" si="56"/>
        <v>0</v>
      </c>
      <c r="K643" s="1912"/>
      <c r="L643" s="1912"/>
      <c r="M643" s="708" t="s">
        <v>2321</v>
      </c>
      <c r="N643" s="223"/>
      <c r="O643" s="706">
        <f t="shared" si="57"/>
        <v>0</v>
      </c>
    </row>
    <row r="644" spans="1:15" s="360" customFormat="1" ht="25.5" hidden="1">
      <c r="A644" s="356" t="s">
        <v>1581</v>
      </c>
      <c r="B644" s="707" t="s">
        <v>3309</v>
      </c>
      <c r="C644" s="633">
        <f t="shared" si="55"/>
        <v>0</v>
      </c>
      <c r="D644" s="354"/>
      <c r="E644" s="10">
        <f t="shared" si="59"/>
        <v>33</v>
      </c>
      <c r="F644" s="917">
        <f t="shared" si="58"/>
        <v>0</v>
      </c>
      <c r="G644" s="358">
        <f>WORK!I2998</f>
        <v>0</v>
      </c>
      <c r="H644" s="354" t="s">
        <v>277</v>
      </c>
      <c r="I644" s="355">
        <f>WORK!K2998</f>
        <v>33</v>
      </c>
      <c r="J644" s="353">
        <f t="shared" si="56"/>
        <v>0</v>
      </c>
      <c r="K644" s="1927"/>
      <c r="L644" s="1927"/>
      <c r="M644" s="1139" t="s">
        <v>2322</v>
      </c>
      <c r="N644" s="223"/>
      <c r="O644" s="1138">
        <f t="shared" si="57"/>
        <v>0</v>
      </c>
    </row>
    <row r="645" spans="1:15" s="360" customFormat="1" ht="25.5" hidden="1">
      <c r="A645" s="356" t="s">
        <v>1589</v>
      </c>
      <c r="B645" s="707" t="s">
        <v>3310</v>
      </c>
      <c r="C645" s="633">
        <f t="shared" si="55"/>
        <v>0</v>
      </c>
      <c r="D645" s="916" t="s">
        <v>115</v>
      </c>
      <c r="E645" s="15">
        <f t="shared" si="59"/>
        <v>349</v>
      </c>
      <c r="F645" s="917">
        <f t="shared" si="58"/>
        <v>0</v>
      </c>
      <c r="G645" s="358">
        <f>WORK!I2585</f>
        <v>0</v>
      </c>
      <c r="H645" s="354" t="s">
        <v>115</v>
      </c>
      <c r="I645" s="355">
        <f>WORK!K2585</f>
        <v>349</v>
      </c>
      <c r="J645" s="353">
        <f t="shared" si="56"/>
        <v>0</v>
      </c>
      <c r="K645" s="1911">
        <f>IF((J645+J646+J647+J648)&gt;(F645+F646+F647+F648),(J645+J646+J647+J648)-(F645+F646+F647+F648),0)</f>
        <v>0</v>
      </c>
      <c r="L645" s="1911">
        <f>IF((J645+J646+J647+J648)&lt;(F645+F646+F647+F648),(F645+F646+F647+F648)-(J645+J646+J647+J648),0)</f>
        <v>0</v>
      </c>
      <c r="M645" s="708" t="s">
        <v>2226</v>
      </c>
      <c r="N645" s="223"/>
      <c r="O645" s="706">
        <f t="shared" si="57"/>
        <v>0</v>
      </c>
    </row>
    <row r="646" spans="1:15" s="360" customFormat="1" ht="15" hidden="1">
      <c r="A646" s="356" t="s">
        <v>1158</v>
      </c>
      <c r="B646" s="707" t="s">
        <v>546</v>
      </c>
      <c r="C646" s="633">
        <f t="shared" si="55"/>
        <v>0</v>
      </c>
      <c r="D646" s="354"/>
      <c r="E646" s="15">
        <f t="shared" si="59"/>
        <v>349</v>
      </c>
      <c r="F646" s="917">
        <f t="shared" si="58"/>
        <v>0</v>
      </c>
      <c r="G646" s="358">
        <f>WORK!I2723</f>
        <v>0</v>
      </c>
      <c r="H646" s="354" t="s">
        <v>115</v>
      </c>
      <c r="I646" s="355">
        <f>WORK!K2723</f>
        <v>349</v>
      </c>
      <c r="J646" s="353">
        <f t="shared" si="56"/>
        <v>0</v>
      </c>
      <c r="K646" s="1912"/>
      <c r="L646" s="1912"/>
      <c r="M646" s="708" t="s">
        <v>2308</v>
      </c>
      <c r="N646" s="223"/>
      <c r="O646" s="706">
        <f t="shared" si="57"/>
        <v>0</v>
      </c>
    </row>
    <row r="647" spans="1:15" s="360" customFormat="1" ht="15" hidden="1">
      <c r="A647" s="356" t="s">
        <v>1152</v>
      </c>
      <c r="B647" s="707" t="s">
        <v>546</v>
      </c>
      <c r="C647" s="633">
        <f t="shared" si="55"/>
        <v>0</v>
      </c>
      <c r="D647" s="354"/>
      <c r="E647" s="15">
        <f t="shared" si="59"/>
        <v>366</v>
      </c>
      <c r="F647" s="917">
        <f t="shared" si="58"/>
        <v>0</v>
      </c>
      <c r="G647" s="358">
        <f>WORK!I2863</f>
        <v>0</v>
      </c>
      <c r="H647" s="354" t="s">
        <v>115</v>
      </c>
      <c r="I647" s="355">
        <f>WORK!K2863</f>
        <v>366</v>
      </c>
      <c r="J647" s="353">
        <f t="shared" si="56"/>
        <v>0</v>
      </c>
      <c r="K647" s="1912"/>
      <c r="L647" s="1912"/>
      <c r="M647" s="708" t="s">
        <v>2321</v>
      </c>
      <c r="N647" s="223"/>
      <c r="O647" s="706">
        <f t="shared" si="57"/>
        <v>0</v>
      </c>
    </row>
    <row r="648" spans="1:15" s="360" customFormat="1" ht="15" hidden="1">
      <c r="A648" s="356" t="s">
        <v>1152</v>
      </c>
      <c r="B648" s="707" t="s">
        <v>546</v>
      </c>
      <c r="C648" s="633">
        <f t="shared" si="55"/>
        <v>0</v>
      </c>
      <c r="D648" s="354"/>
      <c r="E648" s="15">
        <f t="shared" si="59"/>
        <v>387</v>
      </c>
      <c r="F648" s="917">
        <f t="shared" si="58"/>
        <v>0</v>
      </c>
      <c r="G648" s="358">
        <f>WORK!I3003</f>
        <v>0</v>
      </c>
      <c r="H648" s="354" t="s">
        <v>115</v>
      </c>
      <c r="I648" s="355">
        <f>WORK!K3003</f>
        <v>387</v>
      </c>
      <c r="J648" s="353">
        <f t="shared" si="56"/>
        <v>0</v>
      </c>
      <c r="K648" s="1913"/>
      <c r="L648" s="1913"/>
      <c r="M648" s="708" t="s">
        <v>2322</v>
      </c>
      <c r="N648" s="223"/>
      <c r="O648" s="706">
        <f t="shared" si="57"/>
        <v>0</v>
      </c>
    </row>
    <row r="649" spans="1:15" s="360" customFormat="1" ht="25.5" hidden="1">
      <c r="A649" s="356" t="s">
        <v>1590</v>
      </c>
      <c r="B649" s="707" t="s">
        <v>685</v>
      </c>
      <c r="C649" s="633">
        <f t="shared" si="55"/>
        <v>0</v>
      </c>
      <c r="D649" s="916" t="s">
        <v>115</v>
      </c>
      <c r="E649" s="15">
        <f t="shared" si="59"/>
        <v>1483</v>
      </c>
      <c r="F649" s="917">
        <f t="shared" si="58"/>
        <v>0</v>
      </c>
      <c r="G649" s="358">
        <f>WORK!I2590</f>
        <v>0</v>
      </c>
      <c r="H649" s="354" t="s">
        <v>115</v>
      </c>
      <c r="I649" s="355">
        <f>WORK!K2590</f>
        <v>1483</v>
      </c>
      <c r="J649" s="353">
        <f t="shared" si="56"/>
        <v>0</v>
      </c>
      <c r="K649" s="1911">
        <f>IF((J649+J650+J651+J652)&gt;(F649+F650+F651+F652),(J649+J650+J651+J652)-(F649+F650+F651+F652),0)</f>
        <v>0</v>
      </c>
      <c r="L649" s="1911">
        <f>IF((J649+J650+J651+J652)&lt;(F649+F650+F651+F652),(F649+F650+F651+F652)-(J649+J650+J651+J652),0)</f>
        <v>0</v>
      </c>
      <c r="M649" s="708" t="s">
        <v>2226</v>
      </c>
      <c r="N649" s="223"/>
      <c r="O649" s="706">
        <f t="shared" si="57"/>
        <v>0</v>
      </c>
    </row>
    <row r="650" spans="1:15" s="360" customFormat="1" ht="25.5" hidden="1">
      <c r="A650" s="356" t="s">
        <v>1157</v>
      </c>
      <c r="B650" s="707" t="s">
        <v>713</v>
      </c>
      <c r="C650" s="633">
        <f t="shared" ref="C650:C713" si="62">G650</f>
        <v>0</v>
      </c>
      <c r="D650" s="354"/>
      <c r="E650" s="15">
        <f t="shared" si="59"/>
        <v>2769</v>
      </c>
      <c r="F650" s="917">
        <f t="shared" si="58"/>
        <v>0</v>
      </c>
      <c r="G650" s="358">
        <f>WORK!I2728</f>
        <v>0</v>
      </c>
      <c r="H650" s="354" t="s">
        <v>115</v>
      </c>
      <c r="I650" s="355">
        <f>WORK!K2728</f>
        <v>2769</v>
      </c>
      <c r="J650" s="353">
        <f t="shared" ref="J650:J713" si="63">ROUND(G650*I650,2)</f>
        <v>0</v>
      </c>
      <c r="K650" s="1912"/>
      <c r="L650" s="1912"/>
      <c r="M650" s="708" t="s">
        <v>2308</v>
      </c>
      <c r="N650" s="223"/>
      <c r="O650" s="706">
        <f t="shared" si="57"/>
        <v>0</v>
      </c>
    </row>
    <row r="651" spans="1:15" s="360" customFormat="1" ht="25.5" hidden="1">
      <c r="A651" s="356" t="s">
        <v>499</v>
      </c>
      <c r="B651" s="707" t="s">
        <v>713</v>
      </c>
      <c r="C651" s="633">
        <f t="shared" si="62"/>
        <v>0</v>
      </c>
      <c r="D651" s="354"/>
      <c r="E651" s="15">
        <f t="shared" si="59"/>
        <v>1554</v>
      </c>
      <c r="F651" s="917">
        <f t="shared" si="58"/>
        <v>0</v>
      </c>
      <c r="G651" s="358">
        <f>WORK!I2868</f>
        <v>0</v>
      </c>
      <c r="H651" s="354" t="s">
        <v>115</v>
      </c>
      <c r="I651" s="355">
        <f>WORK!K2868</f>
        <v>1554</v>
      </c>
      <c r="J651" s="353">
        <f t="shared" si="63"/>
        <v>0</v>
      </c>
      <c r="K651" s="1912"/>
      <c r="L651" s="1912"/>
      <c r="M651" s="708" t="s">
        <v>2321</v>
      </c>
      <c r="N651" s="223"/>
      <c r="O651" s="706">
        <f t="shared" si="57"/>
        <v>0</v>
      </c>
    </row>
    <row r="652" spans="1:15" s="360" customFormat="1" ht="25.5" hidden="1">
      <c r="A652" s="356" t="s">
        <v>499</v>
      </c>
      <c r="B652" s="707" t="s">
        <v>713</v>
      </c>
      <c r="C652" s="633">
        <f t="shared" si="62"/>
        <v>0</v>
      </c>
      <c r="D652" s="354"/>
      <c r="E652" s="15">
        <f t="shared" si="59"/>
        <v>1644</v>
      </c>
      <c r="F652" s="917">
        <f t="shared" si="58"/>
        <v>0</v>
      </c>
      <c r="G652" s="358">
        <f>WORK!I3008</f>
        <v>0</v>
      </c>
      <c r="H652" s="354" t="s">
        <v>115</v>
      </c>
      <c r="I652" s="355">
        <f>WORK!K3008</f>
        <v>1644</v>
      </c>
      <c r="J652" s="353">
        <f t="shared" si="63"/>
        <v>0</v>
      </c>
      <c r="K652" s="1913"/>
      <c r="L652" s="1913"/>
      <c r="M652" s="708" t="s">
        <v>2322</v>
      </c>
      <c r="N652" s="223"/>
      <c r="O652" s="706">
        <f t="shared" si="57"/>
        <v>0</v>
      </c>
    </row>
    <row r="653" spans="1:15" s="360" customFormat="1" ht="38.25" hidden="1">
      <c r="A653" s="356" t="s">
        <v>1591</v>
      </c>
      <c r="B653" s="707" t="s">
        <v>3311</v>
      </c>
      <c r="C653" s="633">
        <f t="shared" si="62"/>
        <v>0</v>
      </c>
      <c r="D653" s="916" t="s">
        <v>277</v>
      </c>
      <c r="E653" s="15">
        <f t="shared" si="59"/>
        <v>136.66666666666666</v>
      </c>
      <c r="F653" s="917">
        <f t="shared" si="58"/>
        <v>0</v>
      </c>
      <c r="G653" s="358">
        <f>WORK!I2595</f>
        <v>0</v>
      </c>
      <c r="H653" s="354" t="s">
        <v>277</v>
      </c>
      <c r="I653" s="355">
        <f>WORK!K2595</f>
        <v>136.66666666666666</v>
      </c>
      <c r="J653" s="353">
        <f t="shared" si="63"/>
        <v>0</v>
      </c>
      <c r="K653" s="1911">
        <f>IF((J653+J654+J655+J656)&gt;(F653+F654+F655+F656),(J653+J654+J655+J656)-(F653+F654+F655+F656),0)</f>
        <v>0</v>
      </c>
      <c r="L653" s="1911">
        <f>IF((J653+J654+J655+J656)&lt;(F653+F654+F655+F656),(F653+F654+F655+F656)-(J653+J654+J655+J656),0)</f>
        <v>0</v>
      </c>
      <c r="M653" s="708" t="s">
        <v>2226</v>
      </c>
      <c r="N653" s="223"/>
      <c r="O653" s="706">
        <f t="shared" si="57"/>
        <v>0</v>
      </c>
    </row>
    <row r="654" spans="1:15" s="360" customFormat="1" ht="15" hidden="1">
      <c r="A654" s="356" t="s">
        <v>2703</v>
      </c>
      <c r="B654" s="707" t="s">
        <v>547</v>
      </c>
      <c r="C654" s="633">
        <f t="shared" si="62"/>
        <v>0</v>
      </c>
      <c r="D654" s="354"/>
      <c r="E654" s="15">
        <f t="shared" si="59"/>
        <v>136.66666666666666</v>
      </c>
      <c r="F654" s="917">
        <f t="shared" si="58"/>
        <v>0</v>
      </c>
      <c r="G654" s="358">
        <f>WORK!I2733</f>
        <v>0</v>
      </c>
      <c r="H654" s="354" t="s">
        <v>277</v>
      </c>
      <c r="I654" s="355">
        <f>WORK!K2733</f>
        <v>136.66666666666666</v>
      </c>
      <c r="J654" s="353">
        <f t="shared" si="63"/>
        <v>0</v>
      </c>
      <c r="K654" s="1912"/>
      <c r="L654" s="1912"/>
      <c r="M654" s="708" t="s">
        <v>2308</v>
      </c>
      <c r="N654" s="223"/>
      <c r="O654" s="706">
        <f t="shared" ref="O654:O720" si="64">F654-J654</f>
        <v>0</v>
      </c>
    </row>
    <row r="655" spans="1:15" s="360" customFormat="1" ht="15" hidden="1">
      <c r="A655" s="356" t="s">
        <v>522</v>
      </c>
      <c r="B655" s="707" t="s">
        <v>547</v>
      </c>
      <c r="C655" s="633">
        <f t="shared" si="62"/>
        <v>0</v>
      </c>
      <c r="D655" s="354"/>
      <c r="E655" s="15">
        <f t="shared" si="59"/>
        <v>142</v>
      </c>
      <c r="F655" s="917">
        <f t="shared" si="58"/>
        <v>0</v>
      </c>
      <c r="G655" s="358">
        <f>WORK!I2874</f>
        <v>0</v>
      </c>
      <c r="H655" s="354" t="s">
        <v>277</v>
      </c>
      <c r="I655" s="355">
        <f>WORK!K2874</f>
        <v>142</v>
      </c>
      <c r="J655" s="353">
        <f t="shared" si="63"/>
        <v>0</v>
      </c>
      <c r="K655" s="1912"/>
      <c r="L655" s="1912"/>
      <c r="M655" s="708" t="s">
        <v>2321</v>
      </c>
      <c r="N655" s="223"/>
      <c r="O655" s="706">
        <f t="shared" si="64"/>
        <v>0</v>
      </c>
    </row>
    <row r="656" spans="1:15" s="360" customFormat="1" ht="38.25" hidden="1">
      <c r="A656" s="356" t="s">
        <v>528</v>
      </c>
      <c r="B656" s="707" t="s">
        <v>3311</v>
      </c>
      <c r="C656" s="633">
        <f t="shared" si="62"/>
        <v>0</v>
      </c>
      <c r="D656" s="354"/>
      <c r="E656" s="10">
        <f t="shared" si="59"/>
        <v>149</v>
      </c>
      <c r="F656" s="917">
        <f t="shared" si="58"/>
        <v>0</v>
      </c>
      <c r="G656" s="358">
        <f>WORK!I3013</f>
        <v>0</v>
      </c>
      <c r="H656" s="354" t="s">
        <v>277</v>
      </c>
      <c r="I656" s="355">
        <f>WORK!K3013</f>
        <v>149</v>
      </c>
      <c r="J656" s="353">
        <f t="shared" si="63"/>
        <v>0</v>
      </c>
      <c r="K656" s="1927"/>
      <c r="L656" s="1927"/>
      <c r="M656" s="1139" t="s">
        <v>2322</v>
      </c>
      <c r="N656" s="223"/>
      <c r="O656" s="1138">
        <f t="shared" si="64"/>
        <v>0</v>
      </c>
    </row>
    <row r="657" spans="1:15" s="360" customFormat="1" ht="38.25" hidden="1">
      <c r="A657" s="356" t="s">
        <v>647</v>
      </c>
      <c r="B657" s="707" t="s">
        <v>3312</v>
      </c>
      <c r="C657" s="633">
        <f t="shared" si="62"/>
        <v>0</v>
      </c>
      <c r="D657" s="916" t="s">
        <v>277</v>
      </c>
      <c r="E657" s="15">
        <f t="shared" si="59"/>
        <v>129.66666666666666</v>
      </c>
      <c r="F657" s="917">
        <f t="shared" si="58"/>
        <v>0</v>
      </c>
      <c r="G657" s="358">
        <f>WORK!I2600</f>
        <v>0</v>
      </c>
      <c r="H657" s="354" t="s">
        <v>277</v>
      </c>
      <c r="I657" s="355">
        <f>WORK!K2600</f>
        <v>129.66666666666666</v>
      </c>
      <c r="J657" s="353">
        <f t="shared" si="63"/>
        <v>0</v>
      </c>
      <c r="K657" s="1911">
        <f>IF((J657+J658+J659+J660)&gt;(F657+F658+F659+F660),(J657+J658+J659+J660)-(F657+F658+F659+F660),0)</f>
        <v>0</v>
      </c>
      <c r="L657" s="1911">
        <f>IF((J657+J658+J659+J660)&lt;(F657+F658+F659+F660),(F657+F658+F659+F660)-(J657+J658+J659+J660),0)</f>
        <v>0</v>
      </c>
      <c r="M657" s="708" t="s">
        <v>2226</v>
      </c>
      <c r="N657" s="223"/>
      <c r="O657" s="706">
        <f t="shared" si="64"/>
        <v>0</v>
      </c>
    </row>
    <row r="658" spans="1:15" s="360" customFormat="1" ht="15" hidden="1">
      <c r="A658" s="356" t="s">
        <v>1259</v>
      </c>
      <c r="B658" s="707" t="s">
        <v>548</v>
      </c>
      <c r="C658" s="633">
        <f t="shared" si="62"/>
        <v>0</v>
      </c>
      <c r="D658" s="354"/>
      <c r="E658" s="15">
        <f t="shared" si="59"/>
        <v>129.66666666666666</v>
      </c>
      <c r="F658" s="917">
        <f t="shared" si="58"/>
        <v>0</v>
      </c>
      <c r="G658" s="358">
        <f>WORK!I2738</f>
        <v>0</v>
      </c>
      <c r="H658" s="354" t="s">
        <v>277</v>
      </c>
      <c r="I658" s="355">
        <f>WORK!K2738</f>
        <v>129.66666666666666</v>
      </c>
      <c r="J658" s="353">
        <f t="shared" si="63"/>
        <v>0</v>
      </c>
      <c r="K658" s="1912"/>
      <c r="L658" s="1912"/>
      <c r="M658" s="708" t="s">
        <v>2308</v>
      </c>
      <c r="N658" s="223"/>
      <c r="O658" s="706">
        <f t="shared" si="64"/>
        <v>0</v>
      </c>
    </row>
    <row r="659" spans="1:15" s="360" customFormat="1" ht="15" hidden="1">
      <c r="A659" s="356" t="s">
        <v>1259</v>
      </c>
      <c r="B659" s="707" t="s">
        <v>548</v>
      </c>
      <c r="C659" s="633">
        <f t="shared" si="62"/>
        <v>0</v>
      </c>
      <c r="D659" s="354"/>
      <c r="E659" s="15">
        <f t="shared" si="59"/>
        <v>135</v>
      </c>
      <c r="F659" s="917">
        <f t="shared" si="58"/>
        <v>0</v>
      </c>
      <c r="G659" s="358">
        <f>WORK!I2879</f>
        <v>0</v>
      </c>
      <c r="H659" s="354" t="s">
        <v>277</v>
      </c>
      <c r="I659" s="355">
        <f>WORK!K2879</f>
        <v>135</v>
      </c>
      <c r="J659" s="353">
        <f t="shared" si="63"/>
        <v>0</v>
      </c>
      <c r="K659" s="1912"/>
      <c r="L659" s="1912"/>
      <c r="M659" s="708" t="s">
        <v>2321</v>
      </c>
      <c r="N659" s="223"/>
      <c r="O659" s="706">
        <f t="shared" si="64"/>
        <v>0</v>
      </c>
    </row>
    <row r="660" spans="1:15" s="360" customFormat="1" ht="15" hidden="1">
      <c r="A660" s="356" t="s">
        <v>1259</v>
      </c>
      <c r="B660" s="707" t="s">
        <v>548</v>
      </c>
      <c r="C660" s="633">
        <f t="shared" si="62"/>
        <v>0</v>
      </c>
      <c r="D660" s="354"/>
      <c r="E660" s="15">
        <f t="shared" si="59"/>
        <v>141.66666666666666</v>
      </c>
      <c r="F660" s="917">
        <f t="shared" si="58"/>
        <v>0</v>
      </c>
      <c r="G660" s="358">
        <f>WORK!I3018</f>
        <v>0</v>
      </c>
      <c r="H660" s="354" t="s">
        <v>277</v>
      </c>
      <c r="I660" s="355">
        <f>WORK!K3018</f>
        <v>141.66666666666666</v>
      </c>
      <c r="J660" s="353">
        <f t="shared" si="63"/>
        <v>0</v>
      </c>
      <c r="K660" s="1913"/>
      <c r="L660" s="1913"/>
      <c r="M660" s="708" t="s">
        <v>2322</v>
      </c>
      <c r="N660" s="223"/>
      <c r="O660" s="706">
        <f t="shared" si="64"/>
        <v>0</v>
      </c>
    </row>
    <row r="661" spans="1:15" s="360" customFormat="1" ht="38.25" hidden="1">
      <c r="A661" s="356" t="s">
        <v>1592</v>
      </c>
      <c r="B661" s="707" t="s">
        <v>3313</v>
      </c>
      <c r="C661" s="633">
        <f t="shared" si="62"/>
        <v>0</v>
      </c>
      <c r="D661" s="916" t="s">
        <v>277</v>
      </c>
      <c r="E661" s="15">
        <f t="shared" si="59"/>
        <v>81.333333333333329</v>
      </c>
      <c r="F661" s="917">
        <f t="shared" si="58"/>
        <v>0</v>
      </c>
      <c r="G661" s="358">
        <f>WORK!I2605</f>
        <v>0</v>
      </c>
      <c r="H661" s="354" t="s">
        <v>277</v>
      </c>
      <c r="I661" s="355">
        <f>WORK!K2605</f>
        <v>81.333333333333329</v>
      </c>
      <c r="J661" s="353">
        <f t="shared" si="63"/>
        <v>0</v>
      </c>
      <c r="K661" s="1911">
        <f>IF((J661+J662+J663+J664)&gt;(F661+F662+F663+F664),(J661+J662+J663+J664)-(F661+F662+F663+F664),0)</f>
        <v>0</v>
      </c>
      <c r="L661" s="1911">
        <f>IF((J661+J662+J663+J664)&lt;(F661+F662+F663+F664),(F661+F662+F663+F664)-(J661+J662+J663+J664),0)</f>
        <v>0</v>
      </c>
      <c r="M661" s="708" t="s">
        <v>2226</v>
      </c>
      <c r="N661" s="223"/>
      <c r="O661" s="706">
        <f t="shared" si="64"/>
        <v>0</v>
      </c>
    </row>
    <row r="662" spans="1:15" s="360" customFormat="1" ht="15" hidden="1">
      <c r="A662" s="356" t="s">
        <v>2705</v>
      </c>
      <c r="B662" s="707" t="s">
        <v>549</v>
      </c>
      <c r="C662" s="633">
        <f t="shared" si="62"/>
        <v>0</v>
      </c>
      <c r="D662" s="354"/>
      <c r="E662" s="15">
        <f t="shared" si="59"/>
        <v>81.333333333333329</v>
      </c>
      <c r="F662" s="917">
        <f t="shared" si="58"/>
        <v>0</v>
      </c>
      <c r="G662" s="358">
        <f>WORK!I2743</f>
        <v>0</v>
      </c>
      <c r="H662" s="354" t="s">
        <v>277</v>
      </c>
      <c r="I662" s="355">
        <f>WORK!K2743</f>
        <v>81.333333333333329</v>
      </c>
      <c r="J662" s="353">
        <f t="shared" si="63"/>
        <v>0</v>
      </c>
      <c r="K662" s="1912"/>
      <c r="L662" s="1912"/>
      <c r="M662" s="708" t="s">
        <v>2308</v>
      </c>
      <c r="N662" s="223"/>
      <c r="O662" s="706">
        <f t="shared" si="64"/>
        <v>0</v>
      </c>
    </row>
    <row r="663" spans="1:15" s="360" customFormat="1" ht="15" hidden="1">
      <c r="A663" s="356" t="s">
        <v>526</v>
      </c>
      <c r="B663" s="707" t="s">
        <v>549</v>
      </c>
      <c r="C663" s="633">
        <f t="shared" si="62"/>
        <v>0</v>
      </c>
      <c r="D663" s="354"/>
      <c r="E663" s="15">
        <f t="shared" si="59"/>
        <v>84.666666666666671</v>
      </c>
      <c r="F663" s="917">
        <f t="shared" si="58"/>
        <v>0</v>
      </c>
      <c r="G663" s="358">
        <f>WORK!I2885</f>
        <v>0</v>
      </c>
      <c r="H663" s="354" t="s">
        <v>277</v>
      </c>
      <c r="I663" s="355">
        <f>WORK!K2885</f>
        <v>84.666666666666671</v>
      </c>
      <c r="J663" s="353">
        <f t="shared" si="63"/>
        <v>0</v>
      </c>
      <c r="K663" s="1912"/>
      <c r="L663" s="1912"/>
      <c r="M663" s="708" t="s">
        <v>2321</v>
      </c>
      <c r="N663" s="223"/>
      <c r="O663" s="706">
        <f t="shared" si="64"/>
        <v>0</v>
      </c>
    </row>
    <row r="664" spans="1:15" s="360" customFormat="1" ht="38.25" hidden="1">
      <c r="A664" s="356" t="s">
        <v>1582</v>
      </c>
      <c r="B664" s="707" t="s">
        <v>3313</v>
      </c>
      <c r="C664" s="633">
        <f t="shared" si="62"/>
        <v>0</v>
      </c>
      <c r="D664" s="354"/>
      <c r="E664" s="10">
        <f t="shared" si="59"/>
        <v>89</v>
      </c>
      <c r="F664" s="917">
        <f t="shared" si="58"/>
        <v>0</v>
      </c>
      <c r="G664" s="358">
        <f>WORK!I3023</f>
        <v>0</v>
      </c>
      <c r="H664" s="354" t="s">
        <v>277</v>
      </c>
      <c r="I664" s="355">
        <f>WORK!K3023</f>
        <v>89</v>
      </c>
      <c r="J664" s="353">
        <f t="shared" si="63"/>
        <v>0</v>
      </c>
      <c r="K664" s="1927"/>
      <c r="L664" s="1927"/>
      <c r="M664" s="1139" t="s">
        <v>2322</v>
      </c>
      <c r="N664" s="223"/>
      <c r="O664" s="1138">
        <f t="shared" si="64"/>
        <v>0</v>
      </c>
    </row>
    <row r="665" spans="1:15" s="360" customFormat="1" ht="25.5" hidden="1">
      <c r="A665" s="356" t="s">
        <v>1578</v>
      </c>
      <c r="B665" s="707" t="s">
        <v>3314</v>
      </c>
      <c r="C665" s="633">
        <f t="shared" si="62"/>
        <v>0</v>
      </c>
      <c r="D665" s="916" t="s">
        <v>277</v>
      </c>
      <c r="E665" s="15">
        <f t="shared" si="59"/>
        <v>70</v>
      </c>
      <c r="F665" s="917">
        <f t="shared" si="58"/>
        <v>0</v>
      </c>
      <c r="G665" s="358">
        <f>WORK!I2611</f>
        <v>0</v>
      </c>
      <c r="H665" s="354" t="s">
        <v>277</v>
      </c>
      <c r="I665" s="355">
        <f>WORK!K2611</f>
        <v>70</v>
      </c>
      <c r="J665" s="353">
        <f t="shared" si="63"/>
        <v>0</v>
      </c>
      <c r="K665" s="1911">
        <f>IF((J665+J666+J667+J668)&gt;(F665+F666+F667+F668),(J665+J666+J667+J668)-(F665+F666+F667+F668),0)</f>
        <v>0</v>
      </c>
      <c r="L665" s="1911">
        <f>IF((J665+J666+J667+J668)&lt;(F665+F666+F667+F668),(F665+F666+F667+F668)-(J665+J666+J667+J668),0)</f>
        <v>0</v>
      </c>
      <c r="M665" s="708" t="s">
        <v>2226</v>
      </c>
      <c r="N665" s="223"/>
      <c r="O665" s="706">
        <f t="shared" si="64"/>
        <v>0</v>
      </c>
    </row>
    <row r="666" spans="1:15" s="360" customFormat="1" ht="15" hidden="1">
      <c r="A666" s="356" t="s">
        <v>2707</v>
      </c>
      <c r="B666" s="707" t="s">
        <v>550</v>
      </c>
      <c r="C666" s="633">
        <f t="shared" si="62"/>
        <v>0</v>
      </c>
      <c r="D666" s="354"/>
      <c r="E666" s="15">
        <f t="shared" si="59"/>
        <v>70</v>
      </c>
      <c r="F666" s="917">
        <f t="shared" si="58"/>
        <v>0</v>
      </c>
      <c r="G666" s="358">
        <f>WORK!I2749</f>
        <v>0</v>
      </c>
      <c r="H666" s="354" t="s">
        <v>277</v>
      </c>
      <c r="I666" s="355">
        <f>WORK!K2749</f>
        <v>70</v>
      </c>
      <c r="J666" s="353">
        <f t="shared" si="63"/>
        <v>0</v>
      </c>
      <c r="K666" s="1912"/>
      <c r="L666" s="1912"/>
      <c r="M666" s="708" t="s">
        <v>2308</v>
      </c>
      <c r="N666" s="223"/>
      <c r="O666" s="706">
        <f t="shared" si="64"/>
        <v>0</v>
      </c>
    </row>
    <row r="667" spans="1:15" s="360" customFormat="1" ht="15" hidden="1">
      <c r="A667" s="356" t="s">
        <v>1581</v>
      </c>
      <c r="B667" s="707" t="s">
        <v>550</v>
      </c>
      <c r="C667" s="633">
        <f t="shared" si="62"/>
        <v>0</v>
      </c>
      <c r="D667" s="354"/>
      <c r="E667" s="15">
        <f t="shared" si="59"/>
        <v>74</v>
      </c>
      <c r="F667" s="917">
        <f t="shared" si="58"/>
        <v>0</v>
      </c>
      <c r="G667" s="358">
        <f>WORK!I2891</f>
        <v>0</v>
      </c>
      <c r="H667" s="354" t="s">
        <v>277</v>
      </c>
      <c r="I667" s="355">
        <f>WORK!K2891</f>
        <v>74</v>
      </c>
      <c r="J667" s="353">
        <f t="shared" si="63"/>
        <v>0</v>
      </c>
      <c r="K667" s="1912"/>
      <c r="L667" s="1912"/>
      <c r="M667" s="708" t="s">
        <v>2321</v>
      </c>
      <c r="N667" s="223"/>
      <c r="O667" s="706">
        <f t="shared" si="64"/>
        <v>0</v>
      </c>
    </row>
    <row r="668" spans="1:15" s="360" customFormat="1" ht="25.5" hidden="1">
      <c r="A668" s="356" t="s">
        <v>529</v>
      </c>
      <c r="B668" s="707" t="s">
        <v>3314</v>
      </c>
      <c r="C668" s="633">
        <f t="shared" si="62"/>
        <v>0</v>
      </c>
      <c r="D668" s="354"/>
      <c r="E668" s="10">
        <f t="shared" si="59"/>
        <v>79</v>
      </c>
      <c r="F668" s="917">
        <f t="shared" si="58"/>
        <v>0</v>
      </c>
      <c r="G668" s="358">
        <f>WORK!I3029</f>
        <v>0</v>
      </c>
      <c r="H668" s="354" t="s">
        <v>277</v>
      </c>
      <c r="I668" s="355">
        <f>WORK!K3029</f>
        <v>79</v>
      </c>
      <c r="J668" s="353">
        <f t="shared" si="63"/>
        <v>0</v>
      </c>
      <c r="K668" s="1927"/>
      <c r="L668" s="1927"/>
      <c r="M668" s="1139" t="s">
        <v>2322</v>
      </c>
      <c r="N668" s="223"/>
      <c r="O668" s="1138">
        <f t="shared" si="64"/>
        <v>0</v>
      </c>
    </row>
    <row r="669" spans="1:15" s="360" customFormat="1" ht="15" hidden="1">
      <c r="A669" s="356" t="s">
        <v>1593</v>
      </c>
      <c r="B669" s="357" t="s">
        <v>2454</v>
      </c>
      <c r="C669" s="633">
        <f t="shared" si="62"/>
        <v>0</v>
      </c>
      <c r="D669" s="916" t="s">
        <v>115</v>
      </c>
      <c r="E669" s="15">
        <f t="shared" si="59"/>
        <v>0</v>
      </c>
      <c r="F669" s="917">
        <f t="shared" si="58"/>
        <v>0</v>
      </c>
      <c r="G669" s="358"/>
      <c r="H669" s="354"/>
      <c r="I669" s="355"/>
      <c r="J669" s="353">
        <f t="shared" si="63"/>
        <v>0</v>
      </c>
      <c r="K669" s="743">
        <f t="shared" ref="K669" si="65">IF(J669&gt;F669,J669-F669,0)</f>
        <v>0</v>
      </c>
      <c r="L669" s="368">
        <f t="shared" ref="L669" si="66">IF(J669&lt;F669,F669-J669,0)</f>
        <v>0</v>
      </c>
      <c r="M669" s="708" t="s">
        <v>2226</v>
      </c>
      <c r="N669" s="223"/>
      <c r="O669" s="706">
        <f t="shared" si="64"/>
        <v>0</v>
      </c>
    </row>
    <row r="670" spans="1:15" s="360" customFormat="1" ht="38.25" hidden="1">
      <c r="A670" s="356" t="s">
        <v>1579</v>
      </c>
      <c r="B670" s="707" t="s">
        <v>3315</v>
      </c>
      <c r="C670" s="633">
        <f t="shared" si="62"/>
        <v>0</v>
      </c>
      <c r="D670" s="916" t="s">
        <v>115</v>
      </c>
      <c r="E670" s="15">
        <f t="shared" si="59"/>
        <v>4776</v>
      </c>
      <c r="F670" s="917">
        <f t="shared" si="58"/>
        <v>0</v>
      </c>
      <c r="G670" s="358">
        <f>WORK!I2616</f>
        <v>0</v>
      </c>
      <c r="H670" s="354" t="s">
        <v>115</v>
      </c>
      <c r="I670" s="355">
        <f>WORK!K2616</f>
        <v>4776</v>
      </c>
      <c r="J670" s="353">
        <f t="shared" si="63"/>
        <v>0</v>
      </c>
      <c r="K670" s="1911">
        <f>IF((J670+J671+J672+J673)&gt;(F670+F671+F672+F673),(J670+J671+J672+J673)-(F670+F671+F672+F673),0)</f>
        <v>0</v>
      </c>
      <c r="L670" s="1911">
        <f>IF((J670+J671+J672+J673)&lt;(F670+F671+F672+F673),(F670+F671+F672+F673)-(J670+J671+J672+J673),0)</f>
        <v>0</v>
      </c>
      <c r="M670" s="708" t="s">
        <v>2226</v>
      </c>
      <c r="N670" s="223"/>
      <c r="O670" s="706">
        <f t="shared" si="64"/>
        <v>0</v>
      </c>
    </row>
    <row r="671" spans="1:15" s="360" customFormat="1" ht="15" hidden="1">
      <c r="A671" s="356" t="s">
        <v>2709</v>
      </c>
      <c r="B671" s="707" t="s">
        <v>551</v>
      </c>
      <c r="C671" s="633">
        <f t="shared" si="62"/>
        <v>0</v>
      </c>
      <c r="D671" s="354"/>
      <c r="E671" s="15">
        <f t="shared" si="59"/>
        <v>4776</v>
      </c>
      <c r="F671" s="917">
        <f t="shared" si="58"/>
        <v>0</v>
      </c>
      <c r="G671" s="358">
        <f>WORK!I2754</f>
        <v>0</v>
      </c>
      <c r="H671" s="354" t="s">
        <v>115</v>
      </c>
      <c r="I671" s="355">
        <f>WORK!K2754</f>
        <v>4776</v>
      </c>
      <c r="J671" s="353">
        <f t="shared" si="63"/>
        <v>0</v>
      </c>
      <c r="K671" s="1912"/>
      <c r="L671" s="1912"/>
      <c r="M671" s="708" t="s">
        <v>2308</v>
      </c>
      <c r="N671" s="223"/>
      <c r="O671" s="706">
        <f t="shared" si="64"/>
        <v>0</v>
      </c>
    </row>
    <row r="672" spans="1:15" s="360" customFormat="1" ht="15" hidden="1">
      <c r="A672" s="356" t="s">
        <v>1158</v>
      </c>
      <c r="B672" s="707" t="s">
        <v>551</v>
      </c>
      <c r="C672" s="633">
        <f t="shared" si="62"/>
        <v>0</v>
      </c>
      <c r="D672" s="354"/>
      <c r="E672" s="15">
        <f t="shared" si="59"/>
        <v>5006</v>
      </c>
      <c r="F672" s="917">
        <f t="shared" si="58"/>
        <v>0</v>
      </c>
      <c r="G672" s="358">
        <f>WORK!I2896</f>
        <v>0</v>
      </c>
      <c r="H672" s="354" t="s">
        <v>115</v>
      </c>
      <c r="I672" s="355">
        <f>WORK!K2896</f>
        <v>5006</v>
      </c>
      <c r="J672" s="353">
        <f t="shared" si="63"/>
        <v>0</v>
      </c>
      <c r="K672" s="1912"/>
      <c r="L672" s="1912"/>
      <c r="M672" s="708" t="s">
        <v>2321</v>
      </c>
      <c r="N672" s="223"/>
      <c r="O672" s="706">
        <f t="shared" si="64"/>
        <v>0</v>
      </c>
    </row>
    <row r="673" spans="1:15" s="360" customFormat="1" ht="38.25" hidden="1">
      <c r="A673" s="356" t="s">
        <v>530</v>
      </c>
      <c r="B673" s="707" t="s">
        <v>3315</v>
      </c>
      <c r="C673" s="633">
        <f t="shared" si="62"/>
        <v>0</v>
      </c>
      <c r="D673" s="354"/>
      <c r="E673" s="10">
        <f t="shared" si="59"/>
        <v>5297</v>
      </c>
      <c r="F673" s="917">
        <f t="shared" si="58"/>
        <v>0</v>
      </c>
      <c r="G673" s="358">
        <f>WORK!I3034</f>
        <v>0</v>
      </c>
      <c r="H673" s="354" t="s">
        <v>115</v>
      </c>
      <c r="I673" s="355">
        <f>WORK!K3034</f>
        <v>5297</v>
      </c>
      <c r="J673" s="353">
        <f t="shared" si="63"/>
        <v>0</v>
      </c>
      <c r="K673" s="1927"/>
      <c r="L673" s="1927"/>
      <c r="M673" s="1139" t="s">
        <v>2322</v>
      </c>
      <c r="N673" s="223"/>
      <c r="O673" s="1138">
        <f t="shared" si="64"/>
        <v>0</v>
      </c>
    </row>
    <row r="674" spans="1:15" s="360" customFormat="1" ht="15" hidden="1">
      <c r="A674" s="356" t="s">
        <v>644</v>
      </c>
      <c r="B674" s="707" t="s">
        <v>633</v>
      </c>
      <c r="C674" s="633">
        <f t="shared" si="62"/>
        <v>0</v>
      </c>
      <c r="D674" s="354"/>
      <c r="E674" s="15">
        <f t="shared" si="59"/>
        <v>934</v>
      </c>
      <c r="F674" s="917">
        <f t="shared" si="58"/>
        <v>0</v>
      </c>
      <c r="G674" s="358">
        <f>WORK!I2621</f>
        <v>0</v>
      </c>
      <c r="H674" s="354" t="s">
        <v>115</v>
      </c>
      <c r="I674" s="355">
        <f>WORK!K2621</f>
        <v>934</v>
      </c>
      <c r="J674" s="353">
        <f t="shared" si="63"/>
        <v>0</v>
      </c>
      <c r="K674" s="1911">
        <f>IF((J674+J675+J676+J677)&gt;(F674+F675+F676+F677),(J674+J675+J676+J677)-(F674+F675+F676+F677),0)</f>
        <v>0</v>
      </c>
      <c r="L674" s="1911">
        <f>IF((J674+J675+J676+J677)&lt;(F674+F675+F676+F677),(F674+F675+F676+F677)-(J674+J675+J676+J677),0)</f>
        <v>0</v>
      </c>
      <c r="M674" s="708" t="s">
        <v>2226</v>
      </c>
      <c r="N674" s="223"/>
      <c r="O674" s="706">
        <f t="shared" si="64"/>
        <v>0</v>
      </c>
    </row>
    <row r="675" spans="1:15" s="360" customFormat="1" ht="15" hidden="1">
      <c r="A675" s="356" t="s">
        <v>644</v>
      </c>
      <c r="B675" s="707" t="s">
        <v>633</v>
      </c>
      <c r="C675" s="633">
        <f t="shared" si="62"/>
        <v>0</v>
      </c>
      <c r="D675" s="354"/>
      <c r="E675" s="15">
        <f t="shared" si="59"/>
        <v>934</v>
      </c>
      <c r="F675" s="917">
        <f t="shared" si="58"/>
        <v>0</v>
      </c>
      <c r="G675" s="358">
        <f>WORK!I2759</f>
        <v>0</v>
      </c>
      <c r="H675" s="354" t="s">
        <v>115</v>
      </c>
      <c r="I675" s="355">
        <f>WORK!K2759</f>
        <v>934</v>
      </c>
      <c r="J675" s="353">
        <f t="shared" si="63"/>
        <v>0</v>
      </c>
      <c r="K675" s="1912"/>
      <c r="L675" s="1912"/>
      <c r="M675" s="708" t="s">
        <v>2308</v>
      </c>
      <c r="N675" s="223"/>
      <c r="O675" s="706">
        <f t="shared" si="64"/>
        <v>0</v>
      </c>
    </row>
    <row r="676" spans="1:15" s="360" customFormat="1" ht="15" hidden="1">
      <c r="A676" s="356" t="s">
        <v>644</v>
      </c>
      <c r="B676" s="707" t="s">
        <v>633</v>
      </c>
      <c r="C676" s="633">
        <f t="shared" si="62"/>
        <v>0</v>
      </c>
      <c r="D676" s="354"/>
      <c r="E676" s="15">
        <f t="shared" si="59"/>
        <v>979</v>
      </c>
      <c r="F676" s="917">
        <f t="shared" si="58"/>
        <v>0</v>
      </c>
      <c r="G676" s="358">
        <f>WORK!I2901</f>
        <v>0</v>
      </c>
      <c r="H676" s="354" t="s">
        <v>115</v>
      </c>
      <c r="I676" s="355">
        <f>WORK!K2901</f>
        <v>979</v>
      </c>
      <c r="J676" s="353">
        <f t="shared" si="63"/>
        <v>0</v>
      </c>
      <c r="K676" s="1912"/>
      <c r="L676" s="1912"/>
      <c r="M676" s="708" t="s">
        <v>2321</v>
      </c>
      <c r="N676" s="223"/>
      <c r="O676" s="706">
        <f t="shared" si="64"/>
        <v>0</v>
      </c>
    </row>
    <row r="677" spans="1:15" s="360" customFormat="1" ht="15" hidden="1">
      <c r="A677" s="356" t="s">
        <v>644</v>
      </c>
      <c r="B677" s="707" t="s">
        <v>633</v>
      </c>
      <c r="C677" s="633">
        <f t="shared" si="62"/>
        <v>0</v>
      </c>
      <c r="D677" s="354"/>
      <c r="E677" s="15">
        <f t="shared" si="59"/>
        <v>1036</v>
      </c>
      <c r="F677" s="917">
        <f t="shared" si="58"/>
        <v>0</v>
      </c>
      <c r="G677" s="358">
        <f>WORK!I3039</f>
        <v>0</v>
      </c>
      <c r="H677" s="354" t="s">
        <v>115</v>
      </c>
      <c r="I677" s="355">
        <f>WORK!K3039</f>
        <v>1036</v>
      </c>
      <c r="J677" s="353">
        <f t="shared" si="63"/>
        <v>0</v>
      </c>
      <c r="K677" s="1913"/>
      <c r="L677" s="1913"/>
      <c r="M677" s="708" t="s">
        <v>2322</v>
      </c>
      <c r="N677" s="223"/>
      <c r="O677" s="706">
        <f t="shared" si="64"/>
        <v>0</v>
      </c>
    </row>
    <row r="678" spans="1:15" s="360" customFormat="1" ht="38.25" hidden="1">
      <c r="A678" s="356" t="s">
        <v>1580</v>
      </c>
      <c r="B678" s="707" t="s">
        <v>3316</v>
      </c>
      <c r="C678" s="633">
        <f t="shared" si="62"/>
        <v>0</v>
      </c>
      <c r="D678" s="916" t="s">
        <v>115</v>
      </c>
      <c r="E678" s="15">
        <f t="shared" si="59"/>
        <v>1827</v>
      </c>
      <c r="F678" s="917">
        <f t="shared" si="58"/>
        <v>0</v>
      </c>
      <c r="G678" s="358">
        <f>WORK!I2631</f>
        <v>0</v>
      </c>
      <c r="H678" s="354" t="s">
        <v>115</v>
      </c>
      <c r="I678" s="355">
        <f>WORK!K2631</f>
        <v>1827</v>
      </c>
      <c r="J678" s="353">
        <f t="shared" si="63"/>
        <v>0</v>
      </c>
      <c r="K678" s="1911">
        <f>IF((J678+J679+J680+J681)&gt;(F678+F679+F680+F681),(J678+J679+J680+J681)-(F678+F679+F680+F681),0)</f>
        <v>0</v>
      </c>
      <c r="L678" s="1911">
        <f>IF((J678+J679+J680+J681)&lt;(F678+F679+F680+F681),(F678+F679+F680+F681)-(J678+J679+J680+J681),0)</f>
        <v>0</v>
      </c>
      <c r="M678" s="708" t="s">
        <v>2226</v>
      </c>
      <c r="N678" s="223"/>
      <c r="O678" s="706">
        <f t="shared" si="64"/>
        <v>0</v>
      </c>
    </row>
    <row r="679" spans="1:15" s="360" customFormat="1" ht="15" hidden="1">
      <c r="A679" s="356" t="s">
        <v>2711</v>
      </c>
      <c r="B679" s="707" t="s">
        <v>634</v>
      </c>
      <c r="C679" s="633">
        <f t="shared" si="62"/>
        <v>0</v>
      </c>
      <c r="D679" s="354"/>
      <c r="E679" s="15">
        <f t="shared" si="59"/>
        <v>1827</v>
      </c>
      <c r="F679" s="917">
        <f t="shared" si="58"/>
        <v>0</v>
      </c>
      <c r="G679" s="358">
        <f>WORK!I2769</f>
        <v>0</v>
      </c>
      <c r="H679" s="354" t="s">
        <v>115</v>
      </c>
      <c r="I679" s="355">
        <f>WORK!K2769</f>
        <v>1827</v>
      </c>
      <c r="J679" s="353">
        <f t="shared" si="63"/>
        <v>0</v>
      </c>
      <c r="K679" s="1912"/>
      <c r="L679" s="1912"/>
      <c r="M679" s="708" t="s">
        <v>2308</v>
      </c>
      <c r="N679" s="223"/>
      <c r="O679" s="706">
        <f t="shared" si="64"/>
        <v>0</v>
      </c>
    </row>
    <row r="680" spans="1:15" s="360" customFormat="1" ht="15" hidden="1">
      <c r="A680" s="356" t="s">
        <v>1158</v>
      </c>
      <c r="B680" s="707" t="s">
        <v>634</v>
      </c>
      <c r="C680" s="633">
        <f t="shared" si="62"/>
        <v>0</v>
      </c>
      <c r="D680" s="354"/>
      <c r="E680" s="15">
        <f t="shared" si="59"/>
        <v>1915</v>
      </c>
      <c r="F680" s="917">
        <f t="shared" si="58"/>
        <v>0</v>
      </c>
      <c r="G680" s="358">
        <f>WORK!I2911</f>
        <v>0</v>
      </c>
      <c r="H680" s="354" t="s">
        <v>115</v>
      </c>
      <c r="I680" s="355">
        <f>WORK!K2911</f>
        <v>1915</v>
      </c>
      <c r="J680" s="353">
        <f t="shared" si="63"/>
        <v>0</v>
      </c>
      <c r="K680" s="1912"/>
      <c r="L680" s="1912"/>
      <c r="M680" s="708" t="s">
        <v>2321</v>
      </c>
      <c r="N680" s="223"/>
      <c r="O680" s="706">
        <f t="shared" si="64"/>
        <v>0</v>
      </c>
    </row>
    <row r="681" spans="1:15" s="360" customFormat="1" ht="15" hidden="1">
      <c r="A681" s="356" t="s">
        <v>1158</v>
      </c>
      <c r="B681" s="707" t="s">
        <v>634</v>
      </c>
      <c r="C681" s="633">
        <f t="shared" si="62"/>
        <v>0</v>
      </c>
      <c r="D681" s="354"/>
      <c r="E681" s="15">
        <f t="shared" si="59"/>
        <v>2025</v>
      </c>
      <c r="F681" s="917">
        <f t="shared" si="58"/>
        <v>0</v>
      </c>
      <c r="G681" s="358">
        <f>WORK!I3049</f>
        <v>0</v>
      </c>
      <c r="H681" s="354" t="s">
        <v>115</v>
      </c>
      <c r="I681" s="355">
        <f>WORK!K3049</f>
        <v>2025</v>
      </c>
      <c r="J681" s="353">
        <f t="shared" si="63"/>
        <v>0</v>
      </c>
      <c r="K681" s="1913"/>
      <c r="L681" s="1913"/>
      <c r="M681" s="708" t="s">
        <v>2322</v>
      </c>
      <c r="N681" s="223"/>
      <c r="O681" s="706">
        <f t="shared" si="64"/>
        <v>0</v>
      </c>
    </row>
    <row r="682" spans="1:15" s="360" customFormat="1" ht="15" hidden="1">
      <c r="A682" s="356" t="s">
        <v>1598</v>
      </c>
      <c r="B682" s="707" t="s">
        <v>1257</v>
      </c>
      <c r="C682" s="633">
        <f t="shared" si="62"/>
        <v>0</v>
      </c>
      <c r="D682" s="354"/>
      <c r="E682" s="15">
        <f t="shared" si="59"/>
        <v>2385</v>
      </c>
      <c r="F682" s="917">
        <f t="shared" si="58"/>
        <v>0</v>
      </c>
      <c r="G682" s="358">
        <f>WORK!I2626</f>
        <v>0</v>
      </c>
      <c r="H682" s="354" t="s">
        <v>115</v>
      </c>
      <c r="I682" s="355">
        <f>WORK!K2626</f>
        <v>2385</v>
      </c>
      <c r="J682" s="353">
        <f t="shared" si="63"/>
        <v>0</v>
      </c>
      <c r="K682" s="1911">
        <f>IF((J682+J683+J684+J685)&gt;(F682+F683+F684+F685),(J682+J683+J684+J685)-(F682+F683+F684+F685),0)</f>
        <v>0</v>
      </c>
      <c r="L682" s="1911">
        <f>IF((J682+J683+J684+J685)&lt;(F682+F683+F684+F685),(F682+F683+F684+F685)-(J682+J683+J684+J685),0)</f>
        <v>0</v>
      </c>
      <c r="M682" s="708" t="s">
        <v>2226</v>
      </c>
      <c r="N682" s="223"/>
      <c r="O682" s="706">
        <f t="shared" si="64"/>
        <v>0</v>
      </c>
    </row>
    <row r="683" spans="1:15" s="360" customFormat="1" ht="15" hidden="1">
      <c r="A683" s="356" t="s">
        <v>2708</v>
      </c>
      <c r="B683" s="707" t="s">
        <v>1257</v>
      </c>
      <c r="C683" s="633">
        <f t="shared" si="62"/>
        <v>0</v>
      </c>
      <c r="D683" s="354"/>
      <c r="E683" s="15">
        <f t="shared" si="59"/>
        <v>2385</v>
      </c>
      <c r="F683" s="917">
        <f t="shared" si="58"/>
        <v>0</v>
      </c>
      <c r="G683" s="358">
        <f>WORK!I2764</f>
        <v>0</v>
      </c>
      <c r="H683" s="354" t="s">
        <v>115</v>
      </c>
      <c r="I683" s="355">
        <f>WORK!K2764</f>
        <v>2385</v>
      </c>
      <c r="J683" s="353">
        <f t="shared" si="63"/>
        <v>0</v>
      </c>
      <c r="K683" s="1912"/>
      <c r="L683" s="1912"/>
      <c r="M683" s="708" t="s">
        <v>2308</v>
      </c>
      <c r="N683" s="223"/>
      <c r="O683" s="706">
        <f t="shared" si="64"/>
        <v>0</v>
      </c>
    </row>
    <row r="684" spans="1:15" s="360" customFormat="1" ht="15" hidden="1">
      <c r="A684" s="356" t="s">
        <v>1598</v>
      </c>
      <c r="B684" s="707" t="s">
        <v>1257</v>
      </c>
      <c r="C684" s="633">
        <f t="shared" si="62"/>
        <v>0</v>
      </c>
      <c r="D684" s="354"/>
      <c r="E684" s="15">
        <f t="shared" si="59"/>
        <v>2499</v>
      </c>
      <c r="F684" s="917">
        <f t="shared" si="58"/>
        <v>0</v>
      </c>
      <c r="G684" s="358">
        <f>WORK!I2906</f>
        <v>0</v>
      </c>
      <c r="H684" s="354" t="s">
        <v>115</v>
      </c>
      <c r="I684" s="355">
        <f>WORK!K2906</f>
        <v>2499</v>
      </c>
      <c r="J684" s="353">
        <f t="shared" si="63"/>
        <v>0</v>
      </c>
      <c r="K684" s="1912"/>
      <c r="L684" s="1912"/>
      <c r="M684" s="708" t="s">
        <v>2321</v>
      </c>
      <c r="N684" s="223"/>
      <c r="O684" s="706">
        <f t="shared" si="64"/>
        <v>0</v>
      </c>
    </row>
    <row r="685" spans="1:15" s="360" customFormat="1" ht="15" hidden="1">
      <c r="A685" s="356" t="s">
        <v>1598</v>
      </c>
      <c r="B685" s="707" t="s">
        <v>1257</v>
      </c>
      <c r="C685" s="633">
        <f t="shared" si="62"/>
        <v>0</v>
      </c>
      <c r="D685" s="354"/>
      <c r="E685" s="15">
        <f t="shared" si="59"/>
        <v>2644</v>
      </c>
      <c r="F685" s="917">
        <f t="shared" si="58"/>
        <v>0</v>
      </c>
      <c r="G685" s="358">
        <f>WORK!I3044</f>
        <v>0</v>
      </c>
      <c r="H685" s="354" t="s">
        <v>115</v>
      </c>
      <c r="I685" s="355">
        <f>WORK!K3044</f>
        <v>2644</v>
      </c>
      <c r="J685" s="353">
        <f t="shared" si="63"/>
        <v>0</v>
      </c>
      <c r="K685" s="1913"/>
      <c r="L685" s="1913"/>
      <c r="M685" s="708" t="s">
        <v>2322</v>
      </c>
      <c r="N685" s="223"/>
      <c r="O685" s="706">
        <f t="shared" si="64"/>
        <v>0</v>
      </c>
    </row>
    <row r="686" spans="1:15" s="360" customFormat="1" ht="25.5" hidden="1">
      <c r="A686" s="356" t="s">
        <v>1145</v>
      </c>
      <c r="B686" s="707" t="s">
        <v>3317</v>
      </c>
      <c r="C686" s="633">
        <f t="shared" si="62"/>
        <v>0</v>
      </c>
      <c r="D686" s="916" t="s">
        <v>115</v>
      </c>
      <c r="E686" s="15">
        <f t="shared" si="59"/>
        <v>122</v>
      </c>
      <c r="F686" s="917">
        <f t="shared" si="58"/>
        <v>0</v>
      </c>
      <c r="G686" s="358">
        <f>WORK!I2636</f>
        <v>0</v>
      </c>
      <c r="H686" s="354" t="s">
        <v>115</v>
      </c>
      <c r="I686" s="355">
        <f>WORK!K2636</f>
        <v>122</v>
      </c>
      <c r="J686" s="353">
        <f t="shared" si="63"/>
        <v>0</v>
      </c>
      <c r="K686" s="1911">
        <f>IF((J686+J687+J688+J689)&gt;(F686+F687+F688+F689),(J686+J687+J688+J689)-(F686+F687+F688+F689),0)</f>
        <v>0</v>
      </c>
      <c r="L686" s="1911">
        <f>IF((J686+J687+J688+J689)&lt;(F686+F687+F688+F689),(F686+F687+F688+F689)-(J686+J687+J688+J689),0)</f>
        <v>0</v>
      </c>
      <c r="M686" s="708" t="s">
        <v>2226</v>
      </c>
      <c r="N686" s="223"/>
      <c r="O686" s="706">
        <f t="shared" si="64"/>
        <v>0</v>
      </c>
    </row>
    <row r="687" spans="1:15" s="360" customFormat="1" ht="15" hidden="1">
      <c r="A687" s="356" t="s">
        <v>1159</v>
      </c>
      <c r="B687" s="707" t="s">
        <v>719</v>
      </c>
      <c r="C687" s="633">
        <f t="shared" si="62"/>
        <v>0</v>
      </c>
      <c r="D687" s="354"/>
      <c r="E687" s="15">
        <f t="shared" si="59"/>
        <v>86</v>
      </c>
      <c r="F687" s="917">
        <f t="shared" si="58"/>
        <v>0</v>
      </c>
      <c r="G687" s="358">
        <f>WORK!I2774</f>
        <v>0</v>
      </c>
      <c r="H687" s="354" t="s">
        <v>115</v>
      </c>
      <c r="I687" s="355">
        <f>WORK!K2774</f>
        <v>86</v>
      </c>
      <c r="J687" s="353">
        <f t="shared" si="63"/>
        <v>0</v>
      </c>
      <c r="K687" s="1912"/>
      <c r="L687" s="1912"/>
      <c r="M687" s="708" t="s">
        <v>2308</v>
      </c>
      <c r="N687" s="223"/>
      <c r="O687" s="706">
        <f t="shared" si="64"/>
        <v>0</v>
      </c>
    </row>
    <row r="688" spans="1:15" s="360" customFormat="1" ht="15" hidden="1">
      <c r="A688" s="356" t="s">
        <v>1260</v>
      </c>
      <c r="B688" s="707" t="s">
        <v>719</v>
      </c>
      <c r="C688" s="633">
        <f t="shared" si="62"/>
        <v>0</v>
      </c>
      <c r="D688" s="354"/>
      <c r="E688" s="15">
        <f t="shared" si="59"/>
        <v>89</v>
      </c>
      <c r="F688" s="917">
        <f t="shared" ref="F688:F751" si="67">ROUND(C688*E688,0)</f>
        <v>0</v>
      </c>
      <c r="G688" s="358">
        <f>WORK!I2916</f>
        <v>0</v>
      </c>
      <c r="H688" s="354" t="s">
        <v>115</v>
      </c>
      <c r="I688" s="355">
        <f>WORK!K2916</f>
        <v>89</v>
      </c>
      <c r="J688" s="353">
        <f t="shared" si="63"/>
        <v>0</v>
      </c>
      <c r="K688" s="1912"/>
      <c r="L688" s="1912"/>
      <c r="M688" s="708" t="s">
        <v>2321</v>
      </c>
      <c r="N688" s="223"/>
      <c r="O688" s="706">
        <f t="shared" si="64"/>
        <v>0</v>
      </c>
    </row>
    <row r="689" spans="1:15" s="360" customFormat="1" ht="25.5" hidden="1">
      <c r="A689" s="356" t="s">
        <v>531</v>
      </c>
      <c r="B689" s="707" t="s">
        <v>3317</v>
      </c>
      <c r="C689" s="633">
        <f t="shared" si="62"/>
        <v>0</v>
      </c>
      <c r="D689" s="354"/>
      <c r="E689" s="10">
        <f t="shared" ref="E689:E752" si="68">I689</f>
        <v>93</v>
      </c>
      <c r="F689" s="917">
        <f t="shared" si="67"/>
        <v>0</v>
      </c>
      <c r="G689" s="358">
        <f>WORK!I3054</f>
        <v>0</v>
      </c>
      <c r="H689" s="354" t="s">
        <v>115</v>
      </c>
      <c r="I689" s="355">
        <f>WORK!K3054</f>
        <v>93</v>
      </c>
      <c r="J689" s="353">
        <f t="shared" si="63"/>
        <v>0</v>
      </c>
      <c r="K689" s="1927"/>
      <c r="L689" s="1927"/>
      <c r="M689" s="1139" t="s">
        <v>2322</v>
      </c>
      <c r="N689" s="223"/>
      <c r="O689" s="1138">
        <f t="shared" si="64"/>
        <v>0</v>
      </c>
    </row>
    <row r="690" spans="1:15" s="360" customFormat="1" ht="15" hidden="1">
      <c r="A690" s="356" t="s">
        <v>1594</v>
      </c>
      <c r="B690" s="357" t="s">
        <v>2455</v>
      </c>
      <c r="C690" s="633">
        <f t="shared" si="62"/>
        <v>0</v>
      </c>
      <c r="D690" s="916" t="s">
        <v>115</v>
      </c>
      <c r="E690" s="15">
        <f t="shared" si="68"/>
        <v>0</v>
      </c>
      <c r="F690" s="917">
        <f t="shared" si="67"/>
        <v>0</v>
      </c>
      <c r="G690" s="358"/>
      <c r="H690" s="354"/>
      <c r="I690" s="355"/>
      <c r="J690" s="353">
        <f t="shared" si="63"/>
        <v>0</v>
      </c>
      <c r="K690" s="743">
        <f t="shared" ref="K690" si="69">IF(J690&gt;F690,J690-F690,0)</f>
        <v>0</v>
      </c>
      <c r="L690" s="368">
        <f t="shared" ref="L690" si="70">IF(J690&lt;F690,F690-J690,0)</f>
        <v>0</v>
      </c>
      <c r="M690" s="708" t="s">
        <v>2226</v>
      </c>
      <c r="N690" s="223"/>
      <c r="O690" s="706">
        <f t="shared" si="64"/>
        <v>0</v>
      </c>
    </row>
    <row r="691" spans="1:15" s="360" customFormat="1" ht="25.5" hidden="1">
      <c r="A691" s="356" t="s">
        <v>1595</v>
      </c>
      <c r="B691" s="707" t="s">
        <v>3318</v>
      </c>
      <c r="C691" s="633">
        <f t="shared" si="62"/>
        <v>0</v>
      </c>
      <c r="D691" s="916" t="s">
        <v>574</v>
      </c>
      <c r="E691" s="15">
        <f t="shared" si="68"/>
        <v>6</v>
      </c>
      <c r="F691" s="917">
        <f t="shared" si="67"/>
        <v>0</v>
      </c>
      <c r="G691" s="358">
        <f>WORK!I2641</f>
        <v>0</v>
      </c>
      <c r="H691" s="354" t="s">
        <v>574</v>
      </c>
      <c r="I691" s="355">
        <f>WORK!K2641</f>
        <v>6</v>
      </c>
      <c r="J691" s="353">
        <f t="shared" si="63"/>
        <v>0</v>
      </c>
      <c r="K691" s="1911">
        <f>IF((J691+J692+J693+J694)&gt;(F691+F692+F693+F694),(J691+J692+J693+J694)-(F691+F692+F693+F694),0)</f>
        <v>0</v>
      </c>
      <c r="L691" s="1911">
        <f>IF((J691+J692+J693+J694)&lt;(F691+F692+F693+F694),(F691+F692+F693+F694)-(J691+J692+J693+J694),0)</f>
        <v>0</v>
      </c>
      <c r="M691" s="708" t="s">
        <v>2226</v>
      </c>
      <c r="N691" s="223"/>
      <c r="O691" s="706">
        <f t="shared" si="64"/>
        <v>0</v>
      </c>
    </row>
    <row r="692" spans="1:15" s="360" customFormat="1" ht="15" hidden="1">
      <c r="A692" s="356" t="s">
        <v>1160</v>
      </c>
      <c r="B692" s="707" t="s">
        <v>552</v>
      </c>
      <c r="C692" s="633">
        <f t="shared" si="62"/>
        <v>0</v>
      </c>
      <c r="D692" s="354"/>
      <c r="E692" s="15">
        <f t="shared" si="68"/>
        <v>6</v>
      </c>
      <c r="F692" s="917">
        <f t="shared" si="67"/>
        <v>0</v>
      </c>
      <c r="G692" s="358">
        <f>WORK!I2779</f>
        <v>0</v>
      </c>
      <c r="H692" s="354" t="s">
        <v>574</v>
      </c>
      <c r="I692" s="355">
        <f>WORK!K2779</f>
        <v>6</v>
      </c>
      <c r="J692" s="353">
        <f t="shared" si="63"/>
        <v>0</v>
      </c>
      <c r="K692" s="1912"/>
      <c r="L692" s="1912"/>
      <c r="M692" s="708" t="s">
        <v>2308</v>
      </c>
      <c r="N692" s="223"/>
      <c r="O692" s="706">
        <f t="shared" si="64"/>
        <v>0</v>
      </c>
    </row>
    <row r="693" spans="1:15" s="360" customFormat="1" ht="15" hidden="1">
      <c r="A693" s="356" t="s">
        <v>1260</v>
      </c>
      <c r="B693" s="707" t="s">
        <v>552</v>
      </c>
      <c r="C693" s="633">
        <f t="shared" si="62"/>
        <v>0</v>
      </c>
      <c r="D693" s="354"/>
      <c r="E693" s="15">
        <f t="shared" si="68"/>
        <v>6</v>
      </c>
      <c r="F693" s="917">
        <f t="shared" si="67"/>
        <v>0</v>
      </c>
      <c r="G693" s="358">
        <f>WORK!I2921</f>
        <v>0</v>
      </c>
      <c r="H693" s="354" t="s">
        <v>574</v>
      </c>
      <c r="I693" s="355">
        <f>WORK!K2921</f>
        <v>6</v>
      </c>
      <c r="J693" s="353">
        <f t="shared" si="63"/>
        <v>0</v>
      </c>
      <c r="K693" s="1912"/>
      <c r="L693" s="1912"/>
      <c r="M693" s="708" t="s">
        <v>2321</v>
      </c>
      <c r="N693" s="223"/>
      <c r="O693" s="706">
        <f t="shared" si="64"/>
        <v>0</v>
      </c>
    </row>
    <row r="694" spans="1:15" s="360" customFormat="1" ht="25.5" hidden="1">
      <c r="A694" s="356" t="s">
        <v>532</v>
      </c>
      <c r="B694" s="707" t="s">
        <v>3318</v>
      </c>
      <c r="C694" s="633">
        <f t="shared" si="62"/>
        <v>0</v>
      </c>
      <c r="D694" s="354"/>
      <c r="E694" s="10">
        <f t="shared" si="68"/>
        <v>9.5</v>
      </c>
      <c r="F694" s="917">
        <f t="shared" si="67"/>
        <v>0</v>
      </c>
      <c r="G694" s="358">
        <f>WORK!I3059</f>
        <v>0</v>
      </c>
      <c r="H694" s="354" t="s">
        <v>574</v>
      </c>
      <c r="I694" s="355">
        <f>WORK!K3059</f>
        <v>9.5</v>
      </c>
      <c r="J694" s="353">
        <f t="shared" si="63"/>
        <v>0</v>
      </c>
      <c r="K694" s="1927"/>
      <c r="L694" s="1927"/>
      <c r="M694" s="1139" t="s">
        <v>2322</v>
      </c>
      <c r="N694" s="223"/>
      <c r="O694" s="1138">
        <f t="shared" si="64"/>
        <v>0</v>
      </c>
    </row>
    <row r="695" spans="1:15" s="360" customFormat="1" ht="15" hidden="1">
      <c r="A695" s="356" t="s">
        <v>1596</v>
      </c>
      <c r="B695" s="357" t="s">
        <v>2456</v>
      </c>
      <c r="C695" s="633">
        <f t="shared" si="62"/>
        <v>0</v>
      </c>
      <c r="D695" s="916" t="s">
        <v>115</v>
      </c>
      <c r="E695" s="15">
        <f t="shared" si="68"/>
        <v>0</v>
      </c>
      <c r="F695" s="917">
        <f t="shared" si="67"/>
        <v>0</v>
      </c>
      <c r="G695" s="358"/>
      <c r="H695" s="354"/>
      <c r="I695" s="355"/>
      <c r="J695" s="353">
        <f t="shared" si="63"/>
        <v>0</v>
      </c>
      <c r="K695" s="743">
        <f t="shared" ref="K695:K696" si="71">IF(J695&gt;F695,J695-F695,0)</f>
        <v>0</v>
      </c>
      <c r="L695" s="368">
        <f t="shared" ref="L695:L696" si="72">IF(J695&lt;F695,F695-J695,0)</f>
        <v>0</v>
      </c>
      <c r="M695" s="708" t="s">
        <v>2226</v>
      </c>
      <c r="N695" s="223"/>
      <c r="O695" s="706">
        <f t="shared" si="64"/>
        <v>0</v>
      </c>
    </row>
    <row r="696" spans="1:15" s="360" customFormat="1" ht="15" hidden="1">
      <c r="A696" s="356" t="s">
        <v>1597</v>
      </c>
      <c r="B696" s="357" t="s">
        <v>2457</v>
      </c>
      <c r="C696" s="633">
        <f t="shared" si="62"/>
        <v>0</v>
      </c>
      <c r="D696" s="916" t="s">
        <v>277</v>
      </c>
      <c r="E696" s="15">
        <f t="shared" si="68"/>
        <v>0</v>
      </c>
      <c r="F696" s="917">
        <f t="shared" si="67"/>
        <v>0</v>
      </c>
      <c r="G696" s="358"/>
      <c r="H696" s="354"/>
      <c r="I696" s="355"/>
      <c r="J696" s="353">
        <f t="shared" si="63"/>
        <v>0</v>
      </c>
      <c r="K696" s="743">
        <f t="shared" si="71"/>
        <v>0</v>
      </c>
      <c r="L696" s="368">
        <f t="shared" si="72"/>
        <v>0</v>
      </c>
      <c r="M696" s="708" t="s">
        <v>2226</v>
      </c>
      <c r="N696" s="223"/>
      <c r="O696" s="706">
        <f t="shared" si="64"/>
        <v>0</v>
      </c>
    </row>
    <row r="697" spans="1:15" s="360" customFormat="1" ht="25.5" hidden="1">
      <c r="A697" s="356" t="s">
        <v>1583</v>
      </c>
      <c r="B697" s="707" t="s">
        <v>3319</v>
      </c>
      <c r="C697" s="633">
        <f t="shared" si="62"/>
        <v>0</v>
      </c>
      <c r="D697" s="916" t="s">
        <v>277</v>
      </c>
      <c r="E697" s="10">
        <f t="shared" si="68"/>
        <v>446.4</v>
      </c>
      <c r="F697" s="917">
        <f t="shared" si="67"/>
        <v>0</v>
      </c>
      <c r="G697" s="358">
        <f>WORK!I2644</f>
        <v>0</v>
      </c>
      <c r="H697" s="354" t="s">
        <v>277</v>
      </c>
      <c r="I697" s="355">
        <f>WORK!K2644</f>
        <v>446.4</v>
      </c>
      <c r="J697" s="353">
        <f t="shared" si="63"/>
        <v>0</v>
      </c>
      <c r="K697" s="1930">
        <f>IF((J697+J698+J699+J700)&gt;(F697+F698+F699+F700),(J697+J698+J699+J700)-(F697+F698+F699+F700),0)</f>
        <v>0</v>
      </c>
      <c r="L697" s="1930">
        <f>IF((J697+J698+J699+J700)&lt;(F697+F698+F699+F700),(F697+F698+F699+F700)-(J697+J698+J699+J700),0)</f>
        <v>0</v>
      </c>
      <c r="M697" s="1139" t="s">
        <v>2226</v>
      </c>
      <c r="N697" s="223"/>
      <c r="O697" s="1138">
        <f t="shared" si="64"/>
        <v>0</v>
      </c>
    </row>
    <row r="698" spans="1:15" s="360" customFormat="1" ht="15" hidden="1">
      <c r="A698" s="356" t="s">
        <v>1161</v>
      </c>
      <c r="B698" s="707" t="s">
        <v>553</v>
      </c>
      <c r="C698" s="633">
        <f t="shared" si="62"/>
        <v>0</v>
      </c>
      <c r="D698" s="354"/>
      <c r="E698" s="15">
        <f t="shared" si="68"/>
        <v>446.4</v>
      </c>
      <c r="F698" s="917">
        <f t="shared" si="67"/>
        <v>0</v>
      </c>
      <c r="G698" s="358">
        <f>WORK!I2782</f>
        <v>0</v>
      </c>
      <c r="H698" s="354" t="s">
        <v>277</v>
      </c>
      <c r="I698" s="355">
        <f>WORK!K2782</f>
        <v>446.4</v>
      </c>
      <c r="J698" s="353">
        <f t="shared" si="63"/>
        <v>0</v>
      </c>
      <c r="K698" s="1912"/>
      <c r="L698" s="1912"/>
      <c r="M698" s="708" t="s">
        <v>2308</v>
      </c>
      <c r="N698" s="223"/>
      <c r="O698" s="706">
        <f t="shared" si="64"/>
        <v>0</v>
      </c>
    </row>
    <row r="699" spans="1:15" s="360" customFormat="1" ht="15" hidden="1">
      <c r="A699" s="356" t="s">
        <v>1160</v>
      </c>
      <c r="B699" s="707" t="s">
        <v>553</v>
      </c>
      <c r="C699" s="633">
        <f t="shared" si="62"/>
        <v>0</v>
      </c>
      <c r="D699" s="354"/>
      <c r="E699" s="15">
        <f t="shared" si="68"/>
        <v>470</v>
      </c>
      <c r="F699" s="917">
        <f t="shared" si="67"/>
        <v>0</v>
      </c>
      <c r="G699" s="358">
        <f>WORK!I2924</f>
        <v>0</v>
      </c>
      <c r="H699" s="354" t="s">
        <v>277</v>
      </c>
      <c r="I699" s="355">
        <f>WORK!K2924</f>
        <v>470</v>
      </c>
      <c r="J699" s="353">
        <f t="shared" si="63"/>
        <v>0</v>
      </c>
      <c r="K699" s="1912"/>
      <c r="L699" s="1912"/>
      <c r="M699" s="708" t="s">
        <v>2321</v>
      </c>
      <c r="N699" s="223"/>
      <c r="O699" s="706">
        <f t="shared" si="64"/>
        <v>0</v>
      </c>
    </row>
    <row r="700" spans="1:15" s="360" customFormat="1" ht="15" hidden="1">
      <c r="A700" s="356" t="s">
        <v>1160</v>
      </c>
      <c r="B700" s="707" t="s">
        <v>553</v>
      </c>
      <c r="C700" s="633">
        <f t="shared" si="62"/>
        <v>0</v>
      </c>
      <c r="D700" s="354"/>
      <c r="E700" s="15">
        <f t="shared" si="68"/>
        <v>446.4</v>
      </c>
      <c r="F700" s="917">
        <f t="shared" si="67"/>
        <v>0</v>
      </c>
      <c r="G700" s="358">
        <f>WORK!I3062</f>
        <v>0</v>
      </c>
      <c r="H700" s="354" t="s">
        <v>277</v>
      </c>
      <c r="I700" s="355">
        <f>WORK!K3062</f>
        <v>446.4</v>
      </c>
      <c r="J700" s="353">
        <f t="shared" si="63"/>
        <v>0</v>
      </c>
      <c r="K700" s="1913"/>
      <c r="L700" s="1913"/>
      <c r="M700" s="708" t="s">
        <v>2322</v>
      </c>
      <c r="N700" s="223"/>
      <c r="O700" s="706">
        <f t="shared" si="64"/>
        <v>0</v>
      </c>
    </row>
    <row r="701" spans="1:15" s="360" customFormat="1" ht="25.5" hidden="1">
      <c r="A701" s="356" t="s">
        <v>533</v>
      </c>
      <c r="B701" s="707" t="s">
        <v>3319</v>
      </c>
      <c r="C701" s="633">
        <f t="shared" si="62"/>
        <v>0</v>
      </c>
      <c r="D701" s="916" t="s">
        <v>277</v>
      </c>
      <c r="E701" s="10">
        <f t="shared" si="68"/>
        <v>477.6</v>
      </c>
      <c r="F701" s="917">
        <f t="shared" si="67"/>
        <v>0</v>
      </c>
      <c r="G701" s="358">
        <f>WORK!I2645</f>
        <v>0</v>
      </c>
      <c r="H701" s="354" t="s">
        <v>277</v>
      </c>
      <c r="I701" s="355">
        <f>WORK!K2645</f>
        <v>477.6</v>
      </c>
      <c r="J701" s="353">
        <f t="shared" si="63"/>
        <v>0</v>
      </c>
      <c r="K701" s="1930">
        <f>IF((J701+J702+J703+J704)&gt;(F701+F702+F703+F704),(J701+J702+J703+J704)-(F701+F702+F703+F704),0)</f>
        <v>0</v>
      </c>
      <c r="L701" s="1930">
        <f>IF((J701+J702+J703+J704)&lt;(F701+F702+F703+F704),(F701+F702+F703+F704)-(J701+J702+J703+J704),0)</f>
        <v>0</v>
      </c>
      <c r="M701" s="1139" t="s">
        <v>2226</v>
      </c>
      <c r="N701" s="223"/>
      <c r="O701" s="1138">
        <f t="shared" si="64"/>
        <v>0</v>
      </c>
    </row>
    <row r="702" spans="1:15" s="360" customFormat="1" ht="15" hidden="1">
      <c r="A702" s="356" t="s">
        <v>524</v>
      </c>
      <c r="B702" s="707" t="s">
        <v>553</v>
      </c>
      <c r="C702" s="633">
        <f t="shared" si="62"/>
        <v>0</v>
      </c>
      <c r="D702" s="354"/>
      <c r="E702" s="15">
        <f t="shared" si="68"/>
        <v>477.6</v>
      </c>
      <c r="F702" s="917">
        <f t="shared" si="67"/>
        <v>0</v>
      </c>
      <c r="G702" s="358">
        <f>WORK!I2783</f>
        <v>0</v>
      </c>
      <c r="H702" s="354" t="s">
        <v>277</v>
      </c>
      <c r="I702" s="355">
        <f>WORK!K2783</f>
        <v>477.6</v>
      </c>
      <c r="J702" s="353">
        <f t="shared" si="63"/>
        <v>0</v>
      </c>
      <c r="K702" s="1912"/>
      <c r="L702" s="1912"/>
      <c r="M702" s="708" t="s">
        <v>2308</v>
      </c>
      <c r="N702" s="223"/>
      <c r="O702" s="706">
        <f t="shared" si="64"/>
        <v>0</v>
      </c>
    </row>
    <row r="703" spans="1:15" s="360" customFormat="1" ht="15" hidden="1">
      <c r="A703" s="356" t="s">
        <v>524</v>
      </c>
      <c r="B703" s="707" t="s">
        <v>553</v>
      </c>
      <c r="C703" s="633">
        <f t="shared" si="62"/>
        <v>0</v>
      </c>
      <c r="D703" s="354"/>
      <c r="E703" s="15">
        <f t="shared" si="68"/>
        <v>502</v>
      </c>
      <c r="F703" s="917">
        <f t="shared" si="67"/>
        <v>0</v>
      </c>
      <c r="G703" s="358">
        <f>WORK!I2925</f>
        <v>0</v>
      </c>
      <c r="H703" s="354" t="s">
        <v>277</v>
      </c>
      <c r="I703" s="355">
        <f>WORK!K2925</f>
        <v>502</v>
      </c>
      <c r="J703" s="353">
        <f t="shared" si="63"/>
        <v>0</v>
      </c>
      <c r="K703" s="1912"/>
      <c r="L703" s="1912"/>
      <c r="M703" s="708" t="s">
        <v>2321</v>
      </c>
      <c r="N703" s="223"/>
      <c r="O703" s="706">
        <f t="shared" si="64"/>
        <v>0</v>
      </c>
    </row>
    <row r="704" spans="1:15" s="360" customFormat="1" ht="15" hidden="1">
      <c r="A704" s="356" t="s">
        <v>524</v>
      </c>
      <c r="B704" s="707" t="s">
        <v>553</v>
      </c>
      <c r="C704" s="633">
        <f t="shared" si="62"/>
        <v>0</v>
      </c>
      <c r="D704" s="354"/>
      <c r="E704" s="15">
        <f t="shared" si="68"/>
        <v>477.6</v>
      </c>
      <c r="F704" s="917">
        <f t="shared" si="67"/>
        <v>0</v>
      </c>
      <c r="G704" s="358">
        <f>WORK!I3063</f>
        <v>0</v>
      </c>
      <c r="H704" s="354" t="s">
        <v>277</v>
      </c>
      <c r="I704" s="355">
        <f>WORK!K3063</f>
        <v>477.6</v>
      </c>
      <c r="J704" s="353">
        <f t="shared" si="63"/>
        <v>0</v>
      </c>
      <c r="K704" s="1913"/>
      <c r="L704" s="1913"/>
      <c r="M704" s="708" t="s">
        <v>2322</v>
      </c>
      <c r="N704" s="223"/>
      <c r="O704" s="706">
        <f t="shared" si="64"/>
        <v>0</v>
      </c>
    </row>
    <row r="705" spans="1:15" s="360" customFormat="1" ht="15" hidden="1">
      <c r="A705" s="356" t="s">
        <v>525</v>
      </c>
      <c r="B705" s="707" t="s">
        <v>553</v>
      </c>
      <c r="C705" s="633">
        <f t="shared" si="62"/>
        <v>0</v>
      </c>
      <c r="D705" s="354"/>
      <c r="E705" s="15">
        <f t="shared" si="68"/>
        <v>600</v>
      </c>
      <c r="F705" s="917">
        <f t="shared" si="67"/>
        <v>0</v>
      </c>
      <c r="G705" s="358">
        <f>WORK!I2646</f>
        <v>0</v>
      </c>
      <c r="H705" s="354" t="s">
        <v>277</v>
      </c>
      <c r="I705" s="355">
        <f>WORK!K2646</f>
        <v>600</v>
      </c>
      <c r="J705" s="353">
        <f t="shared" si="63"/>
        <v>0</v>
      </c>
      <c r="K705" s="1911">
        <f>IF((J705+J706+J707+J708)&gt;(F705+F706+F707+F708),(J705+J706+J707+J708)-(F705+F706+F707+F708),0)</f>
        <v>0</v>
      </c>
      <c r="L705" s="1911">
        <f>IF((J705+J706+J707+J708)&lt;(F705+F706+F707+F708),(F705+F706+F707+F708)-(J705+J706+J707+J708),0)</f>
        <v>0</v>
      </c>
      <c r="M705" s="708" t="s">
        <v>2226</v>
      </c>
      <c r="N705" s="223"/>
      <c r="O705" s="706">
        <f t="shared" si="64"/>
        <v>0</v>
      </c>
    </row>
    <row r="706" spans="1:15" s="360" customFormat="1" ht="15" hidden="1">
      <c r="A706" s="356" t="s">
        <v>525</v>
      </c>
      <c r="B706" s="707" t="s">
        <v>553</v>
      </c>
      <c r="C706" s="633">
        <f t="shared" si="62"/>
        <v>0</v>
      </c>
      <c r="D706" s="354"/>
      <c r="E706" s="15">
        <f t="shared" si="68"/>
        <v>535.70000000000005</v>
      </c>
      <c r="F706" s="917">
        <f t="shared" si="67"/>
        <v>0</v>
      </c>
      <c r="G706" s="358">
        <f>WORK!I2784</f>
        <v>0</v>
      </c>
      <c r="H706" s="354" t="s">
        <v>277</v>
      </c>
      <c r="I706" s="355">
        <f>WORK!K2784</f>
        <v>535.70000000000005</v>
      </c>
      <c r="J706" s="353">
        <f t="shared" si="63"/>
        <v>0</v>
      </c>
      <c r="K706" s="1912"/>
      <c r="L706" s="1912"/>
      <c r="M706" s="708" t="s">
        <v>2308</v>
      </c>
      <c r="N706" s="223"/>
      <c r="O706" s="706">
        <f t="shared" si="64"/>
        <v>0</v>
      </c>
    </row>
    <row r="707" spans="1:15" s="360" customFormat="1" ht="15" hidden="1">
      <c r="A707" s="356" t="s">
        <v>525</v>
      </c>
      <c r="B707" s="707" t="s">
        <v>553</v>
      </c>
      <c r="C707" s="633">
        <f t="shared" si="62"/>
        <v>0</v>
      </c>
      <c r="D707" s="354"/>
      <c r="E707" s="15">
        <f t="shared" si="68"/>
        <v>563</v>
      </c>
      <c r="F707" s="917">
        <f t="shared" si="67"/>
        <v>0</v>
      </c>
      <c r="G707" s="358">
        <f>WORK!I2926</f>
        <v>0</v>
      </c>
      <c r="H707" s="354" t="s">
        <v>277</v>
      </c>
      <c r="I707" s="355">
        <f>WORK!K2926</f>
        <v>563</v>
      </c>
      <c r="J707" s="353">
        <f t="shared" si="63"/>
        <v>0</v>
      </c>
      <c r="K707" s="1912"/>
      <c r="L707" s="1912"/>
      <c r="M707" s="708" t="s">
        <v>2321</v>
      </c>
      <c r="N707" s="223"/>
      <c r="O707" s="706">
        <f t="shared" si="64"/>
        <v>0</v>
      </c>
    </row>
    <row r="708" spans="1:15" s="360" customFormat="1" ht="15" hidden="1">
      <c r="A708" s="356" t="s">
        <v>525</v>
      </c>
      <c r="B708" s="707" t="s">
        <v>553</v>
      </c>
      <c r="C708" s="633">
        <f t="shared" si="62"/>
        <v>0</v>
      </c>
      <c r="D708" s="354"/>
      <c r="E708" s="15">
        <f t="shared" si="68"/>
        <v>535.70000000000005</v>
      </c>
      <c r="F708" s="917">
        <f t="shared" si="67"/>
        <v>0</v>
      </c>
      <c r="G708" s="358">
        <f>WORK!I3064</f>
        <v>0</v>
      </c>
      <c r="H708" s="354" t="s">
        <v>277</v>
      </c>
      <c r="I708" s="355">
        <f>WORK!K3064</f>
        <v>535.70000000000005</v>
      </c>
      <c r="J708" s="353">
        <f t="shared" si="63"/>
        <v>0</v>
      </c>
      <c r="K708" s="1913"/>
      <c r="L708" s="1913"/>
      <c r="M708" s="708" t="s">
        <v>2322</v>
      </c>
      <c r="N708" s="223"/>
      <c r="O708" s="706">
        <f t="shared" si="64"/>
        <v>0</v>
      </c>
    </row>
    <row r="709" spans="1:15" s="360" customFormat="1" ht="25.5" hidden="1">
      <c r="A709" s="356" t="s">
        <v>534</v>
      </c>
      <c r="B709" s="707" t="s">
        <v>3320</v>
      </c>
      <c r="C709" s="633">
        <f t="shared" si="62"/>
        <v>0</v>
      </c>
      <c r="D709" s="916" t="s">
        <v>277</v>
      </c>
      <c r="E709" s="10">
        <f t="shared" si="68"/>
        <v>325</v>
      </c>
      <c r="F709" s="917">
        <f t="shared" si="67"/>
        <v>0</v>
      </c>
      <c r="G709" s="358">
        <f>WORK!I2652</f>
        <v>0</v>
      </c>
      <c r="H709" s="354" t="s">
        <v>277</v>
      </c>
      <c r="I709" s="355">
        <f>WORK!K2652</f>
        <v>325</v>
      </c>
      <c r="J709" s="353">
        <f t="shared" si="63"/>
        <v>0</v>
      </c>
      <c r="K709" s="1930">
        <f>IF((J709+J710+J711+J712)&gt;(F709+F710+F711+F712),(J709+J710+J711+J712)-(F709+F710+F711+F712),0)</f>
        <v>0</v>
      </c>
      <c r="L709" s="1930">
        <f>IF((J709+J710+J711+J712)&lt;(F709+F710+F711+F712),(F709+F710+F711+F712)-(J709+J710+J711+J712),0)</f>
        <v>0</v>
      </c>
      <c r="M709" s="1139" t="s">
        <v>2226</v>
      </c>
      <c r="N709" s="223"/>
      <c r="O709" s="1138">
        <f t="shared" si="64"/>
        <v>0</v>
      </c>
    </row>
    <row r="710" spans="1:15" s="360" customFormat="1" ht="15" hidden="1">
      <c r="A710" s="356" t="s">
        <v>1599</v>
      </c>
      <c r="B710" s="707" t="s">
        <v>554</v>
      </c>
      <c r="C710" s="633">
        <f t="shared" si="62"/>
        <v>0</v>
      </c>
      <c r="D710" s="354"/>
      <c r="E710" s="15">
        <f t="shared" si="68"/>
        <v>325</v>
      </c>
      <c r="F710" s="917">
        <f t="shared" si="67"/>
        <v>0</v>
      </c>
      <c r="G710" s="358">
        <f>WORK!I2790</f>
        <v>0</v>
      </c>
      <c r="H710" s="354" t="s">
        <v>277</v>
      </c>
      <c r="I710" s="355">
        <f>WORK!K2790</f>
        <v>325</v>
      </c>
      <c r="J710" s="353">
        <f t="shared" si="63"/>
        <v>0</v>
      </c>
      <c r="K710" s="1912"/>
      <c r="L710" s="1912"/>
      <c r="M710" s="708" t="s">
        <v>2308</v>
      </c>
      <c r="N710" s="223"/>
      <c r="O710" s="706">
        <f t="shared" si="64"/>
        <v>0</v>
      </c>
    </row>
    <row r="711" spans="1:15" s="360" customFormat="1" ht="15" hidden="1">
      <c r="A711" s="356" t="s">
        <v>1261</v>
      </c>
      <c r="B711" s="707" t="s">
        <v>554</v>
      </c>
      <c r="C711" s="633">
        <f t="shared" si="62"/>
        <v>0</v>
      </c>
      <c r="D711" s="354"/>
      <c r="E711" s="15">
        <f t="shared" si="68"/>
        <v>342</v>
      </c>
      <c r="F711" s="917">
        <f t="shared" si="67"/>
        <v>0</v>
      </c>
      <c r="G711" s="358">
        <f>WORK!I2932</f>
        <v>0</v>
      </c>
      <c r="H711" s="354" t="s">
        <v>277</v>
      </c>
      <c r="I711" s="355">
        <f>WORK!K2932</f>
        <v>342</v>
      </c>
      <c r="J711" s="353">
        <f t="shared" si="63"/>
        <v>0</v>
      </c>
      <c r="K711" s="1912"/>
      <c r="L711" s="1912"/>
      <c r="M711" s="708" t="s">
        <v>2321</v>
      </c>
      <c r="N711" s="223"/>
      <c r="O711" s="706">
        <f t="shared" si="64"/>
        <v>0</v>
      </c>
    </row>
    <row r="712" spans="1:15" s="360" customFormat="1" ht="15" hidden="1">
      <c r="A712" s="356" t="s">
        <v>1261</v>
      </c>
      <c r="B712" s="707" t="s">
        <v>554</v>
      </c>
      <c r="C712" s="633">
        <f t="shared" si="62"/>
        <v>0</v>
      </c>
      <c r="D712" s="354"/>
      <c r="E712" s="15">
        <f t="shared" si="68"/>
        <v>325</v>
      </c>
      <c r="F712" s="917">
        <f t="shared" si="67"/>
        <v>0</v>
      </c>
      <c r="G712" s="358">
        <f>WORK!I3070</f>
        <v>0</v>
      </c>
      <c r="H712" s="354" t="s">
        <v>277</v>
      </c>
      <c r="I712" s="355">
        <f>WORK!K3070</f>
        <v>325</v>
      </c>
      <c r="J712" s="353">
        <f t="shared" si="63"/>
        <v>0</v>
      </c>
      <c r="K712" s="1913"/>
      <c r="L712" s="1913"/>
      <c r="M712" s="708" t="s">
        <v>2322</v>
      </c>
      <c r="N712" s="223"/>
      <c r="O712" s="706">
        <f t="shared" si="64"/>
        <v>0</v>
      </c>
    </row>
    <row r="713" spans="1:15" s="360" customFormat="1" ht="51" hidden="1">
      <c r="A713" s="356" t="s">
        <v>642</v>
      </c>
      <c r="B713" s="707" t="s">
        <v>3321</v>
      </c>
      <c r="C713" s="633">
        <f t="shared" si="62"/>
        <v>0</v>
      </c>
      <c r="D713" s="916" t="s">
        <v>115</v>
      </c>
      <c r="E713" s="10">
        <f t="shared" si="68"/>
        <v>18409</v>
      </c>
      <c r="F713" s="917">
        <f t="shared" si="67"/>
        <v>0</v>
      </c>
      <c r="G713" s="358">
        <f>WORK!I2657</f>
        <v>0</v>
      </c>
      <c r="H713" s="354" t="s">
        <v>115</v>
      </c>
      <c r="I713" s="355">
        <f>WORK!K2657</f>
        <v>18409</v>
      </c>
      <c r="J713" s="353">
        <f t="shared" si="63"/>
        <v>0</v>
      </c>
      <c r="K713" s="1930">
        <f>IF((J713+J714+J715+J716)&gt;(F713+F714+F715+F716),(J713+J714+J715+J716)-(F713+F714+F715+F716),0)</f>
        <v>0</v>
      </c>
      <c r="L713" s="1930">
        <f>IF((J713+J714+J715+J716)&lt;(F713+F714+F715+F716),(F713+F714+F715+F716)-(J713+J714+J715+J716),0)</f>
        <v>0</v>
      </c>
      <c r="M713" s="1139" t="s">
        <v>2226</v>
      </c>
      <c r="N713" s="223"/>
      <c r="O713" s="1138">
        <f t="shared" si="64"/>
        <v>0</v>
      </c>
    </row>
    <row r="714" spans="1:15" s="360" customFormat="1" ht="15" hidden="1">
      <c r="A714" s="356" t="s">
        <v>1600</v>
      </c>
      <c r="B714" s="707" t="s">
        <v>635</v>
      </c>
      <c r="C714" s="633">
        <f t="shared" ref="C714:C777" si="73">G714</f>
        <v>0</v>
      </c>
      <c r="D714" s="354"/>
      <c r="E714" s="15">
        <f t="shared" si="68"/>
        <v>18526</v>
      </c>
      <c r="F714" s="917">
        <f t="shared" si="67"/>
        <v>0</v>
      </c>
      <c r="G714" s="358">
        <f>WORK!I2795</f>
        <v>0</v>
      </c>
      <c r="H714" s="354" t="s">
        <v>115</v>
      </c>
      <c r="I714" s="355">
        <f>WORK!K2795</f>
        <v>18526</v>
      </c>
      <c r="J714" s="353">
        <f t="shared" ref="J714:J777" si="74">ROUND(G714*I714,2)</f>
        <v>0</v>
      </c>
      <c r="K714" s="1912"/>
      <c r="L714" s="1912"/>
      <c r="M714" s="708" t="s">
        <v>2308</v>
      </c>
      <c r="N714" s="223"/>
      <c r="O714" s="706">
        <f t="shared" si="64"/>
        <v>0</v>
      </c>
    </row>
    <row r="715" spans="1:15" s="360" customFormat="1" ht="15" hidden="1">
      <c r="A715" s="356" t="s">
        <v>1161</v>
      </c>
      <c r="B715" s="707" t="s">
        <v>635</v>
      </c>
      <c r="C715" s="633">
        <f t="shared" si="73"/>
        <v>0</v>
      </c>
      <c r="D715" s="354"/>
      <c r="E715" s="15">
        <f t="shared" si="68"/>
        <v>18370</v>
      </c>
      <c r="F715" s="917">
        <f t="shared" si="67"/>
        <v>0</v>
      </c>
      <c r="G715" s="358">
        <f>WORK!I2937</f>
        <v>0</v>
      </c>
      <c r="H715" s="354" t="s">
        <v>115</v>
      </c>
      <c r="I715" s="355">
        <f>WORK!K2937</f>
        <v>18370</v>
      </c>
      <c r="J715" s="353">
        <f t="shared" si="74"/>
        <v>0</v>
      </c>
      <c r="K715" s="1912"/>
      <c r="L715" s="1912"/>
      <c r="M715" s="708" t="s">
        <v>2321</v>
      </c>
      <c r="N715" s="223"/>
      <c r="O715" s="706">
        <f t="shared" si="64"/>
        <v>0</v>
      </c>
    </row>
    <row r="716" spans="1:15" s="360" customFormat="1" ht="15" hidden="1">
      <c r="A716" s="356" t="s">
        <v>1161</v>
      </c>
      <c r="B716" s="707" t="s">
        <v>635</v>
      </c>
      <c r="C716" s="633">
        <f t="shared" si="73"/>
        <v>0</v>
      </c>
      <c r="D716" s="354"/>
      <c r="E716" s="15">
        <f t="shared" si="68"/>
        <v>18370</v>
      </c>
      <c r="F716" s="917">
        <f t="shared" si="67"/>
        <v>0</v>
      </c>
      <c r="G716" s="358">
        <f>WORK!I3075</f>
        <v>0</v>
      </c>
      <c r="H716" s="354" t="s">
        <v>115</v>
      </c>
      <c r="I716" s="355">
        <f>WORK!K3075</f>
        <v>18370</v>
      </c>
      <c r="J716" s="353">
        <f t="shared" si="74"/>
        <v>0</v>
      </c>
      <c r="K716" s="1913"/>
      <c r="L716" s="1913"/>
      <c r="M716" s="708" t="s">
        <v>2322</v>
      </c>
      <c r="N716" s="223"/>
      <c r="O716" s="706">
        <f t="shared" si="64"/>
        <v>0</v>
      </c>
    </row>
    <row r="717" spans="1:15" s="360" customFormat="1" ht="38.25" hidden="1">
      <c r="A717" s="356" t="s">
        <v>643</v>
      </c>
      <c r="B717" s="707" t="s">
        <v>591</v>
      </c>
      <c r="C717" s="633">
        <f t="shared" si="73"/>
        <v>0</v>
      </c>
      <c r="D717" s="916" t="s">
        <v>277</v>
      </c>
      <c r="E717" s="10">
        <f t="shared" si="68"/>
        <v>64</v>
      </c>
      <c r="F717" s="917">
        <f t="shared" si="67"/>
        <v>0</v>
      </c>
      <c r="G717" s="358">
        <f>WORK!I2662</f>
        <v>0</v>
      </c>
      <c r="H717" s="354" t="s">
        <v>277</v>
      </c>
      <c r="I717" s="355">
        <f>WORK!K2662</f>
        <v>64</v>
      </c>
      <c r="J717" s="353">
        <f t="shared" si="74"/>
        <v>0</v>
      </c>
      <c r="K717" s="1930">
        <f>IF((J717+J718+J719+J720)&gt;(F717+F718+F719+F720),(J717+J718+J719+J720)-(F717+F718+F719+F720),0)</f>
        <v>0</v>
      </c>
      <c r="L717" s="1930">
        <f>IF((J717+J718+J719+J720)&lt;(F717+F718+F719+F720),(F717+F718+F719+F720)-(J717+J718+J719+J720),0)</f>
        <v>0</v>
      </c>
      <c r="M717" s="1139" t="s">
        <v>2226</v>
      </c>
      <c r="N717" s="223"/>
      <c r="O717" s="1138">
        <f t="shared" si="64"/>
        <v>0</v>
      </c>
    </row>
    <row r="718" spans="1:15" s="360" customFormat="1" ht="15" hidden="1">
      <c r="A718" s="356" t="s">
        <v>2039</v>
      </c>
      <c r="B718" s="707" t="s">
        <v>636</v>
      </c>
      <c r="C718" s="633">
        <f t="shared" si="73"/>
        <v>0</v>
      </c>
      <c r="D718" s="354"/>
      <c r="E718" s="15">
        <f t="shared" si="68"/>
        <v>59</v>
      </c>
      <c r="F718" s="917">
        <f t="shared" si="67"/>
        <v>0</v>
      </c>
      <c r="G718" s="358">
        <f>WORK!I2800</f>
        <v>0</v>
      </c>
      <c r="H718" s="354" t="s">
        <v>277</v>
      </c>
      <c r="I718" s="355">
        <f>WORK!K2800</f>
        <v>59</v>
      </c>
      <c r="J718" s="353">
        <f t="shared" si="74"/>
        <v>0</v>
      </c>
      <c r="K718" s="1912"/>
      <c r="L718" s="1912"/>
      <c r="M718" s="708" t="s">
        <v>2308</v>
      </c>
      <c r="N718" s="223"/>
      <c r="O718" s="706">
        <f t="shared" si="64"/>
        <v>0</v>
      </c>
    </row>
    <row r="719" spans="1:15" s="360" customFormat="1" ht="15" hidden="1">
      <c r="A719" s="356" t="s">
        <v>1599</v>
      </c>
      <c r="B719" s="707" t="s">
        <v>636</v>
      </c>
      <c r="C719" s="633">
        <f t="shared" si="73"/>
        <v>0</v>
      </c>
      <c r="D719" s="354"/>
      <c r="E719" s="15">
        <f t="shared" si="68"/>
        <v>73</v>
      </c>
      <c r="F719" s="917">
        <f t="shared" si="67"/>
        <v>0</v>
      </c>
      <c r="G719" s="358">
        <f>WORK!I2942</f>
        <v>0</v>
      </c>
      <c r="H719" s="354" t="s">
        <v>277</v>
      </c>
      <c r="I719" s="355">
        <f>WORK!K2942</f>
        <v>73</v>
      </c>
      <c r="J719" s="353">
        <f t="shared" si="74"/>
        <v>0</v>
      </c>
      <c r="K719" s="1912"/>
      <c r="L719" s="1912"/>
      <c r="M719" s="708" t="s">
        <v>2321</v>
      </c>
      <c r="N719" s="223"/>
      <c r="O719" s="706">
        <f t="shared" si="64"/>
        <v>0</v>
      </c>
    </row>
    <row r="720" spans="1:15" s="360" customFormat="1" ht="15" hidden="1">
      <c r="A720" s="356" t="s">
        <v>1599</v>
      </c>
      <c r="B720" s="707" t="s">
        <v>636</v>
      </c>
      <c r="C720" s="633">
        <f t="shared" si="73"/>
        <v>0</v>
      </c>
      <c r="D720" s="354"/>
      <c r="E720" s="15">
        <f t="shared" si="68"/>
        <v>85</v>
      </c>
      <c r="F720" s="917">
        <f t="shared" si="67"/>
        <v>0</v>
      </c>
      <c r="G720" s="358">
        <f>WORK!I3080</f>
        <v>0</v>
      </c>
      <c r="H720" s="354" t="s">
        <v>277</v>
      </c>
      <c r="I720" s="355">
        <f>WORK!K3080</f>
        <v>85</v>
      </c>
      <c r="J720" s="353">
        <f t="shared" si="74"/>
        <v>0</v>
      </c>
      <c r="K720" s="1913"/>
      <c r="L720" s="1913"/>
      <c r="M720" s="708" t="s">
        <v>2322</v>
      </c>
      <c r="N720" s="223"/>
      <c r="O720" s="706">
        <f t="shared" si="64"/>
        <v>0</v>
      </c>
    </row>
    <row r="721" spans="1:15" s="360" customFormat="1" ht="15" hidden="1">
      <c r="A721" s="356" t="s">
        <v>644</v>
      </c>
      <c r="B721" s="707" t="s">
        <v>284</v>
      </c>
      <c r="C721" s="633">
        <f t="shared" si="73"/>
        <v>0</v>
      </c>
      <c r="D721" s="916" t="s">
        <v>115</v>
      </c>
      <c r="E721" s="10">
        <f t="shared" si="68"/>
        <v>109</v>
      </c>
      <c r="F721" s="917">
        <f t="shared" si="67"/>
        <v>0</v>
      </c>
      <c r="G721" s="358">
        <f>WORK!I2667</f>
        <v>0</v>
      </c>
      <c r="H721" s="354" t="s">
        <v>115</v>
      </c>
      <c r="I721" s="355">
        <f>WORK!K2667</f>
        <v>109</v>
      </c>
      <c r="J721" s="353">
        <f t="shared" si="74"/>
        <v>0</v>
      </c>
      <c r="K721" s="1930">
        <f>IF((J721+J722+J723+J724)&gt;(F721+F722+F723+F724),(J721+J722+J723+J724)-(F721+F722+F723+F724),0)</f>
        <v>0</v>
      </c>
      <c r="L721" s="1930">
        <f>IF((J721+J722+J723+J724)&lt;(F721+F722+F723+F724),(F721+F722+F723+F724)-(J721+J722+J723+J724),0)</f>
        <v>0</v>
      </c>
      <c r="M721" s="1139" t="s">
        <v>2226</v>
      </c>
      <c r="N721" s="223"/>
      <c r="O721" s="1138">
        <v>1</v>
      </c>
    </row>
    <row r="722" spans="1:15" s="360" customFormat="1" ht="15" hidden="1">
      <c r="A722" s="356" t="s">
        <v>2040</v>
      </c>
      <c r="B722" s="707" t="s">
        <v>284</v>
      </c>
      <c r="C722" s="633">
        <f t="shared" si="73"/>
        <v>0</v>
      </c>
      <c r="D722" s="354"/>
      <c r="E722" s="15">
        <f t="shared" si="68"/>
        <v>300</v>
      </c>
      <c r="F722" s="917">
        <f t="shared" si="67"/>
        <v>0</v>
      </c>
      <c r="G722" s="358">
        <f>WORK!I2805</f>
        <v>0</v>
      </c>
      <c r="H722" s="354" t="s">
        <v>115</v>
      </c>
      <c r="I722" s="355">
        <f>WORK!K2805</f>
        <v>300</v>
      </c>
      <c r="J722" s="353">
        <f t="shared" si="74"/>
        <v>0</v>
      </c>
      <c r="K722" s="1912"/>
      <c r="L722" s="1912"/>
      <c r="M722" s="708" t="s">
        <v>2308</v>
      </c>
      <c r="N722" s="223"/>
      <c r="O722" s="706">
        <f t="shared" ref="O722:O786" si="75">F722-J722</f>
        <v>0</v>
      </c>
    </row>
    <row r="723" spans="1:15" s="360" customFormat="1" ht="15" hidden="1">
      <c r="A723" s="356" t="s">
        <v>1600</v>
      </c>
      <c r="B723" s="707" t="s">
        <v>284</v>
      </c>
      <c r="C723" s="633">
        <f t="shared" si="73"/>
        <v>0</v>
      </c>
      <c r="D723" s="354"/>
      <c r="E723" s="15">
        <f t="shared" si="68"/>
        <v>315</v>
      </c>
      <c r="F723" s="917">
        <f t="shared" si="67"/>
        <v>0</v>
      </c>
      <c r="G723" s="358">
        <f>WORK!I2947</f>
        <v>0</v>
      </c>
      <c r="H723" s="354" t="s">
        <v>115</v>
      </c>
      <c r="I723" s="355">
        <f>WORK!K2947</f>
        <v>315</v>
      </c>
      <c r="J723" s="353">
        <f t="shared" si="74"/>
        <v>0</v>
      </c>
      <c r="K723" s="1912"/>
      <c r="L723" s="1912"/>
      <c r="M723" s="708" t="s">
        <v>2321</v>
      </c>
      <c r="N723" s="223"/>
      <c r="O723" s="706">
        <f t="shared" si="75"/>
        <v>0</v>
      </c>
    </row>
    <row r="724" spans="1:15" s="360" customFormat="1" ht="15" hidden="1">
      <c r="A724" s="356" t="s">
        <v>1600</v>
      </c>
      <c r="B724" s="707" t="s">
        <v>284</v>
      </c>
      <c r="C724" s="633">
        <f t="shared" si="73"/>
        <v>0</v>
      </c>
      <c r="D724" s="354"/>
      <c r="E724" s="15">
        <f t="shared" si="68"/>
        <v>300</v>
      </c>
      <c r="F724" s="917">
        <f t="shared" si="67"/>
        <v>0</v>
      </c>
      <c r="G724" s="358">
        <f>WORK!I3085</f>
        <v>0</v>
      </c>
      <c r="H724" s="354" t="s">
        <v>115</v>
      </c>
      <c r="I724" s="355">
        <f>WORK!K3085</f>
        <v>300</v>
      </c>
      <c r="J724" s="353">
        <f t="shared" si="74"/>
        <v>0</v>
      </c>
      <c r="K724" s="1913"/>
      <c r="L724" s="1913"/>
      <c r="M724" s="708" t="s">
        <v>2322</v>
      </c>
      <c r="N724" s="223"/>
      <c r="O724" s="706">
        <f t="shared" si="75"/>
        <v>0</v>
      </c>
    </row>
    <row r="725" spans="1:15" s="360" customFormat="1" ht="15" hidden="1">
      <c r="A725" s="356" t="s">
        <v>1577</v>
      </c>
      <c r="B725" s="707" t="s">
        <v>285</v>
      </c>
      <c r="C725" s="633">
        <f t="shared" si="73"/>
        <v>0</v>
      </c>
      <c r="D725" s="916" t="s">
        <v>115</v>
      </c>
      <c r="E725" s="10">
        <f t="shared" si="68"/>
        <v>198</v>
      </c>
      <c r="F725" s="917">
        <f t="shared" si="67"/>
        <v>0</v>
      </c>
      <c r="G725" s="358">
        <f>WORK!I2672</f>
        <v>0</v>
      </c>
      <c r="H725" s="354" t="s">
        <v>115</v>
      </c>
      <c r="I725" s="355">
        <f>WORK!K2672</f>
        <v>198</v>
      </c>
      <c r="J725" s="353">
        <f t="shared" si="74"/>
        <v>0</v>
      </c>
      <c r="K725" s="1930">
        <f>IF((J725+J726+J727+J728)&gt;(F725+F726+F727+F728),(J725+J726+J727+J728)-(F725+F726+F727+F728),0)</f>
        <v>0</v>
      </c>
      <c r="L725" s="1930">
        <f>IF((J725+J726+J727+J728)&lt;(F725+F726+F727+F728),(F725+F726+F727+F728)-(J725+J726+J727+J728),0)</f>
        <v>0</v>
      </c>
      <c r="M725" s="1139" t="s">
        <v>2226</v>
      </c>
      <c r="N725" s="223"/>
      <c r="O725" s="1138">
        <v>1</v>
      </c>
    </row>
    <row r="726" spans="1:15" s="360" customFormat="1" ht="15" hidden="1">
      <c r="A726" s="356" t="s">
        <v>1163</v>
      </c>
      <c r="B726" s="707" t="s">
        <v>285</v>
      </c>
      <c r="C726" s="633">
        <f t="shared" si="73"/>
        <v>0</v>
      </c>
      <c r="D726" s="354"/>
      <c r="E726" s="15">
        <f t="shared" si="68"/>
        <v>400</v>
      </c>
      <c r="F726" s="917">
        <f t="shared" si="67"/>
        <v>0</v>
      </c>
      <c r="G726" s="358">
        <f>WORK!I2810</f>
        <v>0</v>
      </c>
      <c r="H726" s="354" t="s">
        <v>115</v>
      </c>
      <c r="I726" s="355">
        <f>WORK!K2810</f>
        <v>400</v>
      </c>
      <c r="J726" s="353">
        <f t="shared" si="74"/>
        <v>0</v>
      </c>
      <c r="K726" s="1912"/>
      <c r="L726" s="1912"/>
      <c r="M726" s="708" t="s">
        <v>2308</v>
      </c>
      <c r="N726" s="223"/>
      <c r="O726" s="706">
        <f t="shared" si="75"/>
        <v>0</v>
      </c>
    </row>
    <row r="727" spans="1:15" s="360" customFormat="1" ht="15" hidden="1">
      <c r="A727" s="356" t="s">
        <v>2039</v>
      </c>
      <c r="B727" s="707" t="s">
        <v>285</v>
      </c>
      <c r="C727" s="633">
        <f t="shared" si="73"/>
        <v>0</v>
      </c>
      <c r="D727" s="354"/>
      <c r="E727" s="15">
        <f t="shared" si="68"/>
        <v>420</v>
      </c>
      <c r="F727" s="917">
        <f t="shared" si="67"/>
        <v>0</v>
      </c>
      <c r="G727" s="358">
        <f>WORK!I2952</f>
        <v>0</v>
      </c>
      <c r="H727" s="354" t="s">
        <v>115</v>
      </c>
      <c r="I727" s="355">
        <f>WORK!K2952</f>
        <v>420</v>
      </c>
      <c r="J727" s="353">
        <f t="shared" si="74"/>
        <v>0</v>
      </c>
      <c r="K727" s="1912"/>
      <c r="L727" s="1912"/>
      <c r="M727" s="708" t="s">
        <v>2321</v>
      </c>
      <c r="N727" s="223"/>
      <c r="O727" s="706">
        <f t="shared" si="75"/>
        <v>0</v>
      </c>
    </row>
    <row r="728" spans="1:15" s="360" customFormat="1" ht="15" hidden="1">
      <c r="A728" s="356" t="s">
        <v>2039</v>
      </c>
      <c r="B728" s="707" t="s">
        <v>285</v>
      </c>
      <c r="C728" s="633">
        <f t="shared" si="73"/>
        <v>0</v>
      </c>
      <c r="D728" s="354"/>
      <c r="E728" s="15">
        <f t="shared" si="68"/>
        <v>400</v>
      </c>
      <c r="F728" s="917">
        <f t="shared" si="67"/>
        <v>0</v>
      </c>
      <c r="G728" s="358">
        <f>WORK!I3090</f>
        <v>0</v>
      </c>
      <c r="H728" s="354" t="s">
        <v>115</v>
      </c>
      <c r="I728" s="355">
        <f>WORK!K3090</f>
        <v>400</v>
      </c>
      <c r="J728" s="353">
        <f t="shared" si="74"/>
        <v>0</v>
      </c>
      <c r="K728" s="1913"/>
      <c r="L728" s="1913"/>
      <c r="M728" s="708" t="s">
        <v>2322</v>
      </c>
      <c r="N728" s="223"/>
      <c r="O728" s="706">
        <f t="shared" si="75"/>
        <v>0</v>
      </c>
    </row>
    <row r="729" spans="1:15" s="360" customFormat="1" ht="15" hidden="1">
      <c r="A729" s="356" t="s">
        <v>1584</v>
      </c>
      <c r="B729" s="707" t="s">
        <v>286</v>
      </c>
      <c r="C729" s="633">
        <f t="shared" si="73"/>
        <v>0</v>
      </c>
      <c r="D729" s="916" t="s">
        <v>115</v>
      </c>
      <c r="E729" s="10">
        <f t="shared" si="68"/>
        <v>22</v>
      </c>
      <c r="F729" s="917">
        <f t="shared" si="67"/>
        <v>0</v>
      </c>
      <c r="G729" s="358">
        <f>WORK!I2677</f>
        <v>0</v>
      </c>
      <c r="H729" s="354" t="s">
        <v>115</v>
      </c>
      <c r="I729" s="355">
        <f>WORK!K2677</f>
        <v>22</v>
      </c>
      <c r="J729" s="353">
        <f t="shared" si="74"/>
        <v>0</v>
      </c>
      <c r="K729" s="1930">
        <f>IF((J729+J730+J731+J732)&gt;(F729+F730+F731+F732),(J729+J730+J731+J732)-(F729+F730+F731+F732),0)</f>
        <v>0</v>
      </c>
      <c r="L729" s="1930">
        <f>IF((J729+J730+J731+J732)&lt;(F729+F730+F731+F732),(F729+F730+F731+F732)-(J729+J730+J731+J732),0)</f>
        <v>0</v>
      </c>
      <c r="M729" s="1139" t="s">
        <v>2226</v>
      </c>
      <c r="N729" s="223"/>
      <c r="O729" s="1138">
        <v>1</v>
      </c>
    </row>
    <row r="730" spans="1:15" s="360" customFormat="1" ht="15" hidden="1">
      <c r="A730" s="356" t="s">
        <v>2042</v>
      </c>
      <c r="B730" s="707" t="s">
        <v>286</v>
      </c>
      <c r="C730" s="633">
        <f t="shared" si="73"/>
        <v>0</v>
      </c>
      <c r="D730" s="354"/>
      <c r="E730" s="15">
        <f t="shared" si="68"/>
        <v>70</v>
      </c>
      <c r="F730" s="917">
        <f t="shared" si="67"/>
        <v>0</v>
      </c>
      <c r="G730" s="358">
        <f>WORK!I2815</f>
        <v>0</v>
      </c>
      <c r="H730" s="354" t="s">
        <v>115</v>
      </c>
      <c r="I730" s="355">
        <f>WORK!K2815</f>
        <v>70</v>
      </c>
      <c r="J730" s="353">
        <f t="shared" si="74"/>
        <v>0</v>
      </c>
      <c r="K730" s="1912"/>
      <c r="L730" s="1912"/>
      <c r="M730" s="708" t="s">
        <v>2308</v>
      </c>
      <c r="N730" s="223"/>
      <c r="O730" s="706">
        <f t="shared" si="75"/>
        <v>0</v>
      </c>
    </row>
    <row r="731" spans="1:15" s="360" customFormat="1" ht="15" hidden="1">
      <c r="A731" s="356" t="s">
        <v>1163</v>
      </c>
      <c r="B731" s="707" t="s">
        <v>286</v>
      </c>
      <c r="C731" s="633">
        <f t="shared" si="73"/>
        <v>0</v>
      </c>
      <c r="D731" s="354"/>
      <c r="E731" s="15">
        <f t="shared" si="68"/>
        <v>73</v>
      </c>
      <c r="F731" s="917">
        <f t="shared" si="67"/>
        <v>0</v>
      </c>
      <c r="G731" s="358">
        <f>WORK!I2957</f>
        <v>0</v>
      </c>
      <c r="H731" s="354" t="s">
        <v>115</v>
      </c>
      <c r="I731" s="355">
        <f>WORK!K2957</f>
        <v>73</v>
      </c>
      <c r="J731" s="353">
        <f t="shared" si="74"/>
        <v>0</v>
      </c>
      <c r="K731" s="1912"/>
      <c r="L731" s="1912"/>
      <c r="M731" s="708" t="s">
        <v>2321</v>
      </c>
      <c r="N731" s="223"/>
      <c r="O731" s="706">
        <f t="shared" si="75"/>
        <v>0</v>
      </c>
    </row>
    <row r="732" spans="1:15" s="360" customFormat="1" ht="15" hidden="1">
      <c r="A732" s="356" t="s">
        <v>1163</v>
      </c>
      <c r="B732" s="707" t="s">
        <v>286</v>
      </c>
      <c r="C732" s="633">
        <f t="shared" si="73"/>
        <v>0</v>
      </c>
      <c r="D732" s="354"/>
      <c r="E732" s="15">
        <f t="shared" si="68"/>
        <v>77</v>
      </c>
      <c r="F732" s="917">
        <f t="shared" si="67"/>
        <v>0</v>
      </c>
      <c r="G732" s="358">
        <f>WORK!I3095</f>
        <v>0</v>
      </c>
      <c r="H732" s="354" t="s">
        <v>115</v>
      </c>
      <c r="I732" s="355">
        <f>WORK!K3095</f>
        <v>77</v>
      </c>
      <c r="J732" s="353">
        <f t="shared" si="74"/>
        <v>0</v>
      </c>
      <c r="K732" s="1913"/>
      <c r="L732" s="1913"/>
      <c r="M732" s="708" t="s">
        <v>2322</v>
      </c>
      <c r="N732" s="223"/>
      <c r="O732" s="706">
        <f t="shared" si="75"/>
        <v>0</v>
      </c>
    </row>
    <row r="733" spans="1:15" s="360" customFormat="1" ht="15" hidden="1">
      <c r="A733" s="356" t="s">
        <v>1585</v>
      </c>
      <c r="B733" s="707" t="s">
        <v>287</v>
      </c>
      <c r="C733" s="633">
        <f t="shared" si="73"/>
        <v>0</v>
      </c>
      <c r="D733" s="916" t="s">
        <v>115</v>
      </c>
      <c r="E733" s="10">
        <f t="shared" si="68"/>
        <v>145.19999999999999</v>
      </c>
      <c r="F733" s="917">
        <f t="shared" si="67"/>
        <v>0</v>
      </c>
      <c r="G733" s="358">
        <f>WORK!I2682</f>
        <v>0</v>
      </c>
      <c r="H733" s="354" t="s">
        <v>115</v>
      </c>
      <c r="I733" s="355">
        <f>WORK!K2682</f>
        <v>145.19999999999999</v>
      </c>
      <c r="J733" s="353">
        <f t="shared" si="74"/>
        <v>0</v>
      </c>
      <c r="K733" s="1930">
        <f>IF((J733+J734+J735+J736)&gt;(F733+F734+F735+F736),(J733+J734+J735+J736)-(F733+F734+F735+F736),0)</f>
        <v>0</v>
      </c>
      <c r="L733" s="1930">
        <f>IF((J733+J734+J735+J736)&lt;(F733+F734+F735+F736),(F733+F734+F735+F736)-(J733+J734+J735+J736),0)</f>
        <v>0</v>
      </c>
      <c r="M733" s="1139" t="s">
        <v>2226</v>
      </c>
      <c r="N733" s="223"/>
      <c r="O733" s="1138">
        <v>1</v>
      </c>
    </row>
    <row r="734" spans="1:15" s="360" customFormat="1" ht="15" hidden="1">
      <c r="A734" s="356" t="s">
        <v>2043</v>
      </c>
      <c r="B734" s="707" t="s">
        <v>287</v>
      </c>
      <c r="C734" s="633">
        <f t="shared" si="73"/>
        <v>0</v>
      </c>
      <c r="D734" s="354"/>
      <c r="E734" s="15">
        <f t="shared" si="68"/>
        <v>175</v>
      </c>
      <c r="F734" s="917">
        <f t="shared" si="67"/>
        <v>0</v>
      </c>
      <c r="G734" s="358">
        <f>WORK!I2820</f>
        <v>0</v>
      </c>
      <c r="H734" s="354" t="s">
        <v>115</v>
      </c>
      <c r="I734" s="355">
        <f>WORK!K2820</f>
        <v>175</v>
      </c>
      <c r="J734" s="353">
        <f t="shared" si="74"/>
        <v>0</v>
      </c>
      <c r="K734" s="1912"/>
      <c r="L734" s="1912"/>
      <c r="M734" s="708" t="s">
        <v>2308</v>
      </c>
      <c r="N734" s="223"/>
      <c r="O734" s="706">
        <f t="shared" si="75"/>
        <v>0</v>
      </c>
    </row>
    <row r="735" spans="1:15" s="360" customFormat="1" ht="15" hidden="1">
      <c r="A735" s="356" t="s">
        <v>2042</v>
      </c>
      <c r="B735" s="707" t="s">
        <v>287</v>
      </c>
      <c r="C735" s="633">
        <f t="shared" si="73"/>
        <v>0</v>
      </c>
      <c r="D735" s="354"/>
      <c r="E735" s="15">
        <f t="shared" si="68"/>
        <v>177</v>
      </c>
      <c r="F735" s="917">
        <f t="shared" si="67"/>
        <v>0</v>
      </c>
      <c r="G735" s="358">
        <f>WORK!I2962</f>
        <v>0</v>
      </c>
      <c r="H735" s="354" t="s">
        <v>115</v>
      </c>
      <c r="I735" s="355">
        <f>WORK!K2962</f>
        <v>177</v>
      </c>
      <c r="J735" s="353">
        <f t="shared" si="74"/>
        <v>0</v>
      </c>
      <c r="K735" s="1912"/>
      <c r="L735" s="1912"/>
      <c r="M735" s="708" t="s">
        <v>2321</v>
      </c>
      <c r="N735" s="223"/>
      <c r="O735" s="706">
        <f t="shared" si="75"/>
        <v>0</v>
      </c>
    </row>
    <row r="736" spans="1:15" s="360" customFormat="1" ht="15" hidden="1">
      <c r="A736" s="356" t="s">
        <v>2042</v>
      </c>
      <c r="B736" s="707" t="s">
        <v>287</v>
      </c>
      <c r="C736" s="633">
        <f t="shared" si="73"/>
        <v>0</v>
      </c>
      <c r="D736" s="354"/>
      <c r="E736" s="15">
        <f t="shared" si="68"/>
        <v>194</v>
      </c>
      <c r="F736" s="917">
        <f t="shared" si="67"/>
        <v>0</v>
      </c>
      <c r="G736" s="358">
        <f>WORK!I3100</f>
        <v>0</v>
      </c>
      <c r="H736" s="354" t="s">
        <v>115</v>
      </c>
      <c r="I736" s="355">
        <f>WORK!K3100</f>
        <v>194</v>
      </c>
      <c r="J736" s="353">
        <f t="shared" si="74"/>
        <v>0</v>
      </c>
      <c r="K736" s="1913"/>
      <c r="L736" s="1913"/>
      <c r="M736" s="708" t="s">
        <v>2322</v>
      </c>
      <c r="N736" s="223"/>
      <c r="O736" s="706">
        <f t="shared" si="75"/>
        <v>0</v>
      </c>
    </row>
    <row r="737" spans="1:15" s="360" customFormat="1" ht="51" hidden="1">
      <c r="A737" s="356" t="s">
        <v>1143</v>
      </c>
      <c r="B737" s="707" t="s">
        <v>288</v>
      </c>
      <c r="C737" s="633">
        <f t="shared" si="73"/>
        <v>0</v>
      </c>
      <c r="D737" s="916" t="s">
        <v>277</v>
      </c>
      <c r="E737" s="10">
        <f t="shared" si="68"/>
        <v>80</v>
      </c>
      <c r="F737" s="917">
        <f t="shared" si="67"/>
        <v>0</v>
      </c>
      <c r="G737" s="358">
        <f>WORK!I2687</f>
        <v>0</v>
      </c>
      <c r="H737" s="354" t="s">
        <v>277</v>
      </c>
      <c r="I737" s="355">
        <f>WORK!K2687</f>
        <v>80</v>
      </c>
      <c r="J737" s="353">
        <f t="shared" si="74"/>
        <v>0</v>
      </c>
      <c r="K737" s="1930">
        <f>IF((J737+J738+J739+J740)&gt;(F737+F738+F739+F740),(J737+J738+J739+J740)-(F737+F738+F739+F740),0)</f>
        <v>0</v>
      </c>
      <c r="L737" s="1930">
        <f>IF((J737+J738+J739+J740)&lt;(F737+F738+F739+F740),(F737+F738+F739+F740)-(J737+J738+J739+J740),0)</f>
        <v>0</v>
      </c>
      <c r="M737" s="1139" t="s">
        <v>2226</v>
      </c>
      <c r="N737" s="223"/>
      <c r="O737" s="1138">
        <f t="shared" si="75"/>
        <v>0</v>
      </c>
    </row>
    <row r="738" spans="1:15" s="360" customFormat="1" ht="15" hidden="1">
      <c r="A738" s="356" t="s">
        <v>2045</v>
      </c>
      <c r="B738" s="707" t="s">
        <v>637</v>
      </c>
      <c r="C738" s="633">
        <f t="shared" si="73"/>
        <v>0</v>
      </c>
      <c r="D738" s="354"/>
      <c r="E738" s="15">
        <f t="shared" si="68"/>
        <v>80</v>
      </c>
      <c r="F738" s="917">
        <f t="shared" si="67"/>
        <v>0</v>
      </c>
      <c r="G738" s="358">
        <f>WORK!I2825</f>
        <v>0</v>
      </c>
      <c r="H738" s="354" t="s">
        <v>277</v>
      </c>
      <c r="I738" s="355">
        <f>WORK!K2825</f>
        <v>80</v>
      </c>
      <c r="J738" s="353">
        <f t="shared" si="74"/>
        <v>0</v>
      </c>
      <c r="K738" s="1912"/>
      <c r="L738" s="1912"/>
      <c r="M738" s="708" t="s">
        <v>2308</v>
      </c>
      <c r="N738" s="223"/>
      <c r="O738" s="706">
        <f t="shared" si="75"/>
        <v>0</v>
      </c>
    </row>
    <row r="739" spans="1:15" s="360" customFormat="1" ht="15" hidden="1">
      <c r="A739" s="356" t="s">
        <v>1163</v>
      </c>
      <c r="B739" s="707" t="s">
        <v>637</v>
      </c>
      <c r="C739" s="633">
        <f t="shared" si="73"/>
        <v>0</v>
      </c>
      <c r="D739" s="354"/>
      <c r="E739" s="15">
        <f t="shared" si="68"/>
        <v>92</v>
      </c>
      <c r="F739" s="917">
        <f t="shared" si="67"/>
        <v>0</v>
      </c>
      <c r="G739" s="358">
        <f>WORK!I2967</f>
        <v>0</v>
      </c>
      <c r="H739" s="354" t="s">
        <v>277</v>
      </c>
      <c r="I739" s="355">
        <f>WORK!K2967</f>
        <v>92</v>
      </c>
      <c r="J739" s="353">
        <f t="shared" si="74"/>
        <v>0</v>
      </c>
      <c r="K739" s="1912"/>
      <c r="L739" s="1912"/>
      <c r="M739" s="708" t="s">
        <v>2321</v>
      </c>
      <c r="N739" s="223"/>
      <c r="O739" s="706">
        <f t="shared" si="75"/>
        <v>0</v>
      </c>
    </row>
    <row r="740" spans="1:15" s="360" customFormat="1" ht="15" hidden="1">
      <c r="A740" s="356" t="s">
        <v>1163</v>
      </c>
      <c r="B740" s="707" t="s">
        <v>637</v>
      </c>
      <c r="C740" s="633">
        <f t="shared" si="73"/>
        <v>0</v>
      </c>
      <c r="D740" s="354"/>
      <c r="E740" s="15">
        <f t="shared" si="68"/>
        <v>105</v>
      </c>
      <c r="F740" s="917">
        <f t="shared" si="67"/>
        <v>0</v>
      </c>
      <c r="G740" s="358">
        <f>WORK!I3105</f>
        <v>0</v>
      </c>
      <c r="H740" s="354" t="s">
        <v>277</v>
      </c>
      <c r="I740" s="355">
        <f>WORK!K3105</f>
        <v>105</v>
      </c>
      <c r="J740" s="353">
        <f t="shared" si="74"/>
        <v>0</v>
      </c>
      <c r="K740" s="1913"/>
      <c r="L740" s="1913"/>
      <c r="M740" s="708" t="s">
        <v>2322</v>
      </c>
      <c r="N740" s="223"/>
      <c r="O740" s="706">
        <f t="shared" si="75"/>
        <v>0</v>
      </c>
    </row>
    <row r="741" spans="1:15" s="360" customFormat="1" ht="25.5" hidden="1">
      <c r="A741" s="356" t="s">
        <v>1586</v>
      </c>
      <c r="B741" s="707" t="s">
        <v>3322</v>
      </c>
      <c r="C741" s="633">
        <f t="shared" si="73"/>
        <v>0</v>
      </c>
      <c r="D741" s="916" t="s">
        <v>115</v>
      </c>
      <c r="E741" s="10">
        <f t="shared" si="68"/>
        <v>4500</v>
      </c>
      <c r="F741" s="917">
        <f t="shared" si="67"/>
        <v>0</v>
      </c>
      <c r="G741" s="358">
        <f>WORK!I2692</f>
        <v>0</v>
      </c>
      <c r="H741" s="354" t="s">
        <v>115</v>
      </c>
      <c r="I741" s="355">
        <f>WORK!K2692</f>
        <v>4500</v>
      </c>
      <c r="J741" s="353">
        <f t="shared" si="74"/>
        <v>0</v>
      </c>
      <c r="K741" s="1930">
        <f>IF((J741+J742+J743+J744)&gt;(F741+F742+F743+F744),(J741+J742+J743+J744)-(F741+F742+F743+F744),0)</f>
        <v>0</v>
      </c>
      <c r="L741" s="1930">
        <f>IF((J741+J742+J743+J744)&lt;(F741+F742+F743+F744),(F741+F742+F743+F744)-(J741+J742+J743+J744),0)</f>
        <v>0</v>
      </c>
      <c r="M741" s="1139" t="s">
        <v>2226</v>
      </c>
      <c r="N741" s="223"/>
      <c r="O741" s="1138">
        <v>1</v>
      </c>
    </row>
    <row r="742" spans="1:15" s="360" customFormat="1" ht="15" hidden="1">
      <c r="A742" s="356" t="s">
        <v>2046</v>
      </c>
      <c r="B742" s="707" t="s">
        <v>638</v>
      </c>
      <c r="C742" s="633">
        <f t="shared" si="73"/>
        <v>0</v>
      </c>
      <c r="D742" s="354"/>
      <c r="E742" s="15">
        <f t="shared" si="68"/>
        <v>4500</v>
      </c>
      <c r="F742" s="917">
        <f t="shared" si="67"/>
        <v>0</v>
      </c>
      <c r="G742" s="358">
        <f>WORK!I2830</f>
        <v>0</v>
      </c>
      <c r="H742" s="354" t="s">
        <v>115</v>
      </c>
      <c r="I742" s="355">
        <f>WORK!K2830</f>
        <v>4500</v>
      </c>
      <c r="J742" s="353">
        <f t="shared" si="74"/>
        <v>0</v>
      </c>
      <c r="K742" s="1912"/>
      <c r="L742" s="1912"/>
      <c r="M742" s="708" t="s">
        <v>2308</v>
      </c>
      <c r="N742" s="223"/>
      <c r="O742" s="706">
        <f t="shared" si="75"/>
        <v>0</v>
      </c>
    </row>
    <row r="743" spans="1:15" s="360" customFormat="1" ht="15" hidden="1">
      <c r="A743" s="356" t="s">
        <v>2042</v>
      </c>
      <c r="B743" s="707" t="s">
        <v>638</v>
      </c>
      <c r="C743" s="633">
        <f t="shared" si="73"/>
        <v>0</v>
      </c>
      <c r="D743" s="354"/>
      <c r="E743" s="15">
        <f t="shared" si="68"/>
        <v>4950</v>
      </c>
      <c r="F743" s="917">
        <f t="shared" si="67"/>
        <v>0</v>
      </c>
      <c r="G743" s="358">
        <f>WORK!I2972</f>
        <v>0</v>
      </c>
      <c r="H743" s="354" t="s">
        <v>115</v>
      </c>
      <c r="I743" s="355">
        <f>WORK!K2972</f>
        <v>4950</v>
      </c>
      <c r="J743" s="353">
        <f t="shared" si="74"/>
        <v>0</v>
      </c>
      <c r="K743" s="1912"/>
      <c r="L743" s="1912"/>
      <c r="M743" s="708" t="s">
        <v>2321</v>
      </c>
      <c r="N743" s="223"/>
      <c r="O743" s="706">
        <f t="shared" si="75"/>
        <v>0</v>
      </c>
    </row>
    <row r="744" spans="1:15" s="360" customFormat="1" ht="15" hidden="1">
      <c r="A744" s="356" t="s">
        <v>2042</v>
      </c>
      <c r="B744" s="707" t="s">
        <v>638</v>
      </c>
      <c r="C744" s="633">
        <f t="shared" si="73"/>
        <v>0</v>
      </c>
      <c r="D744" s="354"/>
      <c r="E744" s="15">
        <f t="shared" si="68"/>
        <v>5445</v>
      </c>
      <c r="F744" s="917">
        <f t="shared" si="67"/>
        <v>0</v>
      </c>
      <c r="G744" s="358">
        <f>WORK!I3110</f>
        <v>0</v>
      </c>
      <c r="H744" s="354" t="s">
        <v>115</v>
      </c>
      <c r="I744" s="355">
        <f>WORK!K3110</f>
        <v>5445</v>
      </c>
      <c r="J744" s="353">
        <f t="shared" si="74"/>
        <v>0</v>
      </c>
      <c r="K744" s="1913"/>
      <c r="L744" s="1913"/>
      <c r="M744" s="708" t="s">
        <v>2322</v>
      </c>
      <c r="N744" s="223"/>
      <c r="O744" s="706">
        <f t="shared" si="75"/>
        <v>0</v>
      </c>
    </row>
    <row r="745" spans="1:15" s="360" customFormat="1" ht="25.5" hidden="1">
      <c r="A745" s="356" t="s">
        <v>1155</v>
      </c>
      <c r="B745" s="707" t="s">
        <v>3310</v>
      </c>
      <c r="C745" s="633">
        <f t="shared" si="73"/>
        <v>0</v>
      </c>
      <c r="D745" s="916" t="s">
        <v>115</v>
      </c>
      <c r="E745" s="15">
        <f t="shared" si="68"/>
        <v>0</v>
      </c>
      <c r="F745" s="917">
        <f t="shared" si="67"/>
        <v>0</v>
      </c>
      <c r="G745" s="358"/>
      <c r="H745" s="354"/>
      <c r="I745" s="355"/>
      <c r="J745" s="353">
        <f t="shared" si="74"/>
        <v>0</v>
      </c>
      <c r="K745" s="743">
        <f t="shared" ref="K745" si="76">IF(J745&gt;F745,J745-F745,0)</f>
        <v>0</v>
      </c>
      <c r="L745" s="368">
        <f t="shared" ref="L745" si="77">IF(J745&lt;F745,F745-J745,0)</f>
        <v>0</v>
      </c>
      <c r="M745" s="708" t="s">
        <v>2226</v>
      </c>
      <c r="N745" s="223"/>
      <c r="O745" s="706">
        <f t="shared" si="75"/>
        <v>0</v>
      </c>
    </row>
    <row r="746" spans="1:15" ht="15">
      <c r="A746" s="23"/>
      <c r="B746" s="702" t="s">
        <v>426</v>
      </c>
      <c r="C746" s="633">
        <f t="shared" si="73"/>
        <v>0</v>
      </c>
      <c r="D746" s="731"/>
      <c r="E746" s="10">
        <f t="shared" si="68"/>
        <v>0</v>
      </c>
      <c r="F746" s="883">
        <v>1.0000000000000001E-5</v>
      </c>
      <c r="G746" s="726"/>
      <c r="H746" s="732"/>
      <c r="I746" s="728"/>
      <c r="J746" s="353">
        <f t="shared" si="74"/>
        <v>0</v>
      </c>
      <c r="K746" s="25"/>
      <c r="L746" s="25"/>
      <c r="M746" s="1139" t="s">
        <v>2226</v>
      </c>
      <c r="N746" s="223"/>
      <c r="O746" s="1138">
        <v>1</v>
      </c>
    </row>
    <row r="747" spans="1:15" s="360" customFormat="1" ht="38.25">
      <c r="A747" s="356" t="s">
        <v>495</v>
      </c>
      <c r="B747" s="707" t="s">
        <v>3323</v>
      </c>
      <c r="C747" s="633">
        <f t="shared" si="73"/>
        <v>60</v>
      </c>
      <c r="D747" s="1115" t="s">
        <v>277</v>
      </c>
      <c r="E747" s="10">
        <f t="shared" si="68"/>
        <v>71.040000000000006</v>
      </c>
      <c r="F747" s="917">
        <f t="shared" si="67"/>
        <v>4262</v>
      </c>
      <c r="G747" s="358">
        <f>WORK!I3118</f>
        <v>60</v>
      </c>
      <c r="H747" s="354" t="s">
        <v>277</v>
      </c>
      <c r="I747" s="355">
        <f>WORK!K3118</f>
        <v>71.040000000000006</v>
      </c>
      <c r="J747" s="353">
        <f t="shared" si="74"/>
        <v>4262.3999999999996</v>
      </c>
      <c r="K747" s="1930">
        <f>IF((J747+J748+J749+J750)&gt;(F747+F748+F749+F750),(J747+J748+J749+J750)-(F747+F748+F749+F750),0)</f>
        <v>0.3999999999996362</v>
      </c>
      <c r="L747" s="1930">
        <f>IF((J747+J748+J749+J750)&lt;(F747+F748+F749+F750),(F747+F748+F749+F750)-(J747+J748+J749+J750),0)</f>
        <v>0</v>
      </c>
      <c r="M747" s="1139" t="s">
        <v>2226</v>
      </c>
      <c r="N747" s="223"/>
      <c r="O747" s="1138">
        <f t="shared" si="75"/>
        <v>-0.3999999999996362</v>
      </c>
    </row>
    <row r="748" spans="1:15" s="360" customFormat="1" ht="38.25" hidden="1">
      <c r="A748" s="356" t="s">
        <v>1519</v>
      </c>
      <c r="B748" s="707" t="s">
        <v>3323</v>
      </c>
      <c r="C748" s="633">
        <f t="shared" si="73"/>
        <v>0</v>
      </c>
      <c r="D748" s="354" t="s">
        <v>277</v>
      </c>
      <c r="E748" s="10">
        <f t="shared" si="68"/>
        <v>64.86</v>
      </c>
      <c r="F748" s="917">
        <f t="shared" si="67"/>
        <v>0</v>
      </c>
      <c r="G748" s="358">
        <f>WORK!I3338</f>
        <v>0</v>
      </c>
      <c r="H748" s="354" t="s">
        <v>277</v>
      </c>
      <c r="I748" s="355">
        <f>WORK!K3338</f>
        <v>64.86</v>
      </c>
      <c r="J748" s="353">
        <f t="shared" si="74"/>
        <v>0</v>
      </c>
      <c r="K748" s="1912"/>
      <c r="L748" s="1912"/>
      <c r="M748" s="1139" t="s">
        <v>2308</v>
      </c>
      <c r="N748" s="223"/>
      <c r="O748" s="1138">
        <f t="shared" si="75"/>
        <v>0</v>
      </c>
    </row>
    <row r="749" spans="1:15" s="360" customFormat="1" ht="15" hidden="1">
      <c r="A749" s="356" t="s">
        <v>1261</v>
      </c>
      <c r="B749" s="707" t="s">
        <v>555</v>
      </c>
      <c r="C749" s="633">
        <f t="shared" si="73"/>
        <v>0</v>
      </c>
      <c r="D749" s="354"/>
      <c r="E749" s="15">
        <f t="shared" si="68"/>
        <v>69.88</v>
      </c>
      <c r="F749" s="917">
        <f t="shared" si="67"/>
        <v>0</v>
      </c>
      <c r="G749" s="358">
        <f>WORK!I3557</f>
        <v>0</v>
      </c>
      <c r="H749" s="354" t="s">
        <v>277</v>
      </c>
      <c r="I749" s="355">
        <f>WORK!K3557</f>
        <v>69.88</v>
      </c>
      <c r="J749" s="353">
        <f t="shared" si="74"/>
        <v>0</v>
      </c>
      <c r="K749" s="1912"/>
      <c r="L749" s="1912"/>
      <c r="M749" s="708" t="s">
        <v>2321</v>
      </c>
      <c r="N749" s="223"/>
      <c r="O749" s="706">
        <f t="shared" si="75"/>
        <v>0</v>
      </c>
    </row>
    <row r="750" spans="1:15" s="360" customFormat="1" ht="15" hidden="1">
      <c r="A750" s="356" t="s">
        <v>1261</v>
      </c>
      <c r="B750" s="707" t="s">
        <v>555</v>
      </c>
      <c r="C750" s="633">
        <f t="shared" si="73"/>
        <v>0</v>
      </c>
      <c r="D750" s="354"/>
      <c r="E750" s="15">
        <f t="shared" si="68"/>
        <v>80.180000000000007</v>
      </c>
      <c r="F750" s="917">
        <f t="shared" si="67"/>
        <v>0</v>
      </c>
      <c r="G750" s="358">
        <f>WORK!I3777</f>
        <v>0</v>
      </c>
      <c r="H750" s="354" t="s">
        <v>277</v>
      </c>
      <c r="I750" s="355">
        <f>WORK!K3777</f>
        <v>80.180000000000007</v>
      </c>
      <c r="J750" s="353">
        <f t="shared" si="74"/>
        <v>0</v>
      </c>
      <c r="K750" s="1913"/>
      <c r="L750" s="1913"/>
      <c r="M750" s="708" t="s">
        <v>2322</v>
      </c>
      <c r="N750" s="223"/>
      <c r="O750" s="706">
        <f t="shared" si="75"/>
        <v>0</v>
      </c>
    </row>
    <row r="751" spans="1:15" s="360" customFormat="1" ht="38.25">
      <c r="A751" s="356" t="s">
        <v>1517</v>
      </c>
      <c r="B751" s="707" t="s">
        <v>3323</v>
      </c>
      <c r="C751" s="633">
        <f t="shared" si="73"/>
        <v>60</v>
      </c>
      <c r="D751" s="1115" t="s">
        <v>277</v>
      </c>
      <c r="E751" s="10">
        <f t="shared" si="68"/>
        <v>79.19</v>
      </c>
      <c r="F751" s="917">
        <f t="shared" si="67"/>
        <v>4751</v>
      </c>
      <c r="G751" s="358">
        <f>WORK!I3125</f>
        <v>60</v>
      </c>
      <c r="H751" s="354" t="s">
        <v>277</v>
      </c>
      <c r="I751" s="355">
        <f>WORK!K3125</f>
        <v>79.19</v>
      </c>
      <c r="J751" s="353">
        <f t="shared" si="74"/>
        <v>4751.3999999999996</v>
      </c>
      <c r="K751" s="1911">
        <f>IF((J751+J752+J753+J754)&gt;(F751+F752+F753+F754),(J751+J752+J753+J754)-(F751+F752+F753+F754),0)</f>
        <v>0.3999999999996362</v>
      </c>
      <c r="L751" s="1911">
        <f>IF((J751+J752+J753+J754)&lt;(F751+F752+F753+F754),(F751+F752+F753+F754)-(J751+J752+J753+J754),0)</f>
        <v>0</v>
      </c>
      <c r="M751" s="1139" t="s">
        <v>2226</v>
      </c>
      <c r="N751" s="223"/>
      <c r="O751" s="1138">
        <f t="shared" si="75"/>
        <v>-0.3999999999996362</v>
      </c>
    </row>
    <row r="752" spans="1:15" s="360" customFormat="1" ht="15" hidden="1">
      <c r="A752" s="356" t="s">
        <v>2050</v>
      </c>
      <c r="B752" s="707" t="s">
        <v>555</v>
      </c>
      <c r="C752" s="633">
        <f t="shared" si="73"/>
        <v>0</v>
      </c>
      <c r="D752" s="354"/>
      <c r="E752" s="15">
        <f t="shared" si="68"/>
        <v>73.41</v>
      </c>
      <c r="F752" s="917">
        <f t="shared" ref="F752:F815" si="78">ROUND(C752*E752,0)</f>
        <v>0</v>
      </c>
      <c r="G752" s="358">
        <f>WORK!I3344</f>
        <v>0</v>
      </c>
      <c r="H752" s="354" t="s">
        <v>277</v>
      </c>
      <c r="I752" s="355">
        <f>WORK!K3344</f>
        <v>73.41</v>
      </c>
      <c r="J752" s="353">
        <f t="shared" si="74"/>
        <v>0</v>
      </c>
      <c r="K752" s="1912"/>
      <c r="L752" s="1912"/>
      <c r="M752" s="708" t="s">
        <v>2308</v>
      </c>
      <c r="N752" s="223"/>
      <c r="O752" s="706">
        <f t="shared" si="75"/>
        <v>0</v>
      </c>
    </row>
    <row r="753" spans="1:15" s="360" customFormat="1" ht="15" hidden="1">
      <c r="A753" s="356" t="s">
        <v>508</v>
      </c>
      <c r="B753" s="707" t="s">
        <v>555</v>
      </c>
      <c r="C753" s="633">
        <f t="shared" si="73"/>
        <v>0</v>
      </c>
      <c r="D753" s="354" t="s">
        <v>277</v>
      </c>
      <c r="E753" s="15">
        <f t="shared" ref="E753:E816" si="79">I753</f>
        <v>79.430000000000007</v>
      </c>
      <c r="F753" s="917">
        <f t="shared" si="78"/>
        <v>0</v>
      </c>
      <c r="G753" s="358">
        <f>WORK!I3564</f>
        <v>0</v>
      </c>
      <c r="H753" s="354" t="s">
        <v>277</v>
      </c>
      <c r="I753" s="355">
        <f>WORK!K3564</f>
        <v>79.430000000000007</v>
      </c>
      <c r="J753" s="353">
        <f t="shared" si="74"/>
        <v>0</v>
      </c>
      <c r="K753" s="1912"/>
      <c r="L753" s="1912"/>
      <c r="M753" s="708" t="s">
        <v>2321</v>
      </c>
      <c r="N753" s="223"/>
      <c r="O753" s="706">
        <f t="shared" si="75"/>
        <v>0</v>
      </c>
    </row>
    <row r="754" spans="1:15" s="360" customFormat="1" ht="38.25" hidden="1">
      <c r="A754" s="356" t="s">
        <v>503</v>
      </c>
      <c r="B754" s="707" t="s">
        <v>3323</v>
      </c>
      <c r="C754" s="633">
        <f t="shared" si="73"/>
        <v>0</v>
      </c>
      <c r="D754" s="354" t="s">
        <v>277</v>
      </c>
      <c r="E754" s="10">
        <f t="shared" si="79"/>
        <v>89.61</v>
      </c>
      <c r="F754" s="917">
        <f t="shared" si="78"/>
        <v>0</v>
      </c>
      <c r="G754" s="358">
        <f>WORK!I3784</f>
        <v>0</v>
      </c>
      <c r="H754" s="354" t="s">
        <v>277</v>
      </c>
      <c r="I754" s="355">
        <f>WORK!K3784</f>
        <v>89.61</v>
      </c>
      <c r="J754" s="353">
        <f t="shared" si="74"/>
        <v>0</v>
      </c>
      <c r="K754" s="1927"/>
      <c r="L754" s="1927"/>
      <c r="M754" s="1139" t="s">
        <v>2322</v>
      </c>
      <c r="N754" s="223"/>
      <c r="O754" s="1138">
        <f t="shared" si="75"/>
        <v>0</v>
      </c>
    </row>
    <row r="755" spans="1:15" s="360" customFormat="1" ht="15" hidden="1">
      <c r="A755" s="356" t="s">
        <v>1157</v>
      </c>
      <c r="B755" s="707" t="s">
        <v>572</v>
      </c>
      <c r="C755" s="633">
        <f t="shared" si="73"/>
        <v>0</v>
      </c>
      <c r="D755" s="354" t="s">
        <v>115</v>
      </c>
      <c r="E755" s="15">
        <f t="shared" si="79"/>
        <v>55</v>
      </c>
      <c r="F755" s="917">
        <f t="shared" si="78"/>
        <v>0</v>
      </c>
      <c r="G755" s="358">
        <f>WORK!I3133</f>
        <v>0</v>
      </c>
      <c r="H755" s="354" t="s">
        <v>277</v>
      </c>
      <c r="I755" s="355">
        <f>WORK!K3133</f>
        <v>55</v>
      </c>
      <c r="J755" s="353">
        <f t="shared" si="74"/>
        <v>0</v>
      </c>
      <c r="K755" s="1911">
        <f>IF((J755+J756+J757+J758)&gt;(F755+F756+F757+F758),(J755+J756+J757+J758)-(F755+F756+F757+F758),0)</f>
        <v>0</v>
      </c>
      <c r="L755" s="1911">
        <f>IF((J755+J756+J757+J758)&lt;(F755+F756+F757+F758),(F755+F756+F757+F758)-(J755+J756+J757+J758),0)</f>
        <v>0</v>
      </c>
      <c r="M755" s="708" t="s">
        <v>2226</v>
      </c>
      <c r="N755" s="223"/>
      <c r="O755" s="706">
        <f t="shared" si="75"/>
        <v>0</v>
      </c>
    </row>
    <row r="756" spans="1:15" s="360" customFormat="1" ht="15" hidden="1">
      <c r="A756" s="356" t="s">
        <v>517</v>
      </c>
      <c r="B756" s="707" t="s">
        <v>572</v>
      </c>
      <c r="C756" s="633">
        <f t="shared" si="73"/>
        <v>0</v>
      </c>
      <c r="D756" s="354" t="s">
        <v>115</v>
      </c>
      <c r="E756" s="15">
        <f t="shared" si="79"/>
        <v>55</v>
      </c>
      <c r="F756" s="917">
        <f t="shared" si="78"/>
        <v>0</v>
      </c>
      <c r="G756" s="358">
        <f>WORK!I3352</f>
        <v>0</v>
      </c>
      <c r="H756" s="354" t="s">
        <v>277</v>
      </c>
      <c r="I756" s="355">
        <f>WORK!K3352</f>
        <v>55</v>
      </c>
      <c r="J756" s="353">
        <f t="shared" si="74"/>
        <v>0</v>
      </c>
      <c r="K756" s="1912"/>
      <c r="L756" s="1912"/>
      <c r="M756" s="708" t="s">
        <v>2308</v>
      </c>
      <c r="N756" s="223"/>
      <c r="O756" s="706">
        <f t="shared" si="75"/>
        <v>0</v>
      </c>
    </row>
    <row r="757" spans="1:15" s="360" customFormat="1" ht="15" hidden="1">
      <c r="A757" s="356" t="s">
        <v>517</v>
      </c>
      <c r="B757" s="707" t="s">
        <v>572</v>
      </c>
      <c r="C757" s="633">
        <f t="shared" si="73"/>
        <v>0</v>
      </c>
      <c r="D757" s="354" t="s">
        <v>568</v>
      </c>
      <c r="E757" s="15">
        <f t="shared" si="79"/>
        <v>58</v>
      </c>
      <c r="F757" s="917">
        <f t="shared" si="78"/>
        <v>0</v>
      </c>
      <c r="G757" s="358">
        <f>WORK!I3572</f>
        <v>0</v>
      </c>
      <c r="H757" s="354" t="s">
        <v>277</v>
      </c>
      <c r="I757" s="355">
        <f>WORK!K3572</f>
        <v>58</v>
      </c>
      <c r="J757" s="353">
        <f t="shared" si="74"/>
        <v>0</v>
      </c>
      <c r="K757" s="1912"/>
      <c r="L757" s="1912"/>
      <c r="M757" s="708" t="s">
        <v>2321</v>
      </c>
      <c r="N757" s="223"/>
      <c r="O757" s="706">
        <f t="shared" si="75"/>
        <v>0</v>
      </c>
    </row>
    <row r="758" spans="1:15" s="360" customFormat="1" ht="15" hidden="1">
      <c r="A758" s="356" t="s">
        <v>517</v>
      </c>
      <c r="B758" s="707" t="s">
        <v>572</v>
      </c>
      <c r="C758" s="633">
        <f t="shared" si="73"/>
        <v>0</v>
      </c>
      <c r="D758" s="354" t="s">
        <v>568</v>
      </c>
      <c r="E758" s="15">
        <f t="shared" si="79"/>
        <v>64</v>
      </c>
      <c r="F758" s="917">
        <f t="shared" si="78"/>
        <v>0</v>
      </c>
      <c r="G758" s="358">
        <f>WORK!I3792</f>
        <v>0</v>
      </c>
      <c r="H758" s="354" t="s">
        <v>277</v>
      </c>
      <c r="I758" s="355">
        <f>WORK!K3792</f>
        <v>64</v>
      </c>
      <c r="J758" s="353">
        <f t="shared" si="74"/>
        <v>0</v>
      </c>
      <c r="K758" s="1913"/>
      <c r="L758" s="1913"/>
      <c r="M758" s="708" t="s">
        <v>2322</v>
      </c>
      <c r="N758" s="223"/>
      <c r="O758" s="706">
        <f t="shared" si="75"/>
        <v>0</v>
      </c>
    </row>
    <row r="759" spans="1:15" s="360" customFormat="1" ht="15">
      <c r="A759" s="356" t="s">
        <v>1518</v>
      </c>
      <c r="B759" s="707" t="s">
        <v>556</v>
      </c>
      <c r="C759" s="633">
        <f t="shared" si="73"/>
        <v>1</v>
      </c>
      <c r="D759" s="354" t="s">
        <v>277</v>
      </c>
      <c r="E759" s="10">
        <f t="shared" si="79"/>
        <v>205</v>
      </c>
      <c r="F759" s="917">
        <f t="shared" si="78"/>
        <v>205</v>
      </c>
      <c r="G759" s="358">
        <f>WORK!I3138</f>
        <v>1</v>
      </c>
      <c r="H759" s="354" t="s">
        <v>115</v>
      </c>
      <c r="I759" s="355">
        <f>WORK!K3138</f>
        <v>205</v>
      </c>
      <c r="J759" s="353">
        <f t="shared" si="74"/>
        <v>205</v>
      </c>
      <c r="K759" s="1911">
        <f>IF((J759+J760+J761+J762)&gt;(F759+F760+F761+F762),(J759+J760+J761+J762)-(F759+F760+F761+F762),0)</f>
        <v>0</v>
      </c>
      <c r="L759" s="1911">
        <f>IF((J759+J760+J761+J762)&lt;(F759+F760+F761+F762),(F759+F760+F761+F762)-(J759+J760+J761+J762),0)</f>
        <v>0</v>
      </c>
      <c r="M759" s="1139" t="s">
        <v>2226</v>
      </c>
      <c r="N759" s="223"/>
      <c r="O759" s="1138">
        <f t="shared" si="75"/>
        <v>0</v>
      </c>
    </row>
    <row r="760" spans="1:15" s="360" customFormat="1" ht="15" hidden="1">
      <c r="A760" s="356" t="s">
        <v>2052</v>
      </c>
      <c r="B760" s="707" t="s">
        <v>556</v>
      </c>
      <c r="C760" s="633">
        <f t="shared" si="73"/>
        <v>0</v>
      </c>
      <c r="D760" s="354" t="s">
        <v>115</v>
      </c>
      <c r="E760" s="15">
        <f t="shared" si="79"/>
        <v>205</v>
      </c>
      <c r="F760" s="917">
        <f t="shared" si="78"/>
        <v>0</v>
      </c>
      <c r="G760" s="358">
        <f>WORK!I3357</f>
        <v>0</v>
      </c>
      <c r="H760" s="354" t="s">
        <v>115</v>
      </c>
      <c r="I760" s="355">
        <f>WORK!K3357</f>
        <v>205</v>
      </c>
      <c r="J760" s="353">
        <f t="shared" si="74"/>
        <v>0</v>
      </c>
      <c r="K760" s="1912"/>
      <c r="L760" s="1912"/>
      <c r="M760" s="708" t="s">
        <v>2308</v>
      </c>
      <c r="N760" s="223"/>
      <c r="O760" s="706">
        <f t="shared" si="75"/>
        <v>0</v>
      </c>
    </row>
    <row r="761" spans="1:15" s="360" customFormat="1" ht="15" hidden="1">
      <c r="A761" s="356" t="s">
        <v>510</v>
      </c>
      <c r="B761" s="707" t="s">
        <v>556</v>
      </c>
      <c r="C761" s="633">
        <f t="shared" si="73"/>
        <v>0</v>
      </c>
      <c r="D761" s="354" t="s">
        <v>115</v>
      </c>
      <c r="E761" s="15">
        <f t="shared" si="79"/>
        <v>226</v>
      </c>
      <c r="F761" s="917">
        <f t="shared" si="78"/>
        <v>0</v>
      </c>
      <c r="G761" s="358">
        <f>WORK!I3577</f>
        <v>0</v>
      </c>
      <c r="H761" s="354" t="s">
        <v>115</v>
      </c>
      <c r="I761" s="355">
        <f>WORK!K3577</f>
        <v>226</v>
      </c>
      <c r="J761" s="353">
        <f t="shared" si="74"/>
        <v>0</v>
      </c>
      <c r="K761" s="1912"/>
      <c r="L761" s="1912"/>
      <c r="M761" s="708" t="s">
        <v>2321</v>
      </c>
      <c r="N761" s="223"/>
      <c r="O761" s="706">
        <f t="shared" si="75"/>
        <v>0</v>
      </c>
    </row>
    <row r="762" spans="1:15" s="360" customFormat="1" ht="15" hidden="1">
      <c r="A762" s="356" t="s">
        <v>504</v>
      </c>
      <c r="B762" s="707" t="s">
        <v>556</v>
      </c>
      <c r="C762" s="633">
        <f t="shared" si="73"/>
        <v>0</v>
      </c>
      <c r="D762" s="354" t="s">
        <v>115</v>
      </c>
      <c r="E762" s="10">
        <f t="shared" si="79"/>
        <v>245</v>
      </c>
      <c r="F762" s="917">
        <f t="shared" si="78"/>
        <v>0</v>
      </c>
      <c r="G762" s="358">
        <f>WORK!I3797</f>
        <v>0</v>
      </c>
      <c r="H762" s="354" t="s">
        <v>115</v>
      </c>
      <c r="I762" s="355">
        <f>WORK!K3797</f>
        <v>245</v>
      </c>
      <c r="J762" s="353">
        <f t="shared" si="74"/>
        <v>0</v>
      </c>
      <c r="K762" s="1927"/>
      <c r="L762" s="1927"/>
      <c r="M762" s="1139" t="s">
        <v>2322</v>
      </c>
      <c r="N762" s="223"/>
      <c r="O762" s="1138">
        <f t="shared" si="75"/>
        <v>0</v>
      </c>
    </row>
    <row r="763" spans="1:15" s="360" customFormat="1" ht="15">
      <c r="A763" s="356" t="s">
        <v>1519</v>
      </c>
      <c r="B763" s="707" t="s">
        <v>639</v>
      </c>
      <c r="C763" s="633">
        <f t="shared" si="73"/>
        <v>10</v>
      </c>
      <c r="D763" s="354" t="s">
        <v>115</v>
      </c>
      <c r="E763" s="10">
        <f t="shared" si="79"/>
        <v>170</v>
      </c>
      <c r="F763" s="917">
        <f t="shared" si="78"/>
        <v>1700</v>
      </c>
      <c r="G763" s="358">
        <f>WORK!I3143</f>
        <v>10</v>
      </c>
      <c r="H763" s="354" t="s">
        <v>115</v>
      </c>
      <c r="I763" s="355">
        <f>WORK!K3143</f>
        <v>170</v>
      </c>
      <c r="J763" s="353">
        <f t="shared" si="74"/>
        <v>1700</v>
      </c>
      <c r="K763" s="1911">
        <f>IF((J763+J764+J765+J766)&gt;(F763+F764+F765+F766),(J763+J764+J765+J766)-(F763+F764+F765+F766),0)</f>
        <v>0</v>
      </c>
      <c r="L763" s="1911">
        <f>IF((J763+J764+J765+J766)&lt;(F763+F764+F765+F766),(F763+F764+F765+F766)-(J763+J764+J765+J766),0)</f>
        <v>0</v>
      </c>
      <c r="M763" s="1139" t="s">
        <v>2226</v>
      </c>
      <c r="N763" s="223"/>
      <c r="O763" s="1138">
        <f t="shared" si="75"/>
        <v>0</v>
      </c>
    </row>
    <row r="764" spans="1:15" s="360" customFormat="1" ht="15" hidden="1">
      <c r="A764" s="356" t="s">
        <v>2722</v>
      </c>
      <c r="B764" s="707" t="s">
        <v>639</v>
      </c>
      <c r="C764" s="633">
        <f t="shared" si="73"/>
        <v>0</v>
      </c>
      <c r="D764" s="354" t="s">
        <v>115</v>
      </c>
      <c r="E764" s="15">
        <f t="shared" si="79"/>
        <v>170</v>
      </c>
      <c r="F764" s="917">
        <f t="shared" si="78"/>
        <v>0</v>
      </c>
      <c r="G764" s="358">
        <f>WORK!I3362</f>
        <v>0</v>
      </c>
      <c r="H764" s="354" t="s">
        <v>115</v>
      </c>
      <c r="I764" s="355">
        <f>WORK!K3362</f>
        <v>170</v>
      </c>
      <c r="J764" s="353">
        <f t="shared" si="74"/>
        <v>0</v>
      </c>
      <c r="K764" s="1912"/>
      <c r="L764" s="1912"/>
      <c r="M764" s="708" t="s">
        <v>2308</v>
      </c>
      <c r="N764" s="223"/>
      <c r="O764" s="706">
        <f t="shared" si="75"/>
        <v>0</v>
      </c>
    </row>
    <row r="765" spans="1:15" s="360" customFormat="1" ht="15" hidden="1">
      <c r="A765" s="356" t="s">
        <v>1599</v>
      </c>
      <c r="B765" s="707" t="s">
        <v>639</v>
      </c>
      <c r="C765" s="633">
        <f t="shared" si="73"/>
        <v>0</v>
      </c>
      <c r="D765" s="354" t="s">
        <v>115</v>
      </c>
      <c r="E765" s="15">
        <f t="shared" si="79"/>
        <v>187</v>
      </c>
      <c r="F765" s="917">
        <f t="shared" si="78"/>
        <v>0</v>
      </c>
      <c r="G765" s="358">
        <f>WORK!I3582</f>
        <v>0</v>
      </c>
      <c r="H765" s="354" t="s">
        <v>115</v>
      </c>
      <c r="I765" s="355">
        <f>WORK!K3582</f>
        <v>187</v>
      </c>
      <c r="J765" s="353">
        <f t="shared" si="74"/>
        <v>0</v>
      </c>
      <c r="K765" s="1912"/>
      <c r="L765" s="1912"/>
      <c r="M765" s="708" t="s">
        <v>2321</v>
      </c>
      <c r="N765" s="223"/>
      <c r="O765" s="706">
        <f t="shared" si="75"/>
        <v>0</v>
      </c>
    </row>
    <row r="766" spans="1:15" s="360" customFormat="1" ht="15" hidden="1">
      <c r="A766" s="356" t="s">
        <v>506</v>
      </c>
      <c r="B766" s="707" t="s">
        <v>639</v>
      </c>
      <c r="C766" s="633">
        <f t="shared" si="73"/>
        <v>0</v>
      </c>
      <c r="D766" s="354" t="s">
        <v>115</v>
      </c>
      <c r="E766" s="10">
        <f t="shared" si="79"/>
        <v>203</v>
      </c>
      <c r="F766" s="917">
        <f t="shared" si="78"/>
        <v>0</v>
      </c>
      <c r="G766" s="358">
        <f>WORK!I3802</f>
        <v>0</v>
      </c>
      <c r="H766" s="354" t="s">
        <v>115</v>
      </c>
      <c r="I766" s="355">
        <f>WORK!K3802</f>
        <v>203</v>
      </c>
      <c r="J766" s="353">
        <f t="shared" si="74"/>
        <v>0</v>
      </c>
      <c r="K766" s="1927"/>
      <c r="L766" s="1927"/>
      <c r="M766" s="1139" t="s">
        <v>2322</v>
      </c>
      <c r="N766" s="223"/>
      <c r="O766" s="1138">
        <f t="shared" si="75"/>
        <v>0</v>
      </c>
    </row>
    <row r="767" spans="1:15" s="360" customFormat="1" ht="15" hidden="1">
      <c r="A767" s="356" t="s">
        <v>2084</v>
      </c>
      <c r="B767" s="707" t="s">
        <v>714</v>
      </c>
      <c r="C767" s="633">
        <f t="shared" si="73"/>
        <v>0</v>
      </c>
      <c r="D767" s="354" t="s">
        <v>115</v>
      </c>
      <c r="E767" s="15">
        <f t="shared" si="79"/>
        <v>130</v>
      </c>
      <c r="F767" s="917">
        <f t="shared" si="78"/>
        <v>0</v>
      </c>
      <c r="G767" s="358">
        <f>WORK!I3148</f>
        <v>0</v>
      </c>
      <c r="H767" s="354" t="s">
        <v>115</v>
      </c>
      <c r="I767" s="355">
        <f>WORK!K3148</f>
        <v>130</v>
      </c>
      <c r="J767" s="353">
        <f t="shared" si="74"/>
        <v>0</v>
      </c>
      <c r="K767" s="1911">
        <f>IF((J767+J768+J769+J770)&gt;(F767+F768+F769+F770),(J767+J768+J769+J770)-(F767+F768+F769+F770),0)</f>
        <v>0</v>
      </c>
      <c r="L767" s="1911">
        <f>IF((J767+J768+J769+J770)&lt;(F767+F768+F769+F770),(F767+F768+F769+F770)-(J767+J768+J769+J770),0)</f>
        <v>0</v>
      </c>
      <c r="M767" s="708" t="s">
        <v>2226</v>
      </c>
      <c r="N767" s="223"/>
      <c r="O767" s="706">
        <f t="shared" si="75"/>
        <v>0</v>
      </c>
    </row>
    <row r="768" spans="1:15" s="360" customFormat="1" ht="15" hidden="1">
      <c r="A768" s="356" t="s">
        <v>2053</v>
      </c>
      <c r="B768" s="707" t="s">
        <v>714</v>
      </c>
      <c r="C768" s="633">
        <f t="shared" si="73"/>
        <v>0</v>
      </c>
      <c r="D768" s="354" t="s">
        <v>115</v>
      </c>
      <c r="E768" s="15">
        <f t="shared" si="79"/>
        <v>130</v>
      </c>
      <c r="F768" s="917">
        <f t="shared" si="78"/>
        <v>0</v>
      </c>
      <c r="G768" s="358">
        <f>WORK!I3367</f>
        <v>0</v>
      </c>
      <c r="H768" s="354" t="s">
        <v>115</v>
      </c>
      <c r="I768" s="355">
        <f>WORK!K3367</f>
        <v>130</v>
      </c>
      <c r="J768" s="353">
        <f t="shared" si="74"/>
        <v>0</v>
      </c>
      <c r="K768" s="1912"/>
      <c r="L768" s="1912"/>
      <c r="M768" s="708" t="s">
        <v>2308</v>
      </c>
      <c r="N768" s="223"/>
      <c r="O768" s="706">
        <f t="shared" si="75"/>
        <v>0</v>
      </c>
    </row>
    <row r="769" spans="1:15" s="360" customFormat="1" ht="15" hidden="1">
      <c r="A769" s="356" t="s">
        <v>2084</v>
      </c>
      <c r="B769" s="707" t="s">
        <v>714</v>
      </c>
      <c r="C769" s="633">
        <f t="shared" si="73"/>
        <v>0</v>
      </c>
      <c r="D769" s="354"/>
      <c r="E769" s="15">
        <f t="shared" si="79"/>
        <v>143</v>
      </c>
      <c r="F769" s="917">
        <f t="shared" si="78"/>
        <v>0</v>
      </c>
      <c r="G769" s="358">
        <f>WORK!I3587</f>
        <v>0</v>
      </c>
      <c r="H769" s="354" t="s">
        <v>115</v>
      </c>
      <c r="I769" s="355">
        <f>WORK!K3587</f>
        <v>143</v>
      </c>
      <c r="J769" s="353">
        <f t="shared" si="74"/>
        <v>0</v>
      </c>
      <c r="K769" s="1912"/>
      <c r="L769" s="1912"/>
      <c r="M769" s="708" t="s">
        <v>2321</v>
      </c>
      <c r="N769" s="223"/>
      <c r="O769" s="706">
        <f t="shared" si="75"/>
        <v>0</v>
      </c>
    </row>
    <row r="770" spans="1:15" s="360" customFormat="1" ht="15" hidden="1">
      <c r="A770" s="356" t="s">
        <v>499</v>
      </c>
      <c r="B770" s="707" t="s">
        <v>714</v>
      </c>
      <c r="C770" s="633">
        <f t="shared" si="73"/>
        <v>0</v>
      </c>
      <c r="D770" s="354" t="s">
        <v>115</v>
      </c>
      <c r="E770" s="10">
        <f t="shared" si="79"/>
        <v>155</v>
      </c>
      <c r="F770" s="917">
        <f t="shared" si="78"/>
        <v>0</v>
      </c>
      <c r="G770" s="358">
        <f>WORK!I3807</f>
        <v>0</v>
      </c>
      <c r="H770" s="354" t="s">
        <v>115</v>
      </c>
      <c r="I770" s="355">
        <f>WORK!K3807</f>
        <v>155</v>
      </c>
      <c r="J770" s="353">
        <f t="shared" si="74"/>
        <v>0</v>
      </c>
      <c r="K770" s="1913"/>
      <c r="L770" s="1913"/>
      <c r="M770" s="1139" t="s">
        <v>2322</v>
      </c>
      <c r="N770" s="223"/>
      <c r="O770" s="1138">
        <f t="shared" si="75"/>
        <v>0</v>
      </c>
    </row>
    <row r="771" spans="1:15" s="360" customFormat="1" ht="15" hidden="1">
      <c r="A771" s="356" t="s">
        <v>1600</v>
      </c>
      <c r="B771" s="707" t="s">
        <v>796</v>
      </c>
      <c r="C771" s="633">
        <f t="shared" si="73"/>
        <v>0</v>
      </c>
      <c r="D771" s="354"/>
      <c r="E771" s="15">
        <f t="shared" si="79"/>
        <v>95</v>
      </c>
      <c r="F771" s="917">
        <f t="shared" si="78"/>
        <v>0</v>
      </c>
      <c r="G771" s="358">
        <f>WORK!I3166</f>
        <v>0</v>
      </c>
      <c r="H771" s="354" t="s">
        <v>115</v>
      </c>
      <c r="I771" s="355">
        <f>WORK!K3166</f>
        <v>95</v>
      </c>
      <c r="J771" s="353">
        <f t="shared" si="74"/>
        <v>0</v>
      </c>
      <c r="K771" s="1911">
        <f>IF((J771+J772+J773+J774)&gt;(F771+F772+F773+F774),(J771+J772+J773+J774)-(F771+F772+F773+F774),0)</f>
        <v>0</v>
      </c>
      <c r="L771" s="1911">
        <f>IF((J771+J772+J773+J774)&lt;(F771+F772+F773+F774),(F771+F772+F773+F774)-(J771+J772+J773+J774),0)</f>
        <v>0</v>
      </c>
      <c r="M771" s="708" t="s">
        <v>2226</v>
      </c>
      <c r="N771" s="223"/>
      <c r="O771" s="706">
        <f t="shared" si="75"/>
        <v>0</v>
      </c>
    </row>
    <row r="772" spans="1:15" s="360" customFormat="1" ht="15" hidden="1">
      <c r="A772" s="356" t="s">
        <v>2720</v>
      </c>
      <c r="B772" s="707" t="s">
        <v>796</v>
      </c>
      <c r="C772" s="633">
        <f t="shared" si="73"/>
        <v>0</v>
      </c>
      <c r="D772" s="354"/>
      <c r="E772" s="15">
        <f t="shared" si="79"/>
        <v>95</v>
      </c>
      <c r="F772" s="917">
        <f t="shared" si="78"/>
        <v>0</v>
      </c>
      <c r="G772" s="358">
        <f>WORK!I3385</f>
        <v>0</v>
      </c>
      <c r="H772" s="354" t="s">
        <v>115</v>
      </c>
      <c r="I772" s="355">
        <f>WORK!K3385</f>
        <v>95</v>
      </c>
      <c r="J772" s="353">
        <f t="shared" si="74"/>
        <v>0</v>
      </c>
      <c r="K772" s="1912"/>
      <c r="L772" s="1912"/>
      <c r="M772" s="708" t="s">
        <v>2308</v>
      </c>
      <c r="N772" s="223"/>
      <c r="O772" s="706">
        <f t="shared" si="75"/>
        <v>0</v>
      </c>
    </row>
    <row r="773" spans="1:15" s="360" customFormat="1" ht="15" hidden="1">
      <c r="A773" s="356" t="s">
        <v>1600</v>
      </c>
      <c r="B773" s="707" t="s">
        <v>796</v>
      </c>
      <c r="C773" s="633">
        <f t="shared" si="73"/>
        <v>0</v>
      </c>
      <c r="D773" s="354"/>
      <c r="E773" s="15">
        <f t="shared" si="79"/>
        <v>105</v>
      </c>
      <c r="F773" s="917">
        <f t="shared" si="78"/>
        <v>0</v>
      </c>
      <c r="G773" s="358">
        <f>WORK!I3605</f>
        <v>0</v>
      </c>
      <c r="H773" s="354" t="s">
        <v>115</v>
      </c>
      <c r="I773" s="355">
        <f>WORK!K3605</f>
        <v>105</v>
      </c>
      <c r="J773" s="353">
        <f t="shared" si="74"/>
        <v>0</v>
      </c>
      <c r="K773" s="1912"/>
      <c r="L773" s="1912"/>
      <c r="M773" s="708" t="s">
        <v>2321</v>
      </c>
      <c r="N773" s="223"/>
      <c r="O773" s="706">
        <f t="shared" si="75"/>
        <v>0</v>
      </c>
    </row>
    <row r="774" spans="1:15" s="360" customFormat="1" ht="15" hidden="1">
      <c r="A774" s="356" t="s">
        <v>1600</v>
      </c>
      <c r="B774" s="707" t="s">
        <v>796</v>
      </c>
      <c r="C774" s="633">
        <f t="shared" si="73"/>
        <v>0</v>
      </c>
      <c r="D774" s="354"/>
      <c r="E774" s="15">
        <f t="shared" si="79"/>
        <v>114</v>
      </c>
      <c r="F774" s="917">
        <f t="shared" si="78"/>
        <v>0</v>
      </c>
      <c r="G774" s="358">
        <f>WORK!I3825</f>
        <v>0</v>
      </c>
      <c r="H774" s="354" t="s">
        <v>115</v>
      </c>
      <c r="I774" s="355">
        <f>WORK!K3825</f>
        <v>114</v>
      </c>
      <c r="J774" s="353">
        <f t="shared" si="74"/>
        <v>0</v>
      </c>
      <c r="K774" s="1913"/>
      <c r="L774" s="1913"/>
      <c r="M774" s="708" t="s">
        <v>2322</v>
      </c>
      <c r="N774" s="223"/>
      <c r="O774" s="706">
        <f t="shared" si="75"/>
        <v>0</v>
      </c>
    </row>
    <row r="775" spans="1:15" s="360" customFormat="1" ht="15" hidden="1">
      <c r="A775" s="356" t="s">
        <v>2050</v>
      </c>
      <c r="B775" s="707" t="s">
        <v>640</v>
      </c>
      <c r="C775" s="633">
        <f t="shared" si="73"/>
        <v>0</v>
      </c>
      <c r="D775" s="354"/>
      <c r="E775" s="15">
        <f t="shared" si="79"/>
        <v>335</v>
      </c>
      <c r="F775" s="917">
        <f t="shared" si="78"/>
        <v>0</v>
      </c>
      <c r="G775" s="358">
        <f>WORK!I3161</f>
        <v>0</v>
      </c>
      <c r="H775" s="354" t="s">
        <v>115</v>
      </c>
      <c r="I775" s="355">
        <f>WORK!K3161</f>
        <v>335</v>
      </c>
      <c r="J775" s="353">
        <f t="shared" si="74"/>
        <v>0</v>
      </c>
      <c r="K775" s="1911">
        <f>IF((J775+J776+J777+J778)&gt;(F775+F776+F777+F778),(J775+J776+J777+J778)-(F775+F776+F777+F778),0)</f>
        <v>0</v>
      </c>
      <c r="L775" s="1911">
        <f>IF((J775+J776+J777+J778)&lt;(F775+F776+F777+F778),(F775+F776+F777+F778)-(J775+J776+J777+J778),0)</f>
        <v>0</v>
      </c>
      <c r="M775" s="708" t="s">
        <v>2226</v>
      </c>
      <c r="N775" s="223"/>
      <c r="O775" s="706">
        <f t="shared" si="75"/>
        <v>0</v>
      </c>
    </row>
    <row r="776" spans="1:15" s="360" customFormat="1" ht="15" hidden="1">
      <c r="A776" s="356" t="s">
        <v>2050</v>
      </c>
      <c r="B776" s="707" t="s">
        <v>640</v>
      </c>
      <c r="C776" s="633">
        <f t="shared" si="73"/>
        <v>0</v>
      </c>
      <c r="D776" s="354"/>
      <c r="E776" s="15">
        <f t="shared" si="79"/>
        <v>335</v>
      </c>
      <c r="F776" s="917">
        <f t="shared" si="78"/>
        <v>0</v>
      </c>
      <c r="G776" s="358">
        <f>WORK!I3380</f>
        <v>0</v>
      </c>
      <c r="H776" s="354" t="s">
        <v>115</v>
      </c>
      <c r="I776" s="355">
        <f>WORK!K3380</f>
        <v>335</v>
      </c>
      <c r="J776" s="353">
        <f t="shared" si="74"/>
        <v>0</v>
      </c>
      <c r="K776" s="1912"/>
      <c r="L776" s="1912"/>
      <c r="M776" s="708" t="s">
        <v>2308</v>
      </c>
      <c r="N776" s="223"/>
      <c r="O776" s="706">
        <f t="shared" si="75"/>
        <v>0</v>
      </c>
    </row>
    <row r="777" spans="1:15" s="360" customFormat="1" ht="15" hidden="1">
      <c r="A777" s="356" t="s">
        <v>2050</v>
      </c>
      <c r="B777" s="707" t="s">
        <v>640</v>
      </c>
      <c r="C777" s="633">
        <f t="shared" si="73"/>
        <v>0</v>
      </c>
      <c r="D777" s="354"/>
      <c r="E777" s="15">
        <f t="shared" si="79"/>
        <v>369</v>
      </c>
      <c r="F777" s="917">
        <f t="shared" si="78"/>
        <v>0</v>
      </c>
      <c r="G777" s="358">
        <f>WORK!I3600</f>
        <v>0</v>
      </c>
      <c r="H777" s="354" t="s">
        <v>115</v>
      </c>
      <c r="I777" s="355">
        <f>WORK!K3600</f>
        <v>369</v>
      </c>
      <c r="J777" s="353">
        <f t="shared" si="74"/>
        <v>0</v>
      </c>
      <c r="K777" s="1912"/>
      <c r="L777" s="1912"/>
      <c r="M777" s="708" t="s">
        <v>2321</v>
      </c>
      <c r="N777" s="223"/>
      <c r="O777" s="706">
        <f t="shared" si="75"/>
        <v>0</v>
      </c>
    </row>
    <row r="778" spans="1:15" s="360" customFormat="1" ht="15" hidden="1">
      <c r="A778" s="356" t="s">
        <v>2050</v>
      </c>
      <c r="B778" s="707" t="s">
        <v>640</v>
      </c>
      <c r="C778" s="633">
        <f t="shared" ref="C778:C841" si="80">G778</f>
        <v>0</v>
      </c>
      <c r="D778" s="354"/>
      <c r="E778" s="15">
        <f t="shared" si="79"/>
        <v>400</v>
      </c>
      <c r="F778" s="917">
        <f t="shared" si="78"/>
        <v>0</v>
      </c>
      <c r="G778" s="358">
        <f>WORK!I3820</f>
        <v>0</v>
      </c>
      <c r="H778" s="354" t="s">
        <v>115</v>
      </c>
      <c r="I778" s="355">
        <f>WORK!K3820</f>
        <v>400</v>
      </c>
      <c r="J778" s="353">
        <f t="shared" ref="J778:J841" si="81">ROUND(G778*I778,2)</f>
        <v>0</v>
      </c>
      <c r="K778" s="1913"/>
      <c r="L778" s="1913"/>
      <c r="M778" s="708" t="s">
        <v>2322</v>
      </c>
      <c r="N778" s="223"/>
      <c r="O778" s="706">
        <f t="shared" si="75"/>
        <v>0</v>
      </c>
    </row>
    <row r="779" spans="1:15" s="360" customFormat="1" ht="15" hidden="1">
      <c r="A779" s="356" t="s">
        <v>2051</v>
      </c>
      <c r="B779" s="707" t="s">
        <v>1514</v>
      </c>
      <c r="C779" s="633">
        <f t="shared" si="80"/>
        <v>0</v>
      </c>
      <c r="D779" s="354"/>
      <c r="E779" s="15">
        <f t="shared" si="79"/>
        <v>300</v>
      </c>
      <c r="F779" s="917">
        <f t="shared" si="78"/>
        <v>0</v>
      </c>
      <c r="G779" s="358">
        <f>WORK!I3156</f>
        <v>0</v>
      </c>
      <c r="H779" s="354" t="s">
        <v>115</v>
      </c>
      <c r="I779" s="355">
        <f>WORK!K3156</f>
        <v>300</v>
      </c>
      <c r="J779" s="353">
        <f t="shared" si="81"/>
        <v>0</v>
      </c>
      <c r="K779" s="1911">
        <f>IF((J779+J780+J781+J782)&gt;(F779+F780+F781+F782),(J779+J780+J781+J782)-(F779+F780+F781+F782),0)</f>
        <v>0</v>
      </c>
      <c r="L779" s="1911">
        <f>IF((J779+J780+J781+J782)&lt;(F779+F780+F781+F782),(F779+F780+F781+F782)-(J779+J780+J781+J782),0)</f>
        <v>0</v>
      </c>
      <c r="M779" s="708" t="s">
        <v>2226</v>
      </c>
      <c r="N779" s="223"/>
      <c r="O779" s="706">
        <f t="shared" si="75"/>
        <v>0</v>
      </c>
    </row>
    <row r="780" spans="1:15" s="360" customFormat="1" ht="15" hidden="1">
      <c r="A780" s="356" t="s">
        <v>2051</v>
      </c>
      <c r="B780" s="707" t="s">
        <v>1514</v>
      </c>
      <c r="C780" s="633">
        <f t="shared" si="80"/>
        <v>0</v>
      </c>
      <c r="D780" s="354"/>
      <c r="E780" s="15">
        <f t="shared" si="79"/>
        <v>300</v>
      </c>
      <c r="F780" s="917">
        <f t="shared" si="78"/>
        <v>0</v>
      </c>
      <c r="G780" s="358">
        <f>WORK!I3375</f>
        <v>0</v>
      </c>
      <c r="H780" s="354" t="s">
        <v>115</v>
      </c>
      <c r="I780" s="355">
        <f>WORK!K3375</f>
        <v>300</v>
      </c>
      <c r="J780" s="353">
        <f t="shared" si="81"/>
        <v>0</v>
      </c>
      <c r="K780" s="1912"/>
      <c r="L780" s="1912"/>
      <c r="M780" s="708" t="s">
        <v>2308</v>
      </c>
      <c r="N780" s="223"/>
      <c r="O780" s="706">
        <f t="shared" si="75"/>
        <v>0</v>
      </c>
    </row>
    <row r="781" spans="1:15" s="360" customFormat="1" ht="15" hidden="1">
      <c r="A781" s="356" t="s">
        <v>2051</v>
      </c>
      <c r="B781" s="707" t="s">
        <v>1514</v>
      </c>
      <c r="C781" s="633">
        <f t="shared" si="80"/>
        <v>0</v>
      </c>
      <c r="D781" s="354"/>
      <c r="E781" s="15">
        <f t="shared" si="79"/>
        <v>331</v>
      </c>
      <c r="F781" s="917">
        <f t="shared" si="78"/>
        <v>0</v>
      </c>
      <c r="G781" s="358">
        <f>WORK!I3595</f>
        <v>0</v>
      </c>
      <c r="H781" s="354" t="s">
        <v>115</v>
      </c>
      <c r="I781" s="355">
        <f>WORK!K3595</f>
        <v>331</v>
      </c>
      <c r="J781" s="353">
        <f t="shared" si="81"/>
        <v>0</v>
      </c>
      <c r="K781" s="1912"/>
      <c r="L781" s="1912"/>
      <c r="M781" s="708" t="s">
        <v>2321</v>
      </c>
      <c r="N781" s="223"/>
      <c r="O781" s="706">
        <f t="shared" si="75"/>
        <v>0</v>
      </c>
    </row>
    <row r="782" spans="1:15" s="360" customFormat="1" ht="15" hidden="1">
      <c r="A782" s="356" t="s">
        <v>2051</v>
      </c>
      <c r="B782" s="707" t="s">
        <v>1514</v>
      </c>
      <c r="C782" s="633">
        <f t="shared" si="80"/>
        <v>0</v>
      </c>
      <c r="D782" s="354"/>
      <c r="E782" s="15">
        <f t="shared" si="79"/>
        <v>359</v>
      </c>
      <c r="F782" s="917">
        <f t="shared" si="78"/>
        <v>0</v>
      </c>
      <c r="G782" s="358">
        <f>WORK!I3815</f>
        <v>0</v>
      </c>
      <c r="H782" s="354" t="s">
        <v>115</v>
      </c>
      <c r="I782" s="355">
        <f>WORK!K3815</f>
        <v>359</v>
      </c>
      <c r="J782" s="353">
        <f t="shared" si="81"/>
        <v>0</v>
      </c>
      <c r="K782" s="1913"/>
      <c r="L782" s="1913"/>
      <c r="M782" s="708" t="s">
        <v>2322</v>
      </c>
      <c r="N782" s="223"/>
      <c r="O782" s="706">
        <f t="shared" si="75"/>
        <v>0</v>
      </c>
    </row>
    <row r="783" spans="1:15" s="360" customFormat="1" ht="15" hidden="1">
      <c r="A783" s="356" t="s">
        <v>2084</v>
      </c>
      <c r="B783" s="707" t="s">
        <v>557</v>
      </c>
      <c r="C783" s="633">
        <f t="shared" si="80"/>
        <v>0</v>
      </c>
      <c r="D783" s="354"/>
      <c r="E783" s="15">
        <f t="shared" si="79"/>
        <v>57</v>
      </c>
      <c r="F783" s="917">
        <f t="shared" si="78"/>
        <v>0</v>
      </c>
      <c r="G783" s="358">
        <f>WORK!I3171</f>
        <v>0</v>
      </c>
      <c r="H783" s="354" t="s">
        <v>115</v>
      </c>
      <c r="I783" s="355">
        <f>WORK!K3171</f>
        <v>57</v>
      </c>
      <c r="J783" s="353">
        <f t="shared" si="81"/>
        <v>0</v>
      </c>
      <c r="K783" s="1911">
        <f>IF((J783+J784+J785+J786)&gt;(F783+F784+F785+F786),(J783+J784+J785+J786)-(F783+F784+F785+F786),0)</f>
        <v>0</v>
      </c>
      <c r="L783" s="1911">
        <f>IF((J783+J784+J785+J786)&lt;(F783+F784+F785+F786),(F783+F784+F785+F786)-(J783+J784+J785+J786),0)</f>
        <v>0</v>
      </c>
      <c r="M783" s="708" t="s">
        <v>2226</v>
      </c>
      <c r="N783" s="223"/>
      <c r="O783" s="706">
        <f t="shared" si="75"/>
        <v>0</v>
      </c>
    </row>
    <row r="784" spans="1:15" s="360" customFormat="1" ht="15" hidden="1">
      <c r="A784" s="356" t="s">
        <v>2723</v>
      </c>
      <c r="B784" s="707" t="s">
        <v>557</v>
      </c>
      <c r="C784" s="633">
        <f t="shared" si="80"/>
        <v>0</v>
      </c>
      <c r="D784" s="354"/>
      <c r="E784" s="15">
        <f t="shared" si="79"/>
        <v>57</v>
      </c>
      <c r="F784" s="917">
        <f t="shared" si="78"/>
        <v>0</v>
      </c>
      <c r="G784" s="358">
        <f>WORK!I3390</f>
        <v>0</v>
      </c>
      <c r="H784" s="354" t="s">
        <v>115</v>
      </c>
      <c r="I784" s="355">
        <f>WORK!K3390</f>
        <v>57</v>
      </c>
      <c r="J784" s="353">
        <f t="shared" si="81"/>
        <v>0</v>
      </c>
      <c r="K784" s="1912"/>
      <c r="L784" s="1912"/>
      <c r="M784" s="708" t="s">
        <v>2308</v>
      </c>
      <c r="N784" s="223"/>
      <c r="O784" s="706">
        <f t="shared" si="75"/>
        <v>0</v>
      </c>
    </row>
    <row r="785" spans="1:15" s="360" customFormat="1" ht="15" hidden="1">
      <c r="A785" s="356" t="s">
        <v>2084</v>
      </c>
      <c r="B785" s="707" t="s">
        <v>557</v>
      </c>
      <c r="C785" s="633">
        <f t="shared" si="80"/>
        <v>0</v>
      </c>
      <c r="D785" s="354"/>
      <c r="E785" s="15">
        <f t="shared" si="79"/>
        <v>63</v>
      </c>
      <c r="F785" s="917">
        <f t="shared" si="78"/>
        <v>0</v>
      </c>
      <c r="G785" s="358">
        <f>WORK!I3610</f>
        <v>0</v>
      </c>
      <c r="H785" s="354" t="s">
        <v>115</v>
      </c>
      <c r="I785" s="355">
        <f>WORK!K3610</f>
        <v>63</v>
      </c>
      <c r="J785" s="353">
        <f t="shared" si="81"/>
        <v>0</v>
      </c>
      <c r="K785" s="1912"/>
      <c r="L785" s="1912"/>
      <c r="M785" s="708" t="s">
        <v>2321</v>
      </c>
      <c r="N785" s="223"/>
      <c r="O785" s="706">
        <f t="shared" si="75"/>
        <v>0</v>
      </c>
    </row>
    <row r="786" spans="1:15" s="360" customFormat="1" ht="15" hidden="1">
      <c r="A786" s="356" t="s">
        <v>2084</v>
      </c>
      <c r="B786" s="707" t="s">
        <v>557</v>
      </c>
      <c r="C786" s="633">
        <f t="shared" si="80"/>
        <v>0</v>
      </c>
      <c r="D786" s="354"/>
      <c r="E786" s="15">
        <f t="shared" si="79"/>
        <v>68</v>
      </c>
      <c r="F786" s="917">
        <f t="shared" si="78"/>
        <v>0</v>
      </c>
      <c r="G786" s="358">
        <f>WORK!I3830</f>
        <v>0</v>
      </c>
      <c r="H786" s="354" t="s">
        <v>115</v>
      </c>
      <c r="I786" s="355">
        <f>WORK!K3830</f>
        <v>68</v>
      </c>
      <c r="J786" s="353">
        <f t="shared" si="81"/>
        <v>0</v>
      </c>
      <c r="K786" s="1913"/>
      <c r="L786" s="1913"/>
      <c r="M786" s="708" t="s">
        <v>2322</v>
      </c>
      <c r="N786" s="223"/>
      <c r="O786" s="706">
        <f t="shared" si="75"/>
        <v>0</v>
      </c>
    </row>
    <row r="787" spans="1:15" s="360" customFormat="1" ht="38.25">
      <c r="A787" s="356" t="s">
        <v>1520</v>
      </c>
      <c r="B787" s="707" t="s">
        <v>3324</v>
      </c>
      <c r="C787" s="633">
        <f t="shared" si="80"/>
        <v>10</v>
      </c>
      <c r="D787" s="1115" t="s">
        <v>568</v>
      </c>
      <c r="E787" s="10">
        <f t="shared" si="79"/>
        <v>383.5</v>
      </c>
      <c r="F787" s="917">
        <f t="shared" si="78"/>
        <v>3835</v>
      </c>
      <c r="G787" s="358">
        <f>WORK!I3177</f>
        <v>10</v>
      </c>
      <c r="H787" s="354" t="s">
        <v>568</v>
      </c>
      <c r="I787" s="355">
        <f>WORK!K3177</f>
        <v>383.5</v>
      </c>
      <c r="J787" s="353">
        <f t="shared" si="81"/>
        <v>3835</v>
      </c>
      <c r="K787" s="1911">
        <f>IF((J787+J788+J789+J790)&gt;(F787+F788+F789+F790),(J787+J788+J789+J790)-(F787+F788+F789+F790),0)</f>
        <v>0</v>
      </c>
      <c r="L787" s="1911">
        <f>IF((J787+J788+J789+J790)&lt;(F787+F788+F789+F790),(F787+F788+F789+F790)-(J787+J788+J789+J790),0)</f>
        <v>0</v>
      </c>
      <c r="M787" s="1139" t="s">
        <v>2226</v>
      </c>
      <c r="N787" s="223"/>
      <c r="O787" s="1138">
        <f t="shared" ref="O787:O850" si="82">F787-J787</f>
        <v>0</v>
      </c>
    </row>
    <row r="788" spans="1:15" s="360" customFormat="1" ht="15" hidden="1">
      <c r="A788" s="356" t="s">
        <v>2724</v>
      </c>
      <c r="B788" s="707" t="s">
        <v>558</v>
      </c>
      <c r="C788" s="633">
        <f t="shared" si="80"/>
        <v>0</v>
      </c>
      <c r="D788" s="354"/>
      <c r="E788" s="15">
        <f t="shared" si="79"/>
        <v>395.5</v>
      </c>
      <c r="F788" s="917">
        <f t="shared" si="78"/>
        <v>0</v>
      </c>
      <c r="G788" s="358">
        <f>WORK!I3395</f>
        <v>0</v>
      </c>
      <c r="H788" s="354" t="s">
        <v>568</v>
      </c>
      <c r="I788" s="355">
        <f>WORK!K3395</f>
        <v>395.5</v>
      </c>
      <c r="J788" s="353">
        <f t="shared" si="81"/>
        <v>0</v>
      </c>
      <c r="K788" s="1912"/>
      <c r="L788" s="1912"/>
      <c r="M788" s="708" t="s">
        <v>2308</v>
      </c>
      <c r="N788" s="223"/>
      <c r="O788" s="706">
        <f t="shared" si="82"/>
        <v>0</v>
      </c>
    </row>
    <row r="789" spans="1:15" s="360" customFormat="1" ht="15" hidden="1">
      <c r="A789" s="356" t="s">
        <v>1522</v>
      </c>
      <c r="B789" s="707" t="s">
        <v>558</v>
      </c>
      <c r="C789" s="633">
        <f t="shared" si="80"/>
        <v>0</v>
      </c>
      <c r="D789" s="354" t="s">
        <v>568</v>
      </c>
      <c r="E789" s="15">
        <f t="shared" si="79"/>
        <v>436.33</v>
      </c>
      <c r="F789" s="917">
        <f t="shared" si="78"/>
        <v>0</v>
      </c>
      <c r="G789" s="358">
        <f>WORK!I3616</f>
        <v>0</v>
      </c>
      <c r="H789" s="354" t="s">
        <v>568</v>
      </c>
      <c r="I789" s="355">
        <f>WORK!K3616</f>
        <v>436.33</v>
      </c>
      <c r="J789" s="353">
        <f t="shared" si="81"/>
        <v>0</v>
      </c>
      <c r="K789" s="1912"/>
      <c r="L789" s="1912"/>
      <c r="M789" s="708" t="s">
        <v>2321</v>
      </c>
      <c r="N789" s="223"/>
      <c r="O789" s="706">
        <f t="shared" si="82"/>
        <v>0</v>
      </c>
    </row>
    <row r="790" spans="1:15" s="360" customFormat="1" ht="38.25" hidden="1">
      <c r="A790" s="356" t="s">
        <v>508</v>
      </c>
      <c r="B790" s="707" t="s">
        <v>3324</v>
      </c>
      <c r="C790" s="633">
        <f t="shared" si="80"/>
        <v>0</v>
      </c>
      <c r="D790" s="354" t="s">
        <v>568</v>
      </c>
      <c r="E790" s="10">
        <f t="shared" si="79"/>
        <v>481.67</v>
      </c>
      <c r="F790" s="917">
        <f t="shared" si="78"/>
        <v>0</v>
      </c>
      <c r="G790" s="358">
        <f>WORK!I3836</f>
        <v>0</v>
      </c>
      <c r="H790" s="354" t="s">
        <v>568</v>
      </c>
      <c r="I790" s="355">
        <f>WORK!K3836</f>
        <v>481.67</v>
      </c>
      <c r="J790" s="353">
        <f t="shared" si="81"/>
        <v>0</v>
      </c>
      <c r="K790" s="1927"/>
      <c r="L790" s="1927"/>
      <c r="M790" s="1139" t="s">
        <v>2322</v>
      </c>
      <c r="N790" s="223"/>
      <c r="O790" s="1138">
        <f t="shared" si="82"/>
        <v>0</v>
      </c>
    </row>
    <row r="791" spans="1:15" s="360" customFormat="1" ht="38.25">
      <c r="A791" s="356" t="s">
        <v>1521</v>
      </c>
      <c r="B791" s="707" t="s">
        <v>3325</v>
      </c>
      <c r="C791" s="633">
        <f t="shared" si="80"/>
        <v>8</v>
      </c>
      <c r="D791" s="1115" t="s">
        <v>568</v>
      </c>
      <c r="E791" s="10">
        <f t="shared" si="79"/>
        <v>402.5</v>
      </c>
      <c r="F791" s="917">
        <f t="shared" si="78"/>
        <v>3220</v>
      </c>
      <c r="G791" s="358">
        <f>WORK!I3182</f>
        <v>8</v>
      </c>
      <c r="H791" s="354" t="s">
        <v>568</v>
      </c>
      <c r="I791" s="355">
        <f>WORK!K3182</f>
        <v>402.5</v>
      </c>
      <c r="J791" s="353">
        <f t="shared" si="81"/>
        <v>3220</v>
      </c>
      <c r="K791" s="1911">
        <f>IF((J791+J792+J793+J794)&gt;(F791+F792+F793+F794),(J791+J792+J793+J794)-(F791+F792+F793+F794),0)</f>
        <v>0</v>
      </c>
      <c r="L791" s="1911">
        <f>IF((J791+J792+J793+J794)&lt;(F791+F792+F793+F794),(F791+F792+F793+F794)-(J791+J792+J793+J794),0)</f>
        <v>0</v>
      </c>
      <c r="M791" s="1139" t="s">
        <v>2226</v>
      </c>
      <c r="N791" s="223"/>
      <c r="O791" s="1138">
        <f t="shared" si="82"/>
        <v>0</v>
      </c>
    </row>
    <row r="792" spans="1:15" s="360" customFormat="1" ht="15" hidden="1">
      <c r="A792" s="356" t="s">
        <v>522</v>
      </c>
      <c r="B792" s="707" t="s">
        <v>558</v>
      </c>
      <c r="C792" s="633">
        <f t="shared" si="80"/>
        <v>0</v>
      </c>
      <c r="D792" s="354"/>
      <c r="E792" s="15">
        <f t="shared" si="79"/>
        <v>414.5</v>
      </c>
      <c r="F792" s="917">
        <f t="shared" si="78"/>
        <v>0</v>
      </c>
      <c r="G792" s="358">
        <f>WORK!I3402</f>
        <v>0</v>
      </c>
      <c r="H792" s="354" t="s">
        <v>568</v>
      </c>
      <c r="I792" s="355">
        <f>WORK!K3402</f>
        <v>414.5</v>
      </c>
      <c r="J792" s="353">
        <f t="shared" si="81"/>
        <v>0</v>
      </c>
      <c r="K792" s="1912"/>
      <c r="L792" s="1912"/>
      <c r="M792" s="708" t="s">
        <v>2308</v>
      </c>
      <c r="N792" s="223"/>
      <c r="O792" s="706">
        <f t="shared" si="82"/>
        <v>0</v>
      </c>
    </row>
    <row r="793" spans="1:15" s="360" customFormat="1" ht="15" hidden="1">
      <c r="A793" s="356" t="s">
        <v>512</v>
      </c>
      <c r="B793" s="707" t="s">
        <v>558</v>
      </c>
      <c r="C793" s="633">
        <f t="shared" si="80"/>
        <v>0</v>
      </c>
      <c r="D793" s="354" t="s">
        <v>568</v>
      </c>
      <c r="E793" s="15">
        <f t="shared" si="79"/>
        <v>457.33</v>
      </c>
      <c r="F793" s="917">
        <f t="shared" si="78"/>
        <v>0</v>
      </c>
      <c r="G793" s="358">
        <f>WORK!I3621</f>
        <v>0</v>
      </c>
      <c r="H793" s="354" t="s">
        <v>568</v>
      </c>
      <c r="I793" s="355">
        <f>WORK!K3621</f>
        <v>457.33</v>
      </c>
      <c r="J793" s="353">
        <f t="shared" si="81"/>
        <v>0</v>
      </c>
      <c r="K793" s="1912"/>
      <c r="L793" s="1912"/>
      <c r="M793" s="708" t="s">
        <v>2321</v>
      </c>
      <c r="N793" s="223"/>
      <c r="O793" s="706">
        <f t="shared" si="82"/>
        <v>0</v>
      </c>
    </row>
    <row r="794" spans="1:15" s="360" customFormat="1" ht="38.25" hidden="1">
      <c r="A794" s="356" t="s">
        <v>510</v>
      </c>
      <c r="B794" s="707" t="s">
        <v>3325</v>
      </c>
      <c r="C794" s="633">
        <f t="shared" si="80"/>
        <v>0</v>
      </c>
      <c r="D794" s="354" t="s">
        <v>568</v>
      </c>
      <c r="E794" s="10">
        <f t="shared" si="79"/>
        <v>503.67</v>
      </c>
      <c r="F794" s="917">
        <f t="shared" si="78"/>
        <v>0</v>
      </c>
      <c r="G794" s="358">
        <f>WORK!I3841</f>
        <v>0</v>
      </c>
      <c r="H794" s="354" t="s">
        <v>568</v>
      </c>
      <c r="I794" s="355">
        <f>WORK!K3841</f>
        <v>503.67</v>
      </c>
      <c r="J794" s="353">
        <f t="shared" si="81"/>
        <v>0</v>
      </c>
      <c r="K794" s="1927"/>
      <c r="L794" s="1927"/>
      <c r="M794" s="1139" t="s">
        <v>2322</v>
      </c>
      <c r="N794" s="223"/>
      <c r="O794" s="1138">
        <f t="shared" si="82"/>
        <v>0</v>
      </c>
    </row>
    <row r="795" spans="1:15" s="360" customFormat="1" ht="15" hidden="1">
      <c r="A795" s="356" t="s">
        <v>2040</v>
      </c>
      <c r="B795" s="707" t="s">
        <v>2273</v>
      </c>
      <c r="C795" s="633">
        <f t="shared" si="80"/>
        <v>0</v>
      </c>
      <c r="D795" s="354"/>
      <c r="E795" s="15">
        <f t="shared" si="79"/>
        <v>18.59</v>
      </c>
      <c r="F795" s="917">
        <f t="shared" si="78"/>
        <v>0</v>
      </c>
      <c r="G795" s="358">
        <f>WORK!I3188</f>
        <v>0</v>
      </c>
      <c r="H795" s="354" t="s">
        <v>277</v>
      </c>
      <c r="I795" s="355">
        <f>WORK!K3188</f>
        <v>18.59</v>
      </c>
      <c r="J795" s="353">
        <f t="shared" si="81"/>
        <v>0</v>
      </c>
      <c r="K795" s="1911">
        <f>IF((J795+J796+J797+J798)&gt;(F795+F796+F797+F798),(J795+J796+J797+J798)-(F795+F796+F797+F798),0)</f>
        <v>0</v>
      </c>
      <c r="L795" s="1911">
        <f>IF((J795+J796+J797+J798)&lt;(F795+F796+F797+F798),(F795+F796+F797+F798)-(J795+J796+J797+J798),0)</f>
        <v>0</v>
      </c>
      <c r="M795" s="708" t="s">
        <v>2226</v>
      </c>
      <c r="N795" s="223"/>
      <c r="O795" s="706">
        <f t="shared" si="82"/>
        <v>0</v>
      </c>
    </row>
    <row r="796" spans="1:15" s="360" customFormat="1" ht="15" hidden="1">
      <c r="A796" s="356" t="s">
        <v>2725</v>
      </c>
      <c r="B796" s="707" t="s">
        <v>2273</v>
      </c>
      <c r="C796" s="633">
        <f t="shared" si="80"/>
        <v>0</v>
      </c>
      <c r="D796" s="354"/>
      <c r="E796" s="15">
        <f t="shared" si="79"/>
        <v>19.09</v>
      </c>
      <c r="F796" s="917">
        <f t="shared" si="78"/>
        <v>0</v>
      </c>
      <c r="G796" s="358">
        <f>WORK!I3408</f>
        <v>0</v>
      </c>
      <c r="H796" s="354" t="s">
        <v>277</v>
      </c>
      <c r="I796" s="355">
        <f>WORK!K3408</f>
        <v>19.09</v>
      </c>
      <c r="J796" s="353">
        <f t="shared" si="81"/>
        <v>0</v>
      </c>
      <c r="K796" s="1912"/>
      <c r="L796" s="1912"/>
      <c r="M796" s="708" t="s">
        <v>2308</v>
      </c>
      <c r="N796" s="223"/>
      <c r="O796" s="706">
        <f t="shared" si="82"/>
        <v>0</v>
      </c>
    </row>
    <row r="797" spans="1:15" s="360" customFormat="1" ht="15" hidden="1">
      <c r="A797" s="356" t="s">
        <v>2040</v>
      </c>
      <c r="B797" s="707" t="s">
        <v>2273</v>
      </c>
      <c r="C797" s="633">
        <f t="shared" si="80"/>
        <v>0</v>
      </c>
      <c r="D797" s="354"/>
      <c r="E797" s="15">
        <f t="shared" si="79"/>
        <v>21.19</v>
      </c>
      <c r="F797" s="917">
        <f t="shared" si="78"/>
        <v>0</v>
      </c>
      <c r="G797" s="358">
        <f>WORK!I3627</f>
        <v>0</v>
      </c>
      <c r="H797" s="354" t="s">
        <v>277</v>
      </c>
      <c r="I797" s="355">
        <f>WORK!K3627</f>
        <v>21.19</v>
      </c>
      <c r="J797" s="353">
        <f t="shared" si="81"/>
        <v>0</v>
      </c>
      <c r="K797" s="1912"/>
      <c r="L797" s="1912"/>
      <c r="M797" s="708" t="s">
        <v>2321</v>
      </c>
      <c r="N797" s="223"/>
      <c r="O797" s="706">
        <f t="shared" si="82"/>
        <v>0</v>
      </c>
    </row>
    <row r="798" spans="1:15" s="360" customFormat="1" ht="15" hidden="1">
      <c r="A798" s="356" t="s">
        <v>1518</v>
      </c>
      <c r="B798" s="707" t="s">
        <v>2273</v>
      </c>
      <c r="C798" s="633">
        <f t="shared" si="80"/>
        <v>0</v>
      </c>
      <c r="D798" s="354"/>
      <c r="E798" s="15">
        <f t="shared" si="79"/>
        <v>23.55</v>
      </c>
      <c r="F798" s="917">
        <f t="shared" si="78"/>
        <v>0</v>
      </c>
      <c r="G798" s="358">
        <f>WORK!I3846</f>
        <v>0</v>
      </c>
      <c r="H798" s="354" t="s">
        <v>277</v>
      </c>
      <c r="I798" s="355">
        <f>WORK!K3846</f>
        <v>23.55</v>
      </c>
      <c r="J798" s="353">
        <f t="shared" si="81"/>
        <v>0</v>
      </c>
      <c r="K798" s="1913"/>
      <c r="L798" s="1913"/>
      <c r="M798" s="708" t="s">
        <v>2322</v>
      </c>
      <c r="N798" s="223"/>
      <c r="O798" s="706">
        <f t="shared" si="82"/>
        <v>0</v>
      </c>
    </row>
    <row r="799" spans="1:15" s="360" customFormat="1" ht="63.75" hidden="1">
      <c r="A799" s="356" t="s">
        <v>1158</v>
      </c>
      <c r="B799" s="707" t="s">
        <v>2264</v>
      </c>
      <c r="C799" s="633">
        <f t="shared" si="80"/>
        <v>0</v>
      </c>
      <c r="D799" s="1115" t="s">
        <v>277</v>
      </c>
      <c r="E799" s="15">
        <f t="shared" si="79"/>
        <v>60.7</v>
      </c>
      <c r="F799" s="917">
        <f t="shared" si="78"/>
        <v>0</v>
      </c>
      <c r="G799" s="358">
        <f>WORK!I3193</f>
        <v>0</v>
      </c>
      <c r="H799" s="354" t="s">
        <v>277</v>
      </c>
      <c r="I799" s="355">
        <f>WORK!K3193</f>
        <v>60.7</v>
      </c>
      <c r="J799" s="353">
        <f t="shared" si="81"/>
        <v>0</v>
      </c>
      <c r="K799" s="1911">
        <f>IF((J799+J800+J801+J802)&gt;(F799+F800+F801+F802),(J799+J800+J801+J802)-(F799+F800+F801+F802),0)</f>
        <v>0</v>
      </c>
      <c r="L799" s="1911">
        <f>IF((J799+J800+J801+J802)&lt;(F799+F800+F801+F802),(F799+F800+F801+F802)-(J799+J800+J801+J802),0)</f>
        <v>0</v>
      </c>
      <c r="M799" s="708" t="s">
        <v>2226</v>
      </c>
      <c r="N799" s="223"/>
      <c r="O799" s="706">
        <f t="shared" si="82"/>
        <v>0</v>
      </c>
    </row>
    <row r="800" spans="1:15" s="360" customFormat="1" ht="15" hidden="1">
      <c r="A800" s="356" t="s">
        <v>2041</v>
      </c>
      <c r="B800" s="707" t="s">
        <v>2274</v>
      </c>
      <c r="C800" s="633">
        <f t="shared" si="80"/>
        <v>0</v>
      </c>
      <c r="D800" s="354"/>
      <c r="E800" s="15">
        <f t="shared" si="79"/>
        <v>60.7</v>
      </c>
      <c r="F800" s="917">
        <f t="shared" si="78"/>
        <v>0</v>
      </c>
      <c r="G800" s="358">
        <f>WORK!I3413</f>
        <v>0</v>
      </c>
      <c r="H800" s="354" t="s">
        <v>277</v>
      </c>
      <c r="I800" s="355">
        <f>WORK!K3413</f>
        <v>60.7</v>
      </c>
      <c r="J800" s="353">
        <f t="shared" si="81"/>
        <v>0</v>
      </c>
      <c r="K800" s="1912"/>
      <c r="L800" s="1912"/>
      <c r="M800" s="708" t="s">
        <v>2308</v>
      </c>
      <c r="N800" s="223"/>
      <c r="O800" s="706">
        <f t="shared" si="82"/>
        <v>0</v>
      </c>
    </row>
    <row r="801" spans="1:15" s="360" customFormat="1" ht="15" hidden="1">
      <c r="A801" s="356" t="s">
        <v>2041</v>
      </c>
      <c r="B801" s="707" t="s">
        <v>2274</v>
      </c>
      <c r="C801" s="633">
        <f t="shared" si="80"/>
        <v>0</v>
      </c>
      <c r="D801" s="354"/>
      <c r="E801" s="15">
        <f t="shared" si="79"/>
        <v>69.83</v>
      </c>
      <c r="F801" s="917">
        <f t="shared" si="78"/>
        <v>0</v>
      </c>
      <c r="G801" s="358">
        <f>WORK!I3632</f>
        <v>0</v>
      </c>
      <c r="H801" s="354" t="s">
        <v>277</v>
      </c>
      <c r="I801" s="355">
        <f>WORK!K3632</f>
        <v>69.83</v>
      </c>
      <c r="J801" s="353">
        <f t="shared" si="81"/>
        <v>0</v>
      </c>
      <c r="K801" s="1912"/>
      <c r="L801" s="1912"/>
      <c r="M801" s="708" t="s">
        <v>2321</v>
      </c>
      <c r="N801" s="223"/>
      <c r="O801" s="706">
        <f t="shared" si="82"/>
        <v>0</v>
      </c>
    </row>
    <row r="802" spans="1:15" s="360" customFormat="1" ht="38.25" hidden="1">
      <c r="A802" s="356" t="s">
        <v>1517</v>
      </c>
      <c r="B802" s="707" t="s">
        <v>3384</v>
      </c>
      <c r="C802" s="633">
        <f t="shared" si="80"/>
        <v>0</v>
      </c>
      <c r="D802" s="354"/>
      <c r="E802" s="15">
        <f t="shared" si="79"/>
        <v>79.48</v>
      </c>
      <c r="F802" s="917">
        <f t="shared" si="78"/>
        <v>0</v>
      </c>
      <c r="G802" s="358">
        <f>WORK!I3855</f>
        <v>0</v>
      </c>
      <c r="H802" s="354" t="s">
        <v>277</v>
      </c>
      <c r="I802" s="355">
        <f>WORK!K3855</f>
        <v>79.48</v>
      </c>
      <c r="J802" s="353">
        <f t="shared" si="81"/>
        <v>0</v>
      </c>
      <c r="K802" s="1913"/>
      <c r="L802" s="1913"/>
      <c r="M802" s="708" t="s">
        <v>2322</v>
      </c>
      <c r="N802" s="223"/>
      <c r="O802" s="706">
        <f t="shared" si="82"/>
        <v>0</v>
      </c>
    </row>
    <row r="803" spans="1:15" s="360" customFormat="1" ht="63.75">
      <c r="A803" s="356" t="s">
        <v>497</v>
      </c>
      <c r="B803" s="707" t="s">
        <v>429</v>
      </c>
      <c r="C803" s="633">
        <f t="shared" si="80"/>
        <v>60</v>
      </c>
      <c r="D803" s="1115" t="s">
        <v>277</v>
      </c>
      <c r="E803" s="10">
        <f t="shared" si="79"/>
        <v>64.873099999999994</v>
      </c>
      <c r="F803" s="917">
        <f t="shared" si="78"/>
        <v>3892</v>
      </c>
      <c r="G803" s="358">
        <f>WORK!I3200</f>
        <v>60</v>
      </c>
      <c r="H803" s="354" t="s">
        <v>277</v>
      </c>
      <c r="I803" s="355">
        <f>WORK!K3200</f>
        <v>64.873099999999994</v>
      </c>
      <c r="J803" s="353">
        <f t="shared" si="81"/>
        <v>3892.39</v>
      </c>
      <c r="K803" s="1911">
        <f>IF((J803+J804+J805+J806)&gt;(F803+F804+F805+F806),(J803+J804+J805+J806)-(F803+F804+F805+F806),0)</f>
        <v>0.38999999999987267</v>
      </c>
      <c r="L803" s="1911">
        <f>IF((J803+J804+J805+J806)&lt;(F803+F804+F805+F806),(F803+F804+F805+F806)-(J803+J804+J805+J806),0)</f>
        <v>0</v>
      </c>
      <c r="M803" s="1139" t="s">
        <v>2226</v>
      </c>
      <c r="N803" s="223"/>
      <c r="O803" s="1138">
        <f t="shared" si="82"/>
        <v>-0.38999999999987267</v>
      </c>
    </row>
    <row r="804" spans="1:15" s="360" customFormat="1" ht="15" hidden="1">
      <c r="A804" s="356" t="s">
        <v>2726</v>
      </c>
      <c r="B804" s="707" t="s">
        <v>559</v>
      </c>
      <c r="C804" s="633">
        <f t="shared" si="80"/>
        <v>0</v>
      </c>
      <c r="D804" s="354"/>
      <c r="E804" s="15">
        <f t="shared" si="79"/>
        <v>65.868499999999997</v>
      </c>
      <c r="F804" s="917">
        <f t="shared" si="78"/>
        <v>0</v>
      </c>
      <c r="G804" s="358">
        <f>WORK!I3418</f>
        <v>0</v>
      </c>
      <c r="H804" s="354" t="s">
        <v>277</v>
      </c>
      <c r="I804" s="355">
        <f>WORK!K3418</f>
        <v>65.868499999999997</v>
      </c>
      <c r="J804" s="353">
        <f t="shared" si="81"/>
        <v>0</v>
      </c>
      <c r="K804" s="1912"/>
      <c r="L804" s="1912"/>
      <c r="M804" s="708" t="s">
        <v>2308</v>
      </c>
      <c r="N804" s="223"/>
      <c r="O804" s="706">
        <f t="shared" si="82"/>
        <v>0</v>
      </c>
    </row>
    <row r="805" spans="1:15" s="360" customFormat="1" ht="15" hidden="1">
      <c r="A805" s="356" t="s">
        <v>513</v>
      </c>
      <c r="B805" s="707" t="s">
        <v>559</v>
      </c>
      <c r="C805" s="633">
        <f t="shared" si="80"/>
        <v>0</v>
      </c>
      <c r="D805" s="354" t="s">
        <v>277</v>
      </c>
      <c r="E805" s="15">
        <f t="shared" si="79"/>
        <v>74.22399999999999</v>
      </c>
      <c r="F805" s="917">
        <f t="shared" si="78"/>
        <v>0</v>
      </c>
      <c r="G805" s="358">
        <f>WORK!I3639</f>
        <v>0</v>
      </c>
      <c r="H805" s="354" t="s">
        <v>277</v>
      </c>
      <c r="I805" s="355">
        <f>WORK!K3639</f>
        <v>74.22399999999999</v>
      </c>
      <c r="J805" s="353">
        <f t="shared" si="81"/>
        <v>0</v>
      </c>
      <c r="K805" s="1912"/>
      <c r="L805" s="1912"/>
      <c r="M805" s="708" t="s">
        <v>2321</v>
      </c>
      <c r="N805" s="223"/>
      <c r="O805" s="706">
        <f t="shared" si="82"/>
        <v>0</v>
      </c>
    </row>
    <row r="806" spans="1:15" s="360" customFormat="1" ht="63.75" hidden="1">
      <c r="A806" s="356" t="s">
        <v>1522</v>
      </c>
      <c r="B806" s="707" t="s">
        <v>429</v>
      </c>
      <c r="C806" s="633">
        <f t="shared" si="80"/>
        <v>0</v>
      </c>
      <c r="D806" s="354" t="s">
        <v>277</v>
      </c>
      <c r="E806" s="10">
        <f t="shared" si="79"/>
        <v>83.333500000000001</v>
      </c>
      <c r="F806" s="917">
        <f t="shared" si="78"/>
        <v>0</v>
      </c>
      <c r="G806" s="358">
        <f>WORK!I3862</f>
        <v>0</v>
      </c>
      <c r="H806" s="354" t="s">
        <v>277</v>
      </c>
      <c r="I806" s="355">
        <f>WORK!K3862</f>
        <v>83.333500000000001</v>
      </c>
      <c r="J806" s="353">
        <f t="shared" si="81"/>
        <v>0</v>
      </c>
      <c r="K806" s="1927"/>
      <c r="L806" s="1927"/>
      <c r="M806" s="1139" t="s">
        <v>2322</v>
      </c>
      <c r="N806" s="223"/>
      <c r="O806" s="1138">
        <f t="shared" si="82"/>
        <v>0</v>
      </c>
    </row>
    <row r="807" spans="1:15" s="360" customFormat="1" ht="63.75" hidden="1">
      <c r="A807" s="356" t="s">
        <v>1598</v>
      </c>
      <c r="B807" s="707" t="s">
        <v>430</v>
      </c>
      <c r="C807" s="633">
        <f t="shared" si="80"/>
        <v>0</v>
      </c>
      <c r="D807" s="1115" t="s">
        <v>277</v>
      </c>
      <c r="E807" s="15">
        <f t="shared" si="79"/>
        <v>98.56</v>
      </c>
      <c r="F807" s="917">
        <f t="shared" si="78"/>
        <v>0</v>
      </c>
      <c r="G807" s="358">
        <f>WORK!I3205</f>
        <v>0</v>
      </c>
      <c r="H807" s="354" t="s">
        <v>277</v>
      </c>
      <c r="I807" s="355">
        <f>WORK!K3205</f>
        <v>98.56</v>
      </c>
      <c r="J807" s="353">
        <f t="shared" si="81"/>
        <v>0</v>
      </c>
      <c r="K807" s="1911">
        <f>IF((J807+J808+J809+J810)&gt;(F807+F808+F809+F810),(J807+J808+J809+J810)-(F807+F808+F809+F810),0)</f>
        <v>0</v>
      </c>
      <c r="L807" s="1911">
        <f>IF((J807+J808+J809+J810)&lt;(F807+F808+F809+F810),(F807+F808+F809+F810)-(J807+J808+J809+J810),0)</f>
        <v>0</v>
      </c>
      <c r="M807" s="708" t="s">
        <v>2226</v>
      </c>
      <c r="N807" s="223"/>
      <c r="O807" s="706">
        <f t="shared" si="82"/>
        <v>0</v>
      </c>
    </row>
    <row r="808" spans="1:15" s="360" customFormat="1" ht="15" hidden="1">
      <c r="A808" s="356" t="s">
        <v>2058</v>
      </c>
      <c r="B808" s="707" t="s">
        <v>560</v>
      </c>
      <c r="C808" s="633">
        <f t="shared" si="80"/>
        <v>0</v>
      </c>
      <c r="D808" s="354"/>
      <c r="E808" s="15">
        <f t="shared" si="79"/>
        <v>100.05</v>
      </c>
      <c r="F808" s="917">
        <f t="shared" si="78"/>
        <v>0</v>
      </c>
      <c r="G808" s="358">
        <f>WORK!I3423</f>
        <v>0</v>
      </c>
      <c r="H808" s="354" t="s">
        <v>277</v>
      </c>
      <c r="I808" s="355">
        <f>WORK!K3423</f>
        <v>100.05</v>
      </c>
      <c r="J808" s="353">
        <f t="shared" si="81"/>
        <v>0</v>
      </c>
      <c r="K808" s="1912"/>
      <c r="L808" s="1912"/>
      <c r="M808" s="708" t="s">
        <v>2308</v>
      </c>
      <c r="N808" s="223"/>
      <c r="O808" s="706">
        <f t="shared" si="82"/>
        <v>0</v>
      </c>
    </row>
    <row r="809" spans="1:15" s="360" customFormat="1" ht="15" hidden="1">
      <c r="A809" s="356" t="s">
        <v>2041</v>
      </c>
      <c r="B809" s="707" t="s">
        <v>560</v>
      </c>
      <c r="C809" s="633">
        <f t="shared" si="80"/>
        <v>0</v>
      </c>
      <c r="D809" s="354"/>
      <c r="E809" s="15">
        <f t="shared" si="79"/>
        <v>112.78</v>
      </c>
      <c r="F809" s="917">
        <f t="shared" si="78"/>
        <v>0</v>
      </c>
      <c r="G809" s="358">
        <f>WORK!I3644</f>
        <v>0</v>
      </c>
      <c r="H809" s="354" t="s">
        <v>277</v>
      </c>
      <c r="I809" s="355">
        <f>WORK!K3644</f>
        <v>112.78</v>
      </c>
      <c r="J809" s="353">
        <f t="shared" si="81"/>
        <v>0</v>
      </c>
      <c r="K809" s="1912"/>
      <c r="L809" s="1912"/>
      <c r="M809" s="708" t="s">
        <v>2321</v>
      </c>
      <c r="N809" s="223"/>
      <c r="O809" s="706">
        <f t="shared" si="82"/>
        <v>0</v>
      </c>
    </row>
    <row r="810" spans="1:15" s="360" customFormat="1" ht="15" hidden="1">
      <c r="A810" s="356" t="s">
        <v>2041</v>
      </c>
      <c r="B810" s="707" t="s">
        <v>560</v>
      </c>
      <c r="C810" s="633">
        <f t="shared" si="80"/>
        <v>0</v>
      </c>
      <c r="D810" s="354"/>
      <c r="E810" s="15">
        <f t="shared" si="79"/>
        <v>126.65</v>
      </c>
      <c r="F810" s="917">
        <f t="shared" si="78"/>
        <v>0</v>
      </c>
      <c r="G810" s="358">
        <f>WORK!I3867</f>
        <v>0</v>
      </c>
      <c r="H810" s="354" t="s">
        <v>277</v>
      </c>
      <c r="I810" s="355">
        <f>WORK!K3867</f>
        <v>126.65</v>
      </c>
      <c r="J810" s="353">
        <f t="shared" si="81"/>
        <v>0</v>
      </c>
      <c r="K810" s="1913"/>
      <c r="L810" s="1913"/>
      <c r="M810" s="708" t="s">
        <v>2322</v>
      </c>
      <c r="N810" s="223"/>
      <c r="O810" s="706">
        <f t="shared" si="82"/>
        <v>0</v>
      </c>
    </row>
    <row r="811" spans="1:15" s="360" customFormat="1" ht="51" hidden="1">
      <c r="A811" s="356" t="s">
        <v>2703</v>
      </c>
      <c r="B811" s="707" t="s">
        <v>882</v>
      </c>
      <c r="C811" s="633">
        <f t="shared" si="80"/>
        <v>0</v>
      </c>
      <c r="D811" s="1115" t="s">
        <v>277</v>
      </c>
      <c r="E811" s="15">
        <f t="shared" si="79"/>
        <v>50.795000000000002</v>
      </c>
      <c r="F811" s="917">
        <f t="shared" si="78"/>
        <v>0</v>
      </c>
      <c r="G811" s="358">
        <f>WORK!I3210</f>
        <v>0</v>
      </c>
      <c r="H811" s="354" t="s">
        <v>277</v>
      </c>
      <c r="I811" s="355">
        <f>WORK!K3210</f>
        <v>50.795000000000002</v>
      </c>
      <c r="J811" s="353">
        <f t="shared" si="81"/>
        <v>0</v>
      </c>
      <c r="K811" s="1911">
        <f>IF((J811+J812+J813+J814)&gt;(F811+F812+F813+F814),(J811+J812+J813+J814)-(F811+F812+F813+F814),0)</f>
        <v>0</v>
      </c>
      <c r="L811" s="1911">
        <f>IF((J811+J812+J813+J814)&lt;(F811+F812+F813+F814),(F811+F812+F813+F814)-(J811+J812+J813+J814),0)</f>
        <v>0</v>
      </c>
      <c r="M811" s="708" t="s">
        <v>2226</v>
      </c>
      <c r="N811" s="223"/>
      <c r="O811" s="706">
        <f t="shared" si="82"/>
        <v>0</v>
      </c>
    </row>
    <row r="812" spans="1:15" s="360" customFormat="1" ht="15" hidden="1">
      <c r="A812" s="356" t="s">
        <v>2727</v>
      </c>
      <c r="B812" s="707" t="s">
        <v>833</v>
      </c>
      <c r="C812" s="633">
        <f t="shared" si="80"/>
        <v>0</v>
      </c>
      <c r="D812" s="354"/>
      <c r="E812" s="15">
        <f t="shared" si="79"/>
        <v>54.465000000000003</v>
      </c>
      <c r="F812" s="917">
        <f t="shared" si="78"/>
        <v>0</v>
      </c>
      <c r="G812" s="358">
        <f>WORK!I3428</f>
        <v>0</v>
      </c>
      <c r="H812" s="354" t="s">
        <v>277</v>
      </c>
      <c r="I812" s="355">
        <f>WORK!K3428</f>
        <v>54.465000000000003</v>
      </c>
      <c r="J812" s="353">
        <f t="shared" si="81"/>
        <v>0</v>
      </c>
      <c r="K812" s="1912"/>
      <c r="L812" s="1912"/>
      <c r="M812" s="708" t="s">
        <v>2308</v>
      </c>
      <c r="N812" s="223"/>
      <c r="O812" s="706">
        <f t="shared" si="82"/>
        <v>0</v>
      </c>
    </row>
    <row r="813" spans="1:15" s="360" customFormat="1" ht="15" hidden="1">
      <c r="A813" s="356" t="s">
        <v>514</v>
      </c>
      <c r="B813" s="707" t="s">
        <v>833</v>
      </c>
      <c r="C813" s="633">
        <f t="shared" si="80"/>
        <v>0</v>
      </c>
      <c r="D813" s="354" t="s">
        <v>277</v>
      </c>
      <c r="E813" s="15">
        <f t="shared" si="79"/>
        <v>56.313999999999993</v>
      </c>
      <c r="F813" s="917">
        <f t="shared" si="78"/>
        <v>0</v>
      </c>
      <c r="G813" s="358">
        <f>WORK!I3649</f>
        <v>0</v>
      </c>
      <c r="H813" s="354" t="s">
        <v>277</v>
      </c>
      <c r="I813" s="355">
        <f>WORK!K3649</f>
        <v>56.313999999999993</v>
      </c>
      <c r="J813" s="353">
        <f t="shared" si="81"/>
        <v>0</v>
      </c>
      <c r="K813" s="1912"/>
      <c r="L813" s="1912"/>
      <c r="M813" s="708" t="s">
        <v>2321</v>
      </c>
      <c r="N813" s="223"/>
      <c r="O813" s="706">
        <f t="shared" si="82"/>
        <v>0</v>
      </c>
    </row>
    <row r="814" spans="1:15" s="360" customFormat="1" ht="15" hidden="1">
      <c r="A814" s="356" t="s">
        <v>2043</v>
      </c>
      <c r="B814" s="707" t="s">
        <v>833</v>
      </c>
      <c r="C814" s="633">
        <f t="shared" si="80"/>
        <v>0</v>
      </c>
      <c r="D814" s="354"/>
      <c r="E814" s="15">
        <f t="shared" si="79"/>
        <v>64.563000000000002</v>
      </c>
      <c r="F814" s="917">
        <f t="shared" si="78"/>
        <v>0</v>
      </c>
      <c r="G814" s="358">
        <f>WORK!I3872</f>
        <v>0</v>
      </c>
      <c r="H814" s="354" t="s">
        <v>277</v>
      </c>
      <c r="I814" s="355">
        <f>WORK!K3872</f>
        <v>64.563000000000002</v>
      </c>
      <c r="J814" s="353">
        <f t="shared" si="81"/>
        <v>0</v>
      </c>
      <c r="K814" s="1913"/>
      <c r="L814" s="1913"/>
      <c r="M814" s="708" t="s">
        <v>2322</v>
      </c>
      <c r="N814" s="223"/>
      <c r="O814" s="706">
        <f t="shared" si="82"/>
        <v>0</v>
      </c>
    </row>
    <row r="815" spans="1:15" s="360" customFormat="1" ht="15">
      <c r="A815" s="356" t="s">
        <v>498</v>
      </c>
      <c r="B815" s="707" t="s">
        <v>437</v>
      </c>
      <c r="C815" s="633">
        <f t="shared" si="80"/>
        <v>1</v>
      </c>
      <c r="D815" s="354" t="s">
        <v>115</v>
      </c>
      <c r="E815" s="10">
        <f t="shared" si="79"/>
        <v>190</v>
      </c>
      <c r="F815" s="917">
        <f t="shared" si="78"/>
        <v>190</v>
      </c>
      <c r="G815" s="358">
        <f>WORK!I3215</f>
        <v>1</v>
      </c>
      <c r="H815" s="354" t="s">
        <v>115</v>
      </c>
      <c r="I815" s="355">
        <f>WORK!K3215</f>
        <v>190</v>
      </c>
      <c r="J815" s="353">
        <f t="shared" si="81"/>
        <v>190</v>
      </c>
      <c r="K815" s="1911">
        <f>IF((J815+J816+J817+J818)&gt;(F815+F816+F817+F818),(J815+J816+J817+J818)-(F815+F816+F817+F818),0)</f>
        <v>0</v>
      </c>
      <c r="L815" s="1911">
        <f>IF((J815+J816+J817+J818)&lt;(F815+F816+F817+F818),(F815+F816+F817+F818)-(J815+J816+J817+J818),0)</f>
        <v>0</v>
      </c>
      <c r="M815" s="1139" t="s">
        <v>2226</v>
      </c>
      <c r="N815" s="223"/>
      <c r="O815" s="1138">
        <f t="shared" si="82"/>
        <v>0</v>
      </c>
    </row>
    <row r="816" spans="1:15" s="360" customFormat="1" ht="15" hidden="1">
      <c r="A816" s="356" t="s">
        <v>2196</v>
      </c>
      <c r="B816" s="707" t="s">
        <v>437</v>
      </c>
      <c r="C816" s="633">
        <f t="shared" si="80"/>
        <v>0</v>
      </c>
      <c r="D816" s="354"/>
      <c r="E816" s="15">
        <f t="shared" si="79"/>
        <v>190</v>
      </c>
      <c r="F816" s="917">
        <f t="shared" ref="F816:F879" si="83">ROUND(C816*E816,0)</f>
        <v>0</v>
      </c>
      <c r="G816" s="358">
        <f>WORK!I3433</f>
        <v>0</v>
      </c>
      <c r="H816" s="354" t="s">
        <v>115</v>
      </c>
      <c r="I816" s="355">
        <f>WORK!K3433</f>
        <v>190</v>
      </c>
      <c r="J816" s="353">
        <f t="shared" si="81"/>
        <v>0</v>
      </c>
      <c r="K816" s="1912"/>
      <c r="L816" s="1912"/>
      <c r="M816" s="708" t="s">
        <v>2308</v>
      </c>
      <c r="N816" s="223"/>
      <c r="O816" s="706">
        <f t="shared" si="82"/>
        <v>0</v>
      </c>
    </row>
    <row r="817" spans="1:15" s="360" customFormat="1" ht="15" hidden="1">
      <c r="A817" s="356" t="s">
        <v>515</v>
      </c>
      <c r="B817" s="707" t="s">
        <v>437</v>
      </c>
      <c r="C817" s="633">
        <f t="shared" si="80"/>
        <v>0</v>
      </c>
      <c r="D817" s="354" t="s">
        <v>115</v>
      </c>
      <c r="E817" s="15">
        <f t="shared" ref="E817:E880" si="84">I817</f>
        <v>209</v>
      </c>
      <c r="F817" s="917">
        <f t="shared" si="83"/>
        <v>0</v>
      </c>
      <c r="G817" s="358">
        <f>WORK!I3654</f>
        <v>0</v>
      </c>
      <c r="H817" s="354" t="s">
        <v>115</v>
      </c>
      <c r="I817" s="355">
        <f>WORK!K3654</f>
        <v>209</v>
      </c>
      <c r="J817" s="353">
        <f t="shared" si="81"/>
        <v>0</v>
      </c>
      <c r="K817" s="1912"/>
      <c r="L817" s="1912"/>
      <c r="M817" s="708" t="s">
        <v>2321</v>
      </c>
      <c r="N817" s="223"/>
      <c r="O817" s="706">
        <f t="shared" si="82"/>
        <v>0</v>
      </c>
    </row>
    <row r="818" spans="1:15" s="360" customFormat="1" ht="15" hidden="1">
      <c r="A818" s="356" t="s">
        <v>512</v>
      </c>
      <c r="B818" s="707" t="s">
        <v>437</v>
      </c>
      <c r="C818" s="633">
        <f t="shared" si="80"/>
        <v>0</v>
      </c>
      <c r="D818" s="354" t="s">
        <v>115</v>
      </c>
      <c r="E818" s="10">
        <f t="shared" si="84"/>
        <v>209</v>
      </c>
      <c r="F818" s="917">
        <f t="shared" si="83"/>
        <v>0</v>
      </c>
      <c r="G818" s="358">
        <f>WORK!I3877</f>
        <v>0</v>
      </c>
      <c r="H818" s="354" t="s">
        <v>115</v>
      </c>
      <c r="I818" s="355">
        <f>WORK!K3877</f>
        <v>209</v>
      </c>
      <c r="J818" s="353">
        <f t="shared" si="81"/>
        <v>0</v>
      </c>
      <c r="K818" s="1927"/>
      <c r="L818" s="1927"/>
      <c r="M818" s="1139" t="s">
        <v>2322</v>
      </c>
      <c r="N818" s="223"/>
      <c r="O818" s="1138">
        <f t="shared" si="82"/>
        <v>0</v>
      </c>
    </row>
    <row r="819" spans="1:15" s="360" customFormat="1" ht="15">
      <c r="A819" s="356" t="s">
        <v>499</v>
      </c>
      <c r="B819" s="707" t="s">
        <v>615</v>
      </c>
      <c r="C819" s="633">
        <f t="shared" si="80"/>
        <v>10</v>
      </c>
      <c r="D819" s="354" t="s">
        <v>115</v>
      </c>
      <c r="E819" s="10">
        <f t="shared" si="84"/>
        <v>155</v>
      </c>
      <c r="F819" s="917">
        <f t="shared" si="83"/>
        <v>1550</v>
      </c>
      <c r="G819" s="358">
        <f>WORK!I3220</f>
        <v>10</v>
      </c>
      <c r="H819" s="354" t="s">
        <v>115</v>
      </c>
      <c r="I819" s="355">
        <f>WORK!K3220</f>
        <v>155</v>
      </c>
      <c r="J819" s="353">
        <f t="shared" si="81"/>
        <v>1550</v>
      </c>
      <c r="K819" s="1911">
        <f>IF((J819+J820+J821+J822)&gt;(F819+F820+F821+F822),(J819+J820+J821+J822)-(F819+F820+F821+F822),0)</f>
        <v>0</v>
      </c>
      <c r="L819" s="1911">
        <f>IF((J819+J820+J821+J822)&lt;(F819+F820+F821+F822),(F819+F820+F821+F822)-(J819+J820+J821+J822),0)</f>
        <v>0</v>
      </c>
      <c r="M819" s="1139" t="s">
        <v>2226</v>
      </c>
      <c r="N819" s="223"/>
      <c r="O819" s="1138">
        <f t="shared" si="82"/>
        <v>0</v>
      </c>
    </row>
    <row r="820" spans="1:15" s="360" customFormat="1" ht="15" hidden="1">
      <c r="A820" s="356" t="s">
        <v>2728</v>
      </c>
      <c r="B820" s="707" t="s">
        <v>615</v>
      </c>
      <c r="C820" s="633">
        <f t="shared" si="80"/>
        <v>0</v>
      </c>
      <c r="D820" s="354"/>
      <c r="E820" s="15">
        <f t="shared" si="84"/>
        <v>155</v>
      </c>
      <c r="F820" s="917">
        <f t="shared" si="83"/>
        <v>0</v>
      </c>
      <c r="G820" s="358">
        <f>WORK!I3438</f>
        <v>0</v>
      </c>
      <c r="H820" s="354" t="s">
        <v>115</v>
      </c>
      <c r="I820" s="355">
        <f>WORK!K3438</f>
        <v>155</v>
      </c>
      <c r="J820" s="353">
        <f t="shared" si="81"/>
        <v>0</v>
      </c>
      <c r="K820" s="1912"/>
      <c r="L820" s="1912"/>
      <c r="M820" s="708" t="s">
        <v>2308</v>
      </c>
      <c r="N820" s="223"/>
      <c r="O820" s="706">
        <f t="shared" si="82"/>
        <v>0</v>
      </c>
    </row>
    <row r="821" spans="1:15" s="360" customFormat="1" ht="15" hidden="1">
      <c r="A821" s="356" t="s">
        <v>2045</v>
      </c>
      <c r="B821" s="707" t="s">
        <v>615</v>
      </c>
      <c r="C821" s="633">
        <f t="shared" si="80"/>
        <v>0</v>
      </c>
      <c r="D821" s="354"/>
      <c r="E821" s="15">
        <f t="shared" si="84"/>
        <v>171</v>
      </c>
      <c r="F821" s="917">
        <f t="shared" si="83"/>
        <v>0</v>
      </c>
      <c r="G821" s="358">
        <f>WORK!I3659</f>
        <v>0</v>
      </c>
      <c r="H821" s="354" t="s">
        <v>115</v>
      </c>
      <c r="I821" s="355">
        <f>WORK!K3659</f>
        <v>171</v>
      </c>
      <c r="J821" s="353">
        <f t="shared" si="81"/>
        <v>0</v>
      </c>
      <c r="K821" s="1912"/>
      <c r="L821" s="1912"/>
      <c r="M821" s="708" t="s">
        <v>2321</v>
      </c>
      <c r="N821" s="223"/>
      <c r="O821" s="706">
        <f t="shared" si="82"/>
        <v>0</v>
      </c>
    </row>
    <row r="822" spans="1:15" s="360" customFormat="1" ht="15" hidden="1">
      <c r="A822" s="356" t="s">
        <v>513</v>
      </c>
      <c r="B822" s="707" t="s">
        <v>615</v>
      </c>
      <c r="C822" s="633">
        <f t="shared" si="80"/>
        <v>0</v>
      </c>
      <c r="D822" s="354" t="s">
        <v>115</v>
      </c>
      <c r="E822" s="10">
        <f t="shared" si="84"/>
        <v>171</v>
      </c>
      <c r="F822" s="917">
        <f t="shared" si="83"/>
        <v>0</v>
      </c>
      <c r="G822" s="358">
        <f>WORK!I3882</f>
        <v>0</v>
      </c>
      <c r="H822" s="354" t="s">
        <v>115</v>
      </c>
      <c r="I822" s="355">
        <f>WORK!K3882</f>
        <v>171</v>
      </c>
      <c r="J822" s="353">
        <f t="shared" si="81"/>
        <v>0</v>
      </c>
      <c r="K822" s="1927"/>
      <c r="L822" s="1927"/>
      <c r="M822" s="1139" t="s">
        <v>2322</v>
      </c>
      <c r="N822" s="223"/>
      <c r="O822" s="1138">
        <f t="shared" si="82"/>
        <v>0</v>
      </c>
    </row>
    <row r="823" spans="1:15" s="360" customFormat="1" ht="15" hidden="1">
      <c r="A823" s="356" t="s">
        <v>2085</v>
      </c>
      <c r="B823" s="707" t="s">
        <v>694</v>
      </c>
      <c r="C823" s="633">
        <f t="shared" si="80"/>
        <v>0</v>
      </c>
      <c r="D823" s="354"/>
      <c r="E823" s="15">
        <f t="shared" si="84"/>
        <v>120</v>
      </c>
      <c r="F823" s="917">
        <f t="shared" si="83"/>
        <v>0</v>
      </c>
      <c r="G823" s="358">
        <f>WORK!I3225</f>
        <v>0</v>
      </c>
      <c r="H823" s="354" t="s">
        <v>115</v>
      </c>
      <c r="I823" s="355">
        <f>WORK!K3225</f>
        <v>120</v>
      </c>
      <c r="J823" s="353">
        <f t="shared" si="81"/>
        <v>0</v>
      </c>
      <c r="K823" s="1911">
        <f>IF((J823+J824+J825+J826)&gt;(F823+F824+F825+F826),(J823+J824+J825+J826)-(F823+F824+F825+F826),0)</f>
        <v>0</v>
      </c>
      <c r="L823" s="1911">
        <f>IF((J823+J824+J825+J826)&lt;(F823+F824+F825+F826),(F823+F824+F825+F826)-(J823+J824+J825+J826),0)</f>
        <v>0</v>
      </c>
      <c r="M823" s="708" t="s">
        <v>2226</v>
      </c>
      <c r="N823" s="223"/>
      <c r="O823" s="706">
        <f t="shared" si="82"/>
        <v>0</v>
      </c>
    </row>
    <row r="824" spans="1:15" s="360" customFormat="1" ht="15" hidden="1">
      <c r="A824" s="356" t="s">
        <v>2729</v>
      </c>
      <c r="B824" s="707" t="s">
        <v>694</v>
      </c>
      <c r="C824" s="633">
        <f t="shared" si="80"/>
        <v>0</v>
      </c>
      <c r="D824" s="354"/>
      <c r="E824" s="15">
        <f t="shared" si="84"/>
        <v>120</v>
      </c>
      <c r="F824" s="917">
        <f t="shared" si="83"/>
        <v>0</v>
      </c>
      <c r="G824" s="358">
        <f>WORK!I3443</f>
        <v>0</v>
      </c>
      <c r="H824" s="354" t="s">
        <v>115</v>
      </c>
      <c r="I824" s="355">
        <f>WORK!K3443</f>
        <v>120</v>
      </c>
      <c r="J824" s="353">
        <f t="shared" si="81"/>
        <v>0</v>
      </c>
      <c r="K824" s="1912"/>
      <c r="L824" s="1912"/>
      <c r="M824" s="708" t="s">
        <v>2308</v>
      </c>
      <c r="N824" s="223"/>
      <c r="O824" s="706">
        <f t="shared" si="82"/>
        <v>0</v>
      </c>
    </row>
    <row r="825" spans="1:15" s="360" customFormat="1" ht="15" hidden="1">
      <c r="A825" s="356" t="s">
        <v>2085</v>
      </c>
      <c r="B825" s="707" t="s">
        <v>694</v>
      </c>
      <c r="C825" s="633">
        <f t="shared" si="80"/>
        <v>0</v>
      </c>
      <c r="D825" s="354"/>
      <c r="E825" s="15">
        <f t="shared" si="84"/>
        <v>132</v>
      </c>
      <c r="F825" s="917">
        <f t="shared" si="83"/>
        <v>0</v>
      </c>
      <c r="G825" s="358">
        <f>WORK!I3664</f>
        <v>0</v>
      </c>
      <c r="H825" s="354" t="s">
        <v>115</v>
      </c>
      <c r="I825" s="355">
        <f>WORK!K3664</f>
        <v>132</v>
      </c>
      <c r="J825" s="353">
        <f t="shared" si="81"/>
        <v>0</v>
      </c>
      <c r="K825" s="1912"/>
      <c r="L825" s="1912"/>
      <c r="M825" s="708" t="s">
        <v>2321</v>
      </c>
      <c r="N825" s="223"/>
      <c r="O825" s="706">
        <f t="shared" si="82"/>
        <v>0</v>
      </c>
    </row>
    <row r="826" spans="1:15" s="360" customFormat="1" ht="15" hidden="1">
      <c r="A826" s="356" t="s">
        <v>2085</v>
      </c>
      <c r="B826" s="707" t="s">
        <v>694</v>
      </c>
      <c r="C826" s="633">
        <f t="shared" si="80"/>
        <v>0</v>
      </c>
      <c r="D826" s="354"/>
      <c r="E826" s="15">
        <f t="shared" si="84"/>
        <v>132</v>
      </c>
      <c r="F826" s="917">
        <f t="shared" si="83"/>
        <v>0</v>
      </c>
      <c r="G826" s="358">
        <f>WORK!I3887</f>
        <v>0</v>
      </c>
      <c r="H826" s="354" t="s">
        <v>115</v>
      </c>
      <c r="I826" s="355">
        <f>WORK!K3887</f>
        <v>132</v>
      </c>
      <c r="J826" s="353">
        <f t="shared" si="81"/>
        <v>0</v>
      </c>
      <c r="K826" s="1913"/>
      <c r="L826" s="1913"/>
      <c r="M826" s="708" t="s">
        <v>2322</v>
      </c>
      <c r="N826" s="223"/>
      <c r="O826" s="706">
        <f t="shared" si="82"/>
        <v>0</v>
      </c>
    </row>
    <row r="827" spans="1:15" s="360" customFormat="1" ht="15" hidden="1">
      <c r="A827" s="356" t="s">
        <v>2046</v>
      </c>
      <c r="B827" s="707" t="s">
        <v>792</v>
      </c>
      <c r="C827" s="633">
        <f t="shared" si="80"/>
        <v>0</v>
      </c>
      <c r="D827" s="354"/>
      <c r="E827" s="15">
        <f t="shared" si="84"/>
        <v>80</v>
      </c>
      <c r="F827" s="917">
        <f t="shared" si="83"/>
        <v>0</v>
      </c>
      <c r="G827" s="358">
        <f>WORK!I3235</f>
        <v>0</v>
      </c>
      <c r="H827" s="354" t="s">
        <v>115</v>
      </c>
      <c r="I827" s="355">
        <f>WORK!K3235</f>
        <v>80</v>
      </c>
      <c r="J827" s="353">
        <f t="shared" si="81"/>
        <v>0</v>
      </c>
      <c r="K827" s="1911">
        <f>IF((J827+J828+J829+J830)&gt;(F827+F828+F829+F830),(J827+J828+J829+J830)-(F827+F828+F829+F830),0)</f>
        <v>0</v>
      </c>
      <c r="L827" s="1911">
        <f>IF((J827+J828+J829+J830)&lt;(F827+F828+F829+F830),(F827+F828+F829+F830)-(J827+J828+J829+J830),0)</f>
        <v>0</v>
      </c>
      <c r="M827" s="708" t="s">
        <v>2226</v>
      </c>
      <c r="N827" s="223"/>
      <c r="O827" s="706">
        <f t="shared" si="82"/>
        <v>0</v>
      </c>
    </row>
    <row r="828" spans="1:15" s="360" customFormat="1" ht="15" hidden="1">
      <c r="A828" s="356" t="s">
        <v>2053</v>
      </c>
      <c r="B828" s="707" t="s">
        <v>792</v>
      </c>
      <c r="C828" s="633">
        <f t="shared" si="80"/>
        <v>0</v>
      </c>
      <c r="D828" s="354"/>
      <c r="E828" s="15">
        <f t="shared" si="84"/>
        <v>80</v>
      </c>
      <c r="F828" s="917">
        <f t="shared" si="83"/>
        <v>0</v>
      </c>
      <c r="G828" s="358">
        <f>WORK!I3453</f>
        <v>0</v>
      </c>
      <c r="H828" s="354" t="s">
        <v>115</v>
      </c>
      <c r="I828" s="355">
        <f>WORK!K3453</f>
        <v>80</v>
      </c>
      <c r="J828" s="353">
        <f t="shared" si="81"/>
        <v>0</v>
      </c>
      <c r="K828" s="1912"/>
      <c r="L828" s="1912"/>
      <c r="M828" s="708" t="s">
        <v>2308</v>
      </c>
      <c r="N828" s="223"/>
      <c r="O828" s="706">
        <f t="shared" si="82"/>
        <v>0</v>
      </c>
    </row>
    <row r="829" spans="1:15" s="360" customFormat="1" ht="15" hidden="1">
      <c r="A829" s="356" t="s">
        <v>2046</v>
      </c>
      <c r="B829" s="707" t="s">
        <v>792</v>
      </c>
      <c r="C829" s="633">
        <f t="shared" si="80"/>
        <v>0</v>
      </c>
      <c r="D829" s="354"/>
      <c r="E829" s="15">
        <f t="shared" si="84"/>
        <v>88</v>
      </c>
      <c r="F829" s="917">
        <f t="shared" si="83"/>
        <v>0</v>
      </c>
      <c r="G829" s="358">
        <f>WORK!I3674</f>
        <v>0</v>
      </c>
      <c r="H829" s="354" t="s">
        <v>115</v>
      </c>
      <c r="I829" s="355">
        <f>WORK!K3674</f>
        <v>88</v>
      </c>
      <c r="J829" s="353">
        <f t="shared" si="81"/>
        <v>0</v>
      </c>
      <c r="K829" s="1912"/>
      <c r="L829" s="1912"/>
      <c r="M829" s="708" t="s">
        <v>2321</v>
      </c>
      <c r="N829" s="223"/>
      <c r="O829" s="706">
        <f t="shared" si="82"/>
        <v>0</v>
      </c>
    </row>
    <row r="830" spans="1:15" s="360" customFormat="1" ht="15" hidden="1">
      <c r="A830" s="356" t="s">
        <v>2046</v>
      </c>
      <c r="B830" s="707" t="s">
        <v>792</v>
      </c>
      <c r="C830" s="633">
        <f t="shared" si="80"/>
        <v>0</v>
      </c>
      <c r="D830" s="354"/>
      <c r="E830" s="15">
        <f t="shared" si="84"/>
        <v>88</v>
      </c>
      <c r="F830" s="917">
        <f t="shared" si="83"/>
        <v>0</v>
      </c>
      <c r="G830" s="358">
        <f>WORK!I3897</f>
        <v>0</v>
      </c>
      <c r="H830" s="354" t="s">
        <v>115</v>
      </c>
      <c r="I830" s="355">
        <f>WORK!K3897</f>
        <v>88</v>
      </c>
      <c r="J830" s="353">
        <f t="shared" si="81"/>
        <v>0</v>
      </c>
      <c r="K830" s="1913"/>
      <c r="L830" s="1913"/>
      <c r="M830" s="708" t="s">
        <v>2322</v>
      </c>
      <c r="N830" s="223"/>
      <c r="O830" s="706">
        <f t="shared" si="82"/>
        <v>0</v>
      </c>
    </row>
    <row r="831" spans="1:15" s="360" customFormat="1" ht="15" hidden="1">
      <c r="A831" s="356" t="s">
        <v>525</v>
      </c>
      <c r="B831" s="707" t="s">
        <v>617</v>
      </c>
      <c r="C831" s="633">
        <f t="shared" si="80"/>
        <v>0</v>
      </c>
      <c r="D831" s="354"/>
      <c r="E831" s="15">
        <f t="shared" si="84"/>
        <v>310</v>
      </c>
      <c r="F831" s="917">
        <f t="shared" si="83"/>
        <v>0</v>
      </c>
      <c r="G831" s="358">
        <f>WORK!I3230</f>
        <v>0</v>
      </c>
      <c r="H831" s="354" t="s">
        <v>115</v>
      </c>
      <c r="I831" s="355">
        <f>WORK!K3230</f>
        <v>310</v>
      </c>
      <c r="J831" s="353">
        <f t="shared" si="81"/>
        <v>0</v>
      </c>
      <c r="K831" s="1911">
        <f>IF((J831+J832+J833+J834)&gt;(F831+F832+F833+F834),(J831+J832+J833+J834)-(F831+F832+F833+F834),0)</f>
        <v>0</v>
      </c>
      <c r="L831" s="1911">
        <f>IF((J831+J832+J833+J834)&lt;(F831+F832+F833+F834),(F831+F832+F833+F834)-(J831+J832+J833+J834),0)</f>
        <v>0</v>
      </c>
      <c r="M831" s="708" t="s">
        <v>2226</v>
      </c>
      <c r="N831" s="223"/>
      <c r="O831" s="706">
        <f t="shared" si="82"/>
        <v>0</v>
      </c>
    </row>
    <row r="832" spans="1:15" s="360" customFormat="1" ht="15" hidden="1">
      <c r="A832" s="356" t="s">
        <v>525</v>
      </c>
      <c r="B832" s="707" t="s">
        <v>617</v>
      </c>
      <c r="C832" s="633">
        <f t="shared" si="80"/>
        <v>0</v>
      </c>
      <c r="D832" s="354"/>
      <c r="E832" s="15">
        <f t="shared" si="84"/>
        <v>310</v>
      </c>
      <c r="F832" s="917">
        <f t="shared" si="83"/>
        <v>0</v>
      </c>
      <c r="G832" s="358">
        <f>WORK!I3448</f>
        <v>0</v>
      </c>
      <c r="H832" s="354" t="s">
        <v>115</v>
      </c>
      <c r="I832" s="355">
        <f>WORK!K3448</f>
        <v>310</v>
      </c>
      <c r="J832" s="353">
        <f t="shared" si="81"/>
        <v>0</v>
      </c>
      <c r="K832" s="1912"/>
      <c r="L832" s="1912"/>
      <c r="M832" s="708" t="s">
        <v>2308</v>
      </c>
      <c r="N832" s="223"/>
      <c r="O832" s="706">
        <f t="shared" si="82"/>
        <v>0</v>
      </c>
    </row>
    <row r="833" spans="1:15" s="360" customFormat="1" ht="15" hidden="1">
      <c r="A833" s="356" t="s">
        <v>525</v>
      </c>
      <c r="B833" s="707" t="s">
        <v>617</v>
      </c>
      <c r="C833" s="633">
        <f t="shared" si="80"/>
        <v>0</v>
      </c>
      <c r="D833" s="354"/>
      <c r="E833" s="15">
        <f t="shared" si="84"/>
        <v>341</v>
      </c>
      <c r="F833" s="917">
        <f t="shared" si="83"/>
        <v>0</v>
      </c>
      <c r="G833" s="358">
        <f>WORK!I3669</f>
        <v>0</v>
      </c>
      <c r="H833" s="354" t="s">
        <v>115</v>
      </c>
      <c r="I833" s="355">
        <f>WORK!K3669</f>
        <v>341</v>
      </c>
      <c r="J833" s="353">
        <f t="shared" si="81"/>
        <v>0</v>
      </c>
      <c r="K833" s="1912"/>
      <c r="L833" s="1912"/>
      <c r="M833" s="708" t="s">
        <v>2321</v>
      </c>
      <c r="N833" s="223"/>
      <c r="O833" s="706">
        <f t="shared" si="82"/>
        <v>0</v>
      </c>
    </row>
    <row r="834" spans="1:15" s="360" customFormat="1" ht="15" hidden="1">
      <c r="A834" s="356" t="s">
        <v>525</v>
      </c>
      <c r="B834" s="707" t="s">
        <v>617</v>
      </c>
      <c r="C834" s="633">
        <f t="shared" si="80"/>
        <v>0</v>
      </c>
      <c r="D834" s="354"/>
      <c r="E834" s="15">
        <f t="shared" si="84"/>
        <v>341</v>
      </c>
      <c r="F834" s="917">
        <f t="shared" si="83"/>
        <v>0</v>
      </c>
      <c r="G834" s="358">
        <f>WORK!I3892</f>
        <v>0</v>
      </c>
      <c r="H834" s="354" t="s">
        <v>115</v>
      </c>
      <c r="I834" s="355">
        <f>WORK!K3892</f>
        <v>341</v>
      </c>
      <c r="J834" s="353">
        <f t="shared" si="81"/>
        <v>0</v>
      </c>
      <c r="K834" s="1913"/>
      <c r="L834" s="1913"/>
      <c r="M834" s="708" t="s">
        <v>2322</v>
      </c>
      <c r="N834" s="223"/>
      <c r="O834" s="706">
        <f t="shared" si="82"/>
        <v>0</v>
      </c>
    </row>
    <row r="835" spans="1:15" s="360" customFormat="1" ht="15" hidden="1">
      <c r="A835" s="356" t="s">
        <v>2046</v>
      </c>
      <c r="B835" s="707" t="s">
        <v>439</v>
      </c>
      <c r="C835" s="633">
        <f t="shared" si="80"/>
        <v>0</v>
      </c>
      <c r="D835" s="354"/>
      <c r="E835" s="15">
        <f t="shared" si="84"/>
        <v>60</v>
      </c>
      <c r="F835" s="917">
        <f t="shared" si="83"/>
        <v>0</v>
      </c>
      <c r="G835" s="358">
        <f>WORK!I3240</f>
        <v>0</v>
      </c>
      <c r="H835" s="354" t="s">
        <v>115</v>
      </c>
      <c r="I835" s="355">
        <f>WORK!K3240</f>
        <v>60</v>
      </c>
      <c r="J835" s="353">
        <f t="shared" si="81"/>
        <v>0</v>
      </c>
      <c r="K835" s="1911">
        <f>IF((J835+J836+J837+J838)&gt;(F835+F836+F837+F838),(J835+J836+J837+J838)-(F835+F836+F837+F838),0)</f>
        <v>0</v>
      </c>
      <c r="L835" s="1911">
        <f>IF((J835+J836+J837+J838)&lt;(F835+F836+F837+F838),(F835+F836+F837+F838)-(J835+J836+J837+J838),0)</f>
        <v>0</v>
      </c>
      <c r="M835" s="708" t="s">
        <v>2226</v>
      </c>
      <c r="N835" s="223"/>
      <c r="O835" s="706">
        <f t="shared" si="82"/>
        <v>0</v>
      </c>
    </row>
    <row r="836" spans="1:15" s="360" customFormat="1" ht="15" hidden="1">
      <c r="A836" s="356" t="s">
        <v>2730</v>
      </c>
      <c r="B836" s="707" t="s">
        <v>439</v>
      </c>
      <c r="C836" s="633">
        <f t="shared" si="80"/>
        <v>0</v>
      </c>
      <c r="D836" s="354"/>
      <c r="E836" s="15">
        <f t="shared" si="84"/>
        <v>60</v>
      </c>
      <c r="F836" s="917">
        <f t="shared" si="83"/>
        <v>0</v>
      </c>
      <c r="G836" s="358">
        <f>WORK!I3458</f>
        <v>0</v>
      </c>
      <c r="H836" s="354" t="s">
        <v>115</v>
      </c>
      <c r="I836" s="355">
        <f>WORK!K3458</f>
        <v>60</v>
      </c>
      <c r="J836" s="353">
        <f t="shared" si="81"/>
        <v>0</v>
      </c>
      <c r="K836" s="1912"/>
      <c r="L836" s="1912"/>
      <c r="M836" s="708" t="s">
        <v>2308</v>
      </c>
      <c r="N836" s="223"/>
      <c r="O836" s="706">
        <f t="shared" si="82"/>
        <v>0</v>
      </c>
    </row>
    <row r="837" spans="1:15" s="360" customFormat="1" ht="15" hidden="1">
      <c r="A837" s="356" t="s">
        <v>2046</v>
      </c>
      <c r="B837" s="707" t="s">
        <v>439</v>
      </c>
      <c r="C837" s="633">
        <f t="shared" si="80"/>
        <v>0</v>
      </c>
      <c r="D837" s="354"/>
      <c r="E837" s="15">
        <f t="shared" si="84"/>
        <v>66</v>
      </c>
      <c r="F837" s="917">
        <f t="shared" si="83"/>
        <v>0</v>
      </c>
      <c r="G837" s="358">
        <f>WORK!I3679</f>
        <v>0</v>
      </c>
      <c r="H837" s="354" t="s">
        <v>115</v>
      </c>
      <c r="I837" s="355">
        <f>WORK!K3679</f>
        <v>66</v>
      </c>
      <c r="J837" s="353">
        <f t="shared" si="81"/>
        <v>0</v>
      </c>
      <c r="K837" s="1912"/>
      <c r="L837" s="1912"/>
      <c r="M837" s="708" t="s">
        <v>2321</v>
      </c>
      <c r="N837" s="223"/>
      <c r="O837" s="706">
        <f t="shared" si="82"/>
        <v>0</v>
      </c>
    </row>
    <row r="838" spans="1:15" s="360" customFormat="1" ht="15" hidden="1">
      <c r="A838" s="356" t="s">
        <v>2046</v>
      </c>
      <c r="B838" s="707" t="s">
        <v>439</v>
      </c>
      <c r="C838" s="633">
        <f t="shared" si="80"/>
        <v>0</v>
      </c>
      <c r="D838" s="354"/>
      <c r="E838" s="15">
        <f t="shared" si="84"/>
        <v>66</v>
      </c>
      <c r="F838" s="917">
        <f t="shared" si="83"/>
        <v>0</v>
      </c>
      <c r="G838" s="358">
        <f>WORK!I3902</f>
        <v>0</v>
      </c>
      <c r="H838" s="354" t="s">
        <v>115</v>
      </c>
      <c r="I838" s="355">
        <f>WORK!K3902</f>
        <v>66</v>
      </c>
      <c r="J838" s="353">
        <f t="shared" si="81"/>
        <v>0</v>
      </c>
      <c r="K838" s="1913"/>
      <c r="L838" s="1913"/>
      <c r="M838" s="708" t="s">
        <v>2322</v>
      </c>
      <c r="N838" s="223"/>
      <c r="O838" s="706">
        <f t="shared" si="82"/>
        <v>0</v>
      </c>
    </row>
    <row r="839" spans="1:15" s="360" customFormat="1" ht="25.5">
      <c r="A839" s="356" t="s">
        <v>500</v>
      </c>
      <c r="B839" s="707" t="s">
        <v>3326</v>
      </c>
      <c r="C839" s="633">
        <f t="shared" si="80"/>
        <v>11</v>
      </c>
      <c r="D839" s="1115" t="s">
        <v>115</v>
      </c>
      <c r="E839" s="10">
        <f t="shared" si="84"/>
        <v>105.53100000000001</v>
      </c>
      <c r="F839" s="917">
        <f t="shared" si="83"/>
        <v>1161</v>
      </c>
      <c r="G839" s="358">
        <f>WORK!I3250</f>
        <v>11</v>
      </c>
      <c r="H839" s="354" t="s">
        <v>115</v>
      </c>
      <c r="I839" s="355">
        <f>WORK!K3250</f>
        <v>105.53100000000001</v>
      </c>
      <c r="J839" s="353">
        <f t="shared" si="81"/>
        <v>1160.8399999999999</v>
      </c>
      <c r="K839" s="1911">
        <f>IF((J839+J840+J841+J842)&gt;(F839+F840+F841+F842),(J839+J840+J841+J842)-(F839+F840+F841+F842),0)</f>
        <v>0</v>
      </c>
      <c r="L839" s="1911">
        <f>IF((J839+J840+J841+J842)&lt;(F839+F840+F841+F842),(F839+F840+F841+F842)-(J839+J840+J841+J842),0)</f>
        <v>0.16000000000008185</v>
      </c>
      <c r="M839" s="1139" t="s">
        <v>2226</v>
      </c>
      <c r="N839" s="223"/>
      <c r="O839" s="1138">
        <f t="shared" si="82"/>
        <v>0.16000000000008185</v>
      </c>
    </row>
    <row r="840" spans="1:15" s="360" customFormat="1" ht="15" hidden="1">
      <c r="A840" s="356" t="s">
        <v>2731</v>
      </c>
      <c r="B840" s="707" t="s">
        <v>561</v>
      </c>
      <c r="C840" s="633">
        <f t="shared" si="80"/>
        <v>0</v>
      </c>
      <c r="D840" s="354"/>
      <c r="E840" s="15">
        <f t="shared" si="84"/>
        <v>109.685</v>
      </c>
      <c r="F840" s="917">
        <f t="shared" si="83"/>
        <v>0</v>
      </c>
      <c r="G840" s="358">
        <f>WORK!I3468</f>
        <v>0</v>
      </c>
      <c r="H840" s="354" t="s">
        <v>115</v>
      </c>
      <c r="I840" s="355">
        <f>WORK!K3468</f>
        <v>109.685</v>
      </c>
      <c r="J840" s="353">
        <f t="shared" si="81"/>
        <v>0</v>
      </c>
      <c r="K840" s="1912"/>
      <c r="L840" s="1912"/>
      <c r="M840" s="708" t="s">
        <v>2308</v>
      </c>
      <c r="N840" s="223"/>
      <c r="O840" s="706">
        <f t="shared" si="82"/>
        <v>0</v>
      </c>
    </row>
    <row r="841" spans="1:15" s="360" customFormat="1" ht="15" hidden="1">
      <c r="A841" s="356" t="s">
        <v>516</v>
      </c>
      <c r="B841" s="707" t="s">
        <v>561</v>
      </c>
      <c r="C841" s="633">
        <f t="shared" si="80"/>
        <v>0</v>
      </c>
      <c r="D841" s="354" t="s">
        <v>115</v>
      </c>
      <c r="E841" s="15">
        <f t="shared" si="84"/>
        <v>118.04</v>
      </c>
      <c r="F841" s="917">
        <f t="shared" si="83"/>
        <v>0</v>
      </c>
      <c r="G841" s="358">
        <f>WORK!I3689</f>
        <v>0</v>
      </c>
      <c r="H841" s="354" t="s">
        <v>115</v>
      </c>
      <c r="I841" s="355">
        <f>WORK!K3689</f>
        <v>118.04</v>
      </c>
      <c r="J841" s="353">
        <f t="shared" si="81"/>
        <v>0</v>
      </c>
      <c r="K841" s="1912"/>
      <c r="L841" s="1912"/>
      <c r="M841" s="708" t="s">
        <v>2321</v>
      </c>
      <c r="N841" s="223"/>
      <c r="O841" s="706">
        <f t="shared" si="82"/>
        <v>0</v>
      </c>
    </row>
    <row r="842" spans="1:15" s="360" customFormat="1" ht="25.5" hidden="1">
      <c r="A842" s="356" t="s">
        <v>514</v>
      </c>
      <c r="B842" s="707" t="s">
        <v>3326</v>
      </c>
      <c r="C842" s="633">
        <f t="shared" ref="C842:C905" si="85">G842</f>
        <v>0</v>
      </c>
      <c r="D842" s="354" t="s">
        <v>115</v>
      </c>
      <c r="E842" s="10">
        <f t="shared" si="84"/>
        <v>125.73500000000001</v>
      </c>
      <c r="F842" s="917">
        <f t="shared" si="83"/>
        <v>0</v>
      </c>
      <c r="G842" s="358">
        <f>WORK!I3912</f>
        <v>0</v>
      </c>
      <c r="H842" s="354" t="s">
        <v>115</v>
      </c>
      <c r="I842" s="355">
        <f>WORK!K3912</f>
        <v>125.73500000000001</v>
      </c>
      <c r="J842" s="353">
        <f t="shared" ref="J842:J905" si="86">ROUND(G842*I842,2)</f>
        <v>0</v>
      </c>
      <c r="K842" s="1927"/>
      <c r="L842" s="1927"/>
      <c r="M842" s="1139" t="s">
        <v>2322</v>
      </c>
      <c r="N842" s="223"/>
      <c r="O842" s="1138">
        <f t="shared" si="82"/>
        <v>0</v>
      </c>
    </row>
    <row r="843" spans="1:15" s="360" customFormat="1" ht="15" hidden="1">
      <c r="A843" s="356" t="s">
        <v>2048</v>
      </c>
      <c r="B843" s="707" t="s">
        <v>1258</v>
      </c>
      <c r="C843" s="633">
        <f t="shared" si="85"/>
        <v>0</v>
      </c>
      <c r="D843" s="354"/>
      <c r="E843" s="15">
        <f t="shared" si="84"/>
        <v>344.3</v>
      </c>
      <c r="F843" s="917">
        <f t="shared" si="83"/>
        <v>0</v>
      </c>
      <c r="G843" s="358">
        <f>WORK!I3245</f>
        <v>0</v>
      </c>
      <c r="H843" s="354" t="s">
        <v>115</v>
      </c>
      <c r="I843" s="355">
        <f>WORK!K3245</f>
        <v>344.3</v>
      </c>
      <c r="J843" s="353">
        <f t="shared" si="86"/>
        <v>0</v>
      </c>
      <c r="K843" s="1911">
        <f>IF((J843+J844+J845+J846)&gt;(F843+F844+F845+F846),(J843+J844+J845+J846)-(F843+F844+F845+F846),0)</f>
        <v>0</v>
      </c>
      <c r="L843" s="1911">
        <f>IF((J843+J844+J845+J846)&lt;(F843+F844+F845+F846),(F843+F844+F845+F846)-(J843+J844+J845+J846),0)</f>
        <v>0</v>
      </c>
      <c r="M843" s="708" t="s">
        <v>2226</v>
      </c>
      <c r="N843" s="223"/>
      <c r="O843" s="706">
        <f t="shared" si="82"/>
        <v>0</v>
      </c>
    </row>
    <row r="844" spans="1:15" s="360" customFormat="1" ht="15" hidden="1">
      <c r="A844" s="356" t="s">
        <v>2732</v>
      </c>
      <c r="B844" s="707" t="s">
        <v>1258</v>
      </c>
      <c r="C844" s="633">
        <f t="shared" si="85"/>
        <v>0</v>
      </c>
      <c r="D844" s="354"/>
      <c r="E844" s="15">
        <f t="shared" si="84"/>
        <v>375.5</v>
      </c>
      <c r="F844" s="917">
        <f t="shared" si="83"/>
        <v>0</v>
      </c>
      <c r="G844" s="358">
        <f>WORK!I3463</f>
        <v>0</v>
      </c>
      <c r="H844" s="354" t="s">
        <v>115</v>
      </c>
      <c r="I844" s="355">
        <f>WORK!K3463</f>
        <v>375.5</v>
      </c>
      <c r="J844" s="353">
        <f t="shared" si="86"/>
        <v>0</v>
      </c>
      <c r="K844" s="1912"/>
      <c r="L844" s="1912"/>
      <c r="M844" s="708" t="s">
        <v>2308</v>
      </c>
      <c r="N844" s="223"/>
      <c r="O844" s="706">
        <f t="shared" si="82"/>
        <v>0</v>
      </c>
    </row>
    <row r="845" spans="1:15" s="360" customFormat="1" ht="15" hidden="1">
      <c r="A845" s="356" t="s">
        <v>2048</v>
      </c>
      <c r="B845" s="707" t="s">
        <v>1258</v>
      </c>
      <c r="C845" s="633">
        <f t="shared" si="85"/>
        <v>0</v>
      </c>
      <c r="D845" s="354"/>
      <c r="E845" s="15">
        <f t="shared" si="84"/>
        <v>410</v>
      </c>
      <c r="F845" s="917">
        <f t="shared" si="83"/>
        <v>0</v>
      </c>
      <c r="G845" s="358">
        <f>WORK!I3684</f>
        <v>0</v>
      </c>
      <c r="H845" s="354" t="s">
        <v>115</v>
      </c>
      <c r="I845" s="355">
        <f>WORK!K3684</f>
        <v>410</v>
      </c>
      <c r="J845" s="353">
        <f t="shared" si="86"/>
        <v>0</v>
      </c>
      <c r="K845" s="1912"/>
      <c r="L845" s="1912"/>
      <c r="M845" s="708" t="s">
        <v>2321</v>
      </c>
      <c r="N845" s="223"/>
      <c r="O845" s="706">
        <f t="shared" si="82"/>
        <v>0</v>
      </c>
    </row>
    <row r="846" spans="1:15" s="360" customFormat="1" ht="15" hidden="1">
      <c r="A846" s="356" t="s">
        <v>2048</v>
      </c>
      <c r="B846" s="707" t="s">
        <v>1258</v>
      </c>
      <c r="C846" s="633">
        <f t="shared" si="85"/>
        <v>0</v>
      </c>
      <c r="D846" s="354"/>
      <c r="E846" s="15">
        <f t="shared" si="84"/>
        <v>422.5</v>
      </c>
      <c r="F846" s="917">
        <f t="shared" si="83"/>
        <v>0</v>
      </c>
      <c r="G846" s="358">
        <f>WORK!I3907</f>
        <v>0</v>
      </c>
      <c r="H846" s="354" t="s">
        <v>115</v>
      </c>
      <c r="I846" s="355">
        <f>WORK!K3907</f>
        <v>422.5</v>
      </c>
      <c r="J846" s="353">
        <f t="shared" si="86"/>
        <v>0</v>
      </c>
      <c r="K846" s="1913"/>
      <c r="L846" s="1913"/>
      <c r="M846" s="708" t="s">
        <v>2322</v>
      </c>
      <c r="N846" s="223"/>
      <c r="O846" s="706">
        <f t="shared" si="82"/>
        <v>0</v>
      </c>
    </row>
    <row r="847" spans="1:15" s="360" customFormat="1" ht="15" hidden="1">
      <c r="A847" s="356" t="s">
        <v>646</v>
      </c>
      <c r="B847" s="707" t="s">
        <v>641</v>
      </c>
      <c r="C847" s="633">
        <f t="shared" si="85"/>
        <v>0</v>
      </c>
      <c r="D847" s="354"/>
      <c r="E847" s="15">
        <f t="shared" si="84"/>
        <v>99.531000000000006</v>
      </c>
      <c r="F847" s="917">
        <f t="shared" si="83"/>
        <v>0</v>
      </c>
      <c r="G847" s="358">
        <f>WORK!I3255</f>
        <v>0</v>
      </c>
      <c r="H847" s="354" t="s">
        <v>115</v>
      </c>
      <c r="I847" s="355">
        <f>WORK!K3255</f>
        <v>99.531000000000006</v>
      </c>
      <c r="J847" s="353">
        <f t="shared" si="86"/>
        <v>0</v>
      </c>
      <c r="K847" s="1911">
        <f>IF((J847+J848+J849+J850)&gt;(F847+F848+F849+F850),(J847+J848+J849+J850)-(F847+F848+F849+F850),0)</f>
        <v>0</v>
      </c>
      <c r="L847" s="1911">
        <f>IF((J847+J848+J849+J850)&lt;(F847+F848+F849+F850),(F847+F848+F849+F850)-(J847+J848+J849+J850),0)</f>
        <v>0</v>
      </c>
      <c r="M847" s="708" t="s">
        <v>2226</v>
      </c>
      <c r="N847" s="223"/>
      <c r="O847" s="706">
        <f t="shared" si="82"/>
        <v>0</v>
      </c>
    </row>
    <row r="848" spans="1:15" s="360" customFormat="1" ht="15" hidden="1">
      <c r="A848" s="356" t="s">
        <v>646</v>
      </c>
      <c r="B848" s="707" t="s">
        <v>641</v>
      </c>
      <c r="C848" s="633">
        <f t="shared" si="85"/>
        <v>0</v>
      </c>
      <c r="D848" s="354"/>
      <c r="E848" s="15">
        <f t="shared" si="84"/>
        <v>103.685</v>
      </c>
      <c r="F848" s="917">
        <f t="shared" si="83"/>
        <v>0</v>
      </c>
      <c r="G848" s="358">
        <f>WORK!I3473</f>
        <v>0</v>
      </c>
      <c r="H848" s="354" t="s">
        <v>115</v>
      </c>
      <c r="I848" s="355">
        <f>WORK!K3473</f>
        <v>103.685</v>
      </c>
      <c r="J848" s="353">
        <f t="shared" si="86"/>
        <v>0</v>
      </c>
      <c r="K848" s="1912"/>
      <c r="L848" s="1912"/>
      <c r="M848" s="708" t="s">
        <v>2308</v>
      </c>
      <c r="N848" s="223"/>
      <c r="O848" s="706">
        <f t="shared" si="82"/>
        <v>0</v>
      </c>
    </row>
    <row r="849" spans="1:15" s="360" customFormat="1" ht="15" hidden="1">
      <c r="A849" s="356" t="s">
        <v>646</v>
      </c>
      <c r="B849" s="707" t="s">
        <v>641</v>
      </c>
      <c r="C849" s="633">
        <f t="shared" si="85"/>
        <v>0</v>
      </c>
      <c r="D849" s="354"/>
      <c r="E849" s="15">
        <f t="shared" si="84"/>
        <v>112.04</v>
      </c>
      <c r="F849" s="917">
        <f t="shared" si="83"/>
        <v>0</v>
      </c>
      <c r="G849" s="358">
        <f>WORK!I3694</f>
        <v>0</v>
      </c>
      <c r="H849" s="354" t="s">
        <v>115</v>
      </c>
      <c r="I849" s="355">
        <f>WORK!K3694</f>
        <v>112.04</v>
      </c>
      <c r="J849" s="353">
        <f t="shared" si="86"/>
        <v>0</v>
      </c>
      <c r="K849" s="1912"/>
      <c r="L849" s="1912"/>
      <c r="M849" s="708" t="s">
        <v>2321</v>
      </c>
      <c r="N849" s="223"/>
      <c r="O849" s="706">
        <f t="shared" si="82"/>
        <v>0</v>
      </c>
    </row>
    <row r="850" spans="1:15" s="360" customFormat="1" ht="15" hidden="1">
      <c r="A850" s="356" t="s">
        <v>646</v>
      </c>
      <c r="B850" s="707" t="s">
        <v>641</v>
      </c>
      <c r="C850" s="633">
        <f t="shared" si="85"/>
        <v>0</v>
      </c>
      <c r="D850" s="354"/>
      <c r="E850" s="15">
        <f t="shared" si="84"/>
        <v>119.73500000000001</v>
      </c>
      <c r="F850" s="917">
        <f t="shared" si="83"/>
        <v>0</v>
      </c>
      <c r="G850" s="358">
        <f>WORK!I3917</f>
        <v>0</v>
      </c>
      <c r="H850" s="354" t="s">
        <v>115</v>
      </c>
      <c r="I850" s="355">
        <f>WORK!K3917</f>
        <v>119.73500000000001</v>
      </c>
      <c r="J850" s="353">
        <f t="shared" si="86"/>
        <v>0</v>
      </c>
      <c r="K850" s="1913"/>
      <c r="L850" s="1913"/>
      <c r="M850" s="708" t="s">
        <v>2322</v>
      </c>
      <c r="N850" s="223"/>
      <c r="O850" s="706">
        <f t="shared" si="82"/>
        <v>0</v>
      </c>
    </row>
    <row r="851" spans="1:15" s="360" customFormat="1" ht="15" hidden="1">
      <c r="A851" s="356" t="s">
        <v>2049</v>
      </c>
      <c r="B851" s="707" t="s">
        <v>624</v>
      </c>
      <c r="C851" s="633">
        <f t="shared" si="85"/>
        <v>0</v>
      </c>
      <c r="D851" s="354"/>
      <c r="E851" s="15">
        <f t="shared" si="84"/>
        <v>18</v>
      </c>
      <c r="F851" s="917">
        <f t="shared" si="83"/>
        <v>0</v>
      </c>
      <c r="G851" s="358">
        <f>WORK!I3260</f>
        <v>0</v>
      </c>
      <c r="H851" s="354" t="s">
        <v>115</v>
      </c>
      <c r="I851" s="355">
        <f>WORK!K3260</f>
        <v>18</v>
      </c>
      <c r="J851" s="353">
        <f t="shared" si="86"/>
        <v>0</v>
      </c>
      <c r="K851" s="1911">
        <f>IF((J851+J852+J853+J854)&gt;(F851+F852+F853+F854),(J851+J852+J853+J854)-(F851+F852+F853+F854),0)</f>
        <v>0</v>
      </c>
      <c r="L851" s="1911">
        <f>IF((J851+J852+J853+J854)&lt;(F851+F852+F853+F854),(F851+F852+F853+F854)-(J851+J852+J853+J854),0)</f>
        <v>0</v>
      </c>
      <c r="M851" s="708" t="s">
        <v>2226</v>
      </c>
      <c r="N851" s="223"/>
      <c r="O851" s="706">
        <f t="shared" ref="O851:O1146" si="87">F851-J851</f>
        <v>0</v>
      </c>
    </row>
    <row r="852" spans="1:15" s="360" customFormat="1" ht="15" hidden="1">
      <c r="A852" s="356" t="s">
        <v>2733</v>
      </c>
      <c r="B852" s="707" t="s">
        <v>624</v>
      </c>
      <c r="C852" s="633">
        <f t="shared" si="85"/>
        <v>0</v>
      </c>
      <c r="D852" s="354"/>
      <c r="E852" s="15">
        <f t="shared" si="84"/>
        <v>18</v>
      </c>
      <c r="F852" s="917">
        <f t="shared" si="83"/>
        <v>0</v>
      </c>
      <c r="G852" s="358">
        <f>WORK!I3478</f>
        <v>0</v>
      </c>
      <c r="H852" s="354" t="s">
        <v>115</v>
      </c>
      <c r="I852" s="355">
        <f>WORK!K3478</f>
        <v>18</v>
      </c>
      <c r="J852" s="353">
        <f t="shared" si="86"/>
        <v>0</v>
      </c>
      <c r="K852" s="1912"/>
      <c r="L852" s="1912"/>
      <c r="M852" s="708" t="s">
        <v>2308</v>
      </c>
      <c r="N852" s="223"/>
      <c r="O852" s="706">
        <f t="shared" si="87"/>
        <v>0</v>
      </c>
    </row>
    <row r="853" spans="1:15" s="360" customFormat="1" ht="15" hidden="1">
      <c r="A853" s="356" t="s">
        <v>2049</v>
      </c>
      <c r="B853" s="707" t="s">
        <v>624</v>
      </c>
      <c r="C853" s="633">
        <f t="shared" si="85"/>
        <v>0</v>
      </c>
      <c r="D853" s="354"/>
      <c r="E853" s="15">
        <f t="shared" si="84"/>
        <v>20</v>
      </c>
      <c r="F853" s="917">
        <f t="shared" si="83"/>
        <v>0</v>
      </c>
      <c r="G853" s="358">
        <f>WORK!I3699</f>
        <v>0</v>
      </c>
      <c r="H853" s="354" t="s">
        <v>115</v>
      </c>
      <c r="I853" s="355">
        <f>WORK!K3699</f>
        <v>20</v>
      </c>
      <c r="J853" s="353">
        <f t="shared" si="86"/>
        <v>0</v>
      </c>
      <c r="K853" s="1912"/>
      <c r="L853" s="1912"/>
      <c r="M853" s="708" t="s">
        <v>2321</v>
      </c>
      <c r="N853" s="223"/>
      <c r="O853" s="706">
        <f t="shared" si="87"/>
        <v>0</v>
      </c>
    </row>
    <row r="854" spans="1:15" s="360" customFormat="1" ht="15" hidden="1">
      <c r="A854" s="356" t="s">
        <v>2049</v>
      </c>
      <c r="B854" s="707" t="s">
        <v>624</v>
      </c>
      <c r="C854" s="633">
        <f t="shared" si="85"/>
        <v>0</v>
      </c>
      <c r="D854" s="354"/>
      <c r="E854" s="15">
        <f t="shared" si="84"/>
        <v>21</v>
      </c>
      <c r="F854" s="917">
        <f t="shared" si="83"/>
        <v>0</v>
      </c>
      <c r="G854" s="358">
        <f>WORK!I3922</f>
        <v>0</v>
      </c>
      <c r="H854" s="354" t="s">
        <v>115</v>
      </c>
      <c r="I854" s="355">
        <f>WORK!K3922</f>
        <v>21</v>
      </c>
      <c r="J854" s="353">
        <f t="shared" si="86"/>
        <v>0</v>
      </c>
      <c r="K854" s="1913"/>
      <c r="L854" s="1913"/>
      <c r="M854" s="708" t="s">
        <v>2322</v>
      </c>
      <c r="N854" s="223"/>
      <c r="O854" s="706">
        <f t="shared" si="87"/>
        <v>0</v>
      </c>
    </row>
    <row r="855" spans="1:15" s="360" customFormat="1" ht="25.5">
      <c r="A855" s="356" t="s">
        <v>501</v>
      </c>
      <c r="B855" s="707" t="s">
        <v>3326</v>
      </c>
      <c r="C855" s="633">
        <f t="shared" si="85"/>
        <v>2</v>
      </c>
      <c r="D855" s="1115" t="s">
        <v>115</v>
      </c>
      <c r="E855" s="10">
        <f t="shared" si="84"/>
        <v>177.65</v>
      </c>
      <c r="F855" s="917">
        <f t="shared" si="83"/>
        <v>355</v>
      </c>
      <c r="G855" s="358">
        <f>WORK!I3265</f>
        <v>2</v>
      </c>
      <c r="H855" s="354" t="s">
        <v>115</v>
      </c>
      <c r="I855" s="355">
        <f>WORK!K3265</f>
        <v>177.65</v>
      </c>
      <c r="J855" s="353">
        <f t="shared" si="86"/>
        <v>355.3</v>
      </c>
      <c r="K855" s="1911">
        <f>IF((J855+J856+J857+J858)&gt;(F855+F856+F857+F858),(J855+J856+J857+J858)-(F855+F856+F857+F858),0)</f>
        <v>0.30000000000001137</v>
      </c>
      <c r="L855" s="1911">
        <f>IF((J855+J856+J857+J858)&lt;(F855+F856+F857+F858),(F855+F856+F857+F858)-(J855+J856+J857+J858),0)</f>
        <v>0</v>
      </c>
      <c r="M855" s="1139" t="s">
        <v>2226</v>
      </c>
      <c r="N855" s="223"/>
      <c r="O855" s="1138">
        <f t="shared" si="87"/>
        <v>-0.30000000000001137</v>
      </c>
    </row>
    <row r="856" spans="1:15" s="360" customFormat="1" ht="15" hidden="1">
      <c r="A856" s="356" t="s">
        <v>2734</v>
      </c>
      <c r="B856" s="707" t="s">
        <v>562</v>
      </c>
      <c r="C856" s="633">
        <f t="shared" si="85"/>
        <v>0</v>
      </c>
      <c r="D856" s="354"/>
      <c r="E856" s="15">
        <f t="shared" si="84"/>
        <v>120.75</v>
      </c>
      <c r="F856" s="917">
        <f t="shared" si="83"/>
        <v>0</v>
      </c>
      <c r="G856" s="358">
        <f>WORK!I3483</f>
        <v>0</v>
      </c>
      <c r="H856" s="354" t="s">
        <v>115</v>
      </c>
      <c r="I856" s="355">
        <f>WORK!K3483</f>
        <v>120.75</v>
      </c>
      <c r="J856" s="353">
        <f t="shared" si="86"/>
        <v>0</v>
      </c>
      <c r="K856" s="1912"/>
      <c r="L856" s="1912"/>
      <c r="M856" s="708" t="s">
        <v>2308</v>
      </c>
      <c r="N856" s="223"/>
      <c r="O856" s="706">
        <f t="shared" si="87"/>
        <v>0</v>
      </c>
    </row>
    <row r="857" spans="1:15" s="360" customFormat="1" ht="15" hidden="1">
      <c r="A857" s="356" t="s">
        <v>517</v>
      </c>
      <c r="B857" s="707" t="s">
        <v>562</v>
      </c>
      <c r="C857" s="633">
        <f t="shared" si="85"/>
        <v>0</v>
      </c>
      <c r="D857" s="354" t="s">
        <v>115</v>
      </c>
      <c r="E857" s="15">
        <f t="shared" si="84"/>
        <v>122</v>
      </c>
      <c r="F857" s="917">
        <f t="shared" si="83"/>
        <v>0</v>
      </c>
      <c r="G857" s="358">
        <f>WORK!I3704</f>
        <v>0</v>
      </c>
      <c r="H857" s="354" t="s">
        <v>115</v>
      </c>
      <c r="I857" s="355">
        <f>WORK!K3704</f>
        <v>122</v>
      </c>
      <c r="J857" s="353">
        <f t="shared" si="86"/>
        <v>0</v>
      </c>
      <c r="K857" s="1912"/>
      <c r="L857" s="1912"/>
      <c r="M857" s="708" t="s">
        <v>2321</v>
      </c>
      <c r="N857" s="223"/>
      <c r="O857" s="706">
        <f t="shared" si="87"/>
        <v>0</v>
      </c>
    </row>
    <row r="858" spans="1:15" s="360" customFormat="1" ht="38.25" hidden="1">
      <c r="A858" s="356" t="s">
        <v>515</v>
      </c>
      <c r="B858" s="707" t="s">
        <v>1268</v>
      </c>
      <c r="C858" s="633">
        <f t="shared" si="85"/>
        <v>0</v>
      </c>
      <c r="D858" s="354" t="s">
        <v>115</v>
      </c>
      <c r="E858" s="10">
        <f t="shared" si="84"/>
        <v>127.25</v>
      </c>
      <c r="F858" s="917">
        <f t="shared" si="83"/>
        <v>0</v>
      </c>
      <c r="G858" s="358">
        <f>WORK!I3927</f>
        <v>0</v>
      </c>
      <c r="H858" s="354" t="s">
        <v>115</v>
      </c>
      <c r="I858" s="355">
        <f>WORK!K3927</f>
        <v>127.25</v>
      </c>
      <c r="J858" s="353">
        <f t="shared" si="86"/>
        <v>0</v>
      </c>
      <c r="K858" s="1927"/>
      <c r="L858" s="1927"/>
      <c r="M858" s="1139" t="s">
        <v>2322</v>
      </c>
      <c r="N858" s="223"/>
      <c r="O858" s="1138">
        <f t="shared" si="87"/>
        <v>0</v>
      </c>
    </row>
    <row r="859" spans="1:15" s="360" customFormat="1" ht="38.25">
      <c r="A859" s="356" t="s">
        <v>502</v>
      </c>
      <c r="B859" s="707" t="s">
        <v>3327</v>
      </c>
      <c r="C859" s="633">
        <f t="shared" si="85"/>
        <v>3</v>
      </c>
      <c r="D859" s="1115" t="s">
        <v>115</v>
      </c>
      <c r="E859" s="10">
        <f t="shared" si="84"/>
        <v>2636.625</v>
      </c>
      <c r="F859" s="917">
        <f t="shared" si="83"/>
        <v>7910</v>
      </c>
      <c r="G859" s="358">
        <f>WORK!I3270</f>
        <v>3</v>
      </c>
      <c r="H859" s="354" t="s">
        <v>115</v>
      </c>
      <c r="I859" s="355">
        <f>WORK!K3270</f>
        <v>2636.625</v>
      </c>
      <c r="J859" s="353">
        <f t="shared" si="86"/>
        <v>7909.88</v>
      </c>
      <c r="K859" s="1911">
        <f t="shared" ref="K859" si="88">IF((J859+J860+J861+J862)&gt;(F859+F860+F861+F862),(J859+J860+J861+J862)-(F859+F860+F861+F862),0)</f>
        <v>0</v>
      </c>
      <c r="L859" s="1911">
        <f t="shared" ref="L859" si="89">IF((J859+J860+J861+J862)&lt;(F859+F860+F861+F862),(F859+F860+F861+F862)-(J859+F860+J861+J862),0)</f>
        <v>0.11999999999989086</v>
      </c>
      <c r="M859" s="1139" t="s">
        <v>2226</v>
      </c>
      <c r="N859" s="223"/>
      <c r="O859" s="1138">
        <f t="shared" si="87"/>
        <v>0.11999999999989086</v>
      </c>
    </row>
    <row r="860" spans="1:15" s="360" customFormat="1" ht="15" hidden="1">
      <c r="A860" s="356" t="s">
        <v>2058</v>
      </c>
      <c r="B860" s="707" t="s">
        <v>563</v>
      </c>
      <c r="C860" s="633">
        <f t="shared" si="85"/>
        <v>0</v>
      </c>
      <c r="D860" s="354"/>
      <c r="E860" s="15">
        <f t="shared" si="84"/>
        <v>2644.375</v>
      </c>
      <c r="F860" s="917">
        <f t="shared" si="83"/>
        <v>0</v>
      </c>
      <c r="G860" s="358">
        <f>WORK!I3489</f>
        <v>0</v>
      </c>
      <c r="H860" s="354" t="s">
        <v>115</v>
      </c>
      <c r="I860" s="355">
        <f>WORK!K3489</f>
        <v>2644.375</v>
      </c>
      <c r="J860" s="353">
        <f t="shared" si="86"/>
        <v>0</v>
      </c>
      <c r="K860" s="1912"/>
      <c r="L860" s="1912"/>
      <c r="M860" s="708" t="s">
        <v>2308</v>
      </c>
      <c r="N860" s="223"/>
      <c r="O860" s="706">
        <f t="shared" si="87"/>
        <v>0</v>
      </c>
    </row>
    <row r="861" spans="1:15" s="360" customFormat="1" ht="15" hidden="1">
      <c r="A861" s="356" t="s">
        <v>518</v>
      </c>
      <c r="B861" s="707" t="s">
        <v>563</v>
      </c>
      <c r="C861" s="633">
        <f t="shared" si="85"/>
        <v>0</v>
      </c>
      <c r="D861" s="354" t="s">
        <v>115</v>
      </c>
      <c r="E861" s="15">
        <f t="shared" si="84"/>
        <v>3020.3799999999997</v>
      </c>
      <c r="F861" s="917">
        <f t="shared" si="83"/>
        <v>0</v>
      </c>
      <c r="G861" s="358">
        <f>WORK!I3709</f>
        <v>0</v>
      </c>
      <c r="H861" s="354" t="s">
        <v>115</v>
      </c>
      <c r="I861" s="355">
        <f>WORK!K3709</f>
        <v>3020.3799999999997</v>
      </c>
      <c r="J861" s="353">
        <f t="shared" si="86"/>
        <v>0</v>
      </c>
      <c r="K861" s="1912"/>
      <c r="L861" s="1912"/>
      <c r="M861" s="708" t="s">
        <v>2321</v>
      </c>
      <c r="N861" s="223"/>
      <c r="O861" s="706">
        <f t="shared" si="87"/>
        <v>0</v>
      </c>
    </row>
    <row r="862" spans="1:15" s="360" customFormat="1" ht="38.25" hidden="1">
      <c r="A862" s="356" t="s">
        <v>516</v>
      </c>
      <c r="B862" s="707" t="s">
        <v>3327</v>
      </c>
      <c r="C862" s="633">
        <f t="shared" si="85"/>
        <v>0</v>
      </c>
      <c r="D862" s="354" t="s">
        <v>115</v>
      </c>
      <c r="E862" s="10">
        <f t="shared" si="84"/>
        <v>3312.1849999999999</v>
      </c>
      <c r="F862" s="917">
        <f t="shared" si="83"/>
        <v>0</v>
      </c>
      <c r="G862" s="358">
        <f>WORK!I3932</f>
        <v>0</v>
      </c>
      <c r="H862" s="354" t="s">
        <v>115</v>
      </c>
      <c r="I862" s="355">
        <f>WORK!K3932</f>
        <v>3312.1849999999999</v>
      </c>
      <c r="J862" s="353">
        <f t="shared" si="86"/>
        <v>0</v>
      </c>
      <c r="K862" s="1927"/>
      <c r="L862" s="1927"/>
      <c r="M862" s="1139" t="s">
        <v>2322</v>
      </c>
      <c r="N862" s="223"/>
      <c r="O862" s="1138">
        <f t="shared" si="87"/>
        <v>0</v>
      </c>
    </row>
    <row r="863" spans="1:15" s="360" customFormat="1" ht="15" hidden="1">
      <c r="A863" s="356" t="s">
        <v>646</v>
      </c>
      <c r="B863" s="707" t="s">
        <v>563</v>
      </c>
      <c r="C863" s="633">
        <f t="shared" si="85"/>
        <v>0</v>
      </c>
      <c r="D863" s="354"/>
      <c r="E863" s="15">
        <f t="shared" si="84"/>
        <v>2323</v>
      </c>
      <c r="F863" s="917">
        <f t="shared" si="83"/>
        <v>0</v>
      </c>
      <c r="G863" s="358">
        <f>WORK!I3280</f>
        <v>0</v>
      </c>
      <c r="H863" s="354" t="s">
        <v>115</v>
      </c>
      <c r="I863" s="355">
        <f>WORK!K3280</f>
        <v>2323</v>
      </c>
      <c r="J863" s="353">
        <f t="shared" si="86"/>
        <v>0</v>
      </c>
      <c r="K863" s="1911">
        <f>IF((J863+J864+J865+J866)&gt;(F863+F864+F865+F866),(J863+J864+J865+J866)-(F863+F864+F865+F866),0)</f>
        <v>0</v>
      </c>
      <c r="L863" s="1911">
        <f>IF((J863+J864+J865+J866)&lt;(F863+F864+F865+F866),(F863+F864+F865+F866)-(J863+J864+J865+J866),0)</f>
        <v>0</v>
      </c>
      <c r="M863" s="708" t="s">
        <v>2226</v>
      </c>
      <c r="N863" s="223"/>
      <c r="O863" s="706">
        <f t="shared" si="87"/>
        <v>0</v>
      </c>
    </row>
    <row r="864" spans="1:15" s="360" customFormat="1" ht="15" hidden="1">
      <c r="A864" s="356" t="s">
        <v>2735</v>
      </c>
      <c r="B864" s="707" t="s">
        <v>563</v>
      </c>
      <c r="C864" s="633">
        <f t="shared" si="85"/>
        <v>0</v>
      </c>
      <c r="D864" s="354"/>
      <c r="E864" s="15">
        <f t="shared" si="84"/>
        <v>2323</v>
      </c>
      <c r="F864" s="917">
        <f t="shared" si="83"/>
        <v>0</v>
      </c>
      <c r="G864" s="358">
        <f>WORK!I3499</f>
        <v>0</v>
      </c>
      <c r="H864" s="354" t="s">
        <v>115</v>
      </c>
      <c r="I864" s="355">
        <f>WORK!K3499</f>
        <v>2323</v>
      </c>
      <c r="J864" s="353">
        <f t="shared" si="86"/>
        <v>0</v>
      </c>
      <c r="K864" s="1912"/>
      <c r="L864" s="1912"/>
      <c r="M864" s="708" t="s">
        <v>2308</v>
      </c>
      <c r="N864" s="223"/>
      <c r="O864" s="706">
        <f t="shared" si="87"/>
        <v>0</v>
      </c>
    </row>
    <row r="865" spans="1:15" s="360" customFormat="1" ht="15" hidden="1">
      <c r="A865" s="356" t="s">
        <v>2052</v>
      </c>
      <c r="B865" s="707" t="s">
        <v>563</v>
      </c>
      <c r="C865" s="633">
        <f t="shared" si="85"/>
        <v>0</v>
      </c>
      <c r="D865" s="354"/>
      <c r="E865" s="15">
        <f t="shared" si="84"/>
        <v>2671.45</v>
      </c>
      <c r="F865" s="917">
        <f t="shared" si="83"/>
        <v>0</v>
      </c>
      <c r="G865" s="358">
        <f>WORK!I3719</f>
        <v>0</v>
      </c>
      <c r="H865" s="354" t="s">
        <v>115</v>
      </c>
      <c r="I865" s="355">
        <f>WORK!K3719</f>
        <v>2671.45</v>
      </c>
      <c r="J865" s="353">
        <f t="shared" si="86"/>
        <v>0</v>
      </c>
      <c r="K865" s="1912"/>
      <c r="L865" s="1912"/>
      <c r="M865" s="708" t="s">
        <v>2321</v>
      </c>
      <c r="N865" s="223"/>
      <c r="O865" s="706">
        <f t="shared" si="87"/>
        <v>0</v>
      </c>
    </row>
    <row r="866" spans="1:15" s="360" customFormat="1" ht="15" hidden="1">
      <c r="A866" s="356" t="s">
        <v>2052</v>
      </c>
      <c r="B866" s="707" t="s">
        <v>563</v>
      </c>
      <c r="C866" s="633">
        <f t="shared" si="85"/>
        <v>0</v>
      </c>
      <c r="D866" s="354"/>
      <c r="E866" s="15">
        <f t="shared" si="84"/>
        <v>2941.12</v>
      </c>
      <c r="F866" s="917">
        <f t="shared" si="83"/>
        <v>0</v>
      </c>
      <c r="G866" s="358">
        <f>WORK!I3949</f>
        <v>0</v>
      </c>
      <c r="H866" s="354" t="s">
        <v>115</v>
      </c>
      <c r="I866" s="355">
        <f>WORK!K3949</f>
        <v>2941.12</v>
      </c>
      <c r="J866" s="353">
        <f t="shared" si="86"/>
        <v>0</v>
      </c>
      <c r="K866" s="1913"/>
      <c r="L866" s="1913"/>
      <c r="M866" s="708" t="s">
        <v>2322</v>
      </c>
      <c r="N866" s="223"/>
      <c r="O866" s="706">
        <f t="shared" si="87"/>
        <v>0</v>
      </c>
    </row>
    <row r="867" spans="1:15" s="360" customFormat="1" ht="38.25" hidden="1">
      <c r="A867" s="356" t="s">
        <v>2706</v>
      </c>
      <c r="B867" s="707" t="s">
        <v>947</v>
      </c>
      <c r="C867" s="633">
        <f t="shared" si="85"/>
        <v>0</v>
      </c>
      <c r="D867" s="1115" t="s">
        <v>115</v>
      </c>
      <c r="E867" s="15">
        <f t="shared" si="84"/>
        <v>237.5</v>
      </c>
      <c r="F867" s="917">
        <f t="shared" si="83"/>
        <v>0</v>
      </c>
      <c r="G867" s="358">
        <f>WORK!I3285</f>
        <v>0</v>
      </c>
      <c r="H867" s="354" t="s">
        <v>115</v>
      </c>
      <c r="I867" s="355">
        <f>WORK!K3285</f>
        <v>237.5</v>
      </c>
      <c r="J867" s="353">
        <f t="shared" si="86"/>
        <v>0</v>
      </c>
      <c r="K867" s="1911">
        <f>IF((J867+J868+J869+J870)&gt;(F867+F868+F869+F870),(J867+J868+J869+J870)-(F867+F868+F869+F870),0)</f>
        <v>0</v>
      </c>
      <c r="L867" s="1911">
        <f>IF((J867+J868+J869+J870)&lt;(F867+F868+F869+F870),(F867+F868+F869+F870)-(J867+J868+J869+J870),0)</f>
        <v>0</v>
      </c>
      <c r="M867" s="708" t="s">
        <v>2226</v>
      </c>
      <c r="N867" s="223"/>
      <c r="O867" s="706">
        <f t="shared" si="87"/>
        <v>0</v>
      </c>
    </row>
    <row r="868" spans="1:15" s="360" customFormat="1" ht="15" hidden="1">
      <c r="A868" s="356" t="s">
        <v>2736</v>
      </c>
      <c r="B868" s="707" t="s">
        <v>831</v>
      </c>
      <c r="C868" s="633">
        <f t="shared" si="85"/>
        <v>0</v>
      </c>
      <c r="D868" s="354"/>
      <c r="E868" s="15">
        <f t="shared" si="84"/>
        <v>241</v>
      </c>
      <c r="F868" s="917">
        <f t="shared" si="83"/>
        <v>0</v>
      </c>
      <c r="G868" s="358">
        <f>WORK!I3504</f>
        <v>0</v>
      </c>
      <c r="H868" s="354" t="s">
        <v>115</v>
      </c>
      <c r="I868" s="355">
        <f>WORK!K3504</f>
        <v>241</v>
      </c>
      <c r="J868" s="353">
        <f t="shared" si="86"/>
        <v>0</v>
      </c>
      <c r="K868" s="1912"/>
      <c r="L868" s="1912"/>
      <c r="M868" s="708" t="s">
        <v>2308</v>
      </c>
      <c r="N868" s="223"/>
      <c r="O868" s="706">
        <f t="shared" si="87"/>
        <v>0</v>
      </c>
    </row>
    <row r="869" spans="1:15" s="360" customFormat="1" ht="15" hidden="1">
      <c r="A869" s="356" t="s">
        <v>2053</v>
      </c>
      <c r="B869" s="707" t="s">
        <v>831</v>
      </c>
      <c r="C869" s="633">
        <f t="shared" si="85"/>
        <v>0</v>
      </c>
      <c r="D869" s="354"/>
      <c r="E869" s="15">
        <f t="shared" si="84"/>
        <v>263</v>
      </c>
      <c r="F869" s="917">
        <f t="shared" si="83"/>
        <v>0</v>
      </c>
      <c r="G869" s="358">
        <f>WORK!I3724</f>
        <v>0</v>
      </c>
      <c r="H869" s="354" t="s">
        <v>115</v>
      </c>
      <c r="I869" s="355">
        <f>WORK!K3724</f>
        <v>263</v>
      </c>
      <c r="J869" s="353">
        <f t="shared" si="86"/>
        <v>0</v>
      </c>
      <c r="K869" s="1912"/>
      <c r="L869" s="1912"/>
      <c r="M869" s="708" t="s">
        <v>2321</v>
      </c>
      <c r="N869" s="223"/>
      <c r="O869" s="706">
        <f t="shared" si="87"/>
        <v>0</v>
      </c>
    </row>
    <row r="870" spans="1:15" s="360" customFormat="1" ht="15" hidden="1">
      <c r="A870" s="356" t="s">
        <v>2053</v>
      </c>
      <c r="B870" s="707" t="s">
        <v>831</v>
      </c>
      <c r="C870" s="633">
        <f t="shared" si="85"/>
        <v>0</v>
      </c>
      <c r="D870" s="354"/>
      <c r="E870" s="15">
        <f t="shared" si="84"/>
        <v>278</v>
      </c>
      <c r="F870" s="917">
        <f t="shared" si="83"/>
        <v>0</v>
      </c>
      <c r="G870" s="358">
        <f>WORK!I3961</f>
        <v>0</v>
      </c>
      <c r="H870" s="354" t="s">
        <v>115</v>
      </c>
      <c r="I870" s="355">
        <f>WORK!K3961</f>
        <v>278</v>
      </c>
      <c r="J870" s="353">
        <f t="shared" si="86"/>
        <v>0</v>
      </c>
      <c r="K870" s="1913"/>
      <c r="L870" s="1913"/>
      <c r="M870" s="708" t="s">
        <v>2322</v>
      </c>
      <c r="N870" s="223"/>
      <c r="O870" s="706">
        <f t="shared" si="87"/>
        <v>0</v>
      </c>
    </row>
    <row r="871" spans="1:15" s="360" customFormat="1" ht="38.25" hidden="1">
      <c r="A871" s="356" t="s">
        <v>2707</v>
      </c>
      <c r="B871" s="707" t="s">
        <v>948</v>
      </c>
      <c r="C871" s="633">
        <f t="shared" si="85"/>
        <v>0</v>
      </c>
      <c r="D871" s="1115" t="s">
        <v>115</v>
      </c>
      <c r="E871" s="15">
        <f t="shared" si="84"/>
        <v>133.625</v>
      </c>
      <c r="F871" s="917">
        <f t="shared" si="83"/>
        <v>0</v>
      </c>
      <c r="G871" s="358">
        <f>WORK!I3290</f>
        <v>0</v>
      </c>
      <c r="H871" s="354" t="s">
        <v>115</v>
      </c>
      <c r="I871" s="355">
        <f>WORK!K3290</f>
        <v>133.625</v>
      </c>
      <c r="J871" s="353">
        <f t="shared" si="86"/>
        <v>0</v>
      </c>
      <c r="K871" s="1911">
        <f>IF((J871+J872+J873+J874)&gt;(F871+F872+F873+F874),(J871+J872+J873+J874)-(F871+F872+F873+F874),0)</f>
        <v>0</v>
      </c>
      <c r="L871" s="1911">
        <f>IF((J871+J872+J873+J874)&lt;(F871+F872+F873+F874),(F871+F872+F873+F874)-(J871+J872+J873+J874),0)</f>
        <v>0</v>
      </c>
      <c r="M871" s="708" t="s">
        <v>2226</v>
      </c>
      <c r="N871" s="223"/>
      <c r="O871" s="706">
        <f t="shared" si="87"/>
        <v>0</v>
      </c>
    </row>
    <row r="872" spans="1:15" s="360" customFormat="1" ht="15" hidden="1">
      <c r="A872" s="356" t="s">
        <v>2060</v>
      </c>
      <c r="B872" s="707" t="s">
        <v>967</v>
      </c>
      <c r="C872" s="633">
        <f t="shared" si="85"/>
        <v>0</v>
      </c>
      <c r="D872" s="354"/>
      <c r="E872" s="15">
        <f t="shared" si="84"/>
        <v>141.375</v>
      </c>
      <c r="F872" s="917">
        <f t="shared" si="83"/>
        <v>0</v>
      </c>
      <c r="G872" s="358">
        <f>WORK!I3509</f>
        <v>0</v>
      </c>
      <c r="H872" s="354" t="s">
        <v>115</v>
      </c>
      <c r="I872" s="355">
        <f>WORK!K3509</f>
        <v>141.375</v>
      </c>
      <c r="J872" s="353">
        <f t="shared" si="86"/>
        <v>0</v>
      </c>
      <c r="K872" s="1912"/>
      <c r="L872" s="1912"/>
      <c r="M872" s="708" t="s">
        <v>2308</v>
      </c>
      <c r="N872" s="223"/>
      <c r="O872" s="706">
        <f t="shared" si="87"/>
        <v>0</v>
      </c>
    </row>
    <row r="873" spans="1:15" s="360" customFormat="1" ht="15" hidden="1">
      <c r="A873" s="356" t="s">
        <v>2054</v>
      </c>
      <c r="B873" s="707" t="s">
        <v>967</v>
      </c>
      <c r="C873" s="633">
        <f t="shared" si="85"/>
        <v>0</v>
      </c>
      <c r="D873" s="354"/>
      <c r="E873" s="15">
        <f t="shared" si="84"/>
        <v>158.43</v>
      </c>
      <c r="F873" s="917">
        <f t="shared" si="83"/>
        <v>0</v>
      </c>
      <c r="G873" s="358">
        <f>WORK!I3729</f>
        <v>0</v>
      </c>
      <c r="H873" s="354" t="s">
        <v>115</v>
      </c>
      <c r="I873" s="355">
        <f>WORK!K3729</f>
        <v>158.43</v>
      </c>
      <c r="J873" s="353">
        <f t="shared" si="86"/>
        <v>0</v>
      </c>
      <c r="K873" s="1912"/>
      <c r="L873" s="1912"/>
      <c r="M873" s="708" t="s">
        <v>2321</v>
      </c>
      <c r="N873" s="223"/>
      <c r="O873" s="706">
        <f t="shared" si="87"/>
        <v>0</v>
      </c>
    </row>
    <row r="874" spans="1:15" s="360" customFormat="1" ht="15" hidden="1">
      <c r="A874" s="356" t="s">
        <v>2054</v>
      </c>
      <c r="B874" s="707" t="s">
        <v>967</v>
      </c>
      <c r="C874" s="633">
        <f t="shared" si="85"/>
        <v>0</v>
      </c>
      <c r="D874" s="354"/>
      <c r="E874" s="15">
        <f t="shared" si="84"/>
        <v>163.065</v>
      </c>
      <c r="F874" s="917">
        <f t="shared" si="83"/>
        <v>0</v>
      </c>
      <c r="G874" s="358">
        <f>WORK!I3973</f>
        <v>0</v>
      </c>
      <c r="H874" s="354" t="s">
        <v>115</v>
      </c>
      <c r="I874" s="355">
        <f>WORK!K3973</f>
        <v>163.065</v>
      </c>
      <c r="J874" s="353">
        <f t="shared" si="86"/>
        <v>0</v>
      </c>
      <c r="K874" s="1913"/>
      <c r="L874" s="1913"/>
      <c r="M874" s="708" t="s">
        <v>2322</v>
      </c>
      <c r="N874" s="223"/>
      <c r="O874" s="706">
        <f t="shared" si="87"/>
        <v>0</v>
      </c>
    </row>
    <row r="875" spans="1:15" s="360" customFormat="1" ht="38.25" hidden="1">
      <c r="A875" s="356" t="s">
        <v>2708</v>
      </c>
      <c r="B875" s="707" t="s">
        <v>950</v>
      </c>
      <c r="C875" s="633">
        <f t="shared" si="85"/>
        <v>0</v>
      </c>
      <c r="D875" s="1115" t="s">
        <v>115</v>
      </c>
      <c r="E875" s="15">
        <f t="shared" si="84"/>
        <v>126.80000000000001</v>
      </c>
      <c r="F875" s="917">
        <f t="shared" si="83"/>
        <v>0</v>
      </c>
      <c r="G875" s="358">
        <f>WORK!I3297</f>
        <v>0</v>
      </c>
      <c r="H875" s="354" t="s">
        <v>115</v>
      </c>
      <c r="I875" s="355">
        <f>WORK!K3297</f>
        <v>126.80000000000001</v>
      </c>
      <c r="J875" s="353">
        <f t="shared" si="86"/>
        <v>0</v>
      </c>
      <c r="K875" s="1911">
        <f>IF((J875+J876+J877+J878)&gt;(F875+F876+F877+F878),(J875+J876+J877+J878)-(F875+F876+F877+F878),0)</f>
        <v>0</v>
      </c>
      <c r="L875" s="1911">
        <f>IF((J875+J876+J877+J878)&lt;(F875+F876+F877+F878),(F875+F876+F877+F878)-(J875+J876+J877+J878),0)</f>
        <v>0</v>
      </c>
      <c r="M875" s="708" t="s">
        <v>2226</v>
      </c>
      <c r="N875" s="223"/>
      <c r="O875" s="706">
        <f t="shared" si="87"/>
        <v>0</v>
      </c>
    </row>
    <row r="876" spans="1:15" s="360" customFormat="1" ht="15" hidden="1">
      <c r="A876" s="356" t="s">
        <v>642</v>
      </c>
      <c r="B876" s="707" t="s">
        <v>832</v>
      </c>
      <c r="C876" s="633">
        <f t="shared" si="85"/>
        <v>0</v>
      </c>
      <c r="D876" s="354"/>
      <c r="E876" s="15">
        <f t="shared" si="84"/>
        <v>129.5</v>
      </c>
      <c r="F876" s="917">
        <f t="shared" si="83"/>
        <v>0</v>
      </c>
      <c r="G876" s="358">
        <f>WORK!I3516</f>
        <v>0</v>
      </c>
      <c r="H876" s="354" t="s">
        <v>115</v>
      </c>
      <c r="I876" s="355">
        <f>WORK!K3516</f>
        <v>129.5</v>
      </c>
      <c r="J876" s="353">
        <f t="shared" si="86"/>
        <v>0</v>
      </c>
      <c r="K876" s="1912"/>
      <c r="L876" s="1912"/>
      <c r="M876" s="708" t="s">
        <v>2308</v>
      </c>
      <c r="N876" s="223"/>
      <c r="O876" s="706">
        <f t="shared" si="87"/>
        <v>0</v>
      </c>
    </row>
    <row r="877" spans="1:15" s="360" customFormat="1" ht="15" hidden="1">
      <c r="A877" s="356" t="s">
        <v>642</v>
      </c>
      <c r="B877" s="707" t="s">
        <v>832</v>
      </c>
      <c r="C877" s="633">
        <f t="shared" si="85"/>
        <v>0</v>
      </c>
      <c r="D877" s="354"/>
      <c r="E877" s="15">
        <f t="shared" si="84"/>
        <v>147</v>
      </c>
      <c r="F877" s="917">
        <f t="shared" si="83"/>
        <v>0</v>
      </c>
      <c r="G877" s="358">
        <f>WORK!I3736</f>
        <v>0</v>
      </c>
      <c r="H877" s="354" t="s">
        <v>115</v>
      </c>
      <c r="I877" s="355">
        <f>WORK!K3736</f>
        <v>147</v>
      </c>
      <c r="J877" s="353">
        <f t="shared" si="86"/>
        <v>0</v>
      </c>
      <c r="K877" s="1912"/>
      <c r="L877" s="1912"/>
      <c r="M877" s="708" t="s">
        <v>2321</v>
      </c>
      <c r="N877" s="223"/>
      <c r="O877" s="706">
        <f t="shared" si="87"/>
        <v>0</v>
      </c>
    </row>
    <row r="878" spans="1:15" s="360" customFormat="1" ht="15" hidden="1">
      <c r="A878" s="356" t="s">
        <v>642</v>
      </c>
      <c r="B878" s="707" t="s">
        <v>832</v>
      </c>
      <c r="C878" s="633">
        <f t="shared" si="85"/>
        <v>0</v>
      </c>
      <c r="D878" s="354"/>
      <c r="E878" s="15">
        <f t="shared" si="84"/>
        <v>161.5</v>
      </c>
      <c r="F878" s="917">
        <f t="shared" si="83"/>
        <v>0</v>
      </c>
      <c r="G878" s="358">
        <f>WORK!I3980</f>
        <v>0</v>
      </c>
      <c r="H878" s="354" t="s">
        <v>115</v>
      </c>
      <c r="I878" s="355">
        <f>WORK!K3980</f>
        <v>161.5</v>
      </c>
      <c r="J878" s="353">
        <f t="shared" si="86"/>
        <v>0</v>
      </c>
      <c r="K878" s="1913"/>
      <c r="L878" s="1913"/>
      <c r="M878" s="708" t="s">
        <v>2322</v>
      </c>
      <c r="N878" s="223"/>
      <c r="O878" s="706">
        <f t="shared" si="87"/>
        <v>0</v>
      </c>
    </row>
    <row r="879" spans="1:15" s="360" customFormat="1" ht="15" hidden="1">
      <c r="A879" s="356" t="s">
        <v>2055</v>
      </c>
      <c r="B879" s="707" t="s">
        <v>1576</v>
      </c>
      <c r="C879" s="633">
        <f t="shared" si="85"/>
        <v>0</v>
      </c>
      <c r="D879" s="354"/>
      <c r="E879" s="15">
        <f t="shared" si="84"/>
        <v>252.38800000000001</v>
      </c>
      <c r="F879" s="917">
        <f t="shared" si="83"/>
        <v>0</v>
      </c>
      <c r="G879" s="358">
        <f>WORK!I3275</f>
        <v>0</v>
      </c>
      <c r="H879" s="354" t="s">
        <v>115</v>
      </c>
      <c r="I879" s="355">
        <f>WORK!K3275</f>
        <v>252.38800000000001</v>
      </c>
      <c r="J879" s="353">
        <f t="shared" si="86"/>
        <v>0</v>
      </c>
      <c r="K879" s="1911">
        <f>IF((J879+J880+J881+J882)&gt;(F879+F880+F881+F882),(J879+J880+J881+J882)-(F879+F880+F881+F882),0)</f>
        <v>0</v>
      </c>
      <c r="L879" s="1911">
        <f>IF((J879+J880+J881+J882)&lt;(F879+F880+F881+F882),(F879+F880+F881+F882)-(J879+J880+J881+J882),0)</f>
        <v>0</v>
      </c>
      <c r="M879" s="708" t="s">
        <v>2226</v>
      </c>
      <c r="N879" s="223"/>
      <c r="O879" s="706">
        <f t="shared" si="87"/>
        <v>0</v>
      </c>
    </row>
    <row r="880" spans="1:15" s="360" customFormat="1" ht="15" hidden="1">
      <c r="A880" s="356" t="s">
        <v>2737</v>
      </c>
      <c r="B880" s="707" t="s">
        <v>1576</v>
      </c>
      <c r="C880" s="633">
        <f t="shared" si="85"/>
        <v>0</v>
      </c>
      <c r="D880" s="354"/>
      <c r="E880" s="15">
        <f t="shared" si="84"/>
        <v>195.17000000000002</v>
      </c>
      <c r="F880" s="917">
        <f t="shared" ref="F880:F943" si="90">ROUND(C880*E880,0)</f>
        <v>0</v>
      </c>
      <c r="G880" s="358">
        <f>WORK!I3494</f>
        <v>0</v>
      </c>
      <c r="H880" s="354" t="s">
        <v>115</v>
      </c>
      <c r="I880" s="355">
        <f>WORK!K3494</f>
        <v>195.17000000000002</v>
      </c>
      <c r="J880" s="353">
        <f t="shared" si="86"/>
        <v>0</v>
      </c>
      <c r="K880" s="1912"/>
      <c r="L880" s="1912"/>
      <c r="M880" s="708" t="s">
        <v>2308</v>
      </c>
      <c r="N880" s="223"/>
      <c r="O880" s="706">
        <f t="shared" si="87"/>
        <v>0</v>
      </c>
    </row>
    <row r="881" spans="1:15" s="360" customFormat="1" ht="15" hidden="1">
      <c r="A881" s="356" t="s">
        <v>2055</v>
      </c>
      <c r="B881" s="707" t="s">
        <v>1576</v>
      </c>
      <c r="C881" s="633">
        <f t="shared" si="85"/>
        <v>0</v>
      </c>
      <c r="D881" s="354"/>
      <c r="E881" s="15">
        <f t="shared" ref="E881:E915" si="91">I881</f>
        <v>208.13000000000002</v>
      </c>
      <c r="F881" s="917">
        <f t="shared" si="90"/>
        <v>0</v>
      </c>
      <c r="G881" s="358">
        <f>WORK!I3714</f>
        <v>0</v>
      </c>
      <c r="H881" s="354" t="s">
        <v>115</v>
      </c>
      <c r="I881" s="355">
        <f>WORK!K3714</f>
        <v>208.13000000000002</v>
      </c>
      <c r="J881" s="353">
        <f t="shared" si="86"/>
        <v>0</v>
      </c>
      <c r="K881" s="1912"/>
      <c r="L881" s="1912"/>
      <c r="M881" s="708" t="s">
        <v>2321</v>
      </c>
      <c r="N881" s="223"/>
      <c r="O881" s="706">
        <f t="shared" si="87"/>
        <v>0</v>
      </c>
    </row>
    <row r="882" spans="1:15" s="360" customFormat="1" ht="15" hidden="1">
      <c r="A882" s="356" t="s">
        <v>2055</v>
      </c>
      <c r="B882" s="707" t="s">
        <v>1576</v>
      </c>
      <c r="C882" s="633">
        <f t="shared" si="85"/>
        <v>0</v>
      </c>
      <c r="D882" s="354"/>
      <c r="E882" s="15">
        <f t="shared" si="91"/>
        <v>230.73000000000002</v>
      </c>
      <c r="F882" s="917">
        <f t="shared" si="90"/>
        <v>0</v>
      </c>
      <c r="G882" s="358">
        <f>WORK!I3937</f>
        <v>0</v>
      </c>
      <c r="H882" s="354" t="s">
        <v>115</v>
      </c>
      <c r="I882" s="355">
        <f>WORK!K3937</f>
        <v>230.73000000000002</v>
      </c>
      <c r="J882" s="353">
        <f t="shared" si="86"/>
        <v>0</v>
      </c>
      <c r="K882" s="1913"/>
      <c r="L882" s="1913"/>
      <c r="M882" s="708" t="s">
        <v>2322</v>
      </c>
      <c r="N882" s="223"/>
      <c r="O882" s="706">
        <f t="shared" si="87"/>
        <v>0</v>
      </c>
    </row>
    <row r="883" spans="1:15" s="360" customFormat="1" ht="51">
      <c r="A883" s="356" t="s">
        <v>503</v>
      </c>
      <c r="B883" s="707" t="s">
        <v>442</v>
      </c>
      <c r="C883" s="633">
        <f t="shared" si="85"/>
        <v>8</v>
      </c>
      <c r="D883" s="1115" t="s">
        <v>115</v>
      </c>
      <c r="E883" s="10">
        <f t="shared" si="91"/>
        <v>404.1</v>
      </c>
      <c r="F883" s="917">
        <f t="shared" si="90"/>
        <v>3233</v>
      </c>
      <c r="G883" s="358">
        <f>WORK!I3302</f>
        <v>8</v>
      </c>
      <c r="H883" s="354" t="s">
        <v>115</v>
      </c>
      <c r="I883" s="355">
        <f>WORK!K3302</f>
        <v>404.1</v>
      </c>
      <c r="J883" s="353">
        <f t="shared" si="86"/>
        <v>3232.8</v>
      </c>
      <c r="K883" s="1911">
        <f>IF((J883+J884+J885+J886)&gt;(F883+F884+F885+F886),(J883+J884+J885+J886)-(F883+F884+F885+F886),0)</f>
        <v>0</v>
      </c>
      <c r="L883" s="1911">
        <f>IF((J883+J884+J885+J886)&lt;(F883+F884+F885+F886),(F883+F884+F885+F886)-(J883+J884+J885+J886),0)</f>
        <v>0.1999999999998181</v>
      </c>
      <c r="M883" s="1139" t="s">
        <v>2226</v>
      </c>
      <c r="N883" s="223"/>
      <c r="O883" s="1138">
        <f t="shared" si="87"/>
        <v>0.1999999999998181</v>
      </c>
    </row>
    <row r="884" spans="1:15" s="360" customFormat="1" ht="15" hidden="1">
      <c r="A884" s="356" t="s">
        <v>2738</v>
      </c>
      <c r="B884" s="707" t="s">
        <v>564</v>
      </c>
      <c r="C884" s="633">
        <f t="shared" si="85"/>
        <v>0</v>
      </c>
      <c r="D884" s="354"/>
      <c r="E884" s="15">
        <f t="shared" si="91"/>
        <v>410.5</v>
      </c>
      <c r="F884" s="917">
        <f t="shared" si="90"/>
        <v>0</v>
      </c>
      <c r="G884" s="358">
        <f>WORK!I3521</f>
        <v>0</v>
      </c>
      <c r="H884" s="354" t="s">
        <v>115</v>
      </c>
      <c r="I884" s="355">
        <f>WORK!K3521</f>
        <v>410.5</v>
      </c>
      <c r="J884" s="353">
        <f t="shared" si="86"/>
        <v>0</v>
      </c>
      <c r="K884" s="1912"/>
      <c r="L884" s="1912"/>
      <c r="M884" s="708" t="s">
        <v>2308</v>
      </c>
      <c r="N884" s="223"/>
      <c r="O884" s="706">
        <f t="shared" si="87"/>
        <v>0</v>
      </c>
    </row>
    <row r="885" spans="1:15" s="360" customFormat="1" ht="15" hidden="1">
      <c r="A885" s="356" t="s">
        <v>519</v>
      </c>
      <c r="B885" s="707" t="s">
        <v>564</v>
      </c>
      <c r="C885" s="633">
        <f t="shared" si="85"/>
        <v>0</v>
      </c>
      <c r="D885" s="354" t="s">
        <v>115</v>
      </c>
      <c r="E885" s="15">
        <f t="shared" si="91"/>
        <v>395.93</v>
      </c>
      <c r="F885" s="917">
        <f t="shared" si="90"/>
        <v>0</v>
      </c>
      <c r="G885" s="358">
        <f>WORK!I3741</f>
        <v>0</v>
      </c>
      <c r="H885" s="354" t="s">
        <v>115</v>
      </c>
      <c r="I885" s="355">
        <f>WORK!K3741</f>
        <v>395.93</v>
      </c>
      <c r="J885" s="353">
        <f t="shared" si="86"/>
        <v>0</v>
      </c>
      <c r="K885" s="1912"/>
      <c r="L885" s="1912"/>
      <c r="M885" s="708" t="s">
        <v>2321</v>
      </c>
      <c r="N885" s="223"/>
      <c r="O885" s="706">
        <f t="shared" si="87"/>
        <v>0</v>
      </c>
    </row>
    <row r="886" spans="1:15" s="360" customFormat="1" ht="51" hidden="1">
      <c r="A886" s="356" t="s">
        <v>517</v>
      </c>
      <c r="B886" s="707" t="s">
        <v>442</v>
      </c>
      <c r="C886" s="633">
        <f t="shared" si="85"/>
        <v>0</v>
      </c>
      <c r="D886" s="354" t="s">
        <v>115</v>
      </c>
      <c r="E886" s="10">
        <f t="shared" si="91"/>
        <v>406.44</v>
      </c>
      <c r="F886" s="917">
        <f t="shared" si="90"/>
        <v>0</v>
      </c>
      <c r="G886" s="358">
        <f>WORK!I3985</f>
        <v>0</v>
      </c>
      <c r="H886" s="354" t="s">
        <v>115</v>
      </c>
      <c r="I886" s="355">
        <f>WORK!K3985</f>
        <v>406.44</v>
      </c>
      <c r="J886" s="353">
        <f t="shared" si="86"/>
        <v>0</v>
      </c>
      <c r="K886" s="1927"/>
      <c r="L886" s="1927"/>
      <c r="M886" s="1139" t="s">
        <v>2322</v>
      </c>
      <c r="N886" s="223"/>
      <c r="O886" s="1138">
        <f t="shared" si="87"/>
        <v>0</v>
      </c>
    </row>
    <row r="887" spans="1:15" s="360" customFormat="1" ht="15" hidden="1">
      <c r="A887" s="356" t="s">
        <v>2060</v>
      </c>
      <c r="B887" s="707" t="s">
        <v>2275</v>
      </c>
      <c r="C887" s="633">
        <f t="shared" si="85"/>
        <v>0</v>
      </c>
      <c r="D887" s="354"/>
      <c r="E887" s="15">
        <f t="shared" si="91"/>
        <v>1980</v>
      </c>
      <c r="F887" s="917">
        <f t="shared" si="90"/>
        <v>0</v>
      </c>
      <c r="G887" s="358">
        <f>WORK!I3307</f>
        <v>0</v>
      </c>
      <c r="H887" s="354" t="s">
        <v>115</v>
      </c>
      <c r="I887" s="355">
        <f>WORK!K3307</f>
        <v>1980</v>
      </c>
      <c r="J887" s="353">
        <f t="shared" si="86"/>
        <v>0</v>
      </c>
      <c r="K887" s="1911">
        <f>IF((J887+J888+J889+J890)&gt;(F887+F888+F889+F890),(J887+J888+J889+J890)-(F887+F888+F889+F890),0)</f>
        <v>0</v>
      </c>
      <c r="L887" s="1911">
        <f>IF((J887+J888+J889+J890)&lt;(F887+F888+F889+F890),(F887+F888+F889+F890)-(J887+J888+J889+J890),0)</f>
        <v>0</v>
      </c>
      <c r="M887" s="708" t="s">
        <v>2226</v>
      </c>
      <c r="N887" s="223"/>
      <c r="O887" s="706">
        <f t="shared" si="87"/>
        <v>0</v>
      </c>
    </row>
    <row r="888" spans="1:15" s="360" customFormat="1" ht="15" hidden="1">
      <c r="A888" s="356" t="s">
        <v>2060</v>
      </c>
      <c r="B888" s="707" t="s">
        <v>2275</v>
      </c>
      <c r="C888" s="633">
        <f t="shared" si="85"/>
        <v>0</v>
      </c>
      <c r="D888" s="354"/>
      <c r="E888" s="15">
        <f t="shared" si="91"/>
        <v>1980</v>
      </c>
      <c r="F888" s="917">
        <f t="shared" si="90"/>
        <v>0</v>
      </c>
      <c r="G888" s="358">
        <f>WORK!I3526</f>
        <v>0</v>
      </c>
      <c r="H888" s="354" t="s">
        <v>115</v>
      </c>
      <c r="I888" s="355">
        <f>WORK!K3526</f>
        <v>1980</v>
      </c>
      <c r="J888" s="353">
        <f t="shared" si="86"/>
        <v>0</v>
      </c>
      <c r="K888" s="1912"/>
      <c r="L888" s="1912"/>
      <c r="M888" s="708" t="s">
        <v>2308</v>
      </c>
      <c r="N888" s="223"/>
      <c r="O888" s="706">
        <f t="shared" si="87"/>
        <v>0</v>
      </c>
    </row>
    <row r="889" spans="1:15" s="360" customFormat="1" ht="15" hidden="1">
      <c r="A889" s="356" t="s">
        <v>2060</v>
      </c>
      <c r="B889" s="707" t="s">
        <v>2275</v>
      </c>
      <c r="C889" s="633">
        <f t="shared" si="85"/>
        <v>0</v>
      </c>
      <c r="D889" s="354"/>
      <c r="E889" s="15">
        <f t="shared" si="91"/>
        <v>1822</v>
      </c>
      <c r="F889" s="917">
        <f t="shared" si="90"/>
        <v>0</v>
      </c>
      <c r="G889" s="358">
        <f>WORK!I3746</f>
        <v>0</v>
      </c>
      <c r="H889" s="354" t="s">
        <v>115</v>
      </c>
      <c r="I889" s="355">
        <f>WORK!K3746</f>
        <v>1822</v>
      </c>
      <c r="J889" s="353">
        <f t="shared" si="86"/>
        <v>0</v>
      </c>
      <c r="K889" s="1912"/>
      <c r="L889" s="1912"/>
      <c r="M889" s="708" t="s">
        <v>2321</v>
      </c>
      <c r="N889" s="223"/>
      <c r="O889" s="706">
        <f t="shared" si="87"/>
        <v>0</v>
      </c>
    </row>
    <row r="890" spans="1:15" s="360" customFormat="1" ht="15" hidden="1">
      <c r="A890" s="356" t="s">
        <v>2060</v>
      </c>
      <c r="B890" s="707" t="s">
        <v>2275</v>
      </c>
      <c r="C890" s="633">
        <f t="shared" si="85"/>
        <v>0</v>
      </c>
      <c r="D890" s="354"/>
      <c r="E890" s="15">
        <f t="shared" si="91"/>
        <v>1822</v>
      </c>
      <c r="F890" s="917">
        <f t="shared" si="90"/>
        <v>0</v>
      </c>
      <c r="G890" s="358">
        <f>WORK!I3990</f>
        <v>0</v>
      </c>
      <c r="H890" s="354" t="s">
        <v>115</v>
      </c>
      <c r="I890" s="355">
        <f>WORK!K3990</f>
        <v>1822</v>
      </c>
      <c r="J890" s="353">
        <f t="shared" si="86"/>
        <v>0</v>
      </c>
      <c r="K890" s="1913"/>
      <c r="L890" s="1913"/>
      <c r="M890" s="708" t="s">
        <v>2322</v>
      </c>
      <c r="N890" s="223"/>
      <c r="O890" s="706">
        <f t="shared" si="87"/>
        <v>0</v>
      </c>
    </row>
    <row r="891" spans="1:15" s="360" customFormat="1" ht="15" hidden="1">
      <c r="A891" s="356" t="s">
        <v>2060</v>
      </c>
      <c r="B891" s="707" t="s">
        <v>2276</v>
      </c>
      <c r="C891" s="633">
        <f t="shared" si="85"/>
        <v>0</v>
      </c>
      <c r="D891" s="354"/>
      <c r="E891" s="15">
        <f t="shared" si="91"/>
        <v>5900</v>
      </c>
      <c r="F891" s="917">
        <f t="shared" si="90"/>
        <v>0</v>
      </c>
      <c r="G891" s="358">
        <f>WORK!I3312</f>
        <v>0</v>
      </c>
      <c r="H891" s="354" t="s">
        <v>115</v>
      </c>
      <c r="I891" s="355">
        <f>WORK!K3312</f>
        <v>5900</v>
      </c>
      <c r="J891" s="353">
        <f t="shared" si="86"/>
        <v>0</v>
      </c>
      <c r="K891" s="1911">
        <f>IF((J891+J892+J893+J894)&gt;(F891+F892+F893+F894),(J891+J892+J893+J894)-(F891+F892+F893+F894),0)</f>
        <v>0</v>
      </c>
      <c r="L891" s="1911">
        <f>IF((J891+J892+J893+J894)&lt;(F891+F892+F893+F894),(F891+F892+F893+F894)-(J891+J892+J893+J894),0)</f>
        <v>0</v>
      </c>
      <c r="M891" s="708" t="s">
        <v>2226</v>
      </c>
      <c r="N891" s="223"/>
      <c r="O891" s="706">
        <f t="shared" si="87"/>
        <v>0</v>
      </c>
    </row>
    <row r="892" spans="1:15" s="360" customFormat="1" ht="15" hidden="1">
      <c r="A892" s="356" t="s">
        <v>2060</v>
      </c>
      <c r="B892" s="707" t="s">
        <v>2276</v>
      </c>
      <c r="C892" s="633">
        <f t="shared" si="85"/>
        <v>0</v>
      </c>
      <c r="D892" s="354"/>
      <c r="E892" s="15">
        <f t="shared" si="91"/>
        <v>5900</v>
      </c>
      <c r="F892" s="917">
        <f t="shared" si="90"/>
        <v>0</v>
      </c>
      <c r="G892" s="358">
        <f>WORK!I3531</f>
        <v>0</v>
      </c>
      <c r="H892" s="354" t="s">
        <v>115</v>
      </c>
      <c r="I892" s="355">
        <f>WORK!K3531</f>
        <v>5900</v>
      </c>
      <c r="J892" s="353">
        <f t="shared" si="86"/>
        <v>0</v>
      </c>
      <c r="K892" s="1912"/>
      <c r="L892" s="1912"/>
      <c r="M892" s="708" t="s">
        <v>2308</v>
      </c>
      <c r="N892" s="223"/>
      <c r="O892" s="706">
        <f t="shared" si="87"/>
        <v>0</v>
      </c>
    </row>
    <row r="893" spans="1:15" s="360" customFormat="1" ht="15" hidden="1">
      <c r="A893" s="356" t="s">
        <v>2060</v>
      </c>
      <c r="B893" s="707" t="s">
        <v>2276</v>
      </c>
      <c r="C893" s="633">
        <f t="shared" si="85"/>
        <v>0</v>
      </c>
      <c r="D893" s="354"/>
      <c r="E893" s="15">
        <f t="shared" si="91"/>
        <v>5428</v>
      </c>
      <c r="F893" s="917">
        <f t="shared" si="90"/>
        <v>0</v>
      </c>
      <c r="G893" s="358">
        <f>WORK!I3751</f>
        <v>0</v>
      </c>
      <c r="H893" s="354" t="s">
        <v>115</v>
      </c>
      <c r="I893" s="355">
        <f>WORK!K3751</f>
        <v>5428</v>
      </c>
      <c r="J893" s="353">
        <f t="shared" si="86"/>
        <v>0</v>
      </c>
      <c r="K893" s="1912"/>
      <c r="L893" s="1912"/>
      <c r="M893" s="708" t="s">
        <v>2321</v>
      </c>
      <c r="N893" s="223"/>
      <c r="O893" s="706">
        <f t="shared" si="87"/>
        <v>0</v>
      </c>
    </row>
    <row r="894" spans="1:15" s="360" customFormat="1" ht="15" hidden="1">
      <c r="A894" s="356" t="s">
        <v>2060</v>
      </c>
      <c r="B894" s="707" t="s">
        <v>2276</v>
      </c>
      <c r="C894" s="633">
        <f t="shared" si="85"/>
        <v>0</v>
      </c>
      <c r="D894" s="354"/>
      <c r="E894" s="15">
        <f t="shared" si="91"/>
        <v>5428</v>
      </c>
      <c r="F894" s="917">
        <f t="shared" si="90"/>
        <v>0</v>
      </c>
      <c r="G894" s="358">
        <f>WORK!I3995</f>
        <v>0</v>
      </c>
      <c r="H894" s="354" t="s">
        <v>115</v>
      </c>
      <c r="I894" s="355">
        <f>WORK!K3995</f>
        <v>5428</v>
      </c>
      <c r="J894" s="353">
        <f t="shared" si="86"/>
        <v>0</v>
      </c>
      <c r="K894" s="1913"/>
      <c r="L894" s="1913"/>
      <c r="M894" s="708" t="s">
        <v>2322</v>
      </c>
      <c r="N894" s="223"/>
      <c r="O894" s="706">
        <f t="shared" si="87"/>
        <v>0</v>
      </c>
    </row>
    <row r="895" spans="1:15" s="360" customFormat="1" ht="15">
      <c r="A895" s="356" t="s">
        <v>504</v>
      </c>
      <c r="B895" s="707" t="s">
        <v>715</v>
      </c>
      <c r="C895" s="633">
        <f t="shared" si="85"/>
        <v>1</v>
      </c>
      <c r="D895" s="354" t="s">
        <v>115</v>
      </c>
      <c r="E895" s="10">
        <f t="shared" si="91"/>
        <v>2936</v>
      </c>
      <c r="F895" s="917">
        <f t="shared" si="90"/>
        <v>2936</v>
      </c>
      <c r="G895" s="358">
        <f>WORK!I3322</f>
        <v>1</v>
      </c>
      <c r="H895" s="354" t="s">
        <v>115</v>
      </c>
      <c r="I895" s="355">
        <f>WORK!K3322</f>
        <v>2936</v>
      </c>
      <c r="J895" s="353">
        <f t="shared" si="86"/>
        <v>2936</v>
      </c>
      <c r="K895" s="1911">
        <f>IF((J895+J896+J897+J898)&gt;(F895+F896+F897+F898),(J895+J896+J897+J898)-(F895+F896+F897+F898),0)</f>
        <v>0</v>
      </c>
      <c r="L895" s="1911">
        <f>IF((J895+J896+J897+J898)&lt;(F895+F896+F897+F898),(F895+F896+F897+F898)-(J895+J896+J897+J898),0)</f>
        <v>0</v>
      </c>
      <c r="M895" s="1139" t="s">
        <v>2226</v>
      </c>
      <c r="N895" s="223"/>
      <c r="O895" s="1138">
        <f t="shared" si="87"/>
        <v>0</v>
      </c>
    </row>
    <row r="896" spans="1:15" s="360" customFormat="1" ht="15" hidden="1">
      <c r="A896" s="356" t="s">
        <v>2739</v>
      </c>
      <c r="B896" s="707" t="s">
        <v>715</v>
      </c>
      <c r="C896" s="633">
        <f t="shared" si="85"/>
        <v>0</v>
      </c>
      <c r="D896" s="354"/>
      <c r="E896" s="15">
        <f t="shared" si="91"/>
        <v>2995</v>
      </c>
      <c r="F896" s="917">
        <f t="shared" si="90"/>
        <v>0</v>
      </c>
      <c r="G896" s="358">
        <f>WORK!I3541</f>
        <v>0</v>
      </c>
      <c r="H896" s="354" t="s">
        <v>115</v>
      </c>
      <c r="I896" s="355">
        <f>WORK!K3541</f>
        <v>2995</v>
      </c>
      <c r="J896" s="353">
        <f t="shared" si="86"/>
        <v>0</v>
      </c>
      <c r="K896" s="1912"/>
      <c r="L896" s="1912"/>
      <c r="M896" s="708" t="s">
        <v>2308</v>
      </c>
      <c r="N896" s="223"/>
      <c r="O896" s="706">
        <f t="shared" si="87"/>
        <v>0</v>
      </c>
    </row>
    <row r="897" spans="1:15" s="360" customFormat="1" ht="15" hidden="1">
      <c r="A897" s="356" t="s">
        <v>520</v>
      </c>
      <c r="B897" s="707" t="s">
        <v>715</v>
      </c>
      <c r="C897" s="633">
        <f t="shared" si="85"/>
        <v>0</v>
      </c>
      <c r="D897" s="354" t="s">
        <v>115</v>
      </c>
      <c r="E897" s="15">
        <f t="shared" si="91"/>
        <v>3255</v>
      </c>
      <c r="F897" s="917">
        <f t="shared" si="90"/>
        <v>0</v>
      </c>
      <c r="G897" s="358">
        <f>WORK!I3761</f>
        <v>0</v>
      </c>
      <c r="H897" s="354" t="s">
        <v>115</v>
      </c>
      <c r="I897" s="355">
        <f>WORK!K3761</f>
        <v>3255</v>
      </c>
      <c r="J897" s="353">
        <f t="shared" si="86"/>
        <v>0</v>
      </c>
      <c r="K897" s="1912"/>
      <c r="L897" s="1912"/>
      <c r="M897" s="708" t="s">
        <v>2321</v>
      </c>
      <c r="N897" s="223"/>
      <c r="O897" s="706">
        <f t="shared" si="87"/>
        <v>0</v>
      </c>
    </row>
    <row r="898" spans="1:15" s="360" customFormat="1" ht="38.25" hidden="1">
      <c r="A898" s="356" t="s">
        <v>518</v>
      </c>
      <c r="B898" s="707" t="s">
        <v>3328</v>
      </c>
      <c r="C898" s="633">
        <f t="shared" si="85"/>
        <v>0</v>
      </c>
      <c r="D898" s="354" t="s">
        <v>115</v>
      </c>
      <c r="E898" s="10">
        <f t="shared" si="91"/>
        <v>3662</v>
      </c>
      <c r="F898" s="917">
        <f t="shared" si="90"/>
        <v>0</v>
      </c>
      <c r="G898" s="358">
        <f>WORK!I4005</f>
        <v>0</v>
      </c>
      <c r="H898" s="354" t="s">
        <v>115</v>
      </c>
      <c r="I898" s="355">
        <f>WORK!K4005</f>
        <v>3662</v>
      </c>
      <c r="J898" s="353">
        <f t="shared" si="86"/>
        <v>0</v>
      </c>
      <c r="K898" s="1927"/>
      <c r="L898" s="1927"/>
      <c r="M898" s="1139" t="s">
        <v>2322</v>
      </c>
      <c r="N898" s="223"/>
      <c r="O898" s="1138">
        <f t="shared" si="87"/>
        <v>0</v>
      </c>
    </row>
    <row r="899" spans="1:15" s="360" customFormat="1" ht="25.5" hidden="1">
      <c r="A899" s="356" t="s">
        <v>2709</v>
      </c>
      <c r="B899" s="707" t="s">
        <v>794</v>
      </c>
      <c r="C899" s="633">
        <f t="shared" si="85"/>
        <v>0</v>
      </c>
      <c r="D899" s="1115" t="s">
        <v>115</v>
      </c>
      <c r="E899" s="15">
        <f t="shared" si="91"/>
        <v>1290</v>
      </c>
      <c r="F899" s="917">
        <f t="shared" si="90"/>
        <v>0</v>
      </c>
      <c r="G899" s="358">
        <f>WORK!I3317</f>
        <v>0</v>
      </c>
      <c r="H899" s="354" t="s">
        <v>115</v>
      </c>
      <c r="I899" s="355">
        <f>WORK!K3317</f>
        <v>1290</v>
      </c>
      <c r="J899" s="353">
        <f t="shared" si="86"/>
        <v>0</v>
      </c>
      <c r="K899" s="1911">
        <f>IF((J899+J900+J901+J902)&gt;(F899+F900+F901+F902),(J899+J900+J901+J902)-(F899+F900+F901+F902),0)</f>
        <v>0</v>
      </c>
      <c r="L899" s="1911">
        <f>IF((J899+J900+J901+J902)&lt;(F899+F900+F901+F902),(F899+F900+F901+F902)-(J899+J900+J901+J902),0)</f>
        <v>0</v>
      </c>
      <c r="M899" s="708" t="s">
        <v>2226</v>
      </c>
      <c r="N899" s="223"/>
      <c r="O899" s="706">
        <f t="shared" si="87"/>
        <v>0</v>
      </c>
    </row>
    <row r="900" spans="1:15" s="360" customFormat="1" ht="15" hidden="1">
      <c r="A900" s="356" t="s">
        <v>1577</v>
      </c>
      <c r="B900" s="707" t="s">
        <v>797</v>
      </c>
      <c r="C900" s="633">
        <f t="shared" si="85"/>
        <v>0</v>
      </c>
      <c r="D900" s="354"/>
      <c r="E900" s="15">
        <f t="shared" si="91"/>
        <v>1290</v>
      </c>
      <c r="F900" s="917">
        <f t="shared" si="90"/>
        <v>0</v>
      </c>
      <c r="G900" s="358">
        <f>WORK!I3536</f>
        <v>0</v>
      </c>
      <c r="H900" s="354" t="s">
        <v>115</v>
      </c>
      <c r="I900" s="355">
        <f>WORK!K3536</f>
        <v>1290</v>
      </c>
      <c r="J900" s="353">
        <f t="shared" si="86"/>
        <v>0</v>
      </c>
      <c r="K900" s="1912"/>
      <c r="L900" s="1912"/>
      <c r="M900" s="708" t="s">
        <v>2308</v>
      </c>
      <c r="N900" s="223"/>
      <c r="O900" s="706">
        <f t="shared" si="87"/>
        <v>0</v>
      </c>
    </row>
    <row r="901" spans="1:15" s="360" customFormat="1" ht="15" hidden="1">
      <c r="A901" s="356" t="s">
        <v>1577</v>
      </c>
      <c r="B901" s="707" t="s">
        <v>797</v>
      </c>
      <c r="C901" s="633">
        <f t="shared" si="85"/>
        <v>0</v>
      </c>
      <c r="D901" s="354"/>
      <c r="E901" s="15">
        <f t="shared" si="91"/>
        <v>1484</v>
      </c>
      <c r="F901" s="917">
        <f t="shared" si="90"/>
        <v>0</v>
      </c>
      <c r="G901" s="358">
        <f>WORK!I3756</f>
        <v>0</v>
      </c>
      <c r="H901" s="354" t="s">
        <v>115</v>
      </c>
      <c r="I901" s="355">
        <f>WORK!K3756</f>
        <v>1484</v>
      </c>
      <c r="J901" s="353">
        <f t="shared" si="86"/>
        <v>0</v>
      </c>
      <c r="K901" s="1912"/>
      <c r="L901" s="1912"/>
      <c r="M901" s="708" t="s">
        <v>2321</v>
      </c>
      <c r="N901" s="223"/>
      <c r="O901" s="706">
        <f t="shared" si="87"/>
        <v>0</v>
      </c>
    </row>
    <row r="902" spans="1:15" s="360" customFormat="1" ht="15" hidden="1">
      <c r="A902" s="356" t="s">
        <v>1577</v>
      </c>
      <c r="B902" s="707" t="s">
        <v>797</v>
      </c>
      <c r="C902" s="633">
        <f t="shared" si="85"/>
        <v>0</v>
      </c>
      <c r="D902" s="354"/>
      <c r="E902" s="15">
        <f t="shared" si="91"/>
        <v>1634</v>
      </c>
      <c r="F902" s="917">
        <f t="shared" si="90"/>
        <v>0</v>
      </c>
      <c r="G902" s="358">
        <f>WORK!I4000</f>
        <v>0</v>
      </c>
      <c r="H902" s="354" t="s">
        <v>115</v>
      </c>
      <c r="I902" s="355">
        <f>WORK!K4000</f>
        <v>1634</v>
      </c>
      <c r="J902" s="353">
        <f t="shared" si="86"/>
        <v>0</v>
      </c>
      <c r="K902" s="1913"/>
      <c r="L902" s="1913"/>
      <c r="M902" s="708" t="s">
        <v>2322</v>
      </c>
      <c r="N902" s="223"/>
      <c r="O902" s="706">
        <f t="shared" si="87"/>
        <v>0</v>
      </c>
    </row>
    <row r="903" spans="1:15" s="360" customFormat="1" ht="15" customHeight="1">
      <c r="A903" s="356" t="s">
        <v>506</v>
      </c>
      <c r="B903" s="707" t="s">
        <v>2464</v>
      </c>
      <c r="C903" s="633">
        <f t="shared" si="85"/>
        <v>1</v>
      </c>
      <c r="D903" s="354" t="s">
        <v>115</v>
      </c>
      <c r="E903" s="10">
        <f t="shared" si="91"/>
        <v>886.80000000000007</v>
      </c>
      <c r="F903" s="917">
        <f t="shared" si="90"/>
        <v>887</v>
      </c>
      <c r="G903" s="358">
        <f>WORK!I3327</f>
        <v>1</v>
      </c>
      <c r="H903" s="354" t="s">
        <v>115</v>
      </c>
      <c r="I903" s="355">
        <f>WORK!K3327</f>
        <v>886.80000000000007</v>
      </c>
      <c r="J903" s="353">
        <f t="shared" si="86"/>
        <v>886.8</v>
      </c>
      <c r="K903" s="1911">
        <f>IF((J903+J904+J905+J906)&gt;(F903+F904+F905+F906),(J903+J904+J905+J906)-(F903+F904+F905+F906),0)</f>
        <v>0</v>
      </c>
      <c r="L903" s="1930">
        <f>IF((J903+J904+J905+J906)&lt;(F903+F904+F905+F906),(F903+F904+F905+F906)-(J903+J904+J905+J906),0)</f>
        <v>0.20000000000004547</v>
      </c>
      <c r="M903" s="1139" t="s">
        <v>2226</v>
      </c>
      <c r="N903" s="223"/>
      <c r="O903" s="1138">
        <f t="shared" si="87"/>
        <v>0.20000000000004547</v>
      </c>
    </row>
    <row r="904" spans="1:15" s="360" customFormat="1" ht="15" hidden="1" customHeight="1">
      <c r="A904" s="356" t="s">
        <v>2798</v>
      </c>
      <c r="B904" s="707" t="s">
        <v>2464</v>
      </c>
      <c r="C904" s="633">
        <f t="shared" si="85"/>
        <v>0</v>
      </c>
      <c r="D904" s="354"/>
      <c r="E904" s="15">
        <f t="shared" si="91"/>
        <v>905</v>
      </c>
      <c r="F904" s="917">
        <f t="shared" si="90"/>
        <v>0</v>
      </c>
      <c r="G904" s="358">
        <f>WORK!I3546</f>
        <v>0</v>
      </c>
      <c r="H904" s="354" t="s">
        <v>115</v>
      </c>
      <c r="I904" s="355">
        <f>WORK!K3546</f>
        <v>905</v>
      </c>
      <c r="J904" s="353">
        <f t="shared" si="86"/>
        <v>0</v>
      </c>
      <c r="K904" s="1912"/>
      <c r="L904" s="1931"/>
      <c r="M904" s="708" t="s">
        <v>2308</v>
      </c>
      <c r="N904" s="223"/>
      <c r="O904" s="706">
        <f t="shared" si="87"/>
        <v>0</v>
      </c>
    </row>
    <row r="905" spans="1:15" s="360" customFormat="1" ht="15" hidden="1" customHeight="1">
      <c r="A905" s="356" t="s">
        <v>521</v>
      </c>
      <c r="B905" s="707" t="s">
        <v>2464</v>
      </c>
      <c r="C905" s="633">
        <f t="shared" si="85"/>
        <v>0</v>
      </c>
      <c r="D905" s="354" t="s">
        <v>115</v>
      </c>
      <c r="E905" s="15">
        <f t="shared" si="91"/>
        <v>1005.6</v>
      </c>
      <c r="F905" s="917">
        <f t="shared" si="90"/>
        <v>0</v>
      </c>
      <c r="G905" s="358">
        <f>WORK!I3766</f>
        <v>0</v>
      </c>
      <c r="H905" s="354" t="s">
        <v>115</v>
      </c>
      <c r="I905" s="355">
        <f>WORK!K3766</f>
        <v>1005.6</v>
      </c>
      <c r="J905" s="353">
        <f t="shared" si="86"/>
        <v>0</v>
      </c>
      <c r="K905" s="1912"/>
      <c r="L905" s="1931"/>
      <c r="M905" s="708" t="s">
        <v>2321</v>
      </c>
      <c r="N905" s="223"/>
      <c r="O905" s="706">
        <f t="shared" si="87"/>
        <v>0</v>
      </c>
    </row>
    <row r="906" spans="1:15" s="360" customFormat="1" ht="63.75" hidden="1">
      <c r="A906" s="356" t="s">
        <v>519</v>
      </c>
      <c r="B906" s="707" t="s">
        <v>941</v>
      </c>
      <c r="C906" s="633">
        <f t="shared" ref="C906:C969" si="92">G906</f>
        <v>0</v>
      </c>
      <c r="D906" s="354" t="s">
        <v>115</v>
      </c>
      <c r="E906" s="10">
        <f t="shared" si="91"/>
        <v>1089.96</v>
      </c>
      <c r="F906" s="917">
        <f t="shared" si="90"/>
        <v>0</v>
      </c>
      <c r="G906" s="358">
        <f>WORK!I4010</f>
        <v>0</v>
      </c>
      <c r="H906" s="354" t="s">
        <v>115</v>
      </c>
      <c r="I906" s="355">
        <f>WORK!K4010</f>
        <v>1089.96</v>
      </c>
      <c r="J906" s="353">
        <f t="shared" ref="J906:J969" si="93">ROUND(G906*I906,2)</f>
        <v>0</v>
      </c>
      <c r="K906" s="1927"/>
      <c r="L906" s="1927"/>
      <c r="M906" s="1139" t="s">
        <v>2322</v>
      </c>
      <c r="N906" s="223"/>
      <c r="O906" s="1138">
        <f t="shared" si="87"/>
        <v>0</v>
      </c>
    </row>
    <row r="907" spans="1:15" s="360" customFormat="1" ht="38.25" hidden="1">
      <c r="A907" s="356" t="s">
        <v>2710</v>
      </c>
      <c r="B907" s="707" t="s">
        <v>3329</v>
      </c>
      <c r="C907" s="633">
        <f t="shared" si="92"/>
        <v>0</v>
      </c>
      <c r="D907" s="1115" t="s">
        <v>115</v>
      </c>
      <c r="E907" s="15">
        <f t="shared" si="91"/>
        <v>3404.82</v>
      </c>
      <c r="F907" s="917">
        <f t="shared" si="90"/>
        <v>0</v>
      </c>
      <c r="G907" s="358">
        <f>WORK!I3332</f>
        <v>0</v>
      </c>
      <c r="H907" s="354" t="s">
        <v>115</v>
      </c>
      <c r="I907" s="355">
        <f>WORK!K3332</f>
        <v>3404.82</v>
      </c>
      <c r="J907" s="353">
        <f t="shared" si="93"/>
        <v>0</v>
      </c>
      <c r="K907" s="1911">
        <f>IF((J907+J908+J909+J910)&gt;(F907+F908+F909+F910),(J907+J908+J909+J910)-(F907+F908+F909+F910),0)</f>
        <v>0</v>
      </c>
      <c r="L907" s="1911">
        <f>IF((J907+J908+J909+J910)&lt;(F907+F908+F909+F910),(F907+F908+F909+F910)-(J907+J908+J909+J910),0)</f>
        <v>0</v>
      </c>
      <c r="M907" s="708" t="s">
        <v>2226</v>
      </c>
      <c r="N907" s="223"/>
      <c r="O907" s="706">
        <f t="shared" si="87"/>
        <v>0</v>
      </c>
    </row>
    <row r="908" spans="1:15" s="360" customFormat="1" ht="15" hidden="1">
      <c r="A908" s="356" t="s">
        <v>2799</v>
      </c>
      <c r="B908" s="707" t="s">
        <v>565</v>
      </c>
      <c r="C908" s="633">
        <f t="shared" si="92"/>
        <v>0</v>
      </c>
      <c r="D908" s="354"/>
      <c r="E908" s="15">
        <f t="shared" si="91"/>
        <v>3432.82</v>
      </c>
      <c r="F908" s="917">
        <f t="shared" si="90"/>
        <v>0</v>
      </c>
      <c r="G908" s="358">
        <f>WORK!I3551</f>
        <v>0</v>
      </c>
      <c r="H908" s="354" t="s">
        <v>115</v>
      </c>
      <c r="I908" s="355">
        <f>WORK!K3551</f>
        <v>3432.82</v>
      </c>
      <c r="J908" s="353">
        <f t="shared" si="93"/>
        <v>0</v>
      </c>
      <c r="K908" s="1912"/>
      <c r="L908" s="1912"/>
      <c r="M908" s="708" t="s">
        <v>2308</v>
      </c>
      <c r="N908" s="223"/>
      <c r="O908" s="706">
        <f t="shared" si="87"/>
        <v>0</v>
      </c>
    </row>
    <row r="909" spans="1:15" s="360" customFormat="1" ht="15" hidden="1">
      <c r="A909" s="356" t="s">
        <v>522</v>
      </c>
      <c r="B909" s="707" t="s">
        <v>565</v>
      </c>
      <c r="C909" s="633">
        <f t="shared" si="92"/>
        <v>0</v>
      </c>
      <c r="D909" s="354" t="s">
        <v>115</v>
      </c>
      <c r="E909" s="15">
        <f t="shared" si="91"/>
        <v>3771.9349999999999</v>
      </c>
      <c r="F909" s="917">
        <f t="shared" si="90"/>
        <v>0</v>
      </c>
      <c r="G909" s="358">
        <f>WORK!I3771</f>
        <v>0</v>
      </c>
      <c r="H909" s="354" t="s">
        <v>115</v>
      </c>
      <c r="I909" s="355">
        <f>WORK!K3771</f>
        <v>3771.9349999999999</v>
      </c>
      <c r="J909" s="353">
        <f t="shared" si="93"/>
        <v>0</v>
      </c>
      <c r="K909" s="1912"/>
      <c r="L909" s="1912"/>
      <c r="M909" s="708" t="s">
        <v>2321</v>
      </c>
      <c r="N909" s="223"/>
      <c r="O909" s="706">
        <f t="shared" si="87"/>
        <v>0</v>
      </c>
    </row>
    <row r="910" spans="1:15" s="360" customFormat="1" ht="38.25" hidden="1">
      <c r="A910" s="356" t="s">
        <v>501</v>
      </c>
      <c r="B910" s="707" t="s">
        <v>3329</v>
      </c>
      <c r="C910" s="633">
        <f t="shared" si="92"/>
        <v>0</v>
      </c>
      <c r="D910" s="354" t="s">
        <v>115</v>
      </c>
      <c r="E910" s="10">
        <f t="shared" si="91"/>
        <v>4142.4250000000002</v>
      </c>
      <c r="F910" s="917">
        <f t="shared" si="90"/>
        <v>0</v>
      </c>
      <c r="G910" s="358">
        <f>WORK!I4014</f>
        <v>0</v>
      </c>
      <c r="H910" s="354" t="s">
        <v>115</v>
      </c>
      <c r="I910" s="355">
        <f>WORK!K4014</f>
        <v>4142.4250000000002</v>
      </c>
      <c r="J910" s="353">
        <f t="shared" si="93"/>
        <v>0</v>
      </c>
      <c r="K910" s="1927"/>
      <c r="L910" s="1927"/>
      <c r="M910" s="1139" t="s">
        <v>2322</v>
      </c>
      <c r="N910" s="223"/>
      <c r="O910" s="1138">
        <f t="shared" si="87"/>
        <v>0</v>
      </c>
    </row>
    <row r="911" spans="1:15" s="360" customFormat="1" ht="15" hidden="1">
      <c r="A911" s="356" t="s">
        <v>2711</v>
      </c>
      <c r="B911" s="357" t="s">
        <v>2458</v>
      </c>
      <c r="C911" s="633">
        <f t="shared" si="92"/>
        <v>0</v>
      </c>
      <c r="D911" s="1115" t="s">
        <v>115</v>
      </c>
      <c r="E911" s="15">
        <f t="shared" si="91"/>
        <v>0</v>
      </c>
      <c r="F911" s="917">
        <f t="shared" si="90"/>
        <v>0</v>
      </c>
      <c r="G911" s="358"/>
      <c r="H911" s="354"/>
      <c r="I911" s="355"/>
      <c r="J911" s="353">
        <f t="shared" si="93"/>
        <v>0</v>
      </c>
      <c r="K911" s="743">
        <f t="shared" ref="K911:K916" si="94">IF(J911&gt;F911,J911-F911,0)</f>
        <v>0</v>
      </c>
      <c r="L911" s="368">
        <f t="shared" ref="L911:L916" si="95">IF(J911&lt;F911,F911-J911,0)</f>
        <v>0</v>
      </c>
      <c r="M911" s="708" t="s">
        <v>2226</v>
      </c>
      <c r="N911" s="223"/>
      <c r="O911" s="706">
        <f t="shared" si="87"/>
        <v>0</v>
      </c>
    </row>
    <row r="912" spans="1:15" s="360" customFormat="1" ht="15" hidden="1">
      <c r="A912" s="356" t="s">
        <v>2712</v>
      </c>
      <c r="B912" s="357" t="s">
        <v>2584</v>
      </c>
      <c r="C912" s="633">
        <f t="shared" si="92"/>
        <v>0</v>
      </c>
      <c r="D912" s="1115" t="s">
        <v>115</v>
      </c>
      <c r="E912" s="15">
        <f t="shared" si="91"/>
        <v>0</v>
      </c>
      <c r="F912" s="917">
        <f t="shared" si="90"/>
        <v>0</v>
      </c>
      <c r="G912" s="358"/>
      <c r="H912" s="354"/>
      <c r="I912" s="355"/>
      <c r="J912" s="353">
        <f t="shared" si="93"/>
        <v>0</v>
      </c>
      <c r="K912" s="743">
        <f t="shared" si="94"/>
        <v>0</v>
      </c>
      <c r="L912" s="368">
        <f t="shared" si="95"/>
        <v>0</v>
      </c>
      <c r="M912" s="708" t="s">
        <v>2226</v>
      </c>
      <c r="N912" s="223"/>
      <c r="O912" s="706">
        <f t="shared" si="87"/>
        <v>0</v>
      </c>
    </row>
    <row r="913" spans="1:15" s="360" customFormat="1" ht="15" hidden="1">
      <c r="A913" s="356" t="s">
        <v>1159</v>
      </c>
      <c r="B913" s="357" t="s">
        <v>2459</v>
      </c>
      <c r="C913" s="633">
        <f t="shared" si="92"/>
        <v>0</v>
      </c>
      <c r="D913" s="1115" t="s">
        <v>115</v>
      </c>
      <c r="E913" s="15">
        <f t="shared" si="91"/>
        <v>0</v>
      </c>
      <c r="F913" s="917">
        <f t="shared" si="90"/>
        <v>0</v>
      </c>
      <c r="G913" s="358"/>
      <c r="H913" s="354"/>
      <c r="I913" s="355"/>
      <c r="J913" s="353">
        <f t="shared" si="93"/>
        <v>0</v>
      </c>
      <c r="K913" s="743">
        <f t="shared" si="94"/>
        <v>0</v>
      </c>
      <c r="L913" s="368">
        <f t="shared" si="95"/>
        <v>0</v>
      </c>
      <c r="M913" s="708" t="s">
        <v>2226</v>
      </c>
      <c r="N913" s="223"/>
      <c r="O913" s="706">
        <f t="shared" si="87"/>
        <v>0</v>
      </c>
    </row>
    <row r="914" spans="1:15" s="360" customFormat="1" ht="15" hidden="1">
      <c r="A914" s="356" t="s">
        <v>2713</v>
      </c>
      <c r="B914" s="357" t="s">
        <v>2460</v>
      </c>
      <c r="C914" s="633">
        <f t="shared" si="92"/>
        <v>0</v>
      </c>
      <c r="D914" s="1115" t="s">
        <v>115</v>
      </c>
      <c r="E914" s="15">
        <f t="shared" si="91"/>
        <v>0</v>
      </c>
      <c r="F914" s="917">
        <f t="shared" si="90"/>
        <v>0</v>
      </c>
      <c r="G914" s="358"/>
      <c r="H914" s="354"/>
      <c r="I914" s="355"/>
      <c r="J914" s="353">
        <f t="shared" si="93"/>
        <v>0</v>
      </c>
      <c r="K914" s="743">
        <f t="shared" si="94"/>
        <v>0</v>
      </c>
      <c r="L914" s="368">
        <f t="shared" si="95"/>
        <v>0</v>
      </c>
      <c r="M914" s="708" t="s">
        <v>2226</v>
      </c>
      <c r="N914" s="223"/>
      <c r="O914" s="706">
        <f t="shared" si="87"/>
        <v>0</v>
      </c>
    </row>
    <row r="915" spans="1:15" s="360" customFormat="1" ht="15" hidden="1">
      <c r="A915" s="356" t="s">
        <v>2714</v>
      </c>
      <c r="B915" s="357" t="s">
        <v>2461</v>
      </c>
      <c r="C915" s="633">
        <f t="shared" si="92"/>
        <v>0</v>
      </c>
      <c r="D915" s="1115" t="s">
        <v>115</v>
      </c>
      <c r="E915" s="15">
        <f t="shared" si="91"/>
        <v>0</v>
      </c>
      <c r="F915" s="917">
        <f t="shared" si="90"/>
        <v>0</v>
      </c>
      <c r="G915" s="358"/>
      <c r="H915" s="354"/>
      <c r="I915" s="355"/>
      <c r="J915" s="353">
        <f t="shared" si="93"/>
        <v>0</v>
      </c>
      <c r="K915" s="743">
        <f t="shared" si="94"/>
        <v>0</v>
      </c>
      <c r="L915" s="368">
        <f t="shared" si="95"/>
        <v>0</v>
      </c>
      <c r="M915" s="708" t="s">
        <v>2226</v>
      </c>
      <c r="N915" s="223"/>
      <c r="O915" s="706">
        <f t="shared" si="87"/>
        <v>0</v>
      </c>
    </row>
    <row r="916" spans="1:15" s="360" customFormat="1" ht="15" hidden="1">
      <c r="A916" s="356" t="s">
        <v>1160</v>
      </c>
      <c r="B916" s="707" t="s">
        <v>3211</v>
      </c>
      <c r="C916" s="633">
        <f t="shared" si="92"/>
        <v>0</v>
      </c>
      <c r="D916" s="354"/>
      <c r="E916" s="622"/>
      <c r="F916" s="917">
        <f t="shared" si="90"/>
        <v>0</v>
      </c>
      <c r="G916" s="358"/>
      <c r="H916" s="354"/>
      <c r="I916" s="355"/>
      <c r="J916" s="353">
        <f t="shared" si="93"/>
        <v>0</v>
      </c>
      <c r="K916" s="743">
        <f t="shared" si="94"/>
        <v>0</v>
      </c>
      <c r="L916" s="368">
        <f t="shared" si="95"/>
        <v>0</v>
      </c>
      <c r="M916" s="708" t="s">
        <v>2226</v>
      </c>
      <c r="N916" s="223"/>
      <c r="O916" s="706">
        <f>F916-J916</f>
        <v>0</v>
      </c>
    </row>
    <row r="917" spans="1:15" ht="15" hidden="1">
      <c r="A917" s="23"/>
      <c r="B917" s="882" t="s">
        <v>2477</v>
      </c>
      <c r="C917" s="739"/>
      <c r="D917" s="224"/>
      <c r="E917" s="29"/>
      <c r="F917" s="865"/>
      <c r="G917" s="28"/>
      <c r="H917" s="224"/>
      <c r="I917" s="37"/>
      <c r="J917" s="353">
        <f t="shared" si="93"/>
        <v>0</v>
      </c>
      <c r="K917" s="876"/>
      <c r="L917" s="877"/>
      <c r="M917" s="878"/>
      <c r="N917" s="223"/>
      <c r="O917" s="706"/>
    </row>
    <row r="918" spans="1:15" s="360" customFormat="1" ht="15" hidden="1">
      <c r="A918" s="356" t="s">
        <v>460</v>
      </c>
      <c r="B918" s="707" t="s">
        <v>537</v>
      </c>
      <c r="C918" s="633">
        <f t="shared" si="92"/>
        <v>0</v>
      </c>
      <c r="D918" s="354" t="s">
        <v>102</v>
      </c>
      <c r="E918" s="622">
        <f>I918</f>
        <v>6.06</v>
      </c>
      <c r="F918" s="917">
        <f t="shared" si="90"/>
        <v>0</v>
      </c>
      <c r="G918" s="358">
        <f>'3.60 lakhs'!I14</f>
        <v>0</v>
      </c>
      <c r="H918" s="354" t="s">
        <v>102</v>
      </c>
      <c r="I918" s="355">
        <f>'3.60 lakhs'!K14</f>
        <v>6.06</v>
      </c>
      <c r="J918" s="353">
        <f t="shared" si="93"/>
        <v>0</v>
      </c>
      <c r="K918" s="743">
        <f t="shared" ref="K918:K981" si="96">IF(J918&gt;F918,J918-F918,0)</f>
        <v>0</v>
      </c>
      <c r="L918" s="368">
        <f t="shared" ref="L918:L981" si="97">IF(J918&lt;F918,F918-J918,0)</f>
        <v>0</v>
      </c>
      <c r="M918" s="708" t="s">
        <v>2322</v>
      </c>
      <c r="N918" s="223"/>
      <c r="O918" s="706">
        <f>F918-J918</f>
        <v>0</v>
      </c>
    </row>
    <row r="919" spans="1:15" s="360" customFormat="1" ht="15" hidden="1">
      <c r="A919" s="356" t="s">
        <v>460</v>
      </c>
      <c r="B919" s="707" t="s">
        <v>471</v>
      </c>
      <c r="C919" s="633">
        <f t="shared" si="92"/>
        <v>0</v>
      </c>
      <c r="D919" s="354" t="s">
        <v>5</v>
      </c>
      <c r="E919" s="622">
        <f t="shared" ref="E919:E982" si="98">I919</f>
        <v>144.26</v>
      </c>
      <c r="F919" s="917">
        <f t="shared" si="90"/>
        <v>0</v>
      </c>
      <c r="G919" s="358">
        <f>'3.60 lakhs'!I20</f>
        <v>0</v>
      </c>
      <c r="H919" s="354" t="s">
        <v>5</v>
      </c>
      <c r="I919" s="355">
        <f>'3.60 lakhs'!K20</f>
        <v>144.26</v>
      </c>
      <c r="J919" s="353">
        <f t="shared" si="93"/>
        <v>0</v>
      </c>
      <c r="K919" s="743">
        <f t="shared" si="96"/>
        <v>0</v>
      </c>
      <c r="L919" s="368">
        <f t="shared" si="97"/>
        <v>0</v>
      </c>
      <c r="M919" s="708" t="s">
        <v>2322</v>
      </c>
      <c r="N919" s="223"/>
      <c r="O919" s="706">
        <f t="shared" ref="O919:O982" si="99">F919-J919</f>
        <v>0</v>
      </c>
    </row>
    <row r="920" spans="1:15" s="360" customFormat="1" ht="15" hidden="1">
      <c r="A920" s="356" t="s">
        <v>463</v>
      </c>
      <c r="B920" s="707" t="s">
        <v>538</v>
      </c>
      <c r="C920" s="633">
        <f t="shared" si="92"/>
        <v>0</v>
      </c>
      <c r="D920" s="354" t="s">
        <v>5</v>
      </c>
      <c r="E920" s="622">
        <f t="shared" si="98"/>
        <v>4583.3100000000004</v>
      </c>
      <c r="F920" s="917">
        <f t="shared" si="90"/>
        <v>0</v>
      </c>
      <c r="G920" s="358">
        <f>'3.60 lakhs'!I25</f>
        <v>0</v>
      </c>
      <c r="H920" s="354" t="s">
        <v>5</v>
      </c>
      <c r="I920" s="355">
        <f>'3.60 lakhs'!K25</f>
        <v>4583.3100000000004</v>
      </c>
      <c r="J920" s="353">
        <f t="shared" si="93"/>
        <v>0</v>
      </c>
      <c r="K920" s="743">
        <f t="shared" si="96"/>
        <v>0</v>
      </c>
      <c r="L920" s="368">
        <f t="shared" si="97"/>
        <v>0</v>
      </c>
      <c r="M920" s="708" t="s">
        <v>2322</v>
      </c>
      <c r="N920" s="223"/>
      <c r="O920" s="706">
        <f t="shared" si="99"/>
        <v>0</v>
      </c>
    </row>
    <row r="921" spans="1:15" s="360" customFormat="1" ht="15" hidden="1">
      <c r="A921" s="356" t="s">
        <v>463</v>
      </c>
      <c r="B921" s="707" t="s">
        <v>539</v>
      </c>
      <c r="C921" s="633">
        <f t="shared" si="92"/>
        <v>0</v>
      </c>
      <c r="D921" s="354" t="s">
        <v>5</v>
      </c>
      <c r="E921" s="622">
        <f t="shared" si="98"/>
        <v>4431.03</v>
      </c>
      <c r="F921" s="917">
        <f t="shared" si="90"/>
        <v>0</v>
      </c>
      <c r="G921" s="358">
        <f>'3.60 lakhs'!I34</f>
        <v>0</v>
      </c>
      <c r="H921" s="354" t="s">
        <v>5</v>
      </c>
      <c r="I921" s="355">
        <f>'3.60 lakhs'!K34</f>
        <v>4431.03</v>
      </c>
      <c r="J921" s="353">
        <f t="shared" si="93"/>
        <v>0</v>
      </c>
      <c r="K921" s="743">
        <f t="shared" si="96"/>
        <v>0</v>
      </c>
      <c r="L921" s="368">
        <f t="shared" si="97"/>
        <v>0</v>
      </c>
      <c r="M921" s="708" t="s">
        <v>2322</v>
      </c>
      <c r="N921" s="223"/>
      <c r="O921" s="706">
        <f t="shared" si="99"/>
        <v>0</v>
      </c>
    </row>
    <row r="922" spans="1:15" s="360" customFormat="1" ht="15" hidden="1">
      <c r="A922" s="356" t="s">
        <v>462</v>
      </c>
      <c r="B922" s="707" t="s">
        <v>1219</v>
      </c>
      <c r="C922" s="633">
        <f t="shared" si="92"/>
        <v>0</v>
      </c>
      <c r="D922" s="354" t="s">
        <v>5</v>
      </c>
      <c r="E922" s="622">
        <f t="shared" si="98"/>
        <v>216.13</v>
      </c>
      <c r="F922" s="917">
        <f t="shared" si="90"/>
        <v>0</v>
      </c>
      <c r="G922" s="358">
        <f>'3.60 lakhs'!I40</f>
        <v>0</v>
      </c>
      <c r="H922" s="354" t="s">
        <v>5</v>
      </c>
      <c r="I922" s="355">
        <f>'3.60 lakhs'!K40</f>
        <v>216.13</v>
      </c>
      <c r="J922" s="353">
        <f t="shared" si="93"/>
        <v>0</v>
      </c>
      <c r="K922" s="743">
        <f t="shared" si="96"/>
        <v>0</v>
      </c>
      <c r="L922" s="368">
        <f t="shared" si="97"/>
        <v>0</v>
      </c>
      <c r="M922" s="708" t="s">
        <v>2322</v>
      </c>
      <c r="N922" s="223"/>
      <c r="O922" s="706">
        <f t="shared" si="99"/>
        <v>0</v>
      </c>
    </row>
    <row r="923" spans="1:15" s="360" customFormat="1" ht="15" hidden="1">
      <c r="A923" s="356" t="s">
        <v>464</v>
      </c>
      <c r="B923" s="707" t="s">
        <v>716</v>
      </c>
      <c r="C923" s="633">
        <f t="shared" si="92"/>
        <v>0</v>
      </c>
      <c r="D923" s="354" t="s">
        <v>5</v>
      </c>
      <c r="E923" s="622">
        <f t="shared" si="98"/>
        <v>272.13</v>
      </c>
      <c r="F923" s="917">
        <f t="shared" si="90"/>
        <v>0</v>
      </c>
      <c r="G923" s="358">
        <f>'3.60 lakhs'!I46</f>
        <v>0</v>
      </c>
      <c r="H923" s="354" t="s">
        <v>5</v>
      </c>
      <c r="I923" s="355">
        <f>'3.60 lakhs'!K46</f>
        <v>272.13</v>
      </c>
      <c r="J923" s="353">
        <f t="shared" si="93"/>
        <v>0</v>
      </c>
      <c r="K923" s="743">
        <f t="shared" si="96"/>
        <v>0</v>
      </c>
      <c r="L923" s="368">
        <f t="shared" si="97"/>
        <v>0</v>
      </c>
      <c r="M923" s="708" t="s">
        <v>2322</v>
      </c>
      <c r="N923" s="223"/>
      <c r="O923" s="706">
        <f t="shared" si="99"/>
        <v>0</v>
      </c>
    </row>
    <row r="924" spans="1:15" s="360" customFormat="1" ht="15" hidden="1">
      <c r="A924" s="356" t="s">
        <v>466</v>
      </c>
      <c r="B924" s="707" t="s">
        <v>704</v>
      </c>
      <c r="C924" s="633">
        <f t="shared" si="92"/>
        <v>0</v>
      </c>
      <c r="D924" s="354" t="s">
        <v>5</v>
      </c>
      <c r="E924" s="622">
        <f t="shared" si="98"/>
        <v>1603.13</v>
      </c>
      <c r="F924" s="917">
        <f t="shared" si="90"/>
        <v>0</v>
      </c>
      <c r="G924" s="358">
        <f>'3.60 lakhs'!I52</f>
        <v>0</v>
      </c>
      <c r="H924" s="354" t="s">
        <v>5</v>
      </c>
      <c r="I924" s="355">
        <f>'3.60 lakhs'!K52</f>
        <v>1603.13</v>
      </c>
      <c r="J924" s="353">
        <f t="shared" si="93"/>
        <v>0</v>
      </c>
      <c r="K924" s="743">
        <f t="shared" si="96"/>
        <v>0</v>
      </c>
      <c r="L924" s="368">
        <f t="shared" si="97"/>
        <v>0</v>
      </c>
      <c r="M924" s="708" t="s">
        <v>2322</v>
      </c>
      <c r="N924" s="223"/>
      <c r="O924" s="706">
        <f t="shared" si="99"/>
        <v>0</v>
      </c>
    </row>
    <row r="925" spans="1:15" s="360" customFormat="1" ht="15" hidden="1">
      <c r="A925" s="356" t="s">
        <v>326</v>
      </c>
      <c r="B925" s="707" t="s">
        <v>540</v>
      </c>
      <c r="C925" s="633">
        <f t="shared" si="92"/>
        <v>0</v>
      </c>
      <c r="D925" s="354" t="s">
        <v>5</v>
      </c>
      <c r="E925" s="622">
        <f t="shared" si="98"/>
        <v>284.39999999999998</v>
      </c>
      <c r="F925" s="917">
        <f t="shared" si="90"/>
        <v>0</v>
      </c>
      <c r="G925" s="358">
        <f>'3.60 lakhs'!I59</f>
        <v>0</v>
      </c>
      <c r="H925" s="354" t="s">
        <v>5</v>
      </c>
      <c r="I925" s="355">
        <f>'3.60 lakhs'!K59</f>
        <v>284.39999999999998</v>
      </c>
      <c r="J925" s="353">
        <f t="shared" si="93"/>
        <v>0</v>
      </c>
      <c r="K925" s="743">
        <f t="shared" si="96"/>
        <v>0</v>
      </c>
      <c r="L925" s="368">
        <f t="shared" si="97"/>
        <v>0</v>
      </c>
      <c r="M925" s="708" t="s">
        <v>2322</v>
      </c>
      <c r="N925" s="223"/>
      <c r="O925" s="706">
        <f t="shared" si="99"/>
        <v>0</v>
      </c>
    </row>
    <row r="926" spans="1:15" s="360" customFormat="1" ht="25.5" hidden="1">
      <c r="A926" s="356" t="s">
        <v>465</v>
      </c>
      <c r="B926" s="707" t="s">
        <v>2066</v>
      </c>
      <c r="C926" s="633">
        <f t="shared" si="92"/>
        <v>0</v>
      </c>
      <c r="D926" s="354" t="s">
        <v>5</v>
      </c>
      <c r="E926" s="622">
        <f t="shared" si="98"/>
        <v>8062.18</v>
      </c>
      <c r="F926" s="917">
        <f t="shared" si="90"/>
        <v>0</v>
      </c>
      <c r="G926" s="358">
        <f>'3.60 lakhs'!I64</f>
        <v>0</v>
      </c>
      <c r="H926" s="354" t="s">
        <v>5</v>
      </c>
      <c r="I926" s="355">
        <f>'3.60 lakhs'!K64</f>
        <v>8062.18</v>
      </c>
      <c r="J926" s="353">
        <f t="shared" si="93"/>
        <v>0</v>
      </c>
      <c r="K926" s="743">
        <f t="shared" si="96"/>
        <v>0</v>
      </c>
      <c r="L926" s="368">
        <f t="shared" si="97"/>
        <v>0</v>
      </c>
      <c r="M926" s="708" t="s">
        <v>2322</v>
      </c>
      <c r="N926" s="223"/>
      <c r="O926" s="706">
        <f t="shared" si="99"/>
        <v>0</v>
      </c>
    </row>
    <row r="927" spans="1:15" s="360" customFormat="1" ht="15" hidden="1">
      <c r="A927" s="356" t="s">
        <v>466</v>
      </c>
      <c r="B927" s="707" t="s">
        <v>2067</v>
      </c>
      <c r="C927" s="633">
        <f t="shared" si="92"/>
        <v>0</v>
      </c>
      <c r="D927" s="354" t="s">
        <v>5</v>
      </c>
      <c r="E927" s="622">
        <f t="shared" si="98"/>
        <v>8501.18</v>
      </c>
      <c r="F927" s="917">
        <f t="shared" si="90"/>
        <v>0</v>
      </c>
      <c r="G927" s="358">
        <f>'3.60 lakhs'!I69</f>
        <v>0</v>
      </c>
      <c r="H927" s="354" t="s">
        <v>5</v>
      </c>
      <c r="I927" s="355">
        <f>'3.60 lakhs'!K69</f>
        <v>8501.18</v>
      </c>
      <c r="J927" s="353">
        <f t="shared" si="93"/>
        <v>0</v>
      </c>
      <c r="K927" s="743">
        <f t="shared" si="96"/>
        <v>0</v>
      </c>
      <c r="L927" s="368">
        <f t="shared" si="97"/>
        <v>0</v>
      </c>
      <c r="M927" s="708" t="s">
        <v>2322</v>
      </c>
      <c r="N927" s="223"/>
      <c r="O927" s="706">
        <f t="shared" si="99"/>
        <v>0</v>
      </c>
    </row>
    <row r="928" spans="1:15" s="360" customFormat="1" ht="15" hidden="1">
      <c r="A928" s="356" t="s">
        <v>467</v>
      </c>
      <c r="B928" s="707" t="s">
        <v>2068</v>
      </c>
      <c r="C928" s="633">
        <f t="shared" si="92"/>
        <v>0</v>
      </c>
      <c r="D928" s="354" t="s">
        <v>5</v>
      </c>
      <c r="E928" s="622">
        <f t="shared" si="98"/>
        <v>10417.6</v>
      </c>
      <c r="F928" s="917">
        <f t="shared" si="90"/>
        <v>0</v>
      </c>
      <c r="G928" s="358">
        <f>'3.60 lakhs'!I81</f>
        <v>0</v>
      </c>
      <c r="H928" s="354" t="s">
        <v>5</v>
      </c>
      <c r="I928" s="355">
        <f>'3.60 lakhs'!K81</f>
        <v>10417.6</v>
      </c>
      <c r="J928" s="353">
        <f t="shared" si="93"/>
        <v>0</v>
      </c>
      <c r="K928" s="743">
        <f t="shared" si="96"/>
        <v>0</v>
      </c>
      <c r="L928" s="368">
        <f t="shared" si="97"/>
        <v>0</v>
      </c>
      <c r="M928" s="708" t="s">
        <v>2322</v>
      </c>
      <c r="N928" s="223"/>
      <c r="O928" s="706">
        <f t="shared" si="99"/>
        <v>0</v>
      </c>
    </row>
    <row r="929" spans="1:16" s="360" customFormat="1" ht="15" hidden="1">
      <c r="A929" s="356" t="s">
        <v>468</v>
      </c>
      <c r="B929" s="707" t="s">
        <v>2069</v>
      </c>
      <c r="C929" s="633">
        <f t="shared" si="92"/>
        <v>0</v>
      </c>
      <c r="D929" s="354" t="s">
        <v>5</v>
      </c>
      <c r="E929" s="622">
        <f t="shared" si="98"/>
        <v>10162.18</v>
      </c>
      <c r="F929" s="917">
        <f t="shared" si="90"/>
        <v>0</v>
      </c>
      <c r="G929" s="358">
        <f>'3.60 lakhs'!I89</f>
        <v>0</v>
      </c>
      <c r="H929" s="354" t="s">
        <v>5</v>
      </c>
      <c r="I929" s="355">
        <f>'3.60 lakhs'!K89</f>
        <v>10162.18</v>
      </c>
      <c r="J929" s="353">
        <f t="shared" si="93"/>
        <v>0</v>
      </c>
      <c r="K929" s="743">
        <f t="shared" si="96"/>
        <v>0</v>
      </c>
      <c r="L929" s="368">
        <f t="shared" si="97"/>
        <v>0</v>
      </c>
      <c r="M929" s="708" t="s">
        <v>2322</v>
      </c>
      <c r="N929" s="223"/>
      <c r="O929" s="706">
        <f t="shared" si="99"/>
        <v>0</v>
      </c>
    </row>
    <row r="930" spans="1:16" s="360" customFormat="1" ht="15" hidden="1">
      <c r="A930" s="356" t="s">
        <v>326</v>
      </c>
      <c r="B930" s="707" t="s">
        <v>2070</v>
      </c>
      <c r="C930" s="633">
        <f t="shared" si="92"/>
        <v>0</v>
      </c>
      <c r="D930" s="428" t="s">
        <v>5</v>
      </c>
      <c r="E930" s="622">
        <f t="shared" si="98"/>
        <v>9921.19</v>
      </c>
      <c r="F930" s="917">
        <f t="shared" si="90"/>
        <v>0</v>
      </c>
      <c r="G930" s="358">
        <f>'3.60 lakhs'!I97</f>
        <v>0</v>
      </c>
      <c r="H930" s="428" t="s">
        <v>5</v>
      </c>
      <c r="I930" s="355">
        <f>'3.60 lakhs'!K97</f>
        <v>9921.19</v>
      </c>
      <c r="J930" s="353">
        <f t="shared" si="93"/>
        <v>0</v>
      </c>
      <c r="K930" s="743">
        <f t="shared" si="96"/>
        <v>0</v>
      </c>
      <c r="L930" s="368">
        <f t="shared" si="97"/>
        <v>0</v>
      </c>
      <c r="M930" s="708" t="s">
        <v>2322</v>
      </c>
      <c r="N930" s="223"/>
      <c r="O930" s="706">
        <f t="shared" si="99"/>
        <v>0</v>
      </c>
      <c r="P930" s="712"/>
    </row>
    <row r="931" spans="1:16" s="360" customFormat="1" ht="15" hidden="1">
      <c r="A931" s="356" t="s">
        <v>469</v>
      </c>
      <c r="B931" s="707" t="s">
        <v>2071</v>
      </c>
      <c r="C931" s="633">
        <f t="shared" si="92"/>
        <v>0</v>
      </c>
      <c r="D931" s="354" t="s">
        <v>102</v>
      </c>
      <c r="E931" s="622">
        <f t="shared" si="98"/>
        <v>1202.4000000000001</v>
      </c>
      <c r="F931" s="917">
        <f t="shared" si="90"/>
        <v>0</v>
      </c>
      <c r="G931" s="358">
        <f>'3.60 lakhs'!I109</f>
        <v>0</v>
      </c>
      <c r="H931" s="354" t="s">
        <v>102</v>
      </c>
      <c r="I931" s="355">
        <f>'3.60 lakhs'!K109</f>
        <v>1202.4000000000001</v>
      </c>
      <c r="J931" s="353">
        <f t="shared" si="93"/>
        <v>0</v>
      </c>
      <c r="K931" s="743">
        <f t="shared" si="96"/>
        <v>0</v>
      </c>
      <c r="L931" s="368">
        <f t="shared" si="97"/>
        <v>0</v>
      </c>
      <c r="M931" s="708" t="s">
        <v>2322</v>
      </c>
      <c r="N931" s="223"/>
      <c r="O931" s="706">
        <f t="shared" si="99"/>
        <v>0</v>
      </c>
    </row>
    <row r="932" spans="1:16" s="360" customFormat="1" ht="15" hidden="1">
      <c r="A932" s="356" t="s">
        <v>472</v>
      </c>
      <c r="B932" s="707" t="s">
        <v>2072</v>
      </c>
      <c r="C932" s="633">
        <f t="shared" si="92"/>
        <v>0</v>
      </c>
      <c r="D932" s="354" t="s">
        <v>102</v>
      </c>
      <c r="E932" s="622">
        <f t="shared" si="98"/>
        <v>1345.28</v>
      </c>
      <c r="F932" s="917">
        <f t="shared" si="90"/>
        <v>0</v>
      </c>
      <c r="G932" s="358">
        <f>'3.60 lakhs'!I103</f>
        <v>0</v>
      </c>
      <c r="H932" s="354" t="s">
        <v>102</v>
      </c>
      <c r="I932" s="355">
        <f>'3.60 lakhs'!K103</f>
        <v>1345.28</v>
      </c>
      <c r="J932" s="353">
        <f t="shared" si="93"/>
        <v>0</v>
      </c>
      <c r="K932" s="743">
        <f t="shared" si="96"/>
        <v>0</v>
      </c>
      <c r="L932" s="368">
        <f t="shared" si="97"/>
        <v>0</v>
      </c>
      <c r="M932" s="708" t="s">
        <v>2322</v>
      </c>
      <c r="N932" s="223"/>
      <c r="O932" s="706">
        <f t="shared" si="99"/>
        <v>0</v>
      </c>
    </row>
    <row r="933" spans="1:16" s="360" customFormat="1" ht="15" hidden="1">
      <c r="A933" s="356" t="s">
        <v>469</v>
      </c>
      <c r="B933" s="707" t="s">
        <v>2073</v>
      </c>
      <c r="C933" s="633">
        <f t="shared" si="92"/>
        <v>0</v>
      </c>
      <c r="D933" s="354" t="s">
        <v>102</v>
      </c>
      <c r="E933" s="622">
        <f t="shared" si="98"/>
        <v>1059.52</v>
      </c>
      <c r="F933" s="917">
        <f t="shared" si="90"/>
        <v>0</v>
      </c>
      <c r="G933" s="358">
        <f>'3.60 lakhs'!I115</f>
        <v>0</v>
      </c>
      <c r="H933" s="354" t="s">
        <v>102</v>
      </c>
      <c r="I933" s="355">
        <f>'3.60 lakhs'!K115</f>
        <v>1059.52</v>
      </c>
      <c r="J933" s="353">
        <f t="shared" si="93"/>
        <v>0</v>
      </c>
      <c r="K933" s="743">
        <f t="shared" si="96"/>
        <v>0</v>
      </c>
      <c r="L933" s="368">
        <f t="shared" si="97"/>
        <v>0</v>
      </c>
      <c r="M933" s="708" t="s">
        <v>2322</v>
      </c>
      <c r="N933" s="223"/>
      <c r="O933" s="706">
        <f t="shared" si="99"/>
        <v>0</v>
      </c>
    </row>
    <row r="934" spans="1:16" s="360" customFormat="1" ht="15" hidden="1">
      <c r="A934" s="356" t="s">
        <v>469</v>
      </c>
      <c r="B934" s="707" t="s">
        <v>2074</v>
      </c>
      <c r="C934" s="633">
        <f t="shared" si="92"/>
        <v>0</v>
      </c>
      <c r="D934" s="354" t="s">
        <v>102</v>
      </c>
      <c r="E934" s="622">
        <f t="shared" si="98"/>
        <v>526.29999999999995</v>
      </c>
      <c r="F934" s="917">
        <f t="shared" si="90"/>
        <v>0</v>
      </c>
      <c r="G934" s="358">
        <f>'3.60 lakhs'!I121</f>
        <v>0</v>
      </c>
      <c r="H934" s="354" t="s">
        <v>102</v>
      </c>
      <c r="I934" s="355">
        <f>'3.60 lakhs'!K121</f>
        <v>526.29999999999995</v>
      </c>
      <c r="J934" s="353">
        <f t="shared" si="93"/>
        <v>0</v>
      </c>
      <c r="K934" s="743">
        <f t="shared" si="96"/>
        <v>0</v>
      </c>
      <c r="L934" s="368">
        <f t="shared" si="97"/>
        <v>0</v>
      </c>
      <c r="M934" s="708" t="s">
        <v>2322</v>
      </c>
      <c r="N934" s="223"/>
      <c r="O934" s="706">
        <f t="shared" si="99"/>
        <v>0</v>
      </c>
    </row>
    <row r="935" spans="1:16" s="360" customFormat="1" ht="15" hidden="1">
      <c r="A935" s="356" t="s">
        <v>475</v>
      </c>
      <c r="B935" s="707" t="s">
        <v>2075</v>
      </c>
      <c r="C935" s="633">
        <f t="shared" si="92"/>
        <v>0</v>
      </c>
      <c r="D935" s="354" t="s">
        <v>102</v>
      </c>
      <c r="E935" s="622">
        <f t="shared" si="98"/>
        <v>385.15</v>
      </c>
      <c r="F935" s="917">
        <f t="shared" si="90"/>
        <v>0</v>
      </c>
      <c r="G935" s="358">
        <f>'3.60 lakhs'!I128</f>
        <v>0</v>
      </c>
      <c r="H935" s="354" t="s">
        <v>102</v>
      </c>
      <c r="I935" s="355">
        <f>'3.60 lakhs'!K128</f>
        <v>385.15</v>
      </c>
      <c r="J935" s="353">
        <f t="shared" si="93"/>
        <v>0</v>
      </c>
      <c r="K935" s="743">
        <f t="shared" si="96"/>
        <v>0</v>
      </c>
      <c r="L935" s="368">
        <f t="shared" si="97"/>
        <v>0</v>
      </c>
      <c r="M935" s="708" t="s">
        <v>2322</v>
      </c>
      <c r="N935" s="223"/>
      <c r="O935" s="706">
        <f t="shared" si="99"/>
        <v>0</v>
      </c>
    </row>
    <row r="936" spans="1:16" s="360" customFormat="1" ht="15" hidden="1">
      <c r="A936" s="356" t="s">
        <v>475</v>
      </c>
      <c r="B936" s="707" t="s">
        <v>2076</v>
      </c>
      <c r="C936" s="633">
        <f t="shared" si="92"/>
        <v>0</v>
      </c>
      <c r="D936" s="354" t="s">
        <v>5</v>
      </c>
      <c r="E936" s="622">
        <f t="shared" si="98"/>
        <v>10584.6</v>
      </c>
      <c r="F936" s="917">
        <f t="shared" si="90"/>
        <v>0</v>
      </c>
      <c r="G936" s="358">
        <f>'3.60 lakhs'!I137</f>
        <v>0</v>
      </c>
      <c r="H936" s="354" t="s">
        <v>5</v>
      </c>
      <c r="I936" s="355">
        <f>'3.60 lakhs'!K137</f>
        <v>10584.6</v>
      </c>
      <c r="J936" s="353">
        <f t="shared" si="93"/>
        <v>0</v>
      </c>
      <c r="K936" s="743">
        <f t="shared" si="96"/>
        <v>0</v>
      </c>
      <c r="L936" s="368">
        <f t="shared" si="97"/>
        <v>0</v>
      </c>
      <c r="M936" s="708" t="s">
        <v>2322</v>
      </c>
      <c r="N936" s="223"/>
      <c r="O936" s="706">
        <f t="shared" si="99"/>
        <v>0</v>
      </c>
    </row>
    <row r="937" spans="1:16" s="360" customFormat="1" ht="15" hidden="1">
      <c r="A937" s="356" t="s">
        <v>478</v>
      </c>
      <c r="B937" s="707" t="s">
        <v>2077</v>
      </c>
      <c r="C937" s="633">
        <f t="shared" si="92"/>
        <v>0</v>
      </c>
      <c r="D937" s="354" t="s">
        <v>277</v>
      </c>
      <c r="E937" s="622">
        <f t="shared" si="98"/>
        <v>518.52</v>
      </c>
      <c r="F937" s="917">
        <f t="shared" si="90"/>
        <v>0</v>
      </c>
      <c r="G937" s="358">
        <f>'3.60 lakhs'!I143</f>
        <v>0</v>
      </c>
      <c r="H937" s="354" t="s">
        <v>277</v>
      </c>
      <c r="I937" s="355">
        <f>'3.60 lakhs'!K143</f>
        <v>518.52</v>
      </c>
      <c r="J937" s="353">
        <f t="shared" si="93"/>
        <v>0</v>
      </c>
      <c r="K937" s="743">
        <f t="shared" si="96"/>
        <v>0</v>
      </c>
      <c r="L937" s="368">
        <f t="shared" si="97"/>
        <v>0</v>
      </c>
      <c r="M937" s="708" t="s">
        <v>2322</v>
      </c>
      <c r="N937" s="223"/>
      <c r="O937" s="706">
        <f t="shared" si="99"/>
        <v>0</v>
      </c>
    </row>
    <row r="938" spans="1:16" s="360" customFormat="1" ht="15" hidden="1">
      <c r="A938" s="356" t="s">
        <v>480</v>
      </c>
      <c r="B938" s="707" t="s">
        <v>1480</v>
      </c>
      <c r="C938" s="633">
        <f t="shared" si="92"/>
        <v>0</v>
      </c>
      <c r="D938" s="221" t="s">
        <v>102</v>
      </c>
      <c r="E938" s="622">
        <f t="shared" si="98"/>
        <v>315.69</v>
      </c>
      <c r="F938" s="917">
        <f t="shared" si="90"/>
        <v>0</v>
      </c>
      <c r="G938" s="358">
        <f>'3.60 lakhs'!I149</f>
        <v>0</v>
      </c>
      <c r="H938" s="221" t="s">
        <v>102</v>
      </c>
      <c r="I938" s="355">
        <f>'3.60 lakhs'!K149</f>
        <v>315.69</v>
      </c>
      <c r="J938" s="353">
        <f t="shared" si="93"/>
        <v>0</v>
      </c>
      <c r="K938" s="743">
        <f t="shared" si="96"/>
        <v>0</v>
      </c>
      <c r="L938" s="368">
        <f t="shared" si="97"/>
        <v>0</v>
      </c>
      <c r="M938" s="708" t="s">
        <v>2322</v>
      </c>
      <c r="N938" s="223"/>
      <c r="O938" s="706">
        <f t="shared" si="99"/>
        <v>0</v>
      </c>
    </row>
    <row r="939" spans="1:16" s="360" customFormat="1" ht="15" hidden="1">
      <c r="A939" s="356" t="s">
        <v>476</v>
      </c>
      <c r="B939" s="707" t="s">
        <v>1481</v>
      </c>
      <c r="C939" s="633">
        <f t="shared" si="92"/>
        <v>0</v>
      </c>
      <c r="D939" s="221" t="s">
        <v>102</v>
      </c>
      <c r="E939" s="622">
        <f t="shared" si="98"/>
        <v>405.78</v>
      </c>
      <c r="F939" s="917">
        <f t="shared" si="90"/>
        <v>0</v>
      </c>
      <c r="G939" s="358">
        <f>'3.60 lakhs'!I155</f>
        <v>0</v>
      </c>
      <c r="H939" s="221" t="s">
        <v>102</v>
      </c>
      <c r="I939" s="355">
        <f>'3.60 lakhs'!K155</f>
        <v>405.78</v>
      </c>
      <c r="J939" s="353">
        <f t="shared" si="93"/>
        <v>0</v>
      </c>
      <c r="K939" s="743">
        <f t="shared" si="96"/>
        <v>0</v>
      </c>
      <c r="L939" s="368">
        <f t="shared" si="97"/>
        <v>0</v>
      </c>
      <c r="M939" s="708" t="s">
        <v>2322</v>
      </c>
      <c r="N939" s="223"/>
      <c r="O939" s="706">
        <f t="shared" si="99"/>
        <v>0</v>
      </c>
    </row>
    <row r="940" spans="1:16" s="360" customFormat="1" ht="15" hidden="1">
      <c r="A940" s="356" t="s">
        <v>475</v>
      </c>
      <c r="B940" s="707" t="s">
        <v>2078</v>
      </c>
      <c r="C940" s="633">
        <f t="shared" si="92"/>
        <v>0</v>
      </c>
      <c r="D940" s="354" t="s">
        <v>5</v>
      </c>
      <c r="E940" s="622">
        <f t="shared" si="98"/>
        <v>5601.67</v>
      </c>
      <c r="F940" s="917">
        <f t="shared" si="90"/>
        <v>0</v>
      </c>
      <c r="G940" s="358">
        <f>'3.60 lakhs'!I256</f>
        <v>0</v>
      </c>
      <c r="H940" s="354" t="s">
        <v>5</v>
      </c>
      <c r="I940" s="355">
        <f>'3.60 lakhs'!K256</f>
        <v>5601.67</v>
      </c>
      <c r="J940" s="353">
        <f t="shared" si="93"/>
        <v>0</v>
      </c>
      <c r="K940" s="743">
        <f t="shared" si="96"/>
        <v>0</v>
      </c>
      <c r="L940" s="368">
        <f t="shared" si="97"/>
        <v>0</v>
      </c>
      <c r="M940" s="708" t="s">
        <v>2322</v>
      </c>
      <c r="N940" s="223"/>
      <c r="O940" s="706">
        <f t="shared" si="99"/>
        <v>0</v>
      </c>
    </row>
    <row r="941" spans="1:16" s="360" customFormat="1" ht="15" hidden="1">
      <c r="A941" s="356" t="s">
        <v>476</v>
      </c>
      <c r="B941" s="707" t="s">
        <v>1220</v>
      </c>
      <c r="C941" s="633">
        <f t="shared" si="92"/>
        <v>0</v>
      </c>
      <c r="D941" s="354" t="s">
        <v>5</v>
      </c>
      <c r="E941" s="622">
        <f t="shared" si="98"/>
        <v>3828.3500000000004</v>
      </c>
      <c r="F941" s="917">
        <f t="shared" si="90"/>
        <v>0</v>
      </c>
      <c r="G941" s="358">
        <f>'3.60 lakhs'!I162</f>
        <v>0</v>
      </c>
      <c r="H941" s="354" t="s">
        <v>5</v>
      </c>
      <c r="I941" s="355">
        <f>'3.60 lakhs'!K162</f>
        <v>3828.3500000000004</v>
      </c>
      <c r="J941" s="353">
        <f t="shared" si="93"/>
        <v>0</v>
      </c>
      <c r="K941" s="743">
        <f t="shared" si="96"/>
        <v>0</v>
      </c>
      <c r="L941" s="368">
        <f t="shared" si="97"/>
        <v>0</v>
      </c>
      <c r="M941" s="708" t="s">
        <v>2322</v>
      </c>
      <c r="N941" s="223"/>
      <c r="O941" s="706">
        <f t="shared" si="99"/>
        <v>0</v>
      </c>
    </row>
    <row r="942" spans="1:16" s="360" customFormat="1" ht="15" hidden="1">
      <c r="A942" s="356" t="s">
        <v>479</v>
      </c>
      <c r="B942" s="707" t="s">
        <v>828</v>
      </c>
      <c r="C942" s="633">
        <f t="shared" si="92"/>
        <v>0</v>
      </c>
      <c r="D942" s="354" t="s">
        <v>5</v>
      </c>
      <c r="E942" s="622">
        <f t="shared" si="98"/>
        <v>6869.83</v>
      </c>
      <c r="F942" s="917">
        <f t="shared" si="90"/>
        <v>0</v>
      </c>
      <c r="G942" s="358">
        <f>'3.60 lakhs'!I170</f>
        <v>0</v>
      </c>
      <c r="H942" s="354" t="s">
        <v>5</v>
      </c>
      <c r="I942" s="355">
        <f>'3.60 lakhs'!K170</f>
        <v>6869.83</v>
      </c>
      <c r="J942" s="353">
        <f t="shared" si="93"/>
        <v>0</v>
      </c>
      <c r="K942" s="743">
        <f t="shared" si="96"/>
        <v>0</v>
      </c>
      <c r="L942" s="368">
        <f t="shared" si="97"/>
        <v>0</v>
      </c>
      <c r="M942" s="708" t="s">
        <v>2322</v>
      </c>
      <c r="N942" s="223"/>
      <c r="O942" s="706">
        <f t="shared" si="99"/>
        <v>0</v>
      </c>
    </row>
    <row r="943" spans="1:16" s="360" customFormat="1" ht="15" hidden="1">
      <c r="A943" s="356" t="s">
        <v>480</v>
      </c>
      <c r="B943" s="707" t="s">
        <v>829</v>
      </c>
      <c r="C943" s="633">
        <f t="shared" si="92"/>
        <v>0</v>
      </c>
      <c r="D943" s="354" t="s">
        <v>5</v>
      </c>
      <c r="E943" s="622">
        <f t="shared" si="98"/>
        <v>6926.2300000000005</v>
      </c>
      <c r="F943" s="917">
        <f t="shared" si="90"/>
        <v>0</v>
      </c>
      <c r="G943" s="358">
        <f>'3.60 lakhs'!I178</f>
        <v>0</v>
      </c>
      <c r="H943" s="354" t="s">
        <v>5</v>
      </c>
      <c r="I943" s="355">
        <f>'3.60 lakhs'!K178</f>
        <v>6926.2300000000005</v>
      </c>
      <c r="J943" s="353">
        <f t="shared" si="93"/>
        <v>0</v>
      </c>
      <c r="K943" s="743">
        <f t="shared" si="96"/>
        <v>0</v>
      </c>
      <c r="L943" s="368">
        <f t="shared" si="97"/>
        <v>0</v>
      </c>
      <c r="M943" s="708" t="s">
        <v>2322</v>
      </c>
      <c r="N943" s="223"/>
      <c r="O943" s="706">
        <f t="shared" si="99"/>
        <v>0</v>
      </c>
    </row>
    <row r="944" spans="1:16" s="360" customFormat="1" ht="25.5" hidden="1">
      <c r="A944" s="356" t="s">
        <v>484</v>
      </c>
      <c r="B944" s="707" t="s">
        <v>705</v>
      </c>
      <c r="C944" s="633">
        <f t="shared" si="92"/>
        <v>0</v>
      </c>
      <c r="D944" s="354" t="s">
        <v>102</v>
      </c>
      <c r="E944" s="622">
        <f t="shared" si="98"/>
        <v>881.3</v>
      </c>
      <c r="F944" s="917">
        <f t="shared" ref="F944:F1007" si="100">ROUND(C944*E944,0)</f>
        <v>0</v>
      </c>
      <c r="G944" s="358">
        <f>'3.60 lakhs'!I185</f>
        <v>0</v>
      </c>
      <c r="H944" s="354" t="s">
        <v>102</v>
      </c>
      <c r="I944" s="355">
        <f>'3.60 lakhs'!K185</f>
        <v>881.3</v>
      </c>
      <c r="J944" s="353">
        <f t="shared" si="93"/>
        <v>0</v>
      </c>
      <c r="K944" s="743">
        <f t="shared" si="96"/>
        <v>0</v>
      </c>
      <c r="L944" s="368">
        <f t="shared" si="97"/>
        <v>0</v>
      </c>
      <c r="M944" s="708" t="s">
        <v>2322</v>
      </c>
      <c r="N944" s="223"/>
      <c r="O944" s="706">
        <f t="shared" si="99"/>
        <v>0</v>
      </c>
    </row>
    <row r="945" spans="1:15" s="360" customFormat="1" ht="15" hidden="1">
      <c r="A945" s="356" t="s">
        <v>482</v>
      </c>
      <c r="B945" s="707" t="s">
        <v>1222</v>
      </c>
      <c r="C945" s="633">
        <f t="shared" si="92"/>
        <v>0</v>
      </c>
      <c r="D945" s="354" t="s">
        <v>102</v>
      </c>
      <c r="E945" s="622">
        <f t="shared" si="98"/>
        <v>6281.3700000000008</v>
      </c>
      <c r="F945" s="917">
        <f t="shared" si="100"/>
        <v>0</v>
      </c>
      <c r="G945" s="358">
        <f>'3.60 lakhs'!I193</f>
        <v>0</v>
      </c>
      <c r="H945" s="354" t="s">
        <v>102</v>
      </c>
      <c r="I945" s="355">
        <f>'3.60 lakhs'!K193</f>
        <v>6281.3700000000008</v>
      </c>
      <c r="J945" s="353">
        <f t="shared" si="93"/>
        <v>0</v>
      </c>
      <c r="K945" s="743">
        <f t="shared" si="96"/>
        <v>0</v>
      </c>
      <c r="L945" s="368">
        <f t="shared" si="97"/>
        <v>0</v>
      </c>
      <c r="M945" s="708" t="s">
        <v>2322</v>
      </c>
      <c r="N945" s="223"/>
      <c r="O945" s="706">
        <f t="shared" si="99"/>
        <v>0</v>
      </c>
    </row>
    <row r="946" spans="1:15" s="360" customFormat="1" ht="15" hidden="1">
      <c r="A946" s="356" t="s">
        <v>479</v>
      </c>
      <c r="B946" s="707" t="s">
        <v>1215</v>
      </c>
      <c r="C946" s="633">
        <f t="shared" si="92"/>
        <v>0</v>
      </c>
      <c r="D946" s="354" t="s">
        <v>102</v>
      </c>
      <c r="E946" s="622">
        <f t="shared" si="98"/>
        <v>2232.9699999999998</v>
      </c>
      <c r="F946" s="917">
        <f t="shared" si="100"/>
        <v>0</v>
      </c>
      <c r="G946" s="358">
        <f>'3.60 lakhs'!I200</f>
        <v>0</v>
      </c>
      <c r="H946" s="354" t="s">
        <v>102</v>
      </c>
      <c r="I946" s="355">
        <f>'3.60 lakhs'!K200</f>
        <v>2232.9699999999998</v>
      </c>
      <c r="J946" s="353">
        <f t="shared" si="93"/>
        <v>0</v>
      </c>
      <c r="K946" s="743">
        <f t="shared" si="96"/>
        <v>0</v>
      </c>
      <c r="L946" s="368">
        <f t="shared" si="97"/>
        <v>0</v>
      </c>
      <c r="M946" s="708" t="s">
        <v>2322</v>
      </c>
      <c r="N946" s="223"/>
      <c r="O946" s="706">
        <f t="shared" si="99"/>
        <v>0</v>
      </c>
    </row>
    <row r="947" spans="1:15" s="360" customFormat="1" ht="15" hidden="1">
      <c r="A947" s="356" t="s">
        <v>484</v>
      </c>
      <c r="B947" s="707" t="s">
        <v>481</v>
      </c>
      <c r="C947" s="633">
        <f t="shared" si="92"/>
        <v>0</v>
      </c>
      <c r="D947" s="354" t="s">
        <v>102</v>
      </c>
      <c r="E947" s="622">
        <f t="shared" si="98"/>
        <v>318.2</v>
      </c>
      <c r="F947" s="917">
        <f t="shared" si="100"/>
        <v>0</v>
      </c>
      <c r="G947" s="358">
        <f>'3.60 lakhs'!I209</f>
        <v>0</v>
      </c>
      <c r="H947" s="354" t="s">
        <v>102</v>
      </c>
      <c r="I947" s="355">
        <f>'3.60 lakhs'!K209</f>
        <v>318.2</v>
      </c>
      <c r="J947" s="353">
        <f t="shared" si="93"/>
        <v>0</v>
      </c>
      <c r="K947" s="743">
        <f t="shared" si="96"/>
        <v>0</v>
      </c>
      <c r="L947" s="368">
        <f t="shared" si="97"/>
        <v>0</v>
      </c>
      <c r="M947" s="708" t="s">
        <v>2322</v>
      </c>
      <c r="N947" s="223"/>
      <c r="O947" s="706">
        <f t="shared" si="99"/>
        <v>0</v>
      </c>
    </row>
    <row r="948" spans="1:15" s="360" customFormat="1" ht="15" hidden="1">
      <c r="A948" s="356" t="s">
        <v>483</v>
      </c>
      <c r="B948" s="707" t="s">
        <v>505</v>
      </c>
      <c r="C948" s="633">
        <f t="shared" si="92"/>
        <v>0</v>
      </c>
      <c r="D948" s="354" t="s">
        <v>102</v>
      </c>
      <c r="E948" s="622">
        <f t="shared" si="98"/>
        <v>294.70999999999998</v>
      </c>
      <c r="F948" s="917">
        <f t="shared" si="100"/>
        <v>0</v>
      </c>
      <c r="G948" s="358">
        <f>'3.60 lakhs'!I219</f>
        <v>0</v>
      </c>
      <c r="H948" s="354" t="s">
        <v>102</v>
      </c>
      <c r="I948" s="355">
        <f>'3.60 lakhs'!K219</f>
        <v>294.70999999999998</v>
      </c>
      <c r="J948" s="353">
        <f t="shared" si="93"/>
        <v>0</v>
      </c>
      <c r="K948" s="743">
        <f t="shared" si="96"/>
        <v>0</v>
      </c>
      <c r="L948" s="368">
        <f t="shared" si="97"/>
        <v>0</v>
      </c>
      <c r="M948" s="708" t="s">
        <v>2322</v>
      </c>
      <c r="N948" s="223"/>
      <c r="O948" s="706">
        <f t="shared" si="99"/>
        <v>0</v>
      </c>
    </row>
    <row r="949" spans="1:15" s="360" customFormat="1" ht="15" hidden="1">
      <c r="A949" s="356" t="s">
        <v>484</v>
      </c>
      <c r="B949" s="707" t="s">
        <v>631</v>
      </c>
      <c r="C949" s="633">
        <f t="shared" si="92"/>
        <v>0</v>
      </c>
      <c r="D949" s="354" t="s">
        <v>102</v>
      </c>
      <c r="E949" s="622">
        <f t="shared" si="98"/>
        <v>314.89999999999998</v>
      </c>
      <c r="F949" s="917">
        <f t="shared" si="100"/>
        <v>0</v>
      </c>
      <c r="G949" s="358">
        <f>'3.60 lakhs'!I226</f>
        <v>0</v>
      </c>
      <c r="H949" s="354" t="s">
        <v>102</v>
      </c>
      <c r="I949" s="355">
        <f>'3.60 lakhs'!K226</f>
        <v>314.89999999999998</v>
      </c>
      <c r="J949" s="353">
        <f t="shared" si="93"/>
        <v>0</v>
      </c>
      <c r="K949" s="743">
        <f t="shared" si="96"/>
        <v>0</v>
      </c>
      <c r="L949" s="368">
        <f t="shared" si="97"/>
        <v>0</v>
      </c>
      <c r="M949" s="708" t="s">
        <v>2322</v>
      </c>
      <c r="N949" s="223"/>
      <c r="O949" s="706">
        <f t="shared" si="99"/>
        <v>0</v>
      </c>
    </row>
    <row r="950" spans="1:15" s="360" customFormat="1" ht="15" hidden="1">
      <c r="A950" s="356" t="s">
        <v>486</v>
      </c>
      <c r="B950" s="707" t="s">
        <v>830</v>
      </c>
      <c r="C950" s="633">
        <f t="shared" si="92"/>
        <v>0</v>
      </c>
      <c r="D950" s="354" t="s">
        <v>102</v>
      </c>
      <c r="E950" s="622">
        <f t="shared" si="98"/>
        <v>388.21</v>
      </c>
      <c r="F950" s="917">
        <f t="shared" si="100"/>
        <v>0</v>
      </c>
      <c r="G950" s="358">
        <f>'3.60 lakhs'!I233</f>
        <v>0</v>
      </c>
      <c r="H950" s="354" t="s">
        <v>102</v>
      </c>
      <c r="I950" s="355">
        <f>'3.60 lakhs'!K233</f>
        <v>388.21</v>
      </c>
      <c r="J950" s="353">
        <f t="shared" si="93"/>
        <v>0</v>
      </c>
      <c r="K950" s="743">
        <f t="shared" si="96"/>
        <v>0</v>
      </c>
      <c r="L950" s="368">
        <f t="shared" si="97"/>
        <v>0</v>
      </c>
      <c r="M950" s="708" t="s">
        <v>2322</v>
      </c>
      <c r="N950" s="223"/>
      <c r="O950" s="706">
        <f t="shared" si="99"/>
        <v>0</v>
      </c>
    </row>
    <row r="951" spans="1:15" s="360" customFormat="1" ht="15" hidden="1">
      <c r="A951" s="356" t="s">
        <v>488</v>
      </c>
      <c r="B951" s="707" t="s">
        <v>541</v>
      </c>
      <c r="C951" s="633">
        <f t="shared" si="92"/>
        <v>0</v>
      </c>
      <c r="D951" s="354" t="s">
        <v>102</v>
      </c>
      <c r="E951" s="622">
        <f t="shared" si="98"/>
        <v>404.02</v>
      </c>
      <c r="F951" s="917">
        <f t="shared" si="100"/>
        <v>0</v>
      </c>
      <c r="G951" s="358">
        <f>'3.60 lakhs'!I249</f>
        <v>0</v>
      </c>
      <c r="H951" s="354" t="s">
        <v>102</v>
      </c>
      <c r="I951" s="355">
        <f>'3.60 lakhs'!K249</f>
        <v>404.02</v>
      </c>
      <c r="J951" s="353">
        <f t="shared" si="93"/>
        <v>0</v>
      </c>
      <c r="K951" s="743">
        <f t="shared" si="96"/>
        <v>0</v>
      </c>
      <c r="L951" s="368">
        <f t="shared" si="97"/>
        <v>0</v>
      </c>
      <c r="M951" s="708" t="s">
        <v>2322</v>
      </c>
      <c r="N951" s="223"/>
      <c r="O951" s="706">
        <f t="shared" si="99"/>
        <v>0</v>
      </c>
    </row>
    <row r="952" spans="1:15" s="360" customFormat="1" ht="15" hidden="1">
      <c r="A952" s="356" t="s">
        <v>461</v>
      </c>
      <c r="B952" s="707" t="s">
        <v>507</v>
      </c>
      <c r="C952" s="633">
        <f t="shared" si="92"/>
        <v>0</v>
      </c>
      <c r="D952" s="354" t="s">
        <v>102</v>
      </c>
      <c r="E952" s="622">
        <f t="shared" si="98"/>
        <v>1067.3599999999999</v>
      </c>
      <c r="F952" s="917">
        <f t="shared" si="100"/>
        <v>0</v>
      </c>
      <c r="G952" s="358">
        <f>'3.60 lakhs'!I268</f>
        <v>0</v>
      </c>
      <c r="H952" s="354" t="s">
        <v>102</v>
      </c>
      <c r="I952" s="355">
        <f>'3.60 lakhs'!K268</f>
        <v>1067.3599999999999</v>
      </c>
      <c r="J952" s="353">
        <f t="shared" si="93"/>
        <v>0</v>
      </c>
      <c r="K952" s="743">
        <f t="shared" si="96"/>
        <v>0</v>
      </c>
      <c r="L952" s="368">
        <f t="shared" si="97"/>
        <v>0</v>
      </c>
      <c r="M952" s="708" t="s">
        <v>2322</v>
      </c>
      <c r="N952" s="223"/>
      <c r="O952" s="706">
        <f t="shared" si="99"/>
        <v>0</v>
      </c>
    </row>
    <row r="953" spans="1:15" s="360" customFormat="1" ht="15" hidden="1">
      <c r="A953" s="356" t="s">
        <v>462</v>
      </c>
      <c r="B953" s="707" t="s">
        <v>1482</v>
      </c>
      <c r="C953" s="633">
        <f t="shared" si="92"/>
        <v>0</v>
      </c>
      <c r="D953" s="354" t="s">
        <v>102</v>
      </c>
      <c r="E953" s="622">
        <f t="shared" si="98"/>
        <v>1062.03</v>
      </c>
      <c r="F953" s="917">
        <f t="shared" si="100"/>
        <v>0</v>
      </c>
      <c r="G953" s="358">
        <f>'3.60 lakhs'!I291</f>
        <v>0</v>
      </c>
      <c r="H953" s="354" t="s">
        <v>102</v>
      </c>
      <c r="I953" s="355">
        <f>'3.60 lakhs'!K291</f>
        <v>1062.03</v>
      </c>
      <c r="J953" s="353">
        <f t="shared" si="93"/>
        <v>0</v>
      </c>
      <c r="K953" s="743">
        <f t="shared" si="96"/>
        <v>0</v>
      </c>
      <c r="L953" s="368">
        <f t="shared" si="97"/>
        <v>0</v>
      </c>
      <c r="M953" s="708" t="s">
        <v>2322</v>
      </c>
      <c r="N953" s="223"/>
      <c r="O953" s="706">
        <f t="shared" si="99"/>
        <v>0</v>
      </c>
    </row>
    <row r="954" spans="1:15" s="360" customFormat="1" ht="15" hidden="1">
      <c r="A954" s="356" t="s">
        <v>492</v>
      </c>
      <c r="B954" s="707" t="s">
        <v>708</v>
      </c>
      <c r="C954" s="633">
        <f t="shared" si="92"/>
        <v>0</v>
      </c>
      <c r="D954" s="354" t="s">
        <v>77</v>
      </c>
      <c r="E954" s="622">
        <f t="shared" si="98"/>
        <v>3115.07</v>
      </c>
      <c r="F954" s="917">
        <f t="shared" si="100"/>
        <v>0</v>
      </c>
      <c r="G954" s="358">
        <f>'3.60 lakhs'!I298</f>
        <v>0</v>
      </c>
      <c r="H954" s="354" t="s">
        <v>77</v>
      </c>
      <c r="I954" s="355">
        <f>'3.60 lakhs'!K298</f>
        <v>3115.07</v>
      </c>
      <c r="J954" s="353">
        <f t="shared" si="93"/>
        <v>0</v>
      </c>
      <c r="K954" s="743">
        <f t="shared" si="96"/>
        <v>0</v>
      </c>
      <c r="L954" s="368">
        <f t="shared" si="97"/>
        <v>0</v>
      </c>
      <c r="M954" s="708" t="s">
        <v>2322</v>
      </c>
      <c r="N954" s="223"/>
      <c r="O954" s="706">
        <f t="shared" si="99"/>
        <v>0</v>
      </c>
    </row>
    <row r="955" spans="1:15" s="360" customFormat="1" ht="15" hidden="1">
      <c r="A955" s="356" t="s">
        <v>493</v>
      </c>
      <c r="B955" s="707" t="s">
        <v>709</v>
      </c>
      <c r="C955" s="633">
        <f t="shared" si="92"/>
        <v>0</v>
      </c>
      <c r="D955" s="354" t="s">
        <v>102</v>
      </c>
      <c r="E955" s="622">
        <f t="shared" si="98"/>
        <v>2905.43</v>
      </c>
      <c r="F955" s="917">
        <f t="shared" si="100"/>
        <v>0</v>
      </c>
      <c r="G955" s="358">
        <f>'3.60 lakhs'!I306</f>
        <v>0</v>
      </c>
      <c r="H955" s="354" t="s">
        <v>102</v>
      </c>
      <c r="I955" s="355">
        <f>'3.60 lakhs'!K306</f>
        <v>2905.43</v>
      </c>
      <c r="J955" s="353">
        <f t="shared" si="93"/>
        <v>0</v>
      </c>
      <c r="K955" s="743">
        <f t="shared" si="96"/>
        <v>0</v>
      </c>
      <c r="L955" s="368">
        <f t="shared" si="97"/>
        <v>0</v>
      </c>
      <c r="M955" s="708" t="s">
        <v>2322</v>
      </c>
      <c r="N955" s="223"/>
      <c r="O955" s="706">
        <f t="shared" si="99"/>
        <v>0</v>
      </c>
    </row>
    <row r="956" spans="1:15" s="360" customFormat="1" ht="15" hidden="1">
      <c r="A956" s="356" t="s">
        <v>498</v>
      </c>
      <c r="B956" s="707" t="s">
        <v>710</v>
      </c>
      <c r="C956" s="633">
        <f t="shared" si="92"/>
        <v>0</v>
      </c>
      <c r="D956" s="354" t="s">
        <v>102</v>
      </c>
      <c r="E956" s="622">
        <f t="shared" si="98"/>
        <v>744.7</v>
      </c>
      <c r="F956" s="917">
        <f t="shared" si="100"/>
        <v>0</v>
      </c>
      <c r="G956" s="358">
        <f>'3.60 lakhs'!I313</f>
        <v>0</v>
      </c>
      <c r="H956" s="354" t="s">
        <v>102</v>
      </c>
      <c r="I956" s="355">
        <f>'3.60 lakhs'!K313</f>
        <v>744.7</v>
      </c>
      <c r="J956" s="353">
        <f t="shared" si="93"/>
        <v>0</v>
      </c>
      <c r="K956" s="743">
        <f t="shared" si="96"/>
        <v>0</v>
      </c>
      <c r="L956" s="368">
        <f t="shared" si="97"/>
        <v>0</v>
      </c>
      <c r="M956" s="708" t="s">
        <v>2322</v>
      </c>
      <c r="N956" s="223"/>
      <c r="O956" s="706">
        <f t="shared" si="99"/>
        <v>0</v>
      </c>
    </row>
    <row r="957" spans="1:15" s="360" customFormat="1" ht="15" hidden="1">
      <c r="A957" s="356" t="s">
        <v>499</v>
      </c>
      <c r="B957" s="707" t="s">
        <v>711</v>
      </c>
      <c r="C957" s="633">
        <f t="shared" si="92"/>
        <v>0</v>
      </c>
      <c r="D957" s="354" t="s">
        <v>102</v>
      </c>
      <c r="E957" s="622">
        <f t="shared" si="98"/>
        <v>750.18</v>
      </c>
      <c r="F957" s="917">
        <f t="shared" si="100"/>
        <v>0</v>
      </c>
      <c r="G957" s="358">
        <f>'3.60 lakhs'!I320</f>
        <v>0</v>
      </c>
      <c r="H957" s="354" t="s">
        <v>102</v>
      </c>
      <c r="I957" s="355">
        <f>'3.60 lakhs'!K320</f>
        <v>750.18</v>
      </c>
      <c r="J957" s="353">
        <f t="shared" si="93"/>
        <v>0</v>
      </c>
      <c r="K957" s="743">
        <f t="shared" si="96"/>
        <v>0</v>
      </c>
      <c r="L957" s="368">
        <f t="shared" si="97"/>
        <v>0</v>
      </c>
      <c r="M957" s="708" t="s">
        <v>2322</v>
      </c>
      <c r="N957" s="223"/>
      <c r="O957" s="706">
        <f t="shared" si="99"/>
        <v>0</v>
      </c>
    </row>
    <row r="958" spans="1:15" s="360" customFormat="1" ht="15" hidden="1">
      <c r="A958" s="356" t="s">
        <v>463</v>
      </c>
      <c r="B958" s="707" t="s">
        <v>511</v>
      </c>
      <c r="C958" s="633">
        <f t="shared" si="92"/>
        <v>0</v>
      </c>
      <c r="D958" s="354" t="s">
        <v>102</v>
      </c>
      <c r="E958" s="622">
        <f t="shared" si="98"/>
        <v>801.83</v>
      </c>
      <c r="F958" s="917">
        <f t="shared" si="100"/>
        <v>0</v>
      </c>
      <c r="G958" s="358">
        <f>'3.60 lakhs'!I333</f>
        <v>0</v>
      </c>
      <c r="H958" s="354" t="s">
        <v>102</v>
      </c>
      <c r="I958" s="355">
        <f>'3.60 lakhs'!K333</f>
        <v>801.83</v>
      </c>
      <c r="J958" s="353">
        <f t="shared" si="93"/>
        <v>0</v>
      </c>
      <c r="K958" s="743">
        <f t="shared" si="96"/>
        <v>0</v>
      </c>
      <c r="L958" s="368">
        <f t="shared" si="97"/>
        <v>0</v>
      </c>
      <c r="M958" s="708" t="s">
        <v>2322</v>
      </c>
      <c r="N958" s="223"/>
      <c r="O958" s="706">
        <f t="shared" si="99"/>
        <v>0</v>
      </c>
    </row>
    <row r="959" spans="1:15" s="360" customFormat="1" ht="15" hidden="1">
      <c r="A959" s="356" t="s">
        <v>464</v>
      </c>
      <c r="B959" s="707" t="s">
        <v>570</v>
      </c>
      <c r="C959" s="633">
        <f t="shared" si="92"/>
        <v>0</v>
      </c>
      <c r="D959" s="354" t="s">
        <v>102</v>
      </c>
      <c r="E959" s="622">
        <f t="shared" si="98"/>
        <v>518.15</v>
      </c>
      <c r="F959" s="917">
        <f t="shared" si="100"/>
        <v>0</v>
      </c>
      <c r="G959" s="358">
        <f>'3.60 lakhs'!I341</f>
        <v>0</v>
      </c>
      <c r="H959" s="354" t="s">
        <v>102</v>
      </c>
      <c r="I959" s="355">
        <f>'3.60 lakhs'!K341</f>
        <v>518.15</v>
      </c>
      <c r="J959" s="353">
        <f t="shared" si="93"/>
        <v>0</v>
      </c>
      <c r="K959" s="743">
        <f t="shared" si="96"/>
        <v>0</v>
      </c>
      <c r="L959" s="368">
        <f t="shared" si="97"/>
        <v>0</v>
      </c>
      <c r="M959" s="708" t="s">
        <v>2322</v>
      </c>
      <c r="N959" s="223"/>
      <c r="O959" s="706">
        <f t="shared" si="99"/>
        <v>0</v>
      </c>
    </row>
    <row r="960" spans="1:15" s="360" customFormat="1" ht="15" hidden="1">
      <c r="A960" s="356" t="s">
        <v>487</v>
      </c>
      <c r="B960" s="707" t="s">
        <v>1223</v>
      </c>
      <c r="C960" s="633">
        <f t="shared" si="92"/>
        <v>0</v>
      </c>
      <c r="D960" s="354" t="s">
        <v>102</v>
      </c>
      <c r="E960" s="622">
        <f t="shared" si="98"/>
        <v>1017.93</v>
      </c>
      <c r="F960" s="917">
        <f t="shared" si="100"/>
        <v>0</v>
      </c>
      <c r="G960" s="358">
        <f>'3.60 lakhs'!I348</f>
        <v>0</v>
      </c>
      <c r="H960" s="354" t="s">
        <v>102</v>
      </c>
      <c r="I960" s="355">
        <f>'3.60 lakhs'!K348</f>
        <v>1017.93</v>
      </c>
      <c r="J960" s="353">
        <f t="shared" si="93"/>
        <v>0</v>
      </c>
      <c r="K960" s="743">
        <f t="shared" si="96"/>
        <v>0</v>
      </c>
      <c r="L960" s="368">
        <f t="shared" si="97"/>
        <v>0</v>
      </c>
      <c r="M960" s="708" t="s">
        <v>2322</v>
      </c>
      <c r="N960" s="223"/>
      <c r="O960" s="706">
        <f t="shared" si="99"/>
        <v>0</v>
      </c>
    </row>
    <row r="961" spans="1:15" s="360" customFormat="1" ht="15" hidden="1">
      <c r="A961" s="356"/>
      <c r="B961" s="707" t="s">
        <v>2271</v>
      </c>
      <c r="C961" s="633">
        <f t="shared" si="92"/>
        <v>0</v>
      </c>
      <c r="D961" s="354" t="s">
        <v>102</v>
      </c>
      <c r="E961" s="622">
        <f t="shared" si="98"/>
        <v>610</v>
      </c>
      <c r="F961" s="917">
        <f t="shared" si="100"/>
        <v>0</v>
      </c>
      <c r="G961" s="358">
        <f>'3.60 lakhs'!I355</f>
        <v>0</v>
      </c>
      <c r="H961" s="354" t="s">
        <v>102</v>
      </c>
      <c r="I961" s="355">
        <f>'3.60 lakhs'!K355</f>
        <v>610</v>
      </c>
      <c r="J961" s="353">
        <f t="shared" si="93"/>
        <v>0</v>
      </c>
      <c r="K961" s="743">
        <f t="shared" si="96"/>
        <v>0</v>
      </c>
      <c r="L961" s="368">
        <f t="shared" si="97"/>
        <v>0</v>
      </c>
      <c r="M961" s="708" t="s">
        <v>2322</v>
      </c>
      <c r="N961" s="223"/>
      <c r="O961" s="706">
        <f t="shared" si="99"/>
        <v>0</v>
      </c>
    </row>
    <row r="962" spans="1:15" s="360" customFormat="1" ht="15" hidden="1">
      <c r="A962" s="356"/>
      <c r="B962" s="707" t="s">
        <v>2272</v>
      </c>
      <c r="C962" s="633">
        <f t="shared" si="92"/>
        <v>0</v>
      </c>
      <c r="D962" s="354" t="s">
        <v>102</v>
      </c>
      <c r="E962" s="622">
        <f t="shared" si="98"/>
        <v>345.47</v>
      </c>
      <c r="F962" s="917">
        <f t="shared" si="100"/>
        <v>0</v>
      </c>
      <c r="G962" s="358">
        <f>'3.60 lakhs'!I362</f>
        <v>0</v>
      </c>
      <c r="H962" s="354" t="s">
        <v>102</v>
      </c>
      <c r="I962" s="355">
        <f>'3.60 lakhs'!K362</f>
        <v>345.47</v>
      </c>
      <c r="J962" s="353">
        <f t="shared" si="93"/>
        <v>0</v>
      </c>
      <c r="K962" s="743">
        <f t="shared" si="96"/>
        <v>0</v>
      </c>
      <c r="L962" s="368">
        <f t="shared" si="97"/>
        <v>0</v>
      </c>
      <c r="M962" s="708" t="s">
        <v>2322</v>
      </c>
      <c r="N962" s="223"/>
      <c r="O962" s="706">
        <f t="shared" si="99"/>
        <v>0</v>
      </c>
    </row>
    <row r="963" spans="1:15" s="360" customFormat="1" ht="15" hidden="1">
      <c r="A963" s="356" t="s">
        <v>491</v>
      </c>
      <c r="B963" s="707" t="s">
        <v>959</v>
      </c>
      <c r="C963" s="633">
        <f t="shared" si="92"/>
        <v>0</v>
      </c>
      <c r="D963" s="354" t="s">
        <v>102</v>
      </c>
      <c r="E963" s="622">
        <f t="shared" si="98"/>
        <v>24.05</v>
      </c>
      <c r="F963" s="917">
        <f t="shared" si="100"/>
        <v>0</v>
      </c>
      <c r="G963" s="358">
        <f>'3.60 lakhs'!I369</f>
        <v>0</v>
      </c>
      <c r="H963" s="354" t="s">
        <v>102</v>
      </c>
      <c r="I963" s="355">
        <f>'3.60 lakhs'!K369</f>
        <v>24.05</v>
      </c>
      <c r="J963" s="353">
        <f t="shared" si="93"/>
        <v>0</v>
      </c>
      <c r="K963" s="743">
        <f t="shared" si="96"/>
        <v>0</v>
      </c>
      <c r="L963" s="368">
        <f t="shared" si="97"/>
        <v>0</v>
      </c>
      <c r="M963" s="708" t="s">
        <v>2322</v>
      </c>
      <c r="N963" s="223"/>
      <c r="O963" s="706">
        <f t="shared" si="99"/>
        <v>0</v>
      </c>
    </row>
    <row r="964" spans="1:15" s="360" customFormat="1" ht="15" hidden="1">
      <c r="A964" s="356" t="s">
        <v>495</v>
      </c>
      <c r="B964" s="707" t="s">
        <v>960</v>
      </c>
      <c r="C964" s="633">
        <f t="shared" si="92"/>
        <v>0</v>
      </c>
      <c r="D964" s="354" t="s">
        <v>102</v>
      </c>
      <c r="E964" s="622">
        <f t="shared" si="98"/>
        <v>173.73</v>
      </c>
      <c r="F964" s="917">
        <f t="shared" si="100"/>
        <v>0</v>
      </c>
      <c r="G964" s="358">
        <f>'3.60 lakhs'!I376</f>
        <v>0</v>
      </c>
      <c r="H964" s="354" t="s">
        <v>102</v>
      </c>
      <c r="I964" s="355">
        <f>'3.60 lakhs'!K376</f>
        <v>173.73</v>
      </c>
      <c r="J964" s="353">
        <f t="shared" si="93"/>
        <v>0</v>
      </c>
      <c r="K964" s="743">
        <f t="shared" si="96"/>
        <v>0</v>
      </c>
      <c r="L964" s="368">
        <f t="shared" si="97"/>
        <v>0</v>
      </c>
      <c r="M964" s="708" t="s">
        <v>2322</v>
      </c>
      <c r="N964" s="223"/>
      <c r="O964" s="706">
        <f t="shared" si="99"/>
        <v>0</v>
      </c>
    </row>
    <row r="965" spans="1:15" s="360" customFormat="1" ht="15" hidden="1">
      <c r="A965" s="356" t="s">
        <v>1518</v>
      </c>
      <c r="B965" s="707" t="s">
        <v>1165</v>
      </c>
      <c r="C965" s="633">
        <f t="shared" si="92"/>
        <v>0</v>
      </c>
      <c r="D965" s="354" t="s">
        <v>102</v>
      </c>
      <c r="E965" s="622">
        <f t="shared" si="98"/>
        <v>146.82</v>
      </c>
      <c r="F965" s="917">
        <f t="shared" si="100"/>
        <v>0</v>
      </c>
      <c r="G965" s="358">
        <f>'3.60 lakhs'!I383</f>
        <v>0</v>
      </c>
      <c r="H965" s="354" t="s">
        <v>102</v>
      </c>
      <c r="I965" s="355">
        <f>'3.60 lakhs'!K383</f>
        <v>146.82</v>
      </c>
      <c r="J965" s="353">
        <f t="shared" si="93"/>
        <v>0</v>
      </c>
      <c r="K965" s="743">
        <f t="shared" si="96"/>
        <v>0</v>
      </c>
      <c r="L965" s="368">
        <f t="shared" si="97"/>
        <v>0</v>
      </c>
      <c r="M965" s="708" t="s">
        <v>2322</v>
      </c>
      <c r="N965" s="223"/>
      <c r="O965" s="706">
        <f t="shared" si="99"/>
        <v>0</v>
      </c>
    </row>
    <row r="966" spans="1:15" s="360" customFormat="1" ht="15" hidden="1">
      <c r="A966" s="356" t="s">
        <v>1520</v>
      </c>
      <c r="B966" s="707" t="s">
        <v>1166</v>
      </c>
      <c r="C966" s="633">
        <f t="shared" si="92"/>
        <v>0</v>
      </c>
      <c r="D966" s="354" t="s">
        <v>102</v>
      </c>
      <c r="E966" s="622">
        <f t="shared" si="98"/>
        <v>200.84</v>
      </c>
      <c r="F966" s="917">
        <f t="shared" si="100"/>
        <v>0</v>
      </c>
      <c r="G966" s="358">
        <f>'3.60 lakhs'!I418</f>
        <v>0</v>
      </c>
      <c r="H966" s="354" t="s">
        <v>102</v>
      </c>
      <c r="I966" s="355">
        <f>'3.60 lakhs'!K418</f>
        <v>200.84</v>
      </c>
      <c r="J966" s="353">
        <f t="shared" si="93"/>
        <v>0</v>
      </c>
      <c r="K966" s="743">
        <f t="shared" si="96"/>
        <v>0</v>
      </c>
      <c r="L966" s="368">
        <f t="shared" si="97"/>
        <v>0</v>
      </c>
      <c r="M966" s="708" t="s">
        <v>2322</v>
      </c>
      <c r="N966" s="223"/>
      <c r="O966" s="706">
        <f t="shared" si="99"/>
        <v>0</v>
      </c>
    </row>
    <row r="967" spans="1:15" s="360" customFormat="1" ht="25.5" hidden="1">
      <c r="A967" s="356" t="s">
        <v>491</v>
      </c>
      <c r="B967" s="707" t="s">
        <v>1224</v>
      </c>
      <c r="C967" s="633">
        <f t="shared" si="92"/>
        <v>0</v>
      </c>
      <c r="D967" s="354" t="s">
        <v>102</v>
      </c>
      <c r="E967" s="622">
        <f t="shared" si="98"/>
        <v>968.78</v>
      </c>
      <c r="F967" s="917">
        <f t="shared" si="100"/>
        <v>0</v>
      </c>
      <c r="G967" s="358">
        <f>'3.60 lakhs'!I429</f>
        <v>0</v>
      </c>
      <c r="H967" s="354" t="s">
        <v>102</v>
      </c>
      <c r="I967" s="355">
        <f>'3.60 lakhs'!K429</f>
        <v>968.78</v>
      </c>
      <c r="J967" s="353">
        <f t="shared" si="93"/>
        <v>0</v>
      </c>
      <c r="K967" s="743">
        <f t="shared" si="96"/>
        <v>0</v>
      </c>
      <c r="L967" s="368">
        <f t="shared" si="97"/>
        <v>0</v>
      </c>
      <c r="M967" s="708" t="s">
        <v>2322</v>
      </c>
      <c r="N967" s="223"/>
      <c r="O967" s="706">
        <f t="shared" si="99"/>
        <v>0</v>
      </c>
    </row>
    <row r="968" spans="1:15" s="360" customFormat="1" ht="25.5" hidden="1">
      <c r="A968" s="356" t="s">
        <v>497</v>
      </c>
      <c r="B968" s="707" t="s">
        <v>706</v>
      </c>
      <c r="C968" s="633">
        <f t="shared" si="92"/>
        <v>0</v>
      </c>
      <c r="D968" s="221" t="s">
        <v>102</v>
      </c>
      <c r="E968" s="622">
        <f t="shared" si="98"/>
        <v>4025</v>
      </c>
      <c r="F968" s="917">
        <f t="shared" si="100"/>
        <v>0</v>
      </c>
      <c r="G968" s="429">
        <f>'3.60 lakhs'!I434</f>
        <v>0</v>
      </c>
      <c r="H968" s="221" t="s">
        <v>102</v>
      </c>
      <c r="I968" s="430">
        <f>'3.60 lakhs'!K434</f>
        <v>4025</v>
      </c>
      <c r="J968" s="353">
        <f t="shared" si="93"/>
        <v>0</v>
      </c>
      <c r="K968" s="743">
        <f t="shared" si="96"/>
        <v>0</v>
      </c>
      <c r="L968" s="368">
        <f t="shared" si="97"/>
        <v>0</v>
      </c>
      <c r="M968" s="708" t="s">
        <v>2322</v>
      </c>
      <c r="N968" s="223"/>
      <c r="O968" s="706">
        <f t="shared" si="99"/>
        <v>0</v>
      </c>
    </row>
    <row r="969" spans="1:15" s="360" customFormat="1" ht="25.5" hidden="1">
      <c r="A969" s="356" t="s">
        <v>492</v>
      </c>
      <c r="B969" s="707" t="s">
        <v>961</v>
      </c>
      <c r="C969" s="633">
        <f t="shared" si="92"/>
        <v>0</v>
      </c>
      <c r="D969" s="354" t="s">
        <v>102</v>
      </c>
      <c r="E969" s="622">
        <f t="shared" si="98"/>
        <v>149.86000000000001</v>
      </c>
      <c r="F969" s="917">
        <f t="shared" si="100"/>
        <v>0</v>
      </c>
      <c r="G969" s="358">
        <f>'3.60 lakhs'!I424</f>
        <v>0</v>
      </c>
      <c r="H969" s="354" t="s">
        <v>102</v>
      </c>
      <c r="I969" s="355">
        <f>'3.60 lakhs'!K424</f>
        <v>149.86000000000001</v>
      </c>
      <c r="J969" s="353">
        <f t="shared" si="93"/>
        <v>0</v>
      </c>
      <c r="K969" s="743">
        <f t="shared" si="96"/>
        <v>0</v>
      </c>
      <c r="L969" s="368">
        <f t="shared" si="97"/>
        <v>0</v>
      </c>
      <c r="M969" s="708" t="s">
        <v>2322</v>
      </c>
      <c r="N969" s="223"/>
      <c r="O969" s="706">
        <f t="shared" si="99"/>
        <v>0</v>
      </c>
    </row>
    <row r="970" spans="1:15" s="360" customFormat="1" ht="15" hidden="1">
      <c r="A970" s="356" t="s">
        <v>492</v>
      </c>
      <c r="B970" s="707" t="s">
        <v>1483</v>
      </c>
      <c r="C970" s="633">
        <f t="shared" ref="C970:C1033" si="101">G970</f>
        <v>0</v>
      </c>
      <c r="D970" s="354" t="s">
        <v>115</v>
      </c>
      <c r="E970" s="622">
        <f t="shared" si="98"/>
        <v>666.66</v>
      </c>
      <c r="F970" s="917">
        <f t="shared" si="100"/>
        <v>0</v>
      </c>
      <c r="G970" s="358">
        <f>'3.60 lakhs'!I439</f>
        <v>0</v>
      </c>
      <c r="H970" s="354" t="s">
        <v>115</v>
      </c>
      <c r="I970" s="355">
        <f>'3.60 lakhs'!K439</f>
        <v>666.66</v>
      </c>
      <c r="J970" s="353">
        <f t="shared" ref="J970:J1033" si="102">ROUND(G970*I970,2)</f>
        <v>0</v>
      </c>
      <c r="K970" s="743">
        <f t="shared" si="96"/>
        <v>0</v>
      </c>
      <c r="L970" s="368">
        <f t="shared" si="97"/>
        <v>0</v>
      </c>
      <c r="M970" s="708" t="s">
        <v>2322</v>
      </c>
      <c r="N970" s="223"/>
      <c r="O970" s="706">
        <f t="shared" si="99"/>
        <v>0</v>
      </c>
    </row>
    <row r="971" spans="1:15" s="360" customFormat="1" ht="15" hidden="1">
      <c r="A971" s="356" t="s">
        <v>465</v>
      </c>
      <c r="B971" s="707" t="s">
        <v>1484</v>
      </c>
      <c r="C971" s="633">
        <f t="shared" si="101"/>
        <v>0</v>
      </c>
      <c r="D971" s="354" t="s">
        <v>115</v>
      </c>
      <c r="E971" s="622">
        <f t="shared" si="98"/>
        <v>500</v>
      </c>
      <c r="F971" s="917">
        <f t="shared" si="100"/>
        <v>0</v>
      </c>
      <c r="G971" s="358">
        <f>'3.60 lakhs'!I444</f>
        <v>0</v>
      </c>
      <c r="H971" s="354" t="s">
        <v>115</v>
      </c>
      <c r="I971" s="355">
        <f>'3.60 lakhs'!K444</f>
        <v>500</v>
      </c>
      <c r="J971" s="353">
        <f t="shared" si="102"/>
        <v>0</v>
      </c>
      <c r="K971" s="743">
        <f t="shared" si="96"/>
        <v>0</v>
      </c>
      <c r="L971" s="368">
        <f t="shared" si="97"/>
        <v>0</v>
      </c>
      <c r="M971" s="708" t="s">
        <v>2322</v>
      </c>
      <c r="N971" s="223"/>
      <c r="O971" s="706">
        <f t="shared" si="99"/>
        <v>0</v>
      </c>
    </row>
    <row r="972" spans="1:15" s="360" customFormat="1" ht="15" hidden="1">
      <c r="A972" s="356" t="s">
        <v>466</v>
      </c>
      <c r="B972" s="707" t="s">
        <v>1485</v>
      </c>
      <c r="C972" s="633">
        <f t="shared" si="101"/>
        <v>0</v>
      </c>
      <c r="D972" s="354" t="s">
        <v>115</v>
      </c>
      <c r="E972" s="622">
        <f t="shared" si="98"/>
        <v>130</v>
      </c>
      <c r="F972" s="917">
        <f t="shared" si="100"/>
        <v>0</v>
      </c>
      <c r="G972" s="358">
        <f>'3.60 lakhs'!I449</f>
        <v>0</v>
      </c>
      <c r="H972" s="354" t="s">
        <v>115</v>
      </c>
      <c r="I972" s="355">
        <f>'3.60 lakhs'!K449</f>
        <v>130</v>
      </c>
      <c r="J972" s="353">
        <f t="shared" si="102"/>
        <v>0</v>
      </c>
      <c r="K972" s="743">
        <f t="shared" si="96"/>
        <v>0</v>
      </c>
      <c r="L972" s="368">
        <f t="shared" si="97"/>
        <v>0</v>
      </c>
      <c r="M972" s="708" t="s">
        <v>2322</v>
      </c>
      <c r="N972" s="223"/>
      <c r="O972" s="706">
        <f t="shared" si="99"/>
        <v>0</v>
      </c>
    </row>
    <row r="973" spans="1:15" s="360" customFormat="1" ht="15" hidden="1">
      <c r="A973" s="356" t="s">
        <v>503</v>
      </c>
      <c r="B973" s="707" t="s">
        <v>477</v>
      </c>
      <c r="C973" s="633">
        <f t="shared" si="101"/>
        <v>0</v>
      </c>
      <c r="D973" s="221" t="s">
        <v>29</v>
      </c>
      <c r="E973" s="622">
        <f t="shared" si="98"/>
        <v>89280</v>
      </c>
      <c r="F973" s="917">
        <f t="shared" si="100"/>
        <v>0</v>
      </c>
      <c r="G973" s="429">
        <f>'3.60 lakhs'!I456</f>
        <v>0</v>
      </c>
      <c r="H973" s="221" t="s">
        <v>29</v>
      </c>
      <c r="I973" s="430">
        <f>'3.60 lakhs'!K456</f>
        <v>89280</v>
      </c>
      <c r="J973" s="353">
        <f t="shared" si="102"/>
        <v>0</v>
      </c>
      <c r="K973" s="743">
        <f t="shared" si="96"/>
        <v>0</v>
      </c>
      <c r="L973" s="368">
        <f t="shared" si="97"/>
        <v>0</v>
      </c>
      <c r="M973" s="708" t="s">
        <v>2322</v>
      </c>
      <c r="N973" s="223"/>
      <c r="O973" s="706">
        <f t="shared" si="99"/>
        <v>0</v>
      </c>
    </row>
    <row r="974" spans="1:15" s="360" customFormat="1" ht="15" hidden="1">
      <c r="A974" s="356" t="s">
        <v>495</v>
      </c>
      <c r="B974" s="707" t="s">
        <v>2068</v>
      </c>
      <c r="C974" s="633">
        <f t="shared" si="101"/>
        <v>0</v>
      </c>
      <c r="D974" s="354" t="s">
        <v>5</v>
      </c>
      <c r="E974" s="622">
        <f t="shared" si="98"/>
        <v>11192.01</v>
      </c>
      <c r="F974" s="917">
        <f t="shared" si="100"/>
        <v>0</v>
      </c>
      <c r="G974" s="358">
        <f>'3.60 lakhs'!I462</f>
        <v>0</v>
      </c>
      <c r="H974" s="354" t="s">
        <v>5</v>
      </c>
      <c r="I974" s="355">
        <f>'3.60 lakhs'!K462</f>
        <v>11192.01</v>
      </c>
      <c r="J974" s="353">
        <f t="shared" si="102"/>
        <v>0</v>
      </c>
      <c r="K974" s="743">
        <f t="shared" si="96"/>
        <v>0</v>
      </c>
      <c r="L974" s="368">
        <f t="shared" si="97"/>
        <v>0</v>
      </c>
      <c r="M974" s="708" t="s">
        <v>2322</v>
      </c>
      <c r="N974" s="223"/>
      <c r="O974" s="706">
        <f t="shared" si="99"/>
        <v>0</v>
      </c>
    </row>
    <row r="975" spans="1:15" s="360" customFormat="1" ht="15" hidden="1">
      <c r="A975" s="356" t="s">
        <v>1517</v>
      </c>
      <c r="B975" s="707" t="s">
        <v>2070</v>
      </c>
      <c r="C975" s="633">
        <f t="shared" si="101"/>
        <v>0</v>
      </c>
      <c r="D975" s="354" t="s">
        <v>5</v>
      </c>
      <c r="E975" s="622">
        <f t="shared" si="98"/>
        <v>10490.18</v>
      </c>
      <c r="F975" s="917">
        <f t="shared" si="100"/>
        <v>0</v>
      </c>
      <c r="G975" s="358">
        <f>'3.60 lakhs'!I468</f>
        <v>0</v>
      </c>
      <c r="H975" s="354" t="s">
        <v>5</v>
      </c>
      <c r="I975" s="355">
        <f>'3.60 lakhs'!K468</f>
        <v>10490.18</v>
      </c>
      <c r="J975" s="353">
        <f t="shared" si="102"/>
        <v>0</v>
      </c>
      <c r="K975" s="743">
        <f t="shared" si="96"/>
        <v>0</v>
      </c>
      <c r="L975" s="368">
        <f t="shared" si="97"/>
        <v>0</v>
      </c>
      <c r="M975" s="708" t="s">
        <v>2322</v>
      </c>
      <c r="N975" s="223"/>
      <c r="O975" s="706">
        <f t="shared" si="99"/>
        <v>0</v>
      </c>
    </row>
    <row r="976" spans="1:15" s="360" customFormat="1" ht="15" hidden="1">
      <c r="A976" s="356" t="s">
        <v>1518</v>
      </c>
      <c r="B976" s="707" t="s">
        <v>2071</v>
      </c>
      <c r="C976" s="633">
        <f t="shared" si="101"/>
        <v>0</v>
      </c>
      <c r="D976" s="354" t="s">
        <v>102</v>
      </c>
      <c r="E976" s="622">
        <f t="shared" si="98"/>
        <v>1395.89</v>
      </c>
      <c r="F976" s="917">
        <f t="shared" si="100"/>
        <v>0</v>
      </c>
      <c r="G976" s="358">
        <f>'3.60 lakhs'!I479</f>
        <v>0</v>
      </c>
      <c r="H976" s="354" t="s">
        <v>102</v>
      </c>
      <c r="I976" s="355">
        <f>'3.60 lakhs'!K479</f>
        <v>1395.89</v>
      </c>
      <c r="J976" s="353">
        <f t="shared" si="102"/>
        <v>0</v>
      </c>
      <c r="K976" s="743">
        <f t="shared" si="96"/>
        <v>0</v>
      </c>
      <c r="L976" s="368">
        <f t="shared" si="97"/>
        <v>0</v>
      </c>
      <c r="M976" s="708" t="s">
        <v>2322</v>
      </c>
      <c r="N976" s="223"/>
      <c r="O976" s="706">
        <f t="shared" si="99"/>
        <v>0</v>
      </c>
    </row>
    <row r="977" spans="1:15" s="360" customFormat="1" ht="15" hidden="1">
      <c r="A977" s="356" t="s">
        <v>487</v>
      </c>
      <c r="B977" s="707" t="s">
        <v>2073</v>
      </c>
      <c r="C977" s="633">
        <f t="shared" si="101"/>
        <v>0</v>
      </c>
      <c r="D977" s="354" t="s">
        <v>102</v>
      </c>
      <c r="E977" s="622">
        <f t="shared" si="98"/>
        <v>1253.01</v>
      </c>
      <c r="F977" s="917">
        <f t="shared" si="100"/>
        <v>0</v>
      </c>
      <c r="G977" s="358">
        <f>'3.60 lakhs'!I484</f>
        <v>0</v>
      </c>
      <c r="H977" s="354" t="s">
        <v>102</v>
      </c>
      <c r="I977" s="355">
        <f>'3.60 lakhs'!K484</f>
        <v>1253.01</v>
      </c>
      <c r="J977" s="353">
        <f t="shared" si="102"/>
        <v>0</v>
      </c>
      <c r="K977" s="743">
        <f t="shared" si="96"/>
        <v>0</v>
      </c>
      <c r="L977" s="368">
        <f t="shared" si="97"/>
        <v>0</v>
      </c>
      <c r="M977" s="708" t="s">
        <v>2322</v>
      </c>
      <c r="N977" s="223"/>
      <c r="O977" s="706">
        <f t="shared" si="99"/>
        <v>0</v>
      </c>
    </row>
    <row r="978" spans="1:15" s="360" customFormat="1" ht="15" hidden="1">
      <c r="A978" s="356" t="s">
        <v>1519</v>
      </c>
      <c r="B978" s="707" t="s">
        <v>2072</v>
      </c>
      <c r="C978" s="633">
        <f t="shared" si="101"/>
        <v>0</v>
      </c>
      <c r="D978" s="221" t="s">
        <v>102</v>
      </c>
      <c r="E978" s="622">
        <f t="shared" si="98"/>
        <v>1538.77</v>
      </c>
      <c r="F978" s="917">
        <f t="shared" si="100"/>
        <v>0</v>
      </c>
      <c r="G978" s="358">
        <f>'3.60 lakhs'!I473</f>
        <v>0</v>
      </c>
      <c r="H978" s="221" t="s">
        <v>102</v>
      </c>
      <c r="I978" s="355">
        <f>'3.60 lakhs'!K473</f>
        <v>1538.77</v>
      </c>
      <c r="J978" s="353">
        <f t="shared" si="102"/>
        <v>0</v>
      </c>
      <c r="K978" s="743">
        <f t="shared" si="96"/>
        <v>0</v>
      </c>
      <c r="L978" s="368">
        <f t="shared" si="97"/>
        <v>0</v>
      </c>
      <c r="M978" s="708" t="s">
        <v>2322</v>
      </c>
      <c r="N978" s="223"/>
      <c r="O978" s="706">
        <f t="shared" si="99"/>
        <v>0</v>
      </c>
    </row>
    <row r="979" spans="1:15" s="360" customFormat="1" ht="15" hidden="1">
      <c r="A979" s="356" t="s">
        <v>517</v>
      </c>
      <c r="B979" s="707" t="s">
        <v>2079</v>
      </c>
      <c r="C979" s="633">
        <f t="shared" si="101"/>
        <v>0</v>
      </c>
      <c r="D979" s="221" t="s">
        <v>102</v>
      </c>
      <c r="E979" s="622">
        <f t="shared" si="98"/>
        <v>694.54</v>
      </c>
      <c r="F979" s="917">
        <f t="shared" si="100"/>
        <v>0</v>
      </c>
      <c r="G979" s="358">
        <f>'3.60 lakhs'!I490</f>
        <v>0</v>
      </c>
      <c r="H979" s="221" t="s">
        <v>102</v>
      </c>
      <c r="I979" s="355">
        <f>'3.60 lakhs'!K490</f>
        <v>694.54</v>
      </c>
      <c r="J979" s="353">
        <f t="shared" si="102"/>
        <v>0</v>
      </c>
      <c r="K979" s="743">
        <f t="shared" si="96"/>
        <v>0</v>
      </c>
      <c r="L979" s="368">
        <f t="shared" si="97"/>
        <v>0</v>
      </c>
      <c r="M979" s="708" t="s">
        <v>2322</v>
      </c>
      <c r="N979" s="223"/>
      <c r="O979" s="706">
        <f t="shared" si="99"/>
        <v>0</v>
      </c>
    </row>
    <row r="980" spans="1:15" s="360" customFormat="1" ht="15" hidden="1">
      <c r="A980" s="356" t="s">
        <v>517</v>
      </c>
      <c r="B980" s="707" t="s">
        <v>2080</v>
      </c>
      <c r="C980" s="633">
        <f t="shared" si="101"/>
        <v>0</v>
      </c>
      <c r="D980" s="221" t="s">
        <v>102</v>
      </c>
      <c r="E980" s="622">
        <f t="shared" si="98"/>
        <v>553.39</v>
      </c>
      <c r="F980" s="917">
        <f t="shared" si="100"/>
        <v>0</v>
      </c>
      <c r="G980" s="358">
        <f>'3.60 lakhs'!I496</f>
        <v>0</v>
      </c>
      <c r="H980" s="221" t="s">
        <v>102</v>
      </c>
      <c r="I980" s="355">
        <f>'3.60 lakhs'!K496</f>
        <v>553.39</v>
      </c>
      <c r="J980" s="353">
        <f t="shared" si="102"/>
        <v>0</v>
      </c>
      <c r="K980" s="743">
        <f t="shared" si="96"/>
        <v>0</v>
      </c>
      <c r="L980" s="368">
        <f t="shared" si="97"/>
        <v>0</v>
      </c>
      <c r="M980" s="708" t="s">
        <v>2322</v>
      </c>
      <c r="N980" s="223"/>
      <c r="O980" s="706">
        <f t="shared" si="99"/>
        <v>0</v>
      </c>
    </row>
    <row r="981" spans="1:15" s="360" customFormat="1" ht="15" hidden="1">
      <c r="A981" s="356" t="s">
        <v>513</v>
      </c>
      <c r="B981" s="707" t="s">
        <v>2076</v>
      </c>
      <c r="C981" s="633">
        <f t="shared" si="101"/>
        <v>0</v>
      </c>
      <c r="D981" s="354" t="s">
        <v>5</v>
      </c>
      <c r="E981" s="622">
        <f t="shared" si="98"/>
        <v>11212.51</v>
      </c>
      <c r="F981" s="917">
        <f t="shared" si="100"/>
        <v>0</v>
      </c>
      <c r="G981" s="358">
        <f>'3.60 lakhs'!I502</f>
        <v>0</v>
      </c>
      <c r="H981" s="354" t="s">
        <v>5</v>
      </c>
      <c r="I981" s="355">
        <f>'3.60 lakhs'!K502</f>
        <v>11212.51</v>
      </c>
      <c r="J981" s="353">
        <f t="shared" si="102"/>
        <v>0</v>
      </c>
      <c r="K981" s="743">
        <f t="shared" si="96"/>
        <v>0</v>
      </c>
      <c r="L981" s="368">
        <f t="shared" si="97"/>
        <v>0</v>
      </c>
      <c r="M981" s="708" t="s">
        <v>2322</v>
      </c>
      <c r="N981" s="223"/>
      <c r="O981" s="706">
        <f t="shared" si="99"/>
        <v>0</v>
      </c>
    </row>
    <row r="982" spans="1:15" s="360" customFormat="1" ht="15" hidden="1">
      <c r="A982" s="356" t="s">
        <v>515</v>
      </c>
      <c r="B982" s="707" t="s">
        <v>2077</v>
      </c>
      <c r="C982" s="633">
        <f t="shared" si="101"/>
        <v>0</v>
      </c>
      <c r="D982" s="221" t="s">
        <v>277</v>
      </c>
      <c r="E982" s="622">
        <f t="shared" si="98"/>
        <v>630.35</v>
      </c>
      <c r="F982" s="917">
        <f t="shared" si="100"/>
        <v>0</v>
      </c>
      <c r="G982" s="358">
        <f>'3.60 lakhs'!I508</f>
        <v>0</v>
      </c>
      <c r="H982" s="221" t="s">
        <v>277</v>
      </c>
      <c r="I982" s="355">
        <f>'3.60 lakhs'!K508</f>
        <v>630.35</v>
      </c>
      <c r="J982" s="353">
        <f t="shared" si="102"/>
        <v>0</v>
      </c>
      <c r="K982" s="743">
        <f t="shared" ref="K982:K1045" si="103">IF(J982&gt;F982,J982-F982,0)</f>
        <v>0</v>
      </c>
      <c r="L982" s="368">
        <f t="shared" ref="L982:L1045" si="104">IF(J982&lt;F982,F982-J982,0)</f>
        <v>0</v>
      </c>
      <c r="M982" s="708" t="s">
        <v>2322</v>
      </c>
      <c r="N982" s="223"/>
      <c r="O982" s="706">
        <f t="shared" si="99"/>
        <v>0</v>
      </c>
    </row>
    <row r="983" spans="1:15" s="360" customFormat="1" ht="15" hidden="1">
      <c r="A983" s="356" t="s">
        <v>497</v>
      </c>
      <c r="B983" s="707" t="s">
        <v>1480</v>
      </c>
      <c r="C983" s="633">
        <f t="shared" si="101"/>
        <v>0</v>
      </c>
      <c r="D983" s="221" t="s">
        <v>102</v>
      </c>
      <c r="E983" s="622">
        <f t="shared" ref="E983:E1046" si="105">I983</f>
        <v>339.16</v>
      </c>
      <c r="F983" s="917">
        <f t="shared" si="100"/>
        <v>0</v>
      </c>
      <c r="G983" s="358">
        <f>'3.60 lakhs'!I514</f>
        <v>0</v>
      </c>
      <c r="H983" s="221" t="s">
        <v>102</v>
      </c>
      <c r="I983" s="355">
        <f>'3.60 lakhs'!K514</f>
        <v>339.16</v>
      </c>
      <c r="J983" s="353">
        <f t="shared" si="102"/>
        <v>0</v>
      </c>
      <c r="K983" s="743">
        <f t="shared" si="103"/>
        <v>0</v>
      </c>
      <c r="L983" s="368">
        <f t="shared" si="104"/>
        <v>0</v>
      </c>
      <c r="M983" s="708" t="s">
        <v>2322</v>
      </c>
      <c r="N983" s="223"/>
      <c r="O983" s="706">
        <f t="shared" ref="O983:O1046" si="106">F983-J983</f>
        <v>0</v>
      </c>
    </row>
    <row r="984" spans="1:15" s="360" customFormat="1" ht="15" hidden="1">
      <c r="A984" s="356" t="s">
        <v>520</v>
      </c>
      <c r="B984" s="707" t="s">
        <v>1481</v>
      </c>
      <c r="C984" s="633">
        <f t="shared" si="101"/>
        <v>0</v>
      </c>
      <c r="D984" s="221" t="s">
        <v>102</v>
      </c>
      <c r="E984" s="622">
        <f t="shared" si="105"/>
        <v>438.06</v>
      </c>
      <c r="F984" s="917">
        <f t="shared" si="100"/>
        <v>0</v>
      </c>
      <c r="G984" s="358">
        <f>'3.60 lakhs'!I520</f>
        <v>0</v>
      </c>
      <c r="H984" s="221" t="s">
        <v>102</v>
      </c>
      <c r="I984" s="355">
        <f>'3.60 lakhs'!K520</f>
        <v>438.06</v>
      </c>
      <c r="J984" s="353">
        <f t="shared" si="102"/>
        <v>0</v>
      </c>
      <c r="K984" s="743">
        <f t="shared" si="103"/>
        <v>0</v>
      </c>
      <c r="L984" s="368">
        <f t="shared" si="104"/>
        <v>0</v>
      </c>
      <c r="M984" s="708" t="s">
        <v>2322</v>
      </c>
      <c r="N984" s="223"/>
      <c r="O984" s="706">
        <f t="shared" si="106"/>
        <v>0</v>
      </c>
    </row>
    <row r="985" spans="1:15" s="360" customFormat="1" ht="15" hidden="1">
      <c r="A985" s="356" t="s">
        <v>519</v>
      </c>
      <c r="B985" s="707" t="s">
        <v>829</v>
      </c>
      <c r="C985" s="633">
        <f t="shared" si="101"/>
        <v>0</v>
      </c>
      <c r="D985" s="354" t="s">
        <v>5</v>
      </c>
      <c r="E985" s="622">
        <f t="shared" si="105"/>
        <v>7283.96</v>
      </c>
      <c r="F985" s="917">
        <f t="shared" si="100"/>
        <v>0</v>
      </c>
      <c r="G985" s="358">
        <f>'3.60 lakhs'!I532</f>
        <v>0</v>
      </c>
      <c r="H985" s="354" t="s">
        <v>5</v>
      </c>
      <c r="I985" s="355">
        <f>'3.60 lakhs'!K532</f>
        <v>7283.96</v>
      </c>
      <c r="J985" s="353">
        <f t="shared" si="102"/>
        <v>0</v>
      </c>
      <c r="K985" s="743">
        <f t="shared" si="103"/>
        <v>0</v>
      </c>
      <c r="L985" s="368">
        <f t="shared" si="104"/>
        <v>0</v>
      </c>
      <c r="M985" s="708" t="s">
        <v>2322</v>
      </c>
      <c r="N985" s="223"/>
      <c r="O985" s="706">
        <f t="shared" si="106"/>
        <v>0</v>
      </c>
    </row>
    <row r="986" spans="1:15" s="360" customFormat="1" ht="15" hidden="1">
      <c r="A986" s="356" t="s">
        <v>491</v>
      </c>
      <c r="B986" s="707" t="s">
        <v>828</v>
      </c>
      <c r="C986" s="633">
        <f t="shared" si="101"/>
        <v>0</v>
      </c>
      <c r="D986" s="354" t="s">
        <v>5</v>
      </c>
      <c r="E986" s="622">
        <f t="shared" si="105"/>
        <v>7227.5599999999995</v>
      </c>
      <c r="F986" s="917">
        <f t="shared" si="100"/>
        <v>0</v>
      </c>
      <c r="G986" s="358">
        <f>'3.60 lakhs'!I526</f>
        <v>0</v>
      </c>
      <c r="H986" s="354" t="s">
        <v>5</v>
      </c>
      <c r="I986" s="355">
        <f>'3.60 lakhs'!K526</f>
        <v>7227.5599999999995</v>
      </c>
      <c r="J986" s="353">
        <f t="shared" si="102"/>
        <v>0</v>
      </c>
      <c r="K986" s="743">
        <f t="shared" si="103"/>
        <v>0</v>
      </c>
      <c r="L986" s="368">
        <f t="shared" si="104"/>
        <v>0</v>
      </c>
      <c r="M986" s="708" t="s">
        <v>2322</v>
      </c>
      <c r="N986" s="223"/>
      <c r="O986" s="706">
        <f t="shared" si="106"/>
        <v>0</v>
      </c>
    </row>
    <row r="987" spans="1:15" s="360" customFormat="1" ht="25.5" hidden="1">
      <c r="A987" s="356" t="s">
        <v>521</v>
      </c>
      <c r="B987" s="707" t="s">
        <v>705</v>
      </c>
      <c r="C987" s="633">
        <f t="shared" si="101"/>
        <v>0</v>
      </c>
      <c r="D987" s="354" t="s">
        <v>102</v>
      </c>
      <c r="E987" s="622">
        <f t="shared" si="105"/>
        <v>945.26</v>
      </c>
      <c r="F987" s="917">
        <f t="shared" si="100"/>
        <v>0</v>
      </c>
      <c r="G987" s="358">
        <f>'3.60 lakhs'!I539</f>
        <v>0</v>
      </c>
      <c r="H987" s="354" t="s">
        <v>102</v>
      </c>
      <c r="I987" s="355">
        <f>'3.60 lakhs'!K539</f>
        <v>945.26</v>
      </c>
      <c r="J987" s="353">
        <f t="shared" si="102"/>
        <v>0</v>
      </c>
      <c r="K987" s="743">
        <f t="shared" si="103"/>
        <v>0</v>
      </c>
      <c r="L987" s="368">
        <f t="shared" si="104"/>
        <v>0</v>
      </c>
      <c r="M987" s="708" t="s">
        <v>2322</v>
      </c>
      <c r="N987" s="223"/>
      <c r="O987" s="706">
        <f t="shared" si="106"/>
        <v>0</v>
      </c>
    </row>
    <row r="988" spans="1:15" s="360" customFormat="1" ht="15" hidden="1">
      <c r="A988" s="356" t="s">
        <v>483</v>
      </c>
      <c r="B988" s="707" t="s">
        <v>1222</v>
      </c>
      <c r="C988" s="633">
        <f t="shared" si="101"/>
        <v>0</v>
      </c>
      <c r="D988" s="354" t="s">
        <v>102</v>
      </c>
      <c r="E988" s="622">
        <f t="shared" si="105"/>
        <v>6718.55</v>
      </c>
      <c r="F988" s="917">
        <f t="shared" si="100"/>
        <v>0</v>
      </c>
      <c r="G988" s="358">
        <f>'3.60 lakhs'!I546</f>
        <v>0</v>
      </c>
      <c r="H988" s="354" t="s">
        <v>102</v>
      </c>
      <c r="I988" s="355">
        <f>'3.60 lakhs'!K546</f>
        <v>6718.55</v>
      </c>
      <c r="J988" s="353">
        <f t="shared" si="102"/>
        <v>0</v>
      </c>
      <c r="K988" s="743">
        <f t="shared" si="103"/>
        <v>0</v>
      </c>
      <c r="L988" s="368">
        <f t="shared" si="104"/>
        <v>0</v>
      </c>
      <c r="M988" s="708" t="s">
        <v>2322</v>
      </c>
      <c r="N988" s="223"/>
      <c r="O988" s="706">
        <f t="shared" si="106"/>
        <v>0</v>
      </c>
    </row>
    <row r="989" spans="1:15" s="360" customFormat="1" ht="15" hidden="1">
      <c r="A989" s="356" t="s">
        <v>484</v>
      </c>
      <c r="B989" s="707" t="s">
        <v>1215</v>
      </c>
      <c r="C989" s="633">
        <f t="shared" si="101"/>
        <v>0</v>
      </c>
      <c r="D989" s="354" t="s">
        <v>102</v>
      </c>
      <c r="E989" s="622">
        <f t="shared" si="105"/>
        <v>2346.34</v>
      </c>
      <c r="F989" s="917">
        <f t="shared" si="100"/>
        <v>0</v>
      </c>
      <c r="G989" s="358">
        <f>'3.60 lakhs'!I552</f>
        <v>0</v>
      </c>
      <c r="H989" s="354" t="s">
        <v>102</v>
      </c>
      <c r="I989" s="355">
        <f>'3.60 lakhs'!K552</f>
        <v>2346.34</v>
      </c>
      <c r="J989" s="353">
        <f t="shared" si="102"/>
        <v>0</v>
      </c>
      <c r="K989" s="743">
        <f t="shared" si="103"/>
        <v>0</v>
      </c>
      <c r="L989" s="368">
        <f t="shared" si="104"/>
        <v>0</v>
      </c>
      <c r="M989" s="708" t="s">
        <v>2322</v>
      </c>
      <c r="N989" s="223"/>
      <c r="O989" s="706">
        <f t="shared" si="106"/>
        <v>0</v>
      </c>
    </row>
    <row r="990" spans="1:15" s="360" customFormat="1" ht="15" hidden="1">
      <c r="A990" s="356" t="s">
        <v>516</v>
      </c>
      <c r="B990" s="707" t="s">
        <v>481</v>
      </c>
      <c r="C990" s="633">
        <f t="shared" si="101"/>
        <v>0</v>
      </c>
      <c r="D990" s="354" t="s">
        <v>102</v>
      </c>
      <c r="E990" s="622">
        <f t="shared" si="105"/>
        <v>351.17</v>
      </c>
      <c r="F990" s="917">
        <f t="shared" si="100"/>
        <v>0</v>
      </c>
      <c r="G990" s="358">
        <f>'3.60 lakhs'!I559</f>
        <v>0</v>
      </c>
      <c r="H990" s="354" t="s">
        <v>102</v>
      </c>
      <c r="I990" s="355">
        <f>'3.60 lakhs'!K559</f>
        <v>351.17</v>
      </c>
      <c r="J990" s="353">
        <f t="shared" si="102"/>
        <v>0</v>
      </c>
      <c r="K990" s="743">
        <f t="shared" si="103"/>
        <v>0</v>
      </c>
      <c r="L990" s="368">
        <f t="shared" si="104"/>
        <v>0</v>
      </c>
      <c r="M990" s="708" t="s">
        <v>2322</v>
      </c>
      <c r="N990" s="223"/>
      <c r="O990" s="706">
        <f t="shared" si="106"/>
        <v>0</v>
      </c>
    </row>
    <row r="991" spans="1:15" s="360" customFormat="1" ht="15" hidden="1">
      <c r="A991" s="356" t="s">
        <v>516</v>
      </c>
      <c r="B991" s="707" t="s">
        <v>505</v>
      </c>
      <c r="C991" s="633">
        <f t="shared" si="101"/>
        <v>0</v>
      </c>
      <c r="D991" s="354" t="s">
        <v>102</v>
      </c>
      <c r="E991" s="622">
        <f t="shared" si="105"/>
        <v>323.04000000000002</v>
      </c>
      <c r="F991" s="917">
        <f t="shared" si="100"/>
        <v>0</v>
      </c>
      <c r="G991" s="358">
        <f>'3.60 lakhs'!I567</f>
        <v>0</v>
      </c>
      <c r="H991" s="354" t="s">
        <v>102</v>
      </c>
      <c r="I991" s="355">
        <f>'3.60 lakhs'!K567</f>
        <v>323.04000000000002</v>
      </c>
      <c r="J991" s="353">
        <f t="shared" si="102"/>
        <v>0</v>
      </c>
      <c r="K991" s="743">
        <f t="shared" si="103"/>
        <v>0</v>
      </c>
      <c r="L991" s="368">
        <f t="shared" si="104"/>
        <v>0</v>
      </c>
      <c r="M991" s="708" t="s">
        <v>2322</v>
      </c>
      <c r="N991" s="223"/>
      <c r="O991" s="706">
        <f t="shared" si="106"/>
        <v>0</v>
      </c>
    </row>
    <row r="992" spans="1:15" s="360" customFormat="1" ht="15" hidden="1">
      <c r="A992" s="356" t="s">
        <v>517</v>
      </c>
      <c r="B992" s="707" t="s">
        <v>805</v>
      </c>
      <c r="C992" s="633">
        <f t="shared" si="101"/>
        <v>0</v>
      </c>
      <c r="D992" s="354" t="s">
        <v>102</v>
      </c>
      <c r="E992" s="622">
        <f t="shared" si="105"/>
        <v>343.23</v>
      </c>
      <c r="F992" s="917">
        <f t="shared" si="100"/>
        <v>0</v>
      </c>
      <c r="G992" s="358">
        <f>'3.60 lakhs'!I575</f>
        <v>0</v>
      </c>
      <c r="H992" s="354" t="s">
        <v>102</v>
      </c>
      <c r="I992" s="355">
        <f>'3.60 lakhs'!K575</f>
        <v>343.23</v>
      </c>
      <c r="J992" s="353">
        <f t="shared" si="102"/>
        <v>0</v>
      </c>
      <c r="K992" s="743">
        <f t="shared" si="103"/>
        <v>0</v>
      </c>
      <c r="L992" s="368">
        <f t="shared" si="104"/>
        <v>0</v>
      </c>
      <c r="M992" s="708" t="s">
        <v>2322</v>
      </c>
      <c r="N992" s="223"/>
      <c r="O992" s="706">
        <f t="shared" si="106"/>
        <v>0</v>
      </c>
    </row>
    <row r="993" spans="1:15" s="360" customFormat="1" ht="15" hidden="1">
      <c r="A993" s="356" t="s">
        <v>518</v>
      </c>
      <c r="B993" s="707" t="s">
        <v>830</v>
      </c>
      <c r="C993" s="633">
        <f t="shared" si="101"/>
        <v>0</v>
      </c>
      <c r="D993" s="354" t="s">
        <v>102</v>
      </c>
      <c r="E993" s="622">
        <f t="shared" si="105"/>
        <v>425.82</v>
      </c>
      <c r="F993" s="917">
        <f t="shared" si="100"/>
        <v>0</v>
      </c>
      <c r="G993" s="358">
        <f>'3.60 lakhs'!I582</f>
        <v>0</v>
      </c>
      <c r="H993" s="354" t="s">
        <v>102</v>
      </c>
      <c r="I993" s="355">
        <f>'3.60 lakhs'!K582</f>
        <v>425.82</v>
      </c>
      <c r="J993" s="353">
        <f t="shared" si="102"/>
        <v>0</v>
      </c>
      <c r="K993" s="743">
        <f t="shared" si="103"/>
        <v>0</v>
      </c>
      <c r="L993" s="368">
        <f t="shared" si="104"/>
        <v>0</v>
      </c>
      <c r="M993" s="708" t="s">
        <v>2322</v>
      </c>
      <c r="N993" s="223"/>
      <c r="O993" s="706">
        <f t="shared" si="106"/>
        <v>0</v>
      </c>
    </row>
    <row r="994" spans="1:15" s="360" customFormat="1" ht="15" hidden="1">
      <c r="A994" s="356" t="s">
        <v>520</v>
      </c>
      <c r="B994" s="707" t="s">
        <v>541</v>
      </c>
      <c r="C994" s="633">
        <f t="shared" si="101"/>
        <v>0</v>
      </c>
      <c r="D994" s="354" t="s">
        <v>102</v>
      </c>
      <c r="E994" s="622">
        <f t="shared" si="105"/>
        <v>441.63</v>
      </c>
      <c r="F994" s="917">
        <f t="shared" si="100"/>
        <v>0</v>
      </c>
      <c r="G994" s="358">
        <f>'3.60 lakhs'!I589</f>
        <v>0</v>
      </c>
      <c r="H994" s="354" t="s">
        <v>102</v>
      </c>
      <c r="I994" s="355">
        <f>'3.60 lakhs'!K589</f>
        <v>441.63</v>
      </c>
      <c r="J994" s="353">
        <f t="shared" si="102"/>
        <v>0</v>
      </c>
      <c r="K994" s="743">
        <f t="shared" si="103"/>
        <v>0</v>
      </c>
      <c r="L994" s="368">
        <f t="shared" si="104"/>
        <v>0</v>
      </c>
      <c r="M994" s="708" t="s">
        <v>2322</v>
      </c>
      <c r="N994" s="223"/>
      <c r="O994" s="706">
        <f t="shared" si="106"/>
        <v>0</v>
      </c>
    </row>
    <row r="995" spans="1:15" s="360" customFormat="1" ht="15" hidden="1">
      <c r="A995" s="356" t="s">
        <v>503</v>
      </c>
      <c r="B995" s="707" t="s">
        <v>2078</v>
      </c>
      <c r="C995" s="633">
        <f t="shared" si="101"/>
        <v>0</v>
      </c>
      <c r="D995" s="354" t="s">
        <v>5</v>
      </c>
      <c r="E995" s="622">
        <f t="shared" si="105"/>
        <v>5722.81</v>
      </c>
      <c r="F995" s="917">
        <f t="shared" si="100"/>
        <v>0</v>
      </c>
      <c r="G995" s="358">
        <f>'3.60 lakhs'!I596</f>
        <v>0</v>
      </c>
      <c r="H995" s="354" t="s">
        <v>5</v>
      </c>
      <c r="I995" s="355">
        <f>'3.60 lakhs'!K596</f>
        <v>5722.81</v>
      </c>
      <c r="J995" s="353">
        <f t="shared" si="102"/>
        <v>0</v>
      </c>
      <c r="K995" s="743">
        <f t="shared" si="103"/>
        <v>0</v>
      </c>
      <c r="L995" s="368">
        <f t="shared" si="104"/>
        <v>0</v>
      </c>
      <c r="M995" s="708" t="s">
        <v>2322</v>
      </c>
      <c r="N995" s="223"/>
      <c r="O995" s="706">
        <f t="shared" si="106"/>
        <v>0</v>
      </c>
    </row>
    <row r="996" spans="1:15" s="360" customFormat="1" ht="15" hidden="1">
      <c r="A996" s="356" t="s">
        <v>522</v>
      </c>
      <c r="B996" s="707" t="s">
        <v>507</v>
      </c>
      <c r="C996" s="633">
        <f t="shared" si="101"/>
        <v>0</v>
      </c>
      <c r="D996" s="354" t="s">
        <v>102</v>
      </c>
      <c r="E996" s="622">
        <f t="shared" si="105"/>
        <v>1103.3900000000001</v>
      </c>
      <c r="F996" s="917">
        <f t="shared" si="100"/>
        <v>0</v>
      </c>
      <c r="G996" s="358">
        <f>'3.60 lakhs'!I603</f>
        <v>0</v>
      </c>
      <c r="H996" s="354" t="s">
        <v>102</v>
      </c>
      <c r="I996" s="355">
        <f>'3.60 lakhs'!K603</f>
        <v>1103.3900000000001</v>
      </c>
      <c r="J996" s="353">
        <f t="shared" si="102"/>
        <v>0</v>
      </c>
      <c r="K996" s="743">
        <f t="shared" si="103"/>
        <v>0</v>
      </c>
      <c r="L996" s="368">
        <f t="shared" si="104"/>
        <v>0</v>
      </c>
      <c r="M996" s="708" t="s">
        <v>2322</v>
      </c>
      <c r="N996" s="223"/>
      <c r="O996" s="706">
        <f t="shared" si="106"/>
        <v>0</v>
      </c>
    </row>
    <row r="997" spans="1:15" s="360" customFormat="1" ht="15" hidden="1">
      <c r="A997" s="356" t="s">
        <v>525</v>
      </c>
      <c r="B997" s="707" t="s">
        <v>509</v>
      </c>
      <c r="C997" s="633">
        <f t="shared" si="101"/>
        <v>0</v>
      </c>
      <c r="D997" s="354" t="s">
        <v>102</v>
      </c>
      <c r="E997" s="622">
        <f t="shared" si="105"/>
        <v>1098.05</v>
      </c>
      <c r="F997" s="917">
        <f t="shared" si="100"/>
        <v>0</v>
      </c>
      <c r="G997" s="358">
        <f>'3.60 lakhs'!I610</f>
        <v>0</v>
      </c>
      <c r="H997" s="354" t="s">
        <v>102</v>
      </c>
      <c r="I997" s="355">
        <f>'3.60 lakhs'!K610</f>
        <v>1098.05</v>
      </c>
      <c r="J997" s="353">
        <f t="shared" si="102"/>
        <v>0</v>
      </c>
      <c r="K997" s="743">
        <f t="shared" si="103"/>
        <v>0</v>
      </c>
      <c r="L997" s="368">
        <f t="shared" si="104"/>
        <v>0</v>
      </c>
      <c r="M997" s="708" t="s">
        <v>2322</v>
      </c>
      <c r="N997" s="223"/>
      <c r="O997" s="706">
        <f t="shared" si="106"/>
        <v>0</v>
      </c>
    </row>
    <row r="998" spans="1:15" s="360" customFormat="1" ht="15" hidden="1">
      <c r="A998" s="356" t="s">
        <v>526</v>
      </c>
      <c r="B998" s="707" t="s">
        <v>708</v>
      </c>
      <c r="C998" s="633">
        <f t="shared" si="101"/>
        <v>0</v>
      </c>
      <c r="D998" s="354" t="s">
        <v>77</v>
      </c>
      <c r="E998" s="622">
        <f t="shared" si="105"/>
        <v>3181.62</v>
      </c>
      <c r="F998" s="917">
        <f t="shared" si="100"/>
        <v>0</v>
      </c>
      <c r="G998" s="358">
        <f>'3.60 lakhs'!I617</f>
        <v>0</v>
      </c>
      <c r="H998" s="354" t="s">
        <v>77</v>
      </c>
      <c r="I998" s="355">
        <f>'3.60 lakhs'!K617</f>
        <v>3181.62</v>
      </c>
      <c r="J998" s="353">
        <f t="shared" si="102"/>
        <v>0</v>
      </c>
      <c r="K998" s="743">
        <f t="shared" si="103"/>
        <v>0</v>
      </c>
      <c r="L998" s="368">
        <f t="shared" si="104"/>
        <v>0</v>
      </c>
      <c r="M998" s="708" t="s">
        <v>2322</v>
      </c>
      <c r="N998" s="223"/>
      <c r="O998" s="706">
        <f t="shared" si="106"/>
        <v>0</v>
      </c>
    </row>
    <row r="999" spans="1:15" s="360" customFormat="1" ht="15" hidden="1">
      <c r="A999" s="356" t="s">
        <v>527</v>
      </c>
      <c r="B999" s="707" t="s">
        <v>877</v>
      </c>
      <c r="C999" s="633">
        <f t="shared" si="101"/>
        <v>0</v>
      </c>
      <c r="D999" s="354" t="s">
        <v>102</v>
      </c>
      <c r="E999" s="622">
        <f t="shared" si="105"/>
        <v>2950.54</v>
      </c>
      <c r="F999" s="917">
        <f t="shared" si="100"/>
        <v>0</v>
      </c>
      <c r="G999" s="358">
        <f>'3.60 lakhs'!I624</f>
        <v>0</v>
      </c>
      <c r="H999" s="354" t="s">
        <v>102</v>
      </c>
      <c r="I999" s="355">
        <f>'3.60 lakhs'!K624</f>
        <v>2950.54</v>
      </c>
      <c r="J999" s="353">
        <f t="shared" si="102"/>
        <v>0</v>
      </c>
      <c r="K999" s="743">
        <f t="shared" si="103"/>
        <v>0</v>
      </c>
      <c r="L999" s="368">
        <f t="shared" si="104"/>
        <v>0</v>
      </c>
      <c r="M999" s="708" t="s">
        <v>2322</v>
      </c>
      <c r="N999" s="223"/>
      <c r="O999" s="706">
        <f t="shared" si="106"/>
        <v>0</v>
      </c>
    </row>
    <row r="1000" spans="1:15" s="360" customFormat="1" ht="15" hidden="1">
      <c r="A1000" s="356" t="s">
        <v>529</v>
      </c>
      <c r="B1000" s="707" t="s">
        <v>710</v>
      </c>
      <c r="C1000" s="633">
        <f t="shared" si="101"/>
        <v>0</v>
      </c>
      <c r="D1000" s="354" t="s">
        <v>102</v>
      </c>
      <c r="E1000" s="622">
        <f t="shared" si="105"/>
        <v>780.73</v>
      </c>
      <c r="F1000" s="917">
        <f t="shared" si="100"/>
        <v>0</v>
      </c>
      <c r="G1000" s="358">
        <f>'3.60 lakhs'!I632</f>
        <v>0</v>
      </c>
      <c r="H1000" s="354" t="s">
        <v>102</v>
      </c>
      <c r="I1000" s="355">
        <f>'3.60 lakhs'!K632</f>
        <v>780.73</v>
      </c>
      <c r="J1000" s="353">
        <f t="shared" si="102"/>
        <v>0</v>
      </c>
      <c r="K1000" s="743">
        <f t="shared" si="103"/>
        <v>0</v>
      </c>
      <c r="L1000" s="368">
        <f t="shared" si="104"/>
        <v>0</v>
      </c>
      <c r="M1000" s="708" t="s">
        <v>2322</v>
      </c>
      <c r="N1000" s="223"/>
      <c r="O1000" s="706">
        <f t="shared" si="106"/>
        <v>0</v>
      </c>
    </row>
    <row r="1001" spans="1:15" s="360" customFormat="1" ht="15" hidden="1">
      <c r="A1001" s="356" t="s">
        <v>530</v>
      </c>
      <c r="B1001" s="707" t="s">
        <v>711</v>
      </c>
      <c r="C1001" s="633">
        <f t="shared" si="101"/>
        <v>0</v>
      </c>
      <c r="D1001" s="354" t="s">
        <v>102</v>
      </c>
      <c r="E1001" s="622">
        <f t="shared" si="105"/>
        <v>786.2</v>
      </c>
      <c r="F1001" s="917">
        <f t="shared" si="100"/>
        <v>0</v>
      </c>
      <c r="G1001" s="358">
        <f>'3.60 lakhs'!I639</f>
        <v>0</v>
      </c>
      <c r="H1001" s="354" t="s">
        <v>102</v>
      </c>
      <c r="I1001" s="355">
        <f>'3.60 lakhs'!K639</f>
        <v>786.2</v>
      </c>
      <c r="J1001" s="353">
        <f t="shared" si="102"/>
        <v>0</v>
      </c>
      <c r="K1001" s="743">
        <f t="shared" si="103"/>
        <v>0</v>
      </c>
      <c r="L1001" s="368">
        <f t="shared" si="104"/>
        <v>0</v>
      </c>
      <c r="M1001" s="708" t="s">
        <v>2322</v>
      </c>
      <c r="N1001" s="223"/>
      <c r="O1001" s="706">
        <f t="shared" si="106"/>
        <v>0</v>
      </c>
    </row>
    <row r="1002" spans="1:15" s="360" customFormat="1" ht="15" hidden="1">
      <c r="A1002" s="356" t="s">
        <v>528</v>
      </c>
      <c r="B1002" s="707" t="s">
        <v>511</v>
      </c>
      <c r="C1002" s="633">
        <f t="shared" si="101"/>
        <v>0</v>
      </c>
      <c r="D1002" s="354" t="s">
        <v>102</v>
      </c>
      <c r="E1002" s="622">
        <f t="shared" si="105"/>
        <v>837.86</v>
      </c>
      <c r="F1002" s="917">
        <f t="shared" si="100"/>
        <v>0</v>
      </c>
      <c r="G1002" s="358">
        <f>'3.60 lakhs'!I646</f>
        <v>0</v>
      </c>
      <c r="H1002" s="354" t="s">
        <v>102</v>
      </c>
      <c r="I1002" s="355">
        <f>'3.60 lakhs'!K646</f>
        <v>837.86</v>
      </c>
      <c r="J1002" s="353">
        <f t="shared" si="102"/>
        <v>0</v>
      </c>
      <c r="K1002" s="743">
        <f t="shared" si="103"/>
        <v>0</v>
      </c>
      <c r="L1002" s="368">
        <f t="shared" si="104"/>
        <v>0</v>
      </c>
      <c r="M1002" s="708" t="s">
        <v>2322</v>
      </c>
      <c r="N1002" s="223"/>
      <c r="O1002" s="706">
        <f t="shared" si="106"/>
        <v>0</v>
      </c>
    </row>
    <row r="1003" spans="1:15" s="360" customFormat="1" ht="15" hidden="1">
      <c r="A1003" s="356" t="s">
        <v>529</v>
      </c>
      <c r="B1003" s="707" t="s">
        <v>570</v>
      </c>
      <c r="C1003" s="633">
        <f t="shared" si="101"/>
        <v>0</v>
      </c>
      <c r="D1003" s="354" t="s">
        <v>102</v>
      </c>
      <c r="E1003" s="622">
        <f t="shared" si="105"/>
        <v>527.21</v>
      </c>
      <c r="F1003" s="917">
        <f t="shared" si="100"/>
        <v>0</v>
      </c>
      <c r="G1003" s="358">
        <f>'3.60 lakhs'!I653</f>
        <v>0</v>
      </c>
      <c r="H1003" s="354" t="s">
        <v>102</v>
      </c>
      <c r="I1003" s="355">
        <f>'3.60 lakhs'!K653</f>
        <v>527.21</v>
      </c>
      <c r="J1003" s="353">
        <f t="shared" si="102"/>
        <v>0</v>
      </c>
      <c r="K1003" s="743">
        <f t="shared" si="103"/>
        <v>0</v>
      </c>
      <c r="L1003" s="368">
        <f t="shared" si="104"/>
        <v>0</v>
      </c>
      <c r="M1003" s="708" t="s">
        <v>2322</v>
      </c>
      <c r="N1003" s="223"/>
      <c r="O1003" s="706">
        <f t="shared" si="106"/>
        <v>0</v>
      </c>
    </row>
    <row r="1004" spans="1:15" s="360" customFormat="1" ht="15" hidden="1">
      <c r="A1004" s="356" t="s">
        <v>492</v>
      </c>
      <c r="B1004" s="707" t="s">
        <v>1223</v>
      </c>
      <c r="C1004" s="633">
        <f t="shared" si="101"/>
        <v>0</v>
      </c>
      <c r="D1004" s="354" t="s">
        <v>102</v>
      </c>
      <c r="E1004" s="622">
        <f t="shared" si="105"/>
        <v>1059.21</v>
      </c>
      <c r="F1004" s="917">
        <f t="shared" si="100"/>
        <v>0</v>
      </c>
      <c r="G1004" s="358">
        <f>'3.60 lakhs'!I661</f>
        <v>0</v>
      </c>
      <c r="H1004" s="354" t="s">
        <v>102</v>
      </c>
      <c r="I1004" s="355">
        <f>'3.60 lakhs'!K661</f>
        <v>1059.21</v>
      </c>
      <c r="J1004" s="353">
        <f t="shared" si="102"/>
        <v>0</v>
      </c>
      <c r="K1004" s="743">
        <f t="shared" si="103"/>
        <v>0</v>
      </c>
      <c r="L1004" s="368">
        <f t="shared" si="104"/>
        <v>0</v>
      </c>
      <c r="M1004" s="708" t="s">
        <v>2322</v>
      </c>
      <c r="N1004" s="223"/>
      <c r="O1004" s="706">
        <f t="shared" si="106"/>
        <v>0</v>
      </c>
    </row>
    <row r="1005" spans="1:15" s="360" customFormat="1" ht="15" hidden="1">
      <c r="A1005" s="356" t="s">
        <v>533</v>
      </c>
      <c r="B1005" s="707" t="s">
        <v>707</v>
      </c>
      <c r="C1005" s="633">
        <f t="shared" si="101"/>
        <v>0</v>
      </c>
      <c r="D1005" s="354" t="s">
        <v>102</v>
      </c>
      <c r="E1005" s="622">
        <f t="shared" si="105"/>
        <v>25.98</v>
      </c>
      <c r="F1005" s="917">
        <f t="shared" si="100"/>
        <v>0</v>
      </c>
      <c r="G1005" s="358">
        <f>'3.60 lakhs'!I670</f>
        <v>0</v>
      </c>
      <c r="H1005" s="354" t="s">
        <v>102</v>
      </c>
      <c r="I1005" s="355">
        <f>'3.60 lakhs'!K670</f>
        <v>25.98</v>
      </c>
      <c r="J1005" s="353">
        <f t="shared" si="102"/>
        <v>0</v>
      </c>
      <c r="K1005" s="743">
        <f t="shared" si="103"/>
        <v>0</v>
      </c>
      <c r="L1005" s="368">
        <f t="shared" si="104"/>
        <v>0</v>
      </c>
      <c r="M1005" s="708" t="s">
        <v>2322</v>
      </c>
      <c r="N1005" s="223"/>
      <c r="O1005" s="706">
        <f t="shared" si="106"/>
        <v>0</v>
      </c>
    </row>
    <row r="1006" spans="1:15" s="360" customFormat="1" ht="15" hidden="1">
      <c r="A1006" s="356" t="s">
        <v>530</v>
      </c>
      <c r="B1006" s="707" t="s">
        <v>888</v>
      </c>
      <c r="C1006" s="633">
        <f t="shared" si="101"/>
        <v>0</v>
      </c>
      <c r="D1006" s="354" t="s">
        <v>102</v>
      </c>
      <c r="E1006" s="622">
        <f t="shared" si="105"/>
        <v>184.03</v>
      </c>
      <c r="F1006" s="917">
        <f t="shared" si="100"/>
        <v>0</v>
      </c>
      <c r="G1006" s="358">
        <f>'3.60 lakhs'!I680</f>
        <v>0</v>
      </c>
      <c r="H1006" s="354" t="s">
        <v>102</v>
      </c>
      <c r="I1006" s="355">
        <f>'3.60 lakhs'!K680</f>
        <v>184.03</v>
      </c>
      <c r="J1006" s="353">
        <f t="shared" si="102"/>
        <v>0</v>
      </c>
      <c r="K1006" s="743">
        <f t="shared" si="103"/>
        <v>0</v>
      </c>
      <c r="L1006" s="368">
        <f t="shared" si="104"/>
        <v>0</v>
      </c>
      <c r="M1006" s="708" t="s">
        <v>2322</v>
      </c>
      <c r="N1006" s="223"/>
      <c r="O1006" s="706">
        <f t="shared" si="106"/>
        <v>0</v>
      </c>
    </row>
    <row r="1007" spans="1:15" s="360" customFormat="1" ht="15" hidden="1">
      <c r="A1007" s="356" t="s">
        <v>532</v>
      </c>
      <c r="B1007" s="707" t="s">
        <v>571</v>
      </c>
      <c r="C1007" s="633">
        <f t="shared" si="101"/>
        <v>0</v>
      </c>
      <c r="D1007" s="354" t="s">
        <v>102</v>
      </c>
      <c r="E1007" s="622">
        <f t="shared" si="105"/>
        <v>158.36000000000001</v>
      </c>
      <c r="F1007" s="917">
        <f t="shared" si="100"/>
        <v>0</v>
      </c>
      <c r="G1007" s="358">
        <f>'3.60 lakhs'!I689</f>
        <v>0</v>
      </c>
      <c r="H1007" s="354" t="s">
        <v>102</v>
      </c>
      <c r="I1007" s="355">
        <f>'3.60 lakhs'!K689</f>
        <v>158.36000000000001</v>
      </c>
      <c r="J1007" s="353">
        <f t="shared" si="102"/>
        <v>0</v>
      </c>
      <c r="K1007" s="743">
        <f t="shared" si="103"/>
        <v>0</v>
      </c>
      <c r="L1007" s="368">
        <f t="shared" si="104"/>
        <v>0</v>
      </c>
      <c r="M1007" s="708" t="s">
        <v>2322</v>
      </c>
      <c r="N1007" s="223"/>
      <c r="O1007" s="706">
        <f t="shared" si="106"/>
        <v>0</v>
      </c>
    </row>
    <row r="1008" spans="1:15" s="360" customFormat="1" ht="15" hidden="1">
      <c r="A1008" s="356" t="s">
        <v>533</v>
      </c>
      <c r="B1008" s="707" t="s">
        <v>1227</v>
      </c>
      <c r="C1008" s="633">
        <f t="shared" si="101"/>
        <v>0</v>
      </c>
      <c r="D1008" s="354" t="s">
        <v>102</v>
      </c>
      <c r="E1008" s="622">
        <f t="shared" si="105"/>
        <v>217.22</v>
      </c>
      <c r="F1008" s="917">
        <f t="shared" ref="F1008:F1071" si="107">ROUND(C1008*E1008,0)</f>
        <v>0</v>
      </c>
      <c r="G1008" s="358">
        <f>'3.60 lakhs'!I696</f>
        <v>0</v>
      </c>
      <c r="H1008" s="354" t="s">
        <v>102</v>
      </c>
      <c r="I1008" s="355">
        <f>'3.60 lakhs'!K696</f>
        <v>217.22</v>
      </c>
      <c r="J1008" s="353">
        <f t="shared" si="102"/>
        <v>0</v>
      </c>
      <c r="K1008" s="743">
        <f t="shared" si="103"/>
        <v>0</v>
      </c>
      <c r="L1008" s="368">
        <f t="shared" si="104"/>
        <v>0</v>
      </c>
      <c r="M1008" s="708" t="s">
        <v>2322</v>
      </c>
      <c r="N1008" s="223"/>
      <c r="O1008" s="706">
        <f t="shared" si="106"/>
        <v>0</v>
      </c>
    </row>
    <row r="1009" spans="1:15" s="360" customFormat="1" ht="15" hidden="1">
      <c r="A1009" s="356" t="s">
        <v>1143</v>
      </c>
      <c r="B1009" s="707" t="s">
        <v>477</v>
      </c>
      <c r="C1009" s="633">
        <f t="shared" si="101"/>
        <v>0</v>
      </c>
      <c r="D1009" s="221" t="s">
        <v>29</v>
      </c>
      <c r="E1009" s="622">
        <f t="shared" si="105"/>
        <v>90555</v>
      </c>
      <c r="F1009" s="917">
        <f t="shared" si="107"/>
        <v>0</v>
      </c>
      <c r="G1009" s="429">
        <f>'3.60 lakhs'!I703</f>
        <v>0</v>
      </c>
      <c r="H1009" s="221" t="s">
        <v>29</v>
      </c>
      <c r="I1009" s="430">
        <f>'3.60 lakhs'!K703</f>
        <v>90555</v>
      </c>
      <c r="J1009" s="353">
        <f t="shared" si="102"/>
        <v>0</v>
      </c>
      <c r="K1009" s="743">
        <f t="shared" si="103"/>
        <v>0</v>
      </c>
      <c r="L1009" s="368">
        <f t="shared" si="104"/>
        <v>0</v>
      </c>
      <c r="M1009" s="708" t="s">
        <v>2322</v>
      </c>
      <c r="N1009" s="223"/>
      <c r="O1009" s="706">
        <f t="shared" si="106"/>
        <v>0</v>
      </c>
    </row>
    <row r="1010" spans="1:15" s="360" customFormat="1" ht="15" hidden="1">
      <c r="A1010" s="356" t="s">
        <v>1586</v>
      </c>
      <c r="B1010" s="707" t="s">
        <v>2068</v>
      </c>
      <c r="C1010" s="633">
        <f t="shared" si="101"/>
        <v>0</v>
      </c>
      <c r="D1010" s="354" t="s">
        <v>5</v>
      </c>
      <c r="E1010" s="622">
        <f t="shared" si="105"/>
        <v>12013.61</v>
      </c>
      <c r="F1010" s="917">
        <f t="shared" si="107"/>
        <v>0</v>
      </c>
      <c r="G1010" s="358">
        <f>'3.60 lakhs'!I709</f>
        <v>0</v>
      </c>
      <c r="H1010" s="354" t="s">
        <v>5</v>
      </c>
      <c r="I1010" s="355">
        <f>'3.60 lakhs'!K709</f>
        <v>12013.61</v>
      </c>
      <c r="J1010" s="353">
        <f t="shared" si="102"/>
        <v>0</v>
      </c>
      <c r="K1010" s="743">
        <f t="shared" si="103"/>
        <v>0</v>
      </c>
      <c r="L1010" s="368">
        <f t="shared" si="104"/>
        <v>0</v>
      </c>
      <c r="M1010" s="708" t="s">
        <v>2322</v>
      </c>
      <c r="N1010" s="223"/>
      <c r="O1010" s="706">
        <f t="shared" si="106"/>
        <v>0</v>
      </c>
    </row>
    <row r="1011" spans="1:15" s="360" customFormat="1" ht="15" hidden="1">
      <c r="A1011" s="356" t="s">
        <v>645</v>
      </c>
      <c r="B1011" s="707" t="s">
        <v>2070</v>
      </c>
      <c r="C1011" s="633">
        <f t="shared" si="101"/>
        <v>0</v>
      </c>
      <c r="D1011" s="354" t="s">
        <v>5</v>
      </c>
      <c r="E1011" s="622">
        <f t="shared" si="105"/>
        <v>11098.560000000001</v>
      </c>
      <c r="F1011" s="917">
        <f t="shared" si="107"/>
        <v>0</v>
      </c>
      <c r="G1011" s="358">
        <f>'3.60 lakhs'!I715</f>
        <v>0</v>
      </c>
      <c r="H1011" s="354" t="s">
        <v>5</v>
      </c>
      <c r="I1011" s="355">
        <f>'3.60 lakhs'!K715</f>
        <v>11098.560000000001</v>
      </c>
      <c r="J1011" s="353">
        <f t="shared" si="102"/>
        <v>0</v>
      </c>
      <c r="K1011" s="743">
        <f t="shared" si="103"/>
        <v>0</v>
      </c>
      <c r="L1011" s="368">
        <f t="shared" si="104"/>
        <v>0</v>
      </c>
      <c r="M1011" s="708" t="s">
        <v>2322</v>
      </c>
      <c r="N1011" s="223"/>
      <c r="O1011" s="706">
        <f t="shared" si="106"/>
        <v>0</v>
      </c>
    </row>
    <row r="1012" spans="1:15" s="360" customFormat="1" ht="15" hidden="1">
      <c r="A1012" s="356" t="s">
        <v>1587</v>
      </c>
      <c r="B1012" s="707" t="s">
        <v>2071</v>
      </c>
      <c r="C1012" s="633">
        <f t="shared" si="101"/>
        <v>0</v>
      </c>
      <c r="D1012" s="354" t="s">
        <v>102</v>
      </c>
      <c r="E1012" s="622">
        <f t="shared" si="105"/>
        <v>1594.17</v>
      </c>
      <c r="F1012" s="917">
        <f t="shared" si="107"/>
        <v>0</v>
      </c>
      <c r="G1012" s="358">
        <f>'3.60 lakhs'!I726</f>
        <v>0</v>
      </c>
      <c r="H1012" s="354" t="s">
        <v>102</v>
      </c>
      <c r="I1012" s="355">
        <f>'3.60 lakhs'!K726</f>
        <v>1594.17</v>
      </c>
      <c r="J1012" s="353">
        <f t="shared" si="102"/>
        <v>0</v>
      </c>
      <c r="K1012" s="743">
        <f t="shared" si="103"/>
        <v>0</v>
      </c>
      <c r="L1012" s="368">
        <f t="shared" si="104"/>
        <v>0</v>
      </c>
      <c r="M1012" s="708" t="s">
        <v>2322</v>
      </c>
      <c r="N1012" s="223"/>
      <c r="O1012" s="706">
        <f t="shared" si="106"/>
        <v>0</v>
      </c>
    </row>
    <row r="1013" spans="1:15" s="360" customFormat="1" ht="15" hidden="1">
      <c r="A1013" s="356" t="s">
        <v>487</v>
      </c>
      <c r="B1013" s="707" t="s">
        <v>2073</v>
      </c>
      <c r="C1013" s="633">
        <f t="shared" si="101"/>
        <v>0</v>
      </c>
      <c r="D1013" s="354" t="s">
        <v>102</v>
      </c>
      <c r="E1013" s="622">
        <f t="shared" si="105"/>
        <v>1451.29</v>
      </c>
      <c r="F1013" s="917">
        <f t="shared" si="107"/>
        <v>0</v>
      </c>
      <c r="G1013" s="358">
        <f>'3.60 lakhs'!I731</f>
        <v>0</v>
      </c>
      <c r="H1013" s="354" t="s">
        <v>102</v>
      </c>
      <c r="I1013" s="355">
        <f>'3.60 lakhs'!K731</f>
        <v>1451.29</v>
      </c>
      <c r="J1013" s="353">
        <f t="shared" si="102"/>
        <v>0</v>
      </c>
      <c r="K1013" s="743">
        <f t="shared" si="103"/>
        <v>0</v>
      </c>
      <c r="L1013" s="368">
        <f t="shared" si="104"/>
        <v>0</v>
      </c>
      <c r="M1013" s="708" t="s">
        <v>2322</v>
      </c>
      <c r="N1013" s="223"/>
      <c r="O1013" s="706">
        <f t="shared" si="106"/>
        <v>0</v>
      </c>
    </row>
    <row r="1014" spans="1:15" s="360" customFormat="1" ht="15" hidden="1">
      <c r="A1014" s="356" t="s">
        <v>516</v>
      </c>
      <c r="B1014" s="707" t="s">
        <v>2072</v>
      </c>
      <c r="C1014" s="633">
        <f t="shared" si="101"/>
        <v>0</v>
      </c>
      <c r="D1014" s="221" t="s">
        <v>102</v>
      </c>
      <c r="E1014" s="622">
        <f t="shared" si="105"/>
        <v>1737.05</v>
      </c>
      <c r="F1014" s="917">
        <f t="shared" si="107"/>
        <v>0</v>
      </c>
      <c r="G1014" s="358">
        <f>'3.60 lakhs'!I721</f>
        <v>0</v>
      </c>
      <c r="H1014" s="221" t="s">
        <v>102</v>
      </c>
      <c r="I1014" s="355">
        <f>'3.60 lakhs'!K721</f>
        <v>1737.05</v>
      </c>
      <c r="J1014" s="353">
        <f t="shared" si="102"/>
        <v>0</v>
      </c>
      <c r="K1014" s="743">
        <f t="shared" si="103"/>
        <v>0</v>
      </c>
      <c r="L1014" s="368">
        <f t="shared" si="104"/>
        <v>0</v>
      </c>
      <c r="M1014" s="708" t="s">
        <v>2322</v>
      </c>
      <c r="N1014" s="223"/>
      <c r="O1014" s="706">
        <f t="shared" si="106"/>
        <v>0</v>
      </c>
    </row>
    <row r="1015" spans="1:15" s="360" customFormat="1" ht="15" hidden="1">
      <c r="A1015" s="356" t="s">
        <v>517</v>
      </c>
      <c r="B1015" s="707" t="s">
        <v>2079</v>
      </c>
      <c r="C1015" s="633">
        <f t="shared" si="101"/>
        <v>0</v>
      </c>
      <c r="D1015" s="221" t="s">
        <v>102</v>
      </c>
      <c r="E1015" s="622">
        <f t="shared" si="105"/>
        <v>865.17</v>
      </c>
      <c r="F1015" s="917">
        <f t="shared" si="107"/>
        <v>0</v>
      </c>
      <c r="G1015" s="358">
        <f>'3.60 lakhs'!I737</f>
        <v>0</v>
      </c>
      <c r="H1015" s="221" t="s">
        <v>102</v>
      </c>
      <c r="I1015" s="355">
        <f>'3.60 lakhs'!K737</f>
        <v>865.17</v>
      </c>
      <c r="J1015" s="353">
        <f t="shared" si="102"/>
        <v>0</v>
      </c>
      <c r="K1015" s="743">
        <f t="shared" si="103"/>
        <v>0</v>
      </c>
      <c r="L1015" s="368">
        <f t="shared" si="104"/>
        <v>0</v>
      </c>
      <c r="M1015" s="708" t="s">
        <v>2322</v>
      </c>
      <c r="N1015" s="223"/>
      <c r="O1015" s="706">
        <f t="shared" si="106"/>
        <v>0</v>
      </c>
    </row>
    <row r="1016" spans="1:15" s="360" customFormat="1" ht="15" hidden="1">
      <c r="A1016" s="356" t="s">
        <v>517</v>
      </c>
      <c r="B1016" s="707" t="s">
        <v>2080</v>
      </c>
      <c r="C1016" s="633">
        <f t="shared" si="101"/>
        <v>0</v>
      </c>
      <c r="D1016" s="221" t="s">
        <v>102</v>
      </c>
      <c r="E1016" s="622">
        <f t="shared" si="105"/>
        <v>724.02</v>
      </c>
      <c r="F1016" s="917">
        <f t="shared" si="107"/>
        <v>0</v>
      </c>
      <c r="G1016" s="358">
        <f>'3.60 lakhs'!I743</f>
        <v>0</v>
      </c>
      <c r="H1016" s="221" t="s">
        <v>102</v>
      </c>
      <c r="I1016" s="355">
        <f>'3.60 lakhs'!K743</f>
        <v>724.02</v>
      </c>
      <c r="J1016" s="353">
        <f t="shared" si="102"/>
        <v>0</v>
      </c>
      <c r="K1016" s="743">
        <f t="shared" si="103"/>
        <v>0</v>
      </c>
      <c r="L1016" s="368">
        <f t="shared" si="104"/>
        <v>0</v>
      </c>
      <c r="M1016" s="708" t="s">
        <v>2322</v>
      </c>
      <c r="N1016" s="223"/>
      <c r="O1016" s="706">
        <f t="shared" si="106"/>
        <v>0</v>
      </c>
    </row>
    <row r="1017" spans="1:15" s="360" customFormat="1" ht="15" hidden="1">
      <c r="A1017" s="356" t="s">
        <v>518</v>
      </c>
      <c r="B1017" s="707" t="s">
        <v>2076</v>
      </c>
      <c r="C1017" s="633">
        <f t="shared" si="101"/>
        <v>0</v>
      </c>
      <c r="D1017" s="354" t="s">
        <v>5</v>
      </c>
      <c r="E1017" s="622">
        <f t="shared" si="105"/>
        <v>11874.810000000001</v>
      </c>
      <c r="F1017" s="917">
        <f t="shared" si="107"/>
        <v>0</v>
      </c>
      <c r="G1017" s="358">
        <f>'3.60 lakhs'!I750</f>
        <v>0</v>
      </c>
      <c r="H1017" s="354" t="s">
        <v>5</v>
      </c>
      <c r="I1017" s="355">
        <f>'3.60 lakhs'!K750</f>
        <v>11874.810000000001</v>
      </c>
      <c r="J1017" s="353">
        <f t="shared" si="102"/>
        <v>0</v>
      </c>
      <c r="K1017" s="743">
        <f t="shared" si="103"/>
        <v>0</v>
      </c>
      <c r="L1017" s="368">
        <f t="shared" si="104"/>
        <v>0</v>
      </c>
      <c r="M1017" s="708" t="s">
        <v>2322</v>
      </c>
      <c r="N1017" s="223"/>
      <c r="O1017" s="706">
        <f t="shared" si="106"/>
        <v>0</v>
      </c>
    </row>
    <row r="1018" spans="1:15" s="360" customFormat="1" ht="15" hidden="1">
      <c r="A1018" s="356" t="s">
        <v>519</v>
      </c>
      <c r="B1018" s="707" t="s">
        <v>2077</v>
      </c>
      <c r="C1018" s="633">
        <f t="shared" si="101"/>
        <v>0</v>
      </c>
      <c r="D1018" s="221" t="s">
        <v>277</v>
      </c>
      <c r="E1018" s="622">
        <f t="shared" si="105"/>
        <v>744.7299999999999</v>
      </c>
      <c r="F1018" s="917">
        <f t="shared" si="107"/>
        <v>0</v>
      </c>
      <c r="G1018" s="358">
        <f>'3.60 lakhs'!I755</f>
        <v>0</v>
      </c>
      <c r="H1018" s="221" t="s">
        <v>277</v>
      </c>
      <c r="I1018" s="355">
        <f>'3.60 lakhs'!K755</f>
        <v>744.7299999999999</v>
      </c>
      <c r="J1018" s="353">
        <f t="shared" si="102"/>
        <v>0</v>
      </c>
      <c r="K1018" s="743">
        <f t="shared" si="103"/>
        <v>0</v>
      </c>
      <c r="L1018" s="368">
        <f t="shared" si="104"/>
        <v>0</v>
      </c>
      <c r="M1018" s="708" t="s">
        <v>2322</v>
      </c>
      <c r="N1018" s="223"/>
      <c r="O1018" s="706">
        <f t="shared" si="106"/>
        <v>0</v>
      </c>
    </row>
    <row r="1019" spans="1:15" s="360" customFormat="1" ht="15" hidden="1">
      <c r="A1019" s="356" t="s">
        <v>519</v>
      </c>
      <c r="B1019" s="707" t="s">
        <v>1480</v>
      </c>
      <c r="C1019" s="633">
        <f t="shared" si="101"/>
        <v>0</v>
      </c>
      <c r="D1019" s="221" t="s">
        <v>102</v>
      </c>
      <c r="E1019" s="622">
        <f t="shared" si="105"/>
        <v>362.63</v>
      </c>
      <c r="F1019" s="917">
        <f t="shared" si="107"/>
        <v>0</v>
      </c>
      <c r="G1019" s="358">
        <f>'3.60 lakhs'!I760</f>
        <v>0</v>
      </c>
      <c r="H1019" s="221" t="s">
        <v>102</v>
      </c>
      <c r="I1019" s="355">
        <f>'3.60 lakhs'!K760</f>
        <v>362.63</v>
      </c>
      <c r="J1019" s="353">
        <f t="shared" si="102"/>
        <v>0</v>
      </c>
      <c r="K1019" s="743">
        <f t="shared" si="103"/>
        <v>0</v>
      </c>
      <c r="L1019" s="368">
        <f t="shared" si="104"/>
        <v>0</v>
      </c>
      <c r="M1019" s="708" t="s">
        <v>2322</v>
      </c>
      <c r="N1019" s="223"/>
      <c r="O1019" s="706">
        <f t="shared" si="106"/>
        <v>0</v>
      </c>
    </row>
    <row r="1020" spans="1:15" s="360" customFormat="1" ht="15" hidden="1">
      <c r="A1020" s="356" t="s">
        <v>520</v>
      </c>
      <c r="B1020" s="707" t="s">
        <v>1481</v>
      </c>
      <c r="C1020" s="633">
        <f t="shared" si="101"/>
        <v>0</v>
      </c>
      <c r="D1020" s="221" t="s">
        <v>102</v>
      </c>
      <c r="E1020" s="622">
        <f t="shared" si="105"/>
        <v>470.34</v>
      </c>
      <c r="F1020" s="917">
        <f t="shared" si="107"/>
        <v>0</v>
      </c>
      <c r="G1020" s="358">
        <f>'3.60 lakhs'!I766</f>
        <v>0</v>
      </c>
      <c r="H1020" s="221" t="s">
        <v>102</v>
      </c>
      <c r="I1020" s="355">
        <f>'3.60 lakhs'!K766</f>
        <v>470.34</v>
      </c>
      <c r="J1020" s="353">
        <f t="shared" si="102"/>
        <v>0</v>
      </c>
      <c r="K1020" s="743">
        <f t="shared" si="103"/>
        <v>0</v>
      </c>
      <c r="L1020" s="368">
        <f t="shared" si="104"/>
        <v>0</v>
      </c>
      <c r="M1020" s="708" t="s">
        <v>2322</v>
      </c>
      <c r="N1020" s="223"/>
      <c r="O1020" s="706">
        <f t="shared" si="106"/>
        <v>0</v>
      </c>
    </row>
    <row r="1021" spans="1:15" s="360" customFormat="1" ht="15" hidden="1">
      <c r="A1021" s="356" t="s">
        <v>1588</v>
      </c>
      <c r="B1021" s="707" t="s">
        <v>829</v>
      </c>
      <c r="C1021" s="633">
        <f t="shared" si="101"/>
        <v>0</v>
      </c>
      <c r="D1021" s="354" t="s">
        <v>5</v>
      </c>
      <c r="E1021" s="622">
        <f t="shared" si="105"/>
        <v>7673.4</v>
      </c>
      <c r="F1021" s="917">
        <f t="shared" si="107"/>
        <v>0</v>
      </c>
      <c r="G1021" s="358">
        <f>'3.60 lakhs'!I779</f>
        <v>0</v>
      </c>
      <c r="H1021" s="354" t="s">
        <v>5</v>
      </c>
      <c r="I1021" s="355">
        <f>'3.60 lakhs'!K779</f>
        <v>7673.4</v>
      </c>
      <c r="J1021" s="353">
        <f t="shared" si="102"/>
        <v>0</v>
      </c>
      <c r="K1021" s="743">
        <f t="shared" si="103"/>
        <v>0</v>
      </c>
      <c r="L1021" s="368">
        <f t="shared" si="104"/>
        <v>0</v>
      </c>
      <c r="M1021" s="708" t="s">
        <v>2322</v>
      </c>
      <c r="N1021" s="223"/>
      <c r="O1021" s="706">
        <f t="shared" si="106"/>
        <v>0</v>
      </c>
    </row>
    <row r="1022" spans="1:15" s="360" customFormat="1" ht="15" hidden="1">
      <c r="A1022" s="356" t="s">
        <v>491</v>
      </c>
      <c r="B1022" s="707" t="s">
        <v>828</v>
      </c>
      <c r="C1022" s="633">
        <f t="shared" si="101"/>
        <v>0</v>
      </c>
      <c r="D1022" s="354" t="s">
        <v>5</v>
      </c>
      <c r="E1022" s="622">
        <f t="shared" si="105"/>
        <v>7616.9999999999991</v>
      </c>
      <c r="F1022" s="917">
        <f t="shared" si="107"/>
        <v>0</v>
      </c>
      <c r="G1022" s="358">
        <f>'3.60 lakhs'!I774</f>
        <v>0</v>
      </c>
      <c r="H1022" s="354" t="s">
        <v>5</v>
      </c>
      <c r="I1022" s="355">
        <f>'3.60 lakhs'!K774</f>
        <v>7616.9999999999991</v>
      </c>
      <c r="J1022" s="353">
        <f t="shared" si="102"/>
        <v>0</v>
      </c>
      <c r="K1022" s="743">
        <f t="shared" si="103"/>
        <v>0</v>
      </c>
      <c r="L1022" s="368">
        <f t="shared" si="104"/>
        <v>0</v>
      </c>
      <c r="M1022" s="708" t="s">
        <v>2322</v>
      </c>
      <c r="N1022" s="223"/>
      <c r="O1022" s="706">
        <f t="shared" si="106"/>
        <v>0</v>
      </c>
    </row>
    <row r="1023" spans="1:15" s="360" customFormat="1" ht="25.5" hidden="1">
      <c r="A1023" s="356" t="s">
        <v>646</v>
      </c>
      <c r="B1023" s="707" t="s">
        <v>705</v>
      </c>
      <c r="C1023" s="633">
        <f t="shared" si="101"/>
        <v>0</v>
      </c>
      <c r="D1023" s="354" t="s">
        <v>102</v>
      </c>
      <c r="E1023" s="622">
        <f t="shared" si="105"/>
        <v>1015.55</v>
      </c>
      <c r="F1023" s="917">
        <f t="shared" si="107"/>
        <v>0</v>
      </c>
      <c r="G1023" s="358">
        <f>'3.60 lakhs'!I785</f>
        <v>0</v>
      </c>
      <c r="H1023" s="354" t="s">
        <v>102</v>
      </c>
      <c r="I1023" s="355">
        <f>'3.60 lakhs'!K785</f>
        <v>1015.55</v>
      </c>
      <c r="J1023" s="353">
        <f t="shared" si="102"/>
        <v>0</v>
      </c>
      <c r="K1023" s="743">
        <f t="shared" si="103"/>
        <v>0</v>
      </c>
      <c r="L1023" s="368">
        <f t="shared" si="104"/>
        <v>0</v>
      </c>
      <c r="M1023" s="708" t="s">
        <v>2322</v>
      </c>
      <c r="N1023" s="223"/>
      <c r="O1023" s="706">
        <f t="shared" si="106"/>
        <v>0</v>
      </c>
    </row>
    <row r="1024" spans="1:15" s="360" customFormat="1" ht="15" hidden="1">
      <c r="A1024" s="356" t="s">
        <v>483</v>
      </c>
      <c r="B1024" s="707" t="s">
        <v>1222</v>
      </c>
      <c r="C1024" s="633">
        <f t="shared" si="101"/>
        <v>0</v>
      </c>
      <c r="D1024" s="354" t="s">
        <v>102</v>
      </c>
      <c r="E1024" s="622">
        <f t="shared" si="105"/>
        <v>7187.4500000000007</v>
      </c>
      <c r="F1024" s="917">
        <f t="shared" si="107"/>
        <v>0</v>
      </c>
      <c r="G1024" s="358">
        <f>'3.60 lakhs'!I792</f>
        <v>0</v>
      </c>
      <c r="H1024" s="354" t="s">
        <v>102</v>
      </c>
      <c r="I1024" s="355">
        <f>'3.60 lakhs'!K792</f>
        <v>7187.4500000000007</v>
      </c>
      <c r="J1024" s="353">
        <f t="shared" si="102"/>
        <v>0</v>
      </c>
      <c r="K1024" s="743">
        <f t="shared" si="103"/>
        <v>0</v>
      </c>
      <c r="L1024" s="368">
        <f t="shared" si="104"/>
        <v>0</v>
      </c>
      <c r="M1024" s="708" t="s">
        <v>2322</v>
      </c>
      <c r="N1024" s="223"/>
      <c r="O1024" s="706">
        <f t="shared" si="106"/>
        <v>0</v>
      </c>
    </row>
    <row r="1025" spans="1:15" s="360" customFormat="1" ht="15" hidden="1">
      <c r="A1025" s="356" t="s">
        <v>1585</v>
      </c>
      <c r="B1025" s="707" t="s">
        <v>481</v>
      </c>
      <c r="C1025" s="633">
        <f t="shared" si="101"/>
        <v>0</v>
      </c>
      <c r="D1025" s="354" t="s">
        <v>102</v>
      </c>
      <c r="E1025" s="622">
        <f t="shared" si="105"/>
        <v>385.55</v>
      </c>
      <c r="F1025" s="917">
        <f t="shared" si="107"/>
        <v>0</v>
      </c>
      <c r="G1025" s="358">
        <f>'3.60 lakhs'!I799</f>
        <v>0</v>
      </c>
      <c r="H1025" s="354" t="s">
        <v>102</v>
      </c>
      <c r="I1025" s="355">
        <f>'3.60 lakhs'!K799</f>
        <v>385.55</v>
      </c>
      <c r="J1025" s="353">
        <f t="shared" si="102"/>
        <v>0</v>
      </c>
      <c r="K1025" s="743">
        <f t="shared" si="103"/>
        <v>0</v>
      </c>
      <c r="L1025" s="368">
        <f t="shared" si="104"/>
        <v>0</v>
      </c>
      <c r="M1025" s="708" t="s">
        <v>2322</v>
      </c>
      <c r="N1025" s="223"/>
      <c r="O1025" s="706">
        <f t="shared" si="106"/>
        <v>0</v>
      </c>
    </row>
    <row r="1026" spans="1:15" s="360" customFormat="1" ht="15" hidden="1">
      <c r="A1026" s="356" t="s">
        <v>1584</v>
      </c>
      <c r="B1026" s="707" t="s">
        <v>505</v>
      </c>
      <c r="C1026" s="633">
        <f t="shared" si="101"/>
        <v>0</v>
      </c>
      <c r="D1026" s="354" t="s">
        <v>102</v>
      </c>
      <c r="E1026" s="622">
        <f t="shared" si="105"/>
        <v>352.1</v>
      </c>
      <c r="F1026" s="917">
        <f t="shared" si="107"/>
        <v>0</v>
      </c>
      <c r="G1026" s="358">
        <f>'3.60 lakhs'!I807</f>
        <v>0</v>
      </c>
      <c r="H1026" s="354" t="s">
        <v>102</v>
      </c>
      <c r="I1026" s="355">
        <f>'3.60 lakhs'!K807</f>
        <v>352.1</v>
      </c>
      <c r="J1026" s="353">
        <f t="shared" si="102"/>
        <v>0</v>
      </c>
      <c r="K1026" s="743">
        <f t="shared" si="103"/>
        <v>0</v>
      </c>
      <c r="L1026" s="368">
        <f t="shared" si="104"/>
        <v>0</v>
      </c>
      <c r="M1026" s="708" t="s">
        <v>2322</v>
      </c>
      <c r="N1026" s="223"/>
      <c r="O1026" s="706">
        <f t="shared" si="106"/>
        <v>0</v>
      </c>
    </row>
    <row r="1027" spans="1:15" s="360" customFormat="1" ht="15" hidden="1">
      <c r="A1027" s="356" t="s">
        <v>1585</v>
      </c>
      <c r="B1027" s="707" t="s">
        <v>805</v>
      </c>
      <c r="C1027" s="633">
        <f t="shared" si="101"/>
        <v>0</v>
      </c>
      <c r="D1027" s="354" t="s">
        <v>102</v>
      </c>
      <c r="E1027" s="622">
        <f t="shared" si="105"/>
        <v>372.29</v>
      </c>
      <c r="F1027" s="917">
        <f t="shared" si="107"/>
        <v>0</v>
      </c>
      <c r="G1027" s="358">
        <f>'3.60 lakhs'!I815</f>
        <v>0</v>
      </c>
      <c r="H1027" s="354" t="s">
        <v>102</v>
      </c>
      <c r="I1027" s="355">
        <f>'3.60 lakhs'!K815</f>
        <v>372.29</v>
      </c>
      <c r="J1027" s="353">
        <f t="shared" si="102"/>
        <v>0</v>
      </c>
      <c r="K1027" s="743">
        <f t="shared" si="103"/>
        <v>0</v>
      </c>
      <c r="L1027" s="368">
        <f t="shared" si="104"/>
        <v>0</v>
      </c>
      <c r="M1027" s="708" t="s">
        <v>2322</v>
      </c>
      <c r="N1027" s="223"/>
      <c r="O1027" s="706">
        <f t="shared" si="106"/>
        <v>0</v>
      </c>
    </row>
    <row r="1028" spans="1:15" s="360" customFormat="1" ht="15" hidden="1">
      <c r="A1028" s="356" t="s">
        <v>1143</v>
      </c>
      <c r="B1028" s="707" t="s">
        <v>830</v>
      </c>
      <c r="C1028" s="633">
        <f t="shared" si="101"/>
        <v>0</v>
      </c>
      <c r="D1028" s="354" t="s">
        <v>102</v>
      </c>
      <c r="E1028" s="622">
        <f t="shared" si="105"/>
        <v>464.16</v>
      </c>
      <c r="F1028" s="917">
        <f t="shared" si="107"/>
        <v>0</v>
      </c>
      <c r="G1028" s="358">
        <f>'3.60 lakhs'!I822</f>
        <v>0</v>
      </c>
      <c r="H1028" s="354" t="s">
        <v>102</v>
      </c>
      <c r="I1028" s="355">
        <f>'3.60 lakhs'!K822</f>
        <v>464.16</v>
      </c>
      <c r="J1028" s="353">
        <f t="shared" si="102"/>
        <v>0</v>
      </c>
      <c r="K1028" s="743">
        <f t="shared" si="103"/>
        <v>0</v>
      </c>
      <c r="L1028" s="368">
        <f t="shared" si="104"/>
        <v>0</v>
      </c>
      <c r="M1028" s="708" t="s">
        <v>2322</v>
      </c>
      <c r="N1028" s="223"/>
      <c r="O1028" s="706">
        <f t="shared" si="106"/>
        <v>0</v>
      </c>
    </row>
    <row r="1029" spans="1:15" s="360" customFormat="1" ht="15" hidden="1">
      <c r="A1029" s="356" t="s">
        <v>1586</v>
      </c>
      <c r="B1029" s="707" t="s">
        <v>541</v>
      </c>
      <c r="C1029" s="633">
        <f t="shared" si="101"/>
        <v>0</v>
      </c>
      <c r="D1029" s="354" t="s">
        <v>102</v>
      </c>
      <c r="E1029" s="622">
        <f t="shared" si="105"/>
        <v>479.98</v>
      </c>
      <c r="F1029" s="917">
        <f t="shared" si="107"/>
        <v>0</v>
      </c>
      <c r="G1029" s="358">
        <f>'3.60 lakhs'!I829</f>
        <v>0</v>
      </c>
      <c r="H1029" s="354" t="s">
        <v>102</v>
      </c>
      <c r="I1029" s="355">
        <f>'3.60 lakhs'!K829</f>
        <v>479.98</v>
      </c>
      <c r="J1029" s="353">
        <f t="shared" si="102"/>
        <v>0</v>
      </c>
      <c r="K1029" s="743">
        <f t="shared" si="103"/>
        <v>0</v>
      </c>
      <c r="L1029" s="368">
        <f t="shared" si="104"/>
        <v>0</v>
      </c>
      <c r="M1029" s="708" t="s">
        <v>2322</v>
      </c>
      <c r="N1029" s="223"/>
      <c r="O1029" s="706">
        <f t="shared" si="106"/>
        <v>0</v>
      </c>
    </row>
    <row r="1030" spans="1:15" s="360" customFormat="1" ht="15" hidden="1">
      <c r="A1030" s="356" t="s">
        <v>473</v>
      </c>
      <c r="B1030" s="707" t="s">
        <v>2078</v>
      </c>
      <c r="C1030" s="633">
        <f t="shared" si="101"/>
        <v>0</v>
      </c>
      <c r="D1030" s="354" t="s">
        <v>5</v>
      </c>
      <c r="E1030" s="622">
        <f t="shared" si="105"/>
        <v>5843.9400000000005</v>
      </c>
      <c r="F1030" s="917">
        <f t="shared" si="107"/>
        <v>0</v>
      </c>
      <c r="G1030" s="358">
        <f>'3.60 lakhs'!I834</f>
        <v>0</v>
      </c>
      <c r="H1030" s="354" t="s">
        <v>5</v>
      </c>
      <c r="I1030" s="355">
        <f>'3.60 lakhs'!K834</f>
        <v>5843.9400000000005</v>
      </c>
      <c r="J1030" s="353">
        <f t="shared" si="102"/>
        <v>0</v>
      </c>
      <c r="K1030" s="743">
        <f t="shared" si="103"/>
        <v>0</v>
      </c>
      <c r="L1030" s="368">
        <f t="shared" si="104"/>
        <v>0</v>
      </c>
      <c r="M1030" s="708" t="s">
        <v>2322</v>
      </c>
      <c r="N1030" s="223"/>
      <c r="O1030" s="706">
        <f t="shared" si="106"/>
        <v>0</v>
      </c>
    </row>
    <row r="1031" spans="1:15" s="360" customFormat="1" ht="15" hidden="1">
      <c r="A1031" s="356" t="s">
        <v>525</v>
      </c>
      <c r="B1031" s="707" t="s">
        <v>507</v>
      </c>
      <c r="C1031" s="633">
        <f t="shared" si="101"/>
        <v>0</v>
      </c>
      <c r="D1031" s="354" t="s">
        <v>102</v>
      </c>
      <c r="E1031" s="622">
        <f t="shared" si="105"/>
        <v>1139.42</v>
      </c>
      <c r="F1031" s="917">
        <f t="shared" si="107"/>
        <v>0</v>
      </c>
      <c r="G1031" s="358">
        <f>'3.60 lakhs'!I840</f>
        <v>0</v>
      </c>
      <c r="H1031" s="354" t="s">
        <v>102</v>
      </c>
      <c r="I1031" s="355">
        <f>'3.60 lakhs'!K840</f>
        <v>1139.42</v>
      </c>
      <c r="J1031" s="353">
        <f t="shared" si="102"/>
        <v>0</v>
      </c>
      <c r="K1031" s="743">
        <f t="shared" si="103"/>
        <v>0</v>
      </c>
      <c r="L1031" s="368">
        <f t="shared" si="104"/>
        <v>0</v>
      </c>
      <c r="M1031" s="708" t="s">
        <v>2322</v>
      </c>
      <c r="N1031" s="223"/>
      <c r="O1031" s="706">
        <f t="shared" si="106"/>
        <v>0</v>
      </c>
    </row>
    <row r="1032" spans="1:15" s="360" customFormat="1" ht="15" hidden="1">
      <c r="A1032" s="356" t="s">
        <v>528</v>
      </c>
      <c r="B1032" s="707" t="s">
        <v>509</v>
      </c>
      <c r="C1032" s="633">
        <f t="shared" si="101"/>
        <v>0</v>
      </c>
      <c r="D1032" s="354" t="s">
        <v>102</v>
      </c>
      <c r="E1032" s="622">
        <f t="shared" si="105"/>
        <v>1134.08</v>
      </c>
      <c r="F1032" s="917">
        <f t="shared" si="107"/>
        <v>0</v>
      </c>
      <c r="G1032" s="358">
        <f>'3.60 lakhs'!I847</f>
        <v>0</v>
      </c>
      <c r="H1032" s="354" t="s">
        <v>102</v>
      </c>
      <c r="I1032" s="355">
        <f>'3.60 lakhs'!K847</f>
        <v>1134.08</v>
      </c>
      <c r="J1032" s="353">
        <f t="shared" si="102"/>
        <v>0</v>
      </c>
      <c r="K1032" s="743">
        <f t="shared" si="103"/>
        <v>0</v>
      </c>
      <c r="L1032" s="368">
        <f t="shared" si="104"/>
        <v>0</v>
      </c>
      <c r="M1032" s="708" t="s">
        <v>2322</v>
      </c>
      <c r="N1032" s="223"/>
      <c r="O1032" s="706">
        <f t="shared" si="106"/>
        <v>0</v>
      </c>
    </row>
    <row r="1033" spans="1:15" s="360" customFormat="1" ht="15" hidden="1">
      <c r="A1033" s="356" t="s">
        <v>508</v>
      </c>
      <c r="B1033" s="707" t="s">
        <v>708</v>
      </c>
      <c r="C1033" s="633">
        <f t="shared" si="101"/>
        <v>0</v>
      </c>
      <c r="D1033" s="354" t="s">
        <v>77</v>
      </c>
      <c r="E1033" s="622">
        <f t="shared" si="105"/>
        <v>3248.17</v>
      </c>
      <c r="F1033" s="917">
        <f t="shared" si="107"/>
        <v>0</v>
      </c>
      <c r="G1033" s="358">
        <f>'3.60 lakhs'!I854</f>
        <v>0</v>
      </c>
      <c r="H1033" s="354" t="s">
        <v>77</v>
      </c>
      <c r="I1033" s="355">
        <f>'3.60 lakhs'!K854</f>
        <v>3248.17</v>
      </c>
      <c r="J1033" s="353">
        <f t="shared" si="102"/>
        <v>0</v>
      </c>
      <c r="K1033" s="743">
        <f t="shared" si="103"/>
        <v>0</v>
      </c>
      <c r="L1033" s="368">
        <f t="shared" si="104"/>
        <v>0</v>
      </c>
      <c r="M1033" s="708" t="s">
        <v>2322</v>
      </c>
      <c r="N1033" s="223"/>
      <c r="O1033" s="706">
        <f t="shared" si="106"/>
        <v>0</v>
      </c>
    </row>
    <row r="1034" spans="1:15" s="360" customFormat="1" ht="15" hidden="1">
      <c r="A1034" s="356" t="s">
        <v>510</v>
      </c>
      <c r="B1034" s="707" t="s">
        <v>877</v>
      </c>
      <c r="C1034" s="633">
        <f t="shared" ref="C1034:C1097" si="108">G1034</f>
        <v>0</v>
      </c>
      <c r="D1034" s="354" t="s">
        <v>102</v>
      </c>
      <c r="E1034" s="622">
        <f t="shared" si="105"/>
        <v>2995.66</v>
      </c>
      <c r="F1034" s="917">
        <f t="shared" si="107"/>
        <v>0</v>
      </c>
      <c r="G1034" s="358">
        <f>'3.60 lakhs'!I861</f>
        <v>0</v>
      </c>
      <c r="H1034" s="354" t="s">
        <v>102</v>
      </c>
      <c r="I1034" s="355">
        <f>'3.60 lakhs'!K861</f>
        <v>2995.66</v>
      </c>
      <c r="J1034" s="353">
        <f t="shared" ref="J1034:J1097" si="109">ROUND(G1034*I1034,2)</f>
        <v>0</v>
      </c>
      <c r="K1034" s="743">
        <f t="shared" si="103"/>
        <v>0</v>
      </c>
      <c r="L1034" s="368">
        <f t="shared" si="104"/>
        <v>0</v>
      </c>
      <c r="M1034" s="708" t="s">
        <v>2322</v>
      </c>
      <c r="N1034" s="223"/>
      <c r="O1034" s="706">
        <f t="shared" si="106"/>
        <v>0</v>
      </c>
    </row>
    <row r="1035" spans="1:15" s="360" customFormat="1" ht="15" hidden="1">
      <c r="A1035" s="356" t="s">
        <v>529</v>
      </c>
      <c r="B1035" s="707" t="s">
        <v>710</v>
      </c>
      <c r="C1035" s="633">
        <f t="shared" si="108"/>
        <v>0</v>
      </c>
      <c r="D1035" s="354" t="s">
        <v>102</v>
      </c>
      <c r="E1035" s="622">
        <f t="shared" si="105"/>
        <v>816.76</v>
      </c>
      <c r="F1035" s="917">
        <f t="shared" si="107"/>
        <v>0</v>
      </c>
      <c r="G1035" s="358">
        <f>'3.60 lakhs'!I868</f>
        <v>0</v>
      </c>
      <c r="H1035" s="354" t="s">
        <v>102</v>
      </c>
      <c r="I1035" s="355">
        <f>'3.60 lakhs'!K868</f>
        <v>816.76</v>
      </c>
      <c r="J1035" s="353">
        <f t="shared" si="109"/>
        <v>0</v>
      </c>
      <c r="K1035" s="743">
        <f t="shared" si="103"/>
        <v>0</v>
      </c>
      <c r="L1035" s="368">
        <f t="shared" si="104"/>
        <v>0</v>
      </c>
      <c r="M1035" s="708" t="s">
        <v>2322</v>
      </c>
      <c r="N1035" s="223"/>
      <c r="O1035" s="706">
        <f t="shared" si="106"/>
        <v>0</v>
      </c>
    </row>
    <row r="1036" spans="1:15" s="360" customFormat="1" ht="15" hidden="1">
      <c r="A1036" s="356" t="s">
        <v>530</v>
      </c>
      <c r="B1036" s="707" t="s">
        <v>711</v>
      </c>
      <c r="C1036" s="633">
        <f t="shared" si="108"/>
        <v>0</v>
      </c>
      <c r="D1036" s="354" t="s">
        <v>102</v>
      </c>
      <c r="E1036" s="622">
        <f t="shared" si="105"/>
        <v>822.23</v>
      </c>
      <c r="F1036" s="917">
        <f t="shared" si="107"/>
        <v>0</v>
      </c>
      <c r="G1036" s="358">
        <f>'3.60 lakhs'!I875</f>
        <v>0</v>
      </c>
      <c r="H1036" s="354" t="s">
        <v>102</v>
      </c>
      <c r="I1036" s="355">
        <f>'3.60 lakhs'!K875</f>
        <v>822.23</v>
      </c>
      <c r="J1036" s="353">
        <f t="shared" si="109"/>
        <v>0</v>
      </c>
      <c r="K1036" s="743">
        <f t="shared" si="103"/>
        <v>0</v>
      </c>
      <c r="L1036" s="368">
        <f t="shared" si="104"/>
        <v>0</v>
      </c>
      <c r="M1036" s="708" t="s">
        <v>2322</v>
      </c>
      <c r="N1036" s="223"/>
      <c r="O1036" s="706">
        <f t="shared" si="106"/>
        <v>0</v>
      </c>
    </row>
    <row r="1037" spans="1:15" s="360" customFormat="1" ht="15" hidden="1">
      <c r="A1037" s="356" t="s">
        <v>531</v>
      </c>
      <c r="B1037" s="707" t="s">
        <v>511</v>
      </c>
      <c r="C1037" s="633">
        <f t="shared" si="108"/>
        <v>0</v>
      </c>
      <c r="D1037" s="354" t="s">
        <v>102</v>
      </c>
      <c r="E1037" s="622">
        <f t="shared" si="105"/>
        <v>873.89</v>
      </c>
      <c r="F1037" s="917">
        <f t="shared" si="107"/>
        <v>0</v>
      </c>
      <c r="G1037" s="358">
        <f>'3.60 lakhs'!I882</f>
        <v>0</v>
      </c>
      <c r="H1037" s="354" t="s">
        <v>102</v>
      </c>
      <c r="I1037" s="355">
        <f>'3.60 lakhs'!K882</f>
        <v>873.89</v>
      </c>
      <c r="J1037" s="353">
        <f t="shared" si="109"/>
        <v>0</v>
      </c>
      <c r="K1037" s="743">
        <f t="shared" si="103"/>
        <v>0</v>
      </c>
      <c r="L1037" s="368">
        <f t="shared" si="104"/>
        <v>0</v>
      </c>
      <c r="M1037" s="708" t="s">
        <v>2322</v>
      </c>
      <c r="N1037" s="223"/>
      <c r="O1037" s="706">
        <f t="shared" si="106"/>
        <v>0</v>
      </c>
    </row>
    <row r="1038" spans="1:15" s="360" customFormat="1" ht="15" hidden="1">
      <c r="A1038" s="356" t="s">
        <v>532</v>
      </c>
      <c r="B1038" s="707" t="s">
        <v>570</v>
      </c>
      <c r="C1038" s="633">
        <f t="shared" si="108"/>
        <v>0</v>
      </c>
      <c r="D1038" s="354" t="s">
        <v>102</v>
      </c>
      <c r="E1038" s="622">
        <f t="shared" si="105"/>
        <v>536.26</v>
      </c>
      <c r="F1038" s="917">
        <f t="shared" si="107"/>
        <v>0</v>
      </c>
      <c r="G1038" s="358">
        <f>'3.60 lakhs'!I888</f>
        <v>0</v>
      </c>
      <c r="H1038" s="354" t="s">
        <v>102</v>
      </c>
      <c r="I1038" s="355">
        <f>'3.60 lakhs'!K888</f>
        <v>536.26</v>
      </c>
      <c r="J1038" s="353">
        <f t="shared" si="109"/>
        <v>0</v>
      </c>
      <c r="K1038" s="743">
        <f t="shared" si="103"/>
        <v>0</v>
      </c>
      <c r="L1038" s="368">
        <f t="shared" si="104"/>
        <v>0</v>
      </c>
      <c r="M1038" s="708" t="s">
        <v>2322</v>
      </c>
      <c r="N1038" s="223"/>
      <c r="O1038" s="706">
        <f t="shared" si="106"/>
        <v>0</v>
      </c>
    </row>
    <row r="1039" spans="1:15" s="360" customFormat="1" ht="15" hidden="1">
      <c r="A1039" s="356" t="s">
        <v>492</v>
      </c>
      <c r="B1039" s="707" t="s">
        <v>1223</v>
      </c>
      <c r="C1039" s="633">
        <f t="shared" si="108"/>
        <v>0</v>
      </c>
      <c r="D1039" s="354" t="s">
        <v>102</v>
      </c>
      <c r="E1039" s="622">
        <f t="shared" si="105"/>
        <v>1100.49</v>
      </c>
      <c r="F1039" s="917">
        <f t="shared" si="107"/>
        <v>0</v>
      </c>
      <c r="G1039" s="358">
        <f>'3.60 lakhs'!I894</f>
        <v>0</v>
      </c>
      <c r="H1039" s="354" t="s">
        <v>102</v>
      </c>
      <c r="I1039" s="355">
        <f>'3.60 lakhs'!K894</f>
        <v>1100.49</v>
      </c>
      <c r="J1039" s="353">
        <f t="shared" si="109"/>
        <v>0</v>
      </c>
      <c r="K1039" s="743">
        <f t="shared" si="103"/>
        <v>0</v>
      </c>
      <c r="L1039" s="368">
        <f t="shared" si="104"/>
        <v>0</v>
      </c>
      <c r="M1039" s="708" t="s">
        <v>2322</v>
      </c>
      <c r="N1039" s="223"/>
      <c r="O1039" s="706">
        <f t="shared" si="106"/>
        <v>0</v>
      </c>
    </row>
    <row r="1040" spans="1:15" s="360" customFormat="1" ht="15" hidden="1">
      <c r="A1040" s="356" t="s">
        <v>533</v>
      </c>
      <c r="B1040" s="707" t="s">
        <v>707</v>
      </c>
      <c r="C1040" s="633">
        <f t="shared" si="108"/>
        <v>0</v>
      </c>
      <c r="D1040" s="354" t="s">
        <v>102</v>
      </c>
      <c r="E1040" s="622">
        <f t="shared" si="105"/>
        <v>27.91</v>
      </c>
      <c r="F1040" s="917">
        <f t="shared" si="107"/>
        <v>0</v>
      </c>
      <c r="G1040" s="358">
        <f>'3.60 lakhs'!I902</f>
        <v>0</v>
      </c>
      <c r="H1040" s="354" t="s">
        <v>102</v>
      </c>
      <c r="I1040" s="355">
        <f>'3.60 lakhs'!K902</f>
        <v>27.91</v>
      </c>
      <c r="J1040" s="353">
        <f t="shared" si="109"/>
        <v>0</v>
      </c>
      <c r="K1040" s="743">
        <f t="shared" si="103"/>
        <v>0</v>
      </c>
      <c r="L1040" s="368">
        <f t="shared" si="104"/>
        <v>0</v>
      </c>
      <c r="M1040" s="708" t="s">
        <v>2322</v>
      </c>
      <c r="N1040" s="223"/>
      <c r="O1040" s="706">
        <f t="shared" si="106"/>
        <v>0</v>
      </c>
    </row>
    <row r="1041" spans="1:15" s="360" customFormat="1" ht="15" hidden="1">
      <c r="A1041" s="356" t="s">
        <v>1143</v>
      </c>
      <c r="B1041" s="707" t="s">
        <v>888</v>
      </c>
      <c r="C1041" s="633">
        <f t="shared" si="108"/>
        <v>0</v>
      </c>
      <c r="D1041" s="354" t="s">
        <v>102</v>
      </c>
      <c r="E1041" s="622">
        <f t="shared" si="105"/>
        <v>194.34</v>
      </c>
      <c r="F1041" s="917">
        <f t="shared" si="107"/>
        <v>0</v>
      </c>
      <c r="G1041" s="358">
        <f>'3.60 lakhs'!I910</f>
        <v>0</v>
      </c>
      <c r="H1041" s="354" t="s">
        <v>102</v>
      </c>
      <c r="I1041" s="355">
        <f>'3.60 lakhs'!K910</f>
        <v>194.34</v>
      </c>
      <c r="J1041" s="353">
        <f t="shared" si="109"/>
        <v>0</v>
      </c>
      <c r="K1041" s="743">
        <f t="shared" si="103"/>
        <v>0</v>
      </c>
      <c r="L1041" s="368">
        <f t="shared" si="104"/>
        <v>0</v>
      </c>
      <c r="M1041" s="708" t="s">
        <v>2322</v>
      </c>
      <c r="N1041" s="223"/>
      <c r="O1041" s="706">
        <f t="shared" si="106"/>
        <v>0</v>
      </c>
    </row>
    <row r="1042" spans="1:15" s="360" customFormat="1" ht="15" hidden="1">
      <c r="A1042" s="356" t="s">
        <v>645</v>
      </c>
      <c r="B1042" s="707" t="s">
        <v>571</v>
      </c>
      <c r="C1042" s="633">
        <f t="shared" si="108"/>
        <v>0</v>
      </c>
      <c r="D1042" s="354" t="s">
        <v>102</v>
      </c>
      <c r="E1042" s="622">
        <f t="shared" si="105"/>
        <v>169.89</v>
      </c>
      <c r="F1042" s="917">
        <f t="shared" si="107"/>
        <v>0</v>
      </c>
      <c r="G1042" s="358">
        <f>'3.60 lakhs'!I918</f>
        <v>0</v>
      </c>
      <c r="H1042" s="354" t="s">
        <v>102</v>
      </c>
      <c r="I1042" s="355">
        <f>'3.60 lakhs'!K918</f>
        <v>169.89</v>
      </c>
      <c r="J1042" s="353">
        <f t="shared" si="109"/>
        <v>0</v>
      </c>
      <c r="K1042" s="743">
        <f t="shared" si="103"/>
        <v>0</v>
      </c>
      <c r="L1042" s="368">
        <f t="shared" si="104"/>
        <v>0</v>
      </c>
      <c r="M1042" s="708" t="s">
        <v>2322</v>
      </c>
      <c r="N1042" s="223"/>
      <c r="O1042" s="706">
        <f t="shared" si="106"/>
        <v>0</v>
      </c>
    </row>
    <row r="1043" spans="1:15" s="360" customFormat="1" ht="15" hidden="1">
      <c r="A1043" s="356" t="s">
        <v>1587</v>
      </c>
      <c r="B1043" s="707" t="s">
        <v>1227</v>
      </c>
      <c r="C1043" s="633">
        <f t="shared" si="108"/>
        <v>0</v>
      </c>
      <c r="D1043" s="354" t="s">
        <v>102</v>
      </c>
      <c r="E1043" s="622">
        <f t="shared" si="105"/>
        <v>233.59</v>
      </c>
      <c r="F1043" s="917">
        <f t="shared" si="107"/>
        <v>0</v>
      </c>
      <c r="G1043" s="358">
        <f>'3.60 lakhs'!I925</f>
        <v>0</v>
      </c>
      <c r="H1043" s="354" t="s">
        <v>102</v>
      </c>
      <c r="I1043" s="355">
        <f>'3.60 lakhs'!K925</f>
        <v>233.59</v>
      </c>
      <c r="J1043" s="353">
        <f t="shared" si="109"/>
        <v>0</v>
      </c>
      <c r="K1043" s="743">
        <f t="shared" si="103"/>
        <v>0</v>
      </c>
      <c r="L1043" s="368">
        <f t="shared" si="104"/>
        <v>0</v>
      </c>
      <c r="M1043" s="708" t="s">
        <v>2322</v>
      </c>
      <c r="N1043" s="223"/>
      <c r="O1043" s="706">
        <f t="shared" si="106"/>
        <v>0</v>
      </c>
    </row>
    <row r="1044" spans="1:15" s="360" customFormat="1" ht="15" hidden="1">
      <c r="A1044" s="356" t="s">
        <v>1578</v>
      </c>
      <c r="B1044" s="707" t="s">
        <v>477</v>
      </c>
      <c r="C1044" s="633">
        <f t="shared" si="108"/>
        <v>0</v>
      </c>
      <c r="D1044" s="221" t="s">
        <v>29</v>
      </c>
      <c r="E1044" s="622">
        <f t="shared" si="105"/>
        <v>91830</v>
      </c>
      <c r="F1044" s="917">
        <f t="shared" si="107"/>
        <v>0</v>
      </c>
      <c r="G1044" s="429">
        <f>'3.60 lakhs'!I931</f>
        <v>0</v>
      </c>
      <c r="H1044" s="221" t="s">
        <v>29</v>
      </c>
      <c r="I1044" s="430">
        <f>'3.60 lakhs'!K931</f>
        <v>91830</v>
      </c>
      <c r="J1044" s="353">
        <f t="shared" si="109"/>
        <v>0</v>
      </c>
      <c r="K1044" s="743">
        <f t="shared" si="103"/>
        <v>0</v>
      </c>
      <c r="L1044" s="368">
        <f t="shared" si="104"/>
        <v>0</v>
      </c>
      <c r="M1044" s="708" t="s">
        <v>2322</v>
      </c>
      <c r="N1044" s="223"/>
      <c r="O1044" s="706">
        <f t="shared" si="106"/>
        <v>0</v>
      </c>
    </row>
    <row r="1045" spans="1:15" s="360" customFormat="1" ht="15" hidden="1">
      <c r="A1045" s="356" t="s">
        <v>1144</v>
      </c>
      <c r="B1045" s="707" t="s">
        <v>1229</v>
      </c>
      <c r="C1045" s="633">
        <f t="shared" si="108"/>
        <v>0</v>
      </c>
      <c r="D1045" s="354" t="s">
        <v>115</v>
      </c>
      <c r="E1045" s="622">
        <f t="shared" si="105"/>
        <v>22903.660000000003</v>
      </c>
      <c r="F1045" s="917">
        <f t="shared" si="107"/>
        <v>0</v>
      </c>
      <c r="G1045" s="358">
        <f>'3.60 lakhs'!I937</f>
        <v>0</v>
      </c>
      <c r="H1045" s="354" t="s">
        <v>115</v>
      </c>
      <c r="I1045" s="355">
        <f>'3.60 lakhs'!K937</f>
        <v>22903.660000000003</v>
      </c>
      <c r="J1045" s="353">
        <f t="shared" si="109"/>
        <v>0</v>
      </c>
      <c r="K1045" s="743">
        <f t="shared" si="103"/>
        <v>0</v>
      </c>
      <c r="L1045" s="368">
        <f t="shared" si="104"/>
        <v>0</v>
      </c>
      <c r="M1045" s="708" t="s">
        <v>2322</v>
      </c>
      <c r="N1045" s="223"/>
      <c r="O1045" s="706">
        <f t="shared" si="106"/>
        <v>0</v>
      </c>
    </row>
    <row r="1046" spans="1:15" s="360" customFormat="1" ht="15" hidden="1">
      <c r="A1046" s="356" t="s">
        <v>485</v>
      </c>
      <c r="B1046" s="707" t="s">
        <v>2004</v>
      </c>
      <c r="C1046" s="633">
        <f t="shared" si="108"/>
        <v>0</v>
      </c>
      <c r="D1046" s="354" t="s">
        <v>115</v>
      </c>
      <c r="E1046" s="622">
        <f t="shared" si="105"/>
        <v>15875.19</v>
      </c>
      <c r="F1046" s="917">
        <f t="shared" si="107"/>
        <v>0</v>
      </c>
      <c r="G1046" s="358">
        <f>'3.60 lakhs'!I952</f>
        <v>0</v>
      </c>
      <c r="H1046" s="354" t="s">
        <v>115</v>
      </c>
      <c r="I1046" s="355">
        <f>'3.60 lakhs'!K952</f>
        <v>15875.19</v>
      </c>
      <c r="J1046" s="353">
        <f t="shared" si="109"/>
        <v>0</v>
      </c>
      <c r="K1046" s="743">
        <f t="shared" ref="K1046:K1109" si="110">IF(J1046&gt;F1046,J1046-F1046,0)</f>
        <v>0</v>
      </c>
      <c r="L1046" s="368">
        <f t="shared" ref="L1046:L1109" si="111">IF(J1046&lt;F1046,F1046-J1046,0)</f>
        <v>0</v>
      </c>
      <c r="M1046" s="708" t="s">
        <v>2322</v>
      </c>
      <c r="N1046" s="223"/>
      <c r="O1046" s="706">
        <f t="shared" si="106"/>
        <v>0</v>
      </c>
    </row>
    <row r="1047" spans="1:15" s="360" customFormat="1" ht="15" hidden="1">
      <c r="A1047" s="356"/>
      <c r="B1047" s="707" t="s">
        <v>2005</v>
      </c>
      <c r="C1047" s="633">
        <f t="shared" si="108"/>
        <v>0</v>
      </c>
      <c r="D1047" s="354" t="s">
        <v>115</v>
      </c>
      <c r="E1047" s="622">
        <f t="shared" ref="E1047:E1110" si="112">I1047</f>
        <v>15037.220000000001</v>
      </c>
      <c r="F1047" s="917">
        <f t="shared" si="107"/>
        <v>0</v>
      </c>
      <c r="G1047" s="358">
        <f>'3.60 lakhs'!I957</f>
        <v>0</v>
      </c>
      <c r="H1047" s="354" t="s">
        <v>115</v>
      </c>
      <c r="I1047" s="355">
        <f>'3.60 lakhs'!K957</f>
        <v>15037.220000000001</v>
      </c>
      <c r="J1047" s="353">
        <f t="shared" si="109"/>
        <v>0</v>
      </c>
      <c r="K1047" s="743">
        <f t="shared" si="110"/>
        <v>0</v>
      </c>
      <c r="L1047" s="368">
        <f t="shared" si="111"/>
        <v>0</v>
      </c>
      <c r="M1047" s="708" t="s">
        <v>2322</v>
      </c>
      <c r="N1047" s="223"/>
      <c r="O1047" s="706">
        <f t="shared" ref="O1047:O1110" si="113">F1047-J1047</f>
        <v>0</v>
      </c>
    </row>
    <row r="1048" spans="1:15" s="360" customFormat="1" ht="15" hidden="1">
      <c r="A1048" s="356" t="s">
        <v>1144</v>
      </c>
      <c r="B1048" s="707" t="s">
        <v>2004</v>
      </c>
      <c r="C1048" s="633">
        <f t="shared" si="108"/>
        <v>0</v>
      </c>
      <c r="D1048" s="354" t="s">
        <v>115</v>
      </c>
      <c r="E1048" s="622">
        <f t="shared" si="112"/>
        <v>10330.61</v>
      </c>
      <c r="F1048" s="917">
        <f t="shared" si="107"/>
        <v>0</v>
      </c>
      <c r="G1048" s="358">
        <f>'3.60 lakhs'!I962</f>
        <v>0</v>
      </c>
      <c r="H1048" s="354" t="s">
        <v>115</v>
      </c>
      <c r="I1048" s="355">
        <f>'3.60 lakhs'!K962</f>
        <v>10330.61</v>
      </c>
      <c r="J1048" s="353">
        <f t="shared" si="109"/>
        <v>0</v>
      </c>
      <c r="K1048" s="743">
        <f t="shared" si="110"/>
        <v>0</v>
      </c>
      <c r="L1048" s="368">
        <f t="shared" si="111"/>
        <v>0</v>
      </c>
      <c r="M1048" s="708" t="s">
        <v>2322</v>
      </c>
      <c r="N1048" s="223"/>
      <c r="O1048" s="706">
        <f t="shared" si="113"/>
        <v>0</v>
      </c>
    </row>
    <row r="1049" spans="1:15" s="360" customFormat="1" ht="15" hidden="1">
      <c r="A1049" s="356" t="s">
        <v>1582</v>
      </c>
      <c r="B1049" s="707" t="s">
        <v>2006</v>
      </c>
      <c r="C1049" s="633">
        <f t="shared" si="108"/>
        <v>0</v>
      </c>
      <c r="D1049" s="354" t="s">
        <v>115</v>
      </c>
      <c r="E1049" s="622">
        <f t="shared" si="112"/>
        <v>7015.49</v>
      </c>
      <c r="F1049" s="917">
        <f t="shared" si="107"/>
        <v>0</v>
      </c>
      <c r="G1049" s="358">
        <f>'3.60 lakhs'!I967</f>
        <v>0</v>
      </c>
      <c r="H1049" s="354" t="s">
        <v>115</v>
      </c>
      <c r="I1049" s="355">
        <f>'3.60 lakhs'!K967</f>
        <v>7015.49</v>
      </c>
      <c r="J1049" s="353">
        <f t="shared" si="109"/>
        <v>0</v>
      </c>
      <c r="K1049" s="743">
        <f t="shared" si="110"/>
        <v>0</v>
      </c>
      <c r="L1049" s="368">
        <f t="shared" si="111"/>
        <v>0</v>
      </c>
      <c r="M1049" s="708" t="s">
        <v>2322</v>
      </c>
      <c r="N1049" s="223"/>
      <c r="O1049" s="706">
        <f t="shared" si="113"/>
        <v>0</v>
      </c>
    </row>
    <row r="1050" spans="1:15" s="360" customFormat="1" ht="15" hidden="1" customHeight="1">
      <c r="A1050" s="356" t="s">
        <v>2800</v>
      </c>
      <c r="B1050" s="707" t="s">
        <v>1228</v>
      </c>
      <c r="C1050" s="633">
        <f t="shared" si="108"/>
        <v>0</v>
      </c>
      <c r="D1050" s="354" t="s">
        <v>115</v>
      </c>
      <c r="E1050" s="622">
        <f t="shared" si="112"/>
        <v>7927.96</v>
      </c>
      <c r="F1050" s="917">
        <f t="shared" si="107"/>
        <v>0</v>
      </c>
      <c r="G1050" s="358">
        <f>'3.60 lakhs'!I942</f>
        <v>0</v>
      </c>
      <c r="H1050" s="354" t="s">
        <v>115</v>
      </c>
      <c r="I1050" s="355">
        <f>'3.60 lakhs'!K942</f>
        <v>7927.96</v>
      </c>
      <c r="J1050" s="353">
        <f t="shared" si="109"/>
        <v>0</v>
      </c>
      <c r="K1050" s="743">
        <f t="shared" si="110"/>
        <v>0</v>
      </c>
      <c r="L1050" s="368">
        <f t="shared" si="111"/>
        <v>0</v>
      </c>
      <c r="M1050" s="708" t="s">
        <v>2322</v>
      </c>
      <c r="N1050" s="223"/>
      <c r="O1050" s="706">
        <f t="shared" si="113"/>
        <v>0</v>
      </c>
    </row>
    <row r="1051" spans="1:15" s="360" customFormat="1" ht="15" hidden="1" customHeight="1">
      <c r="A1051" s="356" t="s">
        <v>1590</v>
      </c>
      <c r="B1051" s="707" t="s">
        <v>1228</v>
      </c>
      <c r="C1051" s="633">
        <f t="shared" si="108"/>
        <v>0</v>
      </c>
      <c r="D1051" s="354" t="s">
        <v>115</v>
      </c>
      <c r="E1051" s="622">
        <f t="shared" si="112"/>
        <v>11442.58</v>
      </c>
      <c r="F1051" s="917">
        <f t="shared" si="107"/>
        <v>0</v>
      </c>
      <c r="G1051" s="358">
        <f>'3.60 lakhs'!I947</f>
        <v>0</v>
      </c>
      <c r="H1051" s="354" t="s">
        <v>115</v>
      </c>
      <c r="I1051" s="355">
        <f>'3.60 lakhs'!K947</f>
        <v>11442.58</v>
      </c>
      <c r="J1051" s="353">
        <f t="shared" si="109"/>
        <v>0</v>
      </c>
      <c r="K1051" s="743">
        <f t="shared" si="110"/>
        <v>0</v>
      </c>
      <c r="L1051" s="368">
        <f t="shared" si="111"/>
        <v>0</v>
      </c>
      <c r="M1051" s="708" t="s">
        <v>2322</v>
      </c>
      <c r="N1051" s="223"/>
      <c r="O1051" s="706">
        <f t="shared" si="113"/>
        <v>0</v>
      </c>
    </row>
    <row r="1052" spans="1:15" s="360" customFormat="1" ht="15" hidden="1">
      <c r="A1052" s="356" t="s">
        <v>529</v>
      </c>
      <c r="B1052" s="707" t="s">
        <v>963</v>
      </c>
      <c r="C1052" s="633">
        <f t="shared" si="108"/>
        <v>0</v>
      </c>
      <c r="D1052" s="354" t="s">
        <v>115</v>
      </c>
      <c r="E1052" s="622">
        <f t="shared" si="112"/>
        <v>17517.36</v>
      </c>
      <c r="F1052" s="917">
        <f t="shared" si="107"/>
        <v>0</v>
      </c>
      <c r="G1052" s="358">
        <f>'3.60 lakhs'!I974</f>
        <v>0</v>
      </c>
      <c r="H1052" s="354" t="s">
        <v>115</v>
      </c>
      <c r="I1052" s="355">
        <f>'3.60 lakhs'!K974</f>
        <v>17517.36</v>
      </c>
      <c r="J1052" s="353">
        <f t="shared" si="109"/>
        <v>0</v>
      </c>
      <c r="K1052" s="743">
        <f t="shared" si="110"/>
        <v>0</v>
      </c>
      <c r="L1052" s="368">
        <f t="shared" si="111"/>
        <v>0</v>
      </c>
      <c r="M1052" s="708" t="s">
        <v>2322</v>
      </c>
      <c r="N1052" s="223"/>
      <c r="O1052" s="706">
        <f t="shared" si="113"/>
        <v>0</v>
      </c>
    </row>
    <row r="1053" spans="1:15" s="360" customFormat="1" ht="15" hidden="1">
      <c r="A1053" s="356" t="s">
        <v>2801</v>
      </c>
      <c r="B1053" s="707" t="s">
        <v>964</v>
      </c>
      <c r="C1053" s="633">
        <f t="shared" si="108"/>
        <v>0</v>
      </c>
      <c r="D1053" s="354" t="s">
        <v>115</v>
      </c>
      <c r="E1053" s="622">
        <f t="shared" si="112"/>
        <v>7005.16</v>
      </c>
      <c r="F1053" s="917">
        <f t="shared" si="107"/>
        <v>0</v>
      </c>
      <c r="G1053" s="358">
        <f>'3.60 lakhs'!I979</f>
        <v>0</v>
      </c>
      <c r="H1053" s="354" t="s">
        <v>115</v>
      </c>
      <c r="I1053" s="355">
        <f>'3.60 lakhs'!K979</f>
        <v>7005.16</v>
      </c>
      <c r="J1053" s="353">
        <f t="shared" si="109"/>
        <v>0</v>
      </c>
      <c r="K1053" s="743">
        <f t="shared" si="110"/>
        <v>0</v>
      </c>
      <c r="L1053" s="368">
        <f t="shared" si="111"/>
        <v>0</v>
      </c>
      <c r="M1053" s="708" t="s">
        <v>2322</v>
      </c>
      <c r="N1053" s="223"/>
      <c r="O1053" s="706">
        <f t="shared" si="113"/>
        <v>0</v>
      </c>
    </row>
    <row r="1054" spans="1:15" s="360" customFormat="1" ht="15" hidden="1">
      <c r="A1054" s="356" t="s">
        <v>2802</v>
      </c>
      <c r="B1054" s="707" t="s">
        <v>2037</v>
      </c>
      <c r="C1054" s="633">
        <f t="shared" si="108"/>
        <v>0</v>
      </c>
      <c r="D1054" s="354" t="s">
        <v>102</v>
      </c>
      <c r="E1054" s="622">
        <f t="shared" si="112"/>
        <v>4083.08</v>
      </c>
      <c r="F1054" s="917">
        <f t="shared" si="107"/>
        <v>0</v>
      </c>
      <c r="G1054" s="358">
        <f>'3.60 lakhs'!I984</f>
        <v>0</v>
      </c>
      <c r="H1054" s="354" t="s">
        <v>102</v>
      </c>
      <c r="I1054" s="355">
        <f>'3.60 lakhs'!K984</f>
        <v>4083.08</v>
      </c>
      <c r="J1054" s="353">
        <f t="shared" si="109"/>
        <v>0</v>
      </c>
      <c r="K1054" s="743">
        <f t="shared" si="110"/>
        <v>0</v>
      </c>
      <c r="L1054" s="368">
        <f t="shared" si="111"/>
        <v>0</v>
      </c>
      <c r="M1054" s="708" t="s">
        <v>2322</v>
      </c>
      <c r="N1054" s="223"/>
      <c r="O1054" s="706">
        <f t="shared" si="113"/>
        <v>0</v>
      </c>
    </row>
    <row r="1055" spans="1:15" s="360" customFormat="1" ht="15" hidden="1">
      <c r="A1055" s="356" t="s">
        <v>1147</v>
      </c>
      <c r="B1055" s="707" t="s">
        <v>2038</v>
      </c>
      <c r="C1055" s="633">
        <f t="shared" si="108"/>
        <v>0</v>
      </c>
      <c r="D1055" s="354" t="s">
        <v>102</v>
      </c>
      <c r="E1055" s="622">
        <f t="shared" si="112"/>
        <v>6132.48</v>
      </c>
      <c r="F1055" s="917">
        <f t="shared" si="107"/>
        <v>0</v>
      </c>
      <c r="G1055" s="358">
        <f>'3.60 lakhs'!I990</f>
        <v>0</v>
      </c>
      <c r="H1055" s="354" t="s">
        <v>102</v>
      </c>
      <c r="I1055" s="355">
        <f>'3.60 lakhs'!K990</f>
        <v>6132.48</v>
      </c>
      <c r="J1055" s="353">
        <f t="shared" si="109"/>
        <v>0</v>
      </c>
      <c r="K1055" s="743">
        <f t="shared" si="110"/>
        <v>0</v>
      </c>
      <c r="L1055" s="368">
        <f t="shared" si="111"/>
        <v>0</v>
      </c>
      <c r="M1055" s="708" t="s">
        <v>2322</v>
      </c>
      <c r="N1055" s="223"/>
      <c r="O1055" s="706">
        <f t="shared" si="113"/>
        <v>0</v>
      </c>
    </row>
    <row r="1056" spans="1:15" s="360" customFormat="1" ht="25.5" hidden="1">
      <c r="A1056" s="356" t="s">
        <v>1583</v>
      </c>
      <c r="B1056" s="707" t="s">
        <v>965</v>
      </c>
      <c r="C1056" s="633">
        <f t="shared" si="108"/>
        <v>0</v>
      </c>
      <c r="D1056" s="354" t="s">
        <v>102</v>
      </c>
      <c r="E1056" s="622">
        <f t="shared" si="112"/>
        <v>8622</v>
      </c>
      <c r="F1056" s="917">
        <f t="shared" si="107"/>
        <v>0</v>
      </c>
      <c r="G1056" s="358">
        <f>'3.60 lakhs'!I1001</f>
        <v>0</v>
      </c>
      <c r="H1056" s="354" t="s">
        <v>102</v>
      </c>
      <c r="I1056" s="355">
        <f>'3.60 lakhs'!K1001</f>
        <v>8622</v>
      </c>
      <c r="J1056" s="353">
        <f t="shared" si="109"/>
        <v>0</v>
      </c>
      <c r="K1056" s="743">
        <f t="shared" si="110"/>
        <v>0</v>
      </c>
      <c r="L1056" s="368">
        <f t="shared" si="111"/>
        <v>0</v>
      </c>
      <c r="M1056" s="708" t="s">
        <v>2322</v>
      </c>
      <c r="N1056" s="223"/>
      <c r="O1056" s="706">
        <f t="shared" si="113"/>
        <v>0</v>
      </c>
    </row>
    <row r="1057" spans="1:15" s="360" customFormat="1" ht="25.5" hidden="1">
      <c r="A1057" s="356" t="s">
        <v>1145</v>
      </c>
      <c r="B1057" s="707" t="s">
        <v>965</v>
      </c>
      <c r="C1057" s="633">
        <f t="shared" si="108"/>
        <v>0</v>
      </c>
      <c r="D1057" s="354" t="s">
        <v>102</v>
      </c>
      <c r="E1057" s="622">
        <f t="shared" si="112"/>
        <v>6460</v>
      </c>
      <c r="F1057" s="917">
        <f t="shared" si="107"/>
        <v>0</v>
      </c>
      <c r="G1057" s="358">
        <f>'3.60 lakhs'!I1005</f>
        <v>0</v>
      </c>
      <c r="H1057" s="354" t="s">
        <v>102</v>
      </c>
      <c r="I1057" s="355">
        <f>'3.60 lakhs'!K1005</f>
        <v>6460</v>
      </c>
      <c r="J1057" s="353">
        <f t="shared" si="109"/>
        <v>0</v>
      </c>
      <c r="K1057" s="743">
        <f t="shared" si="110"/>
        <v>0</v>
      </c>
      <c r="L1057" s="368">
        <f t="shared" si="111"/>
        <v>0</v>
      </c>
      <c r="M1057" s="708" t="s">
        <v>2322</v>
      </c>
      <c r="N1057" s="223"/>
      <c r="O1057" s="706">
        <f t="shared" si="113"/>
        <v>0</v>
      </c>
    </row>
    <row r="1058" spans="1:15" s="360" customFormat="1" ht="25.5" hidden="1">
      <c r="A1058" s="356" t="s">
        <v>1579</v>
      </c>
      <c r="B1058" s="707" t="s">
        <v>966</v>
      </c>
      <c r="C1058" s="633">
        <f t="shared" si="108"/>
        <v>0</v>
      </c>
      <c r="D1058" s="354" t="s">
        <v>102</v>
      </c>
      <c r="E1058" s="622">
        <f t="shared" si="112"/>
        <v>6238</v>
      </c>
      <c r="F1058" s="917">
        <f t="shared" si="107"/>
        <v>0</v>
      </c>
      <c r="G1058" s="358">
        <f>'3.60 lakhs'!I1009</f>
        <v>0</v>
      </c>
      <c r="H1058" s="354" t="s">
        <v>102</v>
      </c>
      <c r="I1058" s="355">
        <f>'3.60 lakhs'!K1009</f>
        <v>6238</v>
      </c>
      <c r="J1058" s="353">
        <f t="shared" si="109"/>
        <v>0</v>
      </c>
      <c r="K1058" s="743">
        <f t="shared" si="110"/>
        <v>0</v>
      </c>
      <c r="L1058" s="368">
        <f t="shared" si="111"/>
        <v>0</v>
      </c>
      <c r="M1058" s="708" t="s">
        <v>2322</v>
      </c>
      <c r="N1058" s="223"/>
      <c r="O1058" s="706">
        <f t="shared" si="113"/>
        <v>0</v>
      </c>
    </row>
    <row r="1059" spans="1:15" s="360" customFormat="1" ht="15" hidden="1">
      <c r="A1059" s="356"/>
      <c r="B1059" s="707" t="s">
        <v>2294</v>
      </c>
      <c r="C1059" s="633">
        <f t="shared" si="108"/>
        <v>0</v>
      </c>
      <c r="D1059" s="354" t="s">
        <v>102</v>
      </c>
      <c r="E1059" s="622">
        <f t="shared" si="112"/>
        <v>4062</v>
      </c>
      <c r="F1059" s="917">
        <f t="shared" si="107"/>
        <v>0</v>
      </c>
      <c r="G1059" s="358">
        <f>'3.60 lakhs'!I1014</f>
        <v>0</v>
      </c>
      <c r="H1059" s="354" t="s">
        <v>102</v>
      </c>
      <c r="I1059" s="355">
        <f>'3.60 lakhs'!K1014</f>
        <v>4062</v>
      </c>
      <c r="J1059" s="353">
        <f t="shared" si="109"/>
        <v>0</v>
      </c>
      <c r="K1059" s="743">
        <f t="shared" si="110"/>
        <v>0</v>
      </c>
      <c r="L1059" s="368">
        <f t="shared" si="111"/>
        <v>0</v>
      </c>
      <c r="M1059" s="708" t="s">
        <v>2322</v>
      </c>
      <c r="N1059" s="223"/>
      <c r="O1059" s="706">
        <f t="shared" si="113"/>
        <v>0</v>
      </c>
    </row>
    <row r="1060" spans="1:15" s="360" customFormat="1" ht="15" hidden="1">
      <c r="A1060" s="356" t="s">
        <v>1147</v>
      </c>
      <c r="B1060" s="707" t="s">
        <v>712</v>
      </c>
      <c r="C1060" s="633">
        <f t="shared" si="108"/>
        <v>0</v>
      </c>
      <c r="D1060" s="354" t="s">
        <v>115</v>
      </c>
      <c r="E1060" s="622">
        <f t="shared" si="112"/>
        <v>577.28</v>
      </c>
      <c r="F1060" s="917">
        <f t="shared" si="107"/>
        <v>0</v>
      </c>
      <c r="G1060" s="358">
        <f>'3.60 lakhs'!I1019</f>
        <v>0</v>
      </c>
      <c r="H1060" s="354" t="s">
        <v>115</v>
      </c>
      <c r="I1060" s="355">
        <f>'3.60 lakhs'!K1019</f>
        <v>577.28</v>
      </c>
      <c r="J1060" s="353">
        <f t="shared" si="109"/>
        <v>0</v>
      </c>
      <c r="K1060" s="743">
        <f t="shared" si="110"/>
        <v>0</v>
      </c>
      <c r="L1060" s="368">
        <f t="shared" si="111"/>
        <v>0</v>
      </c>
      <c r="M1060" s="708" t="s">
        <v>2322</v>
      </c>
      <c r="N1060" s="223"/>
      <c r="O1060" s="706">
        <f t="shared" si="113"/>
        <v>0</v>
      </c>
    </row>
    <row r="1061" spans="1:15" s="360" customFormat="1" ht="15" hidden="1">
      <c r="A1061" s="356" t="s">
        <v>1580</v>
      </c>
      <c r="B1061" s="707" t="s">
        <v>932</v>
      </c>
      <c r="C1061" s="633">
        <f t="shared" si="108"/>
        <v>0</v>
      </c>
      <c r="D1061" s="354" t="s">
        <v>102</v>
      </c>
      <c r="E1061" s="622">
        <f t="shared" si="112"/>
        <v>604.07999999999993</v>
      </c>
      <c r="F1061" s="917">
        <f t="shared" si="107"/>
        <v>0</v>
      </c>
      <c r="G1061" s="358">
        <f>'3.60 lakhs'!I1024</f>
        <v>0</v>
      </c>
      <c r="H1061" s="354" t="s">
        <v>102</v>
      </c>
      <c r="I1061" s="355">
        <f>'3.60 lakhs'!K1024</f>
        <v>604.07999999999993</v>
      </c>
      <c r="J1061" s="353">
        <f t="shared" si="109"/>
        <v>0</v>
      </c>
      <c r="K1061" s="743">
        <f t="shared" si="110"/>
        <v>0</v>
      </c>
      <c r="L1061" s="368">
        <f t="shared" si="111"/>
        <v>0</v>
      </c>
      <c r="M1061" s="708" t="s">
        <v>2322</v>
      </c>
      <c r="N1061" s="223"/>
      <c r="O1061" s="706">
        <f t="shared" si="113"/>
        <v>0</v>
      </c>
    </row>
    <row r="1062" spans="1:15" s="360" customFormat="1" ht="15" hidden="1">
      <c r="A1062" s="356" t="s">
        <v>533</v>
      </c>
      <c r="B1062" s="707" t="s">
        <v>542</v>
      </c>
      <c r="C1062" s="633">
        <f t="shared" si="108"/>
        <v>0</v>
      </c>
      <c r="D1062" s="354" t="s">
        <v>872</v>
      </c>
      <c r="E1062" s="622">
        <f t="shared" si="112"/>
        <v>110.38</v>
      </c>
      <c r="F1062" s="917">
        <f t="shared" si="107"/>
        <v>0</v>
      </c>
      <c r="G1062" s="358">
        <f>'3.60 lakhs'!I1029</f>
        <v>0</v>
      </c>
      <c r="H1062" s="354" t="s">
        <v>872</v>
      </c>
      <c r="I1062" s="355">
        <f>'3.60 lakhs'!K1029</f>
        <v>110.38</v>
      </c>
      <c r="J1062" s="353">
        <f t="shared" si="109"/>
        <v>0</v>
      </c>
      <c r="K1062" s="743">
        <f t="shared" si="110"/>
        <v>0</v>
      </c>
      <c r="L1062" s="368">
        <f t="shared" si="111"/>
        <v>0</v>
      </c>
      <c r="M1062" s="708" t="s">
        <v>2322</v>
      </c>
      <c r="N1062" s="223"/>
      <c r="O1062" s="706">
        <f t="shared" si="113"/>
        <v>0</v>
      </c>
    </row>
    <row r="1063" spans="1:15" s="360" customFormat="1" ht="15" hidden="1">
      <c r="A1063" s="356" t="s">
        <v>1594</v>
      </c>
      <c r="B1063" s="707" t="s">
        <v>542</v>
      </c>
      <c r="C1063" s="633">
        <f t="shared" si="108"/>
        <v>0</v>
      </c>
      <c r="D1063" s="354" t="s">
        <v>102</v>
      </c>
      <c r="E1063" s="622">
        <f t="shared" si="112"/>
        <v>3130</v>
      </c>
      <c r="F1063" s="917">
        <f t="shared" si="107"/>
        <v>0</v>
      </c>
      <c r="G1063" s="358">
        <f>'3.60 lakhs'!I1036</f>
        <v>0</v>
      </c>
      <c r="H1063" s="354" t="s">
        <v>102</v>
      </c>
      <c r="I1063" s="355">
        <f>'3.60 lakhs'!K1036</f>
        <v>3130</v>
      </c>
      <c r="J1063" s="353">
        <f t="shared" si="109"/>
        <v>0</v>
      </c>
      <c r="K1063" s="743">
        <f t="shared" si="110"/>
        <v>0</v>
      </c>
      <c r="L1063" s="368">
        <f t="shared" si="111"/>
        <v>0</v>
      </c>
      <c r="M1063" s="708" t="s">
        <v>2322</v>
      </c>
      <c r="N1063" s="223"/>
      <c r="O1063" s="706">
        <f t="shared" si="113"/>
        <v>0</v>
      </c>
    </row>
    <row r="1064" spans="1:15" s="360" customFormat="1" ht="15" hidden="1">
      <c r="A1064" s="356" t="s">
        <v>518</v>
      </c>
      <c r="B1064" s="707" t="s">
        <v>632</v>
      </c>
      <c r="C1064" s="633">
        <f t="shared" si="108"/>
        <v>0</v>
      </c>
      <c r="D1064" s="354"/>
      <c r="E1064" s="622">
        <f t="shared" si="112"/>
        <v>126.9</v>
      </c>
      <c r="F1064" s="917">
        <f t="shared" si="107"/>
        <v>0</v>
      </c>
      <c r="G1064" s="358">
        <f>'3.60 lakhs'!I1041</f>
        <v>0</v>
      </c>
      <c r="H1064" s="354"/>
      <c r="I1064" s="355">
        <f>'3.60 lakhs'!K1041</f>
        <v>126.9</v>
      </c>
      <c r="J1064" s="353">
        <f t="shared" si="109"/>
        <v>0</v>
      </c>
      <c r="K1064" s="743">
        <f t="shared" si="110"/>
        <v>0</v>
      </c>
      <c r="L1064" s="368">
        <f t="shared" si="111"/>
        <v>0</v>
      </c>
      <c r="M1064" s="708" t="s">
        <v>2322</v>
      </c>
      <c r="N1064" s="223"/>
      <c r="O1064" s="706">
        <f t="shared" si="113"/>
        <v>0</v>
      </c>
    </row>
    <row r="1065" spans="1:15" s="360" customFormat="1" ht="15" hidden="1">
      <c r="A1065" s="356" t="s">
        <v>533</v>
      </c>
      <c r="B1065" s="707" t="s">
        <v>2007</v>
      </c>
      <c r="C1065" s="633">
        <f t="shared" si="108"/>
        <v>0</v>
      </c>
      <c r="D1065" s="354" t="s">
        <v>102</v>
      </c>
      <c r="E1065" s="622">
        <f t="shared" si="112"/>
        <v>3345.94</v>
      </c>
      <c r="F1065" s="917">
        <f t="shared" si="107"/>
        <v>0</v>
      </c>
      <c r="G1065" s="358">
        <f>'3.60 lakhs'!I1051</f>
        <v>0</v>
      </c>
      <c r="H1065" s="354" t="s">
        <v>102</v>
      </c>
      <c r="I1065" s="355">
        <f>'3.60 lakhs'!K1051</f>
        <v>3345.94</v>
      </c>
      <c r="J1065" s="353">
        <f t="shared" si="109"/>
        <v>0</v>
      </c>
      <c r="K1065" s="743">
        <f t="shared" si="110"/>
        <v>0</v>
      </c>
      <c r="L1065" s="368">
        <f t="shared" si="111"/>
        <v>0</v>
      </c>
      <c r="M1065" s="708" t="s">
        <v>2322</v>
      </c>
      <c r="N1065" s="223"/>
      <c r="O1065" s="706">
        <f t="shared" si="113"/>
        <v>0</v>
      </c>
    </row>
    <row r="1066" spans="1:15" s="360" customFormat="1" ht="15" hidden="1">
      <c r="A1066" s="356" t="s">
        <v>642</v>
      </c>
      <c r="B1066" s="707" t="s">
        <v>2083</v>
      </c>
      <c r="C1066" s="633">
        <f t="shared" si="108"/>
        <v>0</v>
      </c>
      <c r="D1066" s="354" t="s">
        <v>102</v>
      </c>
      <c r="E1066" s="622">
        <f t="shared" si="112"/>
        <v>1514.34</v>
      </c>
      <c r="F1066" s="917">
        <f t="shared" si="107"/>
        <v>0</v>
      </c>
      <c r="G1066" s="358">
        <f>'3.60 lakhs'!I1059</f>
        <v>0</v>
      </c>
      <c r="H1066" s="354" t="s">
        <v>102</v>
      </c>
      <c r="I1066" s="355">
        <f>'3.60 lakhs'!K1059</f>
        <v>1514.34</v>
      </c>
      <c r="J1066" s="353">
        <f t="shared" si="109"/>
        <v>0</v>
      </c>
      <c r="K1066" s="743">
        <f t="shared" si="110"/>
        <v>0</v>
      </c>
      <c r="L1066" s="368">
        <f t="shared" si="111"/>
        <v>0</v>
      </c>
      <c r="M1066" s="708" t="s">
        <v>2322</v>
      </c>
      <c r="N1066" s="223"/>
      <c r="O1066" s="706">
        <f t="shared" si="113"/>
        <v>0</v>
      </c>
    </row>
    <row r="1067" spans="1:15" s="360" customFormat="1" ht="15" hidden="1">
      <c r="A1067" s="356" t="s">
        <v>642</v>
      </c>
      <c r="B1067" s="707" t="s">
        <v>2297</v>
      </c>
      <c r="C1067" s="633">
        <f t="shared" si="108"/>
        <v>0</v>
      </c>
      <c r="D1067" s="354" t="s">
        <v>872</v>
      </c>
      <c r="E1067" s="622">
        <f t="shared" si="112"/>
        <v>568.35</v>
      </c>
      <c r="F1067" s="917">
        <f t="shared" si="107"/>
        <v>0</v>
      </c>
      <c r="G1067" s="358">
        <f>'3.60 lakhs'!I1064</f>
        <v>0</v>
      </c>
      <c r="H1067" s="354" t="s">
        <v>872</v>
      </c>
      <c r="I1067" s="355">
        <f>'3.60 lakhs'!K1064</f>
        <v>568.35</v>
      </c>
      <c r="J1067" s="353">
        <f t="shared" si="109"/>
        <v>0</v>
      </c>
      <c r="K1067" s="743">
        <f t="shared" si="110"/>
        <v>0</v>
      </c>
      <c r="L1067" s="368">
        <f t="shared" si="111"/>
        <v>0</v>
      </c>
      <c r="M1067" s="708" t="s">
        <v>2322</v>
      </c>
      <c r="N1067" s="223"/>
      <c r="O1067" s="706">
        <f t="shared" si="113"/>
        <v>0</v>
      </c>
    </row>
    <row r="1068" spans="1:15" s="360" customFormat="1" ht="15" hidden="1">
      <c r="A1068" s="356" t="s">
        <v>1151</v>
      </c>
      <c r="B1068" s="707" t="s">
        <v>962</v>
      </c>
      <c r="C1068" s="633">
        <f t="shared" si="108"/>
        <v>0</v>
      </c>
      <c r="D1068" s="221" t="s">
        <v>277</v>
      </c>
      <c r="E1068" s="622">
        <f t="shared" si="112"/>
        <v>453</v>
      </c>
      <c r="F1068" s="917">
        <f t="shared" si="107"/>
        <v>0</v>
      </c>
      <c r="G1068" s="429">
        <f>'3.60 lakhs'!I1072</f>
        <v>0</v>
      </c>
      <c r="H1068" s="221" t="s">
        <v>277</v>
      </c>
      <c r="I1068" s="430">
        <f>'3.60 lakhs'!K1072</f>
        <v>453</v>
      </c>
      <c r="J1068" s="353">
        <f t="shared" si="109"/>
        <v>0</v>
      </c>
      <c r="K1068" s="743">
        <f t="shared" si="110"/>
        <v>0</v>
      </c>
      <c r="L1068" s="368">
        <f t="shared" si="111"/>
        <v>0</v>
      </c>
      <c r="M1068" s="708" t="s">
        <v>2322</v>
      </c>
      <c r="N1068" s="223"/>
      <c r="O1068" s="706">
        <f t="shared" si="113"/>
        <v>0</v>
      </c>
    </row>
    <row r="1069" spans="1:15" s="360" customFormat="1" ht="15" hidden="1">
      <c r="A1069" s="356" t="s">
        <v>534</v>
      </c>
      <c r="B1069" s="707" t="s">
        <v>543</v>
      </c>
      <c r="C1069" s="633">
        <f t="shared" si="108"/>
        <v>0</v>
      </c>
      <c r="D1069" s="354" t="s">
        <v>277</v>
      </c>
      <c r="E1069" s="622">
        <f t="shared" si="112"/>
        <v>214</v>
      </c>
      <c r="F1069" s="917">
        <f t="shared" si="107"/>
        <v>0</v>
      </c>
      <c r="G1069" s="358">
        <f>'3.60 lakhs'!I1078</f>
        <v>0</v>
      </c>
      <c r="H1069" s="354" t="s">
        <v>277</v>
      </c>
      <c r="I1069" s="355">
        <f>'3.60 lakhs'!K1078</f>
        <v>214</v>
      </c>
      <c r="J1069" s="353">
        <f t="shared" si="109"/>
        <v>0</v>
      </c>
      <c r="K1069" s="743">
        <f t="shared" si="110"/>
        <v>0</v>
      </c>
      <c r="L1069" s="368">
        <f t="shared" si="111"/>
        <v>0</v>
      </c>
      <c r="M1069" s="708" t="s">
        <v>2322</v>
      </c>
      <c r="N1069" s="223"/>
      <c r="O1069" s="706">
        <f t="shared" si="113"/>
        <v>0</v>
      </c>
    </row>
    <row r="1070" spans="1:15" s="360" customFormat="1" ht="15" hidden="1">
      <c r="A1070" s="356" t="s">
        <v>642</v>
      </c>
      <c r="B1070" s="707" t="s">
        <v>544</v>
      </c>
      <c r="C1070" s="633">
        <f t="shared" si="108"/>
        <v>0</v>
      </c>
      <c r="D1070" s="354" t="s">
        <v>277</v>
      </c>
      <c r="E1070" s="622">
        <f t="shared" si="112"/>
        <v>136</v>
      </c>
      <c r="F1070" s="917">
        <f t="shared" si="107"/>
        <v>0</v>
      </c>
      <c r="G1070" s="358">
        <f>'3.60 lakhs'!I1083</f>
        <v>0</v>
      </c>
      <c r="H1070" s="354" t="s">
        <v>277</v>
      </c>
      <c r="I1070" s="355">
        <f>'3.60 lakhs'!K1083</f>
        <v>136</v>
      </c>
      <c r="J1070" s="353">
        <f t="shared" si="109"/>
        <v>0</v>
      </c>
      <c r="K1070" s="743">
        <f t="shared" si="110"/>
        <v>0</v>
      </c>
      <c r="L1070" s="368">
        <f t="shared" si="111"/>
        <v>0</v>
      </c>
      <c r="M1070" s="708" t="s">
        <v>2322</v>
      </c>
      <c r="N1070" s="223"/>
      <c r="O1070" s="706">
        <f t="shared" si="113"/>
        <v>0</v>
      </c>
    </row>
    <row r="1071" spans="1:15" s="360" customFormat="1" ht="15" hidden="1">
      <c r="A1071" s="356" t="s">
        <v>1597</v>
      </c>
      <c r="B1071" s="707" t="s">
        <v>2008</v>
      </c>
      <c r="C1071" s="633">
        <f t="shared" si="108"/>
        <v>0</v>
      </c>
      <c r="D1071" s="354" t="s">
        <v>277</v>
      </c>
      <c r="E1071" s="622">
        <f t="shared" si="112"/>
        <v>94</v>
      </c>
      <c r="F1071" s="917">
        <f t="shared" si="107"/>
        <v>0</v>
      </c>
      <c r="G1071" s="358">
        <f>'3.60 lakhs'!I1088</f>
        <v>0</v>
      </c>
      <c r="H1071" s="354" t="s">
        <v>277</v>
      </c>
      <c r="I1071" s="355">
        <f>'3.60 lakhs'!K1088</f>
        <v>94</v>
      </c>
      <c r="J1071" s="353">
        <f t="shared" si="109"/>
        <v>0</v>
      </c>
      <c r="K1071" s="743">
        <f t="shared" si="110"/>
        <v>0</v>
      </c>
      <c r="L1071" s="368">
        <f t="shared" si="111"/>
        <v>0</v>
      </c>
      <c r="M1071" s="708" t="s">
        <v>2322</v>
      </c>
      <c r="N1071" s="223"/>
      <c r="O1071" s="706">
        <f t="shared" si="113"/>
        <v>0</v>
      </c>
    </row>
    <row r="1072" spans="1:15" s="360" customFormat="1" ht="15" hidden="1">
      <c r="A1072" s="356" t="s">
        <v>1153</v>
      </c>
      <c r="B1072" s="707" t="s">
        <v>1256</v>
      </c>
      <c r="C1072" s="633">
        <f t="shared" si="108"/>
        <v>0</v>
      </c>
      <c r="D1072" s="354" t="s">
        <v>277</v>
      </c>
      <c r="E1072" s="622">
        <f t="shared" si="112"/>
        <v>35</v>
      </c>
      <c r="F1072" s="917">
        <f t="shared" ref="F1072:F1135" si="114">ROUND(C1072*E1072,0)</f>
        <v>0</v>
      </c>
      <c r="G1072" s="358">
        <f>'3.60 lakhs'!I1098</f>
        <v>0</v>
      </c>
      <c r="H1072" s="354" t="s">
        <v>277</v>
      </c>
      <c r="I1072" s="355">
        <f>'3.60 lakhs'!K1098</f>
        <v>35</v>
      </c>
      <c r="J1072" s="353">
        <f t="shared" si="109"/>
        <v>0</v>
      </c>
      <c r="K1072" s="743">
        <f t="shared" si="110"/>
        <v>0</v>
      </c>
      <c r="L1072" s="368">
        <f t="shared" si="111"/>
        <v>0</v>
      </c>
      <c r="M1072" s="708" t="s">
        <v>2322</v>
      </c>
      <c r="N1072" s="223"/>
      <c r="O1072" s="706">
        <f t="shared" si="113"/>
        <v>0</v>
      </c>
    </row>
    <row r="1073" spans="1:15" s="360" customFormat="1" ht="15" hidden="1">
      <c r="A1073" s="356" t="s">
        <v>643</v>
      </c>
      <c r="B1073" s="707" t="s">
        <v>545</v>
      </c>
      <c r="C1073" s="633">
        <f t="shared" si="108"/>
        <v>0</v>
      </c>
      <c r="D1073" s="354" t="s">
        <v>277</v>
      </c>
      <c r="E1073" s="622">
        <f t="shared" si="112"/>
        <v>33</v>
      </c>
      <c r="F1073" s="917">
        <f t="shared" si="114"/>
        <v>0</v>
      </c>
      <c r="G1073" s="358">
        <f>'3.60 lakhs'!I1104</f>
        <v>0</v>
      </c>
      <c r="H1073" s="354" t="s">
        <v>277</v>
      </c>
      <c r="I1073" s="355">
        <f>'3.60 lakhs'!K1104</f>
        <v>33</v>
      </c>
      <c r="J1073" s="353">
        <f t="shared" si="109"/>
        <v>0</v>
      </c>
      <c r="K1073" s="743">
        <f t="shared" si="110"/>
        <v>0</v>
      </c>
      <c r="L1073" s="368">
        <f t="shared" si="111"/>
        <v>0</v>
      </c>
      <c r="M1073" s="708" t="s">
        <v>2322</v>
      </c>
      <c r="N1073" s="223"/>
      <c r="O1073" s="706">
        <f t="shared" si="113"/>
        <v>0</v>
      </c>
    </row>
    <row r="1074" spans="1:15" s="360" customFormat="1" ht="15" hidden="1">
      <c r="A1074" s="356" t="s">
        <v>1152</v>
      </c>
      <c r="B1074" s="707" t="s">
        <v>546</v>
      </c>
      <c r="C1074" s="633">
        <f t="shared" si="108"/>
        <v>0</v>
      </c>
      <c r="D1074" s="354" t="s">
        <v>115</v>
      </c>
      <c r="E1074" s="622">
        <f t="shared" si="112"/>
        <v>387</v>
      </c>
      <c r="F1074" s="917">
        <f t="shared" si="114"/>
        <v>0</v>
      </c>
      <c r="G1074" s="358">
        <f>'3.60 lakhs'!I1109</f>
        <v>0</v>
      </c>
      <c r="H1074" s="354" t="s">
        <v>115</v>
      </c>
      <c r="I1074" s="355">
        <f>'3.60 lakhs'!K1109</f>
        <v>387</v>
      </c>
      <c r="J1074" s="353">
        <f t="shared" si="109"/>
        <v>0</v>
      </c>
      <c r="K1074" s="743">
        <f t="shared" si="110"/>
        <v>0</v>
      </c>
      <c r="L1074" s="368">
        <f t="shared" si="111"/>
        <v>0</v>
      </c>
      <c r="M1074" s="708" t="s">
        <v>2322</v>
      </c>
      <c r="N1074" s="223"/>
      <c r="O1074" s="706">
        <f t="shared" si="113"/>
        <v>0</v>
      </c>
    </row>
    <row r="1075" spans="1:15" s="360" customFormat="1" ht="25.5" hidden="1">
      <c r="A1075" s="356" t="s">
        <v>499</v>
      </c>
      <c r="B1075" s="707" t="s">
        <v>713</v>
      </c>
      <c r="C1075" s="633">
        <f t="shared" si="108"/>
        <v>0</v>
      </c>
      <c r="D1075" s="354" t="s">
        <v>115</v>
      </c>
      <c r="E1075" s="622">
        <f t="shared" si="112"/>
        <v>1644</v>
      </c>
      <c r="F1075" s="917">
        <f t="shared" si="114"/>
        <v>0</v>
      </c>
      <c r="G1075" s="358">
        <f>'3.60 lakhs'!I1114</f>
        <v>0</v>
      </c>
      <c r="H1075" s="354" t="s">
        <v>115</v>
      </c>
      <c r="I1075" s="355">
        <f>'3.60 lakhs'!K1114</f>
        <v>1644</v>
      </c>
      <c r="J1075" s="353">
        <f t="shared" si="109"/>
        <v>0</v>
      </c>
      <c r="K1075" s="743">
        <f t="shared" si="110"/>
        <v>0</v>
      </c>
      <c r="L1075" s="368">
        <f t="shared" si="111"/>
        <v>0</v>
      </c>
      <c r="M1075" s="708" t="s">
        <v>2322</v>
      </c>
      <c r="N1075" s="223"/>
      <c r="O1075" s="706">
        <f t="shared" si="113"/>
        <v>0</v>
      </c>
    </row>
    <row r="1076" spans="1:15" s="360" customFormat="1" ht="15" hidden="1">
      <c r="A1076" s="356" t="s">
        <v>644</v>
      </c>
      <c r="B1076" s="707" t="s">
        <v>547</v>
      </c>
      <c r="C1076" s="633">
        <f t="shared" si="108"/>
        <v>0</v>
      </c>
      <c r="D1076" s="354" t="s">
        <v>277</v>
      </c>
      <c r="E1076" s="622">
        <f t="shared" si="112"/>
        <v>149</v>
      </c>
      <c r="F1076" s="917">
        <f t="shared" si="114"/>
        <v>0</v>
      </c>
      <c r="G1076" s="358">
        <f>'3.60 lakhs'!I1119</f>
        <v>0</v>
      </c>
      <c r="H1076" s="354" t="s">
        <v>277</v>
      </c>
      <c r="I1076" s="355">
        <f>'3.60 lakhs'!K1119</f>
        <v>149</v>
      </c>
      <c r="J1076" s="353">
        <f t="shared" si="109"/>
        <v>0</v>
      </c>
      <c r="K1076" s="743">
        <f t="shared" si="110"/>
        <v>0</v>
      </c>
      <c r="L1076" s="368">
        <f t="shared" si="111"/>
        <v>0</v>
      </c>
      <c r="M1076" s="708" t="s">
        <v>2322</v>
      </c>
      <c r="N1076" s="223"/>
      <c r="O1076" s="706">
        <f t="shared" si="113"/>
        <v>0</v>
      </c>
    </row>
    <row r="1077" spans="1:15" s="360" customFormat="1" ht="15" hidden="1">
      <c r="A1077" s="356" t="s">
        <v>1259</v>
      </c>
      <c r="B1077" s="707" t="s">
        <v>548</v>
      </c>
      <c r="C1077" s="633">
        <f t="shared" si="108"/>
        <v>0</v>
      </c>
      <c r="D1077" s="354" t="s">
        <v>277</v>
      </c>
      <c r="E1077" s="622">
        <f t="shared" si="112"/>
        <v>141.66666666666666</v>
      </c>
      <c r="F1077" s="917">
        <f t="shared" si="114"/>
        <v>0</v>
      </c>
      <c r="G1077" s="358">
        <f>'3.60 lakhs'!I1124</f>
        <v>0</v>
      </c>
      <c r="H1077" s="354" t="s">
        <v>277</v>
      </c>
      <c r="I1077" s="355">
        <f>'3.60 lakhs'!K1124</f>
        <v>141.66666666666666</v>
      </c>
      <c r="J1077" s="353">
        <f t="shared" si="109"/>
        <v>0</v>
      </c>
      <c r="K1077" s="743">
        <f t="shared" si="110"/>
        <v>0</v>
      </c>
      <c r="L1077" s="368">
        <f t="shared" si="111"/>
        <v>0</v>
      </c>
      <c r="M1077" s="708" t="s">
        <v>2322</v>
      </c>
      <c r="N1077" s="223"/>
      <c r="O1077" s="706">
        <f t="shared" si="113"/>
        <v>0</v>
      </c>
    </row>
    <row r="1078" spans="1:15" s="360" customFormat="1" ht="15" hidden="1">
      <c r="A1078" s="356" t="s">
        <v>1577</v>
      </c>
      <c r="B1078" s="707" t="s">
        <v>549</v>
      </c>
      <c r="C1078" s="633">
        <f t="shared" si="108"/>
        <v>0</v>
      </c>
      <c r="D1078" s="354" t="s">
        <v>277</v>
      </c>
      <c r="E1078" s="622">
        <f t="shared" si="112"/>
        <v>89</v>
      </c>
      <c r="F1078" s="917">
        <f t="shared" si="114"/>
        <v>0</v>
      </c>
      <c r="G1078" s="358">
        <f>'3.60 lakhs'!I1129</f>
        <v>0</v>
      </c>
      <c r="H1078" s="354" t="s">
        <v>277</v>
      </c>
      <c r="I1078" s="355">
        <f>'3.60 lakhs'!K1129</f>
        <v>89</v>
      </c>
      <c r="J1078" s="353">
        <f t="shared" si="109"/>
        <v>0</v>
      </c>
      <c r="K1078" s="743">
        <f t="shared" si="110"/>
        <v>0</v>
      </c>
      <c r="L1078" s="368">
        <f t="shared" si="111"/>
        <v>0</v>
      </c>
      <c r="M1078" s="708" t="s">
        <v>2322</v>
      </c>
      <c r="N1078" s="223"/>
      <c r="O1078" s="706">
        <f t="shared" si="113"/>
        <v>0</v>
      </c>
    </row>
    <row r="1079" spans="1:15" s="360" customFormat="1" ht="15" hidden="1">
      <c r="A1079" s="356" t="s">
        <v>1584</v>
      </c>
      <c r="B1079" s="707" t="s">
        <v>550</v>
      </c>
      <c r="C1079" s="633">
        <f t="shared" si="108"/>
        <v>0</v>
      </c>
      <c r="D1079" s="354" t="s">
        <v>277</v>
      </c>
      <c r="E1079" s="622">
        <f t="shared" si="112"/>
        <v>79</v>
      </c>
      <c r="F1079" s="917">
        <f t="shared" si="114"/>
        <v>0</v>
      </c>
      <c r="G1079" s="358">
        <f>'3.60 lakhs'!I1135</f>
        <v>0</v>
      </c>
      <c r="H1079" s="354" t="s">
        <v>277</v>
      </c>
      <c r="I1079" s="355">
        <f>'3.60 lakhs'!K1135</f>
        <v>79</v>
      </c>
      <c r="J1079" s="353">
        <f t="shared" si="109"/>
        <v>0</v>
      </c>
      <c r="K1079" s="743">
        <f t="shared" si="110"/>
        <v>0</v>
      </c>
      <c r="L1079" s="368">
        <f t="shared" si="111"/>
        <v>0</v>
      </c>
      <c r="M1079" s="708" t="s">
        <v>2322</v>
      </c>
      <c r="N1079" s="223"/>
      <c r="O1079" s="706">
        <f t="shared" si="113"/>
        <v>0</v>
      </c>
    </row>
    <row r="1080" spans="1:15" s="360" customFormat="1" ht="15" hidden="1">
      <c r="A1080" s="356" t="s">
        <v>1585</v>
      </c>
      <c r="B1080" s="707" t="s">
        <v>551</v>
      </c>
      <c r="C1080" s="633">
        <f t="shared" si="108"/>
        <v>0</v>
      </c>
      <c r="D1080" s="354" t="s">
        <v>115</v>
      </c>
      <c r="E1080" s="622">
        <f t="shared" si="112"/>
        <v>5297</v>
      </c>
      <c r="F1080" s="917">
        <f t="shared" si="114"/>
        <v>0</v>
      </c>
      <c r="G1080" s="358">
        <f>'3.60 lakhs'!I1140</f>
        <v>0</v>
      </c>
      <c r="H1080" s="354" t="s">
        <v>115</v>
      </c>
      <c r="I1080" s="355">
        <f>'3.60 lakhs'!K1140</f>
        <v>5297</v>
      </c>
      <c r="J1080" s="353">
        <f t="shared" si="109"/>
        <v>0</v>
      </c>
      <c r="K1080" s="743">
        <f t="shared" si="110"/>
        <v>0</v>
      </c>
      <c r="L1080" s="368">
        <f t="shared" si="111"/>
        <v>0</v>
      </c>
      <c r="M1080" s="708" t="s">
        <v>2322</v>
      </c>
      <c r="N1080" s="223"/>
      <c r="O1080" s="706">
        <f t="shared" si="113"/>
        <v>0</v>
      </c>
    </row>
    <row r="1081" spans="1:15" s="360" customFormat="1" ht="15" hidden="1">
      <c r="A1081" s="356" t="s">
        <v>644</v>
      </c>
      <c r="B1081" s="707" t="s">
        <v>633</v>
      </c>
      <c r="C1081" s="633">
        <f t="shared" si="108"/>
        <v>0</v>
      </c>
      <c r="D1081" s="354" t="s">
        <v>115</v>
      </c>
      <c r="E1081" s="622">
        <f t="shared" si="112"/>
        <v>1036</v>
      </c>
      <c r="F1081" s="917">
        <f t="shared" si="114"/>
        <v>0</v>
      </c>
      <c r="G1081" s="358">
        <f>'3.60 lakhs'!I1145</f>
        <v>0</v>
      </c>
      <c r="H1081" s="354" t="s">
        <v>115</v>
      </c>
      <c r="I1081" s="355">
        <f>'3.60 lakhs'!K1145</f>
        <v>1036</v>
      </c>
      <c r="J1081" s="353">
        <f t="shared" si="109"/>
        <v>0</v>
      </c>
      <c r="K1081" s="743">
        <f t="shared" si="110"/>
        <v>0</v>
      </c>
      <c r="L1081" s="368">
        <f t="shared" si="111"/>
        <v>0</v>
      </c>
      <c r="M1081" s="708" t="s">
        <v>2322</v>
      </c>
      <c r="N1081" s="223"/>
      <c r="O1081" s="706">
        <f t="shared" si="113"/>
        <v>0</v>
      </c>
    </row>
    <row r="1082" spans="1:15" s="360" customFormat="1" ht="15" hidden="1">
      <c r="A1082" s="356" t="s">
        <v>476</v>
      </c>
      <c r="B1082" s="707" t="s">
        <v>634</v>
      </c>
      <c r="C1082" s="633">
        <f t="shared" si="108"/>
        <v>0</v>
      </c>
      <c r="D1082" s="354" t="s">
        <v>115</v>
      </c>
      <c r="E1082" s="622">
        <f t="shared" si="112"/>
        <v>2025</v>
      </c>
      <c r="F1082" s="917">
        <f t="shared" si="114"/>
        <v>0</v>
      </c>
      <c r="G1082" s="358">
        <f>'3.60 lakhs'!I1155</f>
        <v>0</v>
      </c>
      <c r="H1082" s="354" t="s">
        <v>115</v>
      </c>
      <c r="I1082" s="355">
        <f>'3.60 lakhs'!K1155</f>
        <v>2025</v>
      </c>
      <c r="J1082" s="353">
        <f t="shared" si="109"/>
        <v>0</v>
      </c>
      <c r="K1082" s="743">
        <f t="shared" si="110"/>
        <v>0</v>
      </c>
      <c r="L1082" s="368">
        <f t="shared" si="111"/>
        <v>0</v>
      </c>
      <c r="M1082" s="708" t="s">
        <v>2322</v>
      </c>
      <c r="N1082" s="223"/>
      <c r="O1082" s="706">
        <f t="shared" si="113"/>
        <v>0</v>
      </c>
    </row>
    <row r="1083" spans="1:15" s="360" customFormat="1" ht="15" hidden="1">
      <c r="A1083" s="356" t="s">
        <v>1598</v>
      </c>
      <c r="B1083" s="707" t="s">
        <v>1257</v>
      </c>
      <c r="C1083" s="633">
        <f t="shared" si="108"/>
        <v>0</v>
      </c>
      <c r="D1083" s="354" t="s">
        <v>115</v>
      </c>
      <c r="E1083" s="622">
        <f t="shared" si="112"/>
        <v>2644</v>
      </c>
      <c r="F1083" s="917">
        <f t="shared" si="114"/>
        <v>0</v>
      </c>
      <c r="G1083" s="358">
        <f>'3.60 lakhs'!I1150</f>
        <v>0</v>
      </c>
      <c r="H1083" s="354" t="s">
        <v>115</v>
      </c>
      <c r="I1083" s="355">
        <f>'3.60 lakhs'!K1150</f>
        <v>2644</v>
      </c>
      <c r="J1083" s="353">
        <f t="shared" si="109"/>
        <v>0</v>
      </c>
      <c r="K1083" s="743">
        <f t="shared" si="110"/>
        <v>0</v>
      </c>
      <c r="L1083" s="368">
        <f t="shared" si="111"/>
        <v>0</v>
      </c>
      <c r="M1083" s="708" t="s">
        <v>2322</v>
      </c>
      <c r="N1083" s="223"/>
      <c r="O1083" s="706">
        <f t="shared" si="113"/>
        <v>0</v>
      </c>
    </row>
    <row r="1084" spans="1:15" s="360" customFormat="1" ht="15" hidden="1">
      <c r="A1084" s="356" t="s">
        <v>1143</v>
      </c>
      <c r="B1084" s="707" t="s">
        <v>719</v>
      </c>
      <c r="C1084" s="633">
        <f t="shared" si="108"/>
        <v>0</v>
      </c>
      <c r="D1084" s="354" t="s">
        <v>115</v>
      </c>
      <c r="E1084" s="622">
        <f t="shared" si="112"/>
        <v>93</v>
      </c>
      <c r="F1084" s="917">
        <f t="shared" si="114"/>
        <v>0</v>
      </c>
      <c r="G1084" s="358">
        <f>'3.60 lakhs'!I1160</f>
        <v>0</v>
      </c>
      <c r="H1084" s="354" t="s">
        <v>115</v>
      </c>
      <c r="I1084" s="355">
        <f>'3.60 lakhs'!K1160</f>
        <v>93</v>
      </c>
      <c r="J1084" s="353">
        <f t="shared" si="109"/>
        <v>0</v>
      </c>
      <c r="K1084" s="743">
        <f t="shared" si="110"/>
        <v>0</v>
      </c>
      <c r="L1084" s="368">
        <f t="shared" si="111"/>
        <v>0</v>
      </c>
      <c r="M1084" s="708" t="s">
        <v>2322</v>
      </c>
      <c r="N1084" s="223"/>
      <c r="O1084" s="706">
        <f t="shared" si="113"/>
        <v>0</v>
      </c>
    </row>
    <row r="1085" spans="1:15" s="360" customFormat="1" ht="15" hidden="1">
      <c r="A1085" s="356" t="s">
        <v>1586</v>
      </c>
      <c r="B1085" s="707" t="s">
        <v>552</v>
      </c>
      <c r="C1085" s="633">
        <f t="shared" si="108"/>
        <v>0</v>
      </c>
      <c r="D1085" s="354" t="s">
        <v>574</v>
      </c>
      <c r="E1085" s="622">
        <f t="shared" si="112"/>
        <v>9.5</v>
      </c>
      <c r="F1085" s="917">
        <f t="shared" si="114"/>
        <v>0</v>
      </c>
      <c r="G1085" s="358">
        <f>'3.60 lakhs'!I1165</f>
        <v>0</v>
      </c>
      <c r="H1085" s="354" t="s">
        <v>574</v>
      </c>
      <c r="I1085" s="355">
        <f>'3.60 lakhs'!K1165</f>
        <v>9.5</v>
      </c>
      <c r="J1085" s="353">
        <f t="shared" si="109"/>
        <v>0</v>
      </c>
      <c r="K1085" s="743">
        <f t="shared" si="110"/>
        <v>0</v>
      </c>
      <c r="L1085" s="368">
        <f t="shared" si="111"/>
        <v>0</v>
      </c>
      <c r="M1085" s="708" t="s">
        <v>2322</v>
      </c>
      <c r="N1085" s="223"/>
      <c r="O1085" s="706">
        <f t="shared" si="113"/>
        <v>0</v>
      </c>
    </row>
    <row r="1086" spans="1:15" s="360" customFormat="1" ht="15" hidden="1">
      <c r="A1086" s="356" t="s">
        <v>1160</v>
      </c>
      <c r="B1086" s="707" t="s">
        <v>553</v>
      </c>
      <c r="C1086" s="633">
        <f t="shared" si="108"/>
        <v>0</v>
      </c>
      <c r="D1086" s="354" t="s">
        <v>277</v>
      </c>
      <c r="E1086" s="622">
        <f t="shared" si="112"/>
        <v>446.4</v>
      </c>
      <c r="F1086" s="917">
        <f t="shared" si="114"/>
        <v>0</v>
      </c>
      <c r="G1086" s="358">
        <f>'3.60 lakhs'!I1168</f>
        <v>0</v>
      </c>
      <c r="H1086" s="354" t="s">
        <v>277</v>
      </c>
      <c r="I1086" s="355">
        <f>'3.60 lakhs'!K1168</f>
        <v>446.4</v>
      </c>
      <c r="J1086" s="353">
        <f t="shared" si="109"/>
        <v>0</v>
      </c>
      <c r="K1086" s="743">
        <f t="shared" si="110"/>
        <v>0</v>
      </c>
      <c r="L1086" s="368">
        <f t="shared" si="111"/>
        <v>0</v>
      </c>
      <c r="M1086" s="708" t="s">
        <v>2322</v>
      </c>
      <c r="N1086" s="223"/>
      <c r="O1086" s="706">
        <f t="shared" si="113"/>
        <v>0</v>
      </c>
    </row>
    <row r="1087" spans="1:15" s="360" customFormat="1" ht="15" hidden="1">
      <c r="A1087" s="356" t="s">
        <v>524</v>
      </c>
      <c r="B1087" s="707" t="s">
        <v>553</v>
      </c>
      <c r="C1087" s="633">
        <f t="shared" si="108"/>
        <v>0</v>
      </c>
      <c r="D1087" s="354" t="s">
        <v>277</v>
      </c>
      <c r="E1087" s="622">
        <f t="shared" si="112"/>
        <v>477.6</v>
      </c>
      <c r="F1087" s="917">
        <f t="shared" si="114"/>
        <v>0</v>
      </c>
      <c r="G1087" s="358">
        <f>'3.60 lakhs'!I1169</f>
        <v>0</v>
      </c>
      <c r="H1087" s="354" t="s">
        <v>277</v>
      </c>
      <c r="I1087" s="355">
        <f>'3.60 lakhs'!K1169</f>
        <v>477.6</v>
      </c>
      <c r="J1087" s="353">
        <f t="shared" si="109"/>
        <v>0</v>
      </c>
      <c r="K1087" s="743">
        <f t="shared" si="110"/>
        <v>0</v>
      </c>
      <c r="L1087" s="368">
        <f t="shared" si="111"/>
        <v>0</v>
      </c>
      <c r="M1087" s="708" t="s">
        <v>2322</v>
      </c>
      <c r="N1087" s="223"/>
      <c r="O1087" s="706">
        <f t="shared" si="113"/>
        <v>0</v>
      </c>
    </row>
    <row r="1088" spans="1:15" s="360" customFormat="1" ht="15" hidden="1">
      <c r="A1088" s="356" t="s">
        <v>525</v>
      </c>
      <c r="B1088" s="707" t="s">
        <v>553</v>
      </c>
      <c r="C1088" s="633">
        <f t="shared" si="108"/>
        <v>0</v>
      </c>
      <c r="D1088" s="354" t="s">
        <v>277</v>
      </c>
      <c r="E1088" s="622">
        <f t="shared" si="112"/>
        <v>535.70000000000005</v>
      </c>
      <c r="F1088" s="917">
        <f t="shared" si="114"/>
        <v>0</v>
      </c>
      <c r="G1088" s="358">
        <f>'3.60 lakhs'!I1170</f>
        <v>0</v>
      </c>
      <c r="H1088" s="354" t="s">
        <v>277</v>
      </c>
      <c r="I1088" s="355">
        <f>'3.60 lakhs'!K1170</f>
        <v>535.70000000000005</v>
      </c>
      <c r="J1088" s="353">
        <f t="shared" si="109"/>
        <v>0</v>
      </c>
      <c r="K1088" s="743">
        <f t="shared" si="110"/>
        <v>0</v>
      </c>
      <c r="L1088" s="368">
        <f t="shared" si="111"/>
        <v>0</v>
      </c>
      <c r="M1088" s="708" t="s">
        <v>2322</v>
      </c>
      <c r="N1088" s="223"/>
      <c r="O1088" s="706">
        <f t="shared" si="113"/>
        <v>0</v>
      </c>
    </row>
    <row r="1089" spans="1:15" s="360" customFormat="1" ht="15" hidden="1">
      <c r="A1089" s="356" t="s">
        <v>1261</v>
      </c>
      <c r="B1089" s="707" t="s">
        <v>554</v>
      </c>
      <c r="C1089" s="633">
        <f t="shared" si="108"/>
        <v>0</v>
      </c>
      <c r="D1089" s="354" t="s">
        <v>277</v>
      </c>
      <c r="E1089" s="622">
        <f t="shared" si="112"/>
        <v>325</v>
      </c>
      <c r="F1089" s="917">
        <f t="shared" si="114"/>
        <v>0</v>
      </c>
      <c r="G1089" s="358">
        <f>'3.60 lakhs'!I1176</f>
        <v>0</v>
      </c>
      <c r="H1089" s="354" t="s">
        <v>277</v>
      </c>
      <c r="I1089" s="355">
        <f>'3.60 lakhs'!K1176</f>
        <v>325</v>
      </c>
      <c r="J1089" s="353">
        <f t="shared" si="109"/>
        <v>0</v>
      </c>
      <c r="K1089" s="743">
        <f t="shared" si="110"/>
        <v>0</v>
      </c>
      <c r="L1089" s="368">
        <f t="shared" si="111"/>
        <v>0</v>
      </c>
      <c r="M1089" s="708" t="s">
        <v>2322</v>
      </c>
      <c r="N1089" s="223"/>
      <c r="O1089" s="706">
        <f t="shared" si="113"/>
        <v>0</v>
      </c>
    </row>
    <row r="1090" spans="1:15" s="360" customFormat="1" ht="15" hidden="1">
      <c r="A1090" s="356" t="s">
        <v>1161</v>
      </c>
      <c r="B1090" s="707" t="s">
        <v>635</v>
      </c>
      <c r="C1090" s="633">
        <f t="shared" si="108"/>
        <v>0</v>
      </c>
      <c r="D1090" s="354" t="s">
        <v>115</v>
      </c>
      <c r="E1090" s="622">
        <f t="shared" si="112"/>
        <v>18370</v>
      </c>
      <c r="F1090" s="917">
        <f t="shared" si="114"/>
        <v>0</v>
      </c>
      <c r="G1090" s="358">
        <f>'3.60 lakhs'!I1181</f>
        <v>0</v>
      </c>
      <c r="H1090" s="354" t="s">
        <v>115</v>
      </c>
      <c r="I1090" s="355">
        <f>'3.60 lakhs'!K1181</f>
        <v>18370</v>
      </c>
      <c r="J1090" s="353">
        <f t="shared" si="109"/>
        <v>0</v>
      </c>
      <c r="K1090" s="743">
        <f t="shared" si="110"/>
        <v>0</v>
      </c>
      <c r="L1090" s="368">
        <f t="shared" si="111"/>
        <v>0</v>
      </c>
      <c r="M1090" s="708" t="s">
        <v>2322</v>
      </c>
      <c r="N1090" s="223"/>
      <c r="O1090" s="706">
        <f t="shared" si="113"/>
        <v>0</v>
      </c>
    </row>
    <row r="1091" spans="1:15" s="360" customFormat="1" ht="15" hidden="1">
      <c r="A1091" s="356" t="s">
        <v>1599</v>
      </c>
      <c r="B1091" s="707" t="s">
        <v>636</v>
      </c>
      <c r="C1091" s="633">
        <f t="shared" si="108"/>
        <v>0</v>
      </c>
      <c r="D1091" s="354" t="s">
        <v>277</v>
      </c>
      <c r="E1091" s="622">
        <f t="shared" si="112"/>
        <v>85</v>
      </c>
      <c r="F1091" s="917">
        <f t="shared" si="114"/>
        <v>0</v>
      </c>
      <c r="G1091" s="358">
        <f>'3.60 lakhs'!I1186</f>
        <v>0</v>
      </c>
      <c r="H1091" s="354" t="s">
        <v>277</v>
      </c>
      <c r="I1091" s="355">
        <f>'3.60 lakhs'!K1186</f>
        <v>85</v>
      </c>
      <c r="J1091" s="353">
        <f t="shared" si="109"/>
        <v>0</v>
      </c>
      <c r="K1091" s="743">
        <f t="shared" si="110"/>
        <v>0</v>
      </c>
      <c r="L1091" s="368">
        <f t="shared" si="111"/>
        <v>0</v>
      </c>
      <c r="M1091" s="708" t="s">
        <v>2322</v>
      </c>
      <c r="N1091" s="223"/>
      <c r="O1091" s="706">
        <f t="shared" si="113"/>
        <v>0</v>
      </c>
    </row>
    <row r="1092" spans="1:15" s="360" customFormat="1" ht="15" hidden="1">
      <c r="A1092" s="356" t="s">
        <v>1600</v>
      </c>
      <c r="B1092" s="707" t="s">
        <v>284</v>
      </c>
      <c r="C1092" s="633">
        <f t="shared" si="108"/>
        <v>0</v>
      </c>
      <c r="D1092" s="354" t="s">
        <v>115</v>
      </c>
      <c r="E1092" s="622">
        <f t="shared" si="112"/>
        <v>300</v>
      </c>
      <c r="F1092" s="917">
        <f t="shared" si="114"/>
        <v>0</v>
      </c>
      <c r="G1092" s="358">
        <f>'3.60 lakhs'!I1191</f>
        <v>0</v>
      </c>
      <c r="H1092" s="354" t="s">
        <v>115</v>
      </c>
      <c r="I1092" s="355">
        <f>'3.60 lakhs'!K1191</f>
        <v>300</v>
      </c>
      <c r="J1092" s="353">
        <f t="shared" si="109"/>
        <v>0</v>
      </c>
      <c r="K1092" s="743">
        <f t="shared" si="110"/>
        <v>0</v>
      </c>
      <c r="L1092" s="368">
        <f t="shared" si="111"/>
        <v>0</v>
      </c>
      <c r="M1092" s="708" t="s">
        <v>2322</v>
      </c>
      <c r="N1092" s="223"/>
      <c r="O1092" s="706">
        <f t="shared" si="113"/>
        <v>0</v>
      </c>
    </row>
    <row r="1093" spans="1:15" s="360" customFormat="1" ht="15" hidden="1">
      <c r="A1093" s="356" t="s">
        <v>2039</v>
      </c>
      <c r="B1093" s="707" t="s">
        <v>285</v>
      </c>
      <c r="C1093" s="633">
        <f t="shared" si="108"/>
        <v>0</v>
      </c>
      <c r="D1093" s="354" t="s">
        <v>115</v>
      </c>
      <c r="E1093" s="622">
        <f t="shared" si="112"/>
        <v>400</v>
      </c>
      <c r="F1093" s="917">
        <f t="shared" si="114"/>
        <v>0</v>
      </c>
      <c r="G1093" s="358">
        <f>'3.60 lakhs'!I1196</f>
        <v>0</v>
      </c>
      <c r="H1093" s="354" t="s">
        <v>115</v>
      </c>
      <c r="I1093" s="355">
        <f>'3.60 lakhs'!K1196</f>
        <v>400</v>
      </c>
      <c r="J1093" s="353">
        <f t="shared" si="109"/>
        <v>0</v>
      </c>
      <c r="K1093" s="743">
        <f t="shared" si="110"/>
        <v>0</v>
      </c>
      <c r="L1093" s="368">
        <f t="shared" si="111"/>
        <v>0</v>
      </c>
      <c r="M1093" s="708" t="s">
        <v>2322</v>
      </c>
      <c r="N1093" s="223"/>
      <c r="O1093" s="706">
        <f t="shared" si="113"/>
        <v>0</v>
      </c>
    </row>
    <row r="1094" spans="1:15" s="360" customFormat="1" ht="15" hidden="1">
      <c r="A1094" s="356" t="s">
        <v>1163</v>
      </c>
      <c r="B1094" s="707" t="s">
        <v>286</v>
      </c>
      <c r="C1094" s="633">
        <f t="shared" si="108"/>
        <v>0</v>
      </c>
      <c r="D1094" s="354" t="s">
        <v>115</v>
      </c>
      <c r="E1094" s="622">
        <f t="shared" si="112"/>
        <v>77</v>
      </c>
      <c r="F1094" s="917">
        <f t="shared" si="114"/>
        <v>0</v>
      </c>
      <c r="G1094" s="358">
        <f>'3.60 lakhs'!I1201</f>
        <v>0</v>
      </c>
      <c r="H1094" s="354" t="s">
        <v>115</v>
      </c>
      <c r="I1094" s="355">
        <f>'3.60 lakhs'!K1201</f>
        <v>77</v>
      </c>
      <c r="J1094" s="353">
        <f t="shared" si="109"/>
        <v>0</v>
      </c>
      <c r="K1094" s="743">
        <f t="shared" si="110"/>
        <v>0</v>
      </c>
      <c r="L1094" s="368">
        <f t="shared" si="111"/>
        <v>0</v>
      </c>
      <c r="M1094" s="708" t="s">
        <v>2322</v>
      </c>
      <c r="N1094" s="223"/>
      <c r="O1094" s="706">
        <f t="shared" si="113"/>
        <v>0</v>
      </c>
    </row>
    <row r="1095" spans="1:15" s="360" customFormat="1" ht="15" hidden="1">
      <c r="A1095" s="356" t="s">
        <v>2042</v>
      </c>
      <c r="B1095" s="707" t="s">
        <v>287</v>
      </c>
      <c r="C1095" s="633">
        <f t="shared" si="108"/>
        <v>0</v>
      </c>
      <c r="D1095" s="354" t="s">
        <v>115</v>
      </c>
      <c r="E1095" s="622">
        <f t="shared" si="112"/>
        <v>194</v>
      </c>
      <c r="F1095" s="917">
        <f t="shared" si="114"/>
        <v>0</v>
      </c>
      <c r="G1095" s="358">
        <f>'3.60 lakhs'!I1206</f>
        <v>0</v>
      </c>
      <c r="H1095" s="354" t="s">
        <v>115</v>
      </c>
      <c r="I1095" s="355">
        <f>'3.60 lakhs'!K1206</f>
        <v>194</v>
      </c>
      <c r="J1095" s="353">
        <f t="shared" si="109"/>
        <v>0</v>
      </c>
      <c r="K1095" s="743">
        <f t="shared" si="110"/>
        <v>0</v>
      </c>
      <c r="L1095" s="368">
        <f t="shared" si="111"/>
        <v>0</v>
      </c>
      <c r="M1095" s="708" t="s">
        <v>2322</v>
      </c>
      <c r="N1095" s="223"/>
      <c r="O1095" s="706">
        <f t="shared" si="113"/>
        <v>0</v>
      </c>
    </row>
    <row r="1096" spans="1:15" s="360" customFormat="1" ht="15" hidden="1">
      <c r="A1096" s="356" t="s">
        <v>1163</v>
      </c>
      <c r="B1096" s="707" t="s">
        <v>637</v>
      </c>
      <c r="C1096" s="633">
        <f t="shared" si="108"/>
        <v>0</v>
      </c>
      <c r="D1096" s="354" t="s">
        <v>277</v>
      </c>
      <c r="E1096" s="622">
        <f t="shared" si="112"/>
        <v>105</v>
      </c>
      <c r="F1096" s="917">
        <f t="shared" si="114"/>
        <v>0</v>
      </c>
      <c r="G1096" s="358">
        <f>'3.60 lakhs'!I1211</f>
        <v>0</v>
      </c>
      <c r="H1096" s="354" t="s">
        <v>277</v>
      </c>
      <c r="I1096" s="355">
        <f>'3.60 lakhs'!K1211</f>
        <v>105</v>
      </c>
      <c r="J1096" s="353">
        <f t="shared" si="109"/>
        <v>0</v>
      </c>
      <c r="K1096" s="743">
        <f t="shared" si="110"/>
        <v>0</v>
      </c>
      <c r="L1096" s="368">
        <f t="shared" si="111"/>
        <v>0</v>
      </c>
      <c r="M1096" s="708" t="s">
        <v>2322</v>
      </c>
      <c r="N1096" s="223"/>
      <c r="O1096" s="706">
        <f t="shared" si="113"/>
        <v>0</v>
      </c>
    </row>
    <row r="1097" spans="1:15" s="360" customFormat="1" ht="15" hidden="1">
      <c r="A1097" s="356" t="s">
        <v>2042</v>
      </c>
      <c r="B1097" s="707" t="s">
        <v>638</v>
      </c>
      <c r="C1097" s="633">
        <f t="shared" si="108"/>
        <v>0</v>
      </c>
      <c r="D1097" s="354" t="s">
        <v>115</v>
      </c>
      <c r="E1097" s="622">
        <f t="shared" si="112"/>
        <v>5445</v>
      </c>
      <c r="F1097" s="917">
        <f t="shared" si="114"/>
        <v>0</v>
      </c>
      <c r="G1097" s="358">
        <f>'3.60 lakhs'!I1216</f>
        <v>0</v>
      </c>
      <c r="H1097" s="354" t="s">
        <v>115</v>
      </c>
      <c r="I1097" s="355">
        <f>'3.60 lakhs'!K1216</f>
        <v>5445</v>
      </c>
      <c r="J1097" s="353">
        <f t="shared" si="109"/>
        <v>0</v>
      </c>
      <c r="K1097" s="743">
        <f t="shared" si="110"/>
        <v>0</v>
      </c>
      <c r="L1097" s="368">
        <f t="shared" si="111"/>
        <v>0</v>
      </c>
      <c r="M1097" s="708" t="s">
        <v>2322</v>
      </c>
      <c r="N1097" s="223"/>
      <c r="O1097" s="706">
        <f t="shared" si="113"/>
        <v>0</v>
      </c>
    </row>
    <row r="1098" spans="1:15" s="360" customFormat="1" ht="15" hidden="1">
      <c r="A1098" s="356" t="s">
        <v>1261</v>
      </c>
      <c r="B1098" s="707" t="s">
        <v>555</v>
      </c>
      <c r="C1098" s="633">
        <f t="shared" ref="C1098:C1143" si="115">G1098</f>
        <v>0</v>
      </c>
      <c r="D1098" s="354" t="s">
        <v>277</v>
      </c>
      <c r="E1098" s="622">
        <f t="shared" si="112"/>
        <v>73.94</v>
      </c>
      <c r="F1098" s="917">
        <f t="shared" si="114"/>
        <v>0</v>
      </c>
      <c r="G1098" s="358">
        <f>'3.60 lakhs'!I1222</f>
        <v>0</v>
      </c>
      <c r="H1098" s="354" t="s">
        <v>277</v>
      </c>
      <c r="I1098" s="355">
        <f>'3.60 lakhs'!K1222</f>
        <v>73.94</v>
      </c>
      <c r="J1098" s="353">
        <f t="shared" ref="J1098:J1139" si="116">ROUND(G1098*I1098,2)</f>
        <v>0</v>
      </c>
      <c r="K1098" s="743">
        <f t="shared" si="110"/>
        <v>0</v>
      </c>
      <c r="L1098" s="368">
        <f t="shared" si="111"/>
        <v>0</v>
      </c>
      <c r="M1098" s="708" t="s">
        <v>2322</v>
      </c>
      <c r="N1098" s="223"/>
      <c r="O1098" s="706">
        <f t="shared" si="113"/>
        <v>0</v>
      </c>
    </row>
    <row r="1099" spans="1:15" s="360" customFormat="1" ht="15" hidden="1">
      <c r="A1099" s="356" t="s">
        <v>645</v>
      </c>
      <c r="B1099" s="707" t="s">
        <v>555</v>
      </c>
      <c r="C1099" s="633">
        <f t="shared" si="115"/>
        <v>0</v>
      </c>
      <c r="D1099" s="354" t="s">
        <v>277</v>
      </c>
      <c r="E1099" s="622">
        <f t="shared" si="112"/>
        <v>89.61</v>
      </c>
      <c r="F1099" s="917">
        <f t="shared" si="114"/>
        <v>0</v>
      </c>
      <c r="G1099" s="358">
        <f>'3.60 lakhs'!I1239</f>
        <v>0</v>
      </c>
      <c r="H1099" s="354" t="s">
        <v>277</v>
      </c>
      <c r="I1099" s="355">
        <f>'3.60 lakhs'!K1239</f>
        <v>89.61</v>
      </c>
      <c r="J1099" s="353">
        <f t="shared" si="116"/>
        <v>0</v>
      </c>
      <c r="K1099" s="743">
        <f t="shared" si="110"/>
        <v>0</v>
      </c>
      <c r="L1099" s="368">
        <f t="shared" si="111"/>
        <v>0</v>
      </c>
      <c r="M1099" s="708" t="s">
        <v>2322</v>
      </c>
      <c r="N1099" s="223"/>
      <c r="O1099" s="706">
        <f t="shared" si="113"/>
        <v>0</v>
      </c>
    </row>
    <row r="1100" spans="1:15" s="360" customFormat="1" ht="15" hidden="1">
      <c r="A1100" s="356" t="s">
        <v>517</v>
      </c>
      <c r="B1100" s="707" t="s">
        <v>572</v>
      </c>
      <c r="C1100" s="633">
        <f t="shared" si="115"/>
        <v>0</v>
      </c>
      <c r="D1100" s="354" t="s">
        <v>277</v>
      </c>
      <c r="E1100" s="622">
        <f t="shared" si="112"/>
        <v>64</v>
      </c>
      <c r="F1100" s="917">
        <f t="shared" si="114"/>
        <v>0</v>
      </c>
      <c r="G1100" s="358">
        <f>'3.60 lakhs'!I1247</f>
        <v>0</v>
      </c>
      <c r="H1100" s="354" t="s">
        <v>277</v>
      </c>
      <c r="I1100" s="355">
        <f>'3.60 lakhs'!K1247</f>
        <v>64</v>
      </c>
      <c r="J1100" s="353">
        <f t="shared" si="116"/>
        <v>0</v>
      </c>
      <c r="K1100" s="743">
        <f t="shared" si="110"/>
        <v>0</v>
      </c>
      <c r="L1100" s="368">
        <f t="shared" si="111"/>
        <v>0</v>
      </c>
      <c r="M1100" s="708" t="s">
        <v>2322</v>
      </c>
      <c r="N1100" s="223"/>
      <c r="O1100" s="706">
        <f t="shared" si="113"/>
        <v>0</v>
      </c>
    </row>
    <row r="1101" spans="1:15" s="360" customFormat="1" ht="15" hidden="1">
      <c r="A1101" s="356" t="s">
        <v>1587</v>
      </c>
      <c r="B1101" s="707" t="s">
        <v>556</v>
      </c>
      <c r="C1101" s="633">
        <f t="shared" si="115"/>
        <v>0</v>
      </c>
      <c r="D1101" s="354" t="s">
        <v>115</v>
      </c>
      <c r="E1101" s="622">
        <f t="shared" si="112"/>
        <v>245</v>
      </c>
      <c r="F1101" s="917">
        <f t="shared" si="114"/>
        <v>0</v>
      </c>
      <c r="G1101" s="358">
        <f>'3.60 lakhs'!I1253</f>
        <v>0</v>
      </c>
      <c r="H1101" s="354" t="s">
        <v>115</v>
      </c>
      <c r="I1101" s="355">
        <f>'3.60 lakhs'!K1253</f>
        <v>245</v>
      </c>
      <c r="J1101" s="353">
        <f t="shared" si="116"/>
        <v>0</v>
      </c>
      <c r="K1101" s="743">
        <f t="shared" si="110"/>
        <v>0</v>
      </c>
      <c r="L1101" s="368">
        <f t="shared" si="111"/>
        <v>0</v>
      </c>
      <c r="M1101" s="708" t="s">
        <v>2322</v>
      </c>
      <c r="N1101" s="223"/>
      <c r="O1101" s="706">
        <f t="shared" si="113"/>
        <v>0</v>
      </c>
    </row>
    <row r="1102" spans="1:15" s="360" customFormat="1" ht="15" hidden="1">
      <c r="A1102" s="356" t="s">
        <v>1588</v>
      </c>
      <c r="B1102" s="707" t="s">
        <v>639</v>
      </c>
      <c r="C1102" s="633">
        <f t="shared" si="115"/>
        <v>0</v>
      </c>
      <c r="D1102" s="354" t="s">
        <v>115</v>
      </c>
      <c r="E1102" s="622">
        <f t="shared" si="112"/>
        <v>203</v>
      </c>
      <c r="F1102" s="917">
        <f t="shared" si="114"/>
        <v>0</v>
      </c>
      <c r="G1102" s="358">
        <f>'3.60 lakhs'!I1259</f>
        <v>0</v>
      </c>
      <c r="H1102" s="354" t="s">
        <v>115</v>
      </c>
      <c r="I1102" s="355">
        <f>'3.60 lakhs'!K1259</f>
        <v>203</v>
      </c>
      <c r="J1102" s="353">
        <f t="shared" si="116"/>
        <v>0</v>
      </c>
      <c r="K1102" s="743">
        <f t="shared" si="110"/>
        <v>0</v>
      </c>
      <c r="L1102" s="368">
        <f t="shared" si="111"/>
        <v>0</v>
      </c>
      <c r="M1102" s="708" t="s">
        <v>2322</v>
      </c>
      <c r="N1102" s="223"/>
      <c r="O1102" s="706">
        <f t="shared" si="113"/>
        <v>0</v>
      </c>
    </row>
    <row r="1103" spans="1:15" s="360" customFormat="1" ht="15" hidden="1">
      <c r="A1103" s="356" t="s">
        <v>2084</v>
      </c>
      <c r="B1103" s="707" t="s">
        <v>714</v>
      </c>
      <c r="C1103" s="633">
        <f t="shared" si="115"/>
        <v>0</v>
      </c>
      <c r="D1103" s="354" t="s">
        <v>115</v>
      </c>
      <c r="E1103" s="622">
        <f t="shared" si="112"/>
        <v>155</v>
      </c>
      <c r="F1103" s="917">
        <f t="shared" si="114"/>
        <v>0</v>
      </c>
      <c r="G1103" s="358">
        <f>'3.60 lakhs'!I1264</f>
        <v>0</v>
      </c>
      <c r="H1103" s="354" t="s">
        <v>115</v>
      </c>
      <c r="I1103" s="355">
        <f>'3.60 lakhs'!K1264</f>
        <v>155</v>
      </c>
      <c r="J1103" s="353">
        <f t="shared" si="116"/>
        <v>0</v>
      </c>
      <c r="K1103" s="743">
        <f t="shared" si="110"/>
        <v>0</v>
      </c>
      <c r="L1103" s="368">
        <f t="shared" si="111"/>
        <v>0</v>
      </c>
      <c r="M1103" s="708" t="s">
        <v>2322</v>
      </c>
      <c r="N1103" s="223"/>
      <c r="O1103" s="706">
        <f t="shared" si="113"/>
        <v>0</v>
      </c>
    </row>
    <row r="1104" spans="1:15" s="360" customFormat="1" ht="15" hidden="1">
      <c r="A1104" s="356" t="s">
        <v>1600</v>
      </c>
      <c r="B1104" s="707" t="s">
        <v>796</v>
      </c>
      <c r="C1104" s="633">
        <f t="shared" si="115"/>
        <v>0</v>
      </c>
      <c r="D1104" s="354" t="s">
        <v>115</v>
      </c>
      <c r="E1104" s="622">
        <f t="shared" si="112"/>
        <v>114</v>
      </c>
      <c r="F1104" s="917">
        <f t="shared" si="114"/>
        <v>0</v>
      </c>
      <c r="G1104" s="358">
        <f>'3.60 lakhs'!I1282</f>
        <v>0</v>
      </c>
      <c r="H1104" s="354" t="s">
        <v>115</v>
      </c>
      <c r="I1104" s="355">
        <f>'3.60 lakhs'!K1282</f>
        <v>114</v>
      </c>
      <c r="J1104" s="353">
        <f t="shared" si="116"/>
        <v>0</v>
      </c>
      <c r="K1104" s="743">
        <f t="shared" si="110"/>
        <v>0</v>
      </c>
      <c r="L1104" s="368">
        <f t="shared" si="111"/>
        <v>0</v>
      </c>
      <c r="M1104" s="708" t="s">
        <v>2322</v>
      </c>
      <c r="N1104" s="223"/>
      <c r="O1104" s="706">
        <f t="shared" si="113"/>
        <v>0</v>
      </c>
    </row>
    <row r="1105" spans="1:15" s="360" customFormat="1" ht="15" hidden="1">
      <c r="A1105" s="356" t="s">
        <v>2050</v>
      </c>
      <c r="B1105" s="707" t="s">
        <v>640</v>
      </c>
      <c r="C1105" s="633">
        <f t="shared" si="115"/>
        <v>0</v>
      </c>
      <c r="D1105" s="354" t="s">
        <v>115</v>
      </c>
      <c r="E1105" s="622">
        <f t="shared" si="112"/>
        <v>400</v>
      </c>
      <c r="F1105" s="917">
        <f t="shared" si="114"/>
        <v>0</v>
      </c>
      <c r="G1105" s="358">
        <f>'3.60 lakhs'!I1277</f>
        <v>0</v>
      </c>
      <c r="H1105" s="354" t="s">
        <v>115</v>
      </c>
      <c r="I1105" s="355">
        <f>'3.60 lakhs'!K1277</f>
        <v>400</v>
      </c>
      <c r="J1105" s="353">
        <f t="shared" si="116"/>
        <v>0</v>
      </c>
      <c r="K1105" s="743">
        <f t="shared" si="110"/>
        <v>0</v>
      </c>
      <c r="L1105" s="368">
        <f t="shared" si="111"/>
        <v>0</v>
      </c>
      <c r="M1105" s="708" t="s">
        <v>2322</v>
      </c>
      <c r="N1105" s="223"/>
      <c r="O1105" s="706">
        <f t="shared" si="113"/>
        <v>0</v>
      </c>
    </row>
    <row r="1106" spans="1:15" s="360" customFormat="1" ht="15" hidden="1">
      <c r="A1106" s="356" t="s">
        <v>2051</v>
      </c>
      <c r="B1106" s="707" t="s">
        <v>1514</v>
      </c>
      <c r="C1106" s="633">
        <f t="shared" si="115"/>
        <v>0</v>
      </c>
      <c r="D1106" s="354" t="s">
        <v>115</v>
      </c>
      <c r="E1106" s="622">
        <f t="shared" si="112"/>
        <v>359</v>
      </c>
      <c r="F1106" s="917">
        <f t="shared" si="114"/>
        <v>0</v>
      </c>
      <c r="G1106" s="358">
        <f>'3.60 lakhs'!I1272</f>
        <v>0</v>
      </c>
      <c r="H1106" s="354" t="s">
        <v>115</v>
      </c>
      <c r="I1106" s="355">
        <f>'3.60 lakhs'!K1272</f>
        <v>359</v>
      </c>
      <c r="J1106" s="353">
        <f t="shared" si="116"/>
        <v>0</v>
      </c>
      <c r="K1106" s="743">
        <f t="shared" si="110"/>
        <v>0</v>
      </c>
      <c r="L1106" s="368">
        <f t="shared" si="111"/>
        <v>0</v>
      </c>
      <c r="M1106" s="708" t="s">
        <v>2322</v>
      </c>
      <c r="N1106" s="223"/>
      <c r="O1106" s="706">
        <f t="shared" si="113"/>
        <v>0</v>
      </c>
    </row>
    <row r="1107" spans="1:15" s="360" customFormat="1" ht="15" hidden="1">
      <c r="A1107" s="356" t="s">
        <v>2476</v>
      </c>
      <c r="B1107" s="707" t="s">
        <v>557</v>
      </c>
      <c r="C1107" s="633">
        <f t="shared" si="115"/>
        <v>0</v>
      </c>
      <c r="D1107" s="354" t="s">
        <v>115</v>
      </c>
      <c r="E1107" s="622">
        <f t="shared" si="112"/>
        <v>68</v>
      </c>
      <c r="F1107" s="917">
        <f t="shared" si="114"/>
        <v>0</v>
      </c>
      <c r="G1107" s="358">
        <f>'3.60 lakhs'!I1287</f>
        <v>0</v>
      </c>
      <c r="H1107" s="354" t="s">
        <v>115</v>
      </c>
      <c r="I1107" s="355">
        <f>'3.60 lakhs'!K1287</f>
        <v>68</v>
      </c>
      <c r="J1107" s="353">
        <f t="shared" si="116"/>
        <v>0</v>
      </c>
      <c r="K1107" s="743">
        <f t="shared" si="110"/>
        <v>0</v>
      </c>
      <c r="L1107" s="368">
        <f t="shared" si="111"/>
        <v>0</v>
      </c>
      <c r="M1107" s="708" t="s">
        <v>2322</v>
      </c>
      <c r="N1107" s="223"/>
      <c r="O1107" s="706">
        <f t="shared" si="113"/>
        <v>0</v>
      </c>
    </row>
    <row r="1108" spans="1:15" s="360" customFormat="1" ht="15" hidden="1">
      <c r="A1108" s="356" t="s">
        <v>646</v>
      </c>
      <c r="B1108" s="707" t="s">
        <v>558</v>
      </c>
      <c r="C1108" s="633">
        <f t="shared" si="115"/>
        <v>0</v>
      </c>
      <c r="D1108" s="354" t="s">
        <v>568</v>
      </c>
      <c r="E1108" s="622">
        <f t="shared" si="112"/>
        <v>481.67</v>
      </c>
      <c r="F1108" s="917">
        <f t="shared" si="114"/>
        <v>0</v>
      </c>
      <c r="G1108" s="358">
        <f>'3.60 lakhs'!I1295</f>
        <v>0</v>
      </c>
      <c r="H1108" s="354" t="s">
        <v>568</v>
      </c>
      <c r="I1108" s="355">
        <f>'3.60 lakhs'!K1295</f>
        <v>481.67</v>
      </c>
      <c r="J1108" s="353">
        <f t="shared" si="116"/>
        <v>0</v>
      </c>
      <c r="K1108" s="743">
        <f t="shared" si="110"/>
        <v>0</v>
      </c>
      <c r="L1108" s="368">
        <f t="shared" si="111"/>
        <v>0</v>
      </c>
      <c r="M1108" s="708" t="s">
        <v>2322</v>
      </c>
      <c r="N1108" s="223"/>
      <c r="O1108" s="706">
        <f t="shared" si="113"/>
        <v>0</v>
      </c>
    </row>
    <row r="1109" spans="1:15" s="360" customFormat="1" ht="15" hidden="1">
      <c r="A1109" s="356" t="s">
        <v>1144</v>
      </c>
      <c r="B1109" s="707" t="s">
        <v>558</v>
      </c>
      <c r="C1109" s="633">
        <f t="shared" si="115"/>
        <v>0</v>
      </c>
      <c r="D1109" s="354" t="s">
        <v>568</v>
      </c>
      <c r="E1109" s="622">
        <f t="shared" si="112"/>
        <v>503.67</v>
      </c>
      <c r="F1109" s="917">
        <f t="shared" si="114"/>
        <v>0</v>
      </c>
      <c r="G1109" s="358">
        <f>'3.60 lakhs'!I1301</f>
        <v>0</v>
      </c>
      <c r="H1109" s="354" t="s">
        <v>568</v>
      </c>
      <c r="I1109" s="355">
        <f>'3.60 lakhs'!K1301</f>
        <v>503.67</v>
      </c>
      <c r="J1109" s="353">
        <f t="shared" si="116"/>
        <v>0</v>
      </c>
      <c r="K1109" s="743">
        <f t="shared" si="110"/>
        <v>0</v>
      </c>
      <c r="L1109" s="368">
        <f t="shared" si="111"/>
        <v>0</v>
      </c>
      <c r="M1109" s="708" t="s">
        <v>2322</v>
      </c>
      <c r="N1109" s="223"/>
      <c r="O1109" s="706">
        <f t="shared" si="113"/>
        <v>0</v>
      </c>
    </row>
    <row r="1110" spans="1:15" s="360" customFormat="1" ht="15" hidden="1">
      <c r="A1110" s="356" t="s">
        <v>2040</v>
      </c>
      <c r="B1110" s="707" t="s">
        <v>2273</v>
      </c>
      <c r="C1110" s="633">
        <f t="shared" si="115"/>
        <v>0</v>
      </c>
      <c r="D1110" s="354" t="s">
        <v>277</v>
      </c>
      <c r="E1110" s="622">
        <f t="shared" si="112"/>
        <v>23.55</v>
      </c>
      <c r="F1110" s="917">
        <f t="shared" si="114"/>
        <v>0</v>
      </c>
      <c r="G1110" s="358">
        <f>'3.60 lakhs'!I1307</f>
        <v>0</v>
      </c>
      <c r="H1110" s="354" t="s">
        <v>277</v>
      </c>
      <c r="I1110" s="355">
        <f>'3.60 lakhs'!K1307</f>
        <v>23.55</v>
      </c>
      <c r="J1110" s="353">
        <f t="shared" si="116"/>
        <v>0</v>
      </c>
      <c r="K1110" s="743">
        <f t="shared" ref="K1110:K1140" si="117">IF(J1110&gt;F1110,J1110-F1110,0)</f>
        <v>0</v>
      </c>
      <c r="L1110" s="368">
        <f t="shared" ref="L1110:L1149" si="118">IF(J1110&lt;F1110,F1110-J1110,0)</f>
        <v>0</v>
      </c>
      <c r="M1110" s="708" t="s">
        <v>2322</v>
      </c>
      <c r="N1110" s="223"/>
      <c r="O1110" s="706">
        <f t="shared" si="113"/>
        <v>0</v>
      </c>
    </row>
    <row r="1111" spans="1:15" s="360" customFormat="1" ht="15" hidden="1">
      <c r="A1111" s="356" t="s">
        <v>2041</v>
      </c>
      <c r="B1111" s="707" t="s">
        <v>2274</v>
      </c>
      <c r="C1111" s="633">
        <f t="shared" si="115"/>
        <v>0</v>
      </c>
      <c r="D1111" s="354" t="s">
        <v>277</v>
      </c>
      <c r="E1111" s="622">
        <f t="shared" ref="E1111:E1138" si="119">I1111</f>
        <v>79.48</v>
      </c>
      <c r="F1111" s="917">
        <f t="shared" si="114"/>
        <v>0</v>
      </c>
      <c r="G1111" s="358">
        <f>'3.60 lakhs'!I1312</f>
        <v>0</v>
      </c>
      <c r="H1111" s="354" t="s">
        <v>277</v>
      </c>
      <c r="I1111" s="355">
        <f>'3.60 lakhs'!K1312</f>
        <v>79.48</v>
      </c>
      <c r="J1111" s="353">
        <f t="shared" si="116"/>
        <v>0</v>
      </c>
      <c r="K1111" s="743">
        <f t="shared" si="117"/>
        <v>0</v>
      </c>
      <c r="L1111" s="368">
        <f t="shared" si="118"/>
        <v>0</v>
      </c>
      <c r="M1111" s="708" t="s">
        <v>2322</v>
      </c>
      <c r="N1111" s="223"/>
      <c r="O1111" s="706">
        <f t="shared" ref="O1111:O1140" si="120">F1111-J1111</f>
        <v>0</v>
      </c>
    </row>
    <row r="1112" spans="1:15" s="360" customFormat="1" ht="15" hidden="1">
      <c r="A1112" s="356" t="s">
        <v>1589</v>
      </c>
      <c r="B1112" s="707" t="s">
        <v>559</v>
      </c>
      <c r="C1112" s="633">
        <f t="shared" si="115"/>
        <v>0</v>
      </c>
      <c r="D1112" s="354" t="s">
        <v>277</v>
      </c>
      <c r="E1112" s="622">
        <f t="shared" si="119"/>
        <v>83.333500000000001</v>
      </c>
      <c r="F1112" s="917">
        <f t="shared" si="114"/>
        <v>0</v>
      </c>
      <c r="G1112" s="358">
        <f>'3.60 lakhs'!I1318</f>
        <v>0</v>
      </c>
      <c r="H1112" s="354" t="s">
        <v>277</v>
      </c>
      <c r="I1112" s="355">
        <f>'3.60 lakhs'!K1318</f>
        <v>83.333500000000001</v>
      </c>
      <c r="J1112" s="353">
        <f t="shared" si="116"/>
        <v>0</v>
      </c>
      <c r="K1112" s="743">
        <f t="shared" si="117"/>
        <v>0</v>
      </c>
      <c r="L1112" s="368">
        <f t="shared" si="118"/>
        <v>0</v>
      </c>
      <c r="M1112" s="708" t="s">
        <v>2322</v>
      </c>
      <c r="N1112" s="223"/>
      <c r="O1112" s="706">
        <f t="shared" si="120"/>
        <v>0</v>
      </c>
    </row>
    <row r="1113" spans="1:15" s="360" customFormat="1" ht="15" hidden="1">
      <c r="A1113" s="356" t="s">
        <v>2041</v>
      </c>
      <c r="B1113" s="707" t="s">
        <v>560</v>
      </c>
      <c r="C1113" s="633">
        <f t="shared" si="115"/>
        <v>0</v>
      </c>
      <c r="D1113" s="354" t="s">
        <v>277</v>
      </c>
      <c r="E1113" s="622">
        <f t="shared" si="119"/>
        <v>126.65</v>
      </c>
      <c r="F1113" s="917">
        <f t="shared" si="114"/>
        <v>0</v>
      </c>
      <c r="G1113" s="358">
        <f>'3.60 lakhs'!I1323</f>
        <v>0</v>
      </c>
      <c r="H1113" s="354" t="s">
        <v>277</v>
      </c>
      <c r="I1113" s="355">
        <f>'3.60 lakhs'!K1323</f>
        <v>126.65</v>
      </c>
      <c r="J1113" s="353">
        <f t="shared" si="116"/>
        <v>0</v>
      </c>
      <c r="K1113" s="743">
        <f t="shared" si="117"/>
        <v>0</v>
      </c>
      <c r="L1113" s="368">
        <f t="shared" si="118"/>
        <v>0</v>
      </c>
      <c r="M1113" s="708" t="s">
        <v>2322</v>
      </c>
      <c r="N1113" s="223"/>
      <c r="O1113" s="706">
        <f t="shared" si="120"/>
        <v>0</v>
      </c>
    </row>
    <row r="1114" spans="1:15" s="360" customFormat="1" ht="15" hidden="1">
      <c r="A1114" s="356" t="s">
        <v>2043</v>
      </c>
      <c r="B1114" s="707" t="s">
        <v>833</v>
      </c>
      <c r="C1114" s="633">
        <f t="shared" si="115"/>
        <v>0</v>
      </c>
      <c r="D1114" s="354" t="s">
        <v>277</v>
      </c>
      <c r="E1114" s="622">
        <f t="shared" si="119"/>
        <v>64.563000000000002</v>
      </c>
      <c r="F1114" s="917">
        <f t="shared" si="114"/>
        <v>0</v>
      </c>
      <c r="G1114" s="358">
        <f>'3.60 lakhs'!I1328</f>
        <v>0</v>
      </c>
      <c r="H1114" s="354" t="s">
        <v>277</v>
      </c>
      <c r="I1114" s="355">
        <f>'3.60 lakhs'!K1328</f>
        <v>64.563000000000002</v>
      </c>
      <c r="J1114" s="353">
        <f t="shared" si="116"/>
        <v>0</v>
      </c>
      <c r="K1114" s="743">
        <f t="shared" si="117"/>
        <v>0</v>
      </c>
      <c r="L1114" s="368">
        <f t="shared" si="118"/>
        <v>0</v>
      </c>
      <c r="M1114" s="708" t="s">
        <v>2322</v>
      </c>
      <c r="N1114" s="223"/>
      <c r="O1114" s="706">
        <f t="shared" si="120"/>
        <v>0</v>
      </c>
    </row>
    <row r="1115" spans="1:15" s="360" customFormat="1" ht="15" hidden="1">
      <c r="A1115" s="356" t="s">
        <v>1590</v>
      </c>
      <c r="B1115" s="707" t="s">
        <v>437</v>
      </c>
      <c r="C1115" s="633">
        <f t="shared" si="115"/>
        <v>0</v>
      </c>
      <c r="D1115" s="354" t="s">
        <v>115</v>
      </c>
      <c r="E1115" s="622">
        <f t="shared" si="119"/>
        <v>209</v>
      </c>
      <c r="F1115" s="917">
        <f t="shared" si="114"/>
        <v>0</v>
      </c>
      <c r="G1115" s="358">
        <f>'3.60 lakhs'!I1334</f>
        <v>0</v>
      </c>
      <c r="H1115" s="354" t="s">
        <v>115</v>
      </c>
      <c r="I1115" s="355">
        <f>'3.60 lakhs'!K1334</f>
        <v>209</v>
      </c>
      <c r="J1115" s="353">
        <f t="shared" si="116"/>
        <v>0</v>
      </c>
      <c r="K1115" s="743">
        <f t="shared" si="117"/>
        <v>0</v>
      </c>
      <c r="L1115" s="368">
        <f t="shared" si="118"/>
        <v>0</v>
      </c>
      <c r="M1115" s="708" t="s">
        <v>2322</v>
      </c>
      <c r="N1115" s="223"/>
      <c r="O1115" s="706">
        <f t="shared" si="120"/>
        <v>0</v>
      </c>
    </row>
    <row r="1116" spans="1:15" s="360" customFormat="1" ht="15" hidden="1">
      <c r="A1116" s="356" t="s">
        <v>1591</v>
      </c>
      <c r="B1116" s="707" t="s">
        <v>615</v>
      </c>
      <c r="C1116" s="633">
        <f t="shared" si="115"/>
        <v>0</v>
      </c>
      <c r="D1116" s="354" t="s">
        <v>115</v>
      </c>
      <c r="E1116" s="622">
        <f t="shared" si="119"/>
        <v>171</v>
      </c>
      <c r="F1116" s="917">
        <f t="shared" si="114"/>
        <v>0</v>
      </c>
      <c r="G1116" s="358">
        <f>'3.60 lakhs'!I1340</f>
        <v>0</v>
      </c>
      <c r="H1116" s="354" t="s">
        <v>115</v>
      </c>
      <c r="I1116" s="355">
        <f>'3.60 lakhs'!K1340</f>
        <v>171</v>
      </c>
      <c r="J1116" s="353">
        <f t="shared" si="116"/>
        <v>0</v>
      </c>
      <c r="K1116" s="743">
        <f t="shared" si="117"/>
        <v>0</v>
      </c>
      <c r="L1116" s="368">
        <f t="shared" si="118"/>
        <v>0</v>
      </c>
      <c r="M1116" s="708" t="s">
        <v>2322</v>
      </c>
      <c r="N1116" s="223"/>
      <c r="O1116" s="706">
        <f t="shared" si="120"/>
        <v>0</v>
      </c>
    </row>
    <row r="1117" spans="1:15" s="360" customFormat="1" ht="15" hidden="1">
      <c r="A1117" s="356" t="s">
        <v>2085</v>
      </c>
      <c r="B1117" s="707" t="s">
        <v>694</v>
      </c>
      <c r="C1117" s="633">
        <f t="shared" si="115"/>
        <v>0</v>
      </c>
      <c r="D1117" s="354" t="s">
        <v>115</v>
      </c>
      <c r="E1117" s="622">
        <f t="shared" si="119"/>
        <v>132</v>
      </c>
      <c r="F1117" s="917">
        <f t="shared" si="114"/>
        <v>0</v>
      </c>
      <c r="G1117" s="358">
        <f>'3.60 lakhs'!I1345</f>
        <v>0</v>
      </c>
      <c r="H1117" s="354" t="s">
        <v>115</v>
      </c>
      <c r="I1117" s="355">
        <f>'3.60 lakhs'!K1345</f>
        <v>132</v>
      </c>
      <c r="J1117" s="353">
        <f t="shared" si="116"/>
        <v>0</v>
      </c>
      <c r="K1117" s="743">
        <f t="shared" si="117"/>
        <v>0</v>
      </c>
      <c r="L1117" s="368">
        <f t="shared" si="118"/>
        <v>0</v>
      </c>
      <c r="M1117" s="708" t="s">
        <v>2322</v>
      </c>
      <c r="N1117" s="223"/>
      <c r="O1117" s="706">
        <f t="shared" si="120"/>
        <v>0</v>
      </c>
    </row>
    <row r="1118" spans="1:15" s="360" customFormat="1" ht="15" hidden="1">
      <c r="A1118" s="356" t="s">
        <v>2046</v>
      </c>
      <c r="B1118" s="707" t="s">
        <v>792</v>
      </c>
      <c r="C1118" s="633">
        <f t="shared" si="115"/>
        <v>0</v>
      </c>
      <c r="D1118" s="354" t="s">
        <v>115</v>
      </c>
      <c r="E1118" s="622">
        <f t="shared" si="119"/>
        <v>88</v>
      </c>
      <c r="F1118" s="917">
        <f t="shared" si="114"/>
        <v>0</v>
      </c>
      <c r="G1118" s="358">
        <f>'3.60 lakhs'!I1355</f>
        <v>0</v>
      </c>
      <c r="H1118" s="354" t="s">
        <v>115</v>
      </c>
      <c r="I1118" s="355">
        <f>'3.60 lakhs'!K1355</f>
        <v>88</v>
      </c>
      <c r="J1118" s="353">
        <f t="shared" si="116"/>
        <v>0</v>
      </c>
      <c r="K1118" s="743">
        <f t="shared" si="117"/>
        <v>0</v>
      </c>
      <c r="L1118" s="368">
        <f t="shared" si="118"/>
        <v>0</v>
      </c>
      <c r="M1118" s="708" t="s">
        <v>2322</v>
      </c>
      <c r="N1118" s="223"/>
      <c r="O1118" s="706">
        <f t="shared" si="120"/>
        <v>0</v>
      </c>
    </row>
    <row r="1119" spans="1:15" s="360" customFormat="1" ht="15" hidden="1">
      <c r="A1119" s="356" t="s">
        <v>525</v>
      </c>
      <c r="B1119" s="707" t="s">
        <v>617</v>
      </c>
      <c r="C1119" s="633">
        <f t="shared" si="115"/>
        <v>0</v>
      </c>
      <c r="D1119" s="354" t="s">
        <v>115</v>
      </c>
      <c r="E1119" s="622">
        <f t="shared" si="119"/>
        <v>341</v>
      </c>
      <c r="F1119" s="917">
        <f t="shared" si="114"/>
        <v>0</v>
      </c>
      <c r="G1119" s="358">
        <f>'3.60 lakhs'!I1350</f>
        <v>0</v>
      </c>
      <c r="H1119" s="354" t="s">
        <v>115</v>
      </c>
      <c r="I1119" s="355">
        <f>'3.60 lakhs'!K1350</f>
        <v>341</v>
      </c>
      <c r="J1119" s="353">
        <f t="shared" si="116"/>
        <v>0</v>
      </c>
      <c r="K1119" s="743">
        <f t="shared" si="117"/>
        <v>0</v>
      </c>
      <c r="L1119" s="368">
        <f t="shared" si="118"/>
        <v>0</v>
      </c>
      <c r="M1119" s="708" t="s">
        <v>2322</v>
      </c>
      <c r="N1119" s="223"/>
      <c r="O1119" s="706">
        <f t="shared" si="120"/>
        <v>0</v>
      </c>
    </row>
    <row r="1120" spans="1:15" s="360" customFormat="1" ht="15" hidden="1">
      <c r="A1120" s="356" t="s">
        <v>485</v>
      </c>
      <c r="B1120" s="707" t="s">
        <v>439</v>
      </c>
      <c r="C1120" s="633">
        <f t="shared" si="115"/>
        <v>0</v>
      </c>
      <c r="D1120" s="354" t="s">
        <v>115</v>
      </c>
      <c r="E1120" s="622">
        <f t="shared" si="119"/>
        <v>66</v>
      </c>
      <c r="F1120" s="917">
        <f t="shared" si="114"/>
        <v>0</v>
      </c>
      <c r="G1120" s="358">
        <f>'3.60 lakhs'!I1360</f>
        <v>0</v>
      </c>
      <c r="H1120" s="354" t="s">
        <v>115</v>
      </c>
      <c r="I1120" s="355">
        <f>'3.60 lakhs'!K1360</f>
        <v>66</v>
      </c>
      <c r="J1120" s="353">
        <f t="shared" si="116"/>
        <v>0</v>
      </c>
      <c r="K1120" s="743">
        <f t="shared" si="117"/>
        <v>0</v>
      </c>
      <c r="L1120" s="368">
        <f t="shared" si="118"/>
        <v>0</v>
      </c>
      <c r="M1120" s="708" t="s">
        <v>2322</v>
      </c>
      <c r="N1120" s="223"/>
      <c r="O1120" s="706">
        <f t="shared" si="120"/>
        <v>0</v>
      </c>
    </row>
    <row r="1121" spans="1:15" s="360" customFormat="1" ht="15" hidden="1">
      <c r="A1121" s="356" t="s">
        <v>647</v>
      </c>
      <c r="B1121" s="707" t="s">
        <v>561</v>
      </c>
      <c r="C1121" s="633">
        <f t="shared" si="115"/>
        <v>0</v>
      </c>
      <c r="D1121" s="354" t="s">
        <v>115</v>
      </c>
      <c r="E1121" s="622">
        <f t="shared" si="119"/>
        <v>125.73500000000001</v>
      </c>
      <c r="F1121" s="917">
        <f t="shared" si="114"/>
        <v>0</v>
      </c>
      <c r="G1121" s="358">
        <f>'3.60 lakhs'!I1371</f>
        <v>0</v>
      </c>
      <c r="H1121" s="354" t="s">
        <v>115</v>
      </c>
      <c r="I1121" s="355">
        <f>'3.60 lakhs'!K1371</f>
        <v>125.73500000000001</v>
      </c>
      <c r="J1121" s="353">
        <f t="shared" si="116"/>
        <v>0</v>
      </c>
      <c r="K1121" s="743">
        <f t="shared" si="117"/>
        <v>0</v>
      </c>
      <c r="L1121" s="368">
        <f t="shared" si="118"/>
        <v>0</v>
      </c>
      <c r="M1121" s="708" t="s">
        <v>2322</v>
      </c>
      <c r="N1121" s="223"/>
      <c r="O1121" s="706">
        <f t="shared" si="120"/>
        <v>0</v>
      </c>
    </row>
    <row r="1122" spans="1:15" s="360" customFormat="1" ht="15" hidden="1">
      <c r="A1122" s="356" t="s">
        <v>2048</v>
      </c>
      <c r="B1122" s="707" t="s">
        <v>1258</v>
      </c>
      <c r="C1122" s="633">
        <f t="shared" si="115"/>
        <v>0</v>
      </c>
      <c r="D1122" s="354" t="s">
        <v>115</v>
      </c>
      <c r="E1122" s="622">
        <f t="shared" si="119"/>
        <v>422.5</v>
      </c>
      <c r="F1122" s="917">
        <f t="shared" si="114"/>
        <v>0</v>
      </c>
      <c r="G1122" s="358">
        <f>'3.60 lakhs'!I1365</f>
        <v>0</v>
      </c>
      <c r="H1122" s="354" t="s">
        <v>115</v>
      </c>
      <c r="I1122" s="355">
        <f>'3.60 lakhs'!K1365</f>
        <v>422.5</v>
      </c>
      <c r="J1122" s="353">
        <f t="shared" si="116"/>
        <v>0</v>
      </c>
      <c r="K1122" s="743">
        <f t="shared" si="117"/>
        <v>0</v>
      </c>
      <c r="L1122" s="368">
        <f t="shared" si="118"/>
        <v>0</v>
      </c>
      <c r="M1122" s="708" t="s">
        <v>2322</v>
      </c>
      <c r="N1122" s="223"/>
      <c r="O1122" s="706">
        <f t="shared" si="120"/>
        <v>0</v>
      </c>
    </row>
    <row r="1123" spans="1:15" s="360" customFormat="1" ht="15" hidden="1">
      <c r="A1123" s="356" t="s">
        <v>646</v>
      </c>
      <c r="B1123" s="707" t="s">
        <v>641</v>
      </c>
      <c r="C1123" s="633">
        <f t="shared" si="115"/>
        <v>0</v>
      </c>
      <c r="D1123" s="354" t="s">
        <v>115</v>
      </c>
      <c r="E1123" s="622">
        <f t="shared" si="119"/>
        <v>119.73500000000001</v>
      </c>
      <c r="F1123" s="917">
        <f t="shared" si="114"/>
        <v>0</v>
      </c>
      <c r="G1123" s="358">
        <f>'3.60 lakhs'!I1376</f>
        <v>0</v>
      </c>
      <c r="H1123" s="354" t="s">
        <v>115</v>
      </c>
      <c r="I1123" s="355">
        <f>'3.60 lakhs'!K1376</f>
        <v>119.73500000000001</v>
      </c>
      <c r="J1123" s="353">
        <f t="shared" si="116"/>
        <v>0</v>
      </c>
      <c r="K1123" s="743">
        <f t="shared" si="117"/>
        <v>0</v>
      </c>
      <c r="L1123" s="368">
        <f t="shared" si="118"/>
        <v>0</v>
      </c>
      <c r="M1123" s="708" t="s">
        <v>2322</v>
      </c>
      <c r="N1123" s="223"/>
      <c r="O1123" s="706">
        <f t="shared" si="120"/>
        <v>0</v>
      </c>
    </row>
    <row r="1124" spans="1:15" s="360" customFormat="1" ht="15" hidden="1">
      <c r="A1124" s="356" t="s">
        <v>2049</v>
      </c>
      <c r="B1124" s="707" t="s">
        <v>624</v>
      </c>
      <c r="C1124" s="633">
        <f t="shared" si="115"/>
        <v>0</v>
      </c>
      <c r="D1124" s="354" t="s">
        <v>115</v>
      </c>
      <c r="E1124" s="622">
        <f t="shared" si="119"/>
        <v>21</v>
      </c>
      <c r="F1124" s="917">
        <f t="shared" si="114"/>
        <v>0</v>
      </c>
      <c r="G1124" s="358">
        <f>'3.60 lakhs'!I1381</f>
        <v>0</v>
      </c>
      <c r="H1124" s="354" t="s">
        <v>115</v>
      </c>
      <c r="I1124" s="355">
        <f>'3.60 lakhs'!K1381</f>
        <v>21</v>
      </c>
      <c r="J1124" s="353">
        <f t="shared" si="116"/>
        <v>0</v>
      </c>
      <c r="K1124" s="743">
        <f t="shared" si="117"/>
        <v>0</v>
      </c>
      <c r="L1124" s="368">
        <f t="shared" si="118"/>
        <v>0</v>
      </c>
      <c r="M1124" s="708" t="s">
        <v>2322</v>
      </c>
      <c r="N1124" s="223"/>
      <c r="O1124" s="706">
        <f t="shared" si="120"/>
        <v>0</v>
      </c>
    </row>
    <row r="1125" spans="1:15" s="360" customFormat="1" ht="15" hidden="1">
      <c r="A1125" s="356" t="s">
        <v>1592</v>
      </c>
      <c r="B1125" s="707" t="s">
        <v>562</v>
      </c>
      <c r="C1125" s="633">
        <f t="shared" si="115"/>
        <v>0</v>
      </c>
      <c r="D1125" s="354" t="s">
        <v>115</v>
      </c>
      <c r="E1125" s="622">
        <f t="shared" si="119"/>
        <v>127.25</v>
      </c>
      <c r="F1125" s="917">
        <f t="shared" si="114"/>
        <v>0</v>
      </c>
      <c r="G1125" s="358">
        <f>'3.60 lakhs'!I1387</f>
        <v>0</v>
      </c>
      <c r="H1125" s="354" t="s">
        <v>115</v>
      </c>
      <c r="I1125" s="355">
        <f>'3.60 lakhs'!K1387</f>
        <v>127.25</v>
      </c>
      <c r="J1125" s="353">
        <f t="shared" si="116"/>
        <v>0</v>
      </c>
      <c r="K1125" s="743">
        <f t="shared" si="117"/>
        <v>0</v>
      </c>
      <c r="L1125" s="368">
        <f t="shared" si="118"/>
        <v>0</v>
      </c>
      <c r="M1125" s="708" t="s">
        <v>2322</v>
      </c>
      <c r="N1125" s="223"/>
      <c r="O1125" s="706">
        <f t="shared" si="120"/>
        <v>0</v>
      </c>
    </row>
    <row r="1126" spans="1:15" s="360" customFormat="1" ht="15" hidden="1">
      <c r="A1126" s="356" t="s">
        <v>1578</v>
      </c>
      <c r="B1126" s="707" t="s">
        <v>563</v>
      </c>
      <c r="C1126" s="633">
        <f t="shared" si="115"/>
        <v>0</v>
      </c>
      <c r="D1126" s="354" t="s">
        <v>115</v>
      </c>
      <c r="E1126" s="622">
        <f t="shared" si="119"/>
        <v>3312.1849999999999</v>
      </c>
      <c r="F1126" s="917">
        <f t="shared" si="114"/>
        <v>0</v>
      </c>
      <c r="G1126" s="358">
        <f>'3.60 lakhs'!I1393</f>
        <v>0</v>
      </c>
      <c r="H1126" s="354" t="s">
        <v>115</v>
      </c>
      <c r="I1126" s="355">
        <f>'3.60 lakhs'!K1393</f>
        <v>3312.1849999999999</v>
      </c>
      <c r="J1126" s="353">
        <f t="shared" si="116"/>
        <v>0</v>
      </c>
      <c r="K1126" s="743">
        <f t="shared" si="117"/>
        <v>0</v>
      </c>
      <c r="L1126" s="368">
        <f t="shared" si="118"/>
        <v>0</v>
      </c>
      <c r="M1126" s="708" t="s">
        <v>2322</v>
      </c>
      <c r="N1126" s="223"/>
      <c r="O1126" s="706">
        <f t="shared" si="120"/>
        <v>0</v>
      </c>
    </row>
    <row r="1127" spans="1:15" s="360" customFormat="1" ht="15" hidden="1">
      <c r="A1127" s="356" t="s">
        <v>2052</v>
      </c>
      <c r="B1127" s="707" t="s">
        <v>563</v>
      </c>
      <c r="C1127" s="633">
        <f t="shared" si="115"/>
        <v>0</v>
      </c>
      <c r="D1127" s="354" t="s">
        <v>115</v>
      </c>
      <c r="E1127" s="622">
        <f t="shared" si="119"/>
        <v>2941.12</v>
      </c>
      <c r="F1127" s="917">
        <f t="shared" si="114"/>
        <v>0</v>
      </c>
      <c r="G1127" s="358">
        <f>'3.60 lakhs'!I1403</f>
        <v>0</v>
      </c>
      <c r="H1127" s="354" t="s">
        <v>115</v>
      </c>
      <c r="I1127" s="355">
        <f>'3.60 lakhs'!K1403</f>
        <v>2941.12</v>
      </c>
      <c r="J1127" s="353">
        <f t="shared" si="116"/>
        <v>0</v>
      </c>
      <c r="K1127" s="743">
        <f t="shared" si="117"/>
        <v>0</v>
      </c>
      <c r="L1127" s="368">
        <f t="shared" si="118"/>
        <v>0</v>
      </c>
      <c r="M1127" s="708" t="s">
        <v>2322</v>
      </c>
      <c r="N1127" s="223"/>
      <c r="O1127" s="706">
        <f t="shared" si="120"/>
        <v>0</v>
      </c>
    </row>
    <row r="1128" spans="1:15" s="360" customFormat="1" ht="15" hidden="1">
      <c r="A1128" s="356" t="s">
        <v>2053</v>
      </c>
      <c r="B1128" s="707" t="s">
        <v>831</v>
      </c>
      <c r="C1128" s="633">
        <f t="shared" si="115"/>
        <v>0</v>
      </c>
      <c r="D1128" s="354" t="s">
        <v>115</v>
      </c>
      <c r="E1128" s="622">
        <f t="shared" si="119"/>
        <v>278</v>
      </c>
      <c r="F1128" s="917">
        <f t="shared" si="114"/>
        <v>0</v>
      </c>
      <c r="G1128" s="358">
        <f>'3.60 lakhs'!I1408</f>
        <v>0</v>
      </c>
      <c r="H1128" s="354" t="s">
        <v>115</v>
      </c>
      <c r="I1128" s="355">
        <f>'3.60 lakhs'!K1408</f>
        <v>278</v>
      </c>
      <c r="J1128" s="353">
        <f t="shared" si="116"/>
        <v>0</v>
      </c>
      <c r="K1128" s="743">
        <f t="shared" si="117"/>
        <v>0</v>
      </c>
      <c r="L1128" s="368">
        <f t="shared" si="118"/>
        <v>0</v>
      </c>
      <c r="M1128" s="708" t="s">
        <v>2322</v>
      </c>
      <c r="N1128" s="223"/>
      <c r="O1128" s="706">
        <f t="shared" si="120"/>
        <v>0</v>
      </c>
    </row>
    <row r="1129" spans="1:15" s="360" customFormat="1" ht="15" hidden="1">
      <c r="A1129" s="356" t="s">
        <v>2054</v>
      </c>
      <c r="B1129" s="707" t="s">
        <v>967</v>
      </c>
      <c r="C1129" s="633">
        <f t="shared" si="115"/>
        <v>0</v>
      </c>
      <c r="D1129" s="354" t="s">
        <v>115</v>
      </c>
      <c r="E1129" s="622">
        <f t="shared" si="119"/>
        <v>163.065</v>
      </c>
      <c r="F1129" s="917">
        <f t="shared" si="114"/>
        <v>0</v>
      </c>
      <c r="G1129" s="358">
        <f>'3.60 lakhs'!I1413</f>
        <v>0</v>
      </c>
      <c r="H1129" s="354" t="s">
        <v>115</v>
      </c>
      <c r="I1129" s="355">
        <f>'3.60 lakhs'!K1413</f>
        <v>163.065</v>
      </c>
      <c r="J1129" s="353">
        <f t="shared" si="116"/>
        <v>0</v>
      </c>
      <c r="K1129" s="743">
        <f t="shared" si="117"/>
        <v>0</v>
      </c>
      <c r="L1129" s="368">
        <f t="shared" si="118"/>
        <v>0</v>
      </c>
      <c r="M1129" s="708" t="s">
        <v>2322</v>
      </c>
      <c r="N1129" s="223"/>
      <c r="O1129" s="706">
        <f t="shared" si="120"/>
        <v>0</v>
      </c>
    </row>
    <row r="1130" spans="1:15" s="360" customFormat="1" ht="15" hidden="1">
      <c r="A1130" s="356" t="s">
        <v>642</v>
      </c>
      <c r="B1130" s="707" t="s">
        <v>832</v>
      </c>
      <c r="C1130" s="633">
        <f t="shared" si="115"/>
        <v>0</v>
      </c>
      <c r="D1130" s="354" t="s">
        <v>115</v>
      </c>
      <c r="E1130" s="622">
        <f t="shared" si="119"/>
        <v>161.5</v>
      </c>
      <c r="F1130" s="917">
        <f t="shared" si="114"/>
        <v>0</v>
      </c>
      <c r="G1130" s="358">
        <f>'3.60 lakhs'!I1420</f>
        <v>0</v>
      </c>
      <c r="H1130" s="354" t="s">
        <v>115</v>
      </c>
      <c r="I1130" s="355">
        <f>'3.60 lakhs'!K1420</f>
        <v>161.5</v>
      </c>
      <c r="J1130" s="353">
        <f t="shared" si="116"/>
        <v>0</v>
      </c>
      <c r="K1130" s="743">
        <f t="shared" si="117"/>
        <v>0</v>
      </c>
      <c r="L1130" s="368">
        <f t="shared" si="118"/>
        <v>0</v>
      </c>
      <c r="M1130" s="708" t="s">
        <v>2322</v>
      </c>
      <c r="N1130" s="223"/>
      <c r="O1130" s="706">
        <f t="shared" si="120"/>
        <v>0</v>
      </c>
    </row>
    <row r="1131" spans="1:15" s="360" customFormat="1" ht="15" hidden="1">
      <c r="A1131" s="356" t="s">
        <v>2055</v>
      </c>
      <c r="B1131" s="707" t="s">
        <v>1576</v>
      </c>
      <c r="C1131" s="633">
        <f t="shared" si="115"/>
        <v>0</v>
      </c>
      <c r="D1131" s="354" t="s">
        <v>115</v>
      </c>
      <c r="E1131" s="622">
        <f t="shared" si="119"/>
        <v>227.41000000000003</v>
      </c>
      <c r="F1131" s="917">
        <f t="shared" si="114"/>
        <v>0</v>
      </c>
      <c r="G1131" s="358">
        <f>'3.60 lakhs'!I1398</f>
        <v>0</v>
      </c>
      <c r="H1131" s="354" t="s">
        <v>115</v>
      </c>
      <c r="I1131" s="355">
        <f>'3.60 lakhs'!K1398</f>
        <v>227.41000000000003</v>
      </c>
      <c r="J1131" s="353">
        <f t="shared" si="116"/>
        <v>0</v>
      </c>
      <c r="K1131" s="743">
        <f t="shared" si="117"/>
        <v>0</v>
      </c>
      <c r="L1131" s="368">
        <f t="shared" si="118"/>
        <v>0</v>
      </c>
      <c r="M1131" s="708" t="s">
        <v>2322</v>
      </c>
      <c r="N1131" s="223"/>
      <c r="O1131" s="706">
        <f t="shared" si="120"/>
        <v>0</v>
      </c>
    </row>
    <row r="1132" spans="1:15" s="360" customFormat="1" ht="15" hidden="1">
      <c r="A1132" s="356" t="s">
        <v>1593</v>
      </c>
      <c r="B1132" s="707" t="s">
        <v>564</v>
      </c>
      <c r="C1132" s="633">
        <f t="shared" si="115"/>
        <v>0</v>
      </c>
      <c r="D1132" s="354" t="s">
        <v>115</v>
      </c>
      <c r="E1132" s="622">
        <f t="shared" si="119"/>
        <v>399.94</v>
      </c>
      <c r="F1132" s="917">
        <f t="shared" si="114"/>
        <v>0</v>
      </c>
      <c r="G1132" s="358">
        <f>'3.60 lakhs'!I1426</f>
        <v>0</v>
      </c>
      <c r="H1132" s="354" t="s">
        <v>115</v>
      </c>
      <c r="I1132" s="355">
        <f>'3.60 lakhs'!K1426</f>
        <v>399.94</v>
      </c>
      <c r="J1132" s="353">
        <f t="shared" si="116"/>
        <v>0</v>
      </c>
      <c r="K1132" s="743">
        <f t="shared" si="117"/>
        <v>0</v>
      </c>
      <c r="L1132" s="368">
        <f t="shared" si="118"/>
        <v>0</v>
      </c>
      <c r="M1132" s="708" t="s">
        <v>2322</v>
      </c>
      <c r="N1132" s="223"/>
      <c r="O1132" s="706">
        <f t="shared" si="120"/>
        <v>0</v>
      </c>
    </row>
    <row r="1133" spans="1:15" s="360" customFormat="1" ht="15" hidden="1">
      <c r="A1133" s="356" t="s">
        <v>2060</v>
      </c>
      <c r="B1133" s="707" t="s">
        <v>2275</v>
      </c>
      <c r="C1133" s="633">
        <f t="shared" si="115"/>
        <v>0</v>
      </c>
      <c r="D1133" s="354" t="s">
        <v>115</v>
      </c>
      <c r="E1133" s="622">
        <f t="shared" si="119"/>
        <v>1822</v>
      </c>
      <c r="F1133" s="917">
        <f t="shared" si="114"/>
        <v>0</v>
      </c>
      <c r="G1133" s="358">
        <f>'3.60 lakhs'!I1431</f>
        <v>0</v>
      </c>
      <c r="H1133" s="354" t="s">
        <v>115</v>
      </c>
      <c r="I1133" s="355">
        <f>'3.60 lakhs'!K1431</f>
        <v>1822</v>
      </c>
      <c r="J1133" s="353">
        <f t="shared" si="116"/>
        <v>0</v>
      </c>
      <c r="K1133" s="743">
        <f t="shared" si="117"/>
        <v>0</v>
      </c>
      <c r="L1133" s="368">
        <f t="shared" si="118"/>
        <v>0</v>
      </c>
      <c r="M1133" s="708" t="s">
        <v>2322</v>
      </c>
      <c r="N1133" s="223"/>
      <c r="O1133" s="706">
        <f t="shared" si="120"/>
        <v>0</v>
      </c>
    </row>
    <row r="1134" spans="1:15" s="360" customFormat="1" ht="15" hidden="1">
      <c r="A1134" s="356" t="s">
        <v>2060</v>
      </c>
      <c r="B1134" s="707" t="s">
        <v>2276</v>
      </c>
      <c r="C1134" s="633">
        <f t="shared" si="115"/>
        <v>0</v>
      </c>
      <c r="D1134" s="354" t="s">
        <v>115</v>
      </c>
      <c r="E1134" s="622">
        <f t="shared" si="119"/>
        <v>5428</v>
      </c>
      <c r="F1134" s="917">
        <f t="shared" si="114"/>
        <v>0</v>
      </c>
      <c r="G1134" s="358">
        <f>'3.60 lakhs'!I1436</f>
        <v>0</v>
      </c>
      <c r="H1134" s="354" t="s">
        <v>115</v>
      </c>
      <c r="I1134" s="355">
        <f>'3.60 lakhs'!K1436</f>
        <v>5428</v>
      </c>
      <c r="J1134" s="353">
        <f t="shared" si="116"/>
        <v>0</v>
      </c>
      <c r="K1134" s="743">
        <f t="shared" si="117"/>
        <v>0</v>
      </c>
      <c r="L1134" s="368">
        <f t="shared" si="118"/>
        <v>0</v>
      </c>
      <c r="M1134" s="708" t="s">
        <v>2322</v>
      </c>
      <c r="N1134" s="223"/>
      <c r="O1134" s="706">
        <f t="shared" si="120"/>
        <v>0</v>
      </c>
    </row>
    <row r="1135" spans="1:15" s="360" customFormat="1" ht="15" hidden="1">
      <c r="A1135" s="356" t="s">
        <v>1579</v>
      </c>
      <c r="B1135" s="707" t="s">
        <v>715</v>
      </c>
      <c r="C1135" s="633">
        <f t="shared" si="115"/>
        <v>0</v>
      </c>
      <c r="D1135" s="354" t="s">
        <v>115</v>
      </c>
      <c r="E1135" s="622">
        <f t="shared" si="119"/>
        <v>3662</v>
      </c>
      <c r="F1135" s="917">
        <f t="shared" si="114"/>
        <v>0</v>
      </c>
      <c r="G1135" s="358">
        <f>'3.60 lakhs'!I1446</f>
        <v>0</v>
      </c>
      <c r="H1135" s="354" t="s">
        <v>115</v>
      </c>
      <c r="I1135" s="355">
        <f>'3.60 lakhs'!K1446</f>
        <v>3662</v>
      </c>
      <c r="J1135" s="353">
        <f t="shared" si="116"/>
        <v>0</v>
      </c>
      <c r="K1135" s="743">
        <f t="shared" si="117"/>
        <v>0</v>
      </c>
      <c r="L1135" s="368">
        <f t="shared" si="118"/>
        <v>0</v>
      </c>
      <c r="M1135" s="708" t="s">
        <v>2322</v>
      </c>
      <c r="N1135" s="223"/>
      <c r="O1135" s="706">
        <f t="shared" si="120"/>
        <v>0</v>
      </c>
    </row>
    <row r="1136" spans="1:15" s="360" customFormat="1" ht="15" hidden="1">
      <c r="A1136" s="356" t="s">
        <v>1577</v>
      </c>
      <c r="B1136" s="707" t="s">
        <v>797</v>
      </c>
      <c r="C1136" s="633">
        <f t="shared" si="115"/>
        <v>0</v>
      </c>
      <c r="D1136" s="354" t="s">
        <v>115</v>
      </c>
      <c r="E1136" s="622">
        <f t="shared" si="119"/>
        <v>1634</v>
      </c>
      <c r="F1136" s="917">
        <f t="shared" ref="F1136:F1139" si="121">ROUND(C1136*E1136,0)</f>
        <v>0</v>
      </c>
      <c r="G1136" s="358">
        <f>'3.60 lakhs'!I1441</f>
        <v>0</v>
      </c>
      <c r="H1136" s="354" t="s">
        <v>115</v>
      </c>
      <c r="I1136" s="355">
        <f>'3.60 lakhs'!K1441</f>
        <v>1634</v>
      </c>
      <c r="J1136" s="353">
        <f t="shared" si="116"/>
        <v>0</v>
      </c>
      <c r="K1136" s="743">
        <f t="shared" si="117"/>
        <v>0</v>
      </c>
      <c r="L1136" s="368">
        <f t="shared" si="118"/>
        <v>0</v>
      </c>
      <c r="M1136" s="708" t="s">
        <v>2322</v>
      </c>
      <c r="N1136" s="223"/>
      <c r="O1136" s="706">
        <f t="shared" si="120"/>
        <v>0</v>
      </c>
    </row>
    <row r="1137" spans="1:15" s="360" customFormat="1" ht="25.5" hidden="1">
      <c r="A1137" s="356" t="s">
        <v>1580</v>
      </c>
      <c r="B1137" s="707" t="s">
        <v>968</v>
      </c>
      <c r="C1137" s="633">
        <f t="shared" si="115"/>
        <v>0</v>
      </c>
      <c r="D1137" s="354" t="s">
        <v>115</v>
      </c>
      <c r="E1137" s="622">
        <f t="shared" si="119"/>
        <v>1089.96</v>
      </c>
      <c r="F1137" s="917">
        <f t="shared" si="121"/>
        <v>0</v>
      </c>
      <c r="G1137" s="358">
        <f>'3.60 lakhs'!I1451</f>
        <v>0</v>
      </c>
      <c r="H1137" s="354" t="s">
        <v>115</v>
      </c>
      <c r="I1137" s="355">
        <f>'3.60 lakhs'!K1451</f>
        <v>1089.96</v>
      </c>
      <c r="J1137" s="353">
        <f t="shared" si="116"/>
        <v>0</v>
      </c>
      <c r="K1137" s="743">
        <f t="shared" si="117"/>
        <v>0</v>
      </c>
      <c r="L1137" s="368">
        <f t="shared" si="118"/>
        <v>0</v>
      </c>
      <c r="M1137" s="708" t="s">
        <v>2322</v>
      </c>
      <c r="N1137" s="223"/>
      <c r="O1137" s="706">
        <f t="shared" si="120"/>
        <v>0</v>
      </c>
    </row>
    <row r="1138" spans="1:15" s="360" customFormat="1" ht="15" hidden="1">
      <c r="A1138" s="356" t="s">
        <v>1145</v>
      </c>
      <c r="B1138" s="707" t="s">
        <v>565</v>
      </c>
      <c r="C1138" s="633">
        <f t="shared" si="115"/>
        <v>0</v>
      </c>
      <c r="D1138" s="354" t="s">
        <v>115</v>
      </c>
      <c r="E1138" s="622">
        <f t="shared" si="119"/>
        <v>4142.4250000000002</v>
      </c>
      <c r="F1138" s="917">
        <f t="shared" si="121"/>
        <v>0</v>
      </c>
      <c r="G1138" s="358">
        <f>'3.60 lakhs'!I1456</f>
        <v>0</v>
      </c>
      <c r="H1138" s="354" t="s">
        <v>115</v>
      </c>
      <c r="I1138" s="355">
        <f>'3.60 lakhs'!K1456</f>
        <v>4142.4250000000002</v>
      </c>
      <c r="J1138" s="353">
        <f t="shared" si="116"/>
        <v>0</v>
      </c>
      <c r="K1138" s="743">
        <f t="shared" si="117"/>
        <v>0</v>
      </c>
      <c r="L1138" s="368">
        <f t="shared" si="118"/>
        <v>0</v>
      </c>
      <c r="M1138" s="708" t="s">
        <v>2322</v>
      </c>
      <c r="N1138" s="223"/>
      <c r="O1138" s="706">
        <f t="shared" si="120"/>
        <v>0</v>
      </c>
    </row>
    <row r="1139" spans="1:15" s="360" customFormat="1" ht="15" hidden="1">
      <c r="A1139" s="356" t="s">
        <v>2803</v>
      </c>
      <c r="B1139" s="707" t="s">
        <v>2277</v>
      </c>
      <c r="C1139" s="633">
        <f t="shared" si="115"/>
        <v>0</v>
      </c>
      <c r="D1139" s="354" t="s">
        <v>102</v>
      </c>
      <c r="E1139" s="10"/>
      <c r="F1139" s="917">
        <f t="shared" si="121"/>
        <v>0</v>
      </c>
      <c r="G1139" s="358">
        <f>'3.60 lakhs'!I1461</f>
        <v>0</v>
      </c>
      <c r="H1139" s="354" t="s">
        <v>102</v>
      </c>
      <c r="I1139" s="355">
        <f>'3.60 lakhs'!K1461</f>
        <v>630</v>
      </c>
      <c r="J1139" s="353">
        <f t="shared" si="116"/>
        <v>0</v>
      </c>
      <c r="K1139" s="743">
        <f t="shared" si="117"/>
        <v>0</v>
      </c>
      <c r="L1139" s="368">
        <f t="shared" si="118"/>
        <v>0</v>
      </c>
      <c r="M1139" s="708" t="s">
        <v>2322</v>
      </c>
      <c r="N1139" s="223"/>
      <c r="O1139" s="706">
        <f t="shared" si="120"/>
        <v>0</v>
      </c>
    </row>
    <row r="1140" spans="1:15" s="360" customFormat="1" ht="15" hidden="1">
      <c r="A1140" s="356" t="s">
        <v>1516</v>
      </c>
      <c r="B1140" s="707" t="s">
        <v>2474</v>
      </c>
      <c r="C1140" s="633">
        <f t="shared" si="115"/>
        <v>0</v>
      </c>
      <c r="D1140" s="354"/>
      <c r="E1140" s="875"/>
      <c r="F1140" s="353"/>
      <c r="G1140" s="358"/>
      <c r="H1140" s="354"/>
      <c r="I1140" s="355"/>
      <c r="J1140" s="353">
        <f>'3.60 lakhs'!M1463</f>
        <v>0</v>
      </c>
      <c r="K1140" s="743">
        <f t="shared" si="117"/>
        <v>0</v>
      </c>
      <c r="L1140" s="368">
        <f t="shared" si="118"/>
        <v>0</v>
      </c>
      <c r="M1140" s="708"/>
      <c r="N1140" s="223"/>
      <c r="O1140" s="706">
        <f t="shared" si="120"/>
        <v>0</v>
      </c>
    </row>
    <row r="1141" spans="1:15" ht="15">
      <c r="A1141" s="23" t="s">
        <v>508</v>
      </c>
      <c r="B1141" s="54" t="s">
        <v>2211</v>
      </c>
      <c r="C1141" s="633">
        <f t="shared" si="115"/>
        <v>0</v>
      </c>
      <c r="D1141" s="916"/>
      <c r="E1141" s="570"/>
      <c r="F1141" s="917">
        <f>CS!J1141</f>
        <v>22044</v>
      </c>
      <c r="G1141" s="28"/>
      <c r="H1141" s="24"/>
      <c r="I1141" s="37"/>
      <c r="J1141" s="11">
        <f>WORK!M4016</f>
        <v>22044</v>
      </c>
      <c r="K1141" s="743">
        <f>IF(J1141&gt;F1141,J1141-F1141,0)</f>
        <v>0</v>
      </c>
      <c r="L1141" s="368">
        <f t="shared" si="118"/>
        <v>0</v>
      </c>
      <c r="M1141" s="23" t="s">
        <v>15</v>
      </c>
      <c r="N1141" s="223"/>
      <c r="O1141" s="1138">
        <f t="shared" si="87"/>
        <v>0</v>
      </c>
    </row>
    <row r="1142" spans="1:15" ht="15">
      <c r="A1142" s="23" t="s">
        <v>510</v>
      </c>
      <c r="B1142" s="54" t="s">
        <v>1456</v>
      </c>
      <c r="C1142" s="633">
        <f t="shared" si="115"/>
        <v>0</v>
      </c>
      <c r="D1142" s="731"/>
      <c r="E1142" s="722"/>
      <c r="F1142" s="917">
        <f>CS!J1142</f>
        <v>7906</v>
      </c>
      <c r="G1142" s="28"/>
      <c r="H1142" s="24"/>
      <c r="I1142" s="37"/>
      <c r="J1142" s="11">
        <f>WORK!M4015</f>
        <v>7906</v>
      </c>
      <c r="K1142" s="743">
        <f>IF(J1142&gt;F1142,J1142-F1142,0)</f>
        <v>0</v>
      </c>
      <c r="L1142" s="368">
        <f t="shared" si="118"/>
        <v>0</v>
      </c>
      <c r="M1142" s="23" t="s">
        <v>15</v>
      </c>
      <c r="N1142" s="223"/>
      <c r="O1142" s="1138">
        <f t="shared" si="87"/>
        <v>0</v>
      </c>
    </row>
    <row r="1143" spans="1:15" ht="15" hidden="1">
      <c r="A1143" s="23" t="s">
        <v>2804</v>
      </c>
      <c r="B1143" s="54" t="s">
        <v>2541</v>
      </c>
      <c r="C1143" s="633">
        <f t="shared" si="115"/>
        <v>0</v>
      </c>
      <c r="D1143" s="731"/>
      <c r="E1143" s="722"/>
      <c r="F1143" s="917">
        <f>CS!J1143</f>
        <v>0</v>
      </c>
      <c r="G1143" s="28"/>
      <c r="H1143" s="24"/>
      <c r="I1143" s="37"/>
      <c r="J1143" s="11">
        <f>WORK!M4017</f>
        <v>0</v>
      </c>
      <c r="K1143" s="743">
        <f>IF(J1143&gt;F1143,J1143-F1143,0)</f>
        <v>0</v>
      </c>
      <c r="L1143" s="368">
        <f t="shared" si="118"/>
        <v>0</v>
      </c>
      <c r="M1143" s="23" t="s">
        <v>15</v>
      </c>
      <c r="N1143" s="223"/>
      <c r="O1143" s="706">
        <f t="shared" si="87"/>
        <v>0</v>
      </c>
    </row>
    <row r="1144" spans="1:15" ht="15" hidden="1">
      <c r="A1144" s="23" t="s">
        <v>2052</v>
      </c>
      <c r="B1144" s="54" t="s">
        <v>2462</v>
      </c>
      <c r="C1144" s="734"/>
      <c r="D1144" s="731"/>
      <c r="E1144" s="722"/>
      <c r="F1144" s="917">
        <f>CS!J1144</f>
        <v>0</v>
      </c>
      <c r="G1144" s="28"/>
      <c r="H1144" s="24"/>
      <c r="I1144" s="37"/>
      <c r="J1144" s="11">
        <v>0</v>
      </c>
      <c r="K1144" s="743">
        <f t="shared" ref="K1144:K1149" si="122">IF(J1144&gt;F1144,J1144-F1144,0)</f>
        <v>0</v>
      </c>
      <c r="L1144" s="368">
        <f t="shared" si="118"/>
        <v>0</v>
      </c>
      <c r="M1144" s="23" t="s">
        <v>15</v>
      </c>
      <c r="N1144" s="223"/>
      <c r="O1144" s="706">
        <f t="shared" si="87"/>
        <v>0</v>
      </c>
    </row>
    <row r="1145" spans="1:15" ht="15">
      <c r="A1145" s="23" t="s">
        <v>1522</v>
      </c>
      <c r="B1145" s="27" t="s">
        <v>566</v>
      </c>
      <c r="C1145" s="735"/>
      <c r="D1145" s="714"/>
      <c r="E1145" s="736"/>
      <c r="F1145" s="917">
        <f>CS!J1145</f>
        <v>10680</v>
      </c>
      <c r="G1145" s="28"/>
      <c r="H1145" s="224"/>
      <c r="I1145" s="29"/>
      <c r="J1145" s="223">
        <f>WORK!M4020</f>
        <v>10680</v>
      </c>
      <c r="K1145" s="743">
        <f t="shared" si="122"/>
        <v>0</v>
      </c>
      <c r="L1145" s="368">
        <f t="shared" si="118"/>
        <v>0</v>
      </c>
      <c r="M1145" s="23" t="s">
        <v>15</v>
      </c>
      <c r="N1145" s="223"/>
      <c r="O1145" s="1138">
        <f t="shared" si="87"/>
        <v>0</v>
      </c>
    </row>
    <row r="1146" spans="1:15" ht="15">
      <c r="A1146" s="23" t="s">
        <v>512</v>
      </c>
      <c r="B1146" s="27" t="s">
        <v>444</v>
      </c>
      <c r="C1146" s="737"/>
      <c r="D1146" s="224"/>
      <c r="E1146" s="738"/>
      <c r="F1146" s="917">
        <f>CS!J1146</f>
        <v>22792</v>
      </c>
      <c r="G1146" s="28"/>
      <c r="H1146" s="224"/>
      <c r="I1146" s="29"/>
      <c r="J1146" s="223">
        <f>WORK!M4021</f>
        <v>22792</v>
      </c>
      <c r="K1146" s="743">
        <f t="shared" si="122"/>
        <v>0</v>
      </c>
      <c r="L1146" s="368">
        <f t="shared" si="118"/>
        <v>0</v>
      </c>
      <c r="M1146" s="23" t="s">
        <v>15</v>
      </c>
      <c r="N1146" s="223"/>
      <c r="O1146" s="1138">
        <f t="shared" si="87"/>
        <v>0</v>
      </c>
    </row>
    <row r="1147" spans="1:15" ht="15" hidden="1">
      <c r="A1147" s="23" t="s">
        <v>2723</v>
      </c>
      <c r="B1147" s="27" t="s">
        <v>445</v>
      </c>
      <c r="C1147" s="739"/>
      <c r="D1147" s="224"/>
      <c r="E1147" s="29"/>
      <c r="F1147" s="917">
        <f>CS!J1147</f>
        <v>0</v>
      </c>
      <c r="G1147" s="28"/>
      <c r="H1147" s="224"/>
      <c r="I1147" s="29"/>
      <c r="J1147" s="223">
        <f>abstract!G17</f>
        <v>0</v>
      </c>
      <c r="K1147" s="743">
        <f t="shared" si="122"/>
        <v>0</v>
      </c>
      <c r="L1147" s="368">
        <f t="shared" si="118"/>
        <v>0</v>
      </c>
      <c r="M1147" s="23" t="s">
        <v>15</v>
      </c>
      <c r="N1147" s="223"/>
      <c r="O1147" s="706">
        <v>1</v>
      </c>
    </row>
    <row r="1148" spans="1:15" ht="15" hidden="1">
      <c r="A1148" s="23" t="s">
        <v>1147</v>
      </c>
      <c r="B1148" s="27" t="s">
        <v>567</v>
      </c>
      <c r="C1148" s="739"/>
      <c r="D1148" s="224"/>
      <c r="E1148" s="29"/>
      <c r="F1148" s="917">
        <f>CS!J1148</f>
        <v>0</v>
      </c>
      <c r="G1148" s="28"/>
      <c r="H1148" s="224"/>
      <c r="I1148" s="29"/>
      <c r="J1148" s="223">
        <f>WORK!M4023</f>
        <v>0</v>
      </c>
      <c r="K1148" s="743">
        <f t="shared" si="122"/>
        <v>0</v>
      </c>
      <c r="L1148" s="368">
        <f t="shared" si="118"/>
        <v>0</v>
      </c>
      <c r="M1148" s="23" t="s">
        <v>15</v>
      </c>
      <c r="N1148" s="223"/>
      <c r="O1148" s="1138">
        <v>1</v>
      </c>
    </row>
    <row r="1149" spans="1:15" ht="15">
      <c r="A1149" s="23" t="s">
        <v>513</v>
      </c>
      <c r="B1149" s="27" t="s">
        <v>292</v>
      </c>
      <c r="C1149" s="739"/>
      <c r="D1149" s="224"/>
      <c r="E1149" s="29"/>
      <c r="F1149" s="917">
        <f>CS!J1149</f>
        <v>277</v>
      </c>
      <c r="G1149" s="28"/>
      <c r="H1149" s="224"/>
      <c r="I1149" s="29"/>
      <c r="J1149" s="223"/>
      <c r="K1149" s="743">
        <f t="shared" si="122"/>
        <v>0</v>
      </c>
      <c r="L1149" s="368">
        <f t="shared" si="118"/>
        <v>277</v>
      </c>
      <c r="M1149" s="23" t="s">
        <v>15</v>
      </c>
      <c r="N1149" s="223"/>
      <c r="O1149" s="1138">
        <f t="shared" ref="O1149" si="123">F1149-J1149</f>
        <v>277</v>
      </c>
    </row>
    <row r="1150" spans="1:15" ht="15">
      <c r="A1150" s="23"/>
      <c r="B1150" s="27"/>
      <c r="C1150" s="739"/>
      <c r="D1150" s="224"/>
      <c r="E1150" s="29"/>
      <c r="F1150" s="359"/>
      <c r="G1150" s="28"/>
      <c r="H1150" s="224"/>
      <c r="I1150" s="29"/>
      <c r="J1150" s="223"/>
      <c r="K1150" s="25"/>
      <c r="L1150" s="25"/>
      <c r="M1150" s="23"/>
      <c r="N1150" s="740"/>
      <c r="O1150" s="1138"/>
    </row>
    <row r="1151" spans="1:15" ht="15">
      <c r="A1151" s="23"/>
      <c r="B1151" s="27"/>
      <c r="C1151" s="739"/>
      <c r="D1151" s="224"/>
      <c r="E1151" s="29"/>
      <c r="F1151" s="359"/>
      <c r="G1151" s="28"/>
      <c r="H1151" s="224"/>
      <c r="I1151" s="29"/>
      <c r="J1151" s="223"/>
      <c r="K1151" s="25"/>
      <c r="L1151" s="25"/>
      <c r="M1151" s="23"/>
      <c r="N1151" s="740"/>
      <c r="O1151" s="1138"/>
    </row>
    <row r="1152" spans="1:15" ht="12.75" customHeight="1">
      <c r="A1152" s="23"/>
      <c r="B1152" s="30"/>
      <c r="C1152" s="1928" t="s">
        <v>569</v>
      </c>
      <c r="D1152" s="1928"/>
      <c r="E1152" s="1929"/>
      <c r="F1152" s="31">
        <f>SUM(F8:F1151)</f>
        <v>2180000.0000200002</v>
      </c>
      <c r="G1152" s="28"/>
      <c r="H1152" s="225"/>
      <c r="I1152" s="23"/>
      <c r="J1152" s="31">
        <f>SUM(J8:J1151)</f>
        <v>2179723.8099999991</v>
      </c>
      <c r="K1152" s="31">
        <f>SUM(K8:K1151)</f>
        <v>5.109999999987906</v>
      </c>
      <c r="L1152" s="31">
        <f>SUM(L8:L1151)</f>
        <v>281.30000000000064</v>
      </c>
      <c r="M1152" s="23"/>
    </row>
    <row r="1153" spans="1:14" ht="20.25" customHeight="1">
      <c r="A1153" s="23"/>
      <c r="B1153" s="30"/>
      <c r="C1153" s="1928" t="s">
        <v>3221</v>
      </c>
      <c r="D1153" s="1928"/>
      <c r="E1153" s="1929"/>
      <c r="F1153" s="31">
        <f>J1152</f>
        <v>2179723.8099999991</v>
      </c>
      <c r="G1153" s="28"/>
      <c r="H1153" s="225"/>
      <c r="I1153" s="23"/>
      <c r="J1153" s="223"/>
      <c r="K1153" s="31"/>
      <c r="L1153" s="223">
        <f>K1152</f>
        <v>5.109999999987906</v>
      </c>
      <c r="M1153" s="23"/>
    </row>
    <row r="1154" spans="1:14" ht="20.25" customHeight="1">
      <c r="A1154" s="23"/>
      <c r="B1154" s="1140" t="s">
        <v>535</v>
      </c>
      <c r="C1154" s="1928" t="s">
        <v>536</v>
      </c>
      <c r="D1154" s="1928"/>
      <c r="E1154" s="1929"/>
      <c r="F1154" s="31">
        <f>F1152-F1153</f>
        <v>276.19002000102773</v>
      </c>
      <c r="G1154" s="28"/>
      <c r="H1154" s="224"/>
      <c r="I1154" s="29"/>
      <c r="J1154" s="31"/>
      <c r="K1154" s="223"/>
      <c r="L1154" s="31">
        <f>L1152-L1153</f>
        <v>276.19000000001273</v>
      </c>
      <c r="M1154" s="29"/>
    </row>
    <row r="1155" spans="1:14" ht="24.75" customHeight="1">
      <c r="B1155" s="1141"/>
    </row>
    <row r="1156" spans="1:14" ht="17.25" customHeight="1">
      <c r="B1156" s="1141"/>
    </row>
    <row r="1157" spans="1:14">
      <c r="B1157" s="1141"/>
      <c r="H1157" s="55" t="str">
        <f>'lead 19-20'!$H$31</f>
        <v>Deputy Executive Engineer</v>
      </c>
      <c r="K1157" s="867" t="str">
        <f>'lead 19-20'!$K$31</f>
        <v>Assistant  Engineer</v>
      </c>
      <c r="L1157" s="1143"/>
    </row>
    <row r="1158" spans="1:14">
      <c r="B1158" s="1141"/>
      <c r="H1158" s="55" t="str">
        <f>'lead 19-20'!$H$32</f>
        <v>PRI Sub Division</v>
      </c>
      <c r="K1158" s="867" t="str">
        <f>'lead 19-20'!$K$32</f>
        <v>Mandal Praja parishad</v>
      </c>
    </row>
    <row r="1159" spans="1:14">
      <c r="B1159" s="1141"/>
      <c r="H1159" s="55" t="str">
        <f>'lead 19-20'!$H$33</f>
        <v>Kanigiri</v>
      </c>
      <c r="K1159" s="867" t="str">
        <f>'lead 19-20'!$K$33</f>
        <v>Kanigiri</v>
      </c>
    </row>
    <row r="1160" spans="1:14">
      <c r="B1160" s="1141"/>
    </row>
    <row r="1161" spans="1:14" s="740" customFormat="1">
      <c r="A1161" s="26"/>
      <c r="B1161" s="1141"/>
      <c r="C1161" s="741"/>
      <c r="D1161" s="742"/>
      <c r="E1161" s="26"/>
      <c r="F1161" s="26"/>
      <c r="H1161" s="742"/>
      <c r="I1161" s="26"/>
      <c r="J1161" s="26"/>
      <c r="L1161" s="1142"/>
      <c r="M1161" s="26"/>
      <c r="N1161" s="26"/>
    </row>
    <row r="1162" spans="1:14" s="740" customFormat="1">
      <c r="A1162" s="26"/>
      <c r="B1162" s="1141"/>
      <c r="C1162" s="741"/>
      <c r="D1162" s="742"/>
      <c r="E1162" s="26"/>
      <c r="F1162" s="26"/>
      <c r="H1162" s="742"/>
      <c r="I1162" s="26"/>
      <c r="J1162" s="26"/>
      <c r="L1162" s="1142"/>
      <c r="M1162" s="26"/>
      <c r="N1162" s="26"/>
    </row>
    <row r="1163" spans="1:14" s="740" customFormat="1">
      <c r="A1163" s="26"/>
      <c r="B1163" s="1141"/>
      <c r="C1163" s="741"/>
      <c r="D1163" s="742"/>
      <c r="E1163" s="26"/>
      <c r="F1163" s="26"/>
      <c r="H1163" s="742"/>
      <c r="I1163" s="26"/>
      <c r="J1163" s="26"/>
      <c r="L1163" s="1142"/>
      <c r="M1163" s="26"/>
      <c r="N1163" s="26"/>
    </row>
    <row r="1164" spans="1:14" s="740" customFormat="1">
      <c r="A1164" s="26"/>
      <c r="B1164" s="1141"/>
      <c r="C1164" s="741"/>
      <c r="D1164" s="742"/>
      <c r="E1164" s="26"/>
      <c r="F1164" s="26"/>
      <c r="H1164" s="742"/>
      <c r="I1164" s="26"/>
      <c r="J1164" s="26"/>
      <c r="L1164" s="1142"/>
      <c r="M1164" s="26"/>
      <c r="N1164" s="26"/>
    </row>
    <row r="1165" spans="1:14" s="740" customFormat="1">
      <c r="A1165" s="26"/>
      <c r="B1165" s="26"/>
      <c r="C1165" s="741"/>
      <c r="D1165" s="742"/>
      <c r="E1165" s="26"/>
      <c r="F1165" s="26"/>
      <c r="H1165" s="742"/>
      <c r="I1165" s="26"/>
      <c r="J1165" s="26"/>
      <c r="L1165" s="1142"/>
      <c r="M1165" s="26"/>
      <c r="N1165" s="26"/>
    </row>
    <row r="1166" spans="1:14" s="740" customFormat="1">
      <c r="A1166" s="26"/>
      <c r="B1166" s="26"/>
      <c r="C1166" s="741"/>
      <c r="D1166" s="742"/>
      <c r="E1166" s="26"/>
      <c r="F1166" s="26"/>
      <c r="H1166" s="742"/>
      <c r="I1166" s="26"/>
      <c r="J1166" s="26"/>
      <c r="L1166" s="1142"/>
      <c r="M1166" s="26"/>
      <c r="N1166" s="26"/>
    </row>
    <row r="1167" spans="1:14" s="740" customFormat="1">
      <c r="A1167" s="26"/>
      <c r="B1167" s="26"/>
      <c r="C1167" s="741"/>
      <c r="D1167" s="742"/>
      <c r="E1167" s="26"/>
      <c r="F1167" s="26"/>
      <c r="H1167" s="742"/>
      <c r="I1167" s="26"/>
      <c r="J1167" s="26"/>
      <c r="L1167" s="1142"/>
      <c r="M1167" s="26"/>
      <c r="N1167" s="26"/>
    </row>
    <row r="1168" spans="1:14" s="740" customFormat="1">
      <c r="A1168" s="26"/>
      <c r="B1168" s="26"/>
      <c r="C1168" s="741"/>
      <c r="D1168" s="742"/>
      <c r="E1168" s="26"/>
      <c r="F1168" s="26"/>
      <c r="H1168" s="742"/>
      <c r="I1168" s="26"/>
      <c r="J1168" s="26"/>
      <c r="L1168" s="1142"/>
      <c r="M1168" s="26"/>
      <c r="N1168" s="26"/>
    </row>
    <row r="1169" spans="1:14" s="740" customFormat="1">
      <c r="A1169" s="26"/>
      <c r="B1169" s="26"/>
      <c r="C1169" s="741"/>
      <c r="D1169" s="742"/>
      <c r="E1169" s="26"/>
      <c r="F1169" s="26"/>
      <c r="H1169" s="742"/>
      <c r="I1169" s="26"/>
      <c r="J1169" s="26"/>
      <c r="L1169" s="1142"/>
      <c r="M1169" s="26"/>
      <c r="N1169" s="26"/>
    </row>
    <row r="1170" spans="1:14" s="740" customFormat="1">
      <c r="A1170" s="26"/>
      <c r="B1170" s="26"/>
      <c r="C1170" s="741"/>
      <c r="D1170" s="742"/>
      <c r="E1170" s="26"/>
      <c r="F1170" s="26"/>
      <c r="H1170" s="742"/>
      <c r="I1170" s="26"/>
      <c r="J1170" s="26"/>
      <c r="L1170" s="1142"/>
      <c r="M1170" s="26"/>
      <c r="N1170" s="26"/>
    </row>
    <row r="1171" spans="1:14" s="740" customFormat="1">
      <c r="A1171" s="26"/>
      <c r="B1171" s="26"/>
      <c r="C1171" s="741"/>
      <c r="D1171" s="742"/>
      <c r="E1171" s="26"/>
      <c r="F1171" s="26"/>
      <c r="H1171" s="742"/>
      <c r="I1171" s="26"/>
      <c r="J1171" s="26"/>
      <c r="L1171" s="1142"/>
      <c r="M1171" s="26"/>
      <c r="N1171" s="26"/>
    </row>
    <row r="1172" spans="1:14" s="740" customFormat="1">
      <c r="A1172" s="26"/>
      <c r="B1172" s="26"/>
      <c r="C1172" s="741"/>
      <c r="D1172" s="742"/>
      <c r="E1172" s="26"/>
      <c r="F1172" s="26"/>
      <c r="H1172" s="742"/>
      <c r="I1172" s="26"/>
      <c r="J1172" s="26"/>
      <c r="L1172" s="1142"/>
      <c r="M1172" s="26"/>
      <c r="N1172" s="26"/>
    </row>
    <row r="1173" spans="1:14" s="740" customFormat="1">
      <c r="A1173" s="26"/>
      <c r="B1173" s="26"/>
      <c r="C1173" s="741"/>
      <c r="D1173" s="742"/>
      <c r="E1173" s="26"/>
      <c r="F1173" s="26"/>
      <c r="H1173" s="742"/>
      <c r="I1173" s="26"/>
      <c r="J1173" s="26"/>
      <c r="L1173" s="1142"/>
      <c r="M1173" s="26"/>
      <c r="N1173" s="26"/>
    </row>
    <row r="1174" spans="1:14" s="740" customFormat="1">
      <c r="A1174" s="26"/>
      <c r="B1174" s="26"/>
      <c r="C1174" s="741"/>
      <c r="D1174" s="742"/>
      <c r="E1174" s="26"/>
      <c r="F1174" s="26"/>
      <c r="H1174" s="742"/>
      <c r="I1174" s="26"/>
      <c r="J1174" s="26"/>
      <c r="L1174" s="1142"/>
      <c r="M1174" s="26"/>
      <c r="N1174" s="26"/>
    </row>
    <row r="1175" spans="1:14" s="740" customFormat="1">
      <c r="A1175" s="26"/>
      <c r="B1175" s="26"/>
      <c r="C1175" s="741"/>
      <c r="D1175" s="742"/>
      <c r="E1175" s="26"/>
      <c r="F1175" s="26"/>
      <c r="H1175" s="742"/>
      <c r="I1175" s="26"/>
      <c r="J1175" s="26"/>
      <c r="L1175" s="1142"/>
      <c r="M1175" s="26"/>
      <c r="N1175" s="26"/>
    </row>
    <row r="1176" spans="1:14" s="740" customFormat="1">
      <c r="A1176" s="26"/>
      <c r="B1176" s="26"/>
      <c r="C1176" s="741"/>
      <c r="D1176" s="742"/>
      <c r="E1176" s="26"/>
      <c r="F1176" s="26"/>
      <c r="H1176" s="742"/>
      <c r="I1176" s="26"/>
      <c r="J1176" s="26"/>
      <c r="L1176" s="1142"/>
      <c r="M1176" s="26"/>
      <c r="N1176" s="26"/>
    </row>
    <row r="1185" spans="3:12">
      <c r="C1185" s="742"/>
      <c r="G1185" s="26"/>
      <c r="H1185" s="26"/>
      <c r="K1185" s="1144"/>
      <c r="L1185" s="26"/>
    </row>
    <row r="1186" spans="3:12">
      <c r="C1186" s="742"/>
      <c r="G1186" s="26"/>
      <c r="H1186" s="26"/>
      <c r="K1186" s="1144"/>
      <c r="L1186" s="26"/>
    </row>
    <row r="1187" spans="3:12">
      <c r="C1187" s="742"/>
      <c r="G1187" s="26"/>
      <c r="H1187" s="26"/>
      <c r="K1187" s="1144"/>
      <c r="L1187" s="26"/>
    </row>
    <row r="1188" spans="3:12">
      <c r="C1188" s="742"/>
      <c r="G1188" s="26"/>
      <c r="H1188" s="26"/>
      <c r="K1188" s="1144"/>
      <c r="L1188" s="26"/>
    </row>
    <row r="1189" spans="3:12">
      <c r="C1189" s="742"/>
      <c r="G1189" s="26"/>
      <c r="H1189" s="26"/>
      <c r="K1189" s="1144"/>
      <c r="L1189" s="26"/>
    </row>
    <row r="1190" spans="3:12">
      <c r="C1190" s="742"/>
      <c r="G1190" s="26"/>
      <c r="H1190" s="26"/>
      <c r="K1190" s="1144"/>
      <c r="L1190" s="26"/>
    </row>
    <row r="1191" spans="3:12">
      <c r="C1191" s="742"/>
      <c r="G1191" s="26"/>
      <c r="H1191" s="26"/>
      <c r="K1191" s="1144"/>
      <c r="L1191" s="26"/>
    </row>
    <row r="1192" spans="3:12">
      <c r="C1192" s="742"/>
      <c r="G1192" s="26"/>
      <c r="H1192" s="26"/>
      <c r="K1192" s="1144"/>
      <c r="L1192" s="26"/>
    </row>
    <row r="1193" spans="3:12">
      <c r="C1193" s="742"/>
      <c r="G1193" s="26"/>
      <c r="H1193" s="26"/>
      <c r="K1193" s="1144"/>
      <c r="L1193" s="26"/>
    </row>
    <row r="1194" spans="3:12">
      <c r="C1194" s="742"/>
      <c r="G1194" s="26"/>
      <c r="H1194" s="26"/>
      <c r="K1194" s="1144"/>
      <c r="L1194" s="26"/>
    </row>
    <row r="1195" spans="3:12">
      <c r="C1195" s="742"/>
      <c r="G1195" s="26"/>
      <c r="H1195" s="26"/>
      <c r="K1195" s="1144"/>
      <c r="L1195" s="26"/>
    </row>
    <row r="1196" spans="3:12">
      <c r="C1196" s="742"/>
      <c r="G1196" s="26"/>
      <c r="H1196" s="26"/>
      <c r="K1196" s="1144"/>
      <c r="L1196" s="26"/>
    </row>
    <row r="1197" spans="3:12">
      <c r="C1197" s="742"/>
      <c r="G1197" s="26"/>
      <c r="H1197" s="26"/>
      <c r="K1197" s="1144"/>
      <c r="L1197" s="26"/>
    </row>
    <row r="1198" spans="3:12">
      <c r="C1198" s="742"/>
      <c r="G1198" s="26"/>
      <c r="H1198" s="26"/>
      <c r="K1198" s="1144"/>
      <c r="L1198" s="26"/>
    </row>
    <row r="1199" spans="3:12">
      <c r="C1199" s="742"/>
      <c r="G1199" s="26"/>
      <c r="H1199" s="26"/>
      <c r="K1199" s="1144"/>
      <c r="L1199" s="26"/>
    </row>
    <row r="1200" spans="3:12">
      <c r="C1200" s="742"/>
      <c r="G1200" s="26"/>
      <c r="H1200" s="26"/>
      <c r="K1200" s="1144"/>
      <c r="L1200" s="26"/>
    </row>
    <row r="1201" spans="3:12">
      <c r="C1201" s="742"/>
      <c r="G1201" s="26"/>
      <c r="H1201" s="26"/>
      <c r="K1201" s="1144"/>
      <c r="L1201" s="26"/>
    </row>
    <row r="1202" spans="3:12">
      <c r="C1202" s="742"/>
      <c r="G1202" s="26"/>
      <c r="H1202" s="26"/>
      <c r="K1202" s="1144"/>
      <c r="L1202" s="26"/>
    </row>
    <row r="1203" spans="3:12">
      <c r="C1203" s="742"/>
      <c r="G1203" s="26"/>
      <c r="H1203" s="26"/>
      <c r="K1203" s="1144"/>
      <c r="L1203" s="26"/>
    </row>
    <row r="1204" spans="3:12">
      <c r="C1204" s="742"/>
      <c r="G1204" s="26"/>
      <c r="H1204" s="26"/>
      <c r="K1204" s="1144"/>
      <c r="L1204" s="26"/>
    </row>
    <row r="1205" spans="3:12">
      <c r="C1205" s="742"/>
      <c r="G1205" s="26"/>
      <c r="H1205" s="26"/>
      <c r="K1205" s="1144"/>
      <c r="L1205" s="26"/>
    </row>
    <row r="1206" spans="3:12">
      <c r="C1206" s="742"/>
      <c r="G1206" s="26"/>
      <c r="H1206" s="26"/>
      <c r="K1206" s="1144"/>
      <c r="L1206" s="26"/>
    </row>
    <row r="1207" spans="3:12">
      <c r="C1207" s="742"/>
      <c r="G1207" s="26"/>
      <c r="H1207" s="26"/>
      <c r="K1207" s="1144"/>
      <c r="L1207" s="26"/>
    </row>
    <row r="1208" spans="3:12">
      <c r="C1208" s="742"/>
      <c r="G1208" s="26"/>
      <c r="H1208" s="26"/>
      <c r="K1208" s="1144"/>
      <c r="L1208" s="26"/>
    </row>
    <row r="1209" spans="3:12">
      <c r="C1209" s="742"/>
      <c r="G1209" s="26"/>
      <c r="H1209" s="26"/>
      <c r="K1209" s="1144"/>
      <c r="L1209" s="26"/>
    </row>
    <row r="1210" spans="3:12">
      <c r="C1210" s="742"/>
      <c r="G1210" s="26"/>
      <c r="H1210" s="26"/>
      <c r="K1210" s="1144"/>
      <c r="L1210" s="26"/>
    </row>
    <row r="1211" spans="3:12">
      <c r="C1211" s="742"/>
      <c r="G1211" s="26"/>
      <c r="H1211" s="26"/>
      <c r="K1211" s="1144"/>
      <c r="L1211" s="26"/>
    </row>
    <row r="1212" spans="3:12">
      <c r="C1212" s="742"/>
      <c r="G1212" s="26"/>
      <c r="H1212" s="26"/>
      <c r="K1212" s="1144"/>
      <c r="L1212" s="26"/>
    </row>
    <row r="1213" spans="3:12">
      <c r="C1213" s="742"/>
      <c r="G1213" s="26"/>
      <c r="H1213" s="26"/>
      <c r="K1213" s="1144"/>
      <c r="L1213" s="26"/>
    </row>
    <row r="1214" spans="3:12">
      <c r="C1214" s="742"/>
      <c r="G1214" s="26"/>
      <c r="H1214" s="26"/>
      <c r="K1214" s="1144"/>
      <c r="L1214" s="26"/>
    </row>
    <row r="1215" spans="3:12">
      <c r="C1215" s="742"/>
      <c r="G1215" s="26"/>
      <c r="H1215" s="26"/>
      <c r="K1215" s="1144"/>
      <c r="L1215" s="26"/>
    </row>
    <row r="1216" spans="3:12">
      <c r="C1216" s="742"/>
      <c r="G1216" s="26"/>
      <c r="H1216" s="26"/>
      <c r="K1216" s="1144"/>
      <c r="L1216" s="26"/>
    </row>
    <row r="1217" spans="3:12">
      <c r="C1217" s="742"/>
      <c r="G1217" s="26"/>
      <c r="H1217" s="26"/>
      <c r="K1217" s="1144"/>
      <c r="L1217" s="26"/>
    </row>
    <row r="1218" spans="3:12">
      <c r="C1218" s="742"/>
      <c r="G1218" s="26"/>
      <c r="H1218" s="26"/>
      <c r="K1218" s="1144"/>
      <c r="L1218" s="26"/>
    </row>
    <row r="1219" spans="3:12">
      <c r="C1219" s="742"/>
      <c r="G1219" s="26"/>
      <c r="H1219" s="26"/>
      <c r="K1219" s="1144"/>
      <c r="L1219" s="26"/>
    </row>
    <row r="1220" spans="3:12">
      <c r="C1220" s="742"/>
      <c r="G1220" s="26"/>
      <c r="H1220" s="26"/>
      <c r="K1220" s="1144"/>
      <c r="L1220" s="26"/>
    </row>
    <row r="1221" spans="3:12">
      <c r="C1221" s="742"/>
      <c r="G1221" s="26"/>
      <c r="H1221" s="26"/>
      <c r="K1221" s="1144"/>
      <c r="L1221" s="26"/>
    </row>
    <row r="1222" spans="3:12">
      <c r="C1222" s="742"/>
      <c r="G1222" s="26"/>
      <c r="H1222" s="26"/>
      <c r="K1222" s="1144"/>
      <c r="L1222" s="26"/>
    </row>
    <row r="1223" spans="3:12">
      <c r="C1223" s="742"/>
      <c r="G1223" s="26"/>
      <c r="H1223" s="26"/>
      <c r="K1223" s="1144"/>
      <c r="L1223" s="26"/>
    </row>
    <row r="1224" spans="3:12">
      <c r="C1224" s="742"/>
      <c r="G1224" s="26"/>
      <c r="H1224" s="26"/>
      <c r="K1224" s="1144"/>
      <c r="L1224" s="26"/>
    </row>
    <row r="1225" spans="3:12">
      <c r="C1225" s="742"/>
      <c r="G1225" s="26"/>
      <c r="H1225" s="26"/>
      <c r="K1225" s="1144"/>
      <c r="L1225" s="26"/>
    </row>
    <row r="1226" spans="3:12">
      <c r="C1226" s="742"/>
      <c r="G1226" s="26"/>
      <c r="H1226" s="26"/>
      <c r="K1226" s="1144"/>
      <c r="L1226" s="26"/>
    </row>
    <row r="1227" spans="3:12">
      <c r="C1227" s="742"/>
      <c r="G1227" s="26"/>
      <c r="H1227" s="26"/>
      <c r="K1227" s="1144"/>
      <c r="L1227" s="26"/>
    </row>
    <row r="1228" spans="3:12">
      <c r="C1228" s="742"/>
      <c r="G1228" s="26"/>
      <c r="H1228" s="26"/>
      <c r="K1228" s="1144"/>
      <c r="L1228" s="26"/>
    </row>
    <row r="1229" spans="3:12">
      <c r="C1229" s="742"/>
      <c r="G1229" s="26"/>
      <c r="H1229" s="26"/>
      <c r="K1229" s="1144"/>
      <c r="L1229" s="26"/>
    </row>
    <row r="1230" spans="3:12">
      <c r="C1230" s="742"/>
      <c r="G1230" s="26"/>
      <c r="H1230" s="26"/>
      <c r="K1230" s="1144"/>
      <c r="L1230" s="26"/>
    </row>
    <row r="1231" spans="3:12">
      <c r="C1231" s="742"/>
      <c r="G1231" s="26"/>
      <c r="H1231" s="26"/>
      <c r="K1231" s="1144"/>
      <c r="L1231" s="26"/>
    </row>
    <row r="1232" spans="3:12">
      <c r="C1232" s="742"/>
      <c r="G1232" s="26"/>
      <c r="H1232" s="26"/>
      <c r="K1232" s="1144"/>
      <c r="L1232" s="26"/>
    </row>
    <row r="1233" spans="3:12">
      <c r="C1233" s="742"/>
      <c r="G1233" s="26"/>
      <c r="H1233" s="26"/>
      <c r="K1233" s="1144"/>
      <c r="L1233" s="26"/>
    </row>
    <row r="1234" spans="3:12">
      <c r="C1234" s="742"/>
      <c r="G1234" s="26"/>
      <c r="H1234" s="26"/>
      <c r="K1234" s="1144"/>
      <c r="L1234" s="26"/>
    </row>
    <row r="1235" spans="3:12">
      <c r="C1235" s="742"/>
      <c r="G1235" s="26"/>
      <c r="H1235" s="26"/>
      <c r="K1235" s="1144"/>
      <c r="L1235" s="26"/>
    </row>
    <row r="1236" spans="3:12">
      <c r="C1236" s="742"/>
      <c r="G1236" s="26"/>
      <c r="H1236" s="26"/>
      <c r="K1236" s="1144"/>
      <c r="L1236" s="26"/>
    </row>
    <row r="1237" spans="3:12">
      <c r="C1237" s="742"/>
      <c r="G1237" s="26"/>
      <c r="H1237" s="26"/>
      <c r="K1237" s="1144"/>
      <c r="L1237" s="26"/>
    </row>
    <row r="1238" spans="3:12">
      <c r="C1238" s="742"/>
      <c r="G1238" s="26"/>
      <c r="H1238" s="26"/>
      <c r="K1238" s="1144"/>
      <c r="L1238" s="26"/>
    </row>
    <row r="1239" spans="3:12">
      <c r="C1239" s="742"/>
      <c r="G1239" s="26"/>
      <c r="H1239" s="26"/>
      <c r="K1239" s="1144"/>
      <c r="L1239" s="26"/>
    </row>
    <row r="1240" spans="3:12">
      <c r="C1240" s="742"/>
      <c r="G1240" s="26"/>
      <c r="H1240" s="26"/>
      <c r="K1240" s="1144"/>
      <c r="L1240" s="26"/>
    </row>
    <row r="1241" spans="3:12">
      <c r="C1241" s="742"/>
      <c r="G1241" s="26"/>
      <c r="H1241" s="26"/>
      <c r="K1241" s="1144"/>
      <c r="L1241" s="26"/>
    </row>
    <row r="1242" spans="3:12">
      <c r="C1242" s="742"/>
      <c r="G1242" s="26"/>
      <c r="H1242" s="26"/>
      <c r="K1242" s="1144"/>
      <c r="L1242" s="26"/>
    </row>
    <row r="1243" spans="3:12">
      <c r="C1243" s="742"/>
      <c r="G1243" s="26"/>
      <c r="H1243" s="26"/>
      <c r="K1243" s="1144"/>
      <c r="L1243" s="26"/>
    </row>
    <row r="1244" spans="3:12">
      <c r="C1244" s="742"/>
      <c r="G1244" s="26"/>
      <c r="H1244" s="26"/>
      <c r="K1244" s="1144"/>
      <c r="L1244" s="26"/>
    </row>
    <row r="1245" spans="3:12">
      <c r="C1245" s="742"/>
      <c r="G1245" s="26"/>
      <c r="H1245" s="26"/>
      <c r="K1245" s="1144"/>
      <c r="L1245" s="26"/>
    </row>
    <row r="1246" spans="3:12">
      <c r="C1246" s="742"/>
      <c r="G1246" s="26"/>
      <c r="H1246" s="26"/>
      <c r="K1246" s="1144"/>
      <c r="L1246" s="26"/>
    </row>
    <row r="1247" spans="3:12">
      <c r="C1247" s="742"/>
      <c r="G1247" s="26"/>
      <c r="H1247" s="26"/>
      <c r="K1247" s="1144"/>
      <c r="L1247" s="26"/>
    </row>
    <row r="1248" spans="3:12">
      <c r="C1248" s="742"/>
      <c r="G1248" s="26"/>
      <c r="H1248" s="26"/>
      <c r="K1248" s="1144"/>
      <c r="L1248" s="26"/>
    </row>
    <row r="1249" spans="3:12">
      <c r="C1249" s="742"/>
      <c r="G1249" s="26"/>
      <c r="H1249" s="26"/>
      <c r="K1249" s="1144"/>
      <c r="L1249" s="26"/>
    </row>
    <row r="1250" spans="3:12">
      <c r="C1250" s="742"/>
      <c r="G1250" s="26"/>
      <c r="H1250" s="26"/>
      <c r="K1250" s="1144"/>
      <c r="L1250" s="26"/>
    </row>
    <row r="1251" spans="3:12">
      <c r="C1251" s="742"/>
      <c r="G1251" s="26"/>
      <c r="H1251" s="26"/>
      <c r="K1251" s="1144"/>
      <c r="L1251" s="26"/>
    </row>
    <row r="1252" spans="3:12">
      <c r="C1252" s="742"/>
      <c r="G1252" s="26"/>
      <c r="H1252" s="26"/>
      <c r="K1252" s="1144"/>
      <c r="L1252" s="26"/>
    </row>
    <row r="1253" spans="3:12">
      <c r="C1253" s="742"/>
      <c r="G1253" s="26"/>
      <c r="H1253" s="26"/>
      <c r="K1253" s="1144"/>
      <c r="L1253" s="26"/>
    </row>
    <row r="1254" spans="3:12">
      <c r="C1254" s="742"/>
      <c r="G1254" s="26"/>
      <c r="H1254" s="26"/>
      <c r="K1254" s="1144"/>
      <c r="L1254" s="26"/>
    </row>
    <row r="1255" spans="3:12">
      <c r="C1255" s="742"/>
      <c r="G1255" s="26"/>
      <c r="H1255" s="26"/>
      <c r="K1255" s="1144"/>
      <c r="L1255" s="26"/>
    </row>
    <row r="1256" spans="3:12">
      <c r="C1256" s="742"/>
      <c r="G1256" s="26"/>
      <c r="H1256" s="26"/>
      <c r="K1256" s="1144"/>
      <c r="L1256" s="26"/>
    </row>
    <row r="1257" spans="3:12">
      <c r="C1257" s="742"/>
      <c r="G1257" s="26"/>
      <c r="H1257" s="26"/>
      <c r="K1257" s="1144"/>
      <c r="L1257" s="26"/>
    </row>
    <row r="1258" spans="3:12">
      <c r="C1258" s="742"/>
      <c r="G1258" s="26"/>
      <c r="H1258" s="26"/>
      <c r="K1258" s="1144"/>
      <c r="L1258" s="26"/>
    </row>
    <row r="1259" spans="3:12">
      <c r="C1259" s="742"/>
      <c r="G1259" s="26"/>
      <c r="H1259" s="26"/>
      <c r="K1259" s="1144"/>
      <c r="L1259" s="26"/>
    </row>
    <row r="1260" spans="3:12">
      <c r="C1260" s="742"/>
      <c r="G1260" s="26"/>
      <c r="H1260" s="26"/>
      <c r="K1260" s="1144"/>
      <c r="L1260" s="26"/>
    </row>
    <row r="1261" spans="3:12">
      <c r="C1261" s="742"/>
      <c r="G1261" s="26"/>
      <c r="H1261" s="26"/>
      <c r="K1261" s="1144"/>
      <c r="L1261" s="26"/>
    </row>
    <row r="1262" spans="3:12">
      <c r="C1262" s="742"/>
      <c r="G1262" s="26"/>
      <c r="H1262" s="26"/>
      <c r="K1262" s="1144"/>
      <c r="L1262" s="26"/>
    </row>
    <row r="1263" spans="3:12">
      <c r="C1263" s="742"/>
      <c r="G1263" s="26"/>
      <c r="H1263" s="26"/>
      <c r="K1263" s="1144"/>
      <c r="L1263" s="26"/>
    </row>
    <row r="1264" spans="3:12">
      <c r="C1264" s="742"/>
      <c r="G1264" s="26"/>
      <c r="H1264" s="26"/>
      <c r="K1264" s="1144"/>
      <c r="L1264" s="26"/>
    </row>
    <row r="1265" spans="3:12">
      <c r="C1265" s="742"/>
      <c r="G1265" s="26"/>
      <c r="H1265" s="26"/>
      <c r="K1265" s="1144"/>
      <c r="L1265" s="26"/>
    </row>
    <row r="1266" spans="3:12">
      <c r="C1266" s="742"/>
      <c r="G1266" s="26"/>
      <c r="H1266" s="26"/>
      <c r="K1266" s="1144"/>
      <c r="L1266" s="26"/>
    </row>
    <row r="1267" spans="3:12">
      <c r="C1267" s="742"/>
      <c r="G1267" s="26"/>
      <c r="H1267" s="26"/>
      <c r="K1267" s="1144"/>
      <c r="L1267" s="26"/>
    </row>
  </sheetData>
  <autoFilter ref="A6:O1149">
    <filterColumn colId="2" showButton="0"/>
    <filterColumn colId="5">
      <customFilters>
        <customFilter operator="notEqual" val=" "/>
      </customFilters>
    </filterColumn>
    <filterColumn colId="6" showButton="0"/>
  </autoFilter>
  <mergeCells count="460">
    <mergeCell ref="G5:H5"/>
    <mergeCell ref="C6:D6"/>
    <mergeCell ref="G6:H6"/>
    <mergeCell ref="K9:K12"/>
    <mergeCell ref="L9:L12"/>
    <mergeCell ref="K13:K16"/>
    <mergeCell ref="L13:L16"/>
    <mergeCell ref="A1:M1"/>
    <mergeCell ref="A2:M2"/>
    <mergeCell ref="K3:M3"/>
    <mergeCell ref="A4:A5"/>
    <mergeCell ref="B4:B5"/>
    <mergeCell ref="C4:F4"/>
    <mergeCell ref="G4:J4"/>
    <mergeCell ref="K4:L4"/>
    <mergeCell ref="M4:M5"/>
    <mergeCell ref="C5:D5"/>
    <mergeCell ref="K29:K32"/>
    <mergeCell ref="L29:L32"/>
    <mergeCell ref="K33:K36"/>
    <mergeCell ref="L33:L36"/>
    <mergeCell ref="K38:K41"/>
    <mergeCell ref="L38:L41"/>
    <mergeCell ref="K17:K20"/>
    <mergeCell ref="L17:L20"/>
    <mergeCell ref="K21:K24"/>
    <mergeCell ref="L21:L24"/>
    <mergeCell ref="K25:K28"/>
    <mergeCell ref="L25:L28"/>
    <mergeCell ref="K54:K57"/>
    <mergeCell ref="L54:L57"/>
    <mergeCell ref="K58:K61"/>
    <mergeCell ref="L58:L61"/>
    <mergeCell ref="K62:K65"/>
    <mergeCell ref="L62:L65"/>
    <mergeCell ref="K42:K45"/>
    <mergeCell ref="L42:L45"/>
    <mergeCell ref="K46:K49"/>
    <mergeCell ref="L46:L49"/>
    <mergeCell ref="K50:K53"/>
    <mergeCell ref="L50:L53"/>
    <mergeCell ref="K78:K81"/>
    <mergeCell ref="L78:L81"/>
    <mergeCell ref="K82:K85"/>
    <mergeCell ref="L82:L85"/>
    <mergeCell ref="K86:K89"/>
    <mergeCell ref="L86:L89"/>
    <mergeCell ref="K66:K69"/>
    <mergeCell ref="L66:L69"/>
    <mergeCell ref="K70:K73"/>
    <mergeCell ref="L70:L73"/>
    <mergeCell ref="K74:K77"/>
    <mergeCell ref="L74:L77"/>
    <mergeCell ref="K102:K105"/>
    <mergeCell ref="L102:L105"/>
    <mergeCell ref="K106:K109"/>
    <mergeCell ref="L106:L109"/>
    <mergeCell ref="K110:K113"/>
    <mergeCell ref="L110:L113"/>
    <mergeCell ref="K90:K93"/>
    <mergeCell ref="L90:L93"/>
    <mergeCell ref="K94:K97"/>
    <mergeCell ref="L94:L97"/>
    <mergeCell ref="K98:K101"/>
    <mergeCell ref="L98:L101"/>
    <mergeCell ref="K126:K129"/>
    <mergeCell ref="L126:L129"/>
    <mergeCell ref="K130:K133"/>
    <mergeCell ref="L130:L133"/>
    <mergeCell ref="K134:K137"/>
    <mergeCell ref="L134:L137"/>
    <mergeCell ref="K114:K117"/>
    <mergeCell ref="L114:L117"/>
    <mergeCell ref="K118:K121"/>
    <mergeCell ref="L118:L121"/>
    <mergeCell ref="K122:K125"/>
    <mergeCell ref="L122:L125"/>
    <mergeCell ref="K150:K153"/>
    <mergeCell ref="L150:L153"/>
    <mergeCell ref="K154:K157"/>
    <mergeCell ref="L154:L157"/>
    <mergeCell ref="K158:K161"/>
    <mergeCell ref="L158:L161"/>
    <mergeCell ref="K138:K141"/>
    <mergeCell ref="L138:L141"/>
    <mergeCell ref="K142:K145"/>
    <mergeCell ref="L142:L145"/>
    <mergeCell ref="K146:K149"/>
    <mergeCell ref="L146:L149"/>
    <mergeCell ref="K174:K177"/>
    <mergeCell ref="L174:L177"/>
    <mergeCell ref="K178:K181"/>
    <mergeCell ref="L178:L181"/>
    <mergeCell ref="K182:K185"/>
    <mergeCell ref="L182:L185"/>
    <mergeCell ref="K162:K165"/>
    <mergeCell ref="L162:L165"/>
    <mergeCell ref="K166:K169"/>
    <mergeCell ref="L166:L169"/>
    <mergeCell ref="K170:K173"/>
    <mergeCell ref="L170:L173"/>
    <mergeCell ref="K198:K201"/>
    <mergeCell ref="L198:L201"/>
    <mergeCell ref="K202:K205"/>
    <mergeCell ref="L202:L205"/>
    <mergeCell ref="K206:K209"/>
    <mergeCell ref="L206:L209"/>
    <mergeCell ref="K186:K189"/>
    <mergeCell ref="L186:L189"/>
    <mergeCell ref="K190:K193"/>
    <mergeCell ref="L190:L193"/>
    <mergeCell ref="K194:K197"/>
    <mergeCell ref="L194:L197"/>
    <mergeCell ref="K222:K225"/>
    <mergeCell ref="L222:L225"/>
    <mergeCell ref="K226:K229"/>
    <mergeCell ref="L226:L229"/>
    <mergeCell ref="K230:K233"/>
    <mergeCell ref="L230:L233"/>
    <mergeCell ref="K210:K213"/>
    <mergeCell ref="L210:L213"/>
    <mergeCell ref="K214:K217"/>
    <mergeCell ref="L214:L217"/>
    <mergeCell ref="K218:K221"/>
    <mergeCell ref="L218:L221"/>
    <mergeCell ref="K248:K251"/>
    <mergeCell ref="L248:L251"/>
    <mergeCell ref="K252:K255"/>
    <mergeCell ref="L252:L255"/>
    <mergeCell ref="K256:K259"/>
    <mergeCell ref="L256:L259"/>
    <mergeCell ref="K234:K237"/>
    <mergeCell ref="L234:L237"/>
    <mergeCell ref="K240:K243"/>
    <mergeCell ref="L240:L243"/>
    <mergeCell ref="K244:K247"/>
    <mergeCell ref="L244:L247"/>
    <mergeCell ref="K272:K275"/>
    <mergeCell ref="L272:L275"/>
    <mergeCell ref="K276:K279"/>
    <mergeCell ref="L276:L279"/>
    <mergeCell ref="K280:K283"/>
    <mergeCell ref="L280:L283"/>
    <mergeCell ref="K260:K263"/>
    <mergeCell ref="L260:L263"/>
    <mergeCell ref="K264:K267"/>
    <mergeCell ref="L264:L267"/>
    <mergeCell ref="K268:K271"/>
    <mergeCell ref="L268:L271"/>
    <mergeCell ref="K296:K299"/>
    <mergeCell ref="L296:L299"/>
    <mergeCell ref="K300:K303"/>
    <mergeCell ref="L300:L303"/>
    <mergeCell ref="K304:K307"/>
    <mergeCell ref="L304:L307"/>
    <mergeCell ref="K284:K287"/>
    <mergeCell ref="L284:L287"/>
    <mergeCell ref="K288:K291"/>
    <mergeCell ref="L288:L291"/>
    <mergeCell ref="K292:K295"/>
    <mergeCell ref="L292:L295"/>
    <mergeCell ref="K320:K323"/>
    <mergeCell ref="L320:L323"/>
    <mergeCell ref="K324:K327"/>
    <mergeCell ref="L324:L327"/>
    <mergeCell ref="K328:K331"/>
    <mergeCell ref="L328:L331"/>
    <mergeCell ref="K308:K311"/>
    <mergeCell ref="L308:L311"/>
    <mergeCell ref="K312:K315"/>
    <mergeCell ref="L312:L315"/>
    <mergeCell ref="K316:K319"/>
    <mergeCell ref="L316:L319"/>
    <mergeCell ref="K344:K347"/>
    <mergeCell ref="L344:L347"/>
    <mergeCell ref="K348:K351"/>
    <mergeCell ref="L348:L351"/>
    <mergeCell ref="K352:K355"/>
    <mergeCell ref="L352:L355"/>
    <mergeCell ref="K332:K335"/>
    <mergeCell ref="L332:L335"/>
    <mergeCell ref="K336:K339"/>
    <mergeCell ref="L336:L339"/>
    <mergeCell ref="K340:K343"/>
    <mergeCell ref="L340:L343"/>
    <mergeCell ref="K368:K371"/>
    <mergeCell ref="L368:L371"/>
    <mergeCell ref="K372:K375"/>
    <mergeCell ref="L372:L375"/>
    <mergeCell ref="K376:K379"/>
    <mergeCell ref="L376:L379"/>
    <mergeCell ref="K356:K359"/>
    <mergeCell ref="L356:L359"/>
    <mergeCell ref="K360:K363"/>
    <mergeCell ref="L360:L363"/>
    <mergeCell ref="K364:K367"/>
    <mergeCell ref="L364:L367"/>
    <mergeCell ref="K393:K396"/>
    <mergeCell ref="L393:L396"/>
    <mergeCell ref="K397:K400"/>
    <mergeCell ref="L397:L400"/>
    <mergeCell ref="K401:K404"/>
    <mergeCell ref="L401:L404"/>
    <mergeCell ref="K380:K383"/>
    <mergeCell ref="L380:L383"/>
    <mergeCell ref="K385:K388"/>
    <mergeCell ref="L385:L388"/>
    <mergeCell ref="K389:K392"/>
    <mergeCell ref="L389:L392"/>
    <mergeCell ref="K417:K420"/>
    <mergeCell ref="L417:L420"/>
    <mergeCell ref="K421:K424"/>
    <mergeCell ref="L421:L424"/>
    <mergeCell ref="K425:K428"/>
    <mergeCell ref="L425:L428"/>
    <mergeCell ref="K405:K408"/>
    <mergeCell ref="L405:L408"/>
    <mergeCell ref="K409:K412"/>
    <mergeCell ref="L409:L412"/>
    <mergeCell ref="K413:K416"/>
    <mergeCell ref="L413:L416"/>
    <mergeCell ref="K441:K444"/>
    <mergeCell ref="L441:L444"/>
    <mergeCell ref="K445:K448"/>
    <mergeCell ref="L445:L448"/>
    <mergeCell ref="K449:K452"/>
    <mergeCell ref="L449:L452"/>
    <mergeCell ref="K429:K432"/>
    <mergeCell ref="L429:L432"/>
    <mergeCell ref="K433:K436"/>
    <mergeCell ref="L433:L436"/>
    <mergeCell ref="K437:K440"/>
    <mergeCell ref="L437:L440"/>
    <mergeCell ref="K465:K468"/>
    <mergeCell ref="L465:L468"/>
    <mergeCell ref="K469:K472"/>
    <mergeCell ref="L469:L472"/>
    <mergeCell ref="K473:K476"/>
    <mergeCell ref="L473:L476"/>
    <mergeCell ref="K453:K456"/>
    <mergeCell ref="L453:L456"/>
    <mergeCell ref="K457:K460"/>
    <mergeCell ref="L457:L460"/>
    <mergeCell ref="K461:K464"/>
    <mergeCell ref="L461:L464"/>
    <mergeCell ref="K489:K492"/>
    <mergeCell ref="L489:L492"/>
    <mergeCell ref="K493:K496"/>
    <mergeCell ref="L493:L496"/>
    <mergeCell ref="K497:K500"/>
    <mergeCell ref="L497:L500"/>
    <mergeCell ref="K477:K480"/>
    <mergeCell ref="L477:L480"/>
    <mergeCell ref="K481:K484"/>
    <mergeCell ref="L481:L484"/>
    <mergeCell ref="K485:K488"/>
    <mergeCell ref="L485:L488"/>
    <mergeCell ref="K513:K516"/>
    <mergeCell ref="L513:L516"/>
    <mergeCell ref="K517:K520"/>
    <mergeCell ref="L517:L520"/>
    <mergeCell ref="K521:K524"/>
    <mergeCell ref="L521:L524"/>
    <mergeCell ref="K501:K504"/>
    <mergeCell ref="L501:L504"/>
    <mergeCell ref="K505:K508"/>
    <mergeCell ref="L505:L508"/>
    <mergeCell ref="K509:K512"/>
    <mergeCell ref="L509:L512"/>
    <mergeCell ref="K538:K541"/>
    <mergeCell ref="L538:L541"/>
    <mergeCell ref="K542:K545"/>
    <mergeCell ref="L542:L545"/>
    <mergeCell ref="K546:K549"/>
    <mergeCell ref="L546:L549"/>
    <mergeCell ref="K526:K529"/>
    <mergeCell ref="L526:L529"/>
    <mergeCell ref="K530:K533"/>
    <mergeCell ref="L530:L533"/>
    <mergeCell ref="K534:K537"/>
    <mergeCell ref="L534:L537"/>
    <mergeCell ref="K562:K565"/>
    <mergeCell ref="L562:L565"/>
    <mergeCell ref="K566:K569"/>
    <mergeCell ref="L566:L569"/>
    <mergeCell ref="K571:K574"/>
    <mergeCell ref="L571:L574"/>
    <mergeCell ref="K550:K553"/>
    <mergeCell ref="L550:L553"/>
    <mergeCell ref="K554:K557"/>
    <mergeCell ref="L554:L557"/>
    <mergeCell ref="K558:K561"/>
    <mergeCell ref="L558:L561"/>
    <mergeCell ref="K587:K590"/>
    <mergeCell ref="L587:L590"/>
    <mergeCell ref="K591:K594"/>
    <mergeCell ref="L591:L594"/>
    <mergeCell ref="K595:K598"/>
    <mergeCell ref="L595:L598"/>
    <mergeCell ref="K575:K578"/>
    <mergeCell ref="L575:L578"/>
    <mergeCell ref="K579:K582"/>
    <mergeCell ref="L579:L582"/>
    <mergeCell ref="K583:K586"/>
    <mergeCell ref="L583:L586"/>
    <mergeCell ref="K611:K614"/>
    <mergeCell ref="L611:L614"/>
    <mergeCell ref="K615:K618"/>
    <mergeCell ref="L615:L618"/>
    <mergeCell ref="K619:K622"/>
    <mergeCell ref="L619:L622"/>
    <mergeCell ref="K599:K602"/>
    <mergeCell ref="L599:L602"/>
    <mergeCell ref="K603:K606"/>
    <mergeCell ref="L603:L606"/>
    <mergeCell ref="K607:K610"/>
    <mergeCell ref="L607:L610"/>
    <mergeCell ref="K636:K639"/>
    <mergeCell ref="L636:L639"/>
    <mergeCell ref="K641:K644"/>
    <mergeCell ref="L641:L644"/>
    <mergeCell ref="K645:K648"/>
    <mergeCell ref="L645:L648"/>
    <mergeCell ref="K624:K627"/>
    <mergeCell ref="L624:L627"/>
    <mergeCell ref="K628:K631"/>
    <mergeCell ref="L628:L631"/>
    <mergeCell ref="K632:K635"/>
    <mergeCell ref="L632:L635"/>
    <mergeCell ref="K661:K664"/>
    <mergeCell ref="L661:L664"/>
    <mergeCell ref="K665:K668"/>
    <mergeCell ref="L665:L668"/>
    <mergeCell ref="K670:K673"/>
    <mergeCell ref="L670:L673"/>
    <mergeCell ref="K649:K652"/>
    <mergeCell ref="L649:L652"/>
    <mergeCell ref="K653:K656"/>
    <mergeCell ref="L653:L656"/>
    <mergeCell ref="K657:K660"/>
    <mergeCell ref="L657:L660"/>
    <mergeCell ref="K686:K689"/>
    <mergeCell ref="L686:L689"/>
    <mergeCell ref="K691:K694"/>
    <mergeCell ref="L691:L694"/>
    <mergeCell ref="K697:K700"/>
    <mergeCell ref="L697:L700"/>
    <mergeCell ref="K674:K677"/>
    <mergeCell ref="L674:L677"/>
    <mergeCell ref="K678:K681"/>
    <mergeCell ref="L678:L681"/>
    <mergeCell ref="K682:K685"/>
    <mergeCell ref="L682:L685"/>
    <mergeCell ref="K713:K716"/>
    <mergeCell ref="L713:L716"/>
    <mergeCell ref="K717:K720"/>
    <mergeCell ref="L717:L720"/>
    <mergeCell ref="K721:K724"/>
    <mergeCell ref="L721:L724"/>
    <mergeCell ref="K701:K704"/>
    <mergeCell ref="L701:L704"/>
    <mergeCell ref="K705:K708"/>
    <mergeCell ref="L705:L708"/>
    <mergeCell ref="K709:K712"/>
    <mergeCell ref="L709:L712"/>
    <mergeCell ref="K737:K740"/>
    <mergeCell ref="L737:L740"/>
    <mergeCell ref="K741:K744"/>
    <mergeCell ref="L741:L744"/>
    <mergeCell ref="K747:K750"/>
    <mergeCell ref="L747:L750"/>
    <mergeCell ref="K725:K728"/>
    <mergeCell ref="L725:L728"/>
    <mergeCell ref="K729:K732"/>
    <mergeCell ref="L729:L732"/>
    <mergeCell ref="K733:K736"/>
    <mergeCell ref="L733:L736"/>
    <mergeCell ref="K763:K766"/>
    <mergeCell ref="L763:L766"/>
    <mergeCell ref="K767:K770"/>
    <mergeCell ref="L767:L770"/>
    <mergeCell ref="K771:K774"/>
    <mergeCell ref="L771:L774"/>
    <mergeCell ref="K751:K754"/>
    <mergeCell ref="L751:L754"/>
    <mergeCell ref="K755:K758"/>
    <mergeCell ref="L755:L758"/>
    <mergeCell ref="K759:K762"/>
    <mergeCell ref="L759:L762"/>
    <mergeCell ref="K787:K790"/>
    <mergeCell ref="L787:L790"/>
    <mergeCell ref="K791:K794"/>
    <mergeCell ref="L791:L794"/>
    <mergeCell ref="K795:K798"/>
    <mergeCell ref="L795:L798"/>
    <mergeCell ref="K775:K778"/>
    <mergeCell ref="L775:L778"/>
    <mergeCell ref="K779:K782"/>
    <mergeCell ref="L779:L782"/>
    <mergeCell ref="K783:K786"/>
    <mergeCell ref="L783:L786"/>
    <mergeCell ref="K811:K814"/>
    <mergeCell ref="L811:L814"/>
    <mergeCell ref="K815:K818"/>
    <mergeCell ref="L815:L818"/>
    <mergeCell ref="K819:K822"/>
    <mergeCell ref="L819:L822"/>
    <mergeCell ref="K799:K802"/>
    <mergeCell ref="L799:L802"/>
    <mergeCell ref="K803:K806"/>
    <mergeCell ref="L803:L806"/>
    <mergeCell ref="K807:K810"/>
    <mergeCell ref="L807:L810"/>
    <mergeCell ref="K835:K838"/>
    <mergeCell ref="L835:L838"/>
    <mergeCell ref="K839:K842"/>
    <mergeCell ref="L839:L842"/>
    <mergeCell ref="K843:K846"/>
    <mergeCell ref="L843:L846"/>
    <mergeCell ref="K823:K826"/>
    <mergeCell ref="L823:L826"/>
    <mergeCell ref="K827:K830"/>
    <mergeCell ref="L827:L830"/>
    <mergeCell ref="K831:K834"/>
    <mergeCell ref="L831:L834"/>
    <mergeCell ref="K859:K862"/>
    <mergeCell ref="L859:L862"/>
    <mergeCell ref="K863:K866"/>
    <mergeCell ref="L863:L866"/>
    <mergeCell ref="K867:K870"/>
    <mergeCell ref="L867:L870"/>
    <mergeCell ref="K847:K850"/>
    <mergeCell ref="L847:L850"/>
    <mergeCell ref="K851:K854"/>
    <mergeCell ref="L851:L854"/>
    <mergeCell ref="K855:K858"/>
    <mergeCell ref="L855:L858"/>
    <mergeCell ref="K883:K886"/>
    <mergeCell ref="L883:L886"/>
    <mergeCell ref="K887:K890"/>
    <mergeCell ref="L887:L890"/>
    <mergeCell ref="K891:K894"/>
    <mergeCell ref="L891:L894"/>
    <mergeCell ref="K871:K874"/>
    <mergeCell ref="L871:L874"/>
    <mergeCell ref="K875:K878"/>
    <mergeCell ref="L875:L878"/>
    <mergeCell ref="K879:K882"/>
    <mergeCell ref="L879:L882"/>
    <mergeCell ref="K907:K910"/>
    <mergeCell ref="L907:L910"/>
    <mergeCell ref="C1152:E1152"/>
    <mergeCell ref="C1153:E1153"/>
    <mergeCell ref="C1154:E1154"/>
    <mergeCell ref="K895:K898"/>
    <mergeCell ref="L895:L898"/>
    <mergeCell ref="K899:K902"/>
    <mergeCell ref="L899:L902"/>
    <mergeCell ref="K903:K906"/>
    <mergeCell ref="L903:L906"/>
  </mergeCells>
  <printOptions horizontalCentered="1"/>
  <pageMargins left="0.23622047244094499" right="0.15748031496063" top="0.25" bottom="0.34" header="0.22" footer="0.23622047244094499"/>
  <pageSetup paperSize="9" orientation="landscape" errors="blank" r:id="rId1"/>
  <headerFooter alignWithMargins="0"/>
</worksheet>
</file>

<file path=xl/worksheets/sheet37.xml><?xml version="1.0" encoding="utf-8"?>
<worksheet xmlns="http://schemas.openxmlformats.org/spreadsheetml/2006/main" xmlns:r="http://schemas.openxmlformats.org/officeDocument/2006/relationships">
  <sheetPr filterMode="1">
    <tabColor rgb="FF00B050"/>
  </sheetPr>
  <dimension ref="A1:K1239"/>
  <sheetViews>
    <sheetView showZeros="0" view="pageBreakPreview" topLeftCell="A741" zoomScale="115" zoomScaleSheetLayoutView="115" workbookViewId="0">
      <selection activeCell="A1131" sqref="A1131"/>
    </sheetView>
  </sheetViews>
  <sheetFormatPr defaultColWidth="9.140625" defaultRowHeight="12.75"/>
  <cols>
    <col min="1" max="1" width="5.140625" style="17" customWidth="1"/>
    <col min="2" max="2" width="42.42578125" style="17" customWidth="1"/>
    <col min="3" max="3" width="8.140625" style="33" customWidth="1"/>
    <col min="4" max="4" width="4.7109375" style="34" customWidth="1"/>
    <col min="5" max="5" width="9.42578125" style="17" bestFit="1" customWidth="1"/>
    <col min="6" max="6" width="10.42578125" style="17" customWidth="1"/>
    <col min="7" max="9" width="11" style="35" customWidth="1"/>
    <col min="10" max="10" width="12.5703125" style="17" customWidth="1"/>
    <col min="11" max="16384" width="9.140625" style="17"/>
  </cols>
  <sheetData>
    <row r="1" spans="1:11" ht="15.75" customHeight="1">
      <c r="A1" s="1811" t="s">
        <v>974</v>
      </c>
      <c r="B1" s="1944"/>
      <c r="C1" s="1944"/>
      <c r="D1" s="1944"/>
      <c r="E1" s="1944"/>
      <c r="F1" s="1944"/>
      <c r="G1" s="1944"/>
      <c r="H1" s="1945"/>
      <c r="I1" s="1945"/>
      <c r="J1" s="1945"/>
    </row>
    <row r="2" spans="1:11" s="18" customFormat="1" ht="36.75" customHeight="1">
      <c r="A2" s="1810" t="str">
        <f>'lead 19-20'!B2&amp;'lead 19-20'!C2</f>
        <v>Name of the Work: Providing Additional Space for Agriculture Staff in  Baduguleru GP of Kanigiri Mandal</v>
      </c>
      <c r="B2" s="1810"/>
      <c r="C2" s="1810"/>
      <c r="D2" s="1810"/>
      <c r="E2" s="1810"/>
      <c r="F2" s="1810"/>
      <c r="G2" s="1810"/>
      <c r="H2" s="1810"/>
      <c r="I2" s="1810"/>
      <c r="J2" s="1810"/>
    </row>
    <row r="3" spans="1:11" s="18" customFormat="1" ht="15">
      <c r="A3" s="19"/>
      <c r="B3" s="20"/>
      <c r="C3" s="21"/>
      <c r="D3" s="22"/>
      <c r="E3" s="36"/>
      <c r="F3" s="20" t="s">
        <v>452</v>
      </c>
      <c r="G3" s="1946" t="str">
        <f>'lead 19-20'!K4</f>
        <v>21.80 Lakhs</v>
      </c>
      <c r="H3" s="1947"/>
      <c r="I3" s="1947"/>
      <c r="J3" s="1947"/>
    </row>
    <row r="4" spans="1:11" s="18" customFormat="1" ht="15.75" customHeight="1">
      <c r="A4" s="668"/>
      <c r="B4" s="668"/>
      <c r="C4" s="1943" t="s">
        <v>456</v>
      </c>
      <c r="D4" s="1943"/>
      <c r="E4" s="668" t="s">
        <v>457</v>
      </c>
      <c r="F4" s="668" t="s">
        <v>10</v>
      </c>
      <c r="G4" s="230" t="s">
        <v>456</v>
      </c>
      <c r="H4" s="668" t="s">
        <v>10</v>
      </c>
      <c r="I4" s="230" t="s">
        <v>456</v>
      </c>
      <c r="J4" s="668" t="s">
        <v>10</v>
      </c>
    </row>
    <row r="5" spans="1:11" s="18" customFormat="1" ht="16.5" customHeight="1">
      <c r="A5" s="668" t="s">
        <v>460</v>
      </c>
      <c r="B5" s="668" t="s">
        <v>461</v>
      </c>
      <c r="C5" s="1943" t="s">
        <v>462</v>
      </c>
      <c r="D5" s="1943"/>
      <c r="E5" s="668" t="s">
        <v>463</v>
      </c>
      <c r="F5" s="668" t="s">
        <v>464</v>
      </c>
      <c r="G5" s="668" t="s">
        <v>465</v>
      </c>
      <c r="H5" s="668" t="s">
        <v>466</v>
      </c>
      <c r="I5" s="668" t="s">
        <v>467</v>
      </c>
      <c r="J5" s="668" t="s">
        <v>468</v>
      </c>
    </row>
    <row r="6" spans="1:11" s="18" customFormat="1" ht="16.5" hidden="1" customHeight="1">
      <c r="A6" s="668"/>
      <c r="B6" s="668" t="s">
        <v>2443</v>
      </c>
      <c r="C6" s="880"/>
      <c r="D6" s="881"/>
      <c r="E6" s="668"/>
      <c r="F6" s="884"/>
      <c r="G6" s="668"/>
      <c r="H6" s="668"/>
      <c r="I6" s="668"/>
      <c r="J6" s="668"/>
    </row>
    <row r="7" spans="1:11" s="360" customFormat="1" ht="20.25" hidden="1" customHeight="1">
      <c r="A7" s="356"/>
      <c r="B7" s="431" t="s">
        <v>470</v>
      </c>
      <c r="C7" s="358"/>
      <c r="D7" s="361"/>
      <c r="E7" s="362"/>
      <c r="F7" s="359"/>
      <c r="G7" s="368"/>
      <c r="H7" s="368"/>
      <c r="I7" s="368"/>
      <c r="J7" s="356" t="s">
        <v>15</v>
      </c>
      <c r="K7" s="360" t="s">
        <v>2226</v>
      </c>
    </row>
    <row r="8" spans="1:11" s="360" customFormat="1" ht="20.25" hidden="1" customHeight="1">
      <c r="A8" s="356" t="s">
        <v>460</v>
      </c>
      <c r="B8" s="357" t="s">
        <v>537</v>
      </c>
      <c r="C8" s="358">
        <f>WORK!I13</f>
        <v>0</v>
      </c>
      <c r="D8" s="354" t="s">
        <v>102</v>
      </c>
      <c r="E8" s="355">
        <f>WORK!K13</f>
        <v>5.22</v>
      </c>
      <c r="F8" s="353">
        <f t="shared" ref="F8:F108" si="0">ROUND(C8*E8,0)</f>
        <v>0</v>
      </c>
      <c r="G8" s="353"/>
      <c r="H8" s="353"/>
      <c r="I8" s="368">
        <f t="shared" ref="I8:I15" si="1">C8-G8</f>
        <v>0</v>
      </c>
      <c r="J8" s="368">
        <f t="shared" ref="J8:J15" si="2">F8-H8</f>
        <v>0</v>
      </c>
      <c r="K8" s="360" t="s">
        <v>2226</v>
      </c>
    </row>
    <row r="9" spans="1:11" s="360" customFormat="1" ht="20.25" hidden="1" customHeight="1">
      <c r="A9" s="356" t="s">
        <v>460</v>
      </c>
      <c r="B9" s="357" t="s">
        <v>537</v>
      </c>
      <c r="C9" s="358">
        <f>WORK!I19</f>
        <v>0</v>
      </c>
      <c r="D9" s="354" t="s">
        <v>102</v>
      </c>
      <c r="E9" s="355">
        <f>WORK!K19</f>
        <v>5.86</v>
      </c>
      <c r="F9" s="353">
        <f>ROUND(C9*E9,0)</f>
        <v>0</v>
      </c>
      <c r="G9" s="353"/>
      <c r="H9" s="353"/>
      <c r="I9" s="368">
        <f t="shared" si="1"/>
        <v>0</v>
      </c>
      <c r="J9" s="368">
        <f t="shared" si="2"/>
        <v>0</v>
      </c>
      <c r="K9" s="360" t="s">
        <v>2308</v>
      </c>
    </row>
    <row r="10" spans="1:11" s="360" customFormat="1" ht="20.25" hidden="1" customHeight="1">
      <c r="A10" s="356" t="s">
        <v>460</v>
      </c>
      <c r="B10" s="357" t="s">
        <v>537</v>
      </c>
      <c r="C10" s="358">
        <f>WORK!I25</f>
        <v>0</v>
      </c>
      <c r="D10" s="354" t="s">
        <v>102</v>
      </c>
      <c r="E10" s="355">
        <f>WORK!K25</f>
        <v>6.06</v>
      </c>
      <c r="F10" s="353">
        <f t="shared" ref="F10:F11" si="3">ROUND(C10*E10,0)</f>
        <v>0</v>
      </c>
      <c r="G10" s="353"/>
      <c r="H10" s="353"/>
      <c r="I10" s="368">
        <f t="shared" si="1"/>
        <v>0</v>
      </c>
      <c r="J10" s="368">
        <f t="shared" si="2"/>
        <v>0</v>
      </c>
      <c r="K10" s="360" t="s">
        <v>2321</v>
      </c>
    </row>
    <row r="11" spans="1:11" s="360" customFormat="1" ht="0.75" hidden="1" customHeight="1">
      <c r="A11" s="356" t="s">
        <v>460</v>
      </c>
      <c r="B11" s="357" t="s">
        <v>537</v>
      </c>
      <c r="C11" s="358">
        <f>WORK!I31</f>
        <v>0</v>
      </c>
      <c r="D11" s="354" t="s">
        <v>102</v>
      </c>
      <c r="E11" s="355">
        <f>WORK!K31</f>
        <v>6.06</v>
      </c>
      <c r="F11" s="353">
        <f t="shared" si="3"/>
        <v>0</v>
      </c>
      <c r="G11" s="353"/>
      <c r="H11" s="353"/>
      <c r="I11" s="368">
        <f t="shared" si="1"/>
        <v>0</v>
      </c>
      <c r="J11" s="368">
        <f t="shared" si="2"/>
        <v>0</v>
      </c>
      <c r="K11" s="360" t="s">
        <v>2322</v>
      </c>
    </row>
    <row r="12" spans="1:11" s="360" customFormat="1" ht="20.25" customHeight="1">
      <c r="A12" s="356" t="s">
        <v>460</v>
      </c>
      <c r="B12" s="357" t="s">
        <v>2108</v>
      </c>
      <c r="C12" s="358">
        <f>WORK!I48</f>
        <v>82.240000000000009</v>
      </c>
      <c r="D12" s="354" t="s">
        <v>5</v>
      </c>
      <c r="E12" s="355">
        <f>WORK!K48</f>
        <v>124.24</v>
      </c>
      <c r="F12" s="353">
        <f t="shared" si="0"/>
        <v>10217</v>
      </c>
      <c r="G12" s="353"/>
      <c r="H12" s="353"/>
      <c r="I12" s="368">
        <f t="shared" si="1"/>
        <v>82.240000000000009</v>
      </c>
      <c r="J12" s="368">
        <f t="shared" si="2"/>
        <v>10217</v>
      </c>
      <c r="K12" s="360" t="s">
        <v>2226</v>
      </c>
    </row>
    <row r="13" spans="1:11" s="360" customFormat="1" ht="20.25" hidden="1" customHeight="1">
      <c r="A13" s="356" t="s">
        <v>461</v>
      </c>
      <c r="B13" s="357" t="s">
        <v>2108</v>
      </c>
      <c r="C13" s="358">
        <f>WORK!I54</f>
        <v>0</v>
      </c>
      <c r="D13" s="354" t="s">
        <v>5</v>
      </c>
      <c r="E13" s="355">
        <f>WORK!K54</f>
        <v>139.55000000000001</v>
      </c>
      <c r="F13" s="353">
        <f>ROUND(C13*E13,0)</f>
        <v>0</v>
      </c>
      <c r="G13" s="353"/>
      <c r="H13" s="353"/>
      <c r="I13" s="368">
        <f t="shared" si="1"/>
        <v>0</v>
      </c>
      <c r="J13" s="368">
        <f t="shared" si="2"/>
        <v>0</v>
      </c>
      <c r="K13" s="360" t="s">
        <v>2308</v>
      </c>
    </row>
    <row r="14" spans="1:11" s="360" customFormat="1" ht="20.25" hidden="1" customHeight="1">
      <c r="A14" s="356" t="s">
        <v>461</v>
      </c>
      <c r="B14" s="357" t="s">
        <v>2108</v>
      </c>
      <c r="C14" s="358">
        <f>WORK!I61</f>
        <v>0</v>
      </c>
      <c r="D14" s="354" t="s">
        <v>5</v>
      </c>
      <c r="E14" s="355">
        <f>WORK!K61</f>
        <v>144.26</v>
      </c>
      <c r="F14" s="353">
        <f>ROUND(C14*E14,0)</f>
        <v>0</v>
      </c>
      <c r="G14" s="353"/>
      <c r="H14" s="353"/>
      <c r="I14" s="368">
        <f t="shared" si="1"/>
        <v>0</v>
      </c>
      <c r="J14" s="368">
        <f t="shared" si="2"/>
        <v>0</v>
      </c>
      <c r="K14" s="360" t="s">
        <v>2321</v>
      </c>
    </row>
    <row r="15" spans="1:11" s="360" customFormat="1" ht="20.25" hidden="1" customHeight="1">
      <c r="A15" s="356" t="s">
        <v>462</v>
      </c>
      <c r="B15" s="357" t="s">
        <v>2108</v>
      </c>
      <c r="C15" s="358">
        <f>WORK!I68</f>
        <v>0</v>
      </c>
      <c r="D15" s="354" t="s">
        <v>5</v>
      </c>
      <c r="E15" s="355">
        <f>WORK!K68</f>
        <v>144.26</v>
      </c>
      <c r="F15" s="353">
        <f>ROUND(C15*E15,0)</f>
        <v>0</v>
      </c>
      <c r="G15" s="353"/>
      <c r="H15" s="353"/>
      <c r="I15" s="368">
        <f t="shared" si="1"/>
        <v>0</v>
      </c>
      <c r="J15" s="368">
        <f t="shared" si="2"/>
        <v>0</v>
      </c>
      <c r="K15" s="360" t="s">
        <v>2322</v>
      </c>
    </row>
    <row r="16" spans="1:11" s="360" customFormat="1" ht="20.25" customHeight="1">
      <c r="A16" s="356" t="s">
        <v>461</v>
      </c>
      <c r="B16" s="357" t="s">
        <v>538</v>
      </c>
      <c r="C16" s="358">
        <f>WORK!I96</f>
        <v>22.029999999999998</v>
      </c>
      <c r="D16" s="354" t="s">
        <v>5</v>
      </c>
      <c r="E16" s="355">
        <f>WORK!K96</f>
        <v>3877.2799999999997</v>
      </c>
      <c r="F16" s="353">
        <f t="shared" si="0"/>
        <v>85416</v>
      </c>
      <c r="G16" s="353"/>
      <c r="H16" s="353"/>
      <c r="I16" s="368">
        <f t="shared" ref="I16:I56" si="4">C16-G16</f>
        <v>22.029999999999998</v>
      </c>
      <c r="J16" s="368">
        <f t="shared" ref="J16:J56" si="5">F16-H16</f>
        <v>85416</v>
      </c>
      <c r="K16" s="360" t="s">
        <v>2226</v>
      </c>
    </row>
    <row r="17" spans="1:11" s="360" customFormat="1" ht="20.25" hidden="1" customHeight="1">
      <c r="A17" s="356" t="s">
        <v>463</v>
      </c>
      <c r="B17" s="357" t="s">
        <v>538</v>
      </c>
      <c r="C17" s="358">
        <f>WORK!I110</f>
        <v>0</v>
      </c>
      <c r="D17" s="354" t="s">
        <v>5</v>
      </c>
      <c r="E17" s="355">
        <f>WORK!K110</f>
        <v>4067.8399999999997</v>
      </c>
      <c r="F17" s="353">
        <f>ROUND(C17*E17,0)</f>
        <v>0</v>
      </c>
      <c r="G17" s="353"/>
      <c r="H17" s="353"/>
      <c r="I17" s="368">
        <f>C17-G17</f>
        <v>0</v>
      </c>
      <c r="J17" s="368">
        <f>F17-H17</f>
        <v>0</v>
      </c>
      <c r="K17" s="360" t="s">
        <v>2308</v>
      </c>
    </row>
    <row r="18" spans="1:11" s="360" customFormat="1" ht="20.25" hidden="1" customHeight="1">
      <c r="A18" s="356" t="s">
        <v>463</v>
      </c>
      <c r="B18" s="357" t="s">
        <v>538</v>
      </c>
      <c r="C18" s="358">
        <f>WORK!I120</f>
        <v>0</v>
      </c>
      <c r="D18" s="354" t="s">
        <v>5</v>
      </c>
      <c r="E18" s="355">
        <f>WORK!K120</f>
        <v>4332.55</v>
      </c>
      <c r="F18" s="353">
        <f>ROUND(C18*E18,0)</f>
        <v>0</v>
      </c>
      <c r="G18" s="353"/>
      <c r="H18" s="353"/>
      <c r="I18" s="368">
        <f>C18-G18</f>
        <v>0</v>
      </c>
      <c r="J18" s="368">
        <f>F18-H18</f>
        <v>0</v>
      </c>
      <c r="K18" s="360" t="s">
        <v>2321</v>
      </c>
    </row>
    <row r="19" spans="1:11" s="360" customFormat="1" ht="20.25" hidden="1" customHeight="1">
      <c r="A19" s="356" t="s">
        <v>464</v>
      </c>
      <c r="B19" s="357" t="s">
        <v>538</v>
      </c>
      <c r="C19" s="358">
        <f>WORK!I128</f>
        <v>0</v>
      </c>
      <c r="D19" s="354" t="s">
        <v>5</v>
      </c>
      <c r="E19" s="355">
        <f>WORK!K128</f>
        <v>4583.3100000000004</v>
      </c>
      <c r="F19" s="353">
        <f>ROUND(C19*E19,0)</f>
        <v>0</v>
      </c>
      <c r="G19" s="353"/>
      <c r="H19" s="353"/>
      <c r="I19" s="368">
        <f>C19-G19</f>
        <v>0</v>
      </c>
      <c r="J19" s="368">
        <f>F19-H19</f>
        <v>0</v>
      </c>
      <c r="K19" s="360" t="s">
        <v>2322</v>
      </c>
    </row>
    <row r="20" spans="1:11" s="360" customFormat="1" ht="20.25" hidden="1" customHeight="1">
      <c r="A20" s="356" t="s">
        <v>463</v>
      </c>
      <c r="B20" s="357" t="s">
        <v>539</v>
      </c>
      <c r="C20" s="358">
        <f>WORK!I137</f>
        <v>0</v>
      </c>
      <c r="D20" s="354" t="s">
        <v>5</v>
      </c>
      <c r="E20" s="355">
        <f>WORK!K137</f>
        <v>3725</v>
      </c>
      <c r="F20" s="353">
        <f t="shared" si="0"/>
        <v>0</v>
      </c>
      <c r="G20" s="368"/>
      <c r="H20" s="368"/>
      <c r="I20" s="368">
        <f t="shared" si="4"/>
        <v>0</v>
      </c>
      <c r="J20" s="368">
        <f t="shared" si="5"/>
        <v>0</v>
      </c>
      <c r="K20" s="360" t="s">
        <v>2226</v>
      </c>
    </row>
    <row r="21" spans="1:11" s="360" customFormat="1" ht="20.25" hidden="1" customHeight="1">
      <c r="A21" s="356" t="s">
        <v>463</v>
      </c>
      <c r="B21" s="357" t="s">
        <v>539</v>
      </c>
      <c r="C21" s="358">
        <f>WORK!I146</f>
        <v>0</v>
      </c>
      <c r="D21" s="354" t="s">
        <v>5</v>
      </c>
      <c r="E21" s="355">
        <f>WORK!K146</f>
        <v>3915.56</v>
      </c>
      <c r="F21" s="353">
        <f>ROUND(C21*E21,0)</f>
        <v>0</v>
      </c>
      <c r="G21" s="368"/>
      <c r="H21" s="368"/>
      <c r="I21" s="368">
        <f>C21-G21</f>
        <v>0</v>
      </c>
      <c r="J21" s="368">
        <f>F21-H21</f>
        <v>0</v>
      </c>
      <c r="K21" s="360" t="s">
        <v>2308</v>
      </c>
    </row>
    <row r="22" spans="1:11" s="360" customFormat="1" ht="20.25" hidden="1" customHeight="1">
      <c r="A22" s="356" t="s">
        <v>463</v>
      </c>
      <c r="B22" s="357" t="s">
        <v>539</v>
      </c>
      <c r="C22" s="358">
        <f>WORK!I155</f>
        <v>0</v>
      </c>
      <c r="D22" s="354" t="s">
        <v>5</v>
      </c>
      <c r="E22" s="355">
        <f>WORK!K155</f>
        <v>4180.2700000000004</v>
      </c>
      <c r="F22" s="353">
        <f>ROUND(C22*E22,0)</f>
        <v>0</v>
      </c>
      <c r="G22" s="368"/>
      <c r="H22" s="368"/>
      <c r="I22" s="368">
        <f>C22-G22</f>
        <v>0</v>
      </c>
      <c r="J22" s="368">
        <f>F22-H22</f>
        <v>0</v>
      </c>
      <c r="K22" s="360" t="s">
        <v>2321</v>
      </c>
    </row>
    <row r="23" spans="1:11" s="360" customFormat="1" ht="20.25" hidden="1" customHeight="1">
      <c r="A23" s="356" t="s">
        <v>463</v>
      </c>
      <c r="B23" s="357" t="s">
        <v>539</v>
      </c>
      <c r="C23" s="358">
        <f>WORK!I164</f>
        <v>0</v>
      </c>
      <c r="D23" s="354" t="s">
        <v>5</v>
      </c>
      <c r="E23" s="355">
        <f>WORK!K164</f>
        <v>4431.03</v>
      </c>
      <c r="F23" s="353">
        <f>ROUND(C23*E23,0)</f>
        <v>0</v>
      </c>
      <c r="G23" s="368"/>
      <c r="H23" s="368"/>
      <c r="I23" s="368">
        <f>C23-G23</f>
        <v>0</v>
      </c>
      <c r="J23" s="368">
        <f>F23-H23</f>
        <v>0</v>
      </c>
      <c r="K23" s="360" t="s">
        <v>2322</v>
      </c>
    </row>
    <row r="24" spans="1:11" s="360" customFormat="1" ht="20.25" customHeight="1">
      <c r="A24" s="356" t="s">
        <v>462</v>
      </c>
      <c r="B24" s="357" t="s">
        <v>1433</v>
      </c>
      <c r="C24" s="358">
        <f>WORK!I170</f>
        <v>13.280000000000001</v>
      </c>
      <c r="D24" s="354" t="s">
        <v>5</v>
      </c>
      <c r="E24" s="355">
        <f>WORK!K170</f>
        <v>183</v>
      </c>
      <c r="F24" s="353">
        <f t="shared" si="0"/>
        <v>2430</v>
      </c>
      <c r="G24" s="353"/>
      <c r="H24" s="353"/>
      <c r="I24" s="368">
        <f t="shared" si="4"/>
        <v>13.280000000000001</v>
      </c>
      <c r="J24" s="368">
        <f t="shared" si="5"/>
        <v>2430</v>
      </c>
      <c r="K24" s="360" t="s">
        <v>2226</v>
      </c>
    </row>
    <row r="25" spans="1:11" s="360" customFormat="1" ht="20.25" hidden="1" customHeight="1">
      <c r="A25" s="356" t="s">
        <v>465</v>
      </c>
      <c r="B25" s="357" t="s">
        <v>1433</v>
      </c>
      <c r="C25" s="358">
        <f>WORK!I176</f>
        <v>0</v>
      </c>
      <c r="D25" s="354" t="s">
        <v>5</v>
      </c>
      <c r="E25" s="355">
        <f>WORK!K176</f>
        <v>205.87</v>
      </c>
      <c r="F25" s="353">
        <f>ROUND(C25*E25,0)</f>
        <v>0</v>
      </c>
      <c r="G25" s="353"/>
      <c r="H25" s="353"/>
      <c r="I25" s="368">
        <f>C25-G25</f>
        <v>0</v>
      </c>
      <c r="J25" s="368">
        <f>F25-H25</f>
        <v>0</v>
      </c>
      <c r="K25" s="360" t="s">
        <v>2308</v>
      </c>
    </row>
    <row r="26" spans="1:11" s="360" customFormat="1" ht="20.25" hidden="1" customHeight="1">
      <c r="A26" s="356" t="s">
        <v>464</v>
      </c>
      <c r="B26" s="357" t="s">
        <v>1433</v>
      </c>
      <c r="C26" s="358">
        <f>WORK!I182</f>
        <v>0</v>
      </c>
      <c r="D26" s="354" t="s">
        <v>5</v>
      </c>
      <c r="E26" s="355">
        <f>WORK!K182</f>
        <v>199.97</v>
      </c>
      <c r="F26" s="353">
        <f>ROUND(C26*E26,0)</f>
        <v>0</v>
      </c>
      <c r="G26" s="353"/>
      <c r="H26" s="353"/>
      <c r="I26" s="368">
        <f>C26-G26</f>
        <v>0</v>
      </c>
      <c r="J26" s="368">
        <f>F26-H26</f>
        <v>0</v>
      </c>
      <c r="K26" s="360" t="s">
        <v>2321</v>
      </c>
    </row>
    <row r="27" spans="1:11" s="360" customFormat="1" ht="20.25" hidden="1" customHeight="1">
      <c r="A27" s="356" t="s">
        <v>462</v>
      </c>
      <c r="B27" s="357" t="s">
        <v>1433</v>
      </c>
      <c r="C27" s="358">
        <f>WORK!I188</f>
        <v>0</v>
      </c>
      <c r="D27" s="354" t="s">
        <v>5</v>
      </c>
      <c r="E27" s="355">
        <f>WORK!K188</f>
        <v>216.13</v>
      </c>
      <c r="F27" s="353">
        <f>ROUND(C27*E27,0)</f>
        <v>0</v>
      </c>
      <c r="G27" s="353"/>
      <c r="H27" s="353"/>
      <c r="I27" s="368">
        <f>C27-G27</f>
        <v>0</v>
      </c>
      <c r="J27" s="368">
        <f>F27-H27</f>
        <v>0</v>
      </c>
      <c r="K27" s="360" t="s">
        <v>2322</v>
      </c>
    </row>
    <row r="28" spans="1:11" s="360" customFormat="1" ht="20.25" hidden="1" customHeight="1">
      <c r="A28" s="356" t="s">
        <v>464</v>
      </c>
      <c r="B28" s="357" t="s">
        <v>716</v>
      </c>
      <c r="C28" s="358">
        <f>WORK!I194</f>
        <v>0</v>
      </c>
      <c r="D28" s="354" t="s">
        <v>5</v>
      </c>
      <c r="E28" s="355">
        <f>WORK!K194</f>
        <v>210</v>
      </c>
      <c r="F28" s="353">
        <f t="shared" si="0"/>
        <v>0</v>
      </c>
      <c r="G28" s="368"/>
      <c r="H28" s="368"/>
      <c r="I28" s="368">
        <f t="shared" si="4"/>
        <v>0</v>
      </c>
      <c r="J28" s="368">
        <f t="shared" si="5"/>
        <v>0</v>
      </c>
      <c r="K28" s="360" t="s">
        <v>2226</v>
      </c>
    </row>
    <row r="29" spans="1:11" s="360" customFormat="1" ht="20.25" hidden="1" customHeight="1">
      <c r="A29" s="356" t="s">
        <v>464</v>
      </c>
      <c r="B29" s="357" t="s">
        <v>716</v>
      </c>
      <c r="C29" s="358">
        <f>WORK!I200</f>
        <v>0</v>
      </c>
      <c r="D29" s="354" t="s">
        <v>5</v>
      </c>
      <c r="E29" s="355">
        <f>WORK!K200</f>
        <v>247.07</v>
      </c>
      <c r="F29" s="353">
        <f>ROUND(C29*E29,0)</f>
        <v>0</v>
      </c>
      <c r="G29" s="368"/>
      <c r="H29" s="368"/>
      <c r="I29" s="368">
        <f>C29-G29</f>
        <v>0</v>
      </c>
      <c r="J29" s="368">
        <f>F29-H29</f>
        <v>0</v>
      </c>
      <c r="K29" s="360" t="s">
        <v>2308</v>
      </c>
    </row>
    <row r="30" spans="1:11" s="360" customFormat="1" ht="20.25" hidden="1" customHeight="1">
      <c r="A30" s="356" t="s">
        <v>464</v>
      </c>
      <c r="B30" s="357" t="s">
        <v>716</v>
      </c>
      <c r="C30" s="358">
        <f>WORK!I206</f>
        <v>0</v>
      </c>
      <c r="D30" s="354" t="s">
        <v>5</v>
      </c>
      <c r="E30" s="355">
        <f>WORK!K206</f>
        <v>266.72000000000003</v>
      </c>
      <c r="F30" s="353">
        <f>ROUND(C30*E30,0)</f>
        <v>0</v>
      </c>
      <c r="G30" s="368"/>
      <c r="H30" s="368"/>
      <c r="I30" s="368">
        <f>C30-G30</f>
        <v>0</v>
      </c>
      <c r="J30" s="368">
        <f>F30-H30</f>
        <v>0</v>
      </c>
      <c r="K30" s="360" t="s">
        <v>2321</v>
      </c>
    </row>
    <row r="31" spans="1:11" s="360" customFormat="1" ht="20.25" hidden="1" customHeight="1">
      <c r="A31" s="356" t="s">
        <v>464</v>
      </c>
      <c r="B31" s="357" t="s">
        <v>716</v>
      </c>
      <c r="C31" s="358">
        <f>WORK!I212</f>
        <v>0</v>
      </c>
      <c r="D31" s="354" t="s">
        <v>5</v>
      </c>
      <c r="E31" s="355">
        <f>WORK!K212</f>
        <v>272.13</v>
      </c>
      <c r="F31" s="353">
        <f>ROUND(C31*E31,0)</f>
        <v>0</v>
      </c>
      <c r="G31" s="368"/>
      <c r="H31" s="368"/>
      <c r="I31" s="368">
        <f>C31-G31</f>
        <v>0</v>
      </c>
      <c r="J31" s="368">
        <f>F31-H31</f>
        <v>0</v>
      </c>
      <c r="K31" s="360" t="s">
        <v>2322</v>
      </c>
    </row>
    <row r="32" spans="1:11" s="360" customFormat="1" ht="20.25" customHeight="1">
      <c r="A32" s="356" t="s">
        <v>463</v>
      </c>
      <c r="B32" s="357" t="s">
        <v>1434</v>
      </c>
      <c r="C32" s="358">
        <f>WORK!I223</f>
        <v>99.320000000000007</v>
      </c>
      <c r="D32" s="354" t="s">
        <v>5</v>
      </c>
      <c r="E32" s="355">
        <f>WORK!K223</f>
        <v>1271.5</v>
      </c>
      <c r="F32" s="353">
        <f t="shared" si="0"/>
        <v>126285</v>
      </c>
      <c r="G32" s="368"/>
      <c r="H32" s="368"/>
      <c r="I32" s="368">
        <f t="shared" si="4"/>
        <v>99.320000000000007</v>
      </c>
      <c r="J32" s="368">
        <f t="shared" si="5"/>
        <v>126285</v>
      </c>
      <c r="K32" s="360" t="s">
        <v>2226</v>
      </c>
    </row>
    <row r="33" spans="1:11" s="360" customFormat="1" ht="20.25" hidden="1" customHeight="1">
      <c r="A33" s="356" t="s">
        <v>462</v>
      </c>
      <c r="B33" s="357" t="s">
        <v>1434</v>
      </c>
      <c r="C33" s="358">
        <f>WORK!I236</f>
        <v>0</v>
      </c>
      <c r="D33" s="354" t="s">
        <v>5</v>
      </c>
      <c r="E33" s="355">
        <f>WORK!K236</f>
        <v>1340.37</v>
      </c>
      <c r="F33" s="353">
        <f>ROUND(C33*E33,0)</f>
        <v>0</v>
      </c>
      <c r="G33" s="368"/>
      <c r="H33" s="368"/>
      <c r="I33" s="368">
        <f>C33-G33</f>
        <v>0</v>
      </c>
      <c r="J33" s="368">
        <f>F33-H33</f>
        <v>0</v>
      </c>
      <c r="K33" s="360" t="s">
        <v>2308</v>
      </c>
    </row>
    <row r="34" spans="1:11" s="360" customFormat="1" ht="20.25" hidden="1" customHeight="1">
      <c r="A34" s="356" t="s">
        <v>463</v>
      </c>
      <c r="B34" s="357" t="s">
        <v>1434</v>
      </c>
      <c r="C34" s="358">
        <f>WORK!I242</f>
        <v>0</v>
      </c>
      <c r="D34" s="354" t="s">
        <v>5</v>
      </c>
      <c r="E34" s="355">
        <f>WORK!K242</f>
        <v>1528.72</v>
      </c>
      <c r="F34" s="353">
        <f>ROUND(C34*E34,0)</f>
        <v>0</v>
      </c>
      <c r="G34" s="368"/>
      <c r="H34" s="368"/>
      <c r="I34" s="368">
        <f>C34-G34</f>
        <v>0</v>
      </c>
      <c r="J34" s="368">
        <f>F34-H34</f>
        <v>0</v>
      </c>
      <c r="K34" s="360" t="s">
        <v>2321</v>
      </c>
    </row>
    <row r="35" spans="1:11" s="360" customFormat="1" ht="20.25" hidden="1" customHeight="1">
      <c r="A35" s="356" t="s">
        <v>463</v>
      </c>
      <c r="B35" s="357" t="s">
        <v>1434</v>
      </c>
      <c r="C35" s="358">
        <f>WORK!I248</f>
        <v>0</v>
      </c>
      <c r="D35" s="354" t="s">
        <v>5</v>
      </c>
      <c r="E35" s="355">
        <f>WORK!K248</f>
        <v>1603.13</v>
      </c>
      <c r="F35" s="353">
        <f>ROUND(C35*E35,0)</f>
        <v>0</v>
      </c>
      <c r="G35" s="368"/>
      <c r="H35" s="368"/>
      <c r="I35" s="368">
        <f>C35-G35</f>
        <v>0</v>
      </c>
      <c r="J35" s="368">
        <f>F35-H35</f>
        <v>0</v>
      </c>
      <c r="K35" s="360" t="s">
        <v>2322</v>
      </c>
    </row>
    <row r="36" spans="1:11" s="360" customFormat="1" ht="20.25" customHeight="1">
      <c r="A36" s="356" t="s">
        <v>464</v>
      </c>
      <c r="B36" s="357" t="s">
        <v>540</v>
      </c>
      <c r="C36" s="358">
        <f>WORK!I261</f>
        <v>50.43</v>
      </c>
      <c r="D36" s="354" t="s">
        <v>5</v>
      </c>
      <c r="E36" s="355">
        <f>WORK!K261</f>
        <v>228</v>
      </c>
      <c r="F36" s="353">
        <f t="shared" si="0"/>
        <v>11498</v>
      </c>
      <c r="G36" s="368"/>
      <c r="H36" s="368"/>
      <c r="I36" s="368">
        <f t="shared" si="4"/>
        <v>50.43</v>
      </c>
      <c r="J36" s="368">
        <f t="shared" si="5"/>
        <v>11498</v>
      </c>
      <c r="K36" s="360" t="s">
        <v>2226</v>
      </c>
    </row>
    <row r="37" spans="1:11" s="360" customFormat="1" ht="20.25" hidden="1" customHeight="1">
      <c r="A37" s="356" t="s">
        <v>468</v>
      </c>
      <c r="B37" s="357" t="s">
        <v>540</v>
      </c>
      <c r="C37" s="358">
        <f>WORK!I269</f>
        <v>0</v>
      </c>
      <c r="D37" s="354" t="s">
        <v>5</v>
      </c>
      <c r="E37" s="355">
        <f>WORK!K269</f>
        <v>249.16</v>
      </c>
      <c r="F37" s="353">
        <f>ROUND(C37*E37,0)</f>
        <v>0</v>
      </c>
      <c r="G37" s="368"/>
      <c r="H37" s="368"/>
      <c r="I37" s="368">
        <f>C37-G37</f>
        <v>0</v>
      </c>
      <c r="J37" s="368">
        <f>F37-H37</f>
        <v>0</v>
      </c>
      <c r="K37" s="360" t="s">
        <v>2308</v>
      </c>
    </row>
    <row r="38" spans="1:11" s="360" customFormat="1" ht="20.25" hidden="1" customHeight="1">
      <c r="A38" s="356" t="s">
        <v>463</v>
      </c>
      <c r="B38" s="357" t="s">
        <v>540</v>
      </c>
      <c r="C38" s="358">
        <f>WORK!I276</f>
        <v>0</v>
      </c>
      <c r="D38" s="354" t="s">
        <v>5</v>
      </c>
      <c r="E38" s="355">
        <f>WORK!K276</f>
        <v>265.36</v>
      </c>
      <c r="F38" s="353">
        <f>ROUND(C38*E38,0)</f>
        <v>0</v>
      </c>
      <c r="G38" s="368"/>
      <c r="H38" s="368"/>
      <c r="I38" s="368">
        <f>C38-G38</f>
        <v>0</v>
      </c>
      <c r="J38" s="368">
        <f>F38-H38</f>
        <v>0</v>
      </c>
      <c r="K38" s="360" t="s">
        <v>2321</v>
      </c>
    </row>
    <row r="39" spans="1:11" s="360" customFormat="1" ht="20.25" hidden="1" customHeight="1">
      <c r="A39" s="356" t="s">
        <v>463</v>
      </c>
      <c r="B39" s="357" t="s">
        <v>540</v>
      </c>
      <c r="C39" s="358">
        <f>WORK!I283</f>
        <v>0</v>
      </c>
      <c r="D39" s="354" t="s">
        <v>5</v>
      </c>
      <c r="E39" s="355">
        <f>WORK!K283</f>
        <v>284.39999999999998</v>
      </c>
      <c r="F39" s="353">
        <f>ROUND(C39*E39,0)</f>
        <v>0</v>
      </c>
      <c r="G39" s="368"/>
      <c r="H39" s="368"/>
      <c r="I39" s="368">
        <f>C39-G39</f>
        <v>0</v>
      </c>
      <c r="J39" s="368">
        <f>F39-H39</f>
        <v>0</v>
      </c>
      <c r="K39" s="360" t="s">
        <v>2322</v>
      </c>
    </row>
    <row r="40" spans="1:11" s="360" customFormat="1" ht="20.25" customHeight="1">
      <c r="A40" s="356" t="s">
        <v>465</v>
      </c>
      <c r="B40" s="1319" t="s">
        <v>3533</v>
      </c>
      <c r="C40" s="358">
        <f>WORK!I291</f>
        <v>11.870000000000001</v>
      </c>
      <c r="D40" s="354" t="s">
        <v>5</v>
      </c>
      <c r="E40" s="355">
        <f>WORK!K291</f>
        <v>6979.88</v>
      </c>
      <c r="F40" s="353">
        <f t="shared" si="0"/>
        <v>82851</v>
      </c>
      <c r="G40" s="353"/>
      <c r="H40" s="353"/>
      <c r="I40" s="368">
        <f t="shared" si="4"/>
        <v>11.870000000000001</v>
      </c>
      <c r="J40" s="368">
        <f t="shared" si="5"/>
        <v>82851</v>
      </c>
      <c r="K40" s="360" t="s">
        <v>2226</v>
      </c>
    </row>
    <row r="41" spans="1:11" s="360" customFormat="1" ht="20.25" hidden="1" customHeight="1">
      <c r="A41" s="356" t="s">
        <v>469</v>
      </c>
      <c r="B41" s="357" t="s">
        <v>2232</v>
      </c>
      <c r="C41" s="358">
        <f>WORK!I296</f>
        <v>0</v>
      </c>
      <c r="D41" s="354" t="s">
        <v>5</v>
      </c>
      <c r="E41" s="355">
        <f>WORK!K296</f>
        <v>7288.23</v>
      </c>
      <c r="F41" s="353">
        <f>ROUND(C41*E41,0)</f>
        <v>0</v>
      </c>
      <c r="G41" s="353"/>
      <c r="H41" s="353"/>
      <c r="I41" s="368">
        <f>C41-G41</f>
        <v>0</v>
      </c>
      <c r="J41" s="368">
        <f>F41-H41</f>
        <v>0</v>
      </c>
      <c r="K41" s="360" t="s">
        <v>2308</v>
      </c>
    </row>
    <row r="42" spans="1:11" s="360" customFormat="1" ht="20.25" hidden="1" customHeight="1">
      <c r="A42" s="356" t="s">
        <v>464</v>
      </c>
      <c r="B42" s="357" t="s">
        <v>2232</v>
      </c>
      <c r="C42" s="358">
        <f>WORK!I301</f>
        <v>0</v>
      </c>
      <c r="D42" s="354" t="s">
        <v>5</v>
      </c>
      <c r="E42" s="355">
        <f>WORK!K301</f>
        <v>7685.43</v>
      </c>
      <c r="F42" s="353">
        <f>ROUND(C42*E42,0)</f>
        <v>0</v>
      </c>
      <c r="G42" s="353"/>
      <c r="H42" s="353"/>
      <c r="I42" s="368">
        <f>C42-G42</f>
        <v>0</v>
      </c>
      <c r="J42" s="368">
        <f>F42-H42</f>
        <v>0</v>
      </c>
      <c r="K42" s="360" t="s">
        <v>2321</v>
      </c>
    </row>
    <row r="43" spans="1:11" s="360" customFormat="1" ht="20.25" hidden="1" customHeight="1">
      <c r="A43" s="356" t="s">
        <v>464</v>
      </c>
      <c r="B43" s="357" t="s">
        <v>2232</v>
      </c>
      <c r="C43" s="358">
        <f>WORK!I306</f>
        <v>0</v>
      </c>
      <c r="D43" s="354" t="s">
        <v>5</v>
      </c>
      <c r="E43" s="355">
        <f>WORK!K306</f>
        <v>8062.18</v>
      </c>
      <c r="F43" s="353">
        <f>ROUND(C43*E43,0)</f>
        <v>0</v>
      </c>
      <c r="G43" s="353"/>
      <c r="H43" s="353"/>
      <c r="I43" s="368">
        <f>C43-G43</f>
        <v>0</v>
      </c>
      <c r="J43" s="368">
        <f>F43-H43</f>
        <v>0</v>
      </c>
      <c r="K43" s="360" t="s">
        <v>2322</v>
      </c>
    </row>
    <row r="44" spans="1:11" s="360" customFormat="1" ht="20.25" customHeight="1">
      <c r="A44" s="356" t="s">
        <v>466</v>
      </c>
      <c r="B44" s="357" t="s">
        <v>2009</v>
      </c>
      <c r="C44" s="358">
        <f>WORK!I311</f>
        <v>1.28</v>
      </c>
      <c r="D44" s="354" t="s">
        <v>5</v>
      </c>
      <c r="E44" s="355">
        <f>WORK!K311</f>
        <v>7392.88</v>
      </c>
      <c r="F44" s="353">
        <f t="shared" si="0"/>
        <v>9463</v>
      </c>
      <c r="G44" s="353"/>
      <c r="H44" s="353"/>
      <c r="I44" s="368">
        <f t="shared" si="4"/>
        <v>1.28</v>
      </c>
      <c r="J44" s="368">
        <f t="shared" si="5"/>
        <v>9463</v>
      </c>
      <c r="K44" s="360" t="s">
        <v>2226</v>
      </c>
    </row>
    <row r="45" spans="1:11" s="360" customFormat="1" ht="20.25" hidden="1" customHeight="1">
      <c r="A45" s="356" t="s">
        <v>465</v>
      </c>
      <c r="B45" s="357" t="s">
        <v>2009</v>
      </c>
      <c r="C45" s="358">
        <f>WORK!I316</f>
        <v>0</v>
      </c>
      <c r="D45" s="354" t="s">
        <v>5</v>
      </c>
      <c r="E45" s="355">
        <f>WORK!K316</f>
        <v>7701.23</v>
      </c>
      <c r="F45" s="353">
        <f>ROUND(C45*E45,0)</f>
        <v>0</v>
      </c>
      <c r="G45" s="353"/>
      <c r="H45" s="353"/>
      <c r="I45" s="368">
        <f>C45-G45</f>
        <v>0</v>
      </c>
      <c r="J45" s="368">
        <f>F45-H45</f>
        <v>0</v>
      </c>
      <c r="K45" s="360" t="s">
        <v>2308</v>
      </c>
    </row>
    <row r="46" spans="1:11" s="360" customFormat="1" ht="20.25" hidden="1" customHeight="1">
      <c r="A46" s="356" t="s">
        <v>465</v>
      </c>
      <c r="B46" s="357" t="s">
        <v>2009</v>
      </c>
      <c r="C46" s="358">
        <f>WORK!I321</f>
        <v>0</v>
      </c>
      <c r="D46" s="354" t="s">
        <v>5</v>
      </c>
      <c r="E46" s="355">
        <f>WORK!K321</f>
        <v>8124.43</v>
      </c>
      <c r="F46" s="353">
        <f>ROUND(C46*E46,0)</f>
        <v>0</v>
      </c>
      <c r="G46" s="353"/>
      <c r="H46" s="353"/>
      <c r="I46" s="368">
        <f>C46-G46</f>
        <v>0</v>
      </c>
      <c r="J46" s="368">
        <f>F46-H46</f>
        <v>0</v>
      </c>
      <c r="K46" s="360" t="s">
        <v>2321</v>
      </c>
    </row>
    <row r="47" spans="1:11" s="360" customFormat="1" ht="20.25" hidden="1" customHeight="1">
      <c r="A47" s="356" t="s">
        <v>465</v>
      </c>
      <c r="B47" s="357" t="s">
        <v>2009</v>
      </c>
      <c r="C47" s="358">
        <f>WORK!I326</f>
        <v>0</v>
      </c>
      <c r="D47" s="354" t="s">
        <v>5</v>
      </c>
      <c r="E47" s="355">
        <f>WORK!K326</f>
        <v>8501.18</v>
      </c>
      <c r="F47" s="353">
        <f>ROUND(C47*E47,0)</f>
        <v>0</v>
      </c>
      <c r="G47" s="353"/>
      <c r="H47" s="353"/>
      <c r="I47" s="368">
        <f>C47-G47</f>
        <v>0</v>
      </c>
      <c r="J47" s="368">
        <f>F47-H47</f>
        <v>0</v>
      </c>
      <c r="K47" s="360" t="s">
        <v>2322</v>
      </c>
    </row>
    <row r="48" spans="1:11" s="360" customFormat="1" ht="20.25" customHeight="1">
      <c r="A48" s="356" t="s">
        <v>467</v>
      </c>
      <c r="B48" s="357" t="s">
        <v>2010</v>
      </c>
      <c r="C48" s="358">
        <f>WORK!I342</f>
        <v>5.7099999999999991</v>
      </c>
      <c r="D48" s="354" t="s">
        <v>5</v>
      </c>
      <c r="E48" s="355">
        <f>WORK!K342</f>
        <v>9116.880000000001</v>
      </c>
      <c r="F48" s="353">
        <f t="shared" si="0"/>
        <v>52057</v>
      </c>
      <c r="G48" s="353"/>
      <c r="H48" s="353"/>
      <c r="I48" s="368">
        <f t="shared" si="4"/>
        <v>5.7099999999999991</v>
      </c>
      <c r="J48" s="368">
        <f t="shared" si="5"/>
        <v>52057</v>
      </c>
      <c r="K48" s="360" t="s">
        <v>2226</v>
      </c>
    </row>
    <row r="49" spans="1:11" s="360" customFormat="1" ht="20.25" hidden="1" customHeight="1">
      <c r="A49" s="356" t="s">
        <v>474</v>
      </c>
      <c r="B49" s="357" t="s">
        <v>2010</v>
      </c>
      <c r="C49" s="358">
        <f>WORK!I349</f>
        <v>0</v>
      </c>
      <c r="D49" s="354" t="s">
        <v>5</v>
      </c>
      <c r="E49" s="355">
        <f>WORK!K349</f>
        <v>9466.93</v>
      </c>
      <c r="F49" s="353">
        <f>ROUND(C49*E49,0)</f>
        <v>0</v>
      </c>
      <c r="G49" s="353"/>
      <c r="H49" s="353"/>
      <c r="I49" s="368">
        <f>C49-G49</f>
        <v>0</v>
      </c>
      <c r="J49" s="368">
        <f>F49-H49</f>
        <v>0</v>
      </c>
      <c r="K49" s="360" t="s">
        <v>2308</v>
      </c>
    </row>
    <row r="50" spans="1:11" s="360" customFormat="1" ht="20.25" hidden="1" customHeight="1">
      <c r="A50" s="356" t="s">
        <v>469</v>
      </c>
      <c r="B50" s="357" t="s">
        <v>2010</v>
      </c>
      <c r="C50" s="358">
        <f>WORK!I354</f>
        <v>0</v>
      </c>
      <c r="D50" s="354" t="s">
        <v>5</v>
      </c>
      <c r="E50" s="355">
        <f>WORK!K354</f>
        <v>10004.82</v>
      </c>
      <c r="F50" s="353">
        <f>ROUND(C50*E50,0)</f>
        <v>0</v>
      </c>
      <c r="G50" s="353"/>
      <c r="H50" s="353"/>
      <c r="I50" s="368">
        <f>C50-G50</f>
        <v>0</v>
      </c>
      <c r="J50" s="368">
        <f>F50-H50</f>
        <v>0</v>
      </c>
      <c r="K50" s="360" t="s">
        <v>2321</v>
      </c>
    </row>
    <row r="51" spans="1:11" s="360" customFormat="1" ht="20.25" hidden="1" customHeight="1">
      <c r="A51" s="356" t="s">
        <v>466</v>
      </c>
      <c r="B51" s="357" t="s">
        <v>2010</v>
      </c>
      <c r="C51" s="358">
        <f>WORK!I366</f>
        <v>0</v>
      </c>
      <c r="D51" s="354" t="s">
        <v>5</v>
      </c>
      <c r="E51" s="355">
        <f>WORK!K366</f>
        <v>10417.6</v>
      </c>
      <c r="F51" s="353">
        <f>ROUND(C51*E51,0)</f>
        <v>0</v>
      </c>
      <c r="G51" s="353"/>
      <c r="H51" s="353"/>
      <c r="I51" s="368">
        <f>C51-G51</f>
        <v>0</v>
      </c>
      <c r="J51" s="368">
        <f>F51-H51</f>
        <v>0</v>
      </c>
      <c r="K51" s="360" t="s">
        <v>2322</v>
      </c>
    </row>
    <row r="52" spans="1:11" s="360" customFormat="1" ht="20.25" customHeight="1">
      <c r="A52" s="356" t="s">
        <v>468</v>
      </c>
      <c r="B52" s="357" t="s">
        <v>2011</v>
      </c>
      <c r="C52" s="358">
        <f>WORK!I384</f>
        <v>5.8000000000000007</v>
      </c>
      <c r="D52" s="354" t="s">
        <v>5</v>
      </c>
      <c r="E52" s="355">
        <f>WORK!K384</f>
        <v>8971.880000000001</v>
      </c>
      <c r="F52" s="353">
        <f t="shared" si="0"/>
        <v>52037</v>
      </c>
      <c r="G52" s="353"/>
      <c r="H52" s="353"/>
      <c r="I52" s="368">
        <f t="shared" si="4"/>
        <v>5.8000000000000007</v>
      </c>
      <c r="J52" s="368">
        <f t="shared" si="5"/>
        <v>52037</v>
      </c>
      <c r="K52" s="360" t="s">
        <v>2226</v>
      </c>
    </row>
    <row r="53" spans="1:11" s="360" customFormat="1" ht="20.25" hidden="1" customHeight="1">
      <c r="A53" s="356" t="s">
        <v>476</v>
      </c>
      <c r="B53" s="357" t="s">
        <v>2011</v>
      </c>
      <c r="C53" s="358">
        <f>WORK!I392</f>
        <v>0</v>
      </c>
      <c r="D53" s="354" t="s">
        <v>5</v>
      </c>
      <c r="E53" s="355">
        <f>WORK!K392</f>
        <v>9280.23</v>
      </c>
      <c r="F53" s="353">
        <f>ROUND(C53*E53,0)</f>
        <v>0</v>
      </c>
      <c r="G53" s="353"/>
      <c r="H53" s="353"/>
      <c r="I53" s="368">
        <f>C53-G53</f>
        <v>0</v>
      </c>
      <c r="J53" s="368">
        <f>F53-H53</f>
        <v>0</v>
      </c>
      <c r="K53" s="360" t="s">
        <v>2308</v>
      </c>
    </row>
    <row r="54" spans="1:11" s="360" customFormat="1" ht="20.25" hidden="1" customHeight="1">
      <c r="A54" s="356" t="s">
        <v>473</v>
      </c>
      <c r="B54" s="357" t="s">
        <v>2011</v>
      </c>
      <c r="C54" s="358">
        <f>WORK!I400</f>
        <v>0</v>
      </c>
      <c r="D54" s="354" t="s">
        <v>5</v>
      </c>
      <c r="E54" s="355">
        <f>WORK!K400</f>
        <v>9785.43</v>
      </c>
      <c r="F54" s="353">
        <f>ROUND(C54*E54,0)</f>
        <v>0</v>
      </c>
      <c r="G54" s="353"/>
      <c r="H54" s="353"/>
      <c r="I54" s="368">
        <f>C54-G54</f>
        <v>0</v>
      </c>
      <c r="J54" s="368">
        <f>F54-H54</f>
        <v>0</v>
      </c>
      <c r="K54" s="360" t="s">
        <v>2321</v>
      </c>
    </row>
    <row r="55" spans="1:11" s="360" customFormat="1" ht="20.25" hidden="1" customHeight="1">
      <c r="A55" s="356" t="s">
        <v>467</v>
      </c>
      <c r="B55" s="357" t="s">
        <v>2011</v>
      </c>
      <c r="C55" s="358">
        <f>WORK!I406</f>
        <v>0</v>
      </c>
      <c r="D55" s="354" t="s">
        <v>5</v>
      </c>
      <c r="E55" s="355">
        <f>WORK!K406</f>
        <v>10162.18</v>
      </c>
      <c r="F55" s="353">
        <f>ROUND(C55*E55,0)</f>
        <v>0</v>
      </c>
      <c r="G55" s="353"/>
      <c r="H55" s="353"/>
      <c r="I55" s="368">
        <f>C55-G55</f>
        <v>0</v>
      </c>
      <c r="J55" s="368">
        <f>F55-H55</f>
        <v>0</v>
      </c>
      <c r="K55" s="360" t="s">
        <v>2322</v>
      </c>
    </row>
    <row r="56" spans="1:11" s="360" customFormat="1" ht="20.25" customHeight="1">
      <c r="A56" s="356" t="s">
        <v>326</v>
      </c>
      <c r="B56" s="357" t="s">
        <v>2012</v>
      </c>
      <c r="C56" s="358">
        <f>WORK!I428</f>
        <v>6.2000000000000011</v>
      </c>
      <c r="D56" s="428" t="s">
        <v>5</v>
      </c>
      <c r="E56" s="355">
        <f>WORK!K428</f>
        <v>8954.36</v>
      </c>
      <c r="F56" s="353">
        <f t="shared" si="0"/>
        <v>55517</v>
      </c>
      <c r="G56" s="353"/>
      <c r="H56" s="353"/>
      <c r="I56" s="368">
        <f t="shared" si="4"/>
        <v>6.2000000000000011</v>
      </c>
      <c r="J56" s="368">
        <f t="shared" si="5"/>
        <v>55517</v>
      </c>
      <c r="K56" s="360" t="s">
        <v>2226</v>
      </c>
    </row>
    <row r="57" spans="1:11" s="360" customFormat="1" ht="20.25" hidden="1" customHeight="1">
      <c r="A57" s="356" t="s">
        <v>474</v>
      </c>
      <c r="B57" s="357" t="s">
        <v>2012</v>
      </c>
      <c r="C57" s="358">
        <f>WORK!I440</f>
        <v>0</v>
      </c>
      <c r="D57" s="428" t="s">
        <v>5</v>
      </c>
      <c r="E57" s="355">
        <f>WORK!K440</f>
        <v>9169.52</v>
      </c>
      <c r="F57" s="353">
        <f>ROUND(C57*E57,0)</f>
        <v>0</v>
      </c>
      <c r="G57" s="353"/>
      <c r="H57" s="353"/>
      <c r="I57" s="368">
        <f>C57-G57</f>
        <v>0</v>
      </c>
      <c r="J57" s="368">
        <f>F57-H57</f>
        <v>0</v>
      </c>
      <c r="K57" s="360" t="s">
        <v>2308</v>
      </c>
    </row>
    <row r="58" spans="1:11" s="360" customFormat="1" ht="20.25" hidden="1" customHeight="1">
      <c r="A58" s="356" t="s">
        <v>468</v>
      </c>
      <c r="B58" s="357" t="s">
        <v>2012</v>
      </c>
      <c r="C58" s="358">
        <f>WORK!I467</f>
        <v>0</v>
      </c>
      <c r="D58" s="428" t="s">
        <v>5</v>
      </c>
      <c r="E58" s="355">
        <f>WORK!K467</f>
        <v>9635.33</v>
      </c>
      <c r="F58" s="353">
        <f>ROUND(C58*E58,0)</f>
        <v>0</v>
      </c>
      <c r="G58" s="353"/>
      <c r="H58" s="353"/>
      <c r="I58" s="368">
        <f>C58-G58</f>
        <v>0</v>
      </c>
      <c r="J58" s="368">
        <f>F58-H58</f>
        <v>0</v>
      </c>
      <c r="K58" s="360" t="s">
        <v>2321</v>
      </c>
    </row>
    <row r="59" spans="1:11" s="360" customFormat="1" ht="20.25" hidden="1" customHeight="1">
      <c r="A59" s="356" t="s">
        <v>468</v>
      </c>
      <c r="B59" s="357" t="s">
        <v>2012</v>
      </c>
      <c r="C59" s="358">
        <f>WORK!I475</f>
        <v>0</v>
      </c>
      <c r="D59" s="428" t="s">
        <v>5</v>
      </c>
      <c r="E59" s="355">
        <f>WORK!K475</f>
        <v>9921.19</v>
      </c>
      <c r="F59" s="353">
        <f>ROUND(C59*E59,0)</f>
        <v>0</v>
      </c>
      <c r="G59" s="353"/>
      <c r="H59" s="353"/>
      <c r="I59" s="368">
        <f>C59-G59</f>
        <v>0</v>
      </c>
      <c r="J59" s="368">
        <f>F59-H59</f>
        <v>0</v>
      </c>
      <c r="K59" s="360" t="s">
        <v>2322</v>
      </c>
    </row>
    <row r="60" spans="1:11" s="360" customFormat="1" ht="20.25" customHeight="1">
      <c r="A60" s="356" t="s">
        <v>469</v>
      </c>
      <c r="B60" s="357" t="s">
        <v>2013</v>
      </c>
      <c r="C60" s="358">
        <f>WORK!I506</f>
        <v>128.13</v>
      </c>
      <c r="D60" s="354" t="s">
        <v>102</v>
      </c>
      <c r="E60" s="355">
        <f>WORK!K506</f>
        <v>1071.8</v>
      </c>
      <c r="F60" s="353">
        <f t="shared" si="0"/>
        <v>137330</v>
      </c>
      <c r="G60" s="353"/>
      <c r="H60" s="353"/>
      <c r="I60" s="368">
        <f t="shared" ref="I60:I321" si="6">C60-G60</f>
        <v>128.13</v>
      </c>
      <c r="J60" s="368">
        <f t="shared" ref="J60:J321" si="7">F60-H60</f>
        <v>137330</v>
      </c>
      <c r="K60" s="360" t="s">
        <v>2226</v>
      </c>
    </row>
    <row r="61" spans="1:11" s="360" customFormat="1" ht="20.25" hidden="1" customHeight="1">
      <c r="A61" s="356" t="s">
        <v>475</v>
      </c>
      <c r="B61" s="357" t="s">
        <v>2013</v>
      </c>
      <c r="C61" s="358">
        <f>WORK!I512</f>
        <v>0</v>
      </c>
      <c r="D61" s="354" t="s">
        <v>102</v>
      </c>
      <c r="E61" s="355">
        <f>WORK!K512</f>
        <v>1109.69</v>
      </c>
      <c r="F61" s="353">
        <f>ROUND(C61*E61,0)</f>
        <v>0</v>
      </c>
      <c r="G61" s="353"/>
      <c r="H61" s="353"/>
      <c r="I61" s="368">
        <f>C61-G61</f>
        <v>0</v>
      </c>
      <c r="J61" s="368">
        <f>F61-H61</f>
        <v>0</v>
      </c>
      <c r="K61" s="360" t="s">
        <v>2308</v>
      </c>
    </row>
    <row r="62" spans="1:11" s="360" customFormat="1" ht="20.25" hidden="1" customHeight="1">
      <c r="A62" s="356" t="s">
        <v>326</v>
      </c>
      <c r="B62" s="357" t="s">
        <v>2013</v>
      </c>
      <c r="C62" s="358">
        <f>WORK!I519</f>
        <v>0</v>
      </c>
      <c r="D62" s="354" t="s">
        <v>102</v>
      </c>
      <c r="E62" s="355">
        <f>WORK!K519</f>
        <v>1166.67</v>
      </c>
      <c r="F62" s="353">
        <f>ROUND(C62*E62,0)</f>
        <v>0</v>
      </c>
      <c r="G62" s="353"/>
      <c r="H62" s="353"/>
      <c r="I62" s="368">
        <f>C62-G62</f>
        <v>0</v>
      </c>
      <c r="J62" s="368">
        <f>F62-H62</f>
        <v>0</v>
      </c>
      <c r="K62" s="360" t="s">
        <v>2321</v>
      </c>
    </row>
    <row r="63" spans="1:11" s="360" customFormat="1" ht="20.25" hidden="1" customHeight="1">
      <c r="A63" s="356" t="s">
        <v>326</v>
      </c>
      <c r="B63" s="357" t="s">
        <v>2013</v>
      </c>
      <c r="C63" s="358">
        <f>WORK!I525</f>
        <v>0</v>
      </c>
      <c r="D63" s="354" t="s">
        <v>102</v>
      </c>
      <c r="E63" s="355">
        <f>WORK!K525</f>
        <v>1202.4000000000001</v>
      </c>
      <c r="F63" s="353">
        <f>ROUND(C63*E63,0)</f>
        <v>0</v>
      </c>
      <c r="G63" s="353"/>
      <c r="H63" s="353"/>
      <c r="I63" s="368">
        <f>C63-G63</f>
        <v>0</v>
      </c>
      <c r="J63" s="368">
        <f>F63-H63</f>
        <v>0</v>
      </c>
      <c r="K63" s="360" t="s">
        <v>2322</v>
      </c>
    </row>
    <row r="64" spans="1:11" s="360" customFormat="1" ht="20.25" hidden="1" customHeight="1">
      <c r="A64" s="356" t="s">
        <v>472</v>
      </c>
      <c r="B64" s="357" t="s">
        <v>2014</v>
      </c>
      <c r="C64" s="358">
        <f>WORK!I483</f>
        <v>0</v>
      </c>
      <c r="D64" s="354" t="s">
        <v>102</v>
      </c>
      <c r="E64" s="355">
        <f>WORK!K483</f>
        <v>1195.95</v>
      </c>
      <c r="F64" s="353">
        <f t="shared" si="0"/>
        <v>0</v>
      </c>
      <c r="G64" s="368"/>
      <c r="H64" s="368"/>
      <c r="I64" s="368">
        <f t="shared" si="6"/>
        <v>0</v>
      </c>
      <c r="J64" s="368">
        <f t="shared" si="7"/>
        <v>0</v>
      </c>
      <c r="K64" s="360" t="s">
        <v>2226</v>
      </c>
    </row>
    <row r="65" spans="1:11" s="360" customFormat="1" ht="20.25" hidden="1" customHeight="1">
      <c r="A65" s="356" t="s">
        <v>469</v>
      </c>
      <c r="B65" s="357" t="s">
        <v>2014</v>
      </c>
      <c r="C65" s="358">
        <f>WORK!I489</f>
        <v>0</v>
      </c>
      <c r="D65" s="354" t="s">
        <v>102</v>
      </c>
      <c r="E65" s="355">
        <f>WORK!K489</f>
        <v>1239.23</v>
      </c>
      <c r="F65" s="353">
        <f>ROUND(C65*E65,0)</f>
        <v>0</v>
      </c>
      <c r="G65" s="368"/>
      <c r="H65" s="368"/>
      <c r="I65" s="368">
        <f>C65-G65</f>
        <v>0</v>
      </c>
      <c r="J65" s="368">
        <f>F65-H65</f>
        <v>0</v>
      </c>
      <c r="K65" s="360" t="s">
        <v>2308</v>
      </c>
    </row>
    <row r="66" spans="1:11" s="360" customFormat="1" ht="20.25" hidden="1" customHeight="1">
      <c r="A66" s="356" t="s">
        <v>469</v>
      </c>
      <c r="B66" s="357" t="s">
        <v>2014</v>
      </c>
      <c r="C66" s="358">
        <f>WORK!I494</f>
        <v>0</v>
      </c>
      <c r="D66" s="354" t="s">
        <v>102</v>
      </c>
      <c r="E66" s="355">
        <f>WORK!K494</f>
        <v>1302.4000000000001</v>
      </c>
      <c r="F66" s="353">
        <f>ROUND(C66*E66,0)</f>
        <v>0</v>
      </c>
      <c r="G66" s="368"/>
      <c r="H66" s="368"/>
      <c r="I66" s="368">
        <f>C66-G66</f>
        <v>0</v>
      </c>
      <c r="J66" s="368">
        <f>F66-H66</f>
        <v>0</v>
      </c>
      <c r="K66" s="360" t="s">
        <v>2321</v>
      </c>
    </row>
    <row r="67" spans="1:11" s="360" customFormat="1" ht="20.25" hidden="1" customHeight="1">
      <c r="A67" s="356" t="s">
        <v>469</v>
      </c>
      <c r="B67" s="357" t="s">
        <v>2014</v>
      </c>
      <c r="C67" s="358">
        <f>WORK!I500</f>
        <v>0</v>
      </c>
      <c r="D67" s="354" t="s">
        <v>102</v>
      </c>
      <c r="E67" s="355">
        <f>WORK!K500</f>
        <v>1345.28</v>
      </c>
      <c r="F67" s="353">
        <f>ROUND(C67*E67,0)</f>
        <v>0</v>
      </c>
      <c r="G67" s="368"/>
      <c r="H67" s="368"/>
      <c r="I67" s="368">
        <f>C67-G67</f>
        <v>0</v>
      </c>
      <c r="J67" s="368">
        <f>F67-H67</f>
        <v>0</v>
      </c>
      <c r="K67" s="360" t="s">
        <v>2322</v>
      </c>
    </row>
    <row r="68" spans="1:11" s="360" customFormat="1" ht="20.25" hidden="1" customHeight="1">
      <c r="A68" s="356" t="s">
        <v>469</v>
      </c>
      <c r="B68" s="357" t="s">
        <v>2227</v>
      </c>
      <c r="C68" s="358">
        <f>WORK!I531</f>
        <v>0</v>
      </c>
      <c r="D68" s="354" t="s">
        <v>102</v>
      </c>
      <c r="E68" s="355">
        <f>WORK!K531</f>
        <v>947.64</v>
      </c>
      <c r="F68" s="353">
        <f t="shared" si="0"/>
        <v>0</v>
      </c>
      <c r="G68" s="368"/>
      <c r="H68" s="368"/>
      <c r="I68" s="368">
        <f t="shared" si="6"/>
        <v>0</v>
      </c>
      <c r="J68" s="368">
        <f t="shared" si="7"/>
        <v>0</v>
      </c>
      <c r="K68" s="360" t="s">
        <v>2226</v>
      </c>
    </row>
    <row r="69" spans="1:11" s="360" customFormat="1" ht="20.25" hidden="1" customHeight="1">
      <c r="A69" s="356" t="s">
        <v>475</v>
      </c>
      <c r="B69" s="357" t="s">
        <v>2227</v>
      </c>
      <c r="C69" s="358">
        <f>WORK!I536</f>
        <v>0</v>
      </c>
      <c r="D69" s="354" t="s">
        <v>102</v>
      </c>
      <c r="E69" s="355">
        <f>WORK!K536</f>
        <v>980.15</v>
      </c>
      <c r="F69" s="353">
        <f>ROUND(C69*E69,0)</f>
        <v>0</v>
      </c>
      <c r="G69" s="368"/>
      <c r="H69" s="368"/>
      <c r="I69" s="368">
        <f>C69-G69</f>
        <v>0</v>
      </c>
      <c r="J69" s="368">
        <f>F69-H69</f>
        <v>0</v>
      </c>
      <c r="K69" s="360" t="s">
        <v>2308</v>
      </c>
    </row>
    <row r="70" spans="1:11" s="360" customFormat="1" ht="20.25" hidden="1" customHeight="1">
      <c r="A70" s="356" t="s">
        <v>469</v>
      </c>
      <c r="B70" s="357" t="s">
        <v>2227</v>
      </c>
      <c r="C70" s="358">
        <f>WORK!I542</f>
        <v>0</v>
      </c>
      <c r="D70" s="354" t="s">
        <v>102</v>
      </c>
      <c r="E70" s="355">
        <f>WORK!K542</f>
        <v>1030.9299999999998</v>
      </c>
      <c r="F70" s="353">
        <f>ROUND(C70*E70,0)</f>
        <v>0</v>
      </c>
      <c r="G70" s="368"/>
      <c r="H70" s="368"/>
      <c r="I70" s="368">
        <f>C70-G70</f>
        <v>0</v>
      </c>
      <c r="J70" s="368">
        <f>F70-H70</f>
        <v>0</v>
      </c>
      <c r="K70" s="360" t="s">
        <v>2321</v>
      </c>
    </row>
    <row r="71" spans="1:11" s="360" customFormat="1" ht="20.25" hidden="1" customHeight="1">
      <c r="A71" s="356" t="s">
        <v>469</v>
      </c>
      <c r="B71" s="357" t="s">
        <v>2227</v>
      </c>
      <c r="C71" s="358">
        <f>WORK!I547</f>
        <v>0</v>
      </c>
      <c r="D71" s="354" t="s">
        <v>102</v>
      </c>
      <c r="E71" s="355">
        <f>WORK!K547</f>
        <v>1059.52</v>
      </c>
      <c r="F71" s="353">
        <f>ROUND(C71*E71,0)</f>
        <v>0</v>
      </c>
      <c r="G71" s="368"/>
      <c r="H71" s="368"/>
      <c r="I71" s="368">
        <f>C71-G71</f>
        <v>0</v>
      </c>
      <c r="J71" s="368">
        <f>F71-H71</f>
        <v>0</v>
      </c>
      <c r="K71" s="360" t="s">
        <v>2322</v>
      </c>
    </row>
    <row r="72" spans="1:11" s="360" customFormat="1" ht="20.25" hidden="1" customHeight="1">
      <c r="A72" s="356" t="s">
        <v>469</v>
      </c>
      <c r="B72" s="357" t="s">
        <v>2228</v>
      </c>
      <c r="C72" s="358">
        <f>WORK!I553</f>
        <v>0</v>
      </c>
      <c r="D72" s="354" t="s">
        <v>102</v>
      </c>
      <c r="E72" s="355">
        <f>WORK!K553</f>
        <v>471.03</v>
      </c>
      <c r="F72" s="353">
        <f t="shared" si="0"/>
        <v>0</v>
      </c>
      <c r="G72" s="353"/>
      <c r="H72" s="353"/>
      <c r="I72" s="368">
        <f t="shared" si="6"/>
        <v>0</v>
      </c>
      <c r="J72" s="368">
        <f t="shared" si="7"/>
        <v>0</v>
      </c>
      <c r="K72" s="360" t="s">
        <v>2226</v>
      </c>
    </row>
    <row r="73" spans="1:11" s="360" customFormat="1" ht="20.25" hidden="1" customHeight="1">
      <c r="A73" s="356" t="s">
        <v>469</v>
      </c>
      <c r="B73" s="357" t="s">
        <v>2228</v>
      </c>
      <c r="C73" s="358">
        <f>WORK!I559</f>
        <v>0</v>
      </c>
      <c r="D73" s="354" t="s">
        <v>102</v>
      </c>
      <c r="E73" s="355">
        <f>WORK!K559</f>
        <v>487.1</v>
      </c>
      <c r="F73" s="353">
        <f>ROUND(C73*E73,0)</f>
        <v>0</v>
      </c>
      <c r="G73" s="353"/>
      <c r="H73" s="353"/>
      <c r="I73" s="368">
        <f>C73-G73</f>
        <v>0</v>
      </c>
      <c r="J73" s="368">
        <f>F73-H73</f>
        <v>0</v>
      </c>
      <c r="K73" s="360" t="s">
        <v>2308</v>
      </c>
    </row>
    <row r="74" spans="1:11" s="360" customFormat="1" ht="20.25" hidden="1" customHeight="1">
      <c r="A74" s="356" t="s">
        <v>469</v>
      </c>
      <c r="B74" s="357" t="s">
        <v>2228</v>
      </c>
      <c r="C74" s="358">
        <f>WORK!I565</f>
        <v>0</v>
      </c>
      <c r="D74" s="354" t="s">
        <v>102</v>
      </c>
      <c r="E74" s="355">
        <f>WORK!K565</f>
        <v>512.26</v>
      </c>
      <c r="F74" s="353">
        <f>ROUND(C74*E74,0)</f>
        <v>0</v>
      </c>
      <c r="G74" s="353"/>
      <c r="H74" s="353"/>
      <c r="I74" s="368">
        <f>C74-G74</f>
        <v>0</v>
      </c>
      <c r="J74" s="368">
        <f>F74-H74</f>
        <v>0</v>
      </c>
      <c r="K74" s="360" t="s">
        <v>2321</v>
      </c>
    </row>
    <row r="75" spans="1:11" s="360" customFormat="1" ht="20.25" hidden="1" customHeight="1">
      <c r="A75" s="356" t="s">
        <v>469</v>
      </c>
      <c r="B75" s="357" t="s">
        <v>2228</v>
      </c>
      <c r="C75" s="358">
        <f>WORK!I571</f>
        <v>0</v>
      </c>
      <c r="D75" s="354" t="s">
        <v>102</v>
      </c>
      <c r="E75" s="355">
        <f>WORK!K571</f>
        <v>526.29999999999995</v>
      </c>
      <c r="F75" s="353">
        <f>ROUND(C75*E75,0)</f>
        <v>0</v>
      </c>
      <c r="G75" s="353"/>
      <c r="H75" s="353"/>
      <c r="I75" s="368">
        <f>C75-G75</f>
        <v>0</v>
      </c>
      <c r="J75" s="368">
        <f>F75-H75</f>
        <v>0</v>
      </c>
      <c r="K75" s="360" t="s">
        <v>2322</v>
      </c>
    </row>
    <row r="76" spans="1:11" s="360" customFormat="1" ht="20.25" hidden="1" customHeight="1">
      <c r="A76" s="356" t="s">
        <v>475</v>
      </c>
      <c r="B76" s="357" t="s">
        <v>2229</v>
      </c>
      <c r="C76" s="358">
        <f>WORK!I578</f>
        <v>0</v>
      </c>
      <c r="D76" s="354" t="s">
        <v>102</v>
      </c>
      <c r="E76" s="355">
        <f>WORK!K578</f>
        <v>348.26</v>
      </c>
      <c r="F76" s="353">
        <f t="shared" si="0"/>
        <v>0</v>
      </c>
      <c r="G76" s="368"/>
      <c r="H76" s="368"/>
      <c r="I76" s="368">
        <f t="shared" si="6"/>
        <v>0</v>
      </c>
      <c r="J76" s="368">
        <f t="shared" si="7"/>
        <v>0</v>
      </c>
      <c r="K76" s="360" t="s">
        <v>2226</v>
      </c>
    </row>
    <row r="77" spans="1:11" s="360" customFormat="1" ht="20.25" hidden="1" customHeight="1">
      <c r="A77" s="356" t="s">
        <v>475</v>
      </c>
      <c r="B77" s="357" t="s">
        <v>2229</v>
      </c>
      <c r="C77" s="358">
        <f>WORK!I585</f>
        <v>0</v>
      </c>
      <c r="D77" s="354" t="s">
        <v>102</v>
      </c>
      <c r="E77" s="355">
        <f>WORK!K585</f>
        <v>359.05</v>
      </c>
      <c r="F77" s="353">
        <f>ROUND(C77*E77,0)</f>
        <v>0</v>
      </c>
      <c r="G77" s="368"/>
      <c r="H77" s="368"/>
      <c r="I77" s="368">
        <f>C77-G77</f>
        <v>0</v>
      </c>
      <c r="J77" s="368">
        <f>F77-H77</f>
        <v>0</v>
      </c>
      <c r="K77" s="360" t="s">
        <v>2308</v>
      </c>
    </row>
    <row r="78" spans="1:11" s="360" customFormat="1" ht="20.25" hidden="1" customHeight="1">
      <c r="A78" s="356" t="s">
        <v>475</v>
      </c>
      <c r="B78" s="357" t="s">
        <v>2229</v>
      </c>
      <c r="C78" s="358">
        <f>WORK!I592</f>
        <v>0</v>
      </c>
      <c r="D78" s="354" t="s">
        <v>102</v>
      </c>
      <c r="E78" s="355">
        <f>WORK!K592</f>
        <v>378.13</v>
      </c>
      <c r="F78" s="353">
        <f t="shared" ref="F78:F79" si="8">ROUND(C78*E78,0)</f>
        <v>0</v>
      </c>
      <c r="G78" s="368"/>
      <c r="H78" s="368"/>
      <c r="I78" s="368">
        <f>C78-G78</f>
        <v>0</v>
      </c>
      <c r="J78" s="368">
        <f>F78-H78</f>
        <v>0</v>
      </c>
      <c r="K78" s="360" t="s">
        <v>2321</v>
      </c>
    </row>
    <row r="79" spans="1:11" s="360" customFormat="1" ht="20.25" hidden="1" customHeight="1">
      <c r="A79" s="356" t="s">
        <v>475</v>
      </c>
      <c r="B79" s="357" t="s">
        <v>2229</v>
      </c>
      <c r="C79" s="358">
        <f>WORK!I599</f>
        <v>0</v>
      </c>
      <c r="D79" s="354" t="s">
        <v>102</v>
      </c>
      <c r="E79" s="355">
        <f>WORK!K599</f>
        <v>385.15</v>
      </c>
      <c r="F79" s="353">
        <f t="shared" si="8"/>
        <v>0</v>
      </c>
      <c r="G79" s="368"/>
      <c r="H79" s="368"/>
      <c r="I79" s="368">
        <f>C79-G79</f>
        <v>0</v>
      </c>
      <c r="J79" s="368">
        <f>F79-H79</f>
        <v>0</v>
      </c>
      <c r="K79" s="360" t="s">
        <v>2322</v>
      </c>
    </row>
    <row r="80" spans="1:11" s="360" customFormat="1" ht="20.25" customHeight="1">
      <c r="A80" s="356" t="s">
        <v>472</v>
      </c>
      <c r="B80" s="357" t="s">
        <v>2015</v>
      </c>
      <c r="C80" s="358">
        <f>WORK!I609</f>
        <v>1.53</v>
      </c>
      <c r="D80" s="354" t="s">
        <v>5</v>
      </c>
      <c r="E80" s="355">
        <f>WORK!K609</f>
        <v>9288.880000000001</v>
      </c>
      <c r="F80" s="353">
        <f t="shared" si="0"/>
        <v>14212</v>
      </c>
      <c r="G80" s="353"/>
      <c r="H80" s="353"/>
      <c r="I80" s="368">
        <f t="shared" si="6"/>
        <v>1.53</v>
      </c>
      <c r="J80" s="368">
        <f t="shared" si="7"/>
        <v>14212</v>
      </c>
      <c r="K80" s="360" t="s">
        <v>2226</v>
      </c>
    </row>
    <row r="81" spans="1:11" s="360" customFormat="1" ht="20.25" hidden="1" customHeight="1">
      <c r="A81" s="356" t="s">
        <v>476</v>
      </c>
      <c r="B81" s="357" t="s">
        <v>2015</v>
      </c>
      <c r="C81" s="358">
        <f>WORK!I619</f>
        <v>0</v>
      </c>
      <c r="D81" s="354" t="s">
        <v>5</v>
      </c>
      <c r="E81" s="355">
        <f>WORK!K619</f>
        <v>9638.93</v>
      </c>
      <c r="F81" s="353">
        <f>ROUND(C81*E81,0)</f>
        <v>0</v>
      </c>
      <c r="G81" s="353"/>
      <c r="H81" s="353"/>
      <c r="I81" s="368">
        <f>C81-G81</f>
        <v>0</v>
      </c>
      <c r="J81" s="368">
        <f>F81-H81</f>
        <v>0</v>
      </c>
      <c r="K81" s="360" t="s">
        <v>2308</v>
      </c>
    </row>
    <row r="82" spans="1:11" s="360" customFormat="1" ht="20.25" hidden="1" customHeight="1">
      <c r="A82" s="356" t="s">
        <v>483</v>
      </c>
      <c r="B82" s="357" t="s">
        <v>2015</v>
      </c>
      <c r="C82" s="358">
        <f>WORK!I628</f>
        <v>0</v>
      </c>
      <c r="D82" s="354" t="s">
        <v>5</v>
      </c>
      <c r="E82" s="355">
        <f>WORK!K628</f>
        <v>10171.82</v>
      </c>
      <c r="F82" s="353">
        <f>ROUND(C82*E82,0)</f>
        <v>0</v>
      </c>
      <c r="G82" s="353"/>
      <c r="H82" s="353"/>
      <c r="I82" s="368">
        <f>C82-G82</f>
        <v>0</v>
      </c>
      <c r="J82" s="368">
        <f>F82-H82</f>
        <v>0</v>
      </c>
      <c r="K82" s="360" t="s">
        <v>2321</v>
      </c>
    </row>
    <row r="83" spans="1:11" s="360" customFormat="1" ht="20.25" hidden="1" customHeight="1">
      <c r="A83" s="356" t="s">
        <v>469</v>
      </c>
      <c r="B83" s="357" t="s">
        <v>2015</v>
      </c>
      <c r="C83" s="358">
        <f>WORK!I639</f>
        <v>0</v>
      </c>
      <c r="D83" s="354" t="s">
        <v>5</v>
      </c>
      <c r="E83" s="355">
        <f>WORK!K639</f>
        <v>10584.6</v>
      </c>
      <c r="F83" s="353">
        <f>ROUND(C83*E83,0)</f>
        <v>0</v>
      </c>
      <c r="G83" s="353"/>
      <c r="H83" s="353"/>
      <c r="I83" s="368">
        <f>C83-G83</f>
        <v>0</v>
      </c>
      <c r="J83" s="368">
        <f>F83-H83</f>
        <v>0</v>
      </c>
      <c r="K83" s="360" t="s">
        <v>2322</v>
      </c>
    </row>
    <row r="84" spans="1:11" s="360" customFormat="1" ht="20.25" customHeight="1">
      <c r="A84" s="356" t="s">
        <v>473</v>
      </c>
      <c r="B84" s="357" t="s">
        <v>2016</v>
      </c>
      <c r="C84" s="358">
        <f>WORK!I644</f>
        <v>12</v>
      </c>
      <c r="D84" s="354" t="s">
        <v>277</v>
      </c>
      <c r="E84" s="355">
        <f>WORK!K644</f>
        <v>474.83999999999992</v>
      </c>
      <c r="F84" s="353">
        <f t="shared" si="0"/>
        <v>5698</v>
      </c>
      <c r="G84" s="353"/>
      <c r="H84" s="353"/>
      <c r="I84" s="368">
        <f t="shared" si="6"/>
        <v>12</v>
      </c>
      <c r="J84" s="368">
        <f t="shared" si="7"/>
        <v>5698</v>
      </c>
      <c r="K84" s="360" t="s">
        <v>2226</v>
      </c>
    </row>
    <row r="85" spans="1:11" s="360" customFormat="1" ht="20.25" hidden="1" customHeight="1">
      <c r="A85" s="356" t="s">
        <v>478</v>
      </c>
      <c r="B85" s="357" t="s">
        <v>2016</v>
      </c>
      <c r="C85" s="358">
        <f>WORK!I649</f>
        <v>0</v>
      </c>
      <c r="D85" s="354" t="s">
        <v>277</v>
      </c>
      <c r="E85" s="355">
        <f>WORK!K649</f>
        <v>482.90999999999997</v>
      </c>
      <c r="F85" s="353">
        <f>ROUND(C85*E85,0)</f>
        <v>0</v>
      </c>
      <c r="G85" s="353"/>
      <c r="H85" s="353"/>
      <c r="I85" s="368">
        <f>C85-G85</f>
        <v>0</v>
      </c>
      <c r="J85" s="368">
        <f>F85-H85</f>
        <v>0</v>
      </c>
      <c r="K85" s="360" t="s">
        <v>2308</v>
      </c>
    </row>
    <row r="86" spans="1:11" s="360" customFormat="1" ht="20.25" hidden="1" customHeight="1">
      <c r="A86" s="356" t="s">
        <v>484</v>
      </c>
      <c r="B86" s="357" t="s">
        <v>2016</v>
      </c>
      <c r="C86" s="358">
        <f>WORK!I655</f>
        <v>0</v>
      </c>
      <c r="D86" s="354" t="s">
        <v>277</v>
      </c>
      <c r="E86" s="355">
        <f>WORK!K655</f>
        <v>507.79999999999995</v>
      </c>
      <c r="F86" s="353">
        <f>ROUND(C86*E86,0)</f>
        <v>0</v>
      </c>
      <c r="G86" s="353"/>
      <c r="H86" s="353"/>
      <c r="I86" s="368">
        <f>C86-G86</f>
        <v>0</v>
      </c>
      <c r="J86" s="368">
        <f>F86-H86</f>
        <v>0</v>
      </c>
      <c r="K86" s="360" t="s">
        <v>2321</v>
      </c>
    </row>
    <row r="87" spans="1:11" s="360" customFormat="1" ht="20.25" hidden="1" customHeight="1">
      <c r="A87" s="356" t="s">
        <v>472</v>
      </c>
      <c r="B87" s="357" t="s">
        <v>2016</v>
      </c>
      <c r="C87" s="358">
        <f>WORK!I660</f>
        <v>0</v>
      </c>
      <c r="D87" s="354" t="s">
        <v>277</v>
      </c>
      <c r="E87" s="355">
        <f>WORK!K660</f>
        <v>518.52</v>
      </c>
      <c r="F87" s="353">
        <f>ROUND(C87*E87,0)</f>
        <v>0</v>
      </c>
      <c r="G87" s="353"/>
      <c r="H87" s="353"/>
      <c r="I87" s="368">
        <f>C87-G87</f>
        <v>0</v>
      </c>
      <c r="J87" s="368">
        <f>F87-H87</f>
        <v>0</v>
      </c>
      <c r="K87" s="360" t="s">
        <v>2322</v>
      </c>
    </row>
    <row r="88" spans="1:11" s="360" customFormat="1" ht="20.25" customHeight="1">
      <c r="A88" s="356" t="s">
        <v>474</v>
      </c>
      <c r="B88" s="357" t="s">
        <v>2230</v>
      </c>
      <c r="C88" s="358">
        <f>WORK!I666</f>
        <v>108</v>
      </c>
      <c r="D88" s="221" t="s">
        <v>102</v>
      </c>
      <c r="E88" s="355">
        <f>WORK!K666</f>
        <v>259.97000000000003</v>
      </c>
      <c r="F88" s="353">
        <f t="shared" si="0"/>
        <v>28077</v>
      </c>
      <c r="G88" s="353"/>
      <c r="H88" s="353"/>
      <c r="I88" s="368">
        <f t="shared" si="6"/>
        <v>108</v>
      </c>
      <c r="J88" s="368">
        <f t="shared" si="7"/>
        <v>28077</v>
      </c>
      <c r="K88" s="360" t="s">
        <v>2226</v>
      </c>
    </row>
    <row r="89" spans="1:11" s="360" customFormat="1" ht="20.25" hidden="1" customHeight="1">
      <c r="A89" s="356" t="s">
        <v>482</v>
      </c>
      <c r="B89" s="357" t="s">
        <v>2230</v>
      </c>
      <c r="C89" s="358">
        <f>WORK!I672</f>
        <v>0</v>
      </c>
      <c r="D89" s="221" t="s">
        <v>102</v>
      </c>
      <c r="E89" s="355">
        <f>WORK!K672</f>
        <v>280.02999999999997</v>
      </c>
      <c r="F89" s="353">
        <f>ROUND(C89*E89,0)</f>
        <v>0</v>
      </c>
      <c r="G89" s="353"/>
      <c r="H89" s="353"/>
      <c r="I89" s="368">
        <f>C89-G89</f>
        <v>0</v>
      </c>
      <c r="J89" s="368">
        <f>F89-H89</f>
        <v>0</v>
      </c>
      <c r="K89" s="360" t="s">
        <v>2308</v>
      </c>
    </row>
    <row r="90" spans="1:11" s="360" customFormat="1" ht="20.25" hidden="1" customHeight="1">
      <c r="A90" s="356" t="s">
        <v>493</v>
      </c>
      <c r="B90" s="357" t="s">
        <v>2230</v>
      </c>
      <c r="C90" s="358">
        <f>WORK!I678</f>
        <v>0</v>
      </c>
      <c r="D90" s="221" t="s">
        <v>102</v>
      </c>
      <c r="E90" s="355">
        <f>WORK!K678</f>
        <v>297.22000000000003</v>
      </c>
      <c r="F90" s="353">
        <f>ROUND(C90*E90,0)</f>
        <v>0</v>
      </c>
      <c r="G90" s="353"/>
      <c r="H90" s="353"/>
      <c r="I90" s="368">
        <f>C90-G90</f>
        <v>0</v>
      </c>
      <c r="J90" s="368">
        <f>F90-H90</f>
        <v>0</v>
      </c>
      <c r="K90" s="360" t="s">
        <v>2321</v>
      </c>
    </row>
    <row r="91" spans="1:11" s="360" customFormat="1" ht="20.25" hidden="1" customHeight="1">
      <c r="A91" s="356" t="s">
        <v>479</v>
      </c>
      <c r="B91" s="357" t="s">
        <v>2230</v>
      </c>
      <c r="C91" s="358">
        <f>WORK!I684</f>
        <v>0</v>
      </c>
      <c r="D91" s="221" t="s">
        <v>102</v>
      </c>
      <c r="E91" s="355">
        <f>WORK!K684</f>
        <v>315.69</v>
      </c>
      <c r="F91" s="353">
        <f>ROUND(C91*E91,0)</f>
        <v>0</v>
      </c>
      <c r="G91" s="353"/>
      <c r="H91" s="353"/>
      <c r="I91" s="368">
        <f>C91-G91</f>
        <v>0</v>
      </c>
      <c r="J91" s="368">
        <f>F91-H91</f>
        <v>0</v>
      </c>
      <c r="K91" s="360" t="s">
        <v>2322</v>
      </c>
    </row>
    <row r="92" spans="1:11" s="360" customFormat="1" ht="20.25" hidden="1" customHeight="1">
      <c r="A92" s="356" t="s">
        <v>475</v>
      </c>
      <c r="B92" s="357" t="s">
        <v>2231</v>
      </c>
      <c r="C92" s="358">
        <f>WORK!I690</f>
        <v>0</v>
      </c>
      <c r="D92" s="221" t="s">
        <v>102</v>
      </c>
      <c r="E92" s="355">
        <f>WORK!K690</f>
        <v>330.39</v>
      </c>
      <c r="F92" s="353">
        <f t="shared" si="0"/>
        <v>0</v>
      </c>
      <c r="G92" s="368"/>
      <c r="H92" s="368"/>
      <c r="I92" s="368">
        <f t="shared" si="6"/>
        <v>0</v>
      </c>
      <c r="J92" s="368">
        <f t="shared" si="7"/>
        <v>0</v>
      </c>
      <c r="K92" s="360" t="s">
        <v>2226</v>
      </c>
    </row>
    <row r="93" spans="1:11" s="360" customFormat="1" ht="20.25" hidden="1" customHeight="1">
      <c r="A93" s="356" t="s">
        <v>479</v>
      </c>
      <c r="B93" s="357" t="s">
        <v>2231</v>
      </c>
      <c r="C93" s="358">
        <f>WORK!I696</f>
        <v>0</v>
      </c>
      <c r="D93" s="221" t="s">
        <v>102</v>
      </c>
      <c r="E93" s="355">
        <f>WORK!K696</f>
        <v>357.62</v>
      </c>
      <c r="F93" s="353">
        <f>ROUND(C93*E93,0)</f>
        <v>0</v>
      </c>
      <c r="G93" s="368"/>
      <c r="H93" s="368"/>
      <c r="I93" s="368">
        <f>C93-G93</f>
        <v>0</v>
      </c>
      <c r="J93" s="368">
        <f>F93-H93</f>
        <v>0</v>
      </c>
      <c r="K93" s="360" t="s">
        <v>2308</v>
      </c>
    </row>
    <row r="94" spans="1:11" s="360" customFormat="1" ht="20.25" hidden="1" customHeight="1">
      <c r="A94" s="356" t="s">
        <v>474</v>
      </c>
      <c r="B94" s="357" t="s">
        <v>2231</v>
      </c>
      <c r="C94" s="358">
        <f>WORK!I702</f>
        <v>0</v>
      </c>
      <c r="D94" s="221" t="s">
        <v>102</v>
      </c>
      <c r="E94" s="355">
        <f>WORK!K702</f>
        <v>380.75</v>
      </c>
      <c r="F94" s="353">
        <f>ROUND(C94*E94,0)</f>
        <v>0</v>
      </c>
      <c r="G94" s="368"/>
      <c r="H94" s="368"/>
      <c r="I94" s="368">
        <f>C94-G94</f>
        <v>0</v>
      </c>
      <c r="J94" s="368">
        <f>F94-H94</f>
        <v>0</v>
      </c>
      <c r="K94" s="360" t="s">
        <v>2321</v>
      </c>
    </row>
    <row r="95" spans="1:11" s="360" customFormat="1" ht="20.25" hidden="1" customHeight="1">
      <c r="A95" s="356" t="s">
        <v>474</v>
      </c>
      <c r="B95" s="357" t="s">
        <v>2231</v>
      </c>
      <c r="C95" s="358">
        <f>WORK!I708</f>
        <v>0</v>
      </c>
      <c r="D95" s="221" t="s">
        <v>102</v>
      </c>
      <c r="E95" s="355">
        <f>WORK!K708</f>
        <v>405.78</v>
      </c>
      <c r="F95" s="353">
        <f>ROUND(C95*E95,0)</f>
        <v>0</v>
      </c>
      <c r="G95" s="368"/>
      <c r="H95" s="368"/>
      <c r="I95" s="368">
        <f>C95-G95</f>
        <v>0</v>
      </c>
      <c r="J95" s="368">
        <f>F95-H95</f>
        <v>0</v>
      </c>
      <c r="K95" s="360" t="s">
        <v>2322</v>
      </c>
    </row>
    <row r="96" spans="1:11" s="360" customFormat="1" ht="20.25" hidden="1" customHeight="1">
      <c r="A96" s="356" t="s">
        <v>475</v>
      </c>
      <c r="B96" s="357" t="s">
        <v>2078</v>
      </c>
      <c r="C96" s="358">
        <f>WORK!I1206</f>
        <v>0</v>
      </c>
      <c r="D96" s="354" t="s">
        <v>5</v>
      </c>
      <c r="E96" s="355">
        <f>WORK!K1206</f>
        <v>4946.1699999999992</v>
      </c>
      <c r="F96" s="353">
        <f t="shared" si="0"/>
        <v>0</v>
      </c>
      <c r="G96" s="368"/>
      <c r="H96" s="368"/>
      <c r="I96" s="368">
        <f t="shared" si="6"/>
        <v>0</v>
      </c>
      <c r="J96" s="368">
        <f t="shared" si="7"/>
        <v>0</v>
      </c>
      <c r="K96" s="360" t="s">
        <v>2226</v>
      </c>
    </row>
    <row r="97" spans="1:11" s="360" customFormat="1" ht="20.25" hidden="1" customHeight="1">
      <c r="A97" s="356" t="s">
        <v>474</v>
      </c>
      <c r="B97" s="357" t="s">
        <v>2078</v>
      </c>
      <c r="C97" s="358">
        <f>WORK!I1213</f>
        <v>0</v>
      </c>
      <c r="D97" s="354" t="s">
        <v>5</v>
      </c>
      <c r="E97" s="355">
        <f>WORK!K1213</f>
        <v>5115.5200000000004</v>
      </c>
      <c r="F97" s="353">
        <f>ROUND(C97*E97,0)</f>
        <v>0</v>
      </c>
      <c r="G97" s="368"/>
      <c r="H97" s="368"/>
      <c r="I97" s="368">
        <f>C97-G97</f>
        <v>0</v>
      </c>
      <c r="J97" s="368">
        <f>F97-H97</f>
        <v>0</v>
      </c>
      <c r="K97" s="360" t="s">
        <v>2308</v>
      </c>
    </row>
    <row r="98" spans="1:11" s="360" customFormat="1" ht="20.25" hidden="1" customHeight="1">
      <c r="A98" s="356" t="s">
        <v>474</v>
      </c>
      <c r="B98" s="357" t="s">
        <v>2078</v>
      </c>
      <c r="C98" s="358">
        <f>WORK!I1220</f>
        <v>0</v>
      </c>
      <c r="D98" s="354" t="s">
        <v>5</v>
      </c>
      <c r="E98" s="355">
        <f>WORK!K1220</f>
        <v>5349.0700000000006</v>
      </c>
      <c r="F98" s="353">
        <f>ROUND(C98*E98,0)</f>
        <v>0</v>
      </c>
      <c r="G98" s="368"/>
      <c r="H98" s="368"/>
      <c r="I98" s="368">
        <f>C98-G98</f>
        <v>0</v>
      </c>
      <c r="J98" s="368">
        <f>F98-H98</f>
        <v>0</v>
      </c>
      <c r="K98" s="360" t="s">
        <v>2321</v>
      </c>
    </row>
    <row r="99" spans="1:11" s="360" customFormat="1" ht="20.25" hidden="1" customHeight="1">
      <c r="A99" s="356" t="s">
        <v>474</v>
      </c>
      <c r="B99" s="357" t="s">
        <v>2078</v>
      </c>
      <c r="C99" s="358">
        <f>WORK!I1225</f>
        <v>0</v>
      </c>
      <c r="D99" s="354" t="s">
        <v>5</v>
      </c>
      <c r="E99" s="355">
        <f>WORK!K1225</f>
        <v>5601.67</v>
      </c>
      <c r="F99" s="353">
        <f>ROUND(C99*E99,0)</f>
        <v>0</v>
      </c>
      <c r="G99" s="368"/>
      <c r="H99" s="368"/>
      <c r="I99" s="368">
        <f>C99-G99</f>
        <v>0</v>
      </c>
      <c r="J99" s="368">
        <f>F99-H99</f>
        <v>0</v>
      </c>
      <c r="K99" s="360" t="s">
        <v>2322</v>
      </c>
    </row>
    <row r="100" spans="1:11" s="360" customFormat="1" ht="20.25" hidden="1" customHeight="1">
      <c r="A100" s="356" t="s">
        <v>475</v>
      </c>
      <c r="B100" s="357" t="s">
        <v>2233</v>
      </c>
      <c r="C100" s="358">
        <f>WORK!I715</f>
        <v>0</v>
      </c>
      <c r="D100" s="354" t="s">
        <v>5</v>
      </c>
      <c r="E100" s="355">
        <f>WORK!K715</f>
        <v>3154.94</v>
      </c>
      <c r="F100" s="353">
        <f t="shared" si="0"/>
        <v>0</v>
      </c>
      <c r="G100" s="353"/>
      <c r="H100" s="353"/>
      <c r="I100" s="368">
        <f t="shared" si="6"/>
        <v>0</v>
      </c>
      <c r="J100" s="368">
        <f t="shared" si="7"/>
        <v>0</v>
      </c>
      <c r="K100" s="360" t="s">
        <v>2226</v>
      </c>
    </row>
    <row r="101" spans="1:11" s="360" customFormat="1" ht="20.25" hidden="1" customHeight="1">
      <c r="A101" s="356" t="s">
        <v>475</v>
      </c>
      <c r="B101" s="357" t="s">
        <v>2233</v>
      </c>
      <c r="C101" s="358">
        <f>WORK!I722</f>
        <v>0</v>
      </c>
      <c r="D101" s="354" t="s">
        <v>5</v>
      </c>
      <c r="E101" s="355">
        <f>WORK!K722</f>
        <v>3350.54</v>
      </c>
      <c r="F101" s="353">
        <f>ROUND(C101*E101,0)</f>
        <v>0</v>
      </c>
      <c r="G101" s="353"/>
      <c r="H101" s="353"/>
      <c r="I101" s="368">
        <f>C101-G101</f>
        <v>0</v>
      </c>
      <c r="J101" s="368">
        <f>F101-H101</f>
        <v>0</v>
      </c>
      <c r="K101" s="360" t="s">
        <v>2308</v>
      </c>
    </row>
    <row r="102" spans="1:11" s="360" customFormat="1" ht="20.25" hidden="1" customHeight="1">
      <c r="A102" s="356" t="s">
        <v>475</v>
      </c>
      <c r="B102" s="357" t="s">
        <v>2233</v>
      </c>
      <c r="C102" s="358">
        <f>WORK!I729</f>
        <v>0</v>
      </c>
      <c r="D102" s="354" t="s">
        <v>5</v>
      </c>
      <c r="E102" s="355">
        <f>WORK!K729</f>
        <v>3615.1600000000003</v>
      </c>
      <c r="F102" s="353">
        <f>ROUND(C102*E102,0)</f>
        <v>0</v>
      </c>
      <c r="G102" s="353"/>
      <c r="H102" s="353"/>
      <c r="I102" s="368">
        <f>C102-G102</f>
        <v>0</v>
      </c>
      <c r="J102" s="368">
        <f>F102-H102</f>
        <v>0</v>
      </c>
      <c r="K102" s="360" t="s">
        <v>2321</v>
      </c>
    </row>
    <row r="103" spans="1:11" s="360" customFormat="1" ht="20.25" hidden="1" customHeight="1">
      <c r="A103" s="356" t="s">
        <v>475</v>
      </c>
      <c r="B103" s="357" t="s">
        <v>2233</v>
      </c>
      <c r="C103" s="358">
        <f>WORK!I735</f>
        <v>0</v>
      </c>
      <c r="D103" s="354" t="s">
        <v>5</v>
      </c>
      <c r="E103" s="355">
        <f>WORK!K735</f>
        <v>3828.3500000000004</v>
      </c>
      <c r="F103" s="353">
        <f>ROUND(C103*E103,0)</f>
        <v>0</v>
      </c>
      <c r="G103" s="353"/>
      <c r="H103" s="353"/>
      <c r="I103" s="368">
        <f>C103-G103</f>
        <v>0</v>
      </c>
      <c r="J103" s="368">
        <f>F103-H103</f>
        <v>0</v>
      </c>
      <c r="K103" s="360" t="s">
        <v>2322</v>
      </c>
    </row>
    <row r="104" spans="1:11" s="360" customFormat="1" ht="20.25" customHeight="1">
      <c r="A104" s="356" t="s">
        <v>475</v>
      </c>
      <c r="B104" s="357" t="s">
        <v>2112</v>
      </c>
      <c r="C104" s="358">
        <f>WORK!I753</f>
        <v>19.080000000000002</v>
      </c>
      <c r="D104" s="354" t="s">
        <v>5</v>
      </c>
      <c r="E104" s="355">
        <f>WORK!K753</f>
        <v>5588.9500000000007</v>
      </c>
      <c r="F104" s="353">
        <f t="shared" si="0"/>
        <v>106637</v>
      </c>
      <c r="G104" s="368"/>
      <c r="H104" s="368"/>
      <c r="I104" s="368">
        <f t="shared" si="6"/>
        <v>19.080000000000002</v>
      </c>
      <c r="J104" s="368">
        <f t="shared" si="7"/>
        <v>106637</v>
      </c>
      <c r="K104" s="360" t="s">
        <v>2226</v>
      </c>
    </row>
    <row r="105" spans="1:11" s="360" customFormat="1" ht="20.25" hidden="1" customHeight="1">
      <c r="A105" s="356" t="s">
        <v>484</v>
      </c>
      <c r="B105" s="357" t="s">
        <v>2112</v>
      </c>
      <c r="C105" s="358">
        <f>WORK!I772</f>
        <v>0</v>
      </c>
      <c r="D105" s="354" t="s">
        <v>5</v>
      </c>
      <c r="E105" s="355">
        <f>WORK!K772</f>
        <v>5751.7699999999995</v>
      </c>
      <c r="F105" s="353">
        <f t="shared" ref="F105" si="9">ROUND(C105*E105,0)</f>
        <v>0</v>
      </c>
      <c r="G105" s="368"/>
      <c r="H105" s="368"/>
      <c r="I105" s="368">
        <f>C105-G105</f>
        <v>0</v>
      </c>
      <c r="J105" s="368">
        <f>F105-H105</f>
        <v>0</v>
      </c>
      <c r="K105" s="360" t="s">
        <v>2308</v>
      </c>
    </row>
    <row r="106" spans="1:11" s="360" customFormat="1" ht="20.25" hidden="1" customHeight="1">
      <c r="A106" s="356" t="s">
        <v>480</v>
      </c>
      <c r="B106" s="357" t="s">
        <v>2112</v>
      </c>
      <c r="C106" s="358">
        <f>WORK!I780</f>
        <v>0</v>
      </c>
      <c r="D106" s="354" t="s">
        <v>5</v>
      </c>
      <c r="E106" s="355">
        <f>WORK!K780</f>
        <v>6154.1100000000006</v>
      </c>
      <c r="F106" s="353">
        <f>ROUND(C106*E106,0)</f>
        <v>0</v>
      </c>
      <c r="G106" s="368"/>
      <c r="H106" s="368"/>
      <c r="I106" s="368">
        <f>C106-G106</f>
        <v>0</v>
      </c>
      <c r="J106" s="368">
        <f>F106-H106</f>
        <v>0</v>
      </c>
      <c r="K106" s="360" t="s">
        <v>2321</v>
      </c>
    </row>
    <row r="107" spans="1:11" s="360" customFormat="1" ht="20.25" hidden="1" customHeight="1">
      <c r="A107" s="356" t="s">
        <v>1518</v>
      </c>
      <c r="B107" s="357" t="s">
        <v>2112</v>
      </c>
      <c r="C107" s="358">
        <f>WORK!I798</f>
        <v>0</v>
      </c>
      <c r="D107" s="354" t="s">
        <v>5</v>
      </c>
      <c r="E107" s="355">
        <f>WORK!K798</f>
        <v>6869.83</v>
      </c>
      <c r="F107" s="353">
        <f>ROUND(C107*E107,0)</f>
        <v>0</v>
      </c>
      <c r="G107" s="368"/>
      <c r="H107" s="368"/>
      <c r="I107" s="368">
        <f>C107-G107</f>
        <v>0</v>
      </c>
      <c r="J107" s="368">
        <f>F107-H107</f>
        <v>0</v>
      </c>
      <c r="K107" s="360" t="s">
        <v>2322</v>
      </c>
    </row>
    <row r="108" spans="1:11" s="360" customFormat="1" ht="20.25" customHeight="1">
      <c r="A108" s="356" t="s">
        <v>476</v>
      </c>
      <c r="B108" s="357" t="s">
        <v>2146</v>
      </c>
      <c r="C108" s="358">
        <f>WORK!I820</f>
        <v>21.8</v>
      </c>
      <c r="D108" s="354" t="s">
        <v>5</v>
      </c>
      <c r="E108" s="355">
        <f>WORK!K820</f>
        <v>5645.35</v>
      </c>
      <c r="F108" s="353">
        <f t="shared" si="0"/>
        <v>123069</v>
      </c>
      <c r="G108" s="353"/>
      <c r="H108" s="353"/>
      <c r="I108" s="368">
        <f t="shared" si="6"/>
        <v>21.8</v>
      </c>
      <c r="J108" s="368">
        <f t="shared" si="7"/>
        <v>123069</v>
      </c>
      <c r="K108" s="360" t="s">
        <v>2226</v>
      </c>
    </row>
    <row r="109" spans="1:11" s="360" customFormat="1" ht="20.25" hidden="1" customHeight="1">
      <c r="A109" s="356" t="s">
        <v>482</v>
      </c>
      <c r="B109" s="357" t="s">
        <v>2146</v>
      </c>
      <c r="C109" s="358">
        <f>WORK!I833</f>
        <v>0</v>
      </c>
      <c r="D109" s="354" t="s">
        <v>5</v>
      </c>
      <c r="E109" s="355">
        <f>WORK!K833</f>
        <v>5808.1699999999992</v>
      </c>
      <c r="F109" s="353">
        <f>ROUND(C109*E109,0)</f>
        <v>0</v>
      </c>
      <c r="G109" s="353"/>
      <c r="H109" s="353"/>
      <c r="I109" s="368">
        <f>C109-G109</f>
        <v>0</v>
      </c>
      <c r="J109" s="368">
        <f>F109-H109</f>
        <v>0</v>
      </c>
      <c r="K109" s="360" t="s">
        <v>2308</v>
      </c>
    </row>
    <row r="110" spans="1:11" s="360" customFormat="1" ht="20.25" hidden="1" customHeight="1">
      <c r="A110" s="356" t="s">
        <v>483</v>
      </c>
      <c r="B110" s="357" t="s">
        <v>2146</v>
      </c>
      <c r="C110" s="358">
        <f>WORK!I852</f>
        <v>0</v>
      </c>
      <c r="D110" s="354" t="s">
        <v>5</v>
      </c>
      <c r="E110" s="355">
        <f>WORK!K852</f>
        <v>6210.51</v>
      </c>
      <c r="F110" s="353">
        <f>ROUND(C110*E110,0)</f>
        <v>0</v>
      </c>
      <c r="G110" s="353"/>
      <c r="H110" s="353"/>
      <c r="I110" s="368">
        <f>C110-G110</f>
        <v>0</v>
      </c>
      <c r="J110" s="368">
        <f>F110-H110</f>
        <v>0</v>
      </c>
      <c r="K110" s="360" t="s">
        <v>2321</v>
      </c>
    </row>
    <row r="111" spans="1:11" s="360" customFormat="1" ht="20.25" hidden="1" customHeight="1">
      <c r="A111" s="356" t="s">
        <v>475</v>
      </c>
      <c r="B111" s="357" t="s">
        <v>2146</v>
      </c>
      <c r="C111" s="358">
        <f>WORK!I860</f>
        <v>0</v>
      </c>
      <c r="D111" s="354" t="s">
        <v>5</v>
      </c>
      <c r="E111" s="355">
        <f>WORK!K860</f>
        <v>6926.2300000000005</v>
      </c>
      <c r="F111" s="353">
        <f>ROUND(C111*E111,0)</f>
        <v>0</v>
      </c>
      <c r="G111" s="353"/>
      <c r="H111" s="353"/>
      <c r="I111" s="368">
        <f>C111-G111</f>
        <v>0</v>
      </c>
      <c r="J111" s="368">
        <f>F111-H111</f>
        <v>0</v>
      </c>
      <c r="K111" s="360" t="s">
        <v>2322</v>
      </c>
    </row>
    <row r="112" spans="1:11" s="360" customFormat="1">
      <c r="A112" s="356" t="s">
        <v>478</v>
      </c>
      <c r="B112" s="1415" t="s">
        <v>3638</v>
      </c>
      <c r="C112" s="358">
        <f>WORK!I872</f>
        <v>40.4</v>
      </c>
      <c r="D112" s="354" t="s">
        <v>102</v>
      </c>
      <c r="E112" s="355">
        <f>WORK!K872</f>
        <v>710.66</v>
      </c>
      <c r="F112" s="353">
        <f t="shared" ref="F112:F121" si="10">ROUND(C112*E112/1,0)</f>
        <v>28711</v>
      </c>
      <c r="G112" s="353"/>
      <c r="H112" s="353"/>
      <c r="I112" s="368">
        <f t="shared" si="6"/>
        <v>40.4</v>
      </c>
      <c r="J112" s="368">
        <f t="shared" si="7"/>
        <v>28711</v>
      </c>
      <c r="K112" s="360" t="s">
        <v>2226</v>
      </c>
    </row>
    <row r="113" spans="1:11" s="360" customFormat="1" hidden="1">
      <c r="A113" s="356" t="s">
        <v>484</v>
      </c>
      <c r="B113" s="1415" t="s">
        <v>3638</v>
      </c>
      <c r="C113" s="358">
        <f>WORK!I885</f>
        <v>0</v>
      </c>
      <c r="D113" s="354" t="s">
        <v>102</v>
      </c>
      <c r="E113" s="355">
        <f>WORK!K885</f>
        <v>732.88</v>
      </c>
      <c r="F113" s="353">
        <f t="shared" si="10"/>
        <v>0</v>
      </c>
      <c r="G113" s="353"/>
      <c r="H113" s="353"/>
      <c r="I113" s="368">
        <f>C113-G113</f>
        <v>0</v>
      </c>
      <c r="J113" s="368">
        <f>F113-H113</f>
        <v>0</v>
      </c>
      <c r="K113" s="360" t="s">
        <v>2308</v>
      </c>
    </row>
    <row r="114" spans="1:11" s="360" customFormat="1" hidden="1">
      <c r="A114" s="356" t="s">
        <v>487</v>
      </c>
      <c r="B114" s="357" t="s">
        <v>2147</v>
      </c>
      <c r="C114" s="358">
        <f>WORK!I892</f>
        <v>0</v>
      </c>
      <c r="D114" s="354" t="s">
        <v>102</v>
      </c>
      <c r="E114" s="355">
        <f>WORK!K892</f>
        <v>782.58</v>
      </c>
      <c r="F114" s="353">
        <f>ROUND(C114*E114/1,0)</f>
        <v>0</v>
      </c>
      <c r="G114" s="353"/>
      <c r="H114" s="353"/>
      <c r="I114" s="368">
        <f>C114-G114</f>
        <v>0</v>
      </c>
      <c r="J114" s="368">
        <f>F114-H114</f>
        <v>0</v>
      </c>
      <c r="K114" s="360" t="s">
        <v>2321</v>
      </c>
    </row>
    <row r="115" spans="1:11" s="360" customFormat="1" hidden="1">
      <c r="A115" s="356" t="s">
        <v>476</v>
      </c>
      <c r="B115" s="357" t="s">
        <v>2147</v>
      </c>
      <c r="C115" s="358">
        <f>WORK!I908</f>
        <v>0</v>
      </c>
      <c r="D115" s="354" t="s">
        <v>102</v>
      </c>
      <c r="E115" s="355">
        <f>WORK!K908</f>
        <v>865.32</v>
      </c>
      <c r="F115" s="353">
        <f>ROUND(C115*E115/1,0)</f>
        <v>0</v>
      </c>
      <c r="G115" s="353"/>
      <c r="H115" s="353"/>
      <c r="I115" s="368">
        <f>C115-G115</f>
        <v>0</v>
      </c>
      <c r="J115" s="368">
        <f>F115-H115</f>
        <v>0</v>
      </c>
      <c r="K115" s="360" t="s">
        <v>2322</v>
      </c>
    </row>
    <row r="116" spans="1:11" s="360" customFormat="1" hidden="1">
      <c r="A116" s="356" t="s">
        <v>479</v>
      </c>
      <c r="B116" s="357" t="s">
        <v>1222</v>
      </c>
      <c r="C116" s="358">
        <f>WORK!I916</f>
        <v>0</v>
      </c>
      <c r="D116" s="354" t="s">
        <v>102</v>
      </c>
      <c r="E116" s="355">
        <f>WORK!K916</f>
        <v>5224.74</v>
      </c>
      <c r="F116" s="353">
        <f t="shared" si="10"/>
        <v>0</v>
      </c>
      <c r="G116" s="368"/>
      <c r="H116" s="368"/>
      <c r="I116" s="368">
        <f t="shared" si="6"/>
        <v>0</v>
      </c>
      <c r="J116" s="368">
        <f t="shared" si="7"/>
        <v>0</v>
      </c>
      <c r="K116" s="360" t="s">
        <v>2226</v>
      </c>
    </row>
    <row r="117" spans="1:11" s="360" customFormat="1" hidden="1">
      <c r="A117" s="356" t="s">
        <v>479</v>
      </c>
      <c r="B117" s="357" t="s">
        <v>1222</v>
      </c>
      <c r="C117" s="358">
        <f>WORK!I924</f>
        <v>0</v>
      </c>
      <c r="D117" s="354" t="s">
        <v>102</v>
      </c>
      <c r="E117" s="355">
        <f>WORK!K924</f>
        <v>5403.9299999999994</v>
      </c>
      <c r="F117" s="353">
        <f t="shared" si="10"/>
        <v>0</v>
      </c>
      <c r="G117" s="368"/>
      <c r="H117" s="368"/>
      <c r="I117" s="368">
        <f>C117-G117</f>
        <v>0</v>
      </c>
      <c r="J117" s="368">
        <f>F117-H117</f>
        <v>0</v>
      </c>
      <c r="K117" s="360" t="s">
        <v>2308</v>
      </c>
    </row>
    <row r="118" spans="1:11" s="360" customFormat="1" hidden="1">
      <c r="A118" s="356" t="s">
        <v>479</v>
      </c>
      <c r="B118" s="357" t="s">
        <v>1222</v>
      </c>
      <c r="C118" s="358">
        <f>WORK!I932</f>
        <v>0</v>
      </c>
      <c r="D118" s="354" t="s">
        <v>102</v>
      </c>
      <c r="E118" s="355">
        <f>WORK!K932</f>
        <v>5899.35</v>
      </c>
      <c r="F118" s="353">
        <f t="shared" ref="F118:F119" si="11">ROUND(C118*E118/1,0)</f>
        <v>0</v>
      </c>
      <c r="G118" s="368"/>
      <c r="H118" s="368"/>
      <c r="I118" s="368">
        <f>C118-G118</f>
        <v>0</v>
      </c>
      <c r="J118" s="368">
        <f>F118-H118</f>
        <v>0</v>
      </c>
      <c r="K118" s="360" t="s">
        <v>2321</v>
      </c>
    </row>
    <row r="119" spans="1:11" s="360" customFormat="1" hidden="1">
      <c r="A119" s="356" t="s">
        <v>479</v>
      </c>
      <c r="B119" s="357" t="s">
        <v>1222</v>
      </c>
      <c r="C119" s="358">
        <f>WORK!I940</f>
        <v>0</v>
      </c>
      <c r="D119" s="354" t="s">
        <v>102</v>
      </c>
      <c r="E119" s="355">
        <f>WORK!K940</f>
        <v>6281.3700000000008</v>
      </c>
      <c r="F119" s="353">
        <f t="shared" si="11"/>
        <v>0</v>
      </c>
      <c r="G119" s="368"/>
      <c r="H119" s="368"/>
      <c r="I119" s="368">
        <f>C119-G119</f>
        <v>0</v>
      </c>
      <c r="J119" s="368">
        <f>F119-H119</f>
        <v>0</v>
      </c>
      <c r="K119" s="360" t="s">
        <v>2322</v>
      </c>
    </row>
    <row r="120" spans="1:11" s="360" customFormat="1">
      <c r="A120" s="356" t="s">
        <v>479</v>
      </c>
      <c r="B120" s="357" t="s">
        <v>1215</v>
      </c>
      <c r="C120" s="358">
        <f>WORK!I947</f>
        <v>19.310000000000002</v>
      </c>
      <c r="D120" s="354" t="s">
        <v>102</v>
      </c>
      <c r="E120" s="355">
        <f>WORK!K947</f>
        <v>1815.79</v>
      </c>
      <c r="F120" s="353">
        <f t="shared" si="10"/>
        <v>35063</v>
      </c>
      <c r="G120" s="368"/>
      <c r="H120" s="368"/>
      <c r="I120" s="368">
        <f t="shared" si="6"/>
        <v>19.310000000000002</v>
      </c>
      <c r="J120" s="368">
        <f t="shared" si="7"/>
        <v>35063</v>
      </c>
      <c r="K120" s="360" t="s">
        <v>2226</v>
      </c>
    </row>
    <row r="121" spans="1:11" s="360" customFormat="1" hidden="1">
      <c r="A121" s="356" t="s">
        <v>484</v>
      </c>
      <c r="B121" s="357" t="s">
        <v>1215</v>
      </c>
      <c r="C121" s="358">
        <f>WORK!I952</f>
        <v>0</v>
      </c>
      <c r="D121" s="354" t="s">
        <v>102</v>
      </c>
      <c r="E121" s="355">
        <f>WORK!K952</f>
        <v>1966.77</v>
      </c>
      <c r="F121" s="353">
        <f t="shared" si="10"/>
        <v>0</v>
      </c>
      <c r="G121" s="368"/>
      <c r="H121" s="368"/>
      <c r="I121" s="368">
        <f>C121-G121</f>
        <v>0</v>
      </c>
      <c r="J121" s="368">
        <f>F121-H121</f>
        <v>0</v>
      </c>
      <c r="K121" s="360" t="s">
        <v>2308</v>
      </c>
    </row>
    <row r="122" spans="1:11" s="360" customFormat="1" hidden="1">
      <c r="A122" s="356" t="s">
        <v>485</v>
      </c>
      <c r="B122" s="357" t="s">
        <v>1215</v>
      </c>
      <c r="C122" s="358">
        <f>WORK!I958</f>
        <v>0</v>
      </c>
      <c r="D122" s="354" t="s">
        <v>102</v>
      </c>
      <c r="E122" s="355">
        <f>WORK!K958</f>
        <v>2093.16</v>
      </c>
      <c r="F122" s="353">
        <f>ROUND(C122*E122/1,0)</f>
        <v>0</v>
      </c>
      <c r="G122" s="368"/>
      <c r="H122" s="368"/>
      <c r="I122" s="368">
        <f>C122-G122</f>
        <v>0</v>
      </c>
      <c r="J122" s="368">
        <f>F122-H122</f>
        <v>0</v>
      </c>
      <c r="K122" s="360" t="s">
        <v>2321</v>
      </c>
    </row>
    <row r="123" spans="1:11" s="360" customFormat="1" hidden="1">
      <c r="A123" s="356" t="s">
        <v>480</v>
      </c>
      <c r="B123" s="357" t="s">
        <v>1215</v>
      </c>
      <c r="C123" s="358">
        <f>WORK!I964</f>
        <v>0</v>
      </c>
      <c r="D123" s="354" t="s">
        <v>102</v>
      </c>
      <c r="E123" s="355">
        <f>WORK!K964</f>
        <v>2232.9699999999998</v>
      </c>
      <c r="F123" s="353">
        <f>ROUND(C123*E123/1,0)</f>
        <v>0</v>
      </c>
      <c r="G123" s="368"/>
      <c r="H123" s="368"/>
      <c r="I123" s="368">
        <f>C123-G123</f>
        <v>0</v>
      </c>
      <c r="J123" s="368">
        <f>F123-H123</f>
        <v>0</v>
      </c>
      <c r="K123" s="360" t="s">
        <v>2322</v>
      </c>
    </row>
    <row r="124" spans="1:11" s="360" customFormat="1" ht="20.25" customHeight="1">
      <c r="A124" s="356" t="s">
        <v>2476</v>
      </c>
      <c r="B124" s="357" t="s">
        <v>2113</v>
      </c>
      <c r="C124" s="358">
        <f>WORK!I980</f>
        <v>135.33999999999997</v>
      </c>
      <c r="D124" s="354" t="s">
        <v>102</v>
      </c>
      <c r="E124" s="355">
        <f>WORK!K980</f>
        <v>264.94</v>
      </c>
      <c r="F124" s="353">
        <f t="shared" ref="F124:F285" si="12">ROUND(C124*E124,0)</f>
        <v>35857</v>
      </c>
      <c r="G124" s="353"/>
      <c r="H124" s="353"/>
      <c r="I124" s="368">
        <f t="shared" si="6"/>
        <v>135.33999999999997</v>
      </c>
      <c r="J124" s="368">
        <f t="shared" si="7"/>
        <v>35857</v>
      </c>
      <c r="K124" s="360" t="s">
        <v>2226</v>
      </c>
    </row>
    <row r="125" spans="1:11" s="360" customFormat="1" ht="20.25" hidden="1" customHeight="1">
      <c r="A125" s="356" t="s">
        <v>490</v>
      </c>
      <c r="B125" s="357" t="s">
        <v>2113</v>
      </c>
      <c r="C125" s="358">
        <f>WORK!I996</f>
        <v>0</v>
      </c>
      <c r="D125" s="354" t="s">
        <v>102</v>
      </c>
      <c r="E125" s="355">
        <f>WORK!K996</f>
        <v>284</v>
      </c>
      <c r="F125" s="353">
        <f>ROUND(C125*E125,0)</f>
        <v>0</v>
      </c>
      <c r="G125" s="353"/>
      <c r="H125" s="353"/>
      <c r="I125" s="368">
        <f>C125-G125</f>
        <v>0</v>
      </c>
      <c r="J125" s="368">
        <f>F125-H125</f>
        <v>0</v>
      </c>
      <c r="K125" s="360" t="s">
        <v>2308</v>
      </c>
    </row>
    <row r="126" spans="1:11" s="360" customFormat="1" ht="20.25" hidden="1" customHeight="1">
      <c r="A126" s="356" t="s">
        <v>486</v>
      </c>
      <c r="B126" s="357" t="s">
        <v>2113</v>
      </c>
      <c r="C126" s="358">
        <f>WORK!I1009</f>
        <v>0</v>
      </c>
      <c r="D126" s="354" t="s">
        <v>102</v>
      </c>
      <c r="E126" s="355">
        <f>WORK!K1009</f>
        <v>300.93</v>
      </c>
      <c r="F126" s="353">
        <f>ROUND(C126*E126,0)</f>
        <v>0</v>
      </c>
      <c r="G126" s="353"/>
      <c r="H126" s="353"/>
      <c r="I126" s="368">
        <f>C126-G126</f>
        <v>0</v>
      </c>
      <c r="J126" s="368">
        <f>F126-H126</f>
        <v>0</v>
      </c>
      <c r="K126" s="360" t="s">
        <v>2321</v>
      </c>
    </row>
    <row r="127" spans="1:11" s="360" customFormat="1" ht="20.25" hidden="1" customHeight="1">
      <c r="A127" s="356" t="s">
        <v>478</v>
      </c>
      <c r="B127" s="357" t="s">
        <v>2113</v>
      </c>
      <c r="C127" s="358">
        <f>WORK!I1026</f>
        <v>0</v>
      </c>
      <c r="D127" s="354" t="s">
        <v>102</v>
      </c>
      <c r="E127" s="355">
        <f>WORK!K1026</f>
        <v>318.2</v>
      </c>
      <c r="F127" s="353">
        <f>ROUND(C127*E127,0)</f>
        <v>0</v>
      </c>
      <c r="G127" s="353"/>
      <c r="H127" s="353"/>
      <c r="I127" s="368">
        <f>C127-G127</f>
        <v>0</v>
      </c>
      <c r="J127" s="368">
        <f>F127-H127</f>
        <v>0</v>
      </c>
      <c r="K127" s="360" t="s">
        <v>2322</v>
      </c>
    </row>
    <row r="128" spans="1:11" s="360" customFormat="1" ht="20.25" hidden="1" customHeight="1">
      <c r="A128" s="356" t="s">
        <v>502</v>
      </c>
      <c r="B128" s="357" t="s">
        <v>2173</v>
      </c>
      <c r="C128" s="358">
        <f>WORK!I1033</f>
        <v>0</v>
      </c>
      <c r="D128" s="354" t="s">
        <v>102</v>
      </c>
      <c r="E128" s="355">
        <f>WORK!K1033</f>
        <v>242.02</v>
      </c>
      <c r="F128" s="353">
        <f t="shared" si="12"/>
        <v>0</v>
      </c>
      <c r="G128" s="368"/>
      <c r="H128" s="368"/>
      <c r="I128" s="368">
        <f t="shared" si="6"/>
        <v>0</v>
      </c>
      <c r="J128" s="368">
        <f t="shared" si="7"/>
        <v>0</v>
      </c>
      <c r="K128" s="360" t="s">
        <v>2226</v>
      </c>
    </row>
    <row r="129" spans="1:11" s="360" customFormat="1" ht="20.25" hidden="1" customHeight="1">
      <c r="A129" s="356" t="s">
        <v>502</v>
      </c>
      <c r="B129" s="357" t="s">
        <v>2173</v>
      </c>
      <c r="C129" s="358">
        <f>WORK!I1040</f>
        <v>0</v>
      </c>
      <c r="D129" s="354" t="s">
        <v>102</v>
      </c>
      <c r="E129" s="355">
        <f>WORK!K1040</f>
        <v>261.07</v>
      </c>
      <c r="F129" s="353">
        <f>ROUND(C129*E129,0)</f>
        <v>0</v>
      </c>
      <c r="G129" s="368"/>
      <c r="H129" s="368"/>
      <c r="I129" s="368">
        <f>C129-G129</f>
        <v>0</v>
      </c>
      <c r="J129" s="368">
        <f>F129-H129</f>
        <v>0</v>
      </c>
      <c r="K129" s="360" t="s">
        <v>2308</v>
      </c>
    </row>
    <row r="130" spans="1:11" s="360" customFormat="1" ht="20.25" hidden="1" customHeight="1">
      <c r="A130" s="356" t="s">
        <v>502</v>
      </c>
      <c r="B130" s="357" t="s">
        <v>2173</v>
      </c>
      <c r="C130" s="358">
        <f>WORK!I1047</f>
        <v>0</v>
      </c>
      <c r="D130" s="354" t="s">
        <v>102</v>
      </c>
      <c r="E130" s="355">
        <f>WORK!K1047</f>
        <v>277.43</v>
      </c>
      <c r="F130" s="353">
        <f>ROUND(C130*E130,0)</f>
        <v>0</v>
      </c>
      <c r="G130" s="368"/>
      <c r="H130" s="368"/>
      <c r="I130" s="368">
        <f>C130-G130</f>
        <v>0</v>
      </c>
      <c r="J130" s="368">
        <f>F130-H130</f>
        <v>0</v>
      </c>
      <c r="K130" s="360" t="s">
        <v>2321</v>
      </c>
    </row>
    <row r="131" spans="1:11" s="360" customFormat="1" ht="20.25" hidden="1" customHeight="1">
      <c r="A131" s="356" t="s">
        <v>502</v>
      </c>
      <c r="B131" s="357" t="s">
        <v>2173</v>
      </c>
      <c r="C131" s="358">
        <f>WORK!I1054</f>
        <v>0</v>
      </c>
      <c r="D131" s="354" t="s">
        <v>102</v>
      </c>
      <c r="E131" s="355">
        <f>WORK!K1054</f>
        <v>294.70999999999998</v>
      </c>
      <c r="F131" s="353">
        <f>ROUND(C131*E131,0)</f>
        <v>0</v>
      </c>
      <c r="G131" s="368"/>
      <c r="H131" s="368"/>
      <c r="I131" s="368">
        <f>C131-G131</f>
        <v>0</v>
      </c>
      <c r="J131" s="368">
        <f>F131-H131</f>
        <v>0</v>
      </c>
      <c r="K131" s="360" t="s">
        <v>2322</v>
      </c>
    </row>
    <row r="132" spans="1:11" s="360" customFormat="1" ht="20.25" hidden="1" customHeight="1">
      <c r="A132" s="356" t="s">
        <v>480</v>
      </c>
      <c r="B132" s="357" t="s">
        <v>2197</v>
      </c>
      <c r="C132" s="358">
        <f>WORK!I1059</f>
        <v>0</v>
      </c>
      <c r="D132" s="354" t="s">
        <v>102</v>
      </c>
      <c r="E132" s="355">
        <f>WORK!K1059</f>
        <v>259.87</v>
      </c>
      <c r="F132" s="353">
        <f t="shared" si="12"/>
        <v>0</v>
      </c>
      <c r="G132" s="368"/>
      <c r="H132" s="368"/>
      <c r="I132" s="368">
        <f t="shared" si="6"/>
        <v>0</v>
      </c>
      <c r="J132" s="368">
        <f t="shared" si="7"/>
        <v>0</v>
      </c>
      <c r="K132" s="360" t="s">
        <v>2226</v>
      </c>
    </row>
    <row r="133" spans="1:11" s="360" customFormat="1" ht="20.25" hidden="1" customHeight="1">
      <c r="A133" s="356" t="s">
        <v>479</v>
      </c>
      <c r="B133" s="357" t="s">
        <v>2197</v>
      </c>
      <c r="C133" s="358">
        <f>WORK!I1066</f>
        <v>0</v>
      </c>
      <c r="D133" s="354" t="s">
        <v>102</v>
      </c>
      <c r="E133" s="355">
        <f>WORK!K1066</f>
        <v>279.49</v>
      </c>
      <c r="F133" s="353">
        <f>ROUND(C133*E133,0)</f>
        <v>0</v>
      </c>
      <c r="G133" s="368"/>
      <c r="H133" s="368"/>
      <c r="I133" s="368">
        <f>C133-G133</f>
        <v>0</v>
      </c>
      <c r="J133" s="368">
        <f>F133-H133</f>
        <v>0</v>
      </c>
      <c r="K133" s="360" t="s">
        <v>2308</v>
      </c>
    </row>
    <row r="134" spans="1:11" s="360" customFormat="1" ht="20.25" hidden="1" customHeight="1">
      <c r="A134" s="356" t="s">
        <v>479</v>
      </c>
      <c r="B134" s="357" t="s">
        <v>2197</v>
      </c>
      <c r="C134" s="358">
        <f>WORK!I1073</f>
        <v>0</v>
      </c>
      <c r="D134" s="354" t="s">
        <v>102</v>
      </c>
      <c r="E134" s="355">
        <f>WORK!K1073</f>
        <v>297.13</v>
      </c>
      <c r="F134" s="353">
        <f>ROUND(C134*E134,0)</f>
        <v>0</v>
      </c>
      <c r="G134" s="368"/>
      <c r="H134" s="368"/>
      <c r="I134" s="368">
        <f>C134-G134</f>
        <v>0</v>
      </c>
      <c r="J134" s="368">
        <f>F134-H134</f>
        <v>0</v>
      </c>
      <c r="K134" s="360" t="s">
        <v>2321</v>
      </c>
    </row>
    <row r="135" spans="1:11" s="360" customFormat="1" ht="20.25" hidden="1" customHeight="1">
      <c r="A135" s="356" t="s">
        <v>479</v>
      </c>
      <c r="B135" s="357" t="s">
        <v>2197</v>
      </c>
      <c r="C135" s="358">
        <f>WORK!I1078</f>
        <v>0</v>
      </c>
      <c r="D135" s="354" t="s">
        <v>102</v>
      </c>
      <c r="E135" s="355">
        <f>WORK!K1078</f>
        <v>314.89999999999998</v>
      </c>
      <c r="F135" s="353">
        <f>ROUND(C135*E135,0)</f>
        <v>0</v>
      </c>
      <c r="G135" s="368"/>
      <c r="H135" s="368"/>
      <c r="I135" s="368">
        <f>C135-G135</f>
        <v>0</v>
      </c>
      <c r="J135" s="368">
        <f>F135-H135</f>
        <v>0</v>
      </c>
      <c r="K135" s="360" t="s">
        <v>2322</v>
      </c>
    </row>
    <row r="136" spans="1:11" s="360" customFormat="1" ht="20.25" customHeight="1">
      <c r="A136" s="356" t="s">
        <v>480</v>
      </c>
      <c r="B136" s="357" t="s">
        <v>2114</v>
      </c>
      <c r="C136" s="358">
        <f>WORK!I1100</f>
        <v>216.86</v>
      </c>
      <c r="D136" s="354" t="s">
        <v>102</v>
      </c>
      <c r="E136" s="355">
        <f>WORK!K1100</f>
        <v>317.8</v>
      </c>
      <c r="F136" s="353">
        <f t="shared" si="12"/>
        <v>68918</v>
      </c>
      <c r="G136" s="353"/>
      <c r="H136" s="353"/>
      <c r="I136" s="368">
        <f t="shared" si="6"/>
        <v>216.86</v>
      </c>
      <c r="J136" s="368">
        <f t="shared" si="7"/>
        <v>68918</v>
      </c>
      <c r="K136" s="360" t="s">
        <v>2226</v>
      </c>
    </row>
    <row r="137" spans="1:11" s="360" customFormat="1" ht="20.25" hidden="1" customHeight="1">
      <c r="A137" s="356" t="s">
        <v>491</v>
      </c>
      <c r="B137" s="357" t="s">
        <v>2114</v>
      </c>
      <c r="C137" s="358">
        <f>WORK!I1118</f>
        <v>0</v>
      </c>
      <c r="D137" s="354" t="s">
        <v>102</v>
      </c>
      <c r="E137" s="355">
        <f>WORK!K1118</f>
        <v>343.65</v>
      </c>
      <c r="F137" s="353">
        <f>ROUND(C137*E137,0)</f>
        <v>0</v>
      </c>
      <c r="G137" s="353"/>
      <c r="H137" s="353"/>
      <c r="I137" s="368">
        <f>C137-G137</f>
        <v>0</v>
      </c>
      <c r="J137" s="368">
        <f>F137-H137</f>
        <v>0</v>
      </c>
      <c r="K137" s="360" t="s">
        <v>2308</v>
      </c>
    </row>
    <row r="138" spans="1:11" s="360" customFormat="1" ht="20.25" hidden="1" customHeight="1">
      <c r="A138" s="356" t="s">
        <v>487</v>
      </c>
      <c r="B138" s="357" t="s">
        <v>2114</v>
      </c>
      <c r="C138" s="358">
        <f>WORK!I1145</f>
        <v>0</v>
      </c>
      <c r="D138" s="354" t="s">
        <v>102</v>
      </c>
      <c r="E138" s="355">
        <f>WORK!K1145</f>
        <v>364.75</v>
      </c>
      <c r="F138" s="353">
        <f>ROUND(C138*E138,0)</f>
        <v>0</v>
      </c>
      <c r="G138" s="353"/>
      <c r="H138" s="353"/>
      <c r="I138" s="368">
        <f>C138-G138</f>
        <v>0</v>
      </c>
      <c r="J138" s="368">
        <f>F138-H138</f>
        <v>0</v>
      </c>
      <c r="K138" s="360" t="s">
        <v>2321</v>
      </c>
    </row>
    <row r="139" spans="1:11" s="360" customFormat="1" ht="20.25" hidden="1" customHeight="1">
      <c r="A139" s="356" t="s">
        <v>2476</v>
      </c>
      <c r="B139" s="357" t="s">
        <v>2114</v>
      </c>
      <c r="C139" s="358">
        <f>WORK!I1155</f>
        <v>0</v>
      </c>
      <c r="D139" s="354" t="s">
        <v>102</v>
      </c>
      <c r="E139" s="355">
        <f>WORK!K1155</f>
        <v>388.21</v>
      </c>
      <c r="F139" s="353">
        <f>ROUND(C139*E139,0)</f>
        <v>0</v>
      </c>
      <c r="G139" s="353"/>
      <c r="H139" s="353"/>
      <c r="I139" s="368">
        <f>C139-G139</f>
        <v>0</v>
      </c>
      <c r="J139" s="368">
        <f>F139-H139</f>
        <v>0</v>
      </c>
      <c r="K139" s="360" t="s">
        <v>2322</v>
      </c>
    </row>
    <row r="140" spans="1:11" s="360" customFormat="1" ht="20.25" customHeight="1">
      <c r="A140" s="356" t="s">
        <v>482</v>
      </c>
      <c r="B140" s="357" t="s">
        <v>2115</v>
      </c>
      <c r="C140" s="358">
        <f>WORK!I1167</f>
        <v>134.19000000000003</v>
      </c>
      <c r="D140" s="354" t="s">
        <v>102</v>
      </c>
      <c r="E140" s="355">
        <f>WORK!K1167</f>
        <v>331.15</v>
      </c>
      <c r="F140" s="353">
        <f t="shared" si="12"/>
        <v>44437</v>
      </c>
      <c r="G140" s="353"/>
      <c r="H140" s="353"/>
      <c r="I140" s="368">
        <f t="shared" si="6"/>
        <v>134.19000000000003</v>
      </c>
      <c r="J140" s="368">
        <f t="shared" si="7"/>
        <v>44437</v>
      </c>
      <c r="K140" s="360" t="s">
        <v>2226</v>
      </c>
    </row>
    <row r="141" spans="1:11" s="360" customFormat="1" ht="20.25" hidden="1" customHeight="1">
      <c r="A141" s="356" t="s">
        <v>1516</v>
      </c>
      <c r="B141" s="357" t="s">
        <v>2115</v>
      </c>
      <c r="C141" s="358">
        <f>WORK!I1177</f>
        <v>0</v>
      </c>
      <c r="D141" s="354" t="s">
        <v>102</v>
      </c>
      <c r="E141" s="355">
        <f>WORK!K1177</f>
        <v>357.58</v>
      </c>
      <c r="F141" s="353">
        <f>ROUND(C141*E141,0)</f>
        <v>0</v>
      </c>
      <c r="G141" s="353"/>
      <c r="H141" s="353"/>
      <c r="I141" s="368">
        <f>C141-G141</f>
        <v>0</v>
      </c>
      <c r="J141" s="368">
        <f>F141-H141</f>
        <v>0</v>
      </c>
      <c r="K141" s="360" t="s">
        <v>2308</v>
      </c>
    </row>
    <row r="142" spans="1:11" s="360" customFormat="1" ht="20.25" hidden="1" customHeight="1">
      <c r="A142" s="356" t="s">
        <v>488</v>
      </c>
      <c r="B142" s="357" t="s">
        <v>2115</v>
      </c>
      <c r="C142" s="358">
        <f>WORK!I1186</f>
        <v>0</v>
      </c>
      <c r="D142" s="354" t="s">
        <v>102</v>
      </c>
      <c r="E142" s="355">
        <f>WORK!K1186</f>
        <v>380.06</v>
      </c>
      <c r="F142" s="353">
        <f>ROUND(C142*E142,0)</f>
        <v>0</v>
      </c>
      <c r="G142" s="353"/>
      <c r="H142" s="353"/>
      <c r="I142" s="368">
        <f>C142-G142</f>
        <v>0</v>
      </c>
      <c r="J142" s="368">
        <f>F142-H142</f>
        <v>0</v>
      </c>
      <c r="K142" s="360" t="s">
        <v>2321</v>
      </c>
    </row>
    <row r="143" spans="1:11" s="360" customFormat="1" ht="20.25" hidden="1" customHeight="1">
      <c r="A143" s="356" t="s">
        <v>480</v>
      </c>
      <c r="B143" s="357" t="s">
        <v>2115</v>
      </c>
      <c r="C143" s="358">
        <f>WORK!I1201</f>
        <v>0</v>
      </c>
      <c r="D143" s="354" t="s">
        <v>102</v>
      </c>
      <c r="E143" s="355">
        <f>WORK!K1201</f>
        <v>404.02</v>
      </c>
      <c r="F143" s="353">
        <f>ROUND(C143*E143,0)</f>
        <v>0</v>
      </c>
      <c r="G143" s="353"/>
      <c r="H143" s="353"/>
      <c r="I143" s="368">
        <f>C143-G143</f>
        <v>0</v>
      </c>
      <c r="J143" s="368">
        <f>F143-H143</f>
        <v>0</v>
      </c>
      <c r="K143" s="360" t="s">
        <v>2322</v>
      </c>
    </row>
    <row r="144" spans="1:11" s="360" customFormat="1" ht="20.25" hidden="1" customHeight="1">
      <c r="A144" s="356" t="s">
        <v>498</v>
      </c>
      <c r="B144" s="357" t="s">
        <v>507</v>
      </c>
      <c r="C144" s="358">
        <f>WORK!I1232</f>
        <v>0</v>
      </c>
      <c r="D144" s="354" t="s">
        <v>102</v>
      </c>
      <c r="E144" s="355">
        <f>WORK!K1232</f>
        <v>991.04</v>
      </c>
      <c r="F144" s="353">
        <f t="shared" si="12"/>
        <v>0</v>
      </c>
      <c r="G144" s="368"/>
      <c r="H144" s="368"/>
      <c r="I144" s="368">
        <f t="shared" si="6"/>
        <v>0</v>
      </c>
      <c r="J144" s="368">
        <f t="shared" si="7"/>
        <v>0</v>
      </c>
      <c r="K144" s="360" t="s">
        <v>2226</v>
      </c>
    </row>
    <row r="145" spans="1:11" s="360" customFormat="1" ht="20.25" hidden="1" customHeight="1">
      <c r="A145" s="356" t="s">
        <v>484</v>
      </c>
      <c r="B145" s="357" t="s">
        <v>507</v>
      </c>
      <c r="C145" s="358">
        <f>WORK!I1242</f>
        <v>0</v>
      </c>
      <c r="D145" s="354" t="s">
        <v>102</v>
      </c>
      <c r="E145" s="355">
        <f>WORK!K1242</f>
        <v>1019.43</v>
      </c>
      <c r="F145" s="353">
        <f>ROUND(C145*E145,0)</f>
        <v>0</v>
      </c>
      <c r="G145" s="368"/>
      <c r="H145" s="368"/>
      <c r="I145" s="368">
        <f>C145-G145</f>
        <v>0</v>
      </c>
      <c r="J145" s="368">
        <f>F145-H145</f>
        <v>0</v>
      </c>
      <c r="K145" s="360" t="s">
        <v>2308</v>
      </c>
    </row>
    <row r="146" spans="1:11" s="360" customFormat="1" ht="20.25" hidden="1" customHeight="1">
      <c r="A146" s="356" t="s">
        <v>489</v>
      </c>
      <c r="B146" s="357" t="s">
        <v>507</v>
      </c>
      <c r="C146" s="358">
        <f>WORK!I1250</f>
        <v>0</v>
      </c>
      <c r="D146" s="354" t="s">
        <v>102</v>
      </c>
      <c r="E146" s="355">
        <f>WORK!K1250</f>
        <v>1041.26</v>
      </c>
      <c r="F146" s="353">
        <f>ROUND(C146*E146,0)</f>
        <v>0</v>
      </c>
      <c r="G146" s="368"/>
      <c r="H146" s="368"/>
      <c r="I146" s="368">
        <f>C146-G146</f>
        <v>0</v>
      </c>
      <c r="J146" s="368">
        <f>F146-H146</f>
        <v>0</v>
      </c>
      <c r="K146" s="360" t="s">
        <v>2321</v>
      </c>
    </row>
    <row r="147" spans="1:11" s="360" customFormat="1" ht="20.25" hidden="1" customHeight="1">
      <c r="A147" s="356" t="s">
        <v>482</v>
      </c>
      <c r="B147" s="357" t="s">
        <v>507</v>
      </c>
      <c r="C147" s="358">
        <f>WORK!I1259</f>
        <v>0</v>
      </c>
      <c r="D147" s="354" t="s">
        <v>102</v>
      </c>
      <c r="E147" s="355">
        <f>WORK!K1259</f>
        <v>1067.3599999999999</v>
      </c>
      <c r="F147" s="353">
        <f>ROUND(C147*E147,0)</f>
        <v>0</v>
      </c>
      <c r="G147" s="368"/>
      <c r="H147" s="368"/>
      <c r="I147" s="368">
        <f>C147-G147</f>
        <v>0</v>
      </c>
      <c r="J147" s="368">
        <f>F147-H147</f>
        <v>0</v>
      </c>
      <c r="K147" s="360" t="s">
        <v>2322</v>
      </c>
    </row>
    <row r="148" spans="1:11" s="360" customFormat="1" ht="20.25" hidden="1" customHeight="1">
      <c r="A148" s="356" t="s">
        <v>499</v>
      </c>
      <c r="B148" s="357" t="s">
        <v>2116</v>
      </c>
      <c r="C148" s="358">
        <f>WORK!I1266</f>
        <v>0</v>
      </c>
      <c r="D148" s="354" t="s">
        <v>102</v>
      </c>
      <c r="E148" s="355">
        <f>WORK!K1266</f>
        <v>986.97</v>
      </c>
      <c r="F148" s="353">
        <f t="shared" si="12"/>
        <v>0</v>
      </c>
      <c r="G148" s="368"/>
      <c r="H148" s="368"/>
      <c r="I148" s="368">
        <f t="shared" si="6"/>
        <v>0</v>
      </c>
      <c r="J148" s="368">
        <f t="shared" si="7"/>
        <v>0</v>
      </c>
      <c r="K148" s="360" t="s">
        <v>2226</v>
      </c>
    </row>
    <row r="149" spans="1:11" s="360" customFormat="1" ht="20.25" hidden="1" customHeight="1">
      <c r="A149" s="356" t="s">
        <v>485</v>
      </c>
      <c r="B149" s="357" t="s">
        <v>2116</v>
      </c>
      <c r="C149" s="358">
        <f>WORK!I1278</f>
        <v>0</v>
      </c>
      <c r="D149" s="354" t="s">
        <v>102</v>
      </c>
      <c r="E149" s="355">
        <f>WORK!K1278</f>
        <v>1015.1</v>
      </c>
      <c r="F149" s="353">
        <f>ROUND(C149*E149,0)</f>
        <v>0</v>
      </c>
      <c r="G149" s="368"/>
      <c r="H149" s="368"/>
      <c r="I149" s="368">
        <f>C149-G149</f>
        <v>0</v>
      </c>
      <c r="J149" s="368">
        <f>F149-H149</f>
        <v>0</v>
      </c>
      <c r="K149" s="360" t="s">
        <v>2308</v>
      </c>
    </row>
    <row r="150" spans="1:11" s="360" customFormat="1" ht="20.25" hidden="1" customHeight="1">
      <c r="A150" s="356" t="s">
        <v>490</v>
      </c>
      <c r="B150" s="357" t="s">
        <v>2116</v>
      </c>
      <c r="C150" s="358">
        <f>WORK!I1289</f>
        <v>0</v>
      </c>
      <c r="D150" s="354" t="s">
        <v>102</v>
      </c>
      <c r="E150" s="355">
        <f>WORK!K1289</f>
        <v>1036.32</v>
      </c>
      <c r="F150" s="353">
        <f>ROUND(C150*E150,0)</f>
        <v>0</v>
      </c>
      <c r="G150" s="368"/>
      <c r="H150" s="368"/>
      <c r="I150" s="368">
        <f>C150-G150</f>
        <v>0</v>
      </c>
      <c r="J150" s="368">
        <f>F150-H150</f>
        <v>0</v>
      </c>
      <c r="K150" s="360" t="s">
        <v>2321</v>
      </c>
    </row>
    <row r="151" spans="1:11" s="360" customFormat="1" ht="20.25" hidden="1" customHeight="1">
      <c r="A151" s="356" t="s">
        <v>483</v>
      </c>
      <c r="B151" s="357" t="s">
        <v>2116</v>
      </c>
      <c r="C151" s="358">
        <f>WORK!I1299</f>
        <v>0</v>
      </c>
      <c r="D151" s="354" t="s">
        <v>102</v>
      </c>
      <c r="E151" s="355">
        <f>WORK!K1299</f>
        <v>1062.03</v>
      </c>
      <c r="F151" s="353">
        <f>ROUND(C151*E151,0)</f>
        <v>0</v>
      </c>
      <c r="G151" s="368"/>
      <c r="H151" s="368"/>
      <c r="I151" s="368">
        <f>C151-G151</f>
        <v>0</v>
      </c>
      <c r="J151" s="368">
        <f>F151-H151</f>
        <v>0</v>
      </c>
      <c r="K151" s="360" t="s">
        <v>2322</v>
      </c>
    </row>
    <row r="152" spans="1:11" s="360" customFormat="1" ht="20.25" customHeight="1">
      <c r="A152" s="356" t="s">
        <v>483</v>
      </c>
      <c r="B152" s="357" t="s">
        <v>708</v>
      </c>
      <c r="C152" s="358">
        <f>WORK!I1312</f>
        <v>111.85000000000002</v>
      </c>
      <c r="D152" s="354" t="s">
        <v>77</v>
      </c>
      <c r="E152" s="355">
        <f>WORK!K1312</f>
        <v>2828.1</v>
      </c>
      <c r="F152" s="353">
        <f t="shared" si="12"/>
        <v>316323</v>
      </c>
      <c r="G152" s="368"/>
      <c r="H152" s="368"/>
      <c r="I152" s="368">
        <f t="shared" si="6"/>
        <v>111.85000000000002</v>
      </c>
      <c r="J152" s="368">
        <f t="shared" si="7"/>
        <v>316323</v>
      </c>
      <c r="K152" s="360" t="s">
        <v>2226</v>
      </c>
    </row>
    <row r="153" spans="1:11" s="360" customFormat="1" ht="20.25" hidden="1" customHeight="1">
      <c r="A153" s="356" t="s">
        <v>489</v>
      </c>
      <c r="B153" s="357" t="s">
        <v>708</v>
      </c>
      <c r="C153" s="358">
        <f>WORK!I1323</f>
        <v>0</v>
      </c>
      <c r="D153" s="354" t="s">
        <v>77</v>
      </c>
      <c r="E153" s="355">
        <f>WORK!K1323</f>
        <v>2886.61</v>
      </c>
      <c r="F153" s="353">
        <f>ROUND(C153*E153,0)</f>
        <v>0</v>
      </c>
      <c r="G153" s="368"/>
      <c r="H153" s="368"/>
      <c r="I153" s="368">
        <f>C153-G153</f>
        <v>0</v>
      </c>
      <c r="J153" s="368">
        <f>F153-H153</f>
        <v>0</v>
      </c>
      <c r="K153" s="360" t="s">
        <v>2308</v>
      </c>
    </row>
    <row r="154" spans="1:11" s="360" customFormat="1" ht="20.25" hidden="1" customHeight="1">
      <c r="A154" s="356" t="s">
        <v>491</v>
      </c>
      <c r="B154" s="357" t="s">
        <v>708</v>
      </c>
      <c r="C154" s="358">
        <f>WORK!I1328</f>
        <v>0</v>
      </c>
      <c r="D154" s="354" t="s">
        <v>77</v>
      </c>
      <c r="E154" s="355">
        <f>WORK!K1328</f>
        <v>2942.62</v>
      </c>
      <c r="F154" s="353">
        <f>ROUND(C154*E154,0)</f>
        <v>0</v>
      </c>
      <c r="G154" s="368"/>
      <c r="H154" s="368"/>
      <c r="I154" s="368">
        <f>C154-G154</f>
        <v>0</v>
      </c>
      <c r="J154" s="368">
        <f>F154-H154</f>
        <v>0</v>
      </c>
      <c r="K154" s="360" t="s">
        <v>2321</v>
      </c>
    </row>
    <row r="155" spans="1:11" s="360" customFormat="1" ht="20.25" hidden="1" customHeight="1">
      <c r="A155" s="356" t="s">
        <v>484</v>
      </c>
      <c r="B155" s="357" t="s">
        <v>708</v>
      </c>
      <c r="C155" s="358">
        <f>WORK!I1344</f>
        <v>0</v>
      </c>
      <c r="D155" s="354" t="s">
        <v>77</v>
      </c>
      <c r="E155" s="355">
        <f>WORK!K1344</f>
        <v>3115.07</v>
      </c>
      <c r="F155" s="353">
        <f>ROUND(C155*E155,0)</f>
        <v>0</v>
      </c>
      <c r="G155" s="368"/>
      <c r="H155" s="368"/>
      <c r="I155" s="368">
        <f>C155-G155</f>
        <v>0</v>
      </c>
      <c r="J155" s="368">
        <f>F155-H155</f>
        <v>0</v>
      </c>
      <c r="K155" s="360" t="s">
        <v>2322</v>
      </c>
    </row>
    <row r="156" spans="1:11" s="360" customFormat="1" ht="20.25" customHeight="1">
      <c r="A156" s="356" t="s">
        <v>484</v>
      </c>
      <c r="B156" s="357" t="s">
        <v>2116</v>
      </c>
      <c r="C156" s="358">
        <f>WORK!I1357</f>
        <v>9.15</v>
      </c>
      <c r="D156" s="354" t="s">
        <v>102</v>
      </c>
      <c r="E156" s="355">
        <f>WORK!K1357</f>
        <v>2667.63</v>
      </c>
      <c r="F156" s="353">
        <f t="shared" si="12"/>
        <v>24409</v>
      </c>
      <c r="G156" s="368"/>
      <c r="H156" s="368"/>
      <c r="I156" s="368">
        <f t="shared" si="6"/>
        <v>9.15</v>
      </c>
      <c r="J156" s="368">
        <f t="shared" si="7"/>
        <v>24409</v>
      </c>
      <c r="K156" s="360" t="s">
        <v>2226</v>
      </c>
    </row>
    <row r="157" spans="1:11" s="360" customFormat="1" ht="20.25" hidden="1" customHeight="1">
      <c r="A157" s="356" t="s">
        <v>490</v>
      </c>
      <c r="B157" s="357" t="s">
        <v>2116</v>
      </c>
      <c r="C157" s="358">
        <f>WORK!I1367</f>
        <v>0</v>
      </c>
      <c r="D157" s="354" t="s">
        <v>102</v>
      </c>
      <c r="E157" s="355">
        <f>WORK!K1367</f>
        <v>2708.07</v>
      </c>
      <c r="F157" s="353">
        <f>ROUND(C157*E157,0)</f>
        <v>0</v>
      </c>
      <c r="G157" s="368"/>
      <c r="H157" s="368"/>
      <c r="I157" s="368">
        <f>C157-G157</f>
        <v>0</v>
      </c>
      <c r="J157" s="368">
        <f>F157-H157</f>
        <v>0</v>
      </c>
      <c r="K157" s="360" t="s">
        <v>2308</v>
      </c>
    </row>
    <row r="158" spans="1:11" s="360" customFormat="1" ht="20.25" hidden="1" customHeight="1">
      <c r="A158" s="356" t="s">
        <v>1516</v>
      </c>
      <c r="B158" s="357" t="s">
        <v>2116</v>
      </c>
      <c r="C158" s="358">
        <f>WORK!I1372</f>
        <v>0</v>
      </c>
      <c r="D158" s="354" t="s">
        <v>102</v>
      </c>
      <c r="E158" s="355">
        <f>WORK!K1372</f>
        <v>2747.34</v>
      </c>
      <c r="F158" s="353">
        <f>ROUND(C158*E158,0)</f>
        <v>0</v>
      </c>
      <c r="G158" s="368"/>
      <c r="H158" s="368"/>
      <c r="I158" s="368">
        <f>C158-G158</f>
        <v>0</v>
      </c>
      <c r="J158" s="368">
        <f>F158-H158</f>
        <v>0</v>
      </c>
      <c r="K158" s="360" t="s">
        <v>2321</v>
      </c>
    </row>
    <row r="159" spans="1:11" s="360" customFormat="1" ht="20.25" hidden="1" customHeight="1">
      <c r="A159" s="356" t="s">
        <v>485</v>
      </c>
      <c r="B159" s="357" t="s">
        <v>2116</v>
      </c>
      <c r="C159" s="358">
        <f>WORK!I1386</f>
        <v>0</v>
      </c>
      <c r="D159" s="354" t="s">
        <v>102</v>
      </c>
      <c r="E159" s="355">
        <f>WORK!K1386</f>
        <v>2905.43</v>
      </c>
      <c r="F159" s="353">
        <f>ROUND(C159*E159,0)</f>
        <v>0</v>
      </c>
      <c r="G159" s="368"/>
      <c r="H159" s="368"/>
      <c r="I159" s="368">
        <f>C159-G159</f>
        <v>0</v>
      </c>
      <c r="J159" s="368">
        <f>F159-H159</f>
        <v>0</v>
      </c>
      <c r="K159" s="360" t="s">
        <v>2322</v>
      </c>
    </row>
    <row r="160" spans="1:11" s="360" customFormat="1" ht="20.25" hidden="1" customHeight="1">
      <c r="A160" s="356" t="s">
        <v>498</v>
      </c>
      <c r="B160" s="357" t="s">
        <v>710</v>
      </c>
      <c r="C160" s="358">
        <f>WORK!I1393</f>
        <v>0</v>
      </c>
      <c r="D160" s="354" t="s">
        <v>102</v>
      </c>
      <c r="E160" s="355">
        <f>WORK!K1393</f>
        <v>605.58000000000004</v>
      </c>
      <c r="F160" s="353">
        <f t="shared" si="12"/>
        <v>0</v>
      </c>
      <c r="G160" s="368"/>
      <c r="H160" s="368"/>
      <c r="I160" s="368">
        <f t="shared" si="6"/>
        <v>0</v>
      </c>
      <c r="J160" s="368">
        <f t="shared" si="7"/>
        <v>0</v>
      </c>
      <c r="K160" s="360" t="s">
        <v>2226</v>
      </c>
    </row>
    <row r="161" spans="1:11" s="360" customFormat="1" ht="20.25" hidden="1" customHeight="1">
      <c r="A161" s="356" t="s">
        <v>498</v>
      </c>
      <c r="B161" s="357" t="s">
        <v>710</v>
      </c>
      <c r="C161" s="358">
        <f>WORK!I1403</f>
        <v>0</v>
      </c>
      <c r="D161" s="354" t="s">
        <v>102</v>
      </c>
      <c r="E161" s="355">
        <f>WORK!K1403</f>
        <v>646.33000000000004</v>
      </c>
      <c r="F161" s="353">
        <f>ROUND(C161*E161,0)</f>
        <v>0</v>
      </c>
      <c r="G161" s="368"/>
      <c r="H161" s="368"/>
      <c r="I161" s="368">
        <f>C161-G161</f>
        <v>0</v>
      </c>
      <c r="J161" s="368">
        <f>F161-H161</f>
        <v>0</v>
      </c>
      <c r="K161" s="360" t="s">
        <v>2308</v>
      </c>
    </row>
    <row r="162" spans="1:11" s="360" customFormat="1" ht="20.25" hidden="1" customHeight="1">
      <c r="A162" s="356" t="s">
        <v>498</v>
      </c>
      <c r="B162" s="357" t="s">
        <v>710</v>
      </c>
      <c r="C162" s="358">
        <f>WORK!I1410</f>
        <v>0</v>
      </c>
      <c r="D162" s="354" t="s">
        <v>102</v>
      </c>
      <c r="E162" s="355">
        <f>WORK!K1410</f>
        <v>653.95000000000005</v>
      </c>
      <c r="F162" s="353">
        <f>ROUND(C162*E162,0)</f>
        <v>0</v>
      </c>
      <c r="G162" s="368"/>
      <c r="H162" s="368"/>
      <c r="I162" s="368">
        <f>C162-G162</f>
        <v>0</v>
      </c>
      <c r="J162" s="368">
        <f>F162-H162</f>
        <v>0</v>
      </c>
      <c r="K162" s="360" t="s">
        <v>2321</v>
      </c>
    </row>
    <row r="163" spans="1:11" s="360" customFormat="1" ht="20.25" hidden="1" customHeight="1">
      <c r="A163" s="356" t="s">
        <v>498</v>
      </c>
      <c r="B163" s="357" t="s">
        <v>710</v>
      </c>
      <c r="C163" s="358">
        <f>WORK!I1417</f>
        <v>0</v>
      </c>
      <c r="D163" s="354" t="s">
        <v>102</v>
      </c>
      <c r="E163" s="355">
        <f>WORK!K1417</f>
        <v>744.7</v>
      </c>
      <c r="F163" s="353">
        <f>ROUND(C163*E163,0)</f>
        <v>0</v>
      </c>
      <c r="G163" s="368"/>
      <c r="H163" s="368"/>
      <c r="I163" s="368">
        <f>C163-G163</f>
        <v>0</v>
      </c>
      <c r="J163" s="368">
        <f>F163-H163</f>
        <v>0</v>
      </c>
      <c r="K163" s="360" t="s">
        <v>2322</v>
      </c>
    </row>
    <row r="164" spans="1:11" s="360" customFormat="1" ht="20.25" hidden="1" customHeight="1">
      <c r="A164" s="356" t="s">
        <v>499</v>
      </c>
      <c r="B164" s="357" t="s">
        <v>2116</v>
      </c>
      <c r="C164" s="358">
        <f>WORK!I1424</f>
        <v>0</v>
      </c>
      <c r="D164" s="354" t="s">
        <v>102</v>
      </c>
      <c r="E164" s="355">
        <f>WORK!K1424</f>
        <v>623.66999999999996</v>
      </c>
      <c r="F164" s="353">
        <f t="shared" si="12"/>
        <v>0</v>
      </c>
      <c r="G164" s="368"/>
      <c r="H164" s="368"/>
      <c r="I164" s="368">
        <f t="shared" si="6"/>
        <v>0</v>
      </c>
      <c r="J164" s="368">
        <f t="shared" si="7"/>
        <v>0</v>
      </c>
      <c r="K164" s="360" t="s">
        <v>2226</v>
      </c>
    </row>
    <row r="165" spans="1:11" s="360" customFormat="1" ht="20.25" hidden="1" customHeight="1">
      <c r="A165" s="356" t="s">
        <v>499</v>
      </c>
      <c r="B165" s="357" t="s">
        <v>2116</v>
      </c>
      <c r="C165" s="358">
        <f>WORK!I1432</f>
        <v>0</v>
      </c>
      <c r="D165" s="354" t="s">
        <v>102</v>
      </c>
      <c r="E165" s="355">
        <f>WORK!K1432</f>
        <v>651.79999999999995</v>
      </c>
      <c r="F165" s="353">
        <f>ROUND(C165*E165,0)</f>
        <v>0</v>
      </c>
      <c r="G165" s="368"/>
      <c r="H165" s="368"/>
      <c r="I165" s="368">
        <f>C165-G165</f>
        <v>0</v>
      </c>
      <c r="J165" s="368">
        <f>F165-H165</f>
        <v>0</v>
      </c>
      <c r="K165" s="360" t="s">
        <v>2308</v>
      </c>
    </row>
    <row r="166" spans="1:11" s="360" customFormat="1" ht="20.25" hidden="1" customHeight="1">
      <c r="A166" s="356" t="s">
        <v>499</v>
      </c>
      <c r="B166" s="357" t="s">
        <v>2116</v>
      </c>
      <c r="C166" s="358">
        <f>WORK!I1439</f>
        <v>0</v>
      </c>
      <c r="D166" s="354" t="s">
        <v>102</v>
      </c>
      <c r="E166" s="355">
        <f>WORK!K1439</f>
        <v>673.02</v>
      </c>
      <c r="F166" s="353">
        <f>ROUND(C166*E166,0)</f>
        <v>0</v>
      </c>
      <c r="G166" s="368"/>
      <c r="H166" s="368"/>
      <c r="I166" s="368">
        <f>C166-G166</f>
        <v>0</v>
      </c>
      <c r="J166" s="368">
        <f>F166-H166</f>
        <v>0</v>
      </c>
      <c r="K166" s="360" t="s">
        <v>2321</v>
      </c>
    </row>
    <row r="167" spans="1:11" s="360" customFormat="1" ht="20.25" hidden="1" customHeight="1">
      <c r="A167" s="356" t="s">
        <v>499</v>
      </c>
      <c r="B167" s="357" t="s">
        <v>2116</v>
      </c>
      <c r="C167" s="358">
        <f>WORK!I1446</f>
        <v>0</v>
      </c>
      <c r="D167" s="354" t="s">
        <v>102</v>
      </c>
      <c r="E167" s="355">
        <f>WORK!K1446</f>
        <v>750.18</v>
      </c>
      <c r="F167" s="353">
        <f>ROUND(C167*E167,0)</f>
        <v>0</v>
      </c>
      <c r="G167" s="368"/>
      <c r="H167" s="368"/>
      <c r="I167" s="368">
        <f>C167-G167</f>
        <v>0</v>
      </c>
      <c r="J167" s="368">
        <f>F167-H167</f>
        <v>0</v>
      </c>
      <c r="K167" s="360" t="s">
        <v>2322</v>
      </c>
    </row>
    <row r="168" spans="1:11" s="360" customFormat="1" ht="20.25" hidden="1" customHeight="1">
      <c r="A168" s="356" t="s">
        <v>512</v>
      </c>
      <c r="B168" s="357" t="s">
        <v>2117</v>
      </c>
      <c r="C168" s="358">
        <f>WORK!I1452</f>
        <v>0</v>
      </c>
      <c r="D168" s="354" t="s">
        <v>102</v>
      </c>
      <c r="E168" s="355">
        <f>WORK!K1452</f>
        <v>726.78</v>
      </c>
      <c r="F168" s="353">
        <f t="shared" si="12"/>
        <v>0</v>
      </c>
      <c r="G168" s="368"/>
      <c r="H168" s="368"/>
      <c r="I168" s="368">
        <f t="shared" si="6"/>
        <v>0</v>
      </c>
      <c r="J168" s="368">
        <f t="shared" si="7"/>
        <v>0</v>
      </c>
      <c r="K168" s="360" t="s">
        <v>2226</v>
      </c>
    </row>
    <row r="169" spans="1:11" s="360" customFormat="1" ht="20.25" hidden="1" customHeight="1">
      <c r="A169" s="356" t="s">
        <v>487</v>
      </c>
      <c r="B169" s="357" t="s">
        <v>2117</v>
      </c>
      <c r="C169" s="358">
        <f>WORK!I1457</f>
        <v>0</v>
      </c>
      <c r="D169" s="354" t="s">
        <v>102</v>
      </c>
      <c r="E169" s="355">
        <f>WORK!K1457</f>
        <v>754.91</v>
      </c>
      <c r="F169" s="353">
        <f>ROUND(C169*E169,0)</f>
        <v>0</v>
      </c>
      <c r="G169" s="368"/>
      <c r="H169" s="368"/>
      <c r="I169" s="368">
        <f>C169-G169</f>
        <v>0</v>
      </c>
      <c r="J169" s="368">
        <f>F169-H169</f>
        <v>0</v>
      </c>
      <c r="K169" s="360" t="s">
        <v>2308</v>
      </c>
    </row>
    <row r="170" spans="1:11" s="360" customFormat="1" ht="20.25" hidden="1" customHeight="1">
      <c r="A170" s="356" t="s">
        <v>492</v>
      </c>
      <c r="B170" s="357" t="s">
        <v>2117</v>
      </c>
      <c r="C170" s="358">
        <f>WORK!I1464</f>
        <v>0</v>
      </c>
      <c r="D170" s="354" t="s">
        <v>102</v>
      </c>
      <c r="E170" s="355">
        <f>WORK!K1464</f>
        <v>776.13</v>
      </c>
      <c r="F170" s="353">
        <f>ROUND(C170*E170,0)</f>
        <v>0</v>
      </c>
      <c r="G170" s="368"/>
      <c r="H170" s="368"/>
      <c r="I170" s="368">
        <f>C170-G170</f>
        <v>0</v>
      </c>
      <c r="J170" s="368">
        <f>F170-H170</f>
        <v>0</v>
      </c>
      <c r="K170" s="360" t="s">
        <v>2321</v>
      </c>
    </row>
    <row r="171" spans="1:11" s="360" customFormat="1" ht="20.25" hidden="1" customHeight="1">
      <c r="A171" s="356" t="s">
        <v>488</v>
      </c>
      <c r="B171" s="357" t="s">
        <v>2117</v>
      </c>
      <c r="C171" s="358">
        <f>WORK!I1469</f>
        <v>0</v>
      </c>
      <c r="D171" s="354" t="s">
        <v>102</v>
      </c>
      <c r="E171" s="355">
        <f>WORK!K1469</f>
        <v>801.83</v>
      </c>
      <c r="F171" s="353">
        <f>ROUND(C171*E171,0)</f>
        <v>0</v>
      </c>
      <c r="G171" s="368"/>
      <c r="H171" s="368"/>
      <c r="I171" s="368">
        <f>C171-G171</f>
        <v>0</v>
      </c>
      <c r="J171" s="368">
        <f>F171-H171</f>
        <v>0</v>
      </c>
      <c r="K171" s="360" t="s">
        <v>2322</v>
      </c>
    </row>
    <row r="172" spans="1:11" s="360" customFormat="1" ht="20.25" hidden="1" customHeight="1">
      <c r="A172" s="356" t="s">
        <v>486</v>
      </c>
      <c r="B172" s="357" t="s">
        <v>2116</v>
      </c>
      <c r="C172" s="358">
        <f>WORK!I1476</f>
        <v>0</v>
      </c>
      <c r="D172" s="354" t="s">
        <v>102</v>
      </c>
      <c r="E172" s="355">
        <f>WORK!K1476</f>
        <v>487.61</v>
      </c>
      <c r="F172" s="353">
        <f t="shared" si="12"/>
        <v>0</v>
      </c>
      <c r="G172" s="368"/>
      <c r="H172" s="368"/>
      <c r="I172" s="368">
        <f t="shared" si="6"/>
        <v>0</v>
      </c>
      <c r="J172" s="368">
        <f t="shared" si="7"/>
        <v>0</v>
      </c>
      <c r="K172" s="360" t="s">
        <v>2226</v>
      </c>
    </row>
    <row r="173" spans="1:11" s="360" customFormat="1" ht="20.25" hidden="1" customHeight="1">
      <c r="A173" s="356" t="s">
        <v>486</v>
      </c>
      <c r="B173" s="357" t="s">
        <v>2116</v>
      </c>
      <c r="C173" s="358">
        <f>WORK!I1483</f>
        <v>0</v>
      </c>
      <c r="D173" s="354" t="s">
        <v>102</v>
      </c>
      <c r="E173" s="355">
        <f>WORK!K1483</f>
        <v>496.21</v>
      </c>
      <c r="F173" s="353">
        <f>ROUND(C173*E173,0)</f>
        <v>0</v>
      </c>
      <c r="G173" s="368"/>
      <c r="H173" s="368"/>
      <c r="I173" s="368">
        <f>C173-G173</f>
        <v>0</v>
      </c>
      <c r="J173" s="368">
        <f>F173-H173</f>
        <v>0</v>
      </c>
      <c r="K173" s="360" t="s">
        <v>2308</v>
      </c>
    </row>
    <row r="174" spans="1:11" s="360" customFormat="1" ht="20.25" hidden="1" customHeight="1">
      <c r="A174" s="356" t="s">
        <v>493</v>
      </c>
      <c r="B174" s="357" t="s">
        <v>2116</v>
      </c>
      <c r="C174" s="358">
        <f>WORK!I1488</f>
        <v>0</v>
      </c>
      <c r="D174" s="354" t="s">
        <v>102</v>
      </c>
      <c r="E174" s="355">
        <f>WORK!K1488</f>
        <v>503.67</v>
      </c>
      <c r="F174" s="353">
        <f>ROUND(C174*E174,0)</f>
        <v>0</v>
      </c>
      <c r="G174" s="368"/>
      <c r="H174" s="368"/>
      <c r="I174" s="368">
        <f>C174-G174</f>
        <v>0</v>
      </c>
      <c r="J174" s="368">
        <f>F174-H174</f>
        <v>0</v>
      </c>
      <c r="K174" s="360" t="s">
        <v>2321</v>
      </c>
    </row>
    <row r="175" spans="1:11" s="360" customFormat="1" ht="20.25" hidden="1" customHeight="1">
      <c r="A175" s="356" t="s">
        <v>486</v>
      </c>
      <c r="B175" s="357" t="s">
        <v>2116</v>
      </c>
      <c r="C175" s="358">
        <f>WORK!I1494</f>
        <v>0</v>
      </c>
      <c r="D175" s="354" t="s">
        <v>102</v>
      </c>
      <c r="E175" s="355">
        <f>WORK!K1494</f>
        <v>518.15</v>
      </c>
      <c r="F175" s="353">
        <f>ROUND(C175*E175,0)</f>
        <v>0</v>
      </c>
      <c r="G175" s="368"/>
      <c r="H175" s="368"/>
      <c r="I175" s="368">
        <f>C175-G175</f>
        <v>0</v>
      </c>
      <c r="J175" s="368">
        <f>F175-H175</f>
        <v>0</v>
      </c>
      <c r="K175" s="360" t="s">
        <v>2322</v>
      </c>
    </row>
    <row r="176" spans="1:11" s="360" customFormat="1" ht="20.25" customHeight="1">
      <c r="A176" s="356" t="s">
        <v>485</v>
      </c>
      <c r="B176" s="357" t="s">
        <v>1223</v>
      </c>
      <c r="C176" s="358">
        <f>WORK!I1501</f>
        <v>19.310000000000002</v>
      </c>
      <c r="D176" s="354" t="s">
        <v>102</v>
      </c>
      <c r="E176" s="355">
        <f>WORK!K1501</f>
        <v>911.63</v>
      </c>
      <c r="F176" s="353">
        <f t="shared" si="12"/>
        <v>17604</v>
      </c>
      <c r="G176" s="368"/>
      <c r="H176" s="368"/>
      <c r="I176" s="368">
        <f t="shared" si="6"/>
        <v>19.310000000000002</v>
      </c>
      <c r="J176" s="368">
        <f t="shared" si="7"/>
        <v>17604</v>
      </c>
      <c r="K176" s="360" t="s">
        <v>2226</v>
      </c>
    </row>
    <row r="177" spans="1:11" s="360" customFormat="1" ht="20.25" hidden="1" customHeight="1">
      <c r="A177" s="356" t="s">
        <v>491</v>
      </c>
      <c r="B177" s="357" t="s">
        <v>1223</v>
      </c>
      <c r="C177" s="358">
        <f>WORK!I1507</f>
        <v>0</v>
      </c>
      <c r="D177" s="354" t="s">
        <v>102</v>
      </c>
      <c r="E177" s="355">
        <f>WORK!K1507</f>
        <v>950.67</v>
      </c>
      <c r="F177" s="353">
        <f>ROUND(C177*E177,0)</f>
        <v>0</v>
      </c>
      <c r="G177" s="368"/>
      <c r="H177" s="368"/>
      <c r="I177" s="368">
        <f>C177-G177</f>
        <v>0</v>
      </c>
      <c r="J177" s="368">
        <f>F177-H177</f>
        <v>0</v>
      </c>
      <c r="K177" s="360" t="s">
        <v>2308</v>
      </c>
    </row>
    <row r="178" spans="1:11" s="360" customFormat="1" ht="20.25" hidden="1" customHeight="1">
      <c r="A178" s="356" t="s">
        <v>494</v>
      </c>
      <c r="B178" s="357" t="s">
        <v>1223</v>
      </c>
      <c r="C178" s="358">
        <f>WORK!I1513</f>
        <v>0</v>
      </c>
      <c r="D178" s="354" t="s">
        <v>102</v>
      </c>
      <c r="E178" s="355">
        <f>WORK!K1513</f>
        <v>981.79</v>
      </c>
      <c r="F178" s="353">
        <f>ROUND(C178*E178,0)</f>
        <v>0</v>
      </c>
      <c r="G178" s="368"/>
      <c r="H178" s="368"/>
      <c r="I178" s="368">
        <f>C178-G178</f>
        <v>0</v>
      </c>
      <c r="J178" s="368">
        <f>F178-H178</f>
        <v>0</v>
      </c>
      <c r="K178" s="360" t="s">
        <v>2321</v>
      </c>
    </row>
    <row r="179" spans="1:11" s="360" customFormat="1" ht="20.25" hidden="1" customHeight="1">
      <c r="A179" s="356" t="s">
        <v>489</v>
      </c>
      <c r="B179" s="357" t="s">
        <v>1223</v>
      </c>
      <c r="C179" s="358">
        <f>WORK!I1520</f>
        <v>0</v>
      </c>
      <c r="D179" s="354" t="s">
        <v>102</v>
      </c>
      <c r="E179" s="355">
        <f>WORK!K1520</f>
        <v>1017.93</v>
      </c>
      <c r="F179" s="353">
        <f>ROUND(C179*E179,0)</f>
        <v>0</v>
      </c>
      <c r="G179" s="368"/>
      <c r="H179" s="368"/>
      <c r="I179" s="368">
        <f>C179-G179</f>
        <v>0</v>
      </c>
      <c r="J179" s="368">
        <f>F179-H179</f>
        <v>0</v>
      </c>
      <c r="K179" s="360" t="s">
        <v>2322</v>
      </c>
    </row>
    <row r="180" spans="1:11" s="360" customFormat="1" ht="20.25" hidden="1" customHeight="1">
      <c r="A180" s="356" t="s">
        <v>500</v>
      </c>
      <c r="B180" s="357" t="s">
        <v>2234</v>
      </c>
      <c r="C180" s="358">
        <f>WORK!I1583</f>
        <v>0</v>
      </c>
      <c r="D180" s="354" t="s">
        <v>102</v>
      </c>
      <c r="E180" s="355">
        <f>WORK!K1583</f>
        <v>19.87</v>
      </c>
      <c r="F180" s="353">
        <f t="shared" si="12"/>
        <v>0</v>
      </c>
      <c r="G180" s="368"/>
      <c r="H180" s="368"/>
      <c r="I180" s="368">
        <f t="shared" si="6"/>
        <v>0</v>
      </c>
      <c r="J180" s="368">
        <f t="shared" si="7"/>
        <v>0</v>
      </c>
      <c r="K180" s="360" t="s">
        <v>2226</v>
      </c>
    </row>
    <row r="181" spans="1:11" s="360" customFormat="1" ht="20.25" hidden="1" customHeight="1">
      <c r="A181" s="356" t="s">
        <v>500</v>
      </c>
      <c r="B181" s="357" t="s">
        <v>2234</v>
      </c>
      <c r="C181" s="358">
        <f>WORK!I1590</f>
        <v>0</v>
      </c>
      <c r="D181" s="354" t="s">
        <v>102</v>
      </c>
      <c r="E181" s="355">
        <f>WORK!K1590</f>
        <v>21.19</v>
      </c>
      <c r="F181" s="353">
        <f>ROUND(C181*E181,0)</f>
        <v>0</v>
      </c>
      <c r="G181" s="368"/>
      <c r="H181" s="368"/>
      <c r="I181" s="368">
        <f>C181-G181</f>
        <v>0</v>
      </c>
      <c r="J181" s="368">
        <f>F181-H181</f>
        <v>0</v>
      </c>
      <c r="K181" s="360" t="s">
        <v>2308</v>
      </c>
    </row>
    <row r="182" spans="1:11" s="360" customFormat="1" ht="20.25" hidden="1" customHeight="1">
      <c r="A182" s="356" t="s">
        <v>500</v>
      </c>
      <c r="B182" s="357" t="s">
        <v>2234</v>
      </c>
      <c r="C182" s="358">
        <f>WORK!I1597</f>
        <v>0</v>
      </c>
      <c r="D182" s="354" t="s">
        <v>102</v>
      </c>
      <c r="E182" s="355">
        <f>WORK!K1597</f>
        <v>22.35</v>
      </c>
      <c r="F182" s="353">
        <f>ROUND(C182*E182,0)</f>
        <v>0</v>
      </c>
      <c r="G182" s="368"/>
      <c r="H182" s="368"/>
      <c r="I182" s="368">
        <f>C182-G182</f>
        <v>0</v>
      </c>
      <c r="J182" s="368">
        <f>F182-H182</f>
        <v>0</v>
      </c>
      <c r="K182" s="360" t="s">
        <v>2321</v>
      </c>
    </row>
    <row r="183" spans="1:11" s="360" customFormat="1" ht="20.25" hidden="1" customHeight="1">
      <c r="A183" s="356" t="s">
        <v>500</v>
      </c>
      <c r="B183" s="357" t="s">
        <v>2234</v>
      </c>
      <c r="C183" s="358">
        <f>WORK!I1604</f>
        <v>0</v>
      </c>
      <c r="D183" s="354" t="s">
        <v>102</v>
      </c>
      <c r="E183" s="355">
        <f>WORK!K1604</f>
        <v>24.05</v>
      </c>
      <c r="F183" s="353">
        <f>ROUND(C183*E183,0)</f>
        <v>0</v>
      </c>
      <c r="G183" s="368"/>
      <c r="H183" s="368"/>
      <c r="I183" s="368">
        <f>C183-G183</f>
        <v>0</v>
      </c>
      <c r="J183" s="368">
        <f>F183-H183</f>
        <v>0</v>
      </c>
      <c r="K183" s="360" t="s">
        <v>2322</v>
      </c>
    </row>
    <row r="184" spans="1:11" s="360" customFormat="1" ht="20.25" customHeight="1">
      <c r="A184" s="356" t="s">
        <v>486</v>
      </c>
      <c r="B184" s="357" t="s">
        <v>2118</v>
      </c>
      <c r="C184" s="358">
        <f>WORK!I1626</f>
        <v>293.25000000000011</v>
      </c>
      <c r="D184" s="354" t="s">
        <v>102</v>
      </c>
      <c r="E184" s="355">
        <f>WORK!K1626</f>
        <v>148.07</v>
      </c>
      <c r="F184" s="353">
        <f t="shared" si="12"/>
        <v>43422</v>
      </c>
      <c r="G184" s="368"/>
      <c r="H184" s="368"/>
      <c r="I184" s="368">
        <f t="shared" si="6"/>
        <v>293.25000000000011</v>
      </c>
      <c r="J184" s="368">
        <f t="shared" si="7"/>
        <v>43422</v>
      </c>
      <c r="K184" s="360" t="s">
        <v>2226</v>
      </c>
    </row>
    <row r="185" spans="1:11" s="360" customFormat="1" ht="20.25" hidden="1" customHeight="1">
      <c r="A185" s="356" t="s">
        <v>1518</v>
      </c>
      <c r="B185" s="357" t="s">
        <v>2118</v>
      </c>
      <c r="C185" s="358">
        <f>WORK!I1647</f>
        <v>0</v>
      </c>
      <c r="D185" s="354" t="s">
        <v>102</v>
      </c>
      <c r="E185" s="355">
        <f>WORK!K1647</f>
        <v>155.29</v>
      </c>
      <c r="F185" s="353">
        <f>ROUND(C185*E185,0)</f>
        <v>0</v>
      </c>
      <c r="G185" s="368"/>
      <c r="H185" s="368"/>
      <c r="I185" s="368">
        <f>C185-G185</f>
        <v>0</v>
      </c>
      <c r="J185" s="368">
        <f>F185-H185</f>
        <v>0</v>
      </c>
      <c r="K185" s="360" t="s">
        <v>2308</v>
      </c>
    </row>
    <row r="186" spans="1:11" s="360" customFormat="1" ht="20.25" hidden="1" customHeight="1">
      <c r="A186" s="356" t="s">
        <v>495</v>
      </c>
      <c r="B186" s="357" t="s">
        <v>2118</v>
      </c>
      <c r="C186" s="358">
        <f>WORK!I1665</f>
        <v>0</v>
      </c>
      <c r="D186" s="354" t="s">
        <v>102</v>
      </c>
      <c r="E186" s="355">
        <f>WORK!K1665</f>
        <v>160.76</v>
      </c>
      <c r="F186" s="353">
        <f>ROUND(C186*E186,0)</f>
        <v>0</v>
      </c>
      <c r="G186" s="368"/>
      <c r="H186" s="368"/>
      <c r="I186" s="368">
        <f>C186-G186</f>
        <v>0</v>
      </c>
      <c r="J186" s="368">
        <f>F186-H186</f>
        <v>0</v>
      </c>
      <c r="K186" s="360" t="s">
        <v>2321</v>
      </c>
    </row>
    <row r="187" spans="1:11" s="360" customFormat="1" ht="20.25" hidden="1" customHeight="1">
      <c r="A187" s="356" t="s">
        <v>484</v>
      </c>
      <c r="B187" s="357" t="s">
        <v>2118</v>
      </c>
      <c r="C187" s="358">
        <f>WORK!I1688</f>
        <v>0</v>
      </c>
      <c r="D187" s="354" t="s">
        <v>102</v>
      </c>
      <c r="E187" s="355">
        <f>WORK!K1688</f>
        <v>173.73</v>
      </c>
      <c r="F187" s="353">
        <f>ROUND(C187*E187,0)</f>
        <v>0</v>
      </c>
      <c r="G187" s="368"/>
      <c r="H187" s="368"/>
      <c r="I187" s="368">
        <f>C187-G187</f>
        <v>0</v>
      </c>
      <c r="J187" s="368">
        <f>F187-H187</f>
        <v>0</v>
      </c>
      <c r="K187" s="360" t="s">
        <v>2322</v>
      </c>
    </row>
    <row r="188" spans="1:11" s="360" customFormat="1" ht="20.25" customHeight="1">
      <c r="A188" s="356" t="s">
        <v>487</v>
      </c>
      <c r="B188" s="357" t="s">
        <v>2174</v>
      </c>
      <c r="C188" s="358">
        <f>WORK!I1710</f>
        <v>293.25000000000011</v>
      </c>
      <c r="D188" s="354" t="s">
        <v>102</v>
      </c>
      <c r="E188" s="355">
        <f>WORK!K1710</f>
        <v>122.02</v>
      </c>
      <c r="F188" s="353">
        <f t="shared" si="12"/>
        <v>35782</v>
      </c>
      <c r="G188" s="368"/>
      <c r="H188" s="368"/>
      <c r="I188" s="368">
        <f t="shared" si="6"/>
        <v>293.25000000000011</v>
      </c>
      <c r="J188" s="368">
        <f t="shared" si="7"/>
        <v>35782</v>
      </c>
      <c r="K188" s="360" t="s">
        <v>2226</v>
      </c>
    </row>
    <row r="189" spans="1:11" s="360" customFormat="1" ht="20.25" hidden="1" customHeight="1">
      <c r="A189" s="356" t="s">
        <v>1519</v>
      </c>
      <c r="B189" s="357" t="s">
        <v>2174</v>
      </c>
      <c r="C189" s="358">
        <f>WORK!I1731</f>
        <v>0</v>
      </c>
      <c r="D189" s="354" t="s">
        <v>102</v>
      </c>
      <c r="E189" s="355">
        <f>WORK!K1731</f>
        <v>129.35</v>
      </c>
      <c r="F189" s="353">
        <f>ROUND(C189*E189,0)</f>
        <v>0</v>
      </c>
      <c r="G189" s="368"/>
      <c r="H189" s="368"/>
      <c r="I189" s="368">
        <f>C189-G189</f>
        <v>0</v>
      </c>
      <c r="J189" s="368">
        <f>F189-H189</f>
        <v>0</v>
      </c>
      <c r="K189" s="360" t="s">
        <v>2308</v>
      </c>
    </row>
    <row r="190" spans="1:11" s="360" customFormat="1" ht="20.25" hidden="1" customHeight="1">
      <c r="A190" s="356" t="s">
        <v>1517</v>
      </c>
      <c r="B190" s="357" t="s">
        <v>2174</v>
      </c>
      <c r="C190" s="358">
        <f>WORK!I1749</f>
        <v>0</v>
      </c>
      <c r="D190" s="354" t="s">
        <v>102</v>
      </c>
      <c r="E190" s="355">
        <f>WORK!K1749</f>
        <v>134.97</v>
      </c>
      <c r="F190" s="353">
        <f>ROUND(C190*E190,0)</f>
        <v>0</v>
      </c>
      <c r="G190" s="368"/>
      <c r="H190" s="368"/>
      <c r="I190" s="368">
        <f>C190-G190</f>
        <v>0</v>
      </c>
      <c r="J190" s="368">
        <f>F190-H190</f>
        <v>0</v>
      </c>
      <c r="K190" s="360" t="s">
        <v>2321</v>
      </c>
    </row>
    <row r="191" spans="1:11" s="360" customFormat="1" ht="20.25" hidden="1" customHeight="1">
      <c r="A191" s="356" t="s">
        <v>1516</v>
      </c>
      <c r="B191" s="357" t="s">
        <v>2174</v>
      </c>
      <c r="C191" s="358">
        <f>WORK!I1756</f>
        <v>0</v>
      </c>
      <c r="D191" s="354" t="s">
        <v>102</v>
      </c>
      <c r="E191" s="355">
        <f>WORK!K1756</f>
        <v>146.82</v>
      </c>
      <c r="F191" s="353">
        <f>ROUND(C191*E191,0)</f>
        <v>0</v>
      </c>
      <c r="G191" s="368"/>
      <c r="H191" s="368"/>
      <c r="I191" s="368">
        <f>C191-G191</f>
        <v>0</v>
      </c>
      <c r="J191" s="368">
        <f>F191-H191</f>
        <v>0</v>
      </c>
      <c r="K191" s="360" t="s">
        <v>2322</v>
      </c>
    </row>
    <row r="192" spans="1:11" s="360" customFormat="1" ht="20.25" customHeight="1">
      <c r="A192" s="356" t="s">
        <v>488</v>
      </c>
      <c r="B192" s="357" t="s">
        <v>2175</v>
      </c>
      <c r="C192" s="358">
        <f>WORK!I1785</f>
        <v>206.78999999999996</v>
      </c>
      <c r="D192" s="354" t="s">
        <v>102</v>
      </c>
      <c r="E192" s="355">
        <f>WORK!K1785</f>
        <v>166.22</v>
      </c>
      <c r="F192" s="353">
        <f t="shared" si="12"/>
        <v>34373</v>
      </c>
      <c r="G192" s="368"/>
      <c r="H192" s="368"/>
      <c r="I192" s="368">
        <f t="shared" si="6"/>
        <v>206.78999999999996</v>
      </c>
      <c r="J192" s="368">
        <f t="shared" si="7"/>
        <v>34373</v>
      </c>
      <c r="K192" s="360" t="s">
        <v>2226</v>
      </c>
    </row>
    <row r="193" spans="1:11" s="360" customFormat="1" ht="20.25" hidden="1" customHeight="1">
      <c r="A193" s="356" t="s">
        <v>1520</v>
      </c>
      <c r="B193" s="357" t="s">
        <v>2175</v>
      </c>
      <c r="C193" s="358">
        <f>WORK!I1796</f>
        <v>0</v>
      </c>
      <c r="D193" s="354" t="s">
        <v>102</v>
      </c>
      <c r="E193" s="355">
        <f>WORK!K1796</f>
        <v>177.63</v>
      </c>
      <c r="F193" s="353">
        <f>ROUND(C193*E193,0)</f>
        <v>0</v>
      </c>
      <c r="G193" s="368"/>
      <c r="H193" s="368"/>
      <c r="I193" s="368">
        <f>C193-G193</f>
        <v>0</v>
      </c>
      <c r="J193" s="368">
        <f>F193-H193</f>
        <v>0</v>
      </c>
      <c r="K193" s="360" t="s">
        <v>2308</v>
      </c>
    </row>
    <row r="194" spans="1:11" s="360" customFormat="1" ht="20.25" hidden="1" customHeight="1">
      <c r="A194" s="356" t="s">
        <v>1518</v>
      </c>
      <c r="B194" s="357" t="s">
        <v>2175</v>
      </c>
      <c r="C194" s="358">
        <f>WORK!I1821</f>
        <v>0</v>
      </c>
      <c r="D194" s="354" t="s">
        <v>102</v>
      </c>
      <c r="E194" s="355">
        <f>WORK!K1821</f>
        <v>186.27</v>
      </c>
      <c r="F194" s="353">
        <f>ROUND(C194*E194,0)</f>
        <v>0</v>
      </c>
      <c r="G194" s="368"/>
      <c r="H194" s="368"/>
      <c r="I194" s="368">
        <f>C194-G194</f>
        <v>0</v>
      </c>
      <c r="J194" s="368">
        <f>F194-H194</f>
        <v>0</v>
      </c>
      <c r="K194" s="360" t="s">
        <v>2321</v>
      </c>
    </row>
    <row r="195" spans="1:11" s="360" customFormat="1" ht="20.25" hidden="1" customHeight="1">
      <c r="A195" s="356" t="s">
        <v>492</v>
      </c>
      <c r="B195" s="357" t="s">
        <v>2175</v>
      </c>
      <c r="C195" s="358">
        <f>WORK!I1828</f>
        <v>0</v>
      </c>
      <c r="D195" s="354" t="s">
        <v>102</v>
      </c>
      <c r="E195" s="355">
        <f>WORK!K1828</f>
        <v>200.84</v>
      </c>
      <c r="F195" s="353">
        <f>ROUND(C195*E195,0)</f>
        <v>0</v>
      </c>
      <c r="G195" s="368"/>
      <c r="H195" s="368"/>
      <c r="I195" s="368">
        <f>C195-G195</f>
        <v>0</v>
      </c>
      <c r="J195" s="368">
        <f>F195-H195</f>
        <v>0</v>
      </c>
      <c r="K195" s="360" t="s">
        <v>2322</v>
      </c>
    </row>
    <row r="196" spans="1:11" s="360" customFormat="1" hidden="1">
      <c r="A196" s="356" t="s">
        <v>489</v>
      </c>
      <c r="B196" s="357" t="s">
        <v>1438</v>
      </c>
      <c r="C196" s="358">
        <f>WORK!I1884</f>
        <v>0</v>
      </c>
      <c r="D196" s="354" t="s">
        <v>102</v>
      </c>
      <c r="E196" s="355">
        <f>WORK!K1884</f>
        <v>786.87</v>
      </c>
      <c r="F196" s="353">
        <f t="shared" si="12"/>
        <v>0</v>
      </c>
      <c r="G196" s="368"/>
      <c r="H196" s="368"/>
      <c r="I196" s="368">
        <f t="shared" si="6"/>
        <v>0</v>
      </c>
      <c r="J196" s="368">
        <f t="shared" si="7"/>
        <v>0</v>
      </c>
      <c r="K196" s="360" t="s">
        <v>2226</v>
      </c>
    </row>
    <row r="197" spans="1:11" s="360" customFormat="1" hidden="1">
      <c r="A197" s="356" t="s">
        <v>489</v>
      </c>
      <c r="B197" s="357" t="s">
        <v>1438</v>
      </c>
      <c r="C197" s="358">
        <f>WORK!I1889</f>
        <v>0</v>
      </c>
      <c r="D197" s="354" t="s">
        <v>102</v>
      </c>
      <c r="E197" s="355">
        <f>WORK!K1889</f>
        <v>849.67000000000007</v>
      </c>
      <c r="F197" s="353">
        <f>ROUND(C197*E197,0)</f>
        <v>0</v>
      </c>
      <c r="G197" s="368"/>
      <c r="H197" s="368"/>
      <c r="I197" s="368">
        <f>C197-G197</f>
        <v>0</v>
      </c>
      <c r="J197" s="368">
        <f>F197-H197</f>
        <v>0</v>
      </c>
      <c r="K197" s="360" t="s">
        <v>2308</v>
      </c>
    </row>
    <row r="198" spans="1:11" s="360" customFormat="1" hidden="1">
      <c r="A198" s="356" t="s">
        <v>489</v>
      </c>
      <c r="B198" s="357" t="s">
        <v>1438</v>
      </c>
      <c r="C198" s="358">
        <f>WORK!I1894</f>
        <v>0</v>
      </c>
      <c r="D198" s="354" t="s">
        <v>102</v>
      </c>
      <c r="E198" s="355">
        <f>WORK!K1894</f>
        <v>897.27</v>
      </c>
      <c r="F198" s="353">
        <f>ROUND(C198*E198,0)</f>
        <v>0</v>
      </c>
      <c r="G198" s="368"/>
      <c r="H198" s="368"/>
      <c r="I198" s="368">
        <f>C198-G198</f>
        <v>0</v>
      </c>
      <c r="J198" s="368">
        <f>F198-H198</f>
        <v>0</v>
      </c>
      <c r="K198" s="360" t="s">
        <v>2321</v>
      </c>
    </row>
    <row r="199" spans="1:11" s="360" customFormat="1" hidden="1">
      <c r="A199" s="356" t="s">
        <v>492</v>
      </c>
      <c r="B199" s="357" t="s">
        <v>1438</v>
      </c>
      <c r="C199" s="358">
        <f>WORK!I1899</f>
        <v>0</v>
      </c>
      <c r="D199" s="354" t="s">
        <v>102</v>
      </c>
      <c r="E199" s="355">
        <f>WORK!K1899</f>
        <v>968.78</v>
      </c>
      <c r="F199" s="353">
        <f>ROUND(C199*E199,0)</f>
        <v>0</v>
      </c>
      <c r="G199" s="368"/>
      <c r="H199" s="368"/>
      <c r="I199" s="368">
        <f>C199-G199</f>
        <v>0</v>
      </c>
      <c r="J199" s="368">
        <f>F199-H199</f>
        <v>0</v>
      </c>
      <c r="K199" s="360" t="s">
        <v>2322</v>
      </c>
    </row>
    <row r="200" spans="1:11" s="360" customFormat="1" ht="20.25" hidden="1" customHeight="1">
      <c r="A200" s="356" t="s">
        <v>506</v>
      </c>
      <c r="B200" s="357" t="s">
        <v>2017</v>
      </c>
      <c r="C200" s="429">
        <f>WORK!I1904</f>
        <v>0</v>
      </c>
      <c r="D200" s="221" t="s">
        <v>102</v>
      </c>
      <c r="E200" s="430">
        <f>WORK!K1904</f>
        <v>3198</v>
      </c>
      <c r="F200" s="353">
        <f t="shared" si="12"/>
        <v>0</v>
      </c>
      <c r="G200" s="368"/>
      <c r="H200" s="368"/>
      <c r="I200" s="368">
        <f t="shared" si="6"/>
        <v>0</v>
      </c>
      <c r="J200" s="368">
        <f t="shared" si="7"/>
        <v>0</v>
      </c>
      <c r="K200" s="360" t="s">
        <v>2226</v>
      </c>
    </row>
    <row r="201" spans="1:11" s="360" customFormat="1" ht="20.25" hidden="1" customHeight="1">
      <c r="A201" s="356" t="s">
        <v>491</v>
      </c>
      <c r="B201" s="357" t="s">
        <v>2017</v>
      </c>
      <c r="C201" s="429">
        <f>WORK!I1909</f>
        <v>0</v>
      </c>
      <c r="D201" s="221" t="s">
        <v>102</v>
      </c>
      <c r="E201" s="430">
        <f>WORK!K1909</f>
        <v>3198</v>
      </c>
      <c r="F201" s="353">
        <f>ROUND(C201*E201,0)</f>
        <v>0</v>
      </c>
      <c r="G201" s="368"/>
      <c r="H201" s="368"/>
      <c r="I201" s="368">
        <f>C201-G201</f>
        <v>0</v>
      </c>
      <c r="J201" s="368">
        <f>F201-H201</f>
        <v>0</v>
      </c>
      <c r="K201" s="360" t="s">
        <v>2308</v>
      </c>
    </row>
    <row r="202" spans="1:11" s="360" customFormat="1" ht="20.25" hidden="1" customHeight="1">
      <c r="A202" s="356" t="s">
        <v>506</v>
      </c>
      <c r="B202" s="357" t="s">
        <v>2017</v>
      </c>
      <c r="C202" s="429">
        <f>WORK!I1914</f>
        <v>0</v>
      </c>
      <c r="D202" s="221" t="s">
        <v>102</v>
      </c>
      <c r="E202" s="430">
        <f>WORK!K1914</f>
        <v>3500</v>
      </c>
      <c r="F202" s="353">
        <f>ROUND(C202*E202,0)</f>
        <v>0</v>
      </c>
      <c r="G202" s="368"/>
      <c r="H202" s="368"/>
      <c r="I202" s="368">
        <f>C202-G202</f>
        <v>0</v>
      </c>
      <c r="J202" s="368">
        <f>F202-H202</f>
        <v>0</v>
      </c>
      <c r="K202" s="360" t="s">
        <v>2321</v>
      </c>
    </row>
    <row r="203" spans="1:11" s="360" customFormat="1" ht="20.25" hidden="1" customHeight="1">
      <c r="A203" s="356" t="s">
        <v>489</v>
      </c>
      <c r="B203" s="357" t="s">
        <v>2017</v>
      </c>
      <c r="C203" s="429">
        <f>WORK!I1919</f>
        <v>0</v>
      </c>
      <c r="D203" s="221" t="s">
        <v>102</v>
      </c>
      <c r="E203" s="430">
        <f>WORK!K1919</f>
        <v>4025</v>
      </c>
      <c r="F203" s="353">
        <f>ROUND(C203*E203,0)</f>
        <v>0</v>
      </c>
      <c r="G203" s="368"/>
      <c r="H203" s="368"/>
      <c r="I203" s="368">
        <f>C203-G203</f>
        <v>0</v>
      </c>
      <c r="J203" s="368">
        <f>F203-H203</f>
        <v>0</v>
      </c>
      <c r="K203" s="360" t="s">
        <v>2322</v>
      </c>
    </row>
    <row r="204" spans="1:11" s="360" customFormat="1" hidden="1">
      <c r="A204" s="356" t="s">
        <v>490</v>
      </c>
      <c r="B204" s="357" t="s">
        <v>2018</v>
      </c>
      <c r="C204" s="358">
        <f>WORK!I1834</f>
        <v>0</v>
      </c>
      <c r="D204" s="354" t="s">
        <v>102</v>
      </c>
      <c r="E204" s="355">
        <f>WORK!K1834</f>
        <v>172.75</v>
      </c>
      <c r="F204" s="353">
        <f t="shared" si="12"/>
        <v>0</v>
      </c>
      <c r="G204" s="368"/>
      <c r="H204" s="368"/>
      <c r="I204" s="368">
        <f t="shared" si="6"/>
        <v>0</v>
      </c>
      <c r="J204" s="368">
        <f t="shared" si="7"/>
        <v>0</v>
      </c>
      <c r="K204" s="360" t="s">
        <v>2226</v>
      </c>
    </row>
    <row r="205" spans="1:11" s="360" customFormat="1" hidden="1">
      <c r="A205" s="356" t="s">
        <v>490</v>
      </c>
      <c r="B205" s="357" t="s">
        <v>2018</v>
      </c>
      <c r="C205" s="358">
        <f>WORK!I1844</f>
        <v>0</v>
      </c>
      <c r="D205" s="354" t="s">
        <v>102</v>
      </c>
      <c r="E205" s="355">
        <f>WORK!K1844</f>
        <v>132.55000000000001</v>
      </c>
      <c r="F205" s="353">
        <f>ROUND(C205*E205,0)</f>
        <v>0</v>
      </c>
      <c r="G205" s="368"/>
      <c r="H205" s="368"/>
      <c r="I205" s="368">
        <f>C205-G205</f>
        <v>0</v>
      </c>
      <c r="J205" s="368">
        <f>F205-H205</f>
        <v>0</v>
      </c>
      <c r="K205" s="360" t="s">
        <v>2308</v>
      </c>
    </row>
    <row r="206" spans="1:11" s="360" customFormat="1" hidden="1">
      <c r="A206" s="356" t="s">
        <v>490</v>
      </c>
      <c r="B206" s="357" t="s">
        <v>2018</v>
      </c>
      <c r="C206" s="358">
        <f>WORK!I1850</f>
        <v>0</v>
      </c>
      <c r="D206" s="354" t="s">
        <v>102</v>
      </c>
      <c r="E206" s="355">
        <f>WORK!K1850</f>
        <v>137.6</v>
      </c>
      <c r="F206" s="353">
        <f>ROUND(C206*E206,0)</f>
        <v>0</v>
      </c>
      <c r="G206" s="368"/>
      <c r="H206" s="368"/>
      <c r="I206" s="368">
        <f>C206-G206</f>
        <v>0</v>
      </c>
      <c r="J206" s="368">
        <f>F206-H206</f>
        <v>0</v>
      </c>
      <c r="K206" s="360" t="s">
        <v>2321</v>
      </c>
    </row>
    <row r="207" spans="1:11" s="360" customFormat="1" hidden="1">
      <c r="A207" s="356" t="s">
        <v>493</v>
      </c>
      <c r="B207" s="357" t="s">
        <v>2018</v>
      </c>
      <c r="C207" s="358">
        <f>WORK!I1855</f>
        <v>0</v>
      </c>
      <c r="D207" s="354" t="s">
        <v>102</v>
      </c>
      <c r="E207" s="355">
        <f>WORK!K1855</f>
        <v>149.86000000000001</v>
      </c>
      <c r="F207" s="353">
        <f>ROUND(C207*E207,0)</f>
        <v>0</v>
      </c>
      <c r="G207" s="368"/>
      <c r="H207" s="368"/>
      <c r="I207" s="368">
        <f>C207-G207</f>
        <v>0</v>
      </c>
      <c r="J207" s="368">
        <f>F207-H207</f>
        <v>0</v>
      </c>
      <c r="K207" s="360" t="s">
        <v>2322</v>
      </c>
    </row>
    <row r="208" spans="1:11" s="360" customFormat="1" hidden="1">
      <c r="A208" s="356" t="s">
        <v>491</v>
      </c>
      <c r="B208" s="357" t="s">
        <v>2280</v>
      </c>
      <c r="C208" s="358">
        <f>WORK!I1527</f>
        <v>0</v>
      </c>
      <c r="D208" s="354" t="s">
        <v>102</v>
      </c>
      <c r="E208" s="355">
        <f>WORK!K1527</f>
        <v>489</v>
      </c>
      <c r="F208" s="353">
        <f t="shared" si="12"/>
        <v>0</v>
      </c>
      <c r="G208" s="368"/>
      <c r="H208" s="368"/>
      <c r="I208" s="368">
        <f t="shared" ref="I208:I220" si="13">C208-G208</f>
        <v>0</v>
      </c>
      <c r="J208" s="368">
        <f t="shared" ref="J208:J220" si="14">F208-H208</f>
        <v>0</v>
      </c>
      <c r="K208" s="360" t="s">
        <v>2226</v>
      </c>
    </row>
    <row r="209" spans="1:11" s="360" customFormat="1" hidden="1">
      <c r="A209" s="356" t="s">
        <v>1516</v>
      </c>
      <c r="B209" s="357" t="s">
        <v>2280</v>
      </c>
      <c r="C209" s="358">
        <f>WORK!I1534</f>
        <v>0</v>
      </c>
      <c r="D209" s="354" t="s">
        <v>102</v>
      </c>
      <c r="E209" s="355">
        <f>WORK!K1534</f>
        <v>489</v>
      </c>
      <c r="F209" s="353">
        <f>ROUND(C209*E209,0)</f>
        <v>0</v>
      </c>
      <c r="G209" s="368"/>
      <c r="H209" s="368"/>
      <c r="I209" s="368">
        <f>C209-G209</f>
        <v>0</v>
      </c>
      <c r="J209" s="368">
        <f>F209-H209</f>
        <v>0</v>
      </c>
      <c r="K209" s="360" t="s">
        <v>2308</v>
      </c>
    </row>
    <row r="210" spans="1:11" s="360" customFormat="1" hidden="1">
      <c r="A210" s="356" t="s">
        <v>492</v>
      </c>
      <c r="B210" s="357" t="s">
        <v>2280</v>
      </c>
      <c r="C210" s="358">
        <f>WORK!I1541</f>
        <v>0</v>
      </c>
      <c r="D210" s="354" t="s">
        <v>102</v>
      </c>
      <c r="E210" s="355">
        <f>WORK!K1541</f>
        <v>510</v>
      </c>
      <c r="F210" s="353">
        <f>ROUND(C210*E210,0)</f>
        <v>0</v>
      </c>
      <c r="G210" s="368"/>
      <c r="H210" s="368"/>
      <c r="I210" s="368">
        <f>C210-G210</f>
        <v>0</v>
      </c>
      <c r="J210" s="368">
        <f>F210-H210</f>
        <v>0</v>
      </c>
      <c r="K210" s="360" t="s">
        <v>2321</v>
      </c>
    </row>
    <row r="211" spans="1:11" s="360" customFormat="1" hidden="1">
      <c r="A211" s="356" t="s">
        <v>493</v>
      </c>
      <c r="B211" s="357" t="s">
        <v>2280</v>
      </c>
      <c r="C211" s="358">
        <f>WORK!I1548</f>
        <v>0</v>
      </c>
      <c r="D211" s="354" t="s">
        <v>102</v>
      </c>
      <c r="E211" s="355">
        <f>WORK!K1548</f>
        <v>610</v>
      </c>
      <c r="F211" s="353">
        <f>ROUND(C211*E211,0)</f>
        <v>0</v>
      </c>
      <c r="G211" s="368"/>
      <c r="H211" s="368"/>
      <c r="I211" s="368">
        <f>C211-G211</f>
        <v>0</v>
      </c>
      <c r="J211" s="368">
        <f>F211-H211</f>
        <v>0</v>
      </c>
      <c r="K211" s="360" t="s">
        <v>2322</v>
      </c>
    </row>
    <row r="212" spans="1:11" s="360" customFormat="1" hidden="1">
      <c r="A212" s="356" t="s">
        <v>494</v>
      </c>
      <c r="B212" s="357" t="s">
        <v>2281</v>
      </c>
      <c r="C212" s="358">
        <f>WORK!I1555</f>
        <v>0</v>
      </c>
      <c r="D212" s="354" t="s">
        <v>102</v>
      </c>
      <c r="E212" s="355">
        <f>WORK!K1555</f>
        <v>288.70999999999998</v>
      </c>
      <c r="F212" s="353">
        <f t="shared" si="12"/>
        <v>0</v>
      </c>
      <c r="G212" s="368"/>
      <c r="H212" s="368"/>
      <c r="I212" s="368">
        <f t="shared" si="13"/>
        <v>0</v>
      </c>
      <c r="J212" s="368">
        <f t="shared" si="14"/>
        <v>0</v>
      </c>
      <c r="K212" s="360" t="s">
        <v>2226</v>
      </c>
    </row>
    <row r="213" spans="1:11" s="360" customFormat="1" hidden="1">
      <c r="A213" s="356" t="s">
        <v>495</v>
      </c>
      <c r="B213" s="357" t="s">
        <v>2281</v>
      </c>
      <c r="C213" s="358">
        <f>WORK!I1562</f>
        <v>0</v>
      </c>
      <c r="D213" s="354" t="s">
        <v>102</v>
      </c>
      <c r="E213" s="355">
        <f>WORK!K1562</f>
        <v>309.07</v>
      </c>
      <c r="F213" s="353">
        <f>ROUND(C213*E213,0)</f>
        <v>0</v>
      </c>
      <c r="G213" s="368"/>
      <c r="H213" s="368"/>
      <c r="I213" s="368">
        <f>C213-G213</f>
        <v>0</v>
      </c>
      <c r="J213" s="368">
        <f>F213-H213</f>
        <v>0</v>
      </c>
      <c r="K213" s="360" t="s">
        <v>2308</v>
      </c>
    </row>
    <row r="214" spans="1:11" s="360" customFormat="1" hidden="1">
      <c r="A214" s="356" t="s">
        <v>526</v>
      </c>
      <c r="B214" s="357" t="s">
        <v>2281</v>
      </c>
      <c r="C214" s="358">
        <f>WORK!I1569</f>
        <v>0</v>
      </c>
      <c r="D214" s="354" t="s">
        <v>102</v>
      </c>
      <c r="E214" s="355">
        <f>WORK!K1569</f>
        <v>325.58</v>
      </c>
      <c r="F214" s="353">
        <f>ROUND(C214*E214,0)</f>
        <v>0</v>
      </c>
      <c r="G214" s="368"/>
      <c r="H214" s="368"/>
      <c r="I214" s="368">
        <f>C214-G214</f>
        <v>0</v>
      </c>
      <c r="J214" s="368">
        <f>F214-H214</f>
        <v>0</v>
      </c>
      <c r="K214" s="360" t="s">
        <v>2321</v>
      </c>
    </row>
    <row r="215" spans="1:11" s="360" customFormat="1" hidden="1">
      <c r="A215" s="356" t="s">
        <v>1517</v>
      </c>
      <c r="B215" s="357" t="s">
        <v>2281</v>
      </c>
      <c r="C215" s="358">
        <f>WORK!I1576</f>
        <v>0</v>
      </c>
      <c r="D215" s="354" t="s">
        <v>102</v>
      </c>
      <c r="E215" s="355">
        <f>WORK!K1576</f>
        <v>345.47</v>
      </c>
      <c r="F215" s="353">
        <f>ROUND(C215*E215,0)</f>
        <v>0</v>
      </c>
      <c r="G215" s="368"/>
      <c r="H215" s="368"/>
      <c r="I215" s="368">
        <f>C215-G215</f>
        <v>0</v>
      </c>
      <c r="J215" s="368">
        <f>F215-H215</f>
        <v>0</v>
      </c>
      <c r="K215" s="360" t="s">
        <v>2322</v>
      </c>
    </row>
    <row r="216" spans="1:11" s="360" customFormat="1" hidden="1">
      <c r="A216" s="356" t="s">
        <v>1518</v>
      </c>
      <c r="B216" s="357" t="s">
        <v>2283</v>
      </c>
      <c r="C216" s="358">
        <f>WORK!I1861</f>
        <v>0</v>
      </c>
      <c r="D216" s="354" t="s">
        <v>102</v>
      </c>
      <c r="E216" s="355">
        <f>WORK!K1861</f>
        <v>630</v>
      </c>
      <c r="F216" s="353">
        <f t="shared" si="12"/>
        <v>0</v>
      </c>
      <c r="G216" s="368"/>
      <c r="H216" s="368"/>
      <c r="I216" s="368">
        <f t="shared" si="13"/>
        <v>0</v>
      </c>
      <c r="J216" s="368">
        <f t="shared" si="14"/>
        <v>0</v>
      </c>
      <c r="K216" s="360" t="s">
        <v>2226</v>
      </c>
    </row>
    <row r="217" spans="1:11" s="360" customFormat="1" hidden="1">
      <c r="A217" s="356" t="s">
        <v>1519</v>
      </c>
      <c r="B217" s="357" t="s">
        <v>2283</v>
      </c>
      <c r="C217" s="358">
        <f>WORK!I1867</f>
        <v>0</v>
      </c>
      <c r="D217" s="354" t="s">
        <v>102</v>
      </c>
      <c r="E217" s="355">
        <f>WORK!K1867</f>
        <v>630</v>
      </c>
      <c r="F217" s="353">
        <f>ROUND(C217*E217,0)</f>
        <v>0</v>
      </c>
      <c r="G217" s="368"/>
      <c r="H217" s="368"/>
      <c r="I217" s="368">
        <f>C217-G217</f>
        <v>0</v>
      </c>
      <c r="J217" s="368">
        <f>F217-H217</f>
        <v>0</v>
      </c>
      <c r="K217" s="360" t="s">
        <v>2308</v>
      </c>
    </row>
    <row r="218" spans="1:11" s="360" customFormat="1" hidden="1">
      <c r="A218" s="356" t="s">
        <v>1520</v>
      </c>
      <c r="B218" s="357" t="s">
        <v>2283</v>
      </c>
      <c r="C218" s="358">
        <f>WORK!I1873</f>
        <v>0</v>
      </c>
      <c r="D218" s="354" t="s">
        <v>102</v>
      </c>
      <c r="E218" s="355">
        <f>WORK!K1873</f>
        <v>630</v>
      </c>
      <c r="F218" s="353">
        <f>ROUND(C218*E218,0)</f>
        <v>0</v>
      </c>
      <c r="G218" s="368"/>
      <c r="H218" s="368"/>
      <c r="I218" s="368">
        <f>C218-G218</f>
        <v>0</v>
      </c>
      <c r="J218" s="368">
        <f>F218-H218</f>
        <v>0</v>
      </c>
      <c r="K218" s="360" t="s">
        <v>2321</v>
      </c>
    </row>
    <row r="219" spans="1:11" s="360" customFormat="1" hidden="1">
      <c r="A219" s="356" t="s">
        <v>492</v>
      </c>
      <c r="B219" s="357" t="s">
        <v>2283</v>
      </c>
      <c r="C219" s="358">
        <f>WORK!I1879</f>
        <v>0</v>
      </c>
      <c r="D219" s="354" t="s">
        <v>102</v>
      </c>
      <c r="E219" s="355">
        <f>WORK!K1879</f>
        <v>630</v>
      </c>
      <c r="F219" s="353">
        <f>ROUND(C219*E219,0)</f>
        <v>0</v>
      </c>
      <c r="G219" s="368"/>
      <c r="H219" s="368"/>
      <c r="I219" s="368">
        <f>C219-G219</f>
        <v>0</v>
      </c>
      <c r="J219" s="368">
        <f>F219-H219</f>
        <v>0</v>
      </c>
      <c r="K219" s="360" t="s">
        <v>2322</v>
      </c>
    </row>
    <row r="220" spans="1:11" s="360" customFormat="1" ht="20.25" hidden="1" customHeight="1">
      <c r="A220" s="356" t="s">
        <v>492</v>
      </c>
      <c r="B220" s="357" t="s">
        <v>2235</v>
      </c>
      <c r="C220" s="358">
        <f>WORK!I1924</f>
        <v>0</v>
      </c>
      <c r="D220" s="354" t="s">
        <v>115</v>
      </c>
      <c r="E220" s="355">
        <f>WORK!K1924</f>
        <v>666.66</v>
      </c>
      <c r="F220" s="353">
        <f t="shared" si="12"/>
        <v>0</v>
      </c>
      <c r="G220" s="368"/>
      <c r="H220" s="368"/>
      <c r="I220" s="368">
        <f t="shared" si="13"/>
        <v>0</v>
      </c>
      <c r="J220" s="368">
        <f t="shared" si="14"/>
        <v>0</v>
      </c>
      <c r="K220" s="360" t="s">
        <v>2226</v>
      </c>
    </row>
    <row r="221" spans="1:11" s="360" customFormat="1" ht="20.25" hidden="1" customHeight="1">
      <c r="A221" s="356" t="s">
        <v>492</v>
      </c>
      <c r="B221" s="357" t="s">
        <v>2235</v>
      </c>
      <c r="C221" s="358">
        <f>WORK!I1929</f>
        <v>0</v>
      </c>
      <c r="D221" s="354" t="s">
        <v>115</v>
      </c>
      <c r="E221" s="355">
        <f>WORK!K1929</f>
        <v>666.66</v>
      </c>
      <c r="F221" s="353">
        <f>ROUND(C221*E221,0)</f>
        <v>0</v>
      </c>
      <c r="G221" s="368"/>
      <c r="H221" s="368"/>
      <c r="I221" s="368">
        <f>C221-G221</f>
        <v>0</v>
      </c>
      <c r="J221" s="368">
        <f>F221-H221</f>
        <v>0</v>
      </c>
      <c r="K221" s="360" t="s">
        <v>2308</v>
      </c>
    </row>
    <row r="222" spans="1:11" s="360" customFormat="1" ht="20.25" hidden="1" customHeight="1">
      <c r="A222" s="356" t="s">
        <v>492</v>
      </c>
      <c r="B222" s="357" t="s">
        <v>2235</v>
      </c>
      <c r="C222" s="358">
        <f>WORK!I1934</f>
        <v>0</v>
      </c>
      <c r="D222" s="354" t="s">
        <v>115</v>
      </c>
      <c r="E222" s="355">
        <f>WORK!K1934</f>
        <v>733.33</v>
      </c>
      <c r="F222" s="353">
        <f>ROUND(C222*E222,0)</f>
        <v>0</v>
      </c>
      <c r="G222" s="368"/>
      <c r="H222" s="368"/>
      <c r="I222" s="368">
        <f>C222-G222</f>
        <v>0</v>
      </c>
      <c r="J222" s="368">
        <f>F222-H222</f>
        <v>0</v>
      </c>
      <c r="K222" s="360" t="s">
        <v>2321</v>
      </c>
    </row>
    <row r="223" spans="1:11" s="360" customFormat="1" ht="20.25" hidden="1" customHeight="1">
      <c r="A223" s="356" t="s">
        <v>492</v>
      </c>
      <c r="B223" s="357" t="s">
        <v>2235</v>
      </c>
      <c r="C223" s="358">
        <f>WORK!I1939</f>
        <v>0</v>
      </c>
      <c r="D223" s="354" t="s">
        <v>115</v>
      </c>
      <c r="E223" s="355">
        <f>WORK!K1939</f>
        <v>808</v>
      </c>
      <c r="F223" s="353">
        <f>ROUND(C223*E223,0)</f>
        <v>0</v>
      </c>
      <c r="G223" s="368"/>
      <c r="H223" s="368"/>
      <c r="I223" s="368">
        <f>C223-G223</f>
        <v>0</v>
      </c>
      <c r="J223" s="368">
        <f>F223-H223</f>
        <v>0</v>
      </c>
      <c r="K223" s="360" t="s">
        <v>2322</v>
      </c>
    </row>
    <row r="224" spans="1:11" s="360" customFormat="1" ht="20.25" hidden="1" customHeight="1">
      <c r="A224" s="356" t="s">
        <v>492</v>
      </c>
      <c r="B224" s="357" t="s">
        <v>2236</v>
      </c>
      <c r="C224" s="358">
        <f>WORK!I1944</f>
        <v>0</v>
      </c>
      <c r="D224" s="354" t="s">
        <v>115</v>
      </c>
      <c r="E224" s="355">
        <f>WORK!K1944</f>
        <v>500</v>
      </c>
      <c r="F224" s="353">
        <f t="shared" si="12"/>
        <v>0</v>
      </c>
      <c r="G224" s="368"/>
      <c r="H224" s="368"/>
      <c r="I224" s="368">
        <f t="shared" si="6"/>
        <v>0</v>
      </c>
      <c r="J224" s="368">
        <f t="shared" si="7"/>
        <v>0</v>
      </c>
      <c r="K224" s="360" t="s">
        <v>2226</v>
      </c>
    </row>
    <row r="225" spans="1:11" s="360" customFormat="1" ht="20.25" hidden="1" customHeight="1">
      <c r="A225" s="356" t="s">
        <v>492</v>
      </c>
      <c r="B225" s="357" t="s">
        <v>2236</v>
      </c>
      <c r="C225" s="358">
        <f>WORK!I1949</f>
        <v>0</v>
      </c>
      <c r="D225" s="354" t="s">
        <v>115</v>
      </c>
      <c r="E225" s="355">
        <f>WORK!K1949</f>
        <v>500</v>
      </c>
      <c r="F225" s="353">
        <f>ROUND(C225*E225,0)</f>
        <v>0</v>
      </c>
      <c r="G225" s="368"/>
      <c r="H225" s="368"/>
      <c r="I225" s="368">
        <f>C225-G225</f>
        <v>0</v>
      </c>
      <c r="J225" s="368">
        <f>F225-H225</f>
        <v>0</v>
      </c>
      <c r="K225" s="360" t="s">
        <v>2308</v>
      </c>
    </row>
    <row r="226" spans="1:11" s="360" customFormat="1" ht="20.25" hidden="1" customHeight="1">
      <c r="A226" s="356" t="s">
        <v>492</v>
      </c>
      <c r="B226" s="357" t="s">
        <v>2236</v>
      </c>
      <c r="C226" s="358">
        <f>WORK!I1954</f>
        <v>0</v>
      </c>
      <c r="D226" s="354" t="s">
        <v>115</v>
      </c>
      <c r="E226" s="355">
        <f>WORK!K1954</f>
        <v>550</v>
      </c>
      <c r="F226" s="353">
        <f>ROUND(C226*E226,0)</f>
        <v>0</v>
      </c>
      <c r="G226" s="368"/>
      <c r="H226" s="368"/>
      <c r="I226" s="368">
        <f>C226-G226</f>
        <v>0</v>
      </c>
      <c r="J226" s="368">
        <f>F226-H226</f>
        <v>0</v>
      </c>
      <c r="K226" s="360" t="s">
        <v>2321</v>
      </c>
    </row>
    <row r="227" spans="1:11" s="360" customFormat="1" ht="20.25" hidden="1" customHeight="1">
      <c r="A227" s="356" t="s">
        <v>492</v>
      </c>
      <c r="B227" s="357" t="s">
        <v>2236</v>
      </c>
      <c r="C227" s="358">
        <f>WORK!I1959</f>
        <v>0</v>
      </c>
      <c r="D227" s="354" t="s">
        <v>115</v>
      </c>
      <c r="E227" s="355">
        <f>WORK!K1959</f>
        <v>606</v>
      </c>
      <c r="F227" s="353">
        <f>ROUND(C227*E227,0)</f>
        <v>0</v>
      </c>
      <c r="G227" s="368"/>
      <c r="H227" s="368"/>
      <c r="I227" s="368">
        <f>C227-G227</f>
        <v>0</v>
      </c>
      <c r="J227" s="368">
        <f>F227-H227</f>
        <v>0</v>
      </c>
      <c r="K227" s="360" t="s">
        <v>2322</v>
      </c>
    </row>
    <row r="228" spans="1:11" s="360" customFormat="1" ht="27" hidden="1" customHeight="1">
      <c r="A228" s="356" t="s">
        <v>508</v>
      </c>
      <c r="B228" s="357" t="s">
        <v>1485</v>
      </c>
      <c r="C228" s="358">
        <f>WORK!I1964</f>
        <v>0</v>
      </c>
      <c r="D228" s="354" t="s">
        <v>115</v>
      </c>
      <c r="E228" s="355">
        <f>WORK!K1964</f>
        <v>130</v>
      </c>
      <c r="F228" s="353">
        <f t="shared" si="12"/>
        <v>0</v>
      </c>
      <c r="G228" s="368"/>
      <c r="H228" s="368"/>
      <c r="I228" s="368">
        <f t="shared" si="6"/>
        <v>0</v>
      </c>
      <c r="J228" s="368">
        <f t="shared" si="7"/>
        <v>0</v>
      </c>
      <c r="K228" s="360" t="s">
        <v>2226</v>
      </c>
    </row>
    <row r="229" spans="1:11" s="360" customFormat="1" ht="27" hidden="1" customHeight="1">
      <c r="A229" s="356" t="s">
        <v>508</v>
      </c>
      <c r="B229" s="357" t="s">
        <v>1485</v>
      </c>
      <c r="C229" s="358">
        <f>WORK!I1969</f>
        <v>0</v>
      </c>
      <c r="D229" s="354" t="s">
        <v>115</v>
      </c>
      <c r="E229" s="355">
        <f>WORK!K1969</f>
        <v>130</v>
      </c>
      <c r="F229" s="353">
        <f>ROUND(C229*E229,0)</f>
        <v>0</v>
      </c>
      <c r="G229" s="368"/>
      <c r="H229" s="368"/>
      <c r="I229" s="368">
        <f>C229-G229</f>
        <v>0</v>
      </c>
      <c r="J229" s="368">
        <f>F229-H229</f>
        <v>0</v>
      </c>
      <c r="K229" s="360" t="s">
        <v>2308</v>
      </c>
    </row>
    <row r="230" spans="1:11" s="360" customFormat="1" ht="27" hidden="1" customHeight="1">
      <c r="A230" s="356" t="s">
        <v>508</v>
      </c>
      <c r="B230" s="357" t="s">
        <v>1485</v>
      </c>
      <c r="C230" s="358">
        <f>WORK!I1974</f>
        <v>0</v>
      </c>
      <c r="D230" s="354" t="s">
        <v>115</v>
      </c>
      <c r="E230" s="355">
        <f>WORK!K1974</f>
        <v>143</v>
      </c>
      <c r="F230" s="353">
        <f>ROUND(C230*E230,0)</f>
        <v>0</v>
      </c>
      <c r="G230" s="368"/>
      <c r="H230" s="368"/>
      <c r="I230" s="368">
        <f>C230-G230</f>
        <v>0</v>
      </c>
      <c r="J230" s="368">
        <f>F230-H230</f>
        <v>0</v>
      </c>
      <c r="K230" s="360" t="s">
        <v>2321</v>
      </c>
    </row>
    <row r="231" spans="1:11" s="360" customFormat="1" ht="27" hidden="1" customHeight="1">
      <c r="A231" s="356" t="s">
        <v>508</v>
      </c>
      <c r="B231" s="357" t="s">
        <v>1485</v>
      </c>
      <c r="C231" s="358">
        <f>WORK!I1979</f>
        <v>0</v>
      </c>
      <c r="D231" s="354" t="s">
        <v>115</v>
      </c>
      <c r="E231" s="355">
        <f>WORK!K1979</f>
        <v>157</v>
      </c>
      <c r="F231" s="353">
        <f>ROUND(C231*E231,0)</f>
        <v>0</v>
      </c>
      <c r="G231" s="368"/>
      <c r="H231" s="368"/>
      <c r="I231" s="368">
        <f>C231-G231</f>
        <v>0</v>
      </c>
      <c r="J231" s="368">
        <f>F231-H231</f>
        <v>0</v>
      </c>
      <c r="K231" s="360" t="s">
        <v>2322</v>
      </c>
    </row>
    <row r="232" spans="1:11" s="360" customFormat="1" ht="20.25" customHeight="1">
      <c r="A232" s="356" t="s">
        <v>489</v>
      </c>
      <c r="B232" s="357" t="s">
        <v>477</v>
      </c>
      <c r="C232" s="429">
        <f>WORK!I1989</f>
        <v>4.88</v>
      </c>
      <c r="D232" s="221" t="s">
        <v>29</v>
      </c>
      <c r="E232" s="430">
        <f>WORK!K1989</f>
        <v>62198.5</v>
      </c>
      <c r="F232" s="353">
        <f t="shared" si="12"/>
        <v>303529</v>
      </c>
      <c r="G232" s="353"/>
      <c r="H232" s="353"/>
      <c r="I232" s="368">
        <f t="shared" si="6"/>
        <v>4.88</v>
      </c>
      <c r="J232" s="368">
        <f t="shared" si="7"/>
        <v>303529</v>
      </c>
      <c r="K232" s="360" t="s">
        <v>2226</v>
      </c>
    </row>
    <row r="233" spans="1:11" s="360" customFormat="1" ht="20.25" hidden="1" customHeight="1">
      <c r="A233" s="356" t="s">
        <v>1520</v>
      </c>
      <c r="B233" s="357" t="s">
        <v>477</v>
      </c>
      <c r="C233" s="429">
        <f>WORK!I1994</f>
        <v>0</v>
      </c>
      <c r="D233" s="221" t="s">
        <v>29</v>
      </c>
      <c r="E233" s="430">
        <f>WORK!K1994</f>
        <v>62385</v>
      </c>
      <c r="F233" s="353">
        <f>ROUND(C233*E233,0)</f>
        <v>0</v>
      </c>
      <c r="G233" s="353"/>
      <c r="H233" s="353"/>
      <c r="I233" s="368">
        <f>C233-G233</f>
        <v>0</v>
      </c>
      <c r="J233" s="368">
        <f>F233-H233</f>
        <v>0</v>
      </c>
      <c r="K233" s="360" t="s">
        <v>2308</v>
      </c>
    </row>
    <row r="234" spans="1:11" s="360" customFormat="1" ht="20.25" hidden="1" customHeight="1">
      <c r="A234" s="356" t="s">
        <v>1521</v>
      </c>
      <c r="B234" s="357" t="s">
        <v>477</v>
      </c>
      <c r="C234" s="429">
        <f>WORK!I1999</f>
        <v>0</v>
      </c>
      <c r="D234" s="221" t="s">
        <v>29</v>
      </c>
      <c r="E234" s="430">
        <f>WORK!K1999</f>
        <v>79809.5</v>
      </c>
      <c r="F234" s="353">
        <f>ROUND(C234*E234,0)</f>
        <v>0</v>
      </c>
      <c r="G234" s="353"/>
      <c r="H234" s="353"/>
      <c r="I234" s="368">
        <f>C234-G234</f>
        <v>0</v>
      </c>
      <c r="J234" s="368">
        <f>F234-H234</f>
        <v>0</v>
      </c>
      <c r="K234" s="360" t="s">
        <v>2321</v>
      </c>
    </row>
    <row r="235" spans="1:11" s="360" customFormat="1" ht="20.25" hidden="1" customHeight="1">
      <c r="A235" s="356" t="s">
        <v>488</v>
      </c>
      <c r="B235" s="357" t="s">
        <v>477</v>
      </c>
      <c r="C235" s="429">
        <f>WORK!I2004</f>
        <v>0</v>
      </c>
      <c r="D235" s="221" t="s">
        <v>29</v>
      </c>
      <c r="E235" s="430">
        <f>WORK!K2004</f>
        <v>92466</v>
      </c>
      <c r="F235" s="353">
        <f>ROUND(C235*E235,0)</f>
        <v>0</v>
      </c>
      <c r="G235" s="353"/>
      <c r="H235" s="353"/>
      <c r="I235" s="368">
        <f>C235-G235</f>
        <v>0</v>
      </c>
      <c r="J235" s="368">
        <f>F235-H235</f>
        <v>0</v>
      </c>
      <c r="K235" s="360" t="s">
        <v>2322</v>
      </c>
    </row>
    <row r="236" spans="1:11" s="360" customFormat="1" ht="20.25" hidden="1" customHeight="1">
      <c r="A236" s="356"/>
      <c r="B236" s="431" t="s">
        <v>496</v>
      </c>
      <c r="C236" s="358"/>
      <c r="D236" s="361"/>
      <c r="E236" s="355"/>
      <c r="F236" s="353">
        <f t="shared" si="12"/>
        <v>0</v>
      </c>
      <c r="G236" s="368"/>
      <c r="H236" s="368"/>
      <c r="I236" s="368">
        <f t="shared" si="6"/>
        <v>0</v>
      </c>
      <c r="J236" s="368">
        <f t="shared" si="7"/>
        <v>0</v>
      </c>
      <c r="K236" s="360" t="s">
        <v>2226</v>
      </c>
    </row>
    <row r="237" spans="1:11" s="360" customFormat="1" ht="20.25" hidden="1" customHeight="1">
      <c r="A237" s="356" t="s">
        <v>491</v>
      </c>
      <c r="B237" s="357" t="s">
        <v>2110</v>
      </c>
      <c r="C237" s="358">
        <f>FF!I16</f>
        <v>0</v>
      </c>
      <c r="D237" s="354" t="s">
        <v>5</v>
      </c>
      <c r="E237" s="355">
        <f>FF!K16</f>
        <v>9806.8100000000013</v>
      </c>
      <c r="F237" s="353">
        <f t="shared" si="12"/>
        <v>0</v>
      </c>
      <c r="G237" s="368"/>
      <c r="H237" s="368"/>
      <c r="I237" s="368">
        <f t="shared" si="6"/>
        <v>0</v>
      </c>
      <c r="J237" s="368">
        <f t="shared" si="7"/>
        <v>0</v>
      </c>
      <c r="K237" s="360" t="s">
        <v>2226</v>
      </c>
    </row>
    <row r="238" spans="1:11" s="360" customFormat="1" ht="20.25" hidden="1" customHeight="1">
      <c r="A238" s="356" t="s">
        <v>1516</v>
      </c>
      <c r="B238" s="357" t="s">
        <v>2110</v>
      </c>
      <c r="C238" s="358">
        <f>FF!I21</f>
        <v>0</v>
      </c>
      <c r="D238" s="354" t="s">
        <v>5</v>
      </c>
      <c r="E238" s="355">
        <f>FF!K21</f>
        <v>10177.17</v>
      </c>
      <c r="F238" s="353">
        <f>ROUND(C238*E238,0)</f>
        <v>0</v>
      </c>
      <c r="G238" s="368"/>
      <c r="H238" s="368"/>
      <c r="I238" s="368">
        <f>C238-G238</f>
        <v>0</v>
      </c>
      <c r="J238" s="368">
        <f>F238-H238</f>
        <v>0</v>
      </c>
      <c r="K238" s="360" t="s">
        <v>2308</v>
      </c>
    </row>
    <row r="239" spans="1:11" s="360" customFormat="1" ht="20.25" hidden="1" customHeight="1">
      <c r="A239" s="356" t="s">
        <v>1516</v>
      </c>
      <c r="B239" s="357" t="s">
        <v>2110</v>
      </c>
      <c r="C239" s="358">
        <f>FF!I30</f>
        <v>0</v>
      </c>
      <c r="D239" s="354" t="s">
        <v>5</v>
      </c>
      <c r="E239" s="355">
        <f>FF!K30</f>
        <v>10761.36</v>
      </c>
      <c r="F239" s="353">
        <f>ROUND(C239*E239,0)</f>
        <v>0</v>
      </c>
      <c r="G239" s="368"/>
      <c r="H239" s="368"/>
      <c r="I239" s="368">
        <f>C239-G239</f>
        <v>0</v>
      </c>
      <c r="J239" s="368">
        <f>F239-H239</f>
        <v>0</v>
      </c>
      <c r="K239" s="360" t="s">
        <v>2321</v>
      </c>
    </row>
    <row r="240" spans="1:11" s="360" customFormat="1" ht="20.25" hidden="1" customHeight="1">
      <c r="A240" s="356" t="s">
        <v>1516</v>
      </c>
      <c r="B240" s="357" t="s">
        <v>2110</v>
      </c>
      <c r="C240" s="358">
        <f>FF!I35</f>
        <v>0</v>
      </c>
      <c r="D240" s="354" t="s">
        <v>5</v>
      </c>
      <c r="E240" s="355">
        <f>FF!K35</f>
        <v>11192.01</v>
      </c>
      <c r="F240" s="353">
        <f>ROUND(C240*E240,0)</f>
        <v>0</v>
      </c>
      <c r="G240" s="368"/>
      <c r="H240" s="368"/>
      <c r="I240" s="368">
        <f>C240-G240</f>
        <v>0</v>
      </c>
      <c r="J240" s="368">
        <f>F240-H240</f>
        <v>0</v>
      </c>
      <c r="K240" s="360" t="s">
        <v>2322</v>
      </c>
    </row>
    <row r="241" spans="1:11" s="360" customFormat="1" ht="20.25" hidden="1" customHeight="1">
      <c r="A241" s="356" t="s">
        <v>1516</v>
      </c>
      <c r="B241" s="357" t="s">
        <v>2019</v>
      </c>
      <c r="C241" s="358">
        <f>FF!I59</f>
        <v>0</v>
      </c>
      <c r="D241" s="354" t="s">
        <v>5</v>
      </c>
      <c r="E241" s="355">
        <f>FF!K59</f>
        <v>9468.130000000001</v>
      </c>
      <c r="F241" s="353">
        <f t="shared" si="12"/>
        <v>0</v>
      </c>
      <c r="G241" s="368"/>
      <c r="H241" s="368"/>
      <c r="I241" s="368">
        <f t="shared" si="6"/>
        <v>0</v>
      </c>
      <c r="J241" s="368">
        <f t="shared" si="7"/>
        <v>0</v>
      </c>
      <c r="K241" s="360" t="s">
        <v>2226</v>
      </c>
    </row>
    <row r="242" spans="1:11" s="360" customFormat="1" ht="20.25" hidden="1" customHeight="1">
      <c r="A242" s="356" t="s">
        <v>494</v>
      </c>
      <c r="B242" s="357" t="s">
        <v>2019</v>
      </c>
      <c r="C242" s="358">
        <f>FF!I74</f>
        <v>0</v>
      </c>
      <c r="D242" s="354" t="s">
        <v>5</v>
      </c>
      <c r="E242" s="355">
        <f>FF!K74</f>
        <v>9694.16</v>
      </c>
      <c r="F242" s="353">
        <f>ROUND(C242*E242,0)</f>
        <v>0</v>
      </c>
      <c r="G242" s="368"/>
      <c r="H242" s="368"/>
      <c r="I242" s="368">
        <f>C242-G242</f>
        <v>0</v>
      </c>
      <c r="J242" s="368">
        <f>F242-H242</f>
        <v>0</v>
      </c>
      <c r="K242" s="360" t="s">
        <v>2308</v>
      </c>
    </row>
    <row r="243" spans="1:11" s="360" customFormat="1" ht="20.25" hidden="1" customHeight="1">
      <c r="A243" s="356" t="s">
        <v>492</v>
      </c>
      <c r="B243" s="357" t="s">
        <v>2019</v>
      </c>
      <c r="C243" s="358">
        <f>FF!I98</f>
        <v>0</v>
      </c>
      <c r="D243" s="354" t="s">
        <v>5</v>
      </c>
      <c r="E243" s="355">
        <f>FF!K98</f>
        <v>10194.73</v>
      </c>
      <c r="F243" s="353">
        <f>ROUND(C243*E243,0)</f>
        <v>0</v>
      </c>
      <c r="G243" s="368"/>
      <c r="H243" s="368"/>
      <c r="I243" s="368">
        <f>C243-G243</f>
        <v>0</v>
      </c>
      <c r="J243" s="368">
        <f>F243-H243</f>
        <v>0</v>
      </c>
      <c r="K243" s="360" t="s">
        <v>2321</v>
      </c>
    </row>
    <row r="244" spans="1:11" s="360" customFormat="1" ht="20.25" hidden="1" customHeight="1">
      <c r="A244" s="356" t="s">
        <v>492</v>
      </c>
      <c r="B244" s="357" t="s">
        <v>2019</v>
      </c>
      <c r="C244" s="358">
        <f>FF!I104</f>
        <v>0</v>
      </c>
      <c r="D244" s="354" t="s">
        <v>5</v>
      </c>
      <c r="E244" s="355">
        <f>FF!K104</f>
        <v>10490.18</v>
      </c>
      <c r="F244" s="353">
        <f>ROUND(C244*E244,0)</f>
        <v>0</v>
      </c>
      <c r="G244" s="368"/>
      <c r="H244" s="368"/>
      <c r="I244" s="368">
        <f>C244-G244</f>
        <v>0</v>
      </c>
      <c r="J244" s="368">
        <f>F244-H244</f>
        <v>0</v>
      </c>
      <c r="K244" s="360" t="s">
        <v>2322</v>
      </c>
    </row>
    <row r="245" spans="1:11" s="360" customFormat="1" ht="20.25" hidden="1" customHeight="1">
      <c r="A245" s="356" t="s">
        <v>492</v>
      </c>
      <c r="B245" s="357" t="s">
        <v>2013</v>
      </c>
      <c r="C245" s="358">
        <f>FF!I140</f>
        <v>0</v>
      </c>
      <c r="D245" s="354" t="s">
        <v>102</v>
      </c>
      <c r="E245" s="355">
        <f>FF!K140</f>
        <v>1231.97</v>
      </c>
      <c r="F245" s="353">
        <f t="shared" si="12"/>
        <v>0</v>
      </c>
      <c r="G245" s="368"/>
      <c r="H245" s="368"/>
      <c r="I245" s="368">
        <f t="shared" si="6"/>
        <v>0</v>
      </c>
      <c r="J245" s="368">
        <f t="shared" si="7"/>
        <v>0</v>
      </c>
      <c r="K245" s="360" t="s">
        <v>2226</v>
      </c>
    </row>
    <row r="246" spans="1:11" s="360" customFormat="1" ht="20.25" hidden="1" customHeight="1">
      <c r="A246" s="356" t="s">
        <v>495</v>
      </c>
      <c r="B246" s="357" t="s">
        <v>2013</v>
      </c>
      <c r="C246" s="358">
        <f>FF!I146</f>
        <v>0</v>
      </c>
      <c r="D246" s="354" t="s">
        <v>102</v>
      </c>
      <c r="E246" s="355">
        <f>FF!K146</f>
        <v>1269.73</v>
      </c>
      <c r="F246" s="353">
        <f>ROUND(C246*E246,0)</f>
        <v>0</v>
      </c>
      <c r="G246" s="368"/>
      <c r="H246" s="368"/>
      <c r="I246" s="368">
        <f>C246-G246</f>
        <v>0</v>
      </c>
      <c r="J246" s="368">
        <f>F246-H246</f>
        <v>0</v>
      </c>
      <c r="K246" s="360" t="s">
        <v>2308</v>
      </c>
    </row>
    <row r="247" spans="1:11" s="360" customFormat="1" ht="20.25" hidden="1" customHeight="1">
      <c r="A247" s="356" t="s">
        <v>493</v>
      </c>
      <c r="B247" s="357" t="s">
        <v>2013</v>
      </c>
      <c r="C247" s="358">
        <f>FF!I153</f>
        <v>0</v>
      </c>
      <c r="D247" s="354" t="s">
        <v>102</v>
      </c>
      <c r="E247" s="355">
        <f>FF!K153</f>
        <v>1350.5700000000002</v>
      </c>
      <c r="F247" s="353">
        <f>ROUND(C247*E247,0)</f>
        <v>0</v>
      </c>
      <c r="G247" s="368"/>
      <c r="H247" s="368"/>
      <c r="I247" s="368">
        <f>C247-G247</f>
        <v>0</v>
      </c>
      <c r="J247" s="368">
        <f>F247-H247</f>
        <v>0</v>
      </c>
      <c r="K247" s="360" t="s">
        <v>2321</v>
      </c>
    </row>
    <row r="248" spans="1:11" s="360" customFormat="1" ht="20.25" hidden="1" customHeight="1">
      <c r="A248" s="356" t="s">
        <v>493</v>
      </c>
      <c r="B248" s="357" t="s">
        <v>2013</v>
      </c>
      <c r="C248" s="358">
        <f>FF!I159</f>
        <v>0</v>
      </c>
      <c r="D248" s="354" t="s">
        <v>102</v>
      </c>
      <c r="E248" s="355">
        <f>FF!K159</f>
        <v>1395.89</v>
      </c>
      <c r="F248" s="353">
        <f>ROUND(C248*E248,0)</f>
        <v>0</v>
      </c>
      <c r="G248" s="368"/>
      <c r="H248" s="368"/>
      <c r="I248" s="368">
        <f>C248-G248</f>
        <v>0</v>
      </c>
      <c r="J248" s="368">
        <f>F248-H248</f>
        <v>0</v>
      </c>
      <c r="K248" s="360" t="s">
        <v>2322</v>
      </c>
    </row>
    <row r="249" spans="1:11" s="360" customFormat="1" ht="20.25" hidden="1" customHeight="1">
      <c r="A249" s="356" t="s">
        <v>487</v>
      </c>
      <c r="B249" s="357" t="s">
        <v>2227</v>
      </c>
      <c r="C249" s="358">
        <f>FF!I164</f>
        <v>0</v>
      </c>
      <c r="D249" s="354" t="s">
        <v>102</v>
      </c>
      <c r="E249" s="355">
        <f>FF!K164</f>
        <v>1107.81</v>
      </c>
      <c r="F249" s="353">
        <f t="shared" si="12"/>
        <v>0</v>
      </c>
      <c r="G249" s="368"/>
      <c r="H249" s="368"/>
      <c r="I249" s="368">
        <f t="shared" si="6"/>
        <v>0</v>
      </c>
      <c r="J249" s="368">
        <f t="shared" si="7"/>
        <v>0</v>
      </c>
      <c r="K249" s="360" t="s">
        <v>2226</v>
      </c>
    </row>
    <row r="250" spans="1:11" s="360" customFormat="1" ht="20.25" hidden="1" customHeight="1">
      <c r="A250" s="356" t="s">
        <v>487</v>
      </c>
      <c r="B250" s="357" t="s">
        <v>2227</v>
      </c>
      <c r="C250" s="358">
        <f>FF!I169</f>
        <v>0</v>
      </c>
      <c r="D250" s="354" t="s">
        <v>102</v>
      </c>
      <c r="E250" s="355">
        <f>FF!K169</f>
        <v>1140.19</v>
      </c>
      <c r="F250" s="353">
        <f>ROUND(C250*E250,0)</f>
        <v>0</v>
      </c>
      <c r="G250" s="368"/>
      <c r="H250" s="368"/>
      <c r="I250" s="368">
        <f>C250-G250</f>
        <v>0</v>
      </c>
      <c r="J250" s="368">
        <f>F250-H250</f>
        <v>0</v>
      </c>
      <c r="K250" s="360" t="s">
        <v>2308</v>
      </c>
    </row>
    <row r="251" spans="1:11" s="360" customFormat="1" ht="20.25" hidden="1" customHeight="1">
      <c r="A251" s="356" t="s">
        <v>487</v>
      </c>
      <c r="B251" s="357" t="s">
        <v>2227</v>
      </c>
      <c r="C251" s="358">
        <f>FF!I174</f>
        <v>0</v>
      </c>
      <c r="D251" s="354" t="s">
        <v>102</v>
      </c>
      <c r="E251" s="355">
        <f>FF!K174</f>
        <v>1214.83</v>
      </c>
      <c r="F251" s="353">
        <f>ROUND(C251*E251,0)</f>
        <v>0</v>
      </c>
      <c r="G251" s="368"/>
      <c r="H251" s="368"/>
      <c r="I251" s="368">
        <f>C251-G251</f>
        <v>0</v>
      </c>
      <c r="J251" s="368">
        <f>F251-H251</f>
        <v>0</v>
      </c>
      <c r="K251" s="360" t="s">
        <v>2321</v>
      </c>
    </row>
    <row r="252" spans="1:11" s="360" customFormat="1" ht="20.25" hidden="1" customHeight="1">
      <c r="A252" s="356" t="s">
        <v>487</v>
      </c>
      <c r="B252" s="357" t="s">
        <v>2227</v>
      </c>
      <c r="C252" s="358">
        <f>FF!I179</f>
        <v>0</v>
      </c>
      <c r="D252" s="354" t="s">
        <v>102</v>
      </c>
      <c r="E252" s="355">
        <f>FF!K179</f>
        <v>1253.01</v>
      </c>
      <c r="F252" s="353">
        <f>ROUND(C252*E252,0)</f>
        <v>0</v>
      </c>
      <c r="G252" s="368"/>
      <c r="H252" s="368"/>
      <c r="I252" s="368">
        <f>C252-G252</f>
        <v>0</v>
      </c>
      <c r="J252" s="368">
        <f>F252-H252</f>
        <v>0</v>
      </c>
      <c r="K252" s="360" t="s">
        <v>2322</v>
      </c>
    </row>
    <row r="253" spans="1:11" s="360" customFormat="1" ht="20.25" hidden="1" customHeight="1">
      <c r="A253" s="356" t="s">
        <v>493</v>
      </c>
      <c r="B253" s="357" t="s">
        <v>2014</v>
      </c>
      <c r="C253" s="358">
        <f>FF!I112</f>
        <v>0</v>
      </c>
      <c r="D253" s="221" t="s">
        <v>102</v>
      </c>
      <c r="E253" s="355">
        <f>FF!K112</f>
        <v>1356.1200000000001</v>
      </c>
      <c r="F253" s="353">
        <f t="shared" si="12"/>
        <v>0</v>
      </c>
      <c r="G253" s="368"/>
      <c r="H253" s="368"/>
      <c r="I253" s="368">
        <f t="shared" si="6"/>
        <v>0</v>
      </c>
      <c r="J253" s="368">
        <f t="shared" si="7"/>
        <v>0</v>
      </c>
      <c r="K253" s="360" t="s">
        <v>2226</v>
      </c>
    </row>
    <row r="254" spans="1:11" s="360" customFormat="1" ht="20.25" hidden="1" customHeight="1">
      <c r="A254" s="356" t="s">
        <v>1517</v>
      </c>
      <c r="B254" s="357" t="s">
        <v>2014</v>
      </c>
      <c r="C254" s="358">
        <f>FF!I120</f>
        <v>0</v>
      </c>
      <c r="D254" s="221" t="s">
        <v>102</v>
      </c>
      <c r="E254" s="355">
        <f>FF!K120</f>
        <v>1399.27</v>
      </c>
      <c r="F254" s="353">
        <f>ROUND(C254*E254,0)</f>
        <v>0</v>
      </c>
      <c r="G254" s="368"/>
      <c r="H254" s="368"/>
      <c r="I254" s="368">
        <f>C254-G254</f>
        <v>0</v>
      </c>
      <c r="J254" s="368">
        <f>F254-H254</f>
        <v>0</v>
      </c>
      <c r="K254" s="360" t="s">
        <v>2308</v>
      </c>
    </row>
    <row r="255" spans="1:11" s="360" customFormat="1" ht="20.25" hidden="1" customHeight="1">
      <c r="A255" s="356" t="s">
        <v>494</v>
      </c>
      <c r="B255" s="357" t="s">
        <v>2014</v>
      </c>
      <c r="C255" s="358">
        <f>FF!I128</f>
        <v>0</v>
      </c>
      <c r="D255" s="221" t="s">
        <v>102</v>
      </c>
      <c r="E255" s="355">
        <f>FF!K128</f>
        <v>1486.3000000000002</v>
      </c>
      <c r="F255" s="353">
        <f>ROUND(C255*E255,0)</f>
        <v>0</v>
      </c>
      <c r="G255" s="368"/>
      <c r="H255" s="368"/>
      <c r="I255" s="368">
        <f>C255-G255</f>
        <v>0</v>
      </c>
      <c r="J255" s="368">
        <f>F255-H255</f>
        <v>0</v>
      </c>
      <c r="K255" s="360" t="s">
        <v>2321</v>
      </c>
    </row>
    <row r="256" spans="1:11" s="360" customFormat="1" ht="20.25" hidden="1" customHeight="1">
      <c r="A256" s="356" t="s">
        <v>494</v>
      </c>
      <c r="B256" s="357" t="s">
        <v>2014</v>
      </c>
      <c r="C256" s="358">
        <f>FF!I133</f>
        <v>0</v>
      </c>
      <c r="D256" s="221" t="s">
        <v>102</v>
      </c>
      <c r="E256" s="355">
        <f>FF!K133</f>
        <v>1538.77</v>
      </c>
      <c r="F256" s="353">
        <f>ROUND(C256*E256,0)</f>
        <v>0</v>
      </c>
      <c r="G256" s="368"/>
      <c r="H256" s="368"/>
      <c r="I256" s="368">
        <f>C256-G256</f>
        <v>0</v>
      </c>
      <c r="J256" s="368">
        <f>F256-H256</f>
        <v>0</v>
      </c>
      <c r="K256" s="360" t="s">
        <v>2322</v>
      </c>
    </row>
    <row r="257" spans="1:11" s="360" customFormat="1" ht="20.25" hidden="1" customHeight="1">
      <c r="A257" s="356" t="s">
        <v>517</v>
      </c>
      <c r="B257" s="357" t="s">
        <v>2228</v>
      </c>
      <c r="C257" s="358">
        <f>FF!I185</f>
        <v>0</v>
      </c>
      <c r="D257" s="221" t="s">
        <v>102</v>
      </c>
      <c r="E257" s="355">
        <f>FF!K185</f>
        <v>608.34999999999991</v>
      </c>
      <c r="F257" s="353">
        <f t="shared" si="12"/>
        <v>0</v>
      </c>
      <c r="G257" s="368"/>
      <c r="H257" s="368"/>
      <c r="I257" s="368">
        <f t="shared" si="6"/>
        <v>0</v>
      </c>
      <c r="J257" s="368">
        <f t="shared" si="7"/>
        <v>0</v>
      </c>
      <c r="K257" s="360" t="s">
        <v>2226</v>
      </c>
    </row>
    <row r="258" spans="1:11" s="360" customFormat="1" ht="20.25" hidden="1" customHeight="1">
      <c r="A258" s="356" t="s">
        <v>517</v>
      </c>
      <c r="B258" s="357" t="s">
        <v>2228</v>
      </c>
      <c r="C258" s="358">
        <f>FF!I191</f>
        <v>0</v>
      </c>
      <c r="D258" s="221" t="s">
        <v>102</v>
      </c>
      <c r="E258" s="355">
        <f>FF!K191</f>
        <v>629.79</v>
      </c>
      <c r="F258" s="353">
        <f>ROUND(C258*E258,0)</f>
        <v>0</v>
      </c>
      <c r="G258" s="368"/>
      <c r="H258" s="368"/>
      <c r="I258" s="368">
        <f>C258-G258</f>
        <v>0</v>
      </c>
      <c r="J258" s="368">
        <f>F258-H258</f>
        <v>0</v>
      </c>
      <c r="K258" s="360" t="s">
        <v>2308</v>
      </c>
    </row>
    <row r="259" spans="1:11" s="360" customFormat="1" ht="20.25" hidden="1" customHeight="1">
      <c r="A259" s="356" t="s">
        <v>517</v>
      </c>
      <c r="B259" s="357" t="s">
        <v>2228</v>
      </c>
      <c r="C259" s="358">
        <f>FF!I197</f>
        <v>0</v>
      </c>
      <c r="D259" s="221" t="s">
        <v>102</v>
      </c>
      <c r="E259" s="355">
        <f>FF!K197</f>
        <v>670.91</v>
      </c>
      <c r="F259" s="353">
        <f>ROUND(C259*E259,0)</f>
        <v>0</v>
      </c>
      <c r="G259" s="368"/>
      <c r="H259" s="368"/>
      <c r="I259" s="368">
        <f>C259-G259</f>
        <v>0</v>
      </c>
      <c r="J259" s="368">
        <f>F259-H259</f>
        <v>0</v>
      </c>
      <c r="K259" s="360" t="s">
        <v>2321</v>
      </c>
    </row>
    <row r="260" spans="1:11" s="360" customFormat="1" ht="20.25" hidden="1" customHeight="1">
      <c r="A260" s="356" t="s">
        <v>517</v>
      </c>
      <c r="B260" s="357" t="s">
        <v>2228</v>
      </c>
      <c r="C260" s="358">
        <f>FF!I203</f>
        <v>0</v>
      </c>
      <c r="D260" s="221" t="s">
        <v>102</v>
      </c>
      <c r="E260" s="355">
        <f>FF!K203</f>
        <v>694.54</v>
      </c>
      <c r="F260" s="353">
        <f>ROUND(C260*E260,0)</f>
        <v>0</v>
      </c>
      <c r="G260" s="368"/>
      <c r="H260" s="368"/>
      <c r="I260" s="368">
        <f>C260-G260</f>
        <v>0</v>
      </c>
      <c r="J260" s="368">
        <f>F260-H260</f>
        <v>0</v>
      </c>
      <c r="K260" s="360" t="s">
        <v>2322</v>
      </c>
    </row>
    <row r="261" spans="1:11" s="360" customFormat="1" ht="20.25" hidden="1" customHeight="1">
      <c r="A261" s="356" t="s">
        <v>517</v>
      </c>
      <c r="B261" s="357" t="s">
        <v>2229</v>
      </c>
      <c r="C261" s="358">
        <f>FF!I209</f>
        <v>0</v>
      </c>
      <c r="D261" s="221" t="s">
        <v>102</v>
      </c>
      <c r="E261" s="355">
        <f>FF!K209</f>
        <v>485.58</v>
      </c>
      <c r="F261" s="353">
        <f t="shared" si="12"/>
        <v>0</v>
      </c>
      <c r="G261" s="368"/>
      <c r="H261" s="368"/>
      <c r="I261" s="368">
        <f t="shared" si="6"/>
        <v>0</v>
      </c>
      <c r="J261" s="368">
        <f t="shared" si="7"/>
        <v>0</v>
      </c>
      <c r="K261" s="360" t="s">
        <v>2226</v>
      </c>
    </row>
    <row r="262" spans="1:11" s="360" customFormat="1" ht="20.25" hidden="1" customHeight="1">
      <c r="A262" s="356" t="s">
        <v>517</v>
      </c>
      <c r="B262" s="357" t="s">
        <v>2229</v>
      </c>
      <c r="C262" s="358">
        <f>FF!I215</f>
        <v>0</v>
      </c>
      <c r="D262" s="221" t="s">
        <v>102</v>
      </c>
      <c r="E262" s="355">
        <f>FF!K215</f>
        <v>501.74</v>
      </c>
      <c r="F262" s="353">
        <f>ROUND(C262*E262,0)</f>
        <v>0</v>
      </c>
      <c r="G262" s="368"/>
      <c r="H262" s="368"/>
      <c r="I262" s="368">
        <f>C262-G262</f>
        <v>0</v>
      </c>
      <c r="J262" s="368">
        <f>F262-H262</f>
        <v>0</v>
      </c>
      <c r="K262" s="360" t="s">
        <v>2308</v>
      </c>
    </row>
    <row r="263" spans="1:11" s="360" customFormat="1" ht="20.25" hidden="1" customHeight="1">
      <c r="A263" s="356" t="s">
        <v>517</v>
      </c>
      <c r="B263" s="357" t="s">
        <v>2229</v>
      </c>
      <c r="C263" s="358">
        <f>FF!I221</f>
        <v>0</v>
      </c>
      <c r="D263" s="221" t="s">
        <v>102</v>
      </c>
      <c r="E263" s="355">
        <f>FF!K221</f>
        <v>536.78</v>
      </c>
      <c r="F263" s="353">
        <f>ROUND(C263*E263,0)</f>
        <v>0</v>
      </c>
      <c r="G263" s="368"/>
      <c r="H263" s="368"/>
      <c r="I263" s="368">
        <f>C263-G263</f>
        <v>0</v>
      </c>
      <c r="J263" s="368">
        <f>F263-H263</f>
        <v>0</v>
      </c>
      <c r="K263" s="360" t="s">
        <v>2321</v>
      </c>
    </row>
    <row r="264" spans="1:11" s="360" customFormat="1" ht="20.25" hidden="1" customHeight="1">
      <c r="A264" s="356" t="s">
        <v>517</v>
      </c>
      <c r="B264" s="357" t="s">
        <v>2229</v>
      </c>
      <c r="C264" s="358">
        <f>FF!I227</f>
        <v>0</v>
      </c>
      <c r="D264" s="221" t="s">
        <v>102</v>
      </c>
      <c r="E264" s="355">
        <f>FF!K227</f>
        <v>553.39</v>
      </c>
      <c r="F264" s="353">
        <f>ROUND(C264*E264,0)</f>
        <v>0</v>
      </c>
      <c r="G264" s="368"/>
      <c r="H264" s="368"/>
      <c r="I264" s="368">
        <f>C264-G264</f>
        <v>0</v>
      </c>
      <c r="J264" s="368">
        <f>F264-H264</f>
        <v>0</v>
      </c>
      <c r="K264" s="360" t="s">
        <v>2322</v>
      </c>
    </row>
    <row r="265" spans="1:11" s="360" customFormat="1" ht="20.25" hidden="1" customHeight="1">
      <c r="A265" s="356" t="s">
        <v>494</v>
      </c>
      <c r="B265" s="357" t="s">
        <v>2015</v>
      </c>
      <c r="C265" s="358">
        <f>FF!I238</f>
        <v>0</v>
      </c>
      <c r="D265" s="354" t="s">
        <v>5</v>
      </c>
      <c r="E265" s="355">
        <f>FF!K238</f>
        <v>9842.01</v>
      </c>
      <c r="F265" s="353">
        <f t="shared" si="12"/>
        <v>0</v>
      </c>
      <c r="G265" s="368"/>
      <c r="H265" s="368"/>
      <c r="I265" s="368">
        <f t="shared" si="6"/>
        <v>0</v>
      </c>
      <c r="J265" s="368">
        <f t="shared" si="7"/>
        <v>0</v>
      </c>
      <c r="K265" s="360" t="s">
        <v>2226</v>
      </c>
    </row>
    <row r="266" spans="1:11" s="360" customFormat="1" ht="20.25" hidden="1" customHeight="1">
      <c r="A266" s="356" t="s">
        <v>1518</v>
      </c>
      <c r="B266" s="357" t="s">
        <v>2015</v>
      </c>
      <c r="C266" s="358">
        <f>FF!I259</f>
        <v>0</v>
      </c>
      <c r="D266" s="354" t="s">
        <v>5</v>
      </c>
      <c r="E266" s="355">
        <f>FF!K259</f>
        <v>10212.370000000001</v>
      </c>
      <c r="F266" s="353">
        <f>ROUND(C266*E266,0)</f>
        <v>0</v>
      </c>
      <c r="G266" s="368"/>
      <c r="H266" s="368"/>
      <c r="I266" s="368">
        <f>C266-G266</f>
        <v>0</v>
      </c>
      <c r="J266" s="368">
        <f>F266-H266</f>
        <v>0</v>
      </c>
      <c r="K266" s="360" t="s">
        <v>2308</v>
      </c>
    </row>
    <row r="267" spans="1:11" s="360" customFormat="1" ht="20.25" hidden="1" customHeight="1">
      <c r="A267" s="356" t="s">
        <v>1520</v>
      </c>
      <c r="B267" s="357" t="s">
        <v>2015</v>
      </c>
      <c r="C267" s="358">
        <f>FF!I270</f>
        <v>0</v>
      </c>
      <c r="D267" s="354" t="s">
        <v>5</v>
      </c>
      <c r="E267" s="355">
        <f>FF!K270</f>
        <v>10781.86</v>
      </c>
      <c r="F267" s="353">
        <f>ROUND(C267*E267,0)</f>
        <v>0</v>
      </c>
      <c r="G267" s="368"/>
      <c r="H267" s="368"/>
      <c r="I267" s="368">
        <f>C267-G267</f>
        <v>0</v>
      </c>
      <c r="J267" s="368">
        <f>F267-H267</f>
        <v>0</v>
      </c>
      <c r="K267" s="360" t="s">
        <v>2321</v>
      </c>
    </row>
    <row r="268" spans="1:11" s="360" customFormat="1" ht="20.25" hidden="1" customHeight="1">
      <c r="A268" s="356" t="s">
        <v>1520</v>
      </c>
      <c r="B268" s="357" t="s">
        <v>2015</v>
      </c>
      <c r="C268" s="358">
        <f>FF!I276</f>
        <v>0</v>
      </c>
      <c r="D268" s="354" t="s">
        <v>5</v>
      </c>
      <c r="E268" s="355">
        <f>FF!K276</f>
        <v>11212.51</v>
      </c>
      <c r="F268" s="353">
        <f>ROUND(C268*E268,0)</f>
        <v>0</v>
      </c>
      <c r="G268" s="368"/>
      <c r="H268" s="368"/>
      <c r="I268" s="368">
        <f>C268-G268</f>
        <v>0</v>
      </c>
      <c r="J268" s="368">
        <f>F268-H268</f>
        <v>0</v>
      </c>
      <c r="K268" s="360" t="s">
        <v>2322</v>
      </c>
    </row>
    <row r="269" spans="1:11" s="360" customFormat="1" ht="20.25" hidden="1" customHeight="1">
      <c r="A269" s="356" t="s">
        <v>495</v>
      </c>
      <c r="B269" s="357" t="s">
        <v>2016</v>
      </c>
      <c r="C269" s="358">
        <f>FF!I282</f>
        <v>0</v>
      </c>
      <c r="D269" s="221" t="s">
        <v>277</v>
      </c>
      <c r="E269" s="355">
        <f>FF!K282</f>
        <v>568.34999999999991</v>
      </c>
      <c r="F269" s="353">
        <f t="shared" si="12"/>
        <v>0</v>
      </c>
      <c r="G269" s="368"/>
      <c r="H269" s="368"/>
      <c r="I269" s="368">
        <f t="shared" si="6"/>
        <v>0</v>
      </c>
      <c r="J269" s="368">
        <f t="shared" si="7"/>
        <v>0</v>
      </c>
      <c r="K269" s="360" t="s">
        <v>2226</v>
      </c>
    </row>
    <row r="270" spans="1:11" s="360" customFormat="1" ht="20.25" hidden="1" customHeight="1">
      <c r="A270" s="356" t="s">
        <v>1519</v>
      </c>
      <c r="B270" s="357" t="s">
        <v>2016</v>
      </c>
      <c r="C270" s="358">
        <f>FF!I288</f>
        <v>0</v>
      </c>
      <c r="D270" s="221" t="s">
        <v>277</v>
      </c>
      <c r="E270" s="355">
        <f>FF!K288</f>
        <v>582.93999999999994</v>
      </c>
      <c r="F270" s="353">
        <f>ROUND(C270*E270,0)</f>
        <v>0</v>
      </c>
      <c r="G270" s="368"/>
      <c r="H270" s="368"/>
      <c r="I270" s="368">
        <f>C270-G270</f>
        <v>0</v>
      </c>
      <c r="J270" s="368">
        <f>F270-H270</f>
        <v>0</v>
      </c>
      <c r="K270" s="360" t="s">
        <v>2308</v>
      </c>
    </row>
    <row r="271" spans="1:11" s="360" customFormat="1" ht="20.25" hidden="1" customHeight="1">
      <c r="A271" s="356" t="s">
        <v>1521</v>
      </c>
      <c r="B271" s="357" t="s">
        <v>2016</v>
      </c>
      <c r="C271" s="358">
        <f>FF!I295</f>
        <v>0</v>
      </c>
      <c r="D271" s="221" t="s">
        <v>277</v>
      </c>
      <c r="E271" s="355">
        <f>FF!K295</f>
        <v>613.88</v>
      </c>
      <c r="F271" s="353">
        <f>ROUND(C271*E271,0)</f>
        <v>0</v>
      </c>
      <c r="G271" s="368"/>
      <c r="H271" s="368"/>
      <c r="I271" s="368">
        <f>C271-G271</f>
        <v>0</v>
      </c>
      <c r="J271" s="368">
        <f>F271-H271</f>
        <v>0</v>
      </c>
      <c r="K271" s="360" t="s">
        <v>2321</v>
      </c>
    </row>
    <row r="272" spans="1:11" s="360" customFormat="1" ht="20.25" hidden="1" customHeight="1">
      <c r="A272" s="356" t="s">
        <v>1521</v>
      </c>
      <c r="B272" s="357" t="s">
        <v>2016</v>
      </c>
      <c r="C272" s="358">
        <f>FF!I301</f>
        <v>0</v>
      </c>
      <c r="D272" s="221" t="s">
        <v>277</v>
      </c>
      <c r="E272" s="355">
        <f>FF!K301</f>
        <v>630.35</v>
      </c>
      <c r="F272" s="353">
        <f>ROUND(C272*E272,0)</f>
        <v>0</v>
      </c>
      <c r="G272" s="368"/>
      <c r="H272" s="368"/>
      <c r="I272" s="368">
        <f>C272-G272</f>
        <v>0</v>
      </c>
      <c r="J272" s="368">
        <f>F272-H272</f>
        <v>0</v>
      </c>
      <c r="K272" s="360" t="s">
        <v>2322</v>
      </c>
    </row>
    <row r="273" spans="1:11" s="360" customFormat="1" ht="20.25" hidden="1" customHeight="1">
      <c r="A273" s="356" t="s">
        <v>1521</v>
      </c>
      <c r="B273" s="357" t="s">
        <v>2237</v>
      </c>
      <c r="C273" s="358">
        <f>FF!I307</f>
        <v>0</v>
      </c>
      <c r="D273" s="221" t="s">
        <v>102</v>
      </c>
      <c r="E273" s="355">
        <f>FF!K307</f>
        <v>278.81</v>
      </c>
      <c r="F273" s="353">
        <f t="shared" si="12"/>
        <v>0</v>
      </c>
      <c r="G273" s="368"/>
      <c r="H273" s="368"/>
      <c r="I273" s="368">
        <f t="shared" si="6"/>
        <v>0</v>
      </c>
      <c r="J273" s="368">
        <f t="shared" si="7"/>
        <v>0</v>
      </c>
      <c r="K273" s="360" t="s">
        <v>2226</v>
      </c>
    </row>
    <row r="274" spans="1:11" s="360" customFormat="1" ht="20.25" hidden="1" customHeight="1">
      <c r="A274" s="356" t="s">
        <v>1520</v>
      </c>
      <c r="B274" s="357" t="s">
        <v>2237</v>
      </c>
      <c r="C274" s="358">
        <f>FF!I314</f>
        <v>0</v>
      </c>
      <c r="D274" s="221" t="s">
        <v>102</v>
      </c>
      <c r="E274" s="355">
        <f>FF!K314</f>
        <v>300.63</v>
      </c>
      <c r="F274" s="353">
        <f>ROUND(C274*E274,0)</f>
        <v>0</v>
      </c>
      <c r="G274" s="368"/>
      <c r="H274" s="368"/>
      <c r="I274" s="368">
        <f>C274-G274</f>
        <v>0</v>
      </c>
      <c r="J274" s="368">
        <f>F274-H274</f>
        <v>0</v>
      </c>
      <c r="K274" s="360" t="s">
        <v>2308</v>
      </c>
    </row>
    <row r="275" spans="1:11" s="360" customFormat="1" ht="20.25" hidden="1" customHeight="1">
      <c r="A275" s="356" t="s">
        <v>1519</v>
      </c>
      <c r="B275" s="357" t="s">
        <v>2237</v>
      </c>
      <c r="C275" s="358">
        <f>FF!I320</f>
        <v>0</v>
      </c>
      <c r="D275" s="221" t="s">
        <v>102</v>
      </c>
      <c r="E275" s="355">
        <f>FF!K320</f>
        <v>319.08</v>
      </c>
      <c r="F275" s="353">
        <f>ROUND(C275*E275,0)</f>
        <v>0</v>
      </c>
      <c r="G275" s="368"/>
      <c r="H275" s="368"/>
      <c r="I275" s="368">
        <f>C275-G275</f>
        <v>0</v>
      </c>
      <c r="J275" s="368">
        <f>F275-H275</f>
        <v>0</v>
      </c>
      <c r="K275" s="360" t="s">
        <v>2321</v>
      </c>
    </row>
    <row r="276" spans="1:11" s="360" customFormat="1" ht="20.25" hidden="1" customHeight="1">
      <c r="A276" s="356" t="s">
        <v>1519</v>
      </c>
      <c r="B276" s="357" t="s">
        <v>2237</v>
      </c>
      <c r="C276" s="358">
        <f>FF!I326</f>
        <v>0</v>
      </c>
      <c r="D276" s="221" t="s">
        <v>102</v>
      </c>
      <c r="E276" s="355">
        <f>FF!K326</f>
        <v>339.16</v>
      </c>
      <c r="F276" s="353">
        <f>ROUND(C276*E276,0)</f>
        <v>0</v>
      </c>
      <c r="G276" s="368"/>
      <c r="H276" s="368"/>
      <c r="I276" s="368">
        <f>C276-G276</f>
        <v>0</v>
      </c>
      <c r="J276" s="368">
        <f>F276-H276</f>
        <v>0</v>
      </c>
      <c r="K276" s="360" t="s">
        <v>2322</v>
      </c>
    </row>
    <row r="277" spans="1:11" s="360" customFormat="1" ht="20.25" hidden="1" customHeight="1">
      <c r="A277" s="356" t="s">
        <v>520</v>
      </c>
      <c r="B277" s="357" t="s">
        <v>2238</v>
      </c>
      <c r="C277" s="358">
        <f>FF!I332</f>
        <v>0</v>
      </c>
      <c r="D277" s="221" t="s">
        <v>102</v>
      </c>
      <c r="E277" s="355">
        <f>FF!K332</f>
        <v>356.32</v>
      </c>
      <c r="F277" s="353">
        <f t="shared" si="12"/>
        <v>0</v>
      </c>
      <c r="G277" s="368"/>
      <c r="H277" s="368"/>
      <c r="I277" s="368">
        <f t="shared" si="6"/>
        <v>0</v>
      </c>
      <c r="J277" s="368">
        <f t="shared" si="7"/>
        <v>0</v>
      </c>
      <c r="K277" s="360" t="s">
        <v>2226</v>
      </c>
    </row>
    <row r="278" spans="1:11" s="360" customFormat="1" ht="20.25" hidden="1" customHeight="1">
      <c r="A278" s="356" t="s">
        <v>520</v>
      </c>
      <c r="B278" s="357" t="s">
        <v>2238</v>
      </c>
      <c r="C278" s="358">
        <f>FF!I338</f>
        <v>0</v>
      </c>
      <c r="D278" s="221" t="s">
        <v>102</v>
      </c>
      <c r="E278" s="355">
        <f>FF!K338</f>
        <v>385.97</v>
      </c>
      <c r="F278" s="353">
        <f>ROUND(C278*E278,0)</f>
        <v>0</v>
      </c>
      <c r="G278" s="368"/>
      <c r="H278" s="368"/>
      <c r="I278" s="368">
        <f>C278-G278</f>
        <v>0</v>
      </c>
      <c r="J278" s="368">
        <f>F278-H278</f>
        <v>0</v>
      </c>
      <c r="K278" s="360" t="s">
        <v>2308</v>
      </c>
    </row>
    <row r="279" spans="1:11" s="360" customFormat="1" ht="20.25" hidden="1" customHeight="1">
      <c r="A279" s="356" t="s">
        <v>520</v>
      </c>
      <c r="B279" s="357" t="s">
        <v>2238</v>
      </c>
      <c r="C279" s="358">
        <f>FF!I344</f>
        <v>0</v>
      </c>
      <c r="D279" s="221" t="s">
        <v>102</v>
      </c>
      <c r="E279" s="355">
        <f>FF!K344</f>
        <v>410.82</v>
      </c>
      <c r="F279" s="353">
        <f>ROUND(C279*E279,0)</f>
        <v>0</v>
      </c>
      <c r="G279" s="368"/>
      <c r="H279" s="368"/>
      <c r="I279" s="368">
        <f>C279-G279</f>
        <v>0</v>
      </c>
      <c r="J279" s="368">
        <f>F279-H279</f>
        <v>0</v>
      </c>
      <c r="K279" s="360" t="s">
        <v>2321</v>
      </c>
    </row>
    <row r="280" spans="1:11" s="360" customFormat="1" ht="20.25" hidden="1" customHeight="1">
      <c r="A280" s="356" t="s">
        <v>520</v>
      </c>
      <c r="B280" s="357" t="s">
        <v>2238</v>
      </c>
      <c r="C280" s="358">
        <f>FF!I350</f>
        <v>0</v>
      </c>
      <c r="D280" s="221" t="s">
        <v>102</v>
      </c>
      <c r="E280" s="355">
        <f>FF!K350</f>
        <v>438.06</v>
      </c>
      <c r="F280" s="353">
        <f>ROUND(C280*E280,0)</f>
        <v>0</v>
      </c>
      <c r="G280" s="368"/>
      <c r="H280" s="368"/>
      <c r="I280" s="368">
        <f>C280-G280</f>
        <v>0</v>
      </c>
      <c r="J280" s="368">
        <f>F280-H280</f>
        <v>0</v>
      </c>
      <c r="K280" s="360" t="s">
        <v>2322</v>
      </c>
    </row>
    <row r="281" spans="1:11" s="360" customFormat="1" ht="20.25" hidden="1" customHeight="1">
      <c r="A281" s="356" t="s">
        <v>1517</v>
      </c>
      <c r="B281" s="357" t="s">
        <v>2148</v>
      </c>
      <c r="C281" s="358">
        <f>FF!I396</f>
        <v>0</v>
      </c>
      <c r="D281" s="354" t="s">
        <v>5</v>
      </c>
      <c r="E281" s="355">
        <f>FF!K396</f>
        <v>5961.27</v>
      </c>
      <c r="F281" s="353">
        <f t="shared" si="12"/>
        <v>0</v>
      </c>
      <c r="G281" s="368"/>
      <c r="H281" s="368"/>
      <c r="I281" s="368">
        <f t="shared" si="6"/>
        <v>0</v>
      </c>
      <c r="J281" s="368">
        <f t="shared" si="7"/>
        <v>0</v>
      </c>
      <c r="K281" s="360" t="s">
        <v>2226</v>
      </c>
    </row>
    <row r="282" spans="1:11" s="360" customFormat="1" ht="20.25" hidden="1" customHeight="1">
      <c r="A282" s="356" t="s">
        <v>1521</v>
      </c>
      <c r="B282" s="357" t="s">
        <v>2148</v>
      </c>
      <c r="C282" s="358">
        <f>FF!I435</f>
        <v>0</v>
      </c>
      <c r="D282" s="354" t="s">
        <v>5</v>
      </c>
      <c r="E282" s="355">
        <f>FF!K435</f>
        <v>6135.0899999999992</v>
      </c>
      <c r="F282" s="353">
        <f>ROUND(C282*E282,0)</f>
        <v>0</v>
      </c>
      <c r="G282" s="368"/>
      <c r="H282" s="368"/>
      <c r="I282" s="368">
        <f>C282-G282</f>
        <v>0</v>
      </c>
      <c r="J282" s="368">
        <f>F282-H282</f>
        <v>0</v>
      </c>
      <c r="K282" s="360" t="s">
        <v>2308</v>
      </c>
    </row>
    <row r="283" spans="1:11" s="360" customFormat="1" ht="20.25" hidden="1" customHeight="1">
      <c r="A283" s="356" t="s">
        <v>497</v>
      </c>
      <c r="B283" s="357" t="s">
        <v>2148</v>
      </c>
      <c r="C283" s="358">
        <f>FF!I454</f>
        <v>0</v>
      </c>
      <c r="D283" s="354" t="s">
        <v>5</v>
      </c>
      <c r="E283" s="355">
        <f>FF!K454</f>
        <v>6558.3</v>
      </c>
      <c r="F283" s="353">
        <f>ROUND(C283*E283,0)</f>
        <v>0</v>
      </c>
      <c r="G283" s="368"/>
      <c r="H283" s="368"/>
      <c r="I283" s="368">
        <f>C283-G283</f>
        <v>0</v>
      </c>
      <c r="J283" s="368">
        <f>F283-H283</f>
        <v>0</v>
      </c>
      <c r="K283" s="360" t="s">
        <v>2321</v>
      </c>
    </row>
    <row r="284" spans="1:11" s="360" customFormat="1" ht="20.25" hidden="1" customHeight="1">
      <c r="A284" s="356" t="s">
        <v>497</v>
      </c>
      <c r="B284" s="357" t="s">
        <v>2148</v>
      </c>
      <c r="C284" s="358">
        <f>FF!I460</f>
        <v>0</v>
      </c>
      <c r="D284" s="354" t="s">
        <v>5</v>
      </c>
      <c r="E284" s="355">
        <f>FF!K460</f>
        <v>7283.96</v>
      </c>
      <c r="F284" s="353">
        <f>ROUND(C284*E284,0)</f>
        <v>0</v>
      </c>
      <c r="G284" s="368"/>
      <c r="H284" s="368"/>
      <c r="I284" s="368">
        <f>C284-G284</f>
        <v>0</v>
      </c>
      <c r="J284" s="368">
        <f>F284-H284</f>
        <v>0</v>
      </c>
      <c r="K284" s="360" t="s">
        <v>2322</v>
      </c>
    </row>
    <row r="285" spans="1:11" s="360" customFormat="1" ht="20.25" hidden="1" customHeight="1">
      <c r="A285" s="356" t="s">
        <v>491</v>
      </c>
      <c r="B285" s="357" t="s">
        <v>2112</v>
      </c>
      <c r="C285" s="358">
        <f>FF!I356</f>
        <v>0</v>
      </c>
      <c r="D285" s="354" t="s">
        <v>5</v>
      </c>
      <c r="E285" s="355">
        <f>FF!K356</f>
        <v>5904.8700000000008</v>
      </c>
      <c r="F285" s="353">
        <f t="shared" si="12"/>
        <v>0</v>
      </c>
      <c r="G285" s="368"/>
      <c r="H285" s="368"/>
      <c r="I285" s="368">
        <f t="shared" si="6"/>
        <v>0</v>
      </c>
      <c r="J285" s="368">
        <f t="shared" si="7"/>
        <v>0</v>
      </c>
      <c r="K285" s="360" t="s">
        <v>2226</v>
      </c>
    </row>
    <row r="286" spans="1:11" s="360" customFormat="1" ht="20.25" hidden="1" customHeight="1">
      <c r="A286" s="356" t="s">
        <v>491</v>
      </c>
      <c r="B286" s="357" t="s">
        <v>2112</v>
      </c>
      <c r="C286" s="358">
        <f>FF!I362</f>
        <v>0</v>
      </c>
      <c r="D286" s="354" t="s">
        <v>5</v>
      </c>
      <c r="E286" s="355">
        <f>FF!K362</f>
        <v>6078.69</v>
      </c>
      <c r="F286" s="353">
        <f>ROUND(C286*E286,0)</f>
        <v>0</v>
      </c>
      <c r="G286" s="368"/>
      <c r="H286" s="368"/>
      <c r="I286" s="368">
        <f>C286-G286</f>
        <v>0</v>
      </c>
      <c r="J286" s="368">
        <f>F286-H286</f>
        <v>0</v>
      </c>
      <c r="K286" s="360" t="s">
        <v>2308</v>
      </c>
    </row>
    <row r="287" spans="1:11" s="360" customFormat="1" ht="20.25" hidden="1" customHeight="1">
      <c r="A287" s="356" t="s">
        <v>491</v>
      </c>
      <c r="B287" s="357" t="s">
        <v>2112</v>
      </c>
      <c r="C287" s="358">
        <f>FF!I368</f>
        <v>0</v>
      </c>
      <c r="D287" s="354" t="s">
        <v>5</v>
      </c>
      <c r="E287" s="355">
        <f>FF!K368</f>
        <v>6501.9000000000005</v>
      </c>
      <c r="F287" s="353">
        <f>ROUND(C287*E287,0)</f>
        <v>0</v>
      </c>
      <c r="G287" s="368"/>
      <c r="H287" s="368"/>
      <c r="I287" s="368">
        <f>C287-G287</f>
        <v>0</v>
      </c>
      <c r="J287" s="368">
        <f>F287-H287</f>
        <v>0</v>
      </c>
      <c r="K287" s="360" t="s">
        <v>2321</v>
      </c>
    </row>
    <row r="288" spans="1:11" s="360" customFormat="1" ht="20.25" hidden="1" customHeight="1">
      <c r="A288" s="356" t="s">
        <v>491</v>
      </c>
      <c r="B288" s="357" t="s">
        <v>2112</v>
      </c>
      <c r="C288" s="358">
        <f>FF!I374</f>
        <v>0</v>
      </c>
      <c r="D288" s="354" t="s">
        <v>5</v>
      </c>
      <c r="E288" s="355">
        <f>FF!K374</f>
        <v>7227.5599999999995</v>
      </c>
      <c r="F288" s="353">
        <f>ROUND(C288*E288,0)</f>
        <v>0</v>
      </c>
      <c r="G288" s="368"/>
      <c r="H288" s="368"/>
      <c r="I288" s="368">
        <f>C288-G288</f>
        <v>0</v>
      </c>
      <c r="J288" s="368">
        <f>F288-H288</f>
        <v>0</v>
      </c>
      <c r="K288" s="360" t="s">
        <v>2322</v>
      </c>
    </row>
    <row r="289" spans="1:11" s="360" customFormat="1" ht="27" hidden="1" customHeight="1">
      <c r="A289" s="356" t="s">
        <v>1518</v>
      </c>
      <c r="B289" s="27" t="s">
        <v>2149</v>
      </c>
      <c r="C289" s="358">
        <f>FF!I487</f>
        <v>0</v>
      </c>
      <c r="D289" s="354" t="s">
        <v>102</v>
      </c>
      <c r="E289" s="355">
        <f>FF!K487</f>
        <v>767.73</v>
      </c>
      <c r="F289" s="353">
        <f t="shared" ref="F289:F298" si="15">ROUND(C289*E289/1,0)</f>
        <v>0</v>
      </c>
      <c r="G289" s="368"/>
      <c r="H289" s="368"/>
      <c r="I289" s="368">
        <f t="shared" si="6"/>
        <v>0</v>
      </c>
      <c r="J289" s="368">
        <f t="shared" si="7"/>
        <v>0</v>
      </c>
      <c r="K289" s="360" t="s">
        <v>2226</v>
      </c>
    </row>
    <row r="290" spans="1:11" s="360" customFormat="1" ht="27" hidden="1" customHeight="1">
      <c r="A290" s="356" t="s">
        <v>497</v>
      </c>
      <c r="B290" s="27" t="s">
        <v>2149</v>
      </c>
      <c r="C290" s="358">
        <f>FF!I520</f>
        <v>0</v>
      </c>
      <c r="D290" s="354" t="s">
        <v>102</v>
      </c>
      <c r="E290" s="355">
        <f>FF!K520</f>
        <v>791.59</v>
      </c>
      <c r="F290" s="353">
        <f t="shared" si="15"/>
        <v>0</v>
      </c>
      <c r="G290" s="368"/>
      <c r="H290" s="368"/>
      <c r="I290" s="368">
        <f>C290-G290</f>
        <v>0</v>
      </c>
      <c r="J290" s="368">
        <f>F290-H290</f>
        <v>0</v>
      </c>
      <c r="K290" s="360" t="s">
        <v>2308</v>
      </c>
    </row>
    <row r="291" spans="1:11" s="360" customFormat="1" ht="27" hidden="1" customHeight="1">
      <c r="A291" s="356" t="s">
        <v>498</v>
      </c>
      <c r="B291" s="27" t="s">
        <v>2149</v>
      </c>
      <c r="C291" s="358">
        <f>FF!I541</f>
        <v>0</v>
      </c>
      <c r="D291" s="354" t="s">
        <v>102</v>
      </c>
      <c r="E291" s="355">
        <f>FF!K541</f>
        <v>845.07</v>
      </c>
      <c r="F291" s="353">
        <f>ROUND(C291*E291/1,0)</f>
        <v>0</v>
      </c>
      <c r="G291" s="368"/>
      <c r="H291" s="368"/>
      <c r="I291" s="368">
        <f>C291-G291</f>
        <v>0</v>
      </c>
      <c r="J291" s="368">
        <f>F291-H291</f>
        <v>0</v>
      </c>
      <c r="K291" s="360" t="s">
        <v>2321</v>
      </c>
    </row>
    <row r="292" spans="1:11" s="360" customFormat="1" ht="27" hidden="1" customHeight="1">
      <c r="A292" s="356" t="s">
        <v>498</v>
      </c>
      <c r="B292" s="27" t="s">
        <v>2149</v>
      </c>
      <c r="C292" s="358">
        <f>FF!I550</f>
        <v>0</v>
      </c>
      <c r="D292" s="354" t="s">
        <v>102</v>
      </c>
      <c r="E292" s="355">
        <f>FF!K550</f>
        <v>929.28</v>
      </c>
      <c r="F292" s="353">
        <f>ROUND(C292*E292/1,0)</f>
        <v>0</v>
      </c>
      <c r="G292" s="368"/>
      <c r="H292" s="368"/>
      <c r="I292" s="368">
        <f>C292-G292</f>
        <v>0</v>
      </c>
      <c r="J292" s="368">
        <f>F292-H292</f>
        <v>0</v>
      </c>
      <c r="K292" s="360" t="s">
        <v>2322</v>
      </c>
    </row>
    <row r="293" spans="1:11" s="360" customFormat="1" hidden="1">
      <c r="A293" s="356" t="s">
        <v>483</v>
      </c>
      <c r="B293" s="357" t="s">
        <v>1222</v>
      </c>
      <c r="C293" s="358">
        <f>FF!I557</f>
        <v>0</v>
      </c>
      <c r="D293" s="354" t="s">
        <v>102</v>
      </c>
      <c r="E293" s="355">
        <f>FF!K557</f>
        <v>5604.44</v>
      </c>
      <c r="F293" s="353">
        <f t="shared" si="15"/>
        <v>0</v>
      </c>
      <c r="G293" s="368"/>
      <c r="H293" s="368"/>
      <c r="I293" s="368">
        <f t="shared" si="6"/>
        <v>0</v>
      </c>
      <c r="J293" s="368">
        <f t="shared" si="7"/>
        <v>0</v>
      </c>
      <c r="K293" s="360" t="s">
        <v>2226</v>
      </c>
    </row>
    <row r="294" spans="1:11" s="360" customFormat="1" hidden="1">
      <c r="A294" s="356" t="s">
        <v>483</v>
      </c>
      <c r="B294" s="357" t="s">
        <v>1222</v>
      </c>
      <c r="C294" s="358">
        <f>FF!I564</f>
        <v>0</v>
      </c>
      <c r="D294" s="354" t="s">
        <v>102</v>
      </c>
      <c r="E294" s="355">
        <f>FF!K564</f>
        <v>5800.61</v>
      </c>
      <c r="F294" s="353">
        <f t="shared" si="15"/>
        <v>0</v>
      </c>
      <c r="G294" s="368"/>
      <c r="H294" s="368"/>
      <c r="I294" s="368">
        <f>C294-G294</f>
        <v>0</v>
      </c>
      <c r="J294" s="368">
        <f>F294-H294</f>
        <v>0</v>
      </c>
      <c r="K294" s="360" t="s">
        <v>2308</v>
      </c>
    </row>
    <row r="295" spans="1:11" s="360" customFormat="1" hidden="1">
      <c r="A295" s="356" t="s">
        <v>483</v>
      </c>
      <c r="B295" s="357" t="s">
        <v>1222</v>
      </c>
      <c r="C295" s="358">
        <f>FF!I571</f>
        <v>0</v>
      </c>
      <c r="D295" s="354" t="s">
        <v>102</v>
      </c>
      <c r="E295" s="355">
        <f>FF!K571</f>
        <v>6321.16</v>
      </c>
      <c r="F295" s="353">
        <f>ROUND(C295*E295/1,0)</f>
        <v>0</v>
      </c>
      <c r="G295" s="368"/>
      <c r="H295" s="368"/>
      <c r="I295" s="368">
        <f>C295-G295</f>
        <v>0</v>
      </c>
      <c r="J295" s="368">
        <f>F295-H295</f>
        <v>0</v>
      </c>
      <c r="K295" s="360" t="s">
        <v>2321</v>
      </c>
    </row>
    <row r="296" spans="1:11" s="360" customFormat="1" hidden="1">
      <c r="A296" s="356" t="s">
        <v>483</v>
      </c>
      <c r="B296" s="357" t="s">
        <v>1222</v>
      </c>
      <c r="C296" s="358">
        <f>FF!I578</f>
        <v>0</v>
      </c>
      <c r="D296" s="354" t="s">
        <v>102</v>
      </c>
      <c r="E296" s="355">
        <f>FF!K578</f>
        <v>6718.55</v>
      </c>
      <c r="F296" s="353">
        <f>ROUND(C296*E296/1,0)</f>
        <v>0</v>
      </c>
      <c r="G296" s="368"/>
      <c r="H296" s="368"/>
      <c r="I296" s="368">
        <f>C296-G296</f>
        <v>0</v>
      </c>
      <c r="J296" s="368">
        <f>F296-H296</f>
        <v>0</v>
      </c>
      <c r="K296" s="360" t="s">
        <v>2322</v>
      </c>
    </row>
    <row r="297" spans="1:11" s="360" customFormat="1" hidden="1">
      <c r="A297" s="356" t="s">
        <v>484</v>
      </c>
      <c r="B297" s="357" t="s">
        <v>1215</v>
      </c>
      <c r="C297" s="358">
        <f>FF!I584</f>
        <v>0</v>
      </c>
      <c r="D297" s="354" t="s">
        <v>102</v>
      </c>
      <c r="E297" s="355">
        <f>FF!K584</f>
        <v>1906.95</v>
      </c>
      <c r="F297" s="353">
        <f t="shared" si="15"/>
        <v>0</v>
      </c>
      <c r="G297" s="368"/>
      <c r="H297" s="368"/>
      <c r="I297" s="368">
        <f t="shared" si="6"/>
        <v>0</v>
      </c>
      <c r="J297" s="368">
        <f t="shared" si="7"/>
        <v>0</v>
      </c>
      <c r="K297" s="360" t="s">
        <v>2226</v>
      </c>
    </row>
    <row r="298" spans="1:11" s="360" customFormat="1" hidden="1">
      <c r="A298" s="356" t="s">
        <v>484</v>
      </c>
      <c r="B298" s="357" t="s">
        <v>1215</v>
      </c>
      <c r="C298" s="358">
        <f>FF!I590</f>
        <v>0</v>
      </c>
      <c r="D298" s="354" t="s">
        <v>102</v>
      </c>
      <c r="E298" s="355">
        <f>FF!K590</f>
        <v>2066.33</v>
      </c>
      <c r="F298" s="353">
        <f t="shared" si="15"/>
        <v>0</v>
      </c>
      <c r="G298" s="368"/>
      <c r="H298" s="368"/>
      <c r="I298" s="368">
        <f>C298-G298</f>
        <v>0</v>
      </c>
      <c r="J298" s="368">
        <f>F298-H298</f>
        <v>0</v>
      </c>
      <c r="K298" s="360" t="s">
        <v>2308</v>
      </c>
    </row>
    <row r="299" spans="1:11" s="360" customFormat="1" hidden="1">
      <c r="A299" s="356" t="s">
        <v>484</v>
      </c>
      <c r="B299" s="357" t="s">
        <v>1215</v>
      </c>
      <c r="C299" s="358">
        <f>FF!I596</f>
        <v>0</v>
      </c>
      <c r="D299" s="354" t="s">
        <v>102</v>
      </c>
      <c r="E299" s="355">
        <f>FF!K596</f>
        <v>2199.0300000000002</v>
      </c>
      <c r="F299" s="353">
        <f>ROUND(C299*E299/1,0)</f>
        <v>0</v>
      </c>
      <c r="G299" s="368"/>
      <c r="H299" s="368"/>
      <c r="I299" s="368">
        <f>C299-G299</f>
        <v>0</v>
      </c>
      <c r="J299" s="368">
        <f>F299-H299</f>
        <v>0</v>
      </c>
      <c r="K299" s="360" t="s">
        <v>2321</v>
      </c>
    </row>
    <row r="300" spans="1:11" s="360" customFormat="1" hidden="1">
      <c r="A300" s="356" t="s">
        <v>484</v>
      </c>
      <c r="B300" s="357" t="s">
        <v>1215</v>
      </c>
      <c r="C300" s="358">
        <f>FF!I602</f>
        <v>0</v>
      </c>
      <c r="D300" s="354" t="s">
        <v>102</v>
      </c>
      <c r="E300" s="355">
        <f>FF!K602</f>
        <v>2346.34</v>
      </c>
      <c r="F300" s="353">
        <f>ROUND(C300*E300/1,0)</f>
        <v>0</v>
      </c>
      <c r="G300" s="368"/>
      <c r="H300" s="368"/>
      <c r="I300" s="368">
        <f>C300-G300</f>
        <v>0</v>
      </c>
      <c r="J300" s="368">
        <f>F300-H300</f>
        <v>0</v>
      </c>
      <c r="K300" s="360" t="s">
        <v>2322</v>
      </c>
    </row>
    <row r="301" spans="1:11" s="360" customFormat="1" ht="20.25" hidden="1" customHeight="1">
      <c r="A301" s="356" t="s">
        <v>1519</v>
      </c>
      <c r="B301" s="357" t="s">
        <v>2113</v>
      </c>
      <c r="C301" s="358">
        <f>FF!I621</f>
        <v>0</v>
      </c>
      <c r="D301" s="354" t="s">
        <v>102</v>
      </c>
      <c r="E301" s="355">
        <f>FF!K621</f>
        <v>292.7</v>
      </c>
      <c r="F301" s="353">
        <f t="shared" ref="F301:F430" si="16">ROUND(C301*E301,0)</f>
        <v>0</v>
      </c>
      <c r="G301" s="368"/>
      <c r="H301" s="368"/>
      <c r="I301" s="368">
        <f t="shared" si="6"/>
        <v>0</v>
      </c>
      <c r="J301" s="368">
        <f t="shared" si="7"/>
        <v>0</v>
      </c>
      <c r="K301" s="360" t="s">
        <v>2226</v>
      </c>
    </row>
    <row r="302" spans="1:11" s="360" customFormat="1" ht="20.25" hidden="1" customHeight="1">
      <c r="A302" s="356" t="s">
        <v>498</v>
      </c>
      <c r="B302" s="357" t="s">
        <v>2113</v>
      </c>
      <c r="C302" s="358">
        <f>FF!I652</f>
        <v>0</v>
      </c>
      <c r="D302" s="354" t="s">
        <v>102</v>
      </c>
      <c r="E302" s="355">
        <f>FF!K652</f>
        <v>313.52</v>
      </c>
      <c r="F302" s="353">
        <f>ROUND(C302*E302,0)</f>
        <v>0</v>
      </c>
      <c r="G302" s="368"/>
      <c r="H302" s="368"/>
      <c r="I302" s="368">
        <f>C302-G302</f>
        <v>0</v>
      </c>
      <c r="J302" s="368">
        <f>F302-H302</f>
        <v>0</v>
      </c>
      <c r="K302" s="360" t="s">
        <v>2308</v>
      </c>
    </row>
    <row r="303" spans="1:11" s="360" customFormat="1" ht="20.25" hidden="1" customHeight="1">
      <c r="A303" s="356" t="s">
        <v>508</v>
      </c>
      <c r="B303" s="357" t="s">
        <v>2113</v>
      </c>
      <c r="C303" s="358">
        <f>FF!I659</f>
        <v>0</v>
      </c>
      <c r="D303" s="354" t="s">
        <v>102</v>
      </c>
      <c r="E303" s="355">
        <f>FF!K659</f>
        <v>332.3</v>
      </c>
      <c r="F303" s="353">
        <f>ROUND(C303*E303,0)</f>
        <v>0</v>
      </c>
      <c r="G303" s="368"/>
      <c r="H303" s="368"/>
      <c r="I303" s="368">
        <f>C303-G303</f>
        <v>0</v>
      </c>
      <c r="J303" s="368">
        <f>F303-H303</f>
        <v>0</v>
      </c>
      <c r="K303" s="360" t="s">
        <v>2321</v>
      </c>
    </row>
    <row r="304" spans="1:11" s="360" customFormat="1" ht="20.25" hidden="1" customHeight="1">
      <c r="A304" s="356" t="s">
        <v>508</v>
      </c>
      <c r="B304" s="357" t="s">
        <v>2113</v>
      </c>
      <c r="C304" s="358">
        <f>FF!I678</f>
        <v>0</v>
      </c>
      <c r="D304" s="354" t="s">
        <v>102</v>
      </c>
      <c r="E304" s="355">
        <f>FF!K678</f>
        <v>351.17</v>
      </c>
      <c r="F304" s="353">
        <f>ROUND(C304*E304,0)</f>
        <v>0</v>
      </c>
      <c r="G304" s="368"/>
      <c r="H304" s="368"/>
      <c r="I304" s="368">
        <f>C304-G304</f>
        <v>0</v>
      </c>
      <c r="J304" s="368">
        <f>F304-H304</f>
        <v>0</v>
      </c>
      <c r="K304" s="360" t="s">
        <v>2322</v>
      </c>
    </row>
    <row r="305" spans="1:11" s="360" customFormat="1" ht="20.25" hidden="1" customHeight="1">
      <c r="A305" s="356" t="s">
        <v>493</v>
      </c>
      <c r="B305" s="357" t="s">
        <v>2173</v>
      </c>
      <c r="C305" s="358">
        <f>FF!I686</f>
        <v>0</v>
      </c>
      <c r="D305" s="354" t="s">
        <v>102</v>
      </c>
      <c r="E305" s="355">
        <f>FF!K686</f>
        <v>265.42</v>
      </c>
      <c r="F305" s="353">
        <f t="shared" si="16"/>
        <v>0</v>
      </c>
      <c r="G305" s="368"/>
      <c r="H305" s="368"/>
      <c r="I305" s="368">
        <f t="shared" si="6"/>
        <v>0</v>
      </c>
      <c r="J305" s="368">
        <f t="shared" si="7"/>
        <v>0</v>
      </c>
      <c r="K305" s="360" t="s">
        <v>2226</v>
      </c>
    </row>
    <row r="306" spans="1:11" s="360" customFormat="1" ht="20.25" hidden="1" customHeight="1">
      <c r="A306" s="356" t="s">
        <v>493</v>
      </c>
      <c r="B306" s="357" t="s">
        <v>2173</v>
      </c>
      <c r="C306" s="358">
        <f>FF!I694</f>
        <v>0</v>
      </c>
      <c r="D306" s="354" t="s">
        <v>102</v>
      </c>
      <c r="E306" s="355">
        <f>FF!K694</f>
        <v>286.25</v>
      </c>
      <c r="F306" s="353">
        <f>ROUND(C306*E306,0)</f>
        <v>0</v>
      </c>
      <c r="G306" s="368"/>
      <c r="H306" s="368"/>
      <c r="I306" s="368">
        <f>C306-G306</f>
        <v>0</v>
      </c>
      <c r="J306" s="368">
        <f>F306-H306</f>
        <v>0</v>
      </c>
      <c r="K306" s="360" t="s">
        <v>2308</v>
      </c>
    </row>
    <row r="307" spans="1:11" s="360" customFormat="1" ht="20.25" hidden="1" customHeight="1">
      <c r="A307" s="356" t="s">
        <v>493</v>
      </c>
      <c r="B307" s="357" t="s">
        <v>2173</v>
      </c>
      <c r="C307" s="358">
        <f>FF!I702</f>
        <v>0</v>
      </c>
      <c r="D307" s="354" t="s">
        <v>102</v>
      </c>
      <c r="E307" s="355">
        <f>FF!K702</f>
        <v>304.16000000000003</v>
      </c>
      <c r="F307" s="353">
        <f>ROUND(C307*E307,0)</f>
        <v>0</v>
      </c>
      <c r="G307" s="368"/>
      <c r="H307" s="368"/>
      <c r="I307" s="368">
        <f>C307-G307</f>
        <v>0</v>
      </c>
      <c r="J307" s="368">
        <f>F307-H307</f>
        <v>0</v>
      </c>
      <c r="K307" s="360" t="s">
        <v>2321</v>
      </c>
    </row>
    <row r="308" spans="1:11" s="360" customFormat="1" ht="20.25" hidden="1" customHeight="1">
      <c r="A308" s="356" t="s">
        <v>493</v>
      </c>
      <c r="B308" s="357" t="s">
        <v>2173</v>
      </c>
      <c r="C308" s="358">
        <f>FF!I710</f>
        <v>0</v>
      </c>
      <c r="D308" s="354" t="s">
        <v>102</v>
      </c>
      <c r="E308" s="355">
        <f>FF!K710</f>
        <v>323.04000000000002</v>
      </c>
      <c r="F308" s="353">
        <f>ROUND(C308*E308,0)</f>
        <v>0</v>
      </c>
      <c r="G308" s="368"/>
      <c r="H308" s="368"/>
      <c r="I308" s="368">
        <f>C308-G308</f>
        <v>0</v>
      </c>
      <c r="J308" s="368">
        <f>F308-H308</f>
        <v>0</v>
      </c>
      <c r="K308" s="360" t="s">
        <v>2322</v>
      </c>
    </row>
    <row r="309" spans="1:11" s="360" customFormat="1" ht="20.25" hidden="1" customHeight="1">
      <c r="A309" s="356" t="s">
        <v>494</v>
      </c>
      <c r="B309" s="357" t="s">
        <v>2197</v>
      </c>
      <c r="C309" s="358">
        <f>FF!I718</f>
        <v>0</v>
      </c>
      <c r="D309" s="354" t="s">
        <v>102</v>
      </c>
      <c r="E309" s="355">
        <f>FF!K718</f>
        <v>283.27999999999997</v>
      </c>
      <c r="F309" s="353">
        <f t="shared" si="16"/>
        <v>0</v>
      </c>
      <c r="G309" s="368"/>
      <c r="H309" s="368"/>
      <c r="I309" s="368">
        <f t="shared" si="6"/>
        <v>0</v>
      </c>
      <c r="J309" s="368">
        <f t="shared" si="7"/>
        <v>0</v>
      </c>
      <c r="K309" s="360" t="s">
        <v>2226</v>
      </c>
    </row>
    <row r="310" spans="1:11" s="360" customFormat="1" ht="20.25" hidden="1" customHeight="1">
      <c r="A310" s="356" t="s">
        <v>494</v>
      </c>
      <c r="B310" s="357" t="s">
        <v>2197</v>
      </c>
      <c r="C310" s="358">
        <f>FF!I726</f>
        <v>0</v>
      </c>
      <c r="D310" s="354" t="s">
        <v>102</v>
      </c>
      <c r="E310" s="355">
        <f>FF!K726</f>
        <v>304.66000000000003</v>
      </c>
      <c r="F310" s="353">
        <f>ROUND(C310*E310,0)</f>
        <v>0</v>
      </c>
      <c r="G310" s="368"/>
      <c r="H310" s="368"/>
      <c r="I310" s="368">
        <f>C310-G310</f>
        <v>0</v>
      </c>
      <c r="J310" s="368">
        <f>F310-H310</f>
        <v>0</v>
      </c>
      <c r="K310" s="360" t="s">
        <v>2308</v>
      </c>
    </row>
    <row r="311" spans="1:11" s="360" customFormat="1" ht="20.25" hidden="1" customHeight="1">
      <c r="A311" s="356" t="s">
        <v>494</v>
      </c>
      <c r="B311" s="357" t="s">
        <v>2197</v>
      </c>
      <c r="C311" s="358">
        <f>FF!I734</f>
        <v>0</v>
      </c>
      <c r="D311" s="354" t="s">
        <v>102</v>
      </c>
      <c r="E311" s="355">
        <f>FF!K734</f>
        <v>323.85000000000002</v>
      </c>
      <c r="F311" s="353">
        <f>ROUND(C311*E311,0)</f>
        <v>0</v>
      </c>
      <c r="G311" s="368"/>
      <c r="H311" s="368"/>
      <c r="I311" s="368">
        <f>C311-G311</f>
        <v>0</v>
      </c>
      <c r="J311" s="368">
        <f>F311-H311</f>
        <v>0</v>
      </c>
      <c r="K311" s="360" t="s">
        <v>2321</v>
      </c>
    </row>
    <row r="312" spans="1:11" s="360" customFormat="1" ht="20.25" hidden="1" customHeight="1">
      <c r="A312" s="356" t="s">
        <v>494</v>
      </c>
      <c r="B312" s="357" t="s">
        <v>2197</v>
      </c>
      <c r="C312" s="358">
        <f>FF!I742</f>
        <v>0</v>
      </c>
      <c r="D312" s="354" t="s">
        <v>102</v>
      </c>
      <c r="E312" s="355">
        <f>FF!K742</f>
        <v>343.23</v>
      </c>
      <c r="F312" s="353">
        <f>ROUND(C312*E312,0)</f>
        <v>0</v>
      </c>
      <c r="G312" s="368"/>
      <c r="H312" s="368"/>
      <c r="I312" s="368">
        <f>C312-G312</f>
        <v>0</v>
      </c>
      <c r="J312" s="368">
        <f>F312-H312</f>
        <v>0</v>
      </c>
      <c r="K312" s="360" t="s">
        <v>2322</v>
      </c>
    </row>
    <row r="313" spans="1:11" s="360" customFormat="1" ht="20.25" hidden="1" customHeight="1">
      <c r="A313" s="356" t="s">
        <v>1520</v>
      </c>
      <c r="B313" s="357" t="s">
        <v>2114</v>
      </c>
      <c r="C313" s="358">
        <f>FF!I770</f>
        <v>0</v>
      </c>
      <c r="D313" s="354" t="s">
        <v>102</v>
      </c>
      <c r="E313" s="355">
        <f>FF!K770</f>
        <v>348.66</v>
      </c>
      <c r="F313" s="353">
        <f t="shared" si="16"/>
        <v>0</v>
      </c>
      <c r="G313" s="368"/>
      <c r="H313" s="368"/>
      <c r="I313" s="368">
        <f t="shared" si="6"/>
        <v>0</v>
      </c>
      <c r="J313" s="368">
        <f t="shared" si="7"/>
        <v>0</v>
      </c>
      <c r="K313" s="360" t="s">
        <v>2226</v>
      </c>
    </row>
    <row r="314" spans="1:11" s="360" customFormat="1" ht="20.25" hidden="1" customHeight="1">
      <c r="A314" s="356" t="s">
        <v>499</v>
      </c>
      <c r="B314" s="357" t="s">
        <v>2114</v>
      </c>
      <c r="C314" s="358">
        <f>FF!I823</f>
        <v>0</v>
      </c>
      <c r="D314" s="354" t="s">
        <v>102</v>
      </c>
      <c r="E314" s="355">
        <f>FF!K823</f>
        <v>376.98</v>
      </c>
      <c r="F314" s="353">
        <f>ROUND(C314*E314,0)</f>
        <v>0</v>
      </c>
      <c r="G314" s="368"/>
      <c r="H314" s="368"/>
      <c r="I314" s="368">
        <f>C314-G314</f>
        <v>0</v>
      </c>
      <c r="J314" s="368">
        <f>F314-H314</f>
        <v>0</v>
      </c>
      <c r="K314" s="360" t="s">
        <v>2308</v>
      </c>
    </row>
    <row r="315" spans="1:11" s="360" customFormat="1" ht="20.25" hidden="1" customHeight="1">
      <c r="A315" s="356" t="s">
        <v>510</v>
      </c>
      <c r="B315" s="357" t="s">
        <v>2114</v>
      </c>
      <c r="C315" s="358">
        <f>FF!I830</f>
        <v>0</v>
      </c>
      <c r="D315" s="354" t="s">
        <v>102</v>
      </c>
      <c r="E315" s="355">
        <f>FF!K830</f>
        <v>400.13</v>
      </c>
      <c r="F315" s="353">
        <f>ROUND(C315*E315,0)</f>
        <v>0</v>
      </c>
      <c r="G315" s="368"/>
      <c r="H315" s="368"/>
      <c r="I315" s="368">
        <f>C315-G315</f>
        <v>0</v>
      </c>
      <c r="J315" s="368">
        <f>F315-H315</f>
        <v>0</v>
      </c>
      <c r="K315" s="360" t="s">
        <v>2321</v>
      </c>
    </row>
    <row r="316" spans="1:11" s="360" customFormat="1" ht="20.25" hidden="1" customHeight="1">
      <c r="A316" s="356" t="s">
        <v>510</v>
      </c>
      <c r="B316" s="357" t="s">
        <v>2114</v>
      </c>
      <c r="C316" s="358">
        <f>FF!I858</f>
        <v>0</v>
      </c>
      <c r="D316" s="354" t="s">
        <v>102</v>
      </c>
      <c r="E316" s="355">
        <f>FF!K858</f>
        <v>425.82</v>
      </c>
      <c r="F316" s="353">
        <f>ROUND(C316*E316,0)</f>
        <v>0</v>
      </c>
      <c r="G316" s="368"/>
      <c r="H316" s="368"/>
      <c r="I316" s="368">
        <f>C316-G316</f>
        <v>0</v>
      </c>
      <c r="J316" s="368">
        <f>F316-H316</f>
        <v>0</v>
      </c>
      <c r="K316" s="360" t="s">
        <v>2322</v>
      </c>
    </row>
    <row r="317" spans="1:11" s="360" customFormat="1" ht="20.25" hidden="1" customHeight="1">
      <c r="A317" s="356" t="s">
        <v>1521</v>
      </c>
      <c r="B317" s="357" t="s">
        <v>2115</v>
      </c>
      <c r="C317" s="358">
        <f>FF!I865</f>
        <v>0</v>
      </c>
      <c r="D317" s="354" t="s">
        <v>102</v>
      </c>
      <c r="E317" s="355">
        <f>FF!K865</f>
        <v>362.01</v>
      </c>
      <c r="F317" s="353">
        <f t="shared" si="16"/>
        <v>0</v>
      </c>
      <c r="G317" s="368"/>
      <c r="H317" s="368"/>
      <c r="I317" s="368">
        <f t="shared" si="6"/>
        <v>0</v>
      </c>
      <c r="J317" s="368">
        <f t="shared" si="7"/>
        <v>0</v>
      </c>
      <c r="K317" s="360" t="s">
        <v>2226</v>
      </c>
    </row>
    <row r="318" spans="1:11" s="360" customFormat="1" ht="20.25" hidden="1" customHeight="1">
      <c r="A318" s="356" t="s">
        <v>500</v>
      </c>
      <c r="B318" s="357" t="s">
        <v>2115</v>
      </c>
      <c r="C318" s="358">
        <f>FF!I890</f>
        <v>0</v>
      </c>
      <c r="D318" s="354" t="s">
        <v>102</v>
      </c>
      <c r="E318" s="355">
        <f>FF!K890</f>
        <v>390.9</v>
      </c>
      <c r="F318" s="353">
        <f>ROUND(C318*E318,0)</f>
        <v>0</v>
      </c>
      <c r="G318" s="368"/>
      <c r="H318" s="368"/>
      <c r="I318" s="368">
        <f>C318-G318</f>
        <v>0</v>
      </c>
      <c r="J318" s="368">
        <f>F318-H318</f>
        <v>0</v>
      </c>
      <c r="K318" s="360" t="s">
        <v>2308</v>
      </c>
    </row>
    <row r="319" spans="1:11" s="360" customFormat="1" ht="20.25" hidden="1" customHeight="1">
      <c r="A319" s="356" t="s">
        <v>1522</v>
      </c>
      <c r="B319" s="357" t="s">
        <v>2115</v>
      </c>
      <c r="C319" s="358">
        <f>FF!I897</f>
        <v>0</v>
      </c>
      <c r="D319" s="354" t="s">
        <v>102</v>
      </c>
      <c r="E319" s="355">
        <f>FF!K897</f>
        <v>415.44</v>
      </c>
      <c r="F319" s="353">
        <f>ROUND(C319*E319,0)</f>
        <v>0</v>
      </c>
      <c r="G319" s="368"/>
      <c r="H319" s="368"/>
      <c r="I319" s="368">
        <f>C319-G319</f>
        <v>0</v>
      </c>
      <c r="J319" s="368">
        <f>F319-H319</f>
        <v>0</v>
      </c>
      <c r="K319" s="360" t="s">
        <v>2321</v>
      </c>
    </row>
    <row r="320" spans="1:11" s="360" customFormat="1" ht="20.25" hidden="1" customHeight="1">
      <c r="A320" s="356" t="s">
        <v>1520</v>
      </c>
      <c r="B320" s="357" t="s">
        <v>2115</v>
      </c>
      <c r="C320" s="358">
        <f>FF!I904</f>
        <v>0</v>
      </c>
      <c r="D320" s="354" t="s">
        <v>102</v>
      </c>
      <c r="E320" s="355">
        <f>FF!K904</f>
        <v>441.63</v>
      </c>
      <c r="F320" s="353">
        <f>ROUND(C320*E320,0)</f>
        <v>0</v>
      </c>
      <c r="G320" s="368"/>
      <c r="H320" s="368"/>
      <c r="I320" s="368">
        <f>C320-G320</f>
        <v>0</v>
      </c>
      <c r="J320" s="368">
        <f>F320-H320</f>
        <v>0</v>
      </c>
      <c r="K320" s="360" t="s">
        <v>2322</v>
      </c>
    </row>
    <row r="321" spans="1:11" s="360" customFormat="1" ht="20.25" hidden="1" customHeight="1">
      <c r="A321" s="356" t="s">
        <v>498</v>
      </c>
      <c r="B321" s="357" t="s">
        <v>1225</v>
      </c>
      <c r="C321" s="358">
        <f>FF!I911</f>
        <v>0</v>
      </c>
      <c r="D321" s="354" t="s">
        <v>5</v>
      </c>
      <c r="E321" s="355">
        <f>FF!K911</f>
        <v>5049.2099999999991</v>
      </c>
      <c r="F321" s="353">
        <f t="shared" si="16"/>
        <v>0</v>
      </c>
      <c r="G321" s="368"/>
      <c r="H321" s="368"/>
      <c r="I321" s="368">
        <f t="shared" si="6"/>
        <v>0</v>
      </c>
      <c r="J321" s="368">
        <f t="shared" si="7"/>
        <v>0</v>
      </c>
      <c r="K321" s="360" t="s">
        <v>2226</v>
      </c>
    </row>
    <row r="322" spans="1:11" s="360" customFormat="1" ht="20.25" hidden="1" customHeight="1">
      <c r="A322" s="356" t="s">
        <v>498</v>
      </c>
      <c r="B322" s="357" t="s">
        <v>1225</v>
      </c>
      <c r="C322" s="358">
        <f>FF!I918</f>
        <v>0</v>
      </c>
      <c r="D322" s="354" t="s">
        <v>5</v>
      </c>
      <c r="E322" s="355">
        <f>FF!K918</f>
        <v>5224.6200000000008</v>
      </c>
      <c r="F322" s="353">
        <f>ROUND(C322*E322,0)</f>
        <v>0</v>
      </c>
      <c r="G322" s="368"/>
      <c r="H322" s="368"/>
      <c r="I322" s="368">
        <f>C322-G322</f>
        <v>0</v>
      </c>
      <c r="J322" s="368">
        <f>F322-H322</f>
        <v>0</v>
      </c>
      <c r="K322" s="360" t="s">
        <v>2308</v>
      </c>
    </row>
    <row r="323" spans="1:11" s="360" customFormat="1" ht="20.25" hidden="1" customHeight="1">
      <c r="A323" s="356" t="s">
        <v>498</v>
      </c>
      <c r="B323" s="357" t="s">
        <v>1225</v>
      </c>
      <c r="C323" s="358">
        <f>FF!I925</f>
        <v>0</v>
      </c>
      <c r="D323" s="354" t="s">
        <v>5</v>
      </c>
      <c r="E323" s="355">
        <f>FF!K925</f>
        <v>5464.2000000000007</v>
      </c>
      <c r="F323" s="353">
        <f>ROUND(C323*E323,0)</f>
        <v>0</v>
      </c>
      <c r="G323" s="368"/>
      <c r="H323" s="368"/>
      <c r="I323" s="368">
        <f>C323-G323</f>
        <v>0</v>
      </c>
      <c r="J323" s="368">
        <f>F323-H323</f>
        <v>0</v>
      </c>
      <c r="K323" s="360" t="s">
        <v>2321</v>
      </c>
    </row>
    <row r="324" spans="1:11" s="360" customFormat="1" ht="20.25" hidden="1" customHeight="1">
      <c r="A324" s="356" t="s">
        <v>498</v>
      </c>
      <c r="B324" s="357" t="s">
        <v>1225</v>
      </c>
      <c r="C324" s="358">
        <f>FF!I932</f>
        <v>0</v>
      </c>
      <c r="D324" s="354" t="s">
        <v>5</v>
      </c>
      <c r="E324" s="355">
        <f>FF!K932</f>
        <v>5722.81</v>
      </c>
      <c r="F324" s="353">
        <f>ROUND(C324*E324,0)</f>
        <v>0</v>
      </c>
      <c r="G324" s="368"/>
      <c r="H324" s="368"/>
      <c r="I324" s="368">
        <f>C324-G324</f>
        <v>0</v>
      </c>
      <c r="J324" s="368">
        <f>F324-H324</f>
        <v>0</v>
      </c>
      <c r="K324" s="360" t="s">
        <v>2322</v>
      </c>
    </row>
    <row r="325" spans="1:11" s="360" customFormat="1" ht="20.25" hidden="1" customHeight="1">
      <c r="A325" s="356" t="s">
        <v>512</v>
      </c>
      <c r="B325" s="357" t="s">
        <v>507</v>
      </c>
      <c r="C325" s="358">
        <f>FF!I939</f>
        <v>0</v>
      </c>
      <c r="D325" s="354" t="s">
        <v>102</v>
      </c>
      <c r="E325" s="355">
        <f>FF!K939</f>
        <v>1020.01</v>
      </c>
      <c r="F325" s="353">
        <f t="shared" si="16"/>
        <v>0</v>
      </c>
      <c r="G325" s="368"/>
      <c r="H325" s="368"/>
      <c r="I325" s="368">
        <f t="shared" ref="I325:I575" si="17">C325-G325</f>
        <v>0</v>
      </c>
      <c r="J325" s="368">
        <f t="shared" ref="J325:J575" si="18">F325-H325</f>
        <v>0</v>
      </c>
      <c r="K325" s="360" t="s">
        <v>2226</v>
      </c>
    </row>
    <row r="326" spans="1:11" s="360" customFormat="1" ht="20.25" hidden="1" customHeight="1">
      <c r="A326" s="356" t="s">
        <v>501</v>
      </c>
      <c r="B326" s="357" t="s">
        <v>507</v>
      </c>
      <c r="C326" s="358">
        <f>FF!I949</f>
        <v>0</v>
      </c>
      <c r="D326" s="354" t="s">
        <v>102</v>
      </c>
      <c r="E326" s="355">
        <f>FF!K949</f>
        <v>1051.0899999999999</v>
      </c>
      <c r="F326" s="353">
        <f>ROUND(C326*E326,0)</f>
        <v>0</v>
      </c>
      <c r="G326" s="368"/>
      <c r="H326" s="368"/>
      <c r="I326" s="368">
        <f>C326-G326</f>
        <v>0</v>
      </c>
      <c r="J326" s="368">
        <f>F326-H326</f>
        <v>0</v>
      </c>
      <c r="K326" s="360" t="s">
        <v>2308</v>
      </c>
    </row>
    <row r="327" spans="1:11" s="360" customFormat="1" ht="20.25" hidden="1" customHeight="1">
      <c r="A327" s="356" t="s">
        <v>512</v>
      </c>
      <c r="B327" s="357" t="s">
        <v>507</v>
      </c>
      <c r="C327" s="358">
        <f>FF!I956</f>
        <v>0</v>
      </c>
      <c r="D327" s="354" t="s">
        <v>102</v>
      </c>
      <c r="E327" s="355">
        <f>FF!K956</f>
        <v>1074.81</v>
      </c>
      <c r="F327" s="353">
        <f>ROUND(C327*E327,0)</f>
        <v>0</v>
      </c>
      <c r="G327" s="368"/>
      <c r="H327" s="368"/>
      <c r="I327" s="368">
        <f>C327-G327</f>
        <v>0</v>
      </c>
      <c r="J327" s="368">
        <f>F327-H327</f>
        <v>0</v>
      </c>
      <c r="K327" s="360" t="s">
        <v>2321</v>
      </c>
    </row>
    <row r="328" spans="1:11" s="360" customFormat="1" ht="20.25" hidden="1" customHeight="1">
      <c r="A328" s="356" t="s">
        <v>512</v>
      </c>
      <c r="B328" s="357" t="s">
        <v>507</v>
      </c>
      <c r="C328" s="358">
        <f>FF!I963</f>
        <v>0</v>
      </c>
      <c r="D328" s="354" t="s">
        <v>102</v>
      </c>
      <c r="E328" s="355">
        <f>FF!K963</f>
        <v>1103.3900000000001</v>
      </c>
      <c r="F328" s="353">
        <f>ROUND(C328*E328,0)</f>
        <v>0</v>
      </c>
      <c r="G328" s="368"/>
      <c r="H328" s="368"/>
      <c r="I328" s="368">
        <f>C328-G328</f>
        <v>0</v>
      </c>
      <c r="J328" s="368">
        <f>F328-H328</f>
        <v>0</v>
      </c>
      <c r="K328" s="360" t="s">
        <v>2322</v>
      </c>
    </row>
    <row r="329" spans="1:11" s="360" customFormat="1" ht="20.25" hidden="1" customHeight="1">
      <c r="A329" s="356" t="s">
        <v>513</v>
      </c>
      <c r="B329" s="357" t="s">
        <v>2116</v>
      </c>
      <c r="C329" s="358">
        <f>FF!I970</f>
        <v>0</v>
      </c>
      <c r="D329" s="354" t="s">
        <v>102</v>
      </c>
      <c r="E329" s="355">
        <f>FF!K970</f>
        <v>1015.94</v>
      </c>
      <c r="F329" s="353">
        <f t="shared" si="16"/>
        <v>0</v>
      </c>
      <c r="G329" s="368"/>
      <c r="H329" s="368"/>
      <c r="I329" s="368">
        <f t="shared" si="17"/>
        <v>0</v>
      </c>
      <c r="J329" s="368">
        <f t="shared" si="18"/>
        <v>0</v>
      </c>
      <c r="K329" s="360" t="s">
        <v>2226</v>
      </c>
    </row>
    <row r="330" spans="1:11" s="360" customFormat="1" ht="20.25" hidden="1" customHeight="1">
      <c r="A330" s="356" t="s">
        <v>502</v>
      </c>
      <c r="B330" s="357" t="s">
        <v>2116</v>
      </c>
      <c r="C330" s="358">
        <f>FF!I988</f>
        <v>0</v>
      </c>
      <c r="D330" s="354" t="s">
        <v>102</v>
      </c>
      <c r="E330" s="355">
        <f>FF!K988</f>
        <v>1046.76</v>
      </c>
      <c r="F330" s="353">
        <f>ROUND(C330*E330,0)</f>
        <v>0</v>
      </c>
      <c r="G330" s="368"/>
      <c r="H330" s="368"/>
      <c r="I330" s="368">
        <f>C330-G330</f>
        <v>0</v>
      </c>
      <c r="J330" s="368">
        <f>F330-H330</f>
        <v>0</v>
      </c>
      <c r="K330" s="360" t="s">
        <v>2308</v>
      </c>
    </row>
    <row r="331" spans="1:11" s="360" customFormat="1" ht="20.25" hidden="1" customHeight="1">
      <c r="A331" s="356" t="s">
        <v>513</v>
      </c>
      <c r="B331" s="357" t="s">
        <v>2116</v>
      </c>
      <c r="C331" s="358">
        <f>FF!I995</f>
        <v>0</v>
      </c>
      <c r="D331" s="354" t="s">
        <v>102</v>
      </c>
      <c r="E331" s="355">
        <f>FF!K995</f>
        <v>1069.8699999999999</v>
      </c>
      <c r="F331" s="353">
        <f>ROUND(C331*E331,0)</f>
        <v>0</v>
      </c>
      <c r="G331" s="368"/>
      <c r="H331" s="368"/>
      <c r="I331" s="368">
        <f>C331-G331</f>
        <v>0</v>
      </c>
      <c r="J331" s="368">
        <f>F331-H331</f>
        <v>0</v>
      </c>
      <c r="K331" s="360" t="s">
        <v>2321</v>
      </c>
    </row>
    <row r="332" spans="1:11" s="360" customFormat="1" ht="20.25" hidden="1" customHeight="1">
      <c r="A332" s="356" t="s">
        <v>513</v>
      </c>
      <c r="B332" s="357" t="s">
        <v>2116</v>
      </c>
      <c r="C332" s="358">
        <f>FF!I1002</f>
        <v>0</v>
      </c>
      <c r="D332" s="354" t="s">
        <v>102</v>
      </c>
      <c r="E332" s="355">
        <f>FF!K1002</f>
        <v>1098.05</v>
      </c>
      <c r="F332" s="353">
        <f>ROUND(C332*E332,0)</f>
        <v>0</v>
      </c>
      <c r="G332" s="368"/>
      <c r="H332" s="368"/>
      <c r="I332" s="368">
        <f>C332-G332</f>
        <v>0</v>
      </c>
      <c r="J332" s="368">
        <f>F332-H332</f>
        <v>0</v>
      </c>
      <c r="K332" s="360" t="s">
        <v>2322</v>
      </c>
    </row>
    <row r="333" spans="1:11" s="360" customFormat="1" ht="20.25" hidden="1" customHeight="1">
      <c r="A333" s="356" t="s">
        <v>514</v>
      </c>
      <c r="B333" s="357" t="s">
        <v>708</v>
      </c>
      <c r="C333" s="358">
        <f>FF!I1009</f>
        <v>0</v>
      </c>
      <c r="D333" s="354" t="s">
        <v>77</v>
      </c>
      <c r="E333" s="355">
        <f>FF!K1009</f>
        <v>2881.3</v>
      </c>
      <c r="F333" s="353">
        <f t="shared" si="16"/>
        <v>0</v>
      </c>
      <c r="G333" s="368"/>
      <c r="H333" s="368"/>
      <c r="I333" s="368">
        <f t="shared" si="17"/>
        <v>0</v>
      </c>
      <c r="J333" s="368">
        <f t="shared" si="18"/>
        <v>0</v>
      </c>
      <c r="K333" s="360" t="s">
        <v>2226</v>
      </c>
    </row>
    <row r="334" spans="1:11" s="360" customFormat="1" ht="20.25" hidden="1" customHeight="1">
      <c r="A334" s="356" t="s">
        <v>503</v>
      </c>
      <c r="B334" s="357" t="s">
        <v>708</v>
      </c>
      <c r="C334" s="358">
        <f>FF!I1017</f>
        <v>0</v>
      </c>
      <c r="D334" s="354" t="s">
        <v>77</v>
      </c>
      <c r="E334" s="355">
        <f>FF!K1017</f>
        <v>2944.91</v>
      </c>
      <c r="F334" s="353">
        <f>ROUND(C334*E334,0)</f>
        <v>0</v>
      </c>
      <c r="G334" s="368"/>
      <c r="H334" s="368"/>
      <c r="I334" s="368">
        <f>C334-G334</f>
        <v>0</v>
      </c>
      <c r="J334" s="368">
        <f>F334-H334</f>
        <v>0</v>
      </c>
      <c r="K334" s="360" t="s">
        <v>2308</v>
      </c>
    </row>
    <row r="335" spans="1:11" s="360" customFormat="1" ht="20.25" hidden="1" customHeight="1">
      <c r="A335" s="356" t="s">
        <v>514</v>
      </c>
      <c r="B335" s="357" t="s">
        <v>708</v>
      </c>
      <c r="C335" s="358">
        <f>FF!I1024</f>
        <v>0</v>
      </c>
      <c r="D335" s="354" t="s">
        <v>77</v>
      </c>
      <c r="E335" s="355">
        <f>FF!K1024</f>
        <v>3004.62</v>
      </c>
      <c r="F335" s="353">
        <f>ROUND(C335*E335,0)</f>
        <v>0</v>
      </c>
      <c r="G335" s="368"/>
      <c r="H335" s="368"/>
      <c r="I335" s="368">
        <f>C335-G335</f>
        <v>0</v>
      </c>
      <c r="J335" s="368">
        <f>F335-H335</f>
        <v>0</v>
      </c>
      <c r="K335" s="360" t="s">
        <v>2321</v>
      </c>
    </row>
    <row r="336" spans="1:11" s="360" customFormat="1" ht="20.25" hidden="1" customHeight="1">
      <c r="A336" s="356" t="s">
        <v>497</v>
      </c>
      <c r="B336" s="357" t="s">
        <v>708</v>
      </c>
      <c r="C336" s="358">
        <f>FF!I1041</f>
        <v>0</v>
      </c>
      <c r="D336" s="354" t="s">
        <v>77</v>
      </c>
      <c r="E336" s="355">
        <f>FF!K1041</f>
        <v>3181.62</v>
      </c>
      <c r="F336" s="353">
        <f>ROUND(C336*E336,0)</f>
        <v>0</v>
      </c>
      <c r="G336" s="368"/>
      <c r="H336" s="368"/>
      <c r="I336" s="368">
        <f>C336-G336</f>
        <v>0</v>
      </c>
      <c r="J336" s="368">
        <f>F336-H336</f>
        <v>0</v>
      </c>
      <c r="K336" s="360" t="s">
        <v>2322</v>
      </c>
    </row>
    <row r="337" spans="1:11" s="360" customFormat="1" ht="20.25" hidden="1" customHeight="1">
      <c r="A337" s="356" t="s">
        <v>515</v>
      </c>
      <c r="B337" s="357" t="s">
        <v>2116</v>
      </c>
      <c r="C337" s="358">
        <f>FF!I1048</f>
        <v>0</v>
      </c>
      <c r="D337" s="354" t="s">
        <v>102</v>
      </c>
      <c r="E337" s="355">
        <f>FF!K1048</f>
        <v>2704.03</v>
      </c>
      <c r="F337" s="353">
        <f t="shared" si="16"/>
        <v>0</v>
      </c>
      <c r="G337" s="368"/>
      <c r="H337" s="368"/>
      <c r="I337" s="368">
        <f t="shared" si="17"/>
        <v>0</v>
      </c>
      <c r="J337" s="368">
        <f t="shared" si="18"/>
        <v>0</v>
      </c>
      <c r="K337" s="360" t="s">
        <v>2226</v>
      </c>
    </row>
    <row r="338" spans="1:11" s="360" customFormat="1" ht="20.25" hidden="1" customHeight="1">
      <c r="A338" s="356" t="s">
        <v>506</v>
      </c>
      <c r="B338" s="357" t="s">
        <v>2116</v>
      </c>
      <c r="C338" s="358">
        <f>FF!I1057</f>
        <v>0</v>
      </c>
      <c r="D338" s="354" t="s">
        <v>102</v>
      </c>
      <c r="E338" s="355">
        <f>FF!K1057</f>
        <v>2747.8</v>
      </c>
      <c r="F338" s="353">
        <f>ROUND(C338*E338,0)</f>
        <v>0</v>
      </c>
      <c r="G338" s="368"/>
      <c r="H338" s="368"/>
      <c r="I338" s="368">
        <f>C338-G338</f>
        <v>0</v>
      </c>
      <c r="J338" s="368">
        <f>F338-H338</f>
        <v>0</v>
      </c>
      <c r="K338" s="360" t="s">
        <v>2308</v>
      </c>
    </row>
    <row r="339" spans="1:11" s="360" customFormat="1" ht="20.25" hidden="1" customHeight="1">
      <c r="A339" s="356" t="s">
        <v>515</v>
      </c>
      <c r="B339" s="357" t="s">
        <v>2116</v>
      </c>
      <c r="C339" s="358">
        <f>FF!I1064</f>
        <v>0</v>
      </c>
      <c r="D339" s="354" t="s">
        <v>102</v>
      </c>
      <c r="E339" s="355">
        <f>FF!K1064</f>
        <v>2789.27</v>
      </c>
      <c r="F339" s="353">
        <f>ROUND(C339*E339,0)</f>
        <v>0</v>
      </c>
      <c r="G339" s="368"/>
      <c r="H339" s="368"/>
      <c r="I339" s="368">
        <f>C339-G339</f>
        <v>0</v>
      </c>
      <c r="J339" s="368">
        <f>F339-H339</f>
        <v>0</v>
      </c>
      <c r="K339" s="360" t="s">
        <v>2321</v>
      </c>
    </row>
    <row r="340" spans="1:11" s="360" customFormat="1" ht="20.25" hidden="1" customHeight="1">
      <c r="A340" s="356" t="s">
        <v>498</v>
      </c>
      <c r="B340" s="357" t="s">
        <v>2116</v>
      </c>
      <c r="C340" s="358">
        <f>FF!I1081</f>
        <v>0</v>
      </c>
      <c r="D340" s="354" t="s">
        <v>102</v>
      </c>
      <c r="E340" s="355">
        <f>FF!K1081</f>
        <v>2950.54</v>
      </c>
      <c r="F340" s="353">
        <f>ROUND(C340*E340,0)</f>
        <v>0</v>
      </c>
      <c r="G340" s="368"/>
      <c r="H340" s="368"/>
      <c r="I340" s="368">
        <f>C340-G340</f>
        <v>0</v>
      </c>
      <c r="J340" s="368">
        <f>F340-H340</f>
        <v>0</v>
      </c>
      <c r="K340" s="360" t="s">
        <v>2322</v>
      </c>
    </row>
    <row r="341" spans="1:11" s="360" customFormat="1" ht="20.25" hidden="1" customHeight="1">
      <c r="A341" s="356" t="s">
        <v>529</v>
      </c>
      <c r="B341" s="357" t="s">
        <v>710</v>
      </c>
      <c r="C341" s="358">
        <f>FF!I1089</f>
        <v>0</v>
      </c>
      <c r="D341" s="354" t="s">
        <v>102</v>
      </c>
      <c r="E341" s="355">
        <f>FF!K1089</f>
        <v>633.27</v>
      </c>
      <c r="F341" s="353">
        <f t="shared" si="16"/>
        <v>0</v>
      </c>
      <c r="G341" s="368"/>
      <c r="H341" s="368"/>
      <c r="I341" s="368">
        <f t="shared" si="17"/>
        <v>0</v>
      </c>
      <c r="J341" s="368">
        <f t="shared" si="18"/>
        <v>0</v>
      </c>
      <c r="K341" s="360" t="s">
        <v>2226</v>
      </c>
    </row>
    <row r="342" spans="1:11" s="360" customFormat="1" ht="20.25" hidden="1" customHeight="1">
      <c r="A342" s="356" t="s">
        <v>529</v>
      </c>
      <c r="B342" s="357" t="s">
        <v>710</v>
      </c>
      <c r="C342" s="358">
        <f>FF!I1100</f>
        <v>0</v>
      </c>
      <c r="D342" s="354" t="s">
        <v>102</v>
      </c>
      <c r="E342" s="355">
        <f>FF!K1100</f>
        <v>677.99</v>
      </c>
      <c r="F342" s="353">
        <f>ROUND(C342*E342,0)</f>
        <v>0</v>
      </c>
      <c r="G342" s="368"/>
      <c r="H342" s="368"/>
      <c r="I342" s="368">
        <f>C342-G342</f>
        <v>0</v>
      </c>
      <c r="J342" s="368">
        <f>F342-H342</f>
        <v>0</v>
      </c>
      <c r="K342" s="360" t="s">
        <v>2308</v>
      </c>
    </row>
    <row r="343" spans="1:11" s="360" customFormat="1" ht="20.25" hidden="1" customHeight="1">
      <c r="A343" s="356" t="s">
        <v>529</v>
      </c>
      <c r="B343" s="357" t="s">
        <v>710</v>
      </c>
      <c r="C343" s="358">
        <f>FF!I1108</f>
        <v>0</v>
      </c>
      <c r="D343" s="354" t="s">
        <v>102</v>
      </c>
      <c r="E343" s="355">
        <f>FF!K1108</f>
        <v>686.13</v>
      </c>
      <c r="F343" s="353">
        <f>ROUND(C343*E343,0)</f>
        <v>0</v>
      </c>
      <c r="G343" s="368"/>
      <c r="H343" s="368"/>
      <c r="I343" s="368">
        <f>C343-G343</f>
        <v>0</v>
      </c>
      <c r="J343" s="368">
        <f>F343-H343</f>
        <v>0</v>
      </c>
      <c r="K343" s="360" t="s">
        <v>2321</v>
      </c>
    </row>
    <row r="344" spans="1:11" s="360" customFormat="1" ht="20.25" hidden="1" customHeight="1">
      <c r="A344" s="356" t="s">
        <v>529</v>
      </c>
      <c r="B344" s="357" t="s">
        <v>710</v>
      </c>
      <c r="C344" s="358">
        <f>FF!I1116</f>
        <v>0</v>
      </c>
      <c r="D344" s="354" t="s">
        <v>102</v>
      </c>
      <c r="E344" s="355">
        <f>FF!K1116</f>
        <v>780.73</v>
      </c>
      <c r="F344" s="353">
        <f>ROUND(C344*E344,0)</f>
        <v>0</v>
      </c>
      <c r="G344" s="368"/>
      <c r="H344" s="368"/>
      <c r="I344" s="368">
        <f>C344-G344</f>
        <v>0</v>
      </c>
      <c r="J344" s="368">
        <f>F344-H344</f>
        <v>0</v>
      </c>
      <c r="K344" s="360" t="s">
        <v>2322</v>
      </c>
    </row>
    <row r="345" spans="1:11" s="360" customFormat="1" ht="20.25" hidden="1" customHeight="1">
      <c r="A345" s="356" t="s">
        <v>530</v>
      </c>
      <c r="B345" s="357" t="s">
        <v>2116</v>
      </c>
      <c r="C345" s="358">
        <f>FF!I1123</f>
        <v>0</v>
      </c>
      <c r="D345" s="354" t="s">
        <v>102</v>
      </c>
      <c r="E345" s="355">
        <f>FF!K1123</f>
        <v>652.64</v>
      </c>
      <c r="F345" s="353">
        <f t="shared" si="16"/>
        <v>0</v>
      </c>
      <c r="G345" s="368"/>
      <c r="H345" s="368"/>
      <c r="I345" s="368">
        <f t="shared" si="17"/>
        <v>0</v>
      </c>
      <c r="J345" s="368">
        <f t="shared" si="18"/>
        <v>0</v>
      </c>
      <c r="K345" s="360" t="s">
        <v>2226</v>
      </c>
    </row>
    <row r="346" spans="1:11" s="360" customFormat="1" ht="20.25" hidden="1" customHeight="1">
      <c r="A346" s="356" t="s">
        <v>530</v>
      </c>
      <c r="B346" s="357" t="s">
        <v>2116</v>
      </c>
      <c r="C346" s="358">
        <f>FF!I1134</f>
        <v>0</v>
      </c>
      <c r="D346" s="354" t="s">
        <v>102</v>
      </c>
      <c r="E346" s="355">
        <f>FF!K1134</f>
        <v>683.46</v>
      </c>
      <c r="F346" s="353">
        <f>ROUND(C346*E346,0)</f>
        <v>0</v>
      </c>
      <c r="G346" s="368"/>
      <c r="H346" s="368"/>
      <c r="I346" s="368">
        <f>C346-G346</f>
        <v>0</v>
      </c>
      <c r="J346" s="368">
        <f>F346-H346</f>
        <v>0</v>
      </c>
      <c r="K346" s="360" t="s">
        <v>2308</v>
      </c>
    </row>
    <row r="347" spans="1:11" s="360" customFormat="1" ht="20.25" hidden="1" customHeight="1">
      <c r="A347" s="356" t="s">
        <v>530</v>
      </c>
      <c r="B347" s="357" t="s">
        <v>2116</v>
      </c>
      <c r="C347" s="358">
        <f>FF!I1141</f>
        <v>0</v>
      </c>
      <c r="D347" s="354" t="s">
        <v>102</v>
      </c>
      <c r="E347" s="355">
        <f>FF!K1141</f>
        <v>706.57</v>
      </c>
      <c r="F347" s="353">
        <f>ROUND(C347*E347,0)</f>
        <v>0</v>
      </c>
      <c r="G347" s="368"/>
      <c r="H347" s="368"/>
      <c r="I347" s="368">
        <f>C347-G347</f>
        <v>0</v>
      </c>
      <c r="J347" s="368">
        <f>F347-H347</f>
        <v>0</v>
      </c>
      <c r="K347" s="360" t="s">
        <v>2321</v>
      </c>
    </row>
    <row r="348" spans="1:11" s="360" customFormat="1" ht="20.25" hidden="1" customHeight="1">
      <c r="A348" s="356" t="s">
        <v>530</v>
      </c>
      <c r="B348" s="357" t="s">
        <v>2116</v>
      </c>
      <c r="C348" s="358">
        <f>FF!I1148</f>
        <v>0</v>
      </c>
      <c r="D348" s="354" t="s">
        <v>102</v>
      </c>
      <c r="E348" s="355">
        <f>FF!K1148</f>
        <v>786.2</v>
      </c>
      <c r="F348" s="353">
        <f>ROUND(C348*E348,0)</f>
        <v>0</v>
      </c>
      <c r="G348" s="368"/>
      <c r="H348" s="368"/>
      <c r="I348" s="368">
        <f>C348-G348</f>
        <v>0</v>
      </c>
      <c r="J348" s="368">
        <f>F348-H348</f>
        <v>0</v>
      </c>
      <c r="K348" s="360" t="s">
        <v>2322</v>
      </c>
    </row>
    <row r="349" spans="1:11" s="360" customFormat="1" ht="20.25" hidden="1" customHeight="1">
      <c r="A349" s="356" t="s">
        <v>516</v>
      </c>
      <c r="B349" s="357" t="s">
        <v>2117</v>
      </c>
      <c r="C349" s="358">
        <f>FF!I1155</f>
        <v>0</v>
      </c>
      <c r="D349" s="354" t="s">
        <v>102</v>
      </c>
      <c r="E349" s="355">
        <f>FF!K1155</f>
        <v>755.74</v>
      </c>
      <c r="F349" s="353">
        <f t="shared" si="16"/>
        <v>0</v>
      </c>
      <c r="G349" s="368"/>
      <c r="H349" s="368"/>
      <c r="I349" s="368">
        <f t="shared" si="17"/>
        <v>0</v>
      </c>
      <c r="J349" s="368">
        <f t="shared" si="18"/>
        <v>0</v>
      </c>
      <c r="K349" s="360" t="s">
        <v>2226</v>
      </c>
    </row>
    <row r="350" spans="1:11" s="360" customFormat="1" ht="20.25" hidden="1" customHeight="1">
      <c r="A350" s="356" t="s">
        <v>504</v>
      </c>
      <c r="B350" s="357" t="s">
        <v>2117</v>
      </c>
      <c r="C350" s="358">
        <f>FF!I1163</f>
        <v>0</v>
      </c>
      <c r="D350" s="354" t="s">
        <v>102</v>
      </c>
      <c r="E350" s="355">
        <f>FF!K1163</f>
        <v>786.57</v>
      </c>
      <c r="F350" s="353">
        <f>ROUND(C350*E350,0)</f>
        <v>0</v>
      </c>
      <c r="G350" s="368"/>
      <c r="H350" s="368"/>
      <c r="I350" s="368">
        <f>C350-G350</f>
        <v>0</v>
      </c>
      <c r="J350" s="368">
        <f>F350-H350</f>
        <v>0</v>
      </c>
      <c r="K350" s="360" t="s">
        <v>2308</v>
      </c>
    </row>
    <row r="351" spans="1:11" s="360" customFormat="1" ht="20.25" hidden="1" customHeight="1">
      <c r="A351" s="356" t="s">
        <v>516</v>
      </c>
      <c r="B351" s="357" t="s">
        <v>2117</v>
      </c>
      <c r="C351" s="358">
        <f>FF!I1170</f>
        <v>0</v>
      </c>
      <c r="D351" s="354" t="s">
        <v>102</v>
      </c>
      <c r="E351" s="355">
        <f>FF!K1170</f>
        <v>809.68</v>
      </c>
      <c r="F351" s="353">
        <f>ROUND(C351*E351,0)</f>
        <v>0</v>
      </c>
      <c r="G351" s="368"/>
      <c r="H351" s="368"/>
      <c r="I351" s="368">
        <f>C351-G351</f>
        <v>0</v>
      </c>
      <c r="J351" s="368">
        <f>F351-H351</f>
        <v>0</v>
      </c>
      <c r="K351" s="360" t="s">
        <v>2321</v>
      </c>
    </row>
    <row r="352" spans="1:11" s="360" customFormat="1" ht="20.25" hidden="1" customHeight="1">
      <c r="A352" s="356" t="s">
        <v>516</v>
      </c>
      <c r="B352" s="357" t="s">
        <v>2117</v>
      </c>
      <c r="C352" s="358">
        <f>FF!I1175</f>
        <v>0</v>
      </c>
      <c r="D352" s="354" t="s">
        <v>102</v>
      </c>
      <c r="E352" s="355">
        <f>FF!K1175</f>
        <v>837.86</v>
      </c>
      <c r="F352" s="353">
        <f>ROUND(C352*E352,0)</f>
        <v>0</v>
      </c>
      <c r="G352" s="368"/>
      <c r="H352" s="368"/>
      <c r="I352" s="368">
        <f>C352-G352</f>
        <v>0</v>
      </c>
      <c r="J352" s="368">
        <f>F352-H352</f>
        <v>0</v>
      </c>
      <c r="K352" s="360" t="s">
        <v>2322</v>
      </c>
    </row>
    <row r="353" spans="1:11" s="360" customFormat="1" ht="20.25" hidden="1" customHeight="1">
      <c r="A353" s="356" t="s">
        <v>517</v>
      </c>
      <c r="B353" s="357" t="s">
        <v>2116</v>
      </c>
      <c r="C353" s="358">
        <f>FF!I1182</f>
        <v>0</v>
      </c>
      <c r="D353" s="354" t="s">
        <v>102</v>
      </c>
      <c r="E353" s="355">
        <f>FF!K1182</f>
        <v>494.82</v>
      </c>
      <c r="F353" s="353">
        <f t="shared" si="16"/>
        <v>0</v>
      </c>
      <c r="G353" s="368"/>
      <c r="H353" s="368"/>
      <c r="I353" s="368">
        <f t="shared" si="17"/>
        <v>0</v>
      </c>
      <c r="J353" s="368">
        <f t="shared" si="18"/>
        <v>0</v>
      </c>
      <c r="K353" s="360" t="s">
        <v>2226</v>
      </c>
    </row>
    <row r="354" spans="1:11" s="360" customFormat="1" ht="20.25" hidden="1" customHeight="1">
      <c r="A354" s="356" t="s">
        <v>506</v>
      </c>
      <c r="B354" s="357" t="s">
        <v>2116</v>
      </c>
      <c r="C354" s="358">
        <f>FF!I1190</f>
        <v>0</v>
      </c>
      <c r="D354" s="354" t="s">
        <v>102</v>
      </c>
      <c r="E354" s="355">
        <f>FF!K1190</f>
        <v>504.13</v>
      </c>
      <c r="F354" s="353">
        <f>ROUND(C354*E354,0)</f>
        <v>0</v>
      </c>
      <c r="G354" s="368"/>
      <c r="H354" s="368"/>
      <c r="I354" s="368">
        <f>C354-G354</f>
        <v>0</v>
      </c>
      <c r="J354" s="368">
        <f>F354-H354</f>
        <v>0</v>
      </c>
      <c r="K354" s="360" t="s">
        <v>2308</v>
      </c>
    </row>
    <row r="355" spans="1:11" s="360" customFormat="1" ht="20.25" hidden="1" customHeight="1">
      <c r="A355" s="356" t="s">
        <v>517</v>
      </c>
      <c r="B355" s="357" t="s">
        <v>2116</v>
      </c>
      <c r="C355" s="358">
        <f>FF!I1197</f>
        <v>0</v>
      </c>
      <c r="D355" s="354" t="s">
        <v>102</v>
      </c>
      <c r="E355" s="355">
        <f>FF!K1197</f>
        <v>512.09</v>
      </c>
      <c r="F355" s="353">
        <f>ROUND(C355*E355,0)</f>
        <v>0</v>
      </c>
      <c r="G355" s="368"/>
      <c r="H355" s="368"/>
      <c r="I355" s="368">
        <f>C355-G355</f>
        <v>0</v>
      </c>
      <c r="J355" s="368">
        <f>F355-H355</f>
        <v>0</v>
      </c>
      <c r="K355" s="360" t="s">
        <v>2321</v>
      </c>
    </row>
    <row r="356" spans="1:11" s="360" customFormat="1" ht="20.25" hidden="1" customHeight="1">
      <c r="A356" s="356" t="s">
        <v>517</v>
      </c>
      <c r="B356" s="357" t="s">
        <v>2116</v>
      </c>
      <c r="C356" s="358">
        <f>FF!I1209</f>
        <v>0</v>
      </c>
      <c r="D356" s="354" t="s">
        <v>102</v>
      </c>
      <c r="E356" s="355">
        <f>FF!K1209</f>
        <v>527.21</v>
      </c>
      <c r="F356" s="353">
        <f>ROUND(C356*E356,0)</f>
        <v>0</v>
      </c>
      <c r="G356" s="368"/>
      <c r="H356" s="368"/>
      <c r="I356" s="368">
        <f>C356-G356</f>
        <v>0</v>
      </c>
      <c r="J356" s="368">
        <f>F356-H356</f>
        <v>0</v>
      </c>
      <c r="K356" s="360" t="s">
        <v>2322</v>
      </c>
    </row>
    <row r="357" spans="1:11" s="360" customFormat="1" ht="20.25" hidden="1" customHeight="1">
      <c r="A357" s="356" t="s">
        <v>492</v>
      </c>
      <c r="B357" s="357" t="s">
        <v>1223</v>
      </c>
      <c r="C357" s="358">
        <f>FF!I1217</f>
        <v>0</v>
      </c>
      <c r="D357" s="354" t="s">
        <v>102</v>
      </c>
      <c r="E357" s="355">
        <f>FF!K1217</f>
        <v>944.79</v>
      </c>
      <c r="F357" s="353">
        <f t="shared" si="16"/>
        <v>0</v>
      </c>
      <c r="G357" s="368"/>
      <c r="H357" s="368"/>
      <c r="I357" s="368">
        <f t="shared" si="17"/>
        <v>0</v>
      </c>
      <c r="J357" s="368">
        <f t="shared" si="18"/>
        <v>0</v>
      </c>
      <c r="K357" s="360" t="s">
        <v>2226</v>
      </c>
    </row>
    <row r="358" spans="1:11" s="360" customFormat="1" ht="20.25" hidden="1" customHeight="1">
      <c r="A358" s="356" t="s">
        <v>492</v>
      </c>
      <c r="B358" s="357" t="s">
        <v>1223</v>
      </c>
      <c r="C358" s="358">
        <f>FF!I1225</f>
        <v>0</v>
      </c>
      <c r="D358" s="354" t="s">
        <v>102</v>
      </c>
      <c r="E358" s="355">
        <f>FF!K1225</f>
        <v>986.93</v>
      </c>
      <c r="F358" s="353">
        <f>ROUND(C358*E358,0)</f>
        <v>0</v>
      </c>
      <c r="G358" s="368"/>
      <c r="H358" s="368"/>
      <c r="I358" s="368">
        <f>C358-G358</f>
        <v>0</v>
      </c>
      <c r="J358" s="368">
        <f>F358-H358</f>
        <v>0</v>
      </c>
      <c r="K358" s="360" t="s">
        <v>2308</v>
      </c>
    </row>
    <row r="359" spans="1:11" s="360" customFormat="1" ht="20.25" hidden="1" customHeight="1">
      <c r="A359" s="356" t="s">
        <v>492</v>
      </c>
      <c r="B359" s="357" t="s">
        <v>1223</v>
      </c>
      <c r="C359" s="358">
        <f>FF!I1233</f>
        <v>0</v>
      </c>
      <c r="D359" s="354" t="s">
        <v>102</v>
      </c>
      <c r="E359" s="355">
        <f>FF!K1233</f>
        <v>1020.23</v>
      </c>
      <c r="F359" s="353">
        <f>ROUND(C359*E359,0)</f>
        <v>0</v>
      </c>
      <c r="G359" s="368"/>
      <c r="H359" s="368"/>
      <c r="I359" s="368">
        <f>C359-G359</f>
        <v>0</v>
      </c>
      <c r="J359" s="368">
        <f>F359-H359</f>
        <v>0</v>
      </c>
      <c r="K359" s="360" t="s">
        <v>2321</v>
      </c>
    </row>
    <row r="360" spans="1:11" s="360" customFormat="1" ht="20.25" hidden="1" customHeight="1">
      <c r="A360" s="356" t="s">
        <v>492</v>
      </c>
      <c r="B360" s="357" t="s">
        <v>1223</v>
      </c>
      <c r="C360" s="358">
        <f>FF!I1241</f>
        <v>0</v>
      </c>
      <c r="D360" s="354" t="s">
        <v>102</v>
      </c>
      <c r="E360" s="355">
        <f>FF!K1241</f>
        <v>1059.21</v>
      </c>
      <c r="F360" s="353">
        <f>ROUND(C360*E360,0)</f>
        <v>0</v>
      </c>
      <c r="G360" s="368"/>
      <c r="H360" s="368"/>
      <c r="I360" s="368">
        <f>C360-G360</f>
        <v>0</v>
      </c>
      <c r="J360" s="368">
        <f>F360-H360</f>
        <v>0</v>
      </c>
      <c r="K360" s="360" t="s">
        <v>2322</v>
      </c>
    </row>
    <row r="361" spans="1:11" s="360" customFormat="1" ht="20.25" hidden="1" customHeight="1">
      <c r="A361" s="356" t="s">
        <v>533</v>
      </c>
      <c r="B361" s="357" t="s">
        <v>2239</v>
      </c>
      <c r="C361" s="358">
        <f>FF!I1250</f>
        <v>0</v>
      </c>
      <c r="D361" s="354" t="s">
        <v>102</v>
      </c>
      <c r="E361" s="355">
        <f>FF!K1250</f>
        <v>21.43</v>
      </c>
      <c r="F361" s="353">
        <f t="shared" si="16"/>
        <v>0</v>
      </c>
      <c r="G361" s="368"/>
      <c r="H361" s="368"/>
      <c r="I361" s="368">
        <f t="shared" si="17"/>
        <v>0</v>
      </c>
      <c r="J361" s="368">
        <f t="shared" si="18"/>
        <v>0</v>
      </c>
      <c r="K361" s="360" t="s">
        <v>2226</v>
      </c>
    </row>
    <row r="362" spans="1:11" s="360" customFormat="1" ht="20.25" hidden="1" customHeight="1">
      <c r="A362" s="356" t="s">
        <v>533</v>
      </c>
      <c r="B362" s="357" t="s">
        <v>2239</v>
      </c>
      <c r="C362" s="358">
        <f>FF!I1259</f>
        <v>0</v>
      </c>
      <c r="D362" s="354" t="s">
        <v>102</v>
      </c>
      <c r="E362" s="355">
        <f>FF!K1259</f>
        <v>22.88</v>
      </c>
      <c r="F362" s="353">
        <f>ROUND(C362*E362,0)</f>
        <v>0</v>
      </c>
      <c r="G362" s="368"/>
      <c r="H362" s="368"/>
      <c r="I362" s="368">
        <f>C362-G362</f>
        <v>0</v>
      </c>
      <c r="J362" s="368">
        <f>F362-H362</f>
        <v>0</v>
      </c>
      <c r="K362" s="360" t="s">
        <v>2308</v>
      </c>
    </row>
    <row r="363" spans="1:11" s="360" customFormat="1" ht="20.25" hidden="1" customHeight="1">
      <c r="A363" s="356" t="s">
        <v>533</v>
      </c>
      <c r="B363" s="357" t="s">
        <v>2239</v>
      </c>
      <c r="C363" s="358">
        <f>FF!I1268</f>
        <v>0</v>
      </c>
      <c r="D363" s="354" t="s">
        <v>102</v>
      </c>
      <c r="E363" s="355">
        <f>FF!K1268</f>
        <v>24.15</v>
      </c>
      <c r="F363" s="353">
        <f>ROUND(C363*E363,0)</f>
        <v>0</v>
      </c>
      <c r="G363" s="368"/>
      <c r="H363" s="368"/>
      <c r="I363" s="368">
        <f>C363-G363</f>
        <v>0</v>
      </c>
      <c r="J363" s="368">
        <f>F363-H363</f>
        <v>0</v>
      </c>
      <c r="K363" s="360" t="s">
        <v>2321</v>
      </c>
    </row>
    <row r="364" spans="1:11" s="360" customFormat="1" ht="20.25" hidden="1" customHeight="1">
      <c r="A364" s="356" t="s">
        <v>533</v>
      </c>
      <c r="B364" s="357" t="s">
        <v>2239</v>
      </c>
      <c r="C364" s="358">
        <f>FF!I1277</f>
        <v>0</v>
      </c>
      <c r="D364" s="354" t="s">
        <v>102</v>
      </c>
      <c r="E364" s="355">
        <f>FF!K1277</f>
        <v>25.98</v>
      </c>
      <c r="F364" s="353">
        <f>ROUND(C364*E364,0)</f>
        <v>0</v>
      </c>
      <c r="G364" s="368"/>
      <c r="H364" s="368"/>
      <c r="I364" s="368">
        <f>C364-G364</f>
        <v>0</v>
      </c>
      <c r="J364" s="368">
        <f>F364-H364</f>
        <v>0</v>
      </c>
      <c r="K364" s="360" t="s">
        <v>2322</v>
      </c>
    </row>
    <row r="365" spans="1:11" s="360" customFormat="1" ht="20.25" hidden="1" customHeight="1">
      <c r="A365" s="356" t="s">
        <v>499</v>
      </c>
      <c r="B365" s="357" t="s">
        <v>2118</v>
      </c>
      <c r="C365" s="358">
        <f>FF!I1302</f>
        <v>0</v>
      </c>
      <c r="D365" s="354" t="s">
        <v>102</v>
      </c>
      <c r="E365" s="355">
        <f>FF!K1302</f>
        <v>156.41</v>
      </c>
      <c r="F365" s="353">
        <f t="shared" si="16"/>
        <v>0</v>
      </c>
      <c r="G365" s="368"/>
      <c r="H365" s="368"/>
      <c r="I365" s="368">
        <f t="shared" si="17"/>
        <v>0</v>
      </c>
      <c r="J365" s="368">
        <f t="shared" si="18"/>
        <v>0</v>
      </c>
      <c r="K365" s="360" t="s">
        <v>2226</v>
      </c>
    </row>
    <row r="366" spans="1:11" s="360" customFormat="1" ht="20.25" hidden="1" customHeight="1">
      <c r="A366" s="356" t="s">
        <v>508</v>
      </c>
      <c r="B366" s="357" t="s">
        <v>2118</v>
      </c>
      <c r="C366" s="358">
        <f>FF!I1334</f>
        <v>0</v>
      </c>
      <c r="D366" s="354" t="s">
        <v>102</v>
      </c>
      <c r="E366" s="355">
        <f>FF!K1334</f>
        <v>164.34</v>
      </c>
      <c r="F366" s="353">
        <f>ROUND(C366*E366,0)</f>
        <v>0</v>
      </c>
      <c r="G366" s="368"/>
      <c r="H366" s="368"/>
      <c r="I366" s="368">
        <f>C366-G366</f>
        <v>0</v>
      </c>
      <c r="J366" s="368">
        <f>F366-H366</f>
        <v>0</v>
      </c>
      <c r="K366" s="360" t="s">
        <v>2308</v>
      </c>
    </row>
    <row r="367" spans="1:11" s="360" customFormat="1" ht="20.25" hidden="1" customHeight="1">
      <c r="A367" s="356" t="s">
        <v>518</v>
      </c>
      <c r="B367" s="357" t="s">
        <v>2118</v>
      </c>
      <c r="C367" s="358">
        <f>FF!I1344</f>
        <v>0</v>
      </c>
      <c r="D367" s="354" t="s">
        <v>102</v>
      </c>
      <c r="E367" s="355">
        <f>FF!K1344</f>
        <v>170.35</v>
      </c>
      <c r="F367" s="353">
        <f>ROUND(C367*E367,0)</f>
        <v>0</v>
      </c>
      <c r="G367" s="368"/>
      <c r="H367" s="368"/>
      <c r="I367" s="368">
        <f>C367-G367</f>
        <v>0</v>
      </c>
      <c r="J367" s="368">
        <f>F367-H367</f>
        <v>0</v>
      </c>
      <c r="K367" s="360" t="s">
        <v>2321</v>
      </c>
    </row>
    <row r="368" spans="1:11" s="360" customFormat="1" ht="20.25" hidden="1" customHeight="1">
      <c r="A368" s="356" t="s">
        <v>498</v>
      </c>
      <c r="B368" s="357" t="s">
        <v>2118</v>
      </c>
      <c r="C368" s="358">
        <f>FF!I1369</f>
        <v>0</v>
      </c>
      <c r="D368" s="354" t="s">
        <v>102</v>
      </c>
      <c r="E368" s="355">
        <f>FF!K1369</f>
        <v>184.03</v>
      </c>
      <c r="F368" s="353">
        <f>ROUND(C368*E368,0)</f>
        <v>0</v>
      </c>
      <c r="G368" s="368"/>
      <c r="H368" s="368"/>
      <c r="I368" s="368">
        <f>C368-G368</f>
        <v>0</v>
      </c>
      <c r="J368" s="368">
        <f>F368-H368</f>
        <v>0</v>
      </c>
      <c r="K368" s="360" t="s">
        <v>2322</v>
      </c>
    </row>
    <row r="369" spans="1:11" s="360" customFormat="1" ht="20.25" hidden="1" customHeight="1">
      <c r="A369" s="356" t="s">
        <v>519</v>
      </c>
      <c r="B369" s="357" t="s">
        <v>2176</v>
      </c>
      <c r="C369" s="358">
        <f>FF!I1378</f>
        <v>0</v>
      </c>
      <c r="D369" s="354" t="s">
        <v>102</v>
      </c>
      <c r="E369" s="355">
        <f>FF!K1378</f>
        <v>131.44999999999999</v>
      </c>
      <c r="F369" s="353">
        <f t="shared" si="16"/>
        <v>0</v>
      </c>
      <c r="G369" s="368"/>
      <c r="H369" s="368"/>
      <c r="I369" s="368">
        <f t="shared" si="17"/>
        <v>0</v>
      </c>
      <c r="J369" s="368">
        <f t="shared" si="18"/>
        <v>0</v>
      </c>
      <c r="K369" s="360" t="s">
        <v>2226</v>
      </c>
    </row>
    <row r="370" spans="1:11" s="360" customFormat="1" ht="20.25" hidden="1" customHeight="1">
      <c r="A370" s="356" t="s">
        <v>510</v>
      </c>
      <c r="B370" s="357" t="s">
        <v>2176</v>
      </c>
      <c r="C370" s="358">
        <f>FF!I1420</f>
        <v>0</v>
      </c>
      <c r="D370" s="354" t="s">
        <v>102</v>
      </c>
      <c r="E370" s="355">
        <f>FF!K1420</f>
        <v>139.51</v>
      </c>
      <c r="F370" s="353">
        <f>ROUND(C370*E370,0)</f>
        <v>0</v>
      </c>
      <c r="G370" s="368"/>
      <c r="H370" s="368"/>
      <c r="I370" s="368">
        <f>C370-G370</f>
        <v>0</v>
      </c>
      <c r="J370" s="368">
        <f>F370-H370</f>
        <v>0</v>
      </c>
      <c r="K370" s="360" t="s">
        <v>2308</v>
      </c>
    </row>
    <row r="371" spans="1:11" s="360" customFormat="1" ht="20.25" hidden="1" customHeight="1">
      <c r="A371" s="356" t="s">
        <v>519</v>
      </c>
      <c r="B371" s="357" t="s">
        <v>2176</v>
      </c>
      <c r="C371" s="358">
        <f>FF!I1429</f>
        <v>0</v>
      </c>
      <c r="D371" s="354" t="s">
        <v>102</v>
      </c>
      <c r="E371" s="355">
        <f>FF!K1429</f>
        <v>145.68</v>
      </c>
      <c r="F371" s="353">
        <f>ROUND(C371*E371,0)</f>
        <v>0</v>
      </c>
      <c r="G371" s="368"/>
      <c r="H371" s="368"/>
      <c r="I371" s="368">
        <f>C371-G371</f>
        <v>0</v>
      </c>
      <c r="J371" s="368">
        <f>F371-H371</f>
        <v>0</v>
      </c>
      <c r="K371" s="360" t="s">
        <v>2321</v>
      </c>
    </row>
    <row r="372" spans="1:11" s="360" customFormat="1" ht="20.25" hidden="1" customHeight="1">
      <c r="A372" s="356" t="s">
        <v>500</v>
      </c>
      <c r="B372" s="357" t="s">
        <v>2176</v>
      </c>
      <c r="C372" s="358">
        <f>FF!I1454</f>
        <v>0</v>
      </c>
      <c r="D372" s="354" t="s">
        <v>102</v>
      </c>
      <c r="E372" s="355">
        <f>FF!K1454</f>
        <v>158.36000000000001</v>
      </c>
      <c r="F372" s="353">
        <f>ROUND(C372*E372,0)</f>
        <v>0</v>
      </c>
      <c r="G372" s="368"/>
      <c r="H372" s="368"/>
      <c r="I372" s="368">
        <f>C372-G372</f>
        <v>0</v>
      </c>
      <c r="J372" s="368">
        <f>F372-H372</f>
        <v>0</v>
      </c>
      <c r="K372" s="360" t="s">
        <v>2322</v>
      </c>
    </row>
    <row r="373" spans="1:11" s="360" customFormat="1" ht="20.25" hidden="1" customHeight="1">
      <c r="A373" s="356" t="s">
        <v>520</v>
      </c>
      <c r="B373" s="357" t="s">
        <v>2177</v>
      </c>
      <c r="C373" s="358">
        <f>FF!I1461</f>
        <v>0</v>
      </c>
      <c r="D373" s="354" t="s">
        <v>102</v>
      </c>
      <c r="E373" s="355">
        <f>FF!K1461</f>
        <v>179.47</v>
      </c>
      <c r="F373" s="353">
        <f t="shared" si="16"/>
        <v>0</v>
      </c>
      <c r="G373" s="368"/>
      <c r="H373" s="368"/>
      <c r="I373" s="368">
        <f t="shared" si="17"/>
        <v>0</v>
      </c>
      <c r="J373" s="368">
        <f t="shared" si="18"/>
        <v>0</v>
      </c>
      <c r="K373" s="360" t="s">
        <v>2226</v>
      </c>
    </row>
    <row r="374" spans="1:11" s="360" customFormat="1" ht="20.25" hidden="1" customHeight="1">
      <c r="A374" s="356" t="s">
        <v>1522</v>
      </c>
      <c r="B374" s="357" t="s">
        <v>2177</v>
      </c>
      <c r="C374" s="358">
        <f>FF!I1493</f>
        <v>0</v>
      </c>
      <c r="D374" s="354" t="s">
        <v>102</v>
      </c>
      <c r="E374" s="355">
        <f>FF!K1493</f>
        <v>192.01</v>
      </c>
      <c r="F374" s="353">
        <f>ROUND(C374*E374,0)</f>
        <v>0</v>
      </c>
      <c r="G374" s="368"/>
      <c r="H374" s="368"/>
      <c r="I374" s="368">
        <f>C374-G374</f>
        <v>0</v>
      </c>
      <c r="J374" s="368">
        <f>F374-H374</f>
        <v>0</v>
      </c>
      <c r="K374" s="360" t="s">
        <v>2308</v>
      </c>
    </row>
    <row r="375" spans="1:11" s="360" customFormat="1" ht="20.25" hidden="1" customHeight="1">
      <c r="A375" s="356" t="s">
        <v>520</v>
      </c>
      <c r="B375" s="357" t="s">
        <v>2177</v>
      </c>
      <c r="C375" s="358">
        <f>FF!I1500</f>
        <v>0</v>
      </c>
      <c r="D375" s="354" t="s">
        <v>102</v>
      </c>
      <c r="E375" s="355">
        <f>FF!K1500</f>
        <v>201.51</v>
      </c>
      <c r="F375" s="353">
        <f>ROUND(C375*E375,0)</f>
        <v>0</v>
      </c>
      <c r="G375" s="368"/>
      <c r="H375" s="368"/>
      <c r="I375" s="368">
        <f>C375-G375</f>
        <v>0</v>
      </c>
      <c r="J375" s="368">
        <f>F375-H375</f>
        <v>0</v>
      </c>
      <c r="K375" s="360" t="s">
        <v>2321</v>
      </c>
    </row>
    <row r="376" spans="1:11" s="360" customFormat="1" ht="20.25" hidden="1" customHeight="1">
      <c r="A376" s="356" t="s">
        <v>501</v>
      </c>
      <c r="B376" s="357" t="s">
        <v>2177</v>
      </c>
      <c r="C376" s="358">
        <f>FF!I1514</f>
        <v>0</v>
      </c>
      <c r="D376" s="354" t="s">
        <v>102</v>
      </c>
      <c r="E376" s="355">
        <f>FF!K1514</f>
        <v>217.22</v>
      </c>
      <c r="F376" s="353">
        <f>ROUND(C376*E376,0)</f>
        <v>0</v>
      </c>
      <c r="G376" s="368"/>
      <c r="H376" s="368"/>
      <c r="I376" s="368">
        <f>C376-G376</f>
        <v>0</v>
      </c>
      <c r="J376" s="368">
        <f>F376-H376</f>
        <v>0</v>
      </c>
      <c r="K376" s="360" t="s">
        <v>2322</v>
      </c>
    </row>
    <row r="377" spans="1:11" s="360" customFormat="1" ht="20.25" hidden="1" customHeight="1">
      <c r="A377" s="356" t="s">
        <v>502</v>
      </c>
      <c r="B377" s="357" t="s">
        <v>477</v>
      </c>
      <c r="C377" s="429">
        <f>FF!I1522</f>
        <v>0</v>
      </c>
      <c r="D377" s="221" t="s">
        <v>29</v>
      </c>
      <c r="E377" s="430">
        <f>FF!K1522</f>
        <v>63243.5</v>
      </c>
      <c r="F377" s="353">
        <f t="shared" si="16"/>
        <v>0</v>
      </c>
      <c r="G377" s="368"/>
      <c r="H377" s="368"/>
      <c r="I377" s="368">
        <f t="shared" si="17"/>
        <v>0</v>
      </c>
      <c r="J377" s="368">
        <f t="shared" si="18"/>
        <v>0</v>
      </c>
      <c r="K377" s="360" t="s">
        <v>2226</v>
      </c>
    </row>
    <row r="378" spans="1:11" s="360" customFormat="1" ht="20.25" hidden="1" customHeight="1">
      <c r="A378" s="356" t="s">
        <v>513</v>
      </c>
      <c r="B378" s="357" t="s">
        <v>477</v>
      </c>
      <c r="C378" s="429">
        <f>FF!I1527</f>
        <v>0</v>
      </c>
      <c r="D378" s="221" t="s">
        <v>29</v>
      </c>
      <c r="E378" s="430">
        <f>FF!K1527</f>
        <v>63510</v>
      </c>
      <c r="F378" s="353">
        <f>ROUND(C378*E378,0)</f>
        <v>0</v>
      </c>
      <c r="G378" s="368"/>
      <c r="H378" s="368"/>
      <c r="I378" s="368">
        <f>C378-G378</f>
        <v>0</v>
      </c>
      <c r="J378" s="368">
        <f>F378-H378</f>
        <v>0</v>
      </c>
      <c r="K378" s="360" t="s">
        <v>2308</v>
      </c>
    </row>
    <row r="379" spans="1:11" s="360" customFormat="1" ht="20.25" hidden="1" customHeight="1">
      <c r="A379" s="356" t="s">
        <v>513</v>
      </c>
      <c r="B379" s="357" t="s">
        <v>477</v>
      </c>
      <c r="C379" s="429">
        <f>FF!I1535</f>
        <v>0</v>
      </c>
      <c r="D379" s="221" t="s">
        <v>29</v>
      </c>
      <c r="E379" s="430">
        <f>FF!K1535</f>
        <v>80999.5</v>
      </c>
      <c r="F379" s="353">
        <f>ROUND(C379*E379,0)</f>
        <v>0</v>
      </c>
      <c r="G379" s="368"/>
      <c r="H379" s="368"/>
      <c r="I379" s="368">
        <f>C379-G379</f>
        <v>0</v>
      </c>
      <c r="J379" s="368">
        <f>F379-H379</f>
        <v>0</v>
      </c>
      <c r="K379" s="360" t="s">
        <v>2321</v>
      </c>
    </row>
    <row r="380" spans="1:11" s="360" customFormat="1" ht="20.25" hidden="1" customHeight="1">
      <c r="A380" s="356" t="s">
        <v>513</v>
      </c>
      <c r="B380" s="357" t="s">
        <v>477</v>
      </c>
      <c r="C380" s="429">
        <f>FF!I1542</f>
        <v>0</v>
      </c>
      <c r="D380" s="221" t="s">
        <v>29</v>
      </c>
      <c r="E380" s="430">
        <f>FF!K1542</f>
        <v>93741</v>
      </c>
      <c r="F380" s="353">
        <f>ROUND(C380*E380,0)</f>
        <v>0</v>
      </c>
      <c r="G380" s="368"/>
      <c r="H380" s="368"/>
      <c r="I380" s="368">
        <f>C380-G380</f>
        <v>0</v>
      </c>
      <c r="J380" s="368">
        <f>F380-H380</f>
        <v>0</v>
      </c>
      <c r="K380" s="360" t="s">
        <v>2322</v>
      </c>
    </row>
    <row r="381" spans="1:11" s="360" customFormat="1" ht="20.25" hidden="1" customHeight="1">
      <c r="A381" s="356"/>
      <c r="B381" s="431" t="s">
        <v>889</v>
      </c>
      <c r="C381" s="358"/>
      <c r="D381" s="361"/>
      <c r="E381" s="355"/>
      <c r="F381" s="353">
        <f t="shared" si="16"/>
        <v>0</v>
      </c>
      <c r="G381" s="368"/>
      <c r="H381" s="368"/>
      <c r="I381" s="368">
        <f t="shared" si="17"/>
        <v>0</v>
      </c>
      <c r="J381" s="368">
        <f t="shared" si="18"/>
        <v>0</v>
      </c>
      <c r="K381" s="360" t="s">
        <v>2226</v>
      </c>
    </row>
    <row r="382" spans="1:11" s="360" customFormat="1" ht="20.25" hidden="1" customHeight="1">
      <c r="A382" s="356" t="s">
        <v>503</v>
      </c>
      <c r="B382" s="357" t="s">
        <v>2150</v>
      </c>
      <c r="C382" s="358">
        <f>SF!I14</f>
        <v>0</v>
      </c>
      <c r="D382" s="354" t="s">
        <v>5</v>
      </c>
      <c r="E382" s="355">
        <f>SF!K14</f>
        <v>10542.140000000001</v>
      </c>
      <c r="F382" s="353">
        <f t="shared" si="16"/>
        <v>0</v>
      </c>
      <c r="G382" s="368"/>
      <c r="H382" s="368"/>
      <c r="I382" s="368">
        <f t="shared" si="17"/>
        <v>0</v>
      </c>
      <c r="J382" s="368">
        <f t="shared" si="18"/>
        <v>0</v>
      </c>
      <c r="K382" s="360" t="s">
        <v>2226</v>
      </c>
    </row>
    <row r="383" spans="1:11" s="360" customFormat="1" ht="20.25" hidden="1" customHeight="1">
      <c r="A383" s="356" t="s">
        <v>514</v>
      </c>
      <c r="B383" s="357" t="s">
        <v>2150</v>
      </c>
      <c r="C383" s="358">
        <f>SF!I21</f>
        <v>0</v>
      </c>
      <c r="D383" s="354" t="s">
        <v>5</v>
      </c>
      <c r="E383" s="355">
        <f>SF!K21</f>
        <v>10932.800000000001</v>
      </c>
      <c r="F383" s="353">
        <f>ROUND(C383*E383,0)</f>
        <v>0</v>
      </c>
      <c r="G383" s="368"/>
      <c r="H383" s="368"/>
      <c r="I383" s="368">
        <f>C383-G383</f>
        <v>0</v>
      </c>
      <c r="J383" s="368">
        <f>F383-H383</f>
        <v>0</v>
      </c>
      <c r="K383" s="360" t="s">
        <v>2308</v>
      </c>
    </row>
    <row r="384" spans="1:11" s="360" customFormat="1" ht="20.25" hidden="1" customHeight="1">
      <c r="A384" s="356" t="s">
        <v>514</v>
      </c>
      <c r="B384" s="357" t="s">
        <v>2150</v>
      </c>
      <c r="C384" s="358">
        <f>SF!I28</f>
        <v>0</v>
      </c>
      <c r="D384" s="354" t="s">
        <v>5</v>
      </c>
      <c r="E384" s="355">
        <f>SF!K28</f>
        <v>11565.1</v>
      </c>
      <c r="F384" s="353">
        <f>ROUND(C384*E384,0)</f>
        <v>0</v>
      </c>
      <c r="G384" s="368"/>
      <c r="H384" s="368"/>
      <c r="I384" s="368">
        <f>C384-G384</f>
        <v>0</v>
      </c>
      <c r="J384" s="368">
        <f>F384-H384</f>
        <v>0</v>
      </c>
      <c r="K384" s="360" t="s">
        <v>2321</v>
      </c>
    </row>
    <row r="385" spans="1:11" s="360" customFormat="1" ht="20.25" hidden="1" customHeight="1">
      <c r="A385" s="356" t="s">
        <v>514</v>
      </c>
      <c r="B385" s="357" t="s">
        <v>2150</v>
      </c>
      <c r="C385" s="358">
        <f>SF!I33</f>
        <v>0</v>
      </c>
      <c r="D385" s="354" t="s">
        <v>5</v>
      </c>
      <c r="E385" s="355">
        <f>SF!K33</f>
        <v>12013.61</v>
      </c>
      <c r="F385" s="353">
        <f>ROUND(C385*E385,0)</f>
        <v>0</v>
      </c>
      <c r="G385" s="368"/>
      <c r="H385" s="368"/>
      <c r="I385" s="368">
        <f>C385-G385</f>
        <v>0</v>
      </c>
      <c r="J385" s="368">
        <f>F385-H385</f>
        <v>0</v>
      </c>
      <c r="K385" s="360" t="s">
        <v>2322</v>
      </c>
    </row>
    <row r="386" spans="1:11" s="360" customFormat="1" ht="20.25" hidden="1" customHeight="1">
      <c r="A386" s="356" t="s">
        <v>504</v>
      </c>
      <c r="B386" s="357" t="s">
        <v>2109</v>
      </c>
      <c r="C386" s="358">
        <f>SF!I39</f>
        <v>0</v>
      </c>
      <c r="D386" s="354" t="s">
        <v>5</v>
      </c>
      <c r="E386" s="355">
        <f>SF!K39</f>
        <v>10021.1</v>
      </c>
      <c r="F386" s="353">
        <f t="shared" si="16"/>
        <v>0</v>
      </c>
      <c r="G386" s="368"/>
      <c r="H386" s="368"/>
      <c r="I386" s="368">
        <f t="shared" si="17"/>
        <v>0</v>
      </c>
      <c r="J386" s="368">
        <f t="shared" si="18"/>
        <v>0</v>
      </c>
      <c r="K386" s="360" t="s">
        <v>2226</v>
      </c>
    </row>
    <row r="387" spans="1:11" s="360" customFormat="1" ht="20.25" hidden="1" customHeight="1">
      <c r="A387" s="356" t="s">
        <v>515</v>
      </c>
      <c r="B387" s="357" t="s">
        <v>2109</v>
      </c>
      <c r="C387" s="358">
        <f>SF!I45</f>
        <v>0</v>
      </c>
      <c r="D387" s="354" t="s">
        <v>5</v>
      </c>
      <c r="E387" s="355">
        <f>SF!K45</f>
        <v>10257.99</v>
      </c>
      <c r="F387" s="353">
        <f>ROUND(C387*E387,0)</f>
        <v>0</v>
      </c>
      <c r="G387" s="368"/>
      <c r="H387" s="368"/>
      <c r="I387" s="368">
        <f>C387-G387</f>
        <v>0</v>
      </c>
      <c r="J387" s="368">
        <f>F387-H387</f>
        <v>0</v>
      </c>
      <c r="K387" s="360" t="s">
        <v>2308</v>
      </c>
    </row>
    <row r="388" spans="1:11" s="360" customFormat="1" ht="20.25" hidden="1" customHeight="1">
      <c r="A388" s="356" t="s">
        <v>515</v>
      </c>
      <c r="B388" s="357" t="s">
        <v>2109</v>
      </c>
      <c r="C388" s="358">
        <f>SF!I51</f>
        <v>0</v>
      </c>
      <c r="D388" s="354" t="s">
        <v>5</v>
      </c>
      <c r="E388" s="355">
        <f>SF!K51</f>
        <v>10793.54</v>
      </c>
      <c r="F388" s="353">
        <f>ROUND(C388*E388,0)</f>
        <v>0</v>
      </c>
      <c r="G388" s="368"/>
      <c r="H388" s="368"/>
      <c r="I388" s="368">
        <f>C388-G388</f>
        <v>0</v>
      </c>
      <c r="J388" s="368">
        <f>F388-H388</f>
        <v>0</v>
      </c>
      <c r="K388" s="360" t="s">
        <v>2321</v>
      </c>
    </row>
    <row r="389" spans="1:11" s="360" customFormat="1" ht="20.25" hidden="1" customHeight="1">
      <c r="A389" s="356" t="s">
        <v>515</v>
      </c>
      <c r="B389" s="357" t="s">
        <v>2109</v>
      </c>
      <c r="C389" s="358">
        <f>SF!I57</f>
        <v>0</v>
      </c>
      <c r="D389" s="354" t="s">
        <v>5</v>
      </c>
      <c r="E389" s="355">
        <f>SF!K57</f>
        <v>11098.560000000001</v>
      </c>
      <c r="F389" s="353">
        <f>ROUND(C389*E389,0)</f>
        <v>0</v>
      </c>
      <c r="G389" s="368"/>
      <c r="H389" s="368"/>
      <c r="I389" s="368">
        <f>C389-G389</f>
        <v>0</v>
      </c>
      <c r="J389" s="368">
        <f>F389-H389</f>
        <v>0</v>
      </c>
      <c r="K389" s="360" t="s">
        <v>2322</v>
      </c>
    </row>
    <row r="390" spans="1:11" s="360" customFormat="1" ht="20.25" hidden="1" customHeight="1">
      <c r="A390" s="356" t="s">
        <v>517</v>
      </c>
      <c r="B390" s="357" t="s">
        <v>2020</v>
      </c>
      <c r="C390" s="358">
        <f>SF!I86</f>
        <v>0</v>
      </c>
      <c r="D390" s="354" t="s">
        <v>102</v>
      </c>
      <c r="E390" s="355">
        <f>SF!K86</f>
        <v>1395.34</v>
      </c>
      <c r="F390" s="353">
        <f t="shared" si="16"/>
        <v>0</v>
      </c>
      <c r="G390" s="368"/>
      <c r="H390" s="368"/>
      <c r="I390" s="368">
        <f t="shared" si="17"/>
        <v>0</v>
      </c>
      <c r="J390" s="368">
        <f t="shared" si="18"/>
        <v>0</v>
      </c>
      <c r="K390" s="360" t="s">
        <v>2226</v>
      </c>
    </row>
    <row r="391" spans="1:11" s="360" customFormat="1" ht="20.25" hidden="1" customHeight="1">
      <c r="A391" s="356" t="s">
        <v>516</v>
      </c>
      <c r="B391" s="357" t="s">
        <v>2020</v>
      </c>
      <c r="C391" s="358">
        <f>SF!I91</f>
        <v>0</v>
      </c>
      <c r="D391" s="354" t="s">
        <v>102</v>
      </c>
      <c r="E391" s="355">
        <f>SF!K91</f>
        <v>1443.96</v>
      </c>
      <c r="F391" s="353">
        <f>ROUND(C391*E391,0)</f>
        <v>0</v>
      </c>
      <c r="G391" s="368"/>
      <c r="H391" s="368"/>
      <c r="I391" s="368">
        <f>C391-G391</f>
        <v>0</v>
      </c>
      <c r="J391" s="368">
        <f>F391-H391</f>
        <v>0</v>
      </c>
      <c r="K391" s="360" t="s">
        <v>2308</v>
      </c>
    </row>
    <row r="392" spans="1:11" s="360" customFormat="1" ht="20.25" hidden="1" customHeight="1">
      <c r="A392" s="356" t="s">
        <v>516</v>
      </c>
      <c r="B392" s="357" t="s">
        <v>2020</v>
      </c>
      <c r="C392" s="358">
        <f>SF!I96</f>
        <v>0</v>
      </c>
      <c r="D392" s="354" t="s">
        <v>102</v>
      </c>
      <c r="E392" s="355">
        <f>SF!K96</f>
        <v>1539.2800000000002</v>
      </c>
      <c r="F392" s="353">
        <f>ROUND(C392*E392,0)</f>
        <v>0</v>
      </c>
      <c r="G392" s="368"/>
      <c r="H392" s="368"/>
      <c r="I392" s="368">
        <f>C392-G392</f>
        <v>0</v>
      </c>
      <c r="J392" s="368">
        <f>F392-H392</f>
        <v>0</v>
      </c>
      <c r="K392" s="360" t="s">
        <v>2321</v>
      </c>
    </row>
    <row r="393" spans="1:11" s="360" customFormat="1" ht="20.25" hidden="1" customHeight="1">
      <c r="A393" s="356" t="s">
        <v>516</v>
      </c>
      <c r="B393" s="357" t="s">
        <v>2020</v>
      </c>
      <c r="C393" s="358">
        <f>SF!I101</f>
        <v>0</v>
      </c>
      <c r="D393" s="354" t="s">
        <v>102</v>
      </c>
      <c r="E393" s="355">
        <f>SF!K101</f>
        <v>1594.17</v>
      </c>
      <c r="F393" s="353">
        <f>ROUND(C393*E393,0)</f>
        <v>0</v>
      </c>
      <c r="G393" s="368"/>
      <c r="H393" s="368"/>
      <c r="I393" s="368">
        <f>C393-G393</f>
        <v>0</v>
      </c>
      <c r="J393" s="368">
        <f>F393-H393</f>
        <v>0</v>
      </c>
      <c r="K393" s="360" t="s">
        <v>2322</v>
      </c>
    </row>
    <row r="394" spans="1:11" s="360" customFormat="1" ht="20.25" hidden="1" customHeight="1">
      <c r="A394" s="356" t="s">
        <v>506</v>
      </c>
      <c r="B394" s="357" t="s">
        <v>2240</v>
      </c>
      <c r="C394" s="358">
        <f>SF!I106</f>
        <v>0</v>
      </c>
      <c r="D394" s="354" t="s">
        <v>102</v>
      </c>
      <c r="E394" s="355">
        <f>SF!K106</f>
        <v>1271.18</v>
      </c>
      <c r="F394" s="353">
        <f t="shared" si="16"/>
        <v>0</v>
      </c>
      <c r="G394" s="368"/>
      <c r="H394" s="368"/>
      <c r="I394" s="368">
        <f t="shared" si="17"/>
        <v>0</v>
      </c>
      <c r="J394" s="368">
        <f t="shared" si="18"/>
        <v>0</v>
      </c>
      <c r="K394" s="360" t="s">
        <v>2226</v>
      </c>
    </row>
    <row r="395" spans="1:11" s="360" customFormat="1" ht="20.25" hidden="1" customHeight="1">
      <c r="A395" s="356" t="s">
        <v>487</v>
      </c>
      <c r="B395" s="357" t="s">
        <v>2240</v>
      </c>
      <c r="C395" s="358">
        <f>SF!I111</f>
        <v>0</v>
      </c>
      <c r="D395" s="354" t="s">
        <v>102</v>
      </c>
      <c r="E395" s="355">
        <f>SF!K111</f>
        <v>1314.42</v>
      </c>
      <c r="F395" s="353">
        <f>ROUND(C395*E395,0)</f>
        <v>0</v>
      </c>
      <c r="G395" s="368"/>
      <c r="H395" s="368"/>
      <c r="I395" s="368">
        <f>C395-G395</f>
        <v>0</v>
      </c>
      <c r="J395" s="368">
        <f>F395-H395</f>
        <v>0</v>
      </c>
      <c r="K395" s="360" t="s">
        <v>2308</v>
      </c>
    </row>
    <row r="396" spans="1:11" s="360" customFormat="1" ht="20.25" hidden="1" customHeight="1">
      <c r="A396" s="356" t="s">
        <v>487</v>
      </c>
      <c r="B396" s="357" t="s">
        <v>2240</v>
      </c>
      <c r="C396" s="358">
        <f>SF!I116</f>
        <v>0</v>
      </c>
      <c r="D396" s="354" t="s">
        <v>102</v>
      </c>
      <c r="E396" s="355">
        <f>SF!K116</f>
        <v>1403.54</v>
      </c>
      <c r="F396" s="353">
        <f>ROUND(C396*E396,0)</f>
        <v>0</v>
      </c>
      <c r="G396" s="368"/>
      <c r="H396" s="368"/>
      <c r="I396" s="368">
        <f>C396-G396</f>
        <v>0</v>
      </c>
      <c r="J396" s="368">
        <f>F396-H396</f>
        <v>0</v>
      </c>
      <c r="K396" s="360" t="s">
        <v>2321</v>
      </c>
    </row>
    <row r="397" spans="1:11" s="360" customFormat="1" ht="20.25" hidden="1" customHeight="1">
      <c r="A397" s="356" t="s">
        <v>487</v>
      </c>
      <c r="B397" s="357" t="s">
        <v>2240</v>
      </c>
      <c r="C397" s="358">
        <f>SF!I121</f>
        <v>0</v>
      </c>
      <c r="D397" s="354" t="s">
        <v>102</v>
      </c>
      <c r="E397" s="355">
        <f>SF!K121</f>
        <v>1451.29</v>
      </c>
      <c r="F397" s="353">
        <f>ROUND(C397*E397,0)</f>
        <v>0</v>
      </c>
      <c r="G397" s="368"/>
      <c r="H397" s="368"/>
      <c r="I397" s="368">
        <f>C397-G397</f>
        <v>0</v>
      </c>
      <c r="J397" s="368">
        <f>F397-H397</f>
        <v>0</v>
      </c>
      <c r="K397" s="360" t="s">
        <v>2322</v>
      </c>
    </row>
    <row r="398" spans="1:11" s="360" customFormat="1" ht="20.25" hidden="1" customHeight="1">
      <c r="A398" s="356" t="s">
        <v>516</v>
      </c>
      <c r="B398" s="357" t="s">
        <v>2111</v>
      </c>
      <c r="C398" s="358">
        <f>SF!I63</f>
        <v>0</v>
      </c>
      <c r="D398" s="221" t="s">
        <v>102</v>
      </c>
      <c r="E398" s="355">
        <f>SF!K63</f>
        <v>1519.49</v>
      </c>
      <c r="F398" s="353">
        <f t="shared" si="16"/>
        <v>0</v>
      </c>
      <c r="G398" s="368"/>
      <c r="H398" s="368"/>
      <c r="I398" s="368">
        <f t="shared" si="17"/>
        <v>0</v>
      </c>
      <c r="J398" s="368">
        <f t="shared" si="18"/>
        <v>0</v>
      </c>
      <c r="K398" s="360" t="s">
        <v>2226</v>
      </c>
    </row>
    <row r="399" spans="1:11" s="360" customFormat="1" ht="20.25" hidden="1" customHeight="1">
      <c r="A399" s="356" t="s">
        <v>516</v>
      </c>
      <c r="B399" s="357" t="s">
        <v>2111</v>
      </c>
      <c r="C399" s="358">
        <f>SF!I69</f>
        <v>0</v>
      </c>
      <c r="D399" s="221" t="s">
        <v>102</v>
      </c>
      <c r="E399" s="355">
        <f>SF!K69</f>
        <v>1573.5</v>
      </c>
      <c r="F399" s="353">
        <f>ROUND(C399*E399,0)</f>
        <v>0</v>
      </c>
      <c r="G399" s="368"/>
      <c r="H399" s="368"/>
      <c r="I399" s="368">
        <f>C399-G399</f>
        <v>0</v>
      </c>
      <c r="J399" s="368">
        <f>F399-H399</f>
        <v>0</v>
      </c>
      <c r="K399" s="360" t="s">
        <v>2308</v>
      </c>
    </row>
    <row r="400" spans="1:11" s="360" customFormat="1" ht="20.25" hidden="1" customHeight="1">
      <c r="A400" s="356" t="s">
        <v>516</v>
      </c>
      <c r="B400" s="357" t="s">
        <v>2111</v>
      </c>
      <c r="C400" s="358">
        <f>SF!I75</f>
        <v>0</v>
      </c>
      <c r="D400" s="221" t="s">
        <v>102</v>
      </c>
      <c r="E400" s="355">
        <f>SF!K75</f>
        <v>1675.0100000000002</v>
      </c>
      <c r="F400" s="353">
        <f>ROUND(C400*E400,0)</f>
        <v>0</v>
      </c>
      <c r="G400" s="368"/>
      <c r="H400" s="368"/>
      <c r="I400" s="368">
        <f>C400-G400</f>
        <v>0</v>
      </c>
      <c r="J400" s="368">
        <f>F400-H400</f>
        <v>0</v>
      </c>
      <c r="K400" s="360" t="s">
        <v>2321</v>
      </c>
    </row>
    <row r="401" spans="1:11" s="360" customFormat="1" ht="20.25" hidden="1" customHeight="1">
      <c r="A401" s="356" t="s">
        <v>516</v>
      </c>
      <c r="B401" s="357" t="s">
        <v>2111</v>
      </c>
      <c r="C401" s="358">
        <f>SF!I81</f>
        <v>0</v>
      </c>
      <c r="D401" s="221" t="s">
        <v>102</v>
      </c>
      <c r="E401" s="355">
        <f>SF!K81</f>
        <v>1737.05</v>
      </c>
      <c r="F401" s="353">
        <f>ROUND(C401*E401,0)</f>
        <v>0</v>
      </c>
      <c r="G401" s="368"/>
      <c r="H401" s="368"/>
      <c r="I401" s="368">
        <f>C401-G401</f>
        <v>0</v>
      </c>
      <c r="J401" s="368">
        <f>F401-H401</f>
        <v>0</v>
      </c>
      <c r="K401" s="360" t="s">
        <v>2322</v>
      </c>
    </row>
    <row r="402" spans="1:11" s="360" customFormat="1" ht="20.25" hidden="1" customHeight="1">
      <c r="A402" s="356" t="s">
        <v>517</v>
      </c>
      <c r="B402" s="357" t="s">
        <v>2241</v>
      </c>
      <c r="C402" s="358">
        <f>SF!I127</f>
        <v>0</v>
      </c>
      <c r="D402" s="221" t="s">
        <v>102</v>
      </c>
      <c r="E402" s="355">
        <f>SF!K127</f>
        <v>747.27</v>
      </c>
      <c r="F402" s="353">
        <f t="shared" si="16"/>
        <v>0</v>
      </c>
      <c r="G402" s="368"/>
      <c r="H402" s="368"/>
      <c r="I402" s="368">
        <f t="shared" si="17"/>
        <v>0</v>
      </c>
      <c r="J402" s="368">
        <f t="shared" si="18"/>
        <v>0</v>
      </c>
      <c r="K402" s="360" t="s">
        <v>2226</v>
      </c>
    </row>
    <row r="403" spans="1:11" s="360" customFormat="1" ht="20.25" hidden="1" customHeight="1">
      <c r="A403" s="356" t="s">
        <v>517</v>
      </c>
      <c r="B403" s="357" t="s">
        <v>2241</v>
      </c>
      <c r="C403" s="358">
        <f>SF!I133</f>
        <v>0</v>
      </c>
      <c r="D403" s="221" t="s">
        <v>102</v>
      </c>
      <c r="E403" s="355">
        <f>SF!K133</f>
        <v>779.57</v>
      </c>
      <c r="F403" s="353">
        <f>ROUND(C403*E403,0)</f>
        <v>0</v>
      </c>
      <c r="G403" s="368"/>
      <c r="H403" s="368"/>
      <c r="I403" s="368">
        <f>C403-G403</f>
        <v>0</v>
      </c>
      <c r="J403" s="368">
        <f>F403-H403</f>
        <v>0</v>
      </c>
      <c r="K403" s="360" t="s">
        <v>2308</v>
      </c>
    </row>
    <row r="404" spans="1:11" s="360" customFormat="1" ht="20.25" hidden="1" customHeight="1">
      <c r="A404" s="356" t="s">
        <v>517</v>
      </c>
      <c r="B404" s="357" t="s">
        <v>2241</v>
      </c>
      <c r="C404" s="358">
        <f>SF!I139</f>
        <v>0</v>
      </c>
      <c r="D404" s="221" t="s">
        <v>102</v>
      </c>
      <c r="E404" s="355">
        <f>SF!K139</f>
        <v>831.97</v>
      </c>
      <c r="F404" s="353">
        <f>ROUND(C404*E404,0)</f>
        <v>0</v>
      </c>
      <c r="G404" s="368"/>
      <c r="H404" s="368"/>
      <c r="I404" s="368">
        <f>C404-G404</f>
        <v>0</v>
      </c>
      <c r="J404" s="368">
        <f>F404-H404</f>
        <v>0</v>
      </c>
      <c r="K404" s="360" t="s">
        <v>2321</v>
      </c>
    </row>
    <row r="405" spans="1:11" s="360" customFormat="1" ht="20.25" hidden="1" customHeight="1">
      <c r="A405" s="356" t="s">
        <v>517</v>
      </c>
      <c r="B405" s="357" t="s">
        <v>2241</v>
      </c>
      <c r="C405" s="358">
        <f>SF!I145</f>
        <v>0</v>
      </c>
      <c r="D405" s="221" t="s">
        <v>102</v>
      </c>
      <c r="E405" s="355">
        <f>SF!K145</f>
        <v>865.17</v>
      </c>
      <c r="F405" s="353">
        <f>ROUND(C405*E405,0)</f>
        <v>0</v>
      </c>
      <c r="G405" s="368"/>
      <c r="H405" s="368"/>
      <c r="I405" s="368">
        <f>C405-G405</f>
        <v>0</v>
      </c>
      <c r="J405" s="368">
        <f>F405-H405</f>
        <v>0</v>
      </c>
      <c r="K405" s="360" t="s">
        <v>2322</v>
      </c>
    </row>
    <row r="406" spans="1:11" s="360" customFormat="1" ht="20.25" hidden="1" customHeight="1">
      <c r="A406" s="356" t="s">
        <v>517</v>
      </c>
      <c r="B406" s="357" t="s">
        <v>2242</v>
      </c>
      <c r="C406" s="358">
        <f>SF!I151</f>
        <v>0</v>
      </c>
      <c r="D406" s="221" t="s">
        <v>102</v>
      </c>
      <c r="E406" s="355">
        <f>SF!K151</f>
        <v>624.5</v>
      </c>
      <c r="F406" s="353">
        <f t="shared" si="16"/>
        <v>0</v>
      </c>
      <c r="G406" s="368"/>
      <c r="H406" s="368"/>
      <c r="I406" s="368">
        <f t="shared" si="17"/>
        <v>0</v>
      </c>
      <c r="J406" s="368">
        <f t="shared" si="18"/>
        <v>0</v>
      </c>
      <c r="K406" s="360" t="s">
        <v>2226</v>
      </c>
    </row>
    <row r="407" spans="1:11" s="360" customFormat="1" ht="20.25" hidden="1" customHeight="1">
      <c r="A407" s="356" t="s">
        <v>517</v>
      </c>
      <c r="B407" s="357" t="s">
        <v>2242</v>
      </c>
      <c r="C407" s="358">
        <f>SF!I157</f>
        <v>0</v>
      </c>
      <c r="D407" s="221" t="s">
        <v>102</v>
      </c>
      <c r="E407" s="355">
        <f>SF!K157</f>
        <v>651.52</v>
      </c>
      <c r="F407" s="353">
        <f>ROUND(C407*E407,0)</f>
        <v>0</v>
      </c>
      <c r="G407" s="368"/>
      <c r="H407" s="368"/>
      <c r="I407" s="368">
        <f>C407-G407</f>
        <v>0</v>
      </c>
      <c r="J407" s="368">
        <f>F407-H407</f>
        <v>0</v>
      </c>
      <c r="K407" s="360" t="s">
        <v>2308</v>
      </c>
    </row>
    <row r="408" spans="1:11" s="360" customFormat="1" ht="20.25" hidden="1" customHeight="1">
      <c r="A408" s="356" t="s">
        <v>517</v>
      </c>
      <c r="B408" s="357" t="s">
        <v>2242</v>
      </c>
      <c r="C408" s="358">
        <f>SF!I163</f>
        <v>0</v>
      </c>
      <c r="D408" s="221" t="s">
        <v>102</v>
      </c>
      <c r="E408" s="355">
        <f>SF!K163</f>
        <v>697.83999999999992</v>
      </c>
      <c r="F408" s="353">
        <f>ROUND(C408*E408,0)</f>
        <v>0</v>
      </c>
      <c r="G408" s="368"/>
      <c r="H408" s="368"/>
      <c r="I408" s="368">
        <f>C408-G408</f>
        <v>0</v>
      </c>
      <c r="J408" s="368">
        <f>F408-H408</f>
        <v>0</v>
      </c>
      <c r="K408" s="360" t="s">
        <v>2321</v>
      </c>
    </row>
    <row r="409" spans="1:11" s="360" customFormat="1" ht="20.25" hidden="1" customHeight="1">
      <c r="A409" s="356" t="s">
        <v>517</v>
      </c>
      <c r="B409" s="357" t="s">
        <v>2242</v>
      </c>
      <c r="C409" s="358">
        <f>SF!I169</f>
        <v>0</v>
      </c>
      <c r="D409" s="221" t="s">
        <v>102</v>
      </c>
      <c r="E409" s="355">
        <f>SF!K169</f>
        <v>724.02</v>
      </c>
      <c r="F409" s="353">
        <f>ROUND(C409*E409,0)</f>
        <v>0</v>
      </c>
      <c r="G409" s="368"/>
      <c r="H409" s="368"/>
      <c r="I409" s="368">
        <f>C409-G409</f>
        <v>0</v>
      </c>
      <c r="J409" s="368">
        <f>F409-H409</f>
        <v>0</v>
      </c>
      <c r="K409" s="360" t="s">
        <v>2322</v>
      </c>
    </row>
    <row r="410" spans="1:11" s="360" customFormat="1" ht="20.25" hidden="1" customHeight="1">
      <c r="A410" s="356" t="s">
        <v>513</v>
      </c>
      <c r="B410" s="357" t="s">
        <v>2172</v>
      </c>
      <c r="C410" s="358">
        <f>SF!I176</f>
        <v>0</v>
      </c>
      <c r="D410" s="354" t="s">
        <v>5</v>
      </c>
      <c r="E410" s="355">
        <f>SF!K176</f>
        <v>10426.34</v>
      </c>
      <c r="F410" s="353">
        <f t="shared" si="16"/>
        <v>0</v>
      </c>
      <c r="G410" s="368"/>
      <c r="H410" s="368"/>
      <c r="I410" s="368">
        <f t="shared" si="17"/>
        <v>0</v>
      </c>
      <c r="J410" s="368">
        <f t="shared" si="18"/>
        <v>0</v>
      </c>
      <c r="K410" s="360" t="s">
        <v>2226</v>
      </c>
    </row>
    <row r="411" spans="1:11" s="360" customFormat="1" ht="20.25" hidden="1" customHeight="1">
      <c r="A411" s="356" t="s">
        <v>513</v>
      </c>
      <c r="B411" s="357" t="s">
        <v>2172</v>
      </c>
      <c r="C411" s="358">
        <f>SF!I183</f>
        <v>0</v>
      </c>
      <c r="D411" s="354" t="s">
        <v>5</v>
      </c>
      <c r="E411" s="355">
        <f>SF!K183</f>
        <v>10817</v>
      </c>
      <c r="F411" s="353">
        <f>ROUND(C411*E411,0)</f>
        <v>0</v>
      </c>
      <c r="G411" s="368"/>
      <c r="H411" s="368"/>
      <c r="I411" s="368">
        <f>C411-G411</f>
        <v>0</v>
      </c>
      <c r="J411" s="368">
        <f>F411-H411</f>
        <v>0</v>
      </c>
      <c r="K411" s="360" t="s">
        <v>2308</v>
      </c>
    </row>
    <row r="412" spans="1:11" s="360" customFormat="1" ht="20.25" hidden="1" customHeight="1">
      <c r="A412" s="356" t="s">
        <v>513</v>
      </c>
      <c r="B412" s="357" t="s">
        <v>2172</v>
      </c>
      <c r="C412" s="358">
        <f>SF!I190</f>
        <v>0</v>
      </c>
      <c r="D412" s="354" t="s">
        <v>5</v>
      </c>
      <c r="E412" s="355">
        <f>SF!K190</f>
        <v>11426.3</v>
      </c>
      <c r="F412" s="353">
        <f>ROUND(C412*E412,0)</f>
        <v>0</v>
      </c>
      <c r="G412" s="368"/>
      <c r="H412" s="368"/>
      <c r="I412" s="368">
        <f>C412-G412</f>
        <v>0</v>
      </c>
      <c r="J412" s="368">
        <f>F412-H412</f>
        <v>0</v>
      </c>
      <c r="K412" s="360" t="s">
        <v>2321</v>
      </c>
    </row>
    <row r="413" spans="1:11" s="360" customFormat="1" ht="20.25" hidden="1" customHeight="1">
      <c r="A413" s="356" t="s">
        <v>513</v>
      </c>
      <c r="B413" s="357" t="s">
        <v>2172</v>
      </c>
      <c r="C413" s="358">
        <f>SF!I197</f>
        <v>0</v>
      </c>
      <c r="D413" s="354" t="s">
        <v>5</v>
      </c>
      <c r="E413" s="355">
        <f>SF!K197</f>
        <v>11874.810000000001</v>
      </c>
      <c r="F413" s="353">
        <f>ROUND(C413*E413,0)</f>
        <v>0</v>
      </c>
      <c r="G413" s="368"/>
      <c r="H413" s="368"/>
      <c r="I413" s="368">
        <f>C413-G413</f>
        <v>0</v>
      </c>
      <c r="J413" s="368">
        <f>F413-H413</f>
        <v>0</v>
      </c>
      <c r="K413" s="360" t="s">
        <v>2322</v>
      </c>
    </row>
    <row r="414" spans="1:11" s="360" customFormat="1" ht="20.25" hidden="1" customHeight="1">
      <c r="A414" s="356" t="s">
        <v>519</v>
      </c>
      <c r="B414" s="357" t="s">
        <v>2243</v>
      </c>
      <c r="C414" s="358">
        <f>SF!I202</f>
        <v>0</v>
      </c>
      <c r="D414" s="221" t="s">
        <v>277</v>
      </c>
      <c r="E414" s="355">
        <f>SF!K202</f>
        <v>663.65999999999985</v>
      </c>
      <c r="F414" s="353">
        <f t="shared" si="16"/>
        <v>0</v>
      </c>
      <c r="G414" s="368"/>
      <c r="H414" s="368"/>
      <c r="I414" s="368">
        <f t="shared" si="17"/>
        <v>0</v>
      </c>
      <c r="J414" s="368">
        <f t="shared" si="18"/>
        <v>0</v>
      </c>
      <c r="K414" s="360" t="s">
        <v>2226</v>
      </c>
    </row>
    <row r="415" spans="1:11" s="360" customFormat="1" ht="20.25" hidden="1" customHeight="1">
      <c r="A415" s="356" t="s">
        <v>519</v>
      </c>
      <c r="B415" s="357" t="s">
        <v>2243</v>
      </c>
      <c r="C415" s="358">
        <f>SF!I207</f>
        <v>0</v>
      </c>
      <c r="D415" s="221" t="s">
        <v>277</v>
      </c>
      <c r="E415" s="355">
        <f>SF!K207</f>
        <v>684.77</v>
      </c>
      <c r="F415" s="353">
        <f>ROUND(C415*E415,0)</f>
        <v>0</v>
      </c>
      <c r="G415" s="368"/>
      <c r="H415" s="368"/>
      <c r="I415" s="368">
        <f>C415-G415</f>
        <v>0</v>
      </c>
      <c r="J415" s="368">
        <f>F415-H415</f>
        <v>0</v>
      </c>
      <c r="K415" s="360" t="s">
        <v>2308</v>
      </c>
    </row>
    <row r="416" spans="1:11" s="360" customFormat="1" ht="20.25" hidden="1" customHeight="1">
      <c r="A416" s="356" t="s">
        <v>519</v>
      </c>
      <c r="B416" s="357" t="s">
        <v>2243</v>
      </c>
      <c r="C416" s="358">
        <f>SF!I212</f>
        <v>0</v>
      </c>
      <c r="D416" s="221" t="s">
        <v>277</v>
      </c>
      <c r="E416" s="355">
        <f>SF!K212</f>
        <v>722.50999999999988</v>
      </c>
      <c r="F416" s="353">
        <f>ROUND(C416*E416,0)</f>
        <v>0</v>
      </c>
      <c r="G416" s="368"/>
      <c r="H416" s="368"/>
      <c r="I416" s="368">
        <f>C416-G416</f>
        <v>0</v>
      </c>
      <c r="J416" s="368">
        <f>F416-H416</f>
        <v>0</v>
      </c>
      <c r="K416" s="360" t="s">
        <v>2321</v>
      </c>
    </row>
    <row r="417" spans="1:11" s="360" customFormat="1" ht="20.25" hidden="1" customHeight="1">
      <c r="A417" s="356" t="s">
        <v>519</v>
      </c>
      <c r="B417" s="357" t="s">
        <v>2243</v>
      </c>
      <c r="C417" s="358">
        <f>SF!I217</f>
        <v>0</v>
      </c>
      <c r="D417" s="221" t="s">
        <v>277</v>
      </c>
      <c r="E417" s="355">
        <f>SF!K217</f>
        <v>744.7299999999999</v>
      </c>
      <c r="F417" s="353">
        <f>ROUND(C417*E417,0)</f>
        <v>0</v>
      </c>
      <c r="G417" s="368"/>
      <c r="H417" s="368"/>
      <c r="I417" s="368">
        <f>C417-G417</f>
        <v>0</v>
      </c>
      <c r="J417" s="368">
        <f>F417-H417</f>
        <v>0</v>
      </c>
      <c r="K417" s="360" t="s">
        <v>2322</v>
      </c>
    </row>
    <row r="418" spans="1:11" s="360" customFormat="1" ht="20.25" hidden="1" customHeight="1">
      <c r="A418" s="356" t="s">
        <v>515</v>
      </c>
      <c r="B418" s="357" t="s">
        <v>2230</v>
      </c>
      <c r="C418" s="358">
        <f>SF!I222</f>
        <v>0</v>
      </c>
      <c r="D418" s="221" t="s">
        <v>102</v>
      </c>
      <c r="E418" s="355">
        <f>SF!K222</f>
        <v>297.64999999999998</v>
      </c>
      <c r="F418" s="353">
        <f t="shared" si="16"/>
        <v>0</v>
      </c>
      <c r="G418" s="368"/>
      <c r="H418" s="368"/>
      <c r="I418" s="368">
        <f t="shared" si="17"/>
        <v>0</v>
      </c>
      <c r="J418" s="368">
        <f t="shared" si="18"/>
        <v>0</v>
      </c>
      <c r="K418" s="360" t="s">
        <v>2226</v>
      </c>
    </row>
    <row r="419" spans="1:11" s="360" customFormat="1" ht="20.25" hidden="1" customHeight="1">
      <c r="A419" s="356" t="s">
        <v>515</v>
      </c>
      <c r="B419" s="357" t="s">
        <v>2230</v>
      </c>
      <c r="C419" s="358">
        <f>SF!I227</f>
        <v>0</v>
      </c>
      <c r="D419" s="221" t="s">
        <v>102</v>
      </c>
      <c r="E419" s="355">
        <f>SF!K227</f>
        <v>321.24</v>
      </c>
      <c r="F419" s="353">
        <f>ROUND(C419*E419,0)</f>
        <v>0</v>
      </c>
      <c r="G419" s="368"/>
      <c r="H419" s="368"/>
      <c r="I419" s="368">
        <f>C419-G419</f>
        <v>0</v>
      </c>
      <c r="J419" s="368">
        <f>F419-H419</f>
        <v>0</v>
      </c>
      <c r="K419" s="360" t="s">
        <v>2308</v>
      </c>
    </row>
    <row r="420" spans="1:11" s="360" customFormat="1" ht="20.25" hidden="1" customHeight="1">
      <c r="A420" s="356" t="s">
        <v>515</v>
      </c>
      <c r="B420" s="357" t="s">
        <v>2230</v>
      </c>
      <c r="C420" s="358">
        <f>SF!I232</f>
        <v>0</v>
      </c>
      <c r="D420" s="221" t="s">
        <v>102</v>
      </c>
      <c r="E420" s="355">
        <f>SF!K232</f>
        <v>340.95</v>
      </c>
      <c r="F420" s="353">
        <f>ROUND(C420*E420,0)</f>
        <v>0</v>
      </c>
      <c r="G420" s="368"/>
      <c r="H420" s="368"/>
      <c r="I420" s="368">
        <f>C420-G420</f>
        <v>0</v>
      </c>
      <c r="J420" s="368">
        <f>F420-H420</f>
        <v>0</v>
      </c>
      <c r="K420" s="360" t="s">
        <v>2321</v>
      </c>
    </row>
    <row r="421" spans="1:11" s="360" customFormat="1" ht="20.25" hidden="1" customHeight="1">
      <c r="A421" s="356" t="s">
        <v>515</v>
      </c>
      <c r="B421" s="357" t="s">
        <v>2230</v>
      </c>
      <c r="C421" s="358">
        <f>SF!I237</f>
        <v>0</v>
      </c>
      <c r="D421" s="221" t="s">
        <v>102</v>
      </c>
      <c r="E421" s="355">
        <f>SF!K237</f>
        <v>362.63</v>
      </c>
      <c r="F421" s="353">
        <f>ROUND(C421*E421,0)</f>
        <v>0</v>
      </c>
      <c r="G421" s="368"/>
      <c r="H421" s="368"/>
      <c r="I421" s="368">
        <f>C421-G421</f>
        <v>0</v>
      </c>
      <c r="J421" s="368">
        <f>F421-H421</f>
        <v>0</v>
      </c>
      <c r="K421" s="360" t="s">
        <v>2322</v>
      </c>
    </row>
    <row r="422" spans="1:11" s="360" customFormat="1" ht="20.25" hidden="1" customHeight="1">
      <c r="A422" s="356" t="s">
        <v>520</v>
      </c>
      <c r="B422" s="357" t="s">
        <v>2231</v>
      </c>
      <c r="C422" s="358">
        <f>SF!I243</f>
        <v>0</v>
      </c>
      <c r="D422" s="221" t="s">
        <v>102</v>
      </c>
      <c r="E422" s="355">
        <f>SF!K243</f>
        <v>382.24</v>
      </c>
      <c r="F422" s="353">
        <f t="shared" si="16"/>
        <v>0</v>
      </c>
      <c r="G422" s="368"/>
      <c r="H422" s="368"/>
      <c r="I422" s="368">
        <f t="shared" si="17"/>
        <v>0</v>
      </c>
      <c r="J422" s="368">
        <f t="shared" si="18"/>
        <v>0</v>
      </c>
      <c r="K422" s="360" t="s">
        <v>2226</v>
      </c>
    </row>
    <row r="423" spans="1:11" s="360" customFormat="1" ht="20.25" hidden="1" customHeight="1">
      <c r="A423" s="356" t="s">
        <v>520</v>
      </c>
      <c r="B423" s="357" t="s">
        <v>2231</v>
      </c>
      <c r="C423" s="358">
        <f>SF!I249</f>
        <v>0</v>
      </c>
      <c r="D423" s="221" t="s">
        <v>102</v>
      </c>
      <c r="E423" s="355">
        <f>SF!K249</f>
        <v>414.32</v>
      </c>
      <c r="F423" s="353">
        <f>ROUND(C423*E423,0)</f>
        <v>0</v>
      </c>
      <c r="G423" s="368"/>
      <c r="H423" s="368"/>
      <c r="I423" s="368">
        <f>C423-G423</f>
        <v>0</v>
      </c>
      <c r="J423" s="368">
        <f>F423-H423</f>
        <v>0</v>
      </c>
      <c r="K423" s="360" t="s">
        <v>2308</v>
      </c>
    </row>
    <row r="424" spans="1:11" s="360" customFormat="1" ht="20.25" hidden="1" customHeight="1">
      <c r="A424" s="356" t="s">
        <v>520</v>
      </c>
      <c r="B424" s="357" t="s">
        <v>2231</v>
      </c>
      <c r="C424" s="358">
        <f>SF!I255</f>
        <v>0</v>
      </c>
      <c r="D424" s="221" t="s">
        <v>102</v>
      </c>
      <c r="E424" s="355">
        <f>SF!K255</f>
        <v>440.9</v>
      </c>
      <c r="F424" s="353">
        <f>ROUND(C424*E424,0)</f>
        <v>0</v>
      </c>
      <c r="G424" s="368"/>
      <c r="H424" s="368"/>
      <c r="I424" s="368">
        <f>C424-G424</f>
        <v>0</v>
      </c>
      <c r="J424" s="368">
        <f>F424-H424</f>
        <v>0</v>
      </c>
      <c r="K424" s="360" t="s">
        <v>2321</v>
      </c>
    </row>
    <row r="425" spans="1:11" s="360" customFormat="1" ht="20.25" hidden="1" customHeight="1">
      <c r="A425" s="356" t="s">
        <v>520</v>
      </c>
      <c r="B425" s="357" t="s">
        <v>2231</v>
      </c>
      <c r="C425" s="358">
        <f>SF!I261</f>
        <v>0</v>
      </c>
      <c r="D425" s="221" t="s">
        <v>102</v>
      </c>
      <c r="E425" s="355">
        <f>SF!K261</f>
        <v>470.34</v>
      </c>
      <c r="F425" s="353">
        <f>ROUND(C425*E425,0)</f>
        <v>0</v>
      </c>
      <c r="G425" s="368"/>
      <c r="H425" s="368"/>
      <c r="I425" s="368">
        <f>C425-G425</f>
        <v>0</v>
      </c>
      <c r="J425" s="368">
        <f>F425-H425</f>
        <v>0</v>
      </c>
      <c r="K425" s="360" t="s">
        <v>2322</v>
      </c>
    </row>
    <row r="426" spans="1:11" s="360" customFormat="1" ht="20.25" hidden="1" customHeight="1">
      <c r="A426" s="356" t="s">
        <v>508</v>
      </c>
      <c r="B426" s="357" t="s">
        <v>2146</v>
      </c>
      <c r="C426" s="358">
        <f>SF!I298</f>
        <v>0</v>
      </c>
      <c r="D426" s="354" t="s">
        <v>5</v>
      </c>
      <c r="E426" s="355">
        <f>SF!K298</f>
        <v>6307.0100000000011</v>
      </c>
      <c r="F426" s="353">
        <f t="shared" si="16"/>
        <v>0</v>
      </c>
      <c r="G426" s="368"/>
      <c r="H426" s="368"/>
      <c r="I426" s="368">
        <f t="shared" si="17"/>
        <v>0</v>
      </c>
      <c r="J426" s="368">
        <f t="shared" si="18"/>
        <v>0</v>
      </c>
      <c r="K426" s="360" t="s">
        <v>2226</v>
      </c>
    </row>
    <row r="427" spans="1:11" s="360" customFormat="1" ht="20.25" hidden="1" customHeight="1">
      <c r="A427" s="356" t="s">
        <v>517</v>
      </c>
      <c r="B427" s="357" t="s">
        <v>2146</v>
      </c>
      <c r="C427" s="358">
        <f>SF!I307</f>
        <v>0</v>
      </c>
      <c r="D427" s="354" t="s">
        <v>5</v>
      </c>
      <c r="E427" s="355">
        <f>SF!K307</f>
        <v>6491.829999999999</v>
      </c>
      <c r="F427" s="353">
        <f>ROUND(C427*E427,0)</f>
        <v>0</v>
      </c>
      <c r="G427" s="368"/>
      <c r="H427" s="368"/>
      <c r="I427" s="368">
        <f>C427-G427</f>
        <v>0</v>
      </c>
      <c r="J427" s="368">
        <f>F427-H427</f>
        <v>0</v>
      </c>
      <c r="K427" s="360" t="s">
        <v>2308</v>
      </c>
    </row>
    <row r="428" spans="1:11" s="360" customFormat="1" ht="20.25" hidden="1" customHeight="1">
      <c r="A428" s="356" t="s">
        <v>517</v>
      </c>
      <c r="B428" s="357" t="s">
        <v>2146</v>
      </c>
      <c r="C428" s="358">
        <f>SF!I312</f>
        <v>0</v>
      </c>
      <c r="D428" s="354" t="s">
        <v>5</v>
      </c>
      <c r="E428" s="355">
        <f>SF!K312</f>
        <v>6937.8099999999995</v>
      </c>
      <c r="F428" s="353">
        <f>ROUND(C428*E428,0)</f>
        <v>0</v>
      </c>
      <c r="G428" s="368"/>
      <c r="H428" s="368"/>
      <c r="I428" s="368">
        <f>C428-G428</f>
        <v>0</v>
      </c>
      <c r="J428" s="368">
        <f>F428-H428</f>
        <v>0</v>
      </c>
      <c r="K428" s="360" t="s">
        <v>2321</v>
      </c>
    </row>
    <row r="429" spans="1:11" s="360" customFormat="1" ht="20.25" hidden="1" customHeight="1">
      <c r="A429" s="356" t="s">
        <v>517</v>
      </c>
      <c r="B429" s="357" t="s">
        <v>2146</v>
      </c>
      <c r="C429" s="358">
        <f>SF!I320</f>
        <v>0</v>
      </c>
      <c r="D429" s="354" t="s">
        <v>5</v>
      </c>
      <c r="E429" s="355">
        <f>SF!K320</f>
        <v>7673.4</v>
      </c>
      <c r="F429" s="353">
        <f>ROUND(C429*E429,0)</f>
        <v>0</v>
      </c>
      <c r="G429" s="368"/>
      <c r="H429" s="368"/>
      <c r="I429" s="368">
        <f>C429-G429</f>
        <v>0</v>
      </c>
      <c r="J429" s="368">
        <f>F429-H429</f>
        <v>0</v>
      </c>
      <c r="K429" s="360" t="s">
        <v>2322</v>
      </c>
    </row>
    <row r="430" spans="1:11" s="360" customFormat="1" ht="20.25" hidden="1" customHeight="1">
      <c r="A430" s="356" t="s">
        <v>491</v>
      </c>
      <c r="B430" s="357" t="s">
        <v>2112</v>
      </c>
      <c r="C430" s="358">
        <f>SF!I269</f>
        <v>0</v>
      </c>
      <c r="D430" s="354" t="s">
        <v>5</v>
      </c>
      <c r="E430" s="355">
        <f>SF!K269</f>
        <v>6250.6100000000015</v>
      </c>
      <c r="F430" s="353">
        <f t="shared" si="16"/>
        <v>0</v>
      </c>
      <c r="G430" s="368"/>
      <c r="H430" s="368"/>
      <c r="I430" s="368">
        <f t="shared" si="17"/>
        <v>0</v>
      </c>
      <c r="J430" s="368">
        <f t="shared" si="18"/>
        <v>0</v>
      </c>
      <c r="K430" s="360" t="s">
        <v>2226</v>
      </c>
    </row>
    <row r="431" spans="1:11" s="360" customFormat="1" ht="20.25" hidden="1" customHeight="1">
      <c r="A431" s="356" t="s">
        <v>518</v>
      </c>
      <c r="B431" s="357" t="s">
        <v>2112</v>
      </c>
      <c r="C431" s="358">
        <f>SF!I274</f>
        <v>0</v>
      </c>
      <c r="D431" s="354" t="s">
        <v>5</v>
      </c>
      <c r="E431" s="355">
        <f>SF!K274</f>
        <v>6435.4299999999994</v>
      </c>
      <c r="F431" s="353">
        <f>ROUND(C431*E431,0)</f>
        <v>0</v>
      </c>
      <c r="G431" s="368"/>
      <c r="H431" s="368"/>
      <c r="I431" s="368">
        <f>C431-G431</f>
        <v>0</v>
      </c>
      <c r="J431" s="368">
        <f>F431-H431</f>
        <v>0</v>
      </c>
      <c r="K431" s="360" t="s">
        <v>2308</v>
      </c>
    </row>
    <row r="432" spans="1:11" s="360" customFormat="1" ht="20.25" hidden="1" customHeight="1">
      <c r="A432" s="356" t="s">
        <v>491</v>
      </c>
      <c r="B432" s="357" t="s">
        <v>2112</v>
      </c>
      <c r="C432" s="358">
        <f>SF!I282</f>
        <v>0</v>
      </c>
      <c r="D432" s="354" t="s">
        <v>5</v>
      </c>
      <c r="E432" s="355">
        <f>SF!K282</f>
        <v>6881.41</v>
      </c>
      <c r="F432" s="353">
        <f>ROUND(C432*E432,0)</f>
        <v>0</v>
      </c>
      <c r="G432" s="368"/>
      <c r="H432" s="368"/>
      <c r="I432" s="368">
        <f>C432-G432</f>
        <v>0</v>
      </c>
      <c r="J432" s="368">
        <f>F432-H432</f>
        <v>0</v>
      </c>
      <c r="K432" s="360" t="s">
        <v>2321</v>
      </c>
    </row>
    <row r="433" spans="1:11" s="360" customFormat="1" ht="20.25" hidden="1" customHeight="1">
      <c r="A433" s="356" t="s">
        <v>491</v>
      </c>
      <c r="B433" s="357" t="s">
        <v>2112</v>
      </c>
      <c r="C433" s="358">
        <f>SF!I290</f>
        <v>0</v>
      </c>
      <c r="D433" s="354" t="s">
        <v>5</v>
      </c>
      <c r="E433" s="355">
        <f>SF!K290</f>
        <v>7616.9999999999991</v>
      </c>
      <c r="F433" s="353">
        <f>ROUND(C433*E433,0)</f>
        <v>0</v>
      </c>
      <c r="G433" s="368"/>
      <c r="H433" s="368"/>
      <c r="I433" s="368">
        <f>C433-G433</f>
        <v>0</v>
      </c>
      <c r="J433" s="368">
        <f>F433-H433</f>
        <v>0</v>
      </c>
      <c r="K433" s="360" t="s">
        <v>2322</v>
      </c>
    </row>
    <row r="434" spans="1:11" s="360" customFormat="1" ht="27" hidden="1" customHeight="1">
      <c r="A434" s="356" t="s">
        <v>510</v>
      </c>
      <c r="B434" s="357" t="s">
        <v>2151</v>
      </c>
      <c r="C434" s="358">
        <f>SF!I328</f>
        <v>0</v>
      </c>
      <c r="D434" s="354" t="s">
        <v>102</v>
      </c>
      <c r="E434" s="355">
        <f>SF!K328</f>
        <v>830.76</v>
      </c>
      <c r="F434" s="353">
        <f t="shared" ref="F434:F441" si="19">ROUND(C434*E434/1,0)</f>
        <v>0</v>
      </c>
      <c r="G434" s="368"/>
      <c r="H434" s="368"/>
      <c r="I434" s="368">
        <f t="shared" si="17"/>
        <v>0</v>
      </c>
      <c r="J434" s="368">
        <f t="shared" si="18"/>
        <v>0</v>
      </c>
      <c r="K434" s="360" t="s">
        <v>2226</v>
      </c>
    </row>
    <row r="435" spans="1:11" s="360" customFormat="1" ht="27" hidden="1" customHeight="1">
      <c r="A435" s="356" t="s">
        <v>519</v>
      </c>
      <c r="B435" s="357" t="s">
        <v>2151</v>
      </c>
      <c r="C435" s="358">
        <f>SF!I333</f>
        <v>0</v>
      </c>
      <c r="D435" s="354" t="s">
        <v>102</v>
      </c>
      <c r="E435" s="355">
        <f>SF!K333</f>
        <v>856.26</v>
      </c>
      <c r="F435" s="353">
        <f t="shared" si="19"/>
        <v>0</v>
      </c>
      <c r="G435" s="368"/>
      <c r="H435" s="368"/>
      <c r="I435" s="368">
        <f>C435-G435</f>
        <v>0</v>
      </c>
      <c r="J435" s="368">
        <f>F435-H435</f>
        <v>0</v>
      </c>
      <c r="K435" s="360" t="s">
        <v>2308</v>
      </c>
    </row>
    <row r="436" spans="1:11" s="360" customFormat="1" ht="27" hidden="1" customHeight="1">
      <c r="A436" s="356" t="s">
        <v>518</v>
      </c>
      <c r="B436" s="357" t="s">
        <v>2151</v>
      </c>
      <c r="C436" s="358">
        <f>SF!I339</f>
        <v>0</v>
      </c>
      <c r="D436" s="354" t="s">
        <v>102</v>
      </c>
      <c r="E436" s="355">
        <f>SF!K339</f>
        <v>913.89</v>
      </c>
      <c r="F436" s="353">
        <f t="shared" si="19"/>
        <v>0</v>
      </c>
      <c r="G436" s="368"/>
      <c r="H436" s="368"/>
      <c r="I436" s="368">
        <f>C436-G436</f>
        <v>0</v>
      </c>
      <c r="J436" s="368">
        <f>F436-H436</f>
        <v>0</v>
      </c>
      <c r="K436" s="360" t="s">
        <v>2321</v>
      </c>
    </row>
    <row r="437" spans="1:11" s="360" customFormat="1" ht="27" hidden="1" customHeight="1">
      <c r="A437" s="356" t="s">
        <v>518</v>
      </c>
      <c r="B437" s="357" t="s">
        <v>2151</v>
      </c>
      <c r="C437" s="358">
        <f>SF!I347</f>
        <v>0</v>
      </c>
      <c r="D437" s="354" t="s">
        <v>102</v>
      </c>
      <c r="E437" s="355">
        <f>SF!K347</f>
        <v>999.57</v>
      </c>
      <c r="F437" s="353">
        <f t="shared" si="19"/>
        <v>0</v>
      </c>
      <c r="G437" s="368"/>
      <c r="H437" s="368"/>
      <c r="I437" s="368">
        <f>C437-G437</f>
        <v>0</v>
      </c>
      <c r="J437" s="368">
        <f>F437-H437</f>
        <v>0</v>
      </c>
      <c r="K437" s="360" t="s">
        <v>2322</v>
      </c>
    </row>
    <row r="438" spans="1:11" s="360" customFormat="1" hidden="1">
      <c r="A438" s="356" t="s">
        <v>483</v>
      </c>
      <c r="B438" s="357" t="s">
        <v>1222</v>
      </c>
      <c r="C438" s="358">
        <f>SF!I354</f>
        <v>0</v>
      </c>
      <c r="D438" s="354" t="s">
        <v>102</v>
      </c>
      <c r="E438" s="355">
        <f>SF!K354</f>
        <v>6013.9600000000009</v>
      </c>
      <c r="F438" s="353">
        <f t="shared" si="19"/>
        <v>0</v>
      </c>
      <c r="G438" s="368"/>
      <c r="H438" s="368"/>
      <c r="I438" s="368">
        <f t="shared" si="17"/>
        <v>0</v>
      </c>
      <c r="J438" s="368">
        <f t="shared" si="18"/>
        <v>0</v>
      </c>
      <c r="K438" s="360" t="s">
        <v>2226</v>
      </c>
    </row>
    <row r="439" spans="1:11" s="360" customFormat="1" hidden="1">
      <c r="A439" s="356" t="s">
        <v>483</v>
      </c>
      <c r="B439" s="357" t="s">
        <v>1222</v>
      </c>
      <c r="C439" s="358">
        <f>SF!I361</f>
        <v>0</v>
      </c>
      <c r="D439" s="354" t="s">
        <v>102</v>
      </c>
      <c r="E439" s="355">
        <f>SF!K361</f>
        <v>6227.11</v>
      </c>
      <c r="F439" s="353">
        <f t="shared" si="19"/>
        <v>0</v>
      </c>
      <c r="G439" s="368"/>
      <c r="H439" s="368"/>
      <c r="I439" s="368">
        <f>C439-G439</f>
        <v>0</v>
      </c>
      <c r="J439" s="368">
        <f>F439-H439</f>
        <v>0</v>
      </c>
      <c r="K439" s="360" t="s">
        <v>2308</v>
      </c>
    </row>
    <row r="440" spans="1:11" s="360" customFormat="1" hidden="1">
      <c r="A440" s="356" t="s">
        <v>483</v>
      </c>
      <c r="B440" s="357" t="s">
        <v>1222</v>
      </c>
      <c r="C440" s="358">
        <f>SF!I368</f>
        <v>0</v>
      </c>
      <c r="D440" s="354" t="s">
        <v>102</v>
      </c>
      <c r="E440" s="355">
        <f>SF!K368</f>
        <v>6774.69</v>
      </c>
      <c r="F440" s="353">
        <f t="shared" si="19"/>
        <v>0</v>
      </c>
      <c r="G440" s="368"/>
      <c r="H440" s="368"/>
      <c r="I440" s="368">
        <f>C440-G440</f>
        <v>0</v>
      </c>
      <c r="J440" s="368">
        <f>F440-H440</f>
        <v>0</v>
      </c>
      <c r="K440" s="360" t="s">
        <v>2321</v>
      </c>
    </row>
    <row r="441" spans="1:11" s="360" customFormat="1" hidden="1">
      <c r="A441" s="356" t="s">
        <v>483</v>
      </c>
      <c r="B441" s="357" t="s">
        <v>1222</v>
      </c>
      <c r="C441" s="358">
        <f>SF!I375</f>
        <v>0</v>
      </c>
      <c r="D441" s="354" t="s">
        <v>102</v>
      </c>
      <c r="E441" s="355">
        <f>SF!K375</f>
        <v>7187.4500000000007</v>
      </c>
      <c r="F441" s="353">
        <f t="shared" si="19"/>
        <v>0</v>
      </c>
      <c r="G441" s="368"/>
      <c r="H441" s="368"/>
      <c r="I441" s="368">
        <f>C441-G441</f>
        <v>0</v>
      </c>
      <c r="J441" s="368">
        <f>F441-H441</f>
        <v>0</v>
      </c>
      <c r="K441" s="360" t="s">
        <v>2322</v>
      </c>
    </row>
    <row r="442" spans="1:11" s="360" customFormat="1" ht="20.25" hidden="1" customHeight="1">
      <c r="A442" s="356" t="s">
        <v>1522</v>
      </c>
      <c r="B442" s="357" t="s">
        <v>2113</v>
      </c>
      <c r="C442" s="358">
        <f>SF!I382</f>
        <v>0</v>
      </c>
      <c r="D442" s="354" t="s">
        <v>102</v>
      </c>
      <c r="E442" s="355">
        <f>SF!K382</f>
        <v>321.79000000000002</v>
      </c>
      <c r="F442" s="353">
        <f t="shared" ref="F442:F518" si="20">ROUND(C442*E442,0)</f>
        <v>0</v>
      </c>
      <c r="G442" s="368"/>
      <c r="H442" s="368"/>
      <c r="I442" s="368">
        <f t="shared" si="17"/>
        <v>0</v>
      </c>
      <c r="J442" s="368">
        <f t="shared" si="18"/>
        <v>0</v>
      </c>
      <c r="K442" s="360" t="s">
        <v>2226</v>
      </c>
    </row>
    <row r="443" spans="1:11" s="360" customFormat="1" ht="20.25" hidden="1" customHeight="1">
      <c r="A443" s="356" t="s">
        <v>520</v>
      </c>
      <c r="B443" s="357" t="s">
        <v>2113</v>
      </c>
      <c r="C443" s="358">
        <f>SF!I390</f>
        <v>0</v>
      </c>
      <c r="D443" s="354" t="s">
        <v>102</v>
      </c>
      <c r="E443" s="355">
        <f>SF!K390</f>
        <v>344.38</v>
      </c>
      <c r="F443" s="353">
        <f>ROUND(C443*E443,0)</f>
        <v>0</v>
      </c>
      <c r="G443" s="368"/>
      <c r="H443" s="368"/>
      <c r="I443" s="368">
        <f>C443-G443</f>
        <v>0</v>
      </c>
      <c r="J443" s="368">
        <f>F443-H443</f>
        <v>0</v>
      </c>
      <c r="K443" s="360" t="s">
        <v>2308</v>
      </c>
    </row>
    <row r="444" spans="1:11" s="360" customFormat="1" ht="20.25" hidden="1" customHeight="1">
      <c r="A444" s="356" t="s">
        <v>521</v>
      </c>
      <c r="B444" s="357" t="s">
        <v>2113</v>
      </c>
      <c r="C444" s="358">
        <f>SF!I397</f>
        <v>0</v>
      </c>
      <c r="D444" s="354" t="s">
        <v>102</v>
      </c>
      <c r="E444" s="355">
        <f>SF!K397</f>
        <v>365.08</v>
      </c>
      <c r="F444" s="353">
        <f>ROUND(C444*E444,0)</f>
        <v>0</v>
      </c>
      <c r="G444" s="368"/>
      <c r="H444" s="368"/>
      <c r="I444" s="368">
        <f>C444-G444</f>
        <v>0</v>
      </c>
      <c r="J444" s="368">
        <f>F444-H444</f>
        <v>0</v>
      </c>
      <c r="K444" s="360" t="s">
        <v>2321</v>
      </c>
    </row>
    <row r="445" spans="1:11" s="360" customFormat="1" ht="20.25" hidden="1" customHeight="1">
      <c r="A445" s="356" t="s">
        <v>521</v>
      </c>
      <c r="B445" s="357" t="s">
        <v>2113</v>
      </c>
      <c r="C445" s="358">
        <f>SF!I404</f>
        <v>0</v>
      </c>
      <c r="D445" s="354" t="s">
        <v>102</v>
      </c>
      <c r="E445" s="355">
        <f>SF!K404</f>
        <v>385.55</v>
      </c>
      <c r="F445" s="353">
        <f>ROUND(C445*E445,0)</f>
        <v>0</v>
      </c>
      <c r="G445" s="368"/>
      <c r="H445" s="368"/>
      <c r="I445" s="368">
        <f>C445-G445</f>
        <v>0</v>
      </c>
      <c r="J445" s="368">
        <f>F445-H445</f>
        <v>0</v>
      </c>
      <c r="K445" s="360" t="s">
        <v>2322</v>
      </c>
    </row>
    <row r="446" spans="1:11" s="360" customFormat="1" ht="20.25" hidden="1" customHeight="1">
      <c r="A446" s="356" t="s">
        <v>493</v>
      </c>
      <c r="B446" s="357" t="s">
        <v>2173</v>
      </c>
      <c r="C446" s="358">
        <f>SF!I412</f>
        <v>0</v>
      </c>
      <c r="D446" s="354" t="s">
        <v>102</v>
      </c>
      <c r="E446" s="355">
        <f>SF!K412</f>
        <v>289.52</v>
      </c>
      <c r="F446" s="353">
        <f t="shared" si="20"/>
        <v>0</v>
      </c>
      <c r="G446" s="368"/>
      <c r="H446" s="368"/>
      <c r="I446" s="368">
        <f t="shared" si="17"/>
        <v>0</v>
      </c>
      <c r="J446" s="368">
        <f t="shared" si="18"/>
        <v>0</v>
      </c>
      <c r="K446" s="360" t="s">
        <v>2226</v>
      </c>
    </row>
    <row r="447" spans="1:11" s="360" customFormat="1" ht="20.25" hidden="1" customHeight="1">
      <c r="A447" s="356" t="s">
        <v>493</v>
      </c>
      <c r="B447" s="357" t="s">
        <v>2173</v>
      </c>
      <c r="C447" s="358">
        <f>SF!I420</f>
        <v>0</v>
      </c>
      <c r="D447" s="354" t="s">
        <v>102</v>
      </c>
      <c r="E447" s="355">
        <f>SF!K420</f>
        <v>312.11</v>
      </c>
      <c r="F447" s="353">
        <f>ROUND(C447*E447,0)</f>
        <v>0</v>
      </c>
      <c r="G447" s="368"/>
      <c r="H447" s="368"/>
      <c r="I447" s="368">
        <f>C447-G447</f>
        <v>0</v>
      </c>
      <c r="J447" s="368">
        <f>F447-H447</f>
        <v>0</v>
      </c>
      <c r="K447" s="360" t="s">
        <v>2308</v>
      </c>
    </row>
    <row r="448" spans="1:11" s="360" customFormat="1" ht="20.25" hidden="1" customHeight="1">
      <c r="A448" s="356" t="s">
        <v>493</v>
      </c>
      <c r="B448" s="357" t="s">
        <v>2173</v>
      </c>
      <c r="C448" s="358">
        <f>SF!I428</f>
        <v>0</v>
      </c>
      <c r="D448" s="354" t="s">
        <v>102</v>
      </c>
      <c r="E448" s="355">
        <f>SF!K428</f>
        <v>331.62</v>
      </c>
      <c r="F448" s="353">
        <f>ROUND(C448*E448,0)</f>
        <v>0</v>
      </c>
      <c r="G448" s="368"/>
      <c r="H448" s="368"/>
      <c r="I448" s="368">
        <f>C448-G448</f>
        <v>0</v>
      </c>
      <c r="J448" s="368">
        <f>F448-H448</f>
        <v>0</v>
      </c>
      <c r="K448" s="360" t="s">
        <v>2321</v>
      </c>
    </row>
    <row r="449" spans="1:11" s="360" customFormat="1" ht="20.25" hidden="1" customHeight="1">
      <c r="A449" s="356" t="s">
        <v>493</v>
      </c>
      <c r="B449" s="357" t="s">
        <v>2173</v>
      </c>
      <c r="C449" s="358">
        <f>SF!I436</f>
        <v>0</v>
      </c>
      <c r="D449" s="354" t="s">
        <v>102</v>
      </c>
      <c r="E449" s="355">
        <f>SF!K436</f>
        <v>352.1</v>
      </c>
      <c r="F449" s="353">
        <f>ROUND(C449*E449,0)</f>
        <v>0</v>
      </c>
      <c r="G449" s="368"/>
      <c r="H449" s="368"/>
      <c r="I449" s="368">
        <f>C449-G449</f>
        <v>0</v>
      </c>
      <c r="J449" s="368">
        <f>F449-H449</f>
        <v>0</v>
      </c>
      <c r="K449" s="360" t="s">
        <v>2322</v>
      </c>
    </row>
    <row r="450" spans="1:11" s="360" customFormat="1" ht="20.25" hidden="1" customHeight="1">
      <c r="A450" s="356" t="s">
        <v>494</v>
      </c>
      <c r="B450" s="357" t="s">
        <v>2197</v>
      </c>
      <c r="C450" s="358">
        <f>SF!I444</f>
        <v>0</v>
      </c>
      <c r="D450" s="354" t="s">
        <v>102</v>
      </c>
      <c r="E450" s="355">
        <f>SF!K444</f>
        <v>307.37</v>
      </c>
      <c r="F450" s="353">
        <f t="shared" si="20"/>
        <v>0</v>
      </c>
      <c r="G450" s="368"/>
      <c r="H450" s="368"/>
      <c r="I450" s="368">
        <f t="shared" si="17"/>
        <v>0</v>
      </c>
      <c r="J450" s="368">
        <f t="shared" si="18"/>
        <v>0</v>
      </c>
      <c r="K450" s="360" t="s">
        <v>2226</v>
      </c>
    </row>
    <row r="451" spans="1:11" s="360" customFormat="1" ht="20.25" hidden="1" customHeight="1">
      <c r="A451" s="356" t="s">
        <v>494</v>
      </c>
      <c r="B451" s="357" t="s">
        <v>2197</v>
      </c>
      <c r="C451" s="358">
        <f>SF!I452</f>
        <v>0</v>
      </c>
      <c r="D451" s="354" t="s">
        <v>102</v>
      </c>
      <c r="E451" s="355">
        <f>SF!K452</f>
        <v>330.52</v>
      </c>
      <c r="F451" s="353">
        <f>ROUND(C451*E451,0)</f>
        <v>0</v>
      </c>
      <c r="G451" s="368"/>
      <c r="H451" s="368"/>
      <c r="I451" s="368">
        <f>C451-G451</f>
        <v>0</v>
      </c>
      <c r="J451" s="368">
        <f>F451-H451</f>
        <v>0</v>
      </c>
      <c r="K451" s="360" t="s">
        <v>2308</v>
      </c>
    </row>
    <row r="452" spans="1:11" s="360" customFormat="1" ht="20.25" hidden="1" customHeight="1">
      <c r="A452" s="356" t="s">
        <v>494</v>
      </c>
      <c r="B452" s="357" t="s">
        <v>2197</v>
      </c>
      <c r="C452" s="358">
        <f>SF!I460</f>
        <v>0</v>
      </c>
      <c r="D452" s="354" t="s">
        <v>102</v>
      </c>
      <c r="E452" s="355">
        <f>SF!K460</f>
        <v>351.31</v>
      </c>
      <c r="F452" s="353">
        <f>ROUND(C452*E452,0)</f>
        <v>0</v>
      </c>
      <c r="G452" s="368"/>
      <c r="H452" s="368"/>
      <c r="I452" s="368">
        <f>C452-G452</f>
        <v>0</v>
      </c>
      <c r="J452" s="368">
        <f>F452-H452</f>
        <v>0</v>
      </c>
      <c r="K452" s="360" t="s">
        <v>2321</v>
      </c>
    </row>
    <row r="453" spans="1:11" s="360" customFormat="1" ht="20.25" hidden="1" customHeight="1">
      <c r="A453" s="356" t="s">
        <v>494</v>
      </c>
      <c r="B453" s="357" t="s">
        <v>2197</v>
      </c>
      <c r="C453" s="358">
        <f>SF!I468</f>
        <v>0</v>
      </c>
      <c r="D453" s="354" t="s">
        <v>102</v>
      </c>
      <c r="E453" s="355">
        <f>SF!K468</f>
        <v>372.29</v>
      </c>
      <c r="F453" s="353">
        <f>ROUND(C453*E453,0)</f>
        <v>0</v>
      </c>
      <c r="G453" s="368"/>
      <c r="H453" s="368"/>
      <c r="I453" s="368">
        <f>C453-G453</f>
        <v>0</v>
      </c>
      <c r="J453" s="368">
        <f>F453-H453</f>
        <v>0</v>
      </c>
      <c r="K453" s="360" t="s">
        <v>2322</v>
      </c>
    </row>
    <row r="454" spans="1:11" s="360" customFormat="1" ht="20.25" hidden="1" customHeight="1">
      <c r="A454" s="356" t="s">
        <v>512</v>
      </c>
      <c r="B454" s="357" t="s">
        <v>2114</v>
      </c>
      <c r="C454" s="358">
        <f>SF!I480</f>
        <v>0</v>
      </c>
      <c r="D454" s="354" t="s">
        <v>102</v>
      </c>
      <c r="E454" s="355">
        <f>SF!K480</f>
        <v>380.2</v>
      </c>
      <c r="F454" s="353">
        <f t="shared" si="20"/>
        <v>0</v>
      </c>
      <c r="G454" s="368"/>
      <c r="H454" s="368"/>
      <c r="I454" s="368">
        <f t="shared" si="17"/>
        <v>0</v>
      </c>
      <c r="J454" s="368">
        <f t="shared" si="18"/>
        <v>0</v>
      </c>
      <c r="K454" s="360" t="s">
        <v>2226</v>
      </c>
    </row>
    <row r="455" spans="1:11" s="360" customFormat="1" ht="20.25" hidden="1" customHeight="1">
      <c r="A455" s="356" t="s">
        <v>521</v>
      </c>
      <c r="B455" s="357" t="s">
        <v>2114</v>
      </c>
      <c r="C455" s="358">
        <f>SF!I489</f>
        <v>0</v>
      </c>
      <c r="D455" s="354" t="s">
        <v>102</v>
      </c>
      <c r="E455" s="355">
        <f>SF!K489</f>
        <v>410.98</v>
      </c>
      <c r="F455" s="353">
        <f>ROUND(C455*E455,0)</f>
        <v>0</v>
      </c>
      <c r="G455" s="368"/>
      <c r="H455" s="368"/>
      <c r="I455" s="368">
        <f>C455-G455</f>
        <v>0</v>
      </c>
      <c r="J455" s="368">
        <f>F455-H455</f>
        <v>0</v>
      </c>
      <c r="K455" s="360" t="s">
        <v>2308</v>
      </c>
    </row>
    <row r="456" spans="1:11" s="360" customFormat="1" ht="20.25" hidden="1" customHeight="1">
      <c r="A456" s="356" t="s">
        <v>522</v>
      </c>
      <c r="B456" s="357" t="s">
        <v>2114</v>
      </c>
      <c r="C456" s="358">
        <f>SF!I496</f>
        <v>0</v>
      </c>
      <c r="D456" s="354" t="s">
        <v>102</v>
      </c>
      <c r="E456" s="355">
        <f>SF!K496</f>
        <v>436.23</v>
      </c>
      <c r="F456" s="353">
        <f>ROUND(C456*E456,0)</f>
        <v>0</v>
      </c>
      <c r="G456" s="368"/>
      <c r="H456" s="368"/>
      <c r="I456" s="368">
        <f>C456-G456</f>
        <v>0</v>
      </c>
      <c r="J456" s="368">
        <f>F456-H456</f>
        <v>0</v>
      </c>
      <c r="K456" s="360" t="s">
        <v>2321</v>
      </c>
    </row>
    <row r="457" spans="1:11" s="360" customFormat="1" ht="20.25" hidden="1" customHeight="1">
      <c r="A457" s="356" t="s">
        <v>522</v>
      </c>
      <c r="B457" s="357" t="s">
        <v>2114</v>
      </c>
      <c r="C457" s="358">
        <f>SF!I508</f>
        <v>0</v>
      </c>
      <c r="D457" s="354" t="s">
        <v>102</v>
      </c>
      <c r="E457" s="355">
        <f>SF!K508</f>
        <v>464.16</v>
      </c>
      <c r="F457" s="353">
        <f>ROUND(C457*E457,0)</f>
        <v>0</v>
      </c>
      <c r="G457" s="368"/>
      <c r="H457" s="368"/>
      <c r="I457" s="368">
        <f>C457-G457</f>
        <v>0</v>
      </c>
      <c r="J457" s="368">
        <f>F457-H457</f>
        <v>0</v>
      </c>
      <c r="K457" s="360" t="s">
        <v>2322</v>
      </c>
    </row>
    <row r="458" spans="1:11" s="360" customFormat="1" ht="20.25" hidden="1" customHeight="1">
      <c r="A458" s="356" t="s">
        <v>513</v>
      </c>
      <c r="B458" s="357" t="s">
        <v>2115</v>
      </c>
      <c r="C458" s="358">
        <f>SF!I515</f>
        <v>0</v>
      </c>
      <c r="D458" s="354" t="s">
        <v>102</v>
      </c>
      <c r="E458" s="355">
        <f>SF!K515</f>
        <v>393.56</v>
      </c>
      <c r="F458" s="353">
        <f t="shared" si="20"/>
        <v>0</v>
      </c>
      <c r="G458" s="368"/>
      <c r="H458" s="368"/>
      <c r="I458" s="368">
        <f t="shared" si="17"/>
        <v>0</v>
      </c>
      <c r="J458" s="368">
        <f t="shared" si="18"/>
        <v>0</v>
      </c>
      <c r="K458" s="360" t="s">
        <v>2226</v>
      </c>
    </row>
    <row r="459" spans="1:11" s="360" customFormat="1" ht="20.25" hidden="1" customHeight="1">
      <c r="A459" s="356" t="s">
        <v>522</v>
      </c>
      <c r="B459" s="357" t="s">
        <v>2115</v>
      </c>
      <c r="C459" s="358">
        <f>SF!I525</f>
        <v>0</v>
      </c>
      <c r="D459" s="354" t="s">
        <v>102</v>
      </c>
      <c r="E459" s="355">
        <f>SF!K525</f>
        <v>424.91</v>
      </c>
      <c r="F459" s="353">
        <f>ROUND(C459*E459,0)</f>
        <v>0</v>
      </c>
      <c r="G459" s="368"/>
      <c r="H459" s="368"/>
      <c r="I459" s="368">
        <f>C459-G459</f>
        <v>0</v>
      </c>
      <c r="J459" s="368">
        <f>F459-H459</f>
        <v>0</v>
      </c>
      <c r="K459" s="360" t="s">
        <v>2308</v>
      </c>
    </row>
    <row r="460" spans="1:11" s="360" customFormat="1" ht="20.25" hidden="1" customHeight="1">
      <c r="A460" s="356" t="s">
        <v>524</v>
      </c>
      <c r="B460" s="357" t="s">
        <v>2115</v>
      </c>
      <c r="C460" s="358">
        <f>SF!I532</f>
        <v>0</v>
      </c>
      <c r="D460" s="354" t="s">
        <v>102</v>
      </c>
      <c r="E460" s="355">
        <f>SF!K532</f>
        <v>451.54</v>
      </c>
      <c r="F460" s="353">
        <f>ROUND(C460*E460,0)</f>
        <v>0</v>
      </c>
      <c r="G460" s="368"/>
      <c r="H460" s="368"/>
      <c r="I460" s="368">
        <f>C460-G460</f>
        <v>0</v>
      </c>
      <c r="J460" s="368">
        <f>F460-H460</f>
        <v>0</v>
      </c>
      <c r="K460" s="360" t="s">
        <v>2321</v>
      </c>
    </row>
    <row r="461" spans="1:11" s="360" customFormat="1" ht="20.25" hidden="1" customHeight="1">
      <c r="A461" s="356" t="s">
        <v>512</v>
      </c>
      <c r="B461" s="357" t="s">
        <v>2115</v>
      </c>
      <c r="C461" s="358">
        <f>SF!I539</f>
        <v>0</v>
      </c>
      <c r="D461" s="354" t="s">
        <v>102</v>
      </c>
      <c r="E461" s="355">
        <f>SF!K539</f>
        <v>479.98</v>
      </c>
      <c r="F461" s="353">
        <f>ROUND(C461*E461,0)</f>
        <v>0</v>
      </c>
      <c r="G461" s="368"/>
      <c r="H461" s="368"/>
      <c r="I461" s="368">
        <f>C461-G461</f>
        <v>0</v>
      </c>
      <c r="J461" s="368">
        <f>F461-H461</f>
        <v>0</v>
      </c>
      <c r="K461" s="360" t="s">
        <v>2322</v>
      </c>
    </row>
    <row r="462" spans="1:11" s="360" customFormat="1" ht="20.25" hidden="1" customHeight="1">
      <c r="A462" s="356" t="s">
        <v>473</v>
      </c>
      <c r="B462" s="357" t="s">
        <v>1225</v>
      </c>
      <c r="C462" s="358">
        <f>SF!I544</f>
        <v>0</v>
      </c>
      <c r="D462" s="354" t="s">
        <v>5</v>
      </c>
      <c r="E462" s="355">
        <f>SF!K544</f>
        <v>5152.2499999999991</v>
      </c>
      <c r="F462" s="353">
        <f t="shared" si="20"/>
        <v>0</v>
      </c>
      <c r="G462" s="368"/>
      <c r="H462" s="368"/>
      <c r="I462" s="368">
        <f t="shared" si="17"/>
        <v>0</v>
      </c>
      <c r="J462" s="368">
        <f t="shared" si="18"/>
        <v>0</v>
      </c>
      <c r="K462" s="360" t="s">
        <v>2226</v>
      </c>
    </row>
    <row r="463" spans="1:11" s="360" customFormat="1" ht="20.25" hidden="1" customHeight="1">
      <c r="A463" s="356" t="s">
        <v>473</v>
      </c>
      <c r="B463" s="357" t="s">
        <v>1225</v>
      </c>
      <c r="C463" s="358">
        <f>SF!I549</f>
        <v>0</v>
      </c>
      <c r="D463" s="354" t="s">
        <v>5</v>
      </c>
      <c r="E463" s="355">
        <f>SF!K549</f>
        <v>5333.72</v>
      </c>
      <c r="F463" s="353">
        <f>ROUND(C463*E463,0)</f>
        <v>0</v>
      </c>
      <c r="G463" s="368"/>
      <c r="H463" s="368"/>
      <c r="I463" s="368">
        <f>C463-G463</f>
        <v>0</v>
      </c>
      <c r="J463" s="368">
        <f>F463-H463</f>
        <v>0</v>
      </c>
      <c r="K463" s="360" t="s">
        <v>2308</v>
      </c>
    </row>
    <row r="464" spans="1:11" s="360" customFormat="1" ht="20.25" hidden="1" customHeight="1">
      <c r="A464" s="356" t="s">
        <v>473</v>
      </c>
      <c r="B464" s="357" t="s">
        <v>1225</v>
      </c>
      <c r="C464" s="358">
        <f>SF!I554</f>
        <v>0</v>
      </c>
      <c r="D464" s="354" t="s">
        <v>5</v>
      </c>
      <c r="E464" s="355">
        <f>SF!K554</f>
        <v>5579.3200000000006</v>
      </c>
      <c r="F464" s="353">
        <f>ROUND(C464*E464,0)</f>
        <v>0</v>
      </c>
      <c r="G464" s="368"/>
      <c r="H464" s="368"/>
      <c r="I464" s="368">
        <f>C464-G464</f>
        <v>0</v>
      </c>
      <c r="J464" s="368">
        <f>F464-H464</f>
        <v>0</v>
      </c>
      <c r="K464" s="360" t="s">
        <v>2321</v>
      </c>
    </row>
    <row r="465" spans="1:11" s="360" customFormat="1" ht="20.25" hidden="1" customHeight="1">
      <c r="A465" s="356" t="s">
        <v>473</v>
      </c>
      <c r="B465" s="357" t="s">
        <v>1225</v>
      </c>
      <c r="C465" s="358">
        <f>SF!I559</f>
        <v>0</v>
      </c>
      <c r="D465" s="354" t="s">
        <v>5</v>
      </c>
      <c r="E465" s="355">
        <f>SF!K559</f>
        <v>5843.9400000000005</v>
      </c>
      <c r="F465" s="353">
        <f>ROUND(C465*E465,0)</f>
        <v>0</v>
      </c>
      <c r="G465" s="368"/>
      <c r="H465" s="368"/>
      <c r="I465" s="368">
        <f>C465-G465</f>
        <v>0</v>
      </c>
      <c r="J465" s="368">
        <f>F465-H465</f>
        <v>0</v>
      </c>
      <c r="K465" s="360" t="s">
        <v>2322</v>
      </c>
    </row>
    <row r="466" spans="1:11" s="360" customFormat="1" ht="20.25" hidden="1" customHeight="1">
      <c r="A466" s="356" t="s">
        <v>519</v>
      </c>
      <c r="B466" s="357" t="s">
        <v>507</v>
      </c>
      <c r="C466" s="358">
        <f>SF!I565</f>
        <v>0</v>
      </c>
      <c r="D466" s="354" t="s">
        <v>102</v>
      </c>
      <c r="E466" s="355">
        <f>SF!K565</f>
        <v>1048.97</v>
      </c>
      <c r="F466" s="353">
        <f t="shared" si="20"/>
        <v>0</v>
      </c>
      <c r="G466" s="368"/>
      <c r="H466" s="368"/>
      <c r="I466" s="368">
        <f t="shared" si="17"/>
        <v>0</v>
      </c>
      <c r="J466" s="368">
        <f t="shared" si="18"/>
        <v>0</v>
      </c>
      <c r="K466" s="360" t="s">
        <v>2226</v>
      </c>
    </row>
    <row r="467" spans="1:11" s="360" customFormat="1" ht="20.25" hidden="1" customHeight="1">
      <c r="A467" s="356" t="s">
        <v>519</v>
      </c>
      <c r="B467" s="357" t="s">
        <v>507</v>
      </c>
      <c r="C467" s="358">
        <f>SF!I571</f>
        <v>0</v>
      </c>
      <c r="D467" s="354" t="s">
        <v>102</v>
      </c>
      <c r="E467" s="355">
        <f>SF!K571</f>
        <v>1082.75</v>
      </c>
      <c r="F467" s="353">
        <f>ROUND(C467*E467,0)</f>
        <v>0</v>
      </c>
      <c r="G467" s="368"/>
      <c r="H467" s="368"/>
      <c r="I467" s="368">
        <f>C467-G467</f>
        <v>0</v>
      </c>
      <c r="J467" s="368">
        <f>F467-H467</f>
        <v>0</v>
      </c>
      <c r="K467" s="360" t="s">
        <v>2308</v>
      </c>
    </row>
    <row r="468" spans="1:11" s="360" customFormat="1" ht="20.25" hidden="1" customHeight="1">
      <c r="A468" s="356" t="s">
        <v>519</v>
      </c>
      <c r="B468" s="357" t="s">
        <v>507</v>
      </c>
      <c r="C468" s="358">
        <f>SF!I577</f>
        <v>0</v>
      </c>
      <c r="D468" s="354" t="s">
        <v>102</v>
      </c>
      <c r="E468" s="355">
        <f>SF!K577</f>
        <v>1108.3499999999999</v>
      </c>
      <c r="F468" s="353">
        <f>ROUND(C468*E468,0)</f>
        <v>0</v>
      </c>
      <c r="G468" s="368"/>
      <c r="H468" s="368"/>
      <c r="I468" s="368">
        <f>C468-G468</f>
        <v>0</v>
      </c>
      <c r="J468" s="368">
        <f>F468-H468</f>
        <v>0</v>
      </c>
      <c r="K468" s="360" t="s">
        <v>2321</v>
      </c>
    </row>
    <row r="469" spans="1:11" s="360" customFormat="1" ht="20.25" hidden="1" customHeight="1">
      <c r="A469" s="356" t="s">
        <v>519</v>
      </c>
      <c r="B469" s="357" t="s">
        <v>507</v>
      </c>
      <c r="C469" s="358">
        <f>SF!I583</f>
        <v>0</v>
      </c>
      <c r="D469" s="354" t="s">
        <v>102</v>
      </c>
      <c r="E469" s="355">
        <f>SF!K583</f>
        <v>1139.42</v>
      </c>
      <c r="F469" s="353">
        <f>ROUND(C469*E469,0)</f>
        <v>0</v>
      </c>
      <c r="G469" s="368"/>
      <c r="H469" s="368"/>
      <c r="I469" s="368">
        <f>C469-G469</f>
        <v>0</v>
      </c>
      <c r="J469" s="368">
        <f>F469-H469</f>
        <v>0</v>
      </c>
      <c r="K469" s="360" t="s">
        <v>2322</v>
      </c>
    </row>
    <row r="470" spans="1:11" s="360" customFormat="1" ht="20.25" hidden="1" customHeight="1">
      <c r="A470" s="356" t="s">
        <v>528</v>
      </c>
      <c r="B470" s="357" t="s">
        <v>2116</v>
      </c>
      <c r="C470" s="358">
        <f>SF!I590</f>
        <v>0</v>
      </c>
      <c r="D470" s="354" t="s">
        <v>102</v>
      </c>
      <c r="E470" s="355">
        <f>SF!K590</f>
        <v>1044.9000000000001</v>
      </c>
      <c r="F470" s="353">
        <f t="shared" si="20"/>
        <v>0</v>
      </c>
      <c r="G470" s="368"/>
      <c r="H470" s="368"/>
      <c r="I470" s="368">
        <f t="shared" si="17"/>
        <v>0</v>
      </c>
      <c r="J470" s="368">
        <f t="shared" si="18"/>
        <v>0</v>
      </c>
      <c r="K470" s="360" t="s">
        <v>2226</v>
      </c>
    </row>
    <row r="471" spans="1:11" s="360" customFormat="1" ht="20.25" hidden="1" customHeight="1">
      <c r="A471" s="356" t="s">
        <v>528</v>
      </c>
      <c r="B471" s="357" t="s">
        <v>2116</v>
      </c>
      <c r="C471" s="358">
        <f>SF!I597</f>
        <v>0</v>
      </c>
      <c r="D471" s="354" t="s">
        <v>102</v>
      </c>
      <c r="E471" s="355">
        <f>SF!K597</f>
        <v>1078.42</v>
      </c>
      <c r="F471" s="353">
        <f>ROUND(C471*E471,0)</f>
        <v>0</v>
      </c>
      <c r="G471" s="368"/>
      <c r="H471" s="368"/>
      <c r="I471" s="368">
        <f>C471-G471</f>
        <v>0</v>
      </c>
      <c r="J471" s="368">
        <f>F471-H471</f>
        <v>0</v>
      </c>
      <c r="K471" s="360" t="s">
        <v>2308</v>
      </c>
    </row>
    <row r="472" spans="1:11" s="360" customFormat="1" ht="20.25" hidden="1" customHeight="1">
      <c r="A472" s="356" t="s">
        <v>528</v>
      </c>
      <c r="B472" s="357" t="s">
        <v>2116</v>
      </c>
      <c r="C472" s="358">
        <f>SF!I604</f>
        <v>0</v>
      </c>
      <c r="D472" s="354" t="s">
        <v>102</v>
      </c>
      <c r="E472" s="355">
        <f>SF!K604</f>
        <v>1103.42</v>
      </c>
      <c r="F472" s="353">
        <f>ROUND(C472*E472,0)</f>
        <v>0</v>
      </c>
      <c r="G472" s="368"/>
      <c r="H472" s="368"/>
      <c r="I472" s="368">
        <f>C472-G472</f>
        <v>0</v>
      </c>
      <c r="J472" s="368">
        <f>F472-H472</f>
        <v>0</v>
      </c>
      <c r="K472" s="360" t="s">
        <v>2321</v>
      </c>
    </row>
    <row r="473" spans="1:11" s="360" customFormat="1" ht="20.25" hidden="1" customHeight="1">
      <c r="A473" s="356" t="s">
        <v>528</v>
      </c>
      <c r="B473" s="357" t="s">
        <v>2116</v>
      </c>
      <c r="C473" s="358">
        <f>SF!I611</f>
        <v>0</v>
      </c>
      <c r="D473" s="354" t="s">
        <v>102</v>
      </c>
      <c r="E473" s="355">
        <f>SF!K611</f>
        <v>1134.08</v>
      </c>
      <c r="F473" s="353">
        <f>ROUND(C473*E473,0)</f>
        <v>0</v>
      </c>
      <c r="G473" s="368"/>
      <c r="H473" s="368"/>
      <c r="I473" s="368">
        <f>C473-G473</f>
        <v>0</v>
      </c>
      <c r="J473" s="368">
        <f>F473-H473</f>
        <v>0</v>
      </c>
      <c r="K473" s="360" t="s">
        <v>2322</v>
      </c>
    </row>
    <row r="474" spans="1:11" s="360" customFormat="1" ht="20.25" hidden="1" customHeight="1">
      <c r="A474" s="356" t="s">
        <v>508</v>
      </c>
      <c r="B474" s="357" t="s">
        <v>708</v>
      </c>
      <c r="C474" s="358">
        <f>SF!I618</f>
        <v>0</v>
      </c>
      <c r="D474" s="354" t="s">
        <v>77</v>
      </c>
      <c r="E474" s="355">
        <f>SF!K618</f>
        <v>2934.5</v>
      </c>
      <c r="F474" s="353">
        <f t="shared" si="20"/>
        <v>0</v>
      </c>
      <c r="G474" s="368"/>
      <c r="H474" s="368"/>
      <c r="I474" s="368">
        <f t="shared" si="17"/>
        <v>0</v>
      </c>
      <c r="J474" s="368">
        <f t="shared" si="18"/>
        <v>0</v>
      </c>
      <c r="K474" s="360" t="s">
        <v>2226</v>
      </c>
    </row>
    <row r="475" spans="1:11" s="360" customFormat="1" ht="20.25" hidden="1" customHeight="1">
      <c r="A475" s="356" t="s">
        <v>508</v>
      </c>
      <c r="B475" s="357" t="s">
        <v>708</v>
      </c>
      <c r="C475" s="358">
        <f>SF!I625</f>
        <v>0</v>
      </c>
      <c r="D475" s="354" t="s">
        <v>77</v>
      </c>
      <c r="E475" s="355">
        <f>SF!K625</f>
        <v>3003.21</v>
      </c>
      <c r="F475" s="353">
        <f>ROUND(C475*E475,0)</f>
        <v>0</v>
      </c>
      <c r="G475" s="368"/>
      <c r="H475" s="368"/>
      <c r="I475" s="368">
        <f>C475-G475</f>
        <v>0</v>
      </c>
      <c r="J475" s="368">
        <f>F475-H475</f>
        <v>0</v>
      </c>
      <c r="K475" s="360" t="s">
        <v>2308</v>
      </c>
    </row>
    <row r="476" spans="1:11" s="360" customFormat="1" ht="20.25" hidden="1" customHeight="1">
      <c r="A476" s="356" t="s">
        <v>508</v>
      </c>
      <c r="B476" s="357" t="s">
        <v>708</v>
      </c>
      <c r="C476" s="358">
        <f>SF!I632</f>
        <v>0</v>
      </c>
      <c r="D476" s="354" t="s">
        <v>77</v>
      </c>
      <c r="E476" s="355">
        <f>SF!K632</f>
        <v>3066.62</v>
      </c>
      <c r="F476" s="353">
        <f>ROUND(C476*E476,0)</f>
        <v>0</v>
      </c>
      <c r="G476" s="368"/>
      <c r="H476" s="368"/>
      <c r="I476" s="368">
        <f>C476-G476</f>
        <v>0</v>
      </c>
      <c r="J476" s="368">
        <f>F476-H476</f>
        <v>0</v>
      </c>
      <c r="K476" s="360" t="s">
        <v>2321</v>
      </c>
    </row>
    <row r="477" spans="1:11" s="360" customFormat="1" ht="20.25" hidden="1" customHeight="1">
      <c r="A477" s="356" t="s">
        <v>508</v>
      </c>
      <c r="B477" s="357" t="s">
        <v>708</v>
      </c>
      <c r="C477" s="358">
        <f>SF!I639</f>
        <v>0</v>
      </c>
      <c r="D477" s="354" t="s">
        <v>77</v>
      </c>
      <c r="E477" s="355">
        <f>SF!K639</f>
        <v>3248.17</v>
      </c>
      <c r="F477" s="353">
        <f>ROUND(C477*E477,0)</f>
        <v>0</v>
      </c>
      <c r="G477" s="368"/>
      <c r="H477" s="368"/>
      <c r="I477" s="368">
        <f>C477-G477</f>
        <v>0</v>
      </c>
      <c r="J477" s="368">
        <f>F477-H477</f>
        <v>0</v>
      </c>
      <c r="K477" s="360" t="s">
        <v>2322</v>
      </c>
    </row>
    <row r="478" spans="1:11" s="360" customFormat="1" ht="20.25" hidden="1" customHeight="1">
      <c r="A478" s="356" t="s">
        <v>510</v>
      </c>
      <c r="B478" s="357" t="s">
        <v>2116</v>
      </c>
      <c r="C478" s="358">
        <f>SF!I646</f>
        <v>0</v>
      </c>
      <c r="D478" s="354" t="s">
        <v>102</v>
      </c>
      <c r="E478" s="355">
        <f>SF!K646</f>
        <v>2740.43</v>
      </c>
      <c r="F478" s="353">
        <f t="shared" si="20"/>
        <v>0</v>
      </c>
      <c r="G478" s="368"/>
      <c r="H478" s="368"/>
      <c r="I478" s="368">
        <f t="shared" si="17"/>
        <v>0</v>
      </c>
      <c r="J478" s="368">
        <f t="shared" si="18"/>
        <v>0</v>
      </c>
      <c r="K478" s="360" t="s">
        <v>2226</v>
      </c>
    </row>
    <row r="479" spans="1:11" s="360" customFormat="1" ht="20.25" hidden="1" customHeight="1">
      <c r="A479" s="356" t="s">
        <v>510</v>
      </c>
      <c r="B479" s="357" t="s">
        <v>2116</v>
      </c>
      <c r="C479" s="358">
        <f>SF!I653</f>
        <v>0</v>
      </c>
      <c r="D479" s="354" t="s">
        <v>102</v>
      </c>
      <c r="E479" s="355">
        <f>SF!K653</f>
        <v>2787.53</v>
      </c>
      <c r="F479" s="353">
        <f>ROUND(C479*E479,0)</f>
        <v>0</v>
      </c>
      <c r="G479" s="368"/>
      <c r="H479" s="368"/>
      <c r="I479" s="368">
        <f>C479-G479</f>
        <v>0</v>
      </c>
      <c r="J479" s="368">
        <f>F479-H479</f>
        <v>0</v>
      </c>
      <c r="K479" s="360" t="s">
        <v>2308</v>
      </c>
    </row>
    <row r="480" spans="1:11" s="360" customFormat="1" ht="20.25" hidden="1" customHeight="1">
      <c r="A480" s="356" t="s">
        <v>510</v>
      </c>
      <c r="B480" s="357" t="s">
        <v>2116</v>
      </c>
      <c r="C480" s="358">
        <f>SF!I660</f>
        <v>0</v>
      </c>
      <c r="D480" s="354" t="s">
        <v>102</v>
      </c>
      <c r="E480" s="355">
        <f>SF!K660</f>
        <v>2831.2</v>
      </c>
      <c r="F480" s="353">
        <f>ROUND(C480*E480,0)</f>
        <v>0</v>
      </c>
      <c r="G480" s="368"/>
      <c r="H480" s="368"/>
      <c r="I480" s="368">
        <f>C480-G480</f>
        <v>0</v>
      </c>
      <c r="J480" s="368">
        <f>F480-H480</f>
        <v>0</v>
      </c>
      <c r="K480" s="360" t="s">
        <v>2321</v>
      </c>
    </row>
    <row r="481" spans="1:11" s="360" customFormat="1" ht="20.25" hidden="1" customHeight="1">
      <c r="A481" s="356" t="s">
        <v>510</v>
      </c>
      <c r="B481" s="357" t="s">
        <v>2116</v>
      </c>
      <c r="C481" s="358">
        <f>SF!I667</f>
        <v>0</v>
      </c>
      <c r="D481" s="354" t="s">
        <v>102</v>
      </c>
      <c r="E481" s="355">
        <f>SF!K667</f>
        <v>2995.66</v>
      </c>
      <c r="F481" s="353">
        <f>ROUND(C481*E481,0)</f>
        <v>0</v>
      </c>
      <c r="G481" s="368"/>
      <c r="H481" s="368"/>
      <c r="I481" s="368">
        <f>C481-G481</f>
        <v>0</v>
      </c>
      <c r="J481" s="368">
        <f>F481-H481</f>
        <v>0</v>
      </c>
      <c r="K481" s="360" t="s">
        <v>2322</v>
      </c>
    </row>
    <row r="482" spans="1:11" s="360" customFormat="1" ht="20.25" hidden="1" customHeight="1">
      <c r="A482" s="356" t="s">
        <v>529</v>
      </c>
      <c r="B482" s="357" t="s">
        <v>710</v>
      </c>
      <c r="C482" s="358">
        <f>SF!I674</f>
        <v>0</v>
      </c>
      <c r="D482" s="354" t="s">
        <v>102</v>
      </c>
      <c r="E482" s="355">
        <f>SF!K674</f>
        <v>660.95</v>
      </c>
      <c r="F482" s="353">
        <f t="shared" si="20"/>
        <v>0</v>
      </c>
      <c r="G482" s="368"/>
      <c r="H482" s="368"/>
      <c r="I482" s="368">
        <f t="shared" si="17"/>
        <v>0</v>
      </c>
      <c r="J482" s="368">
        <f t="shared" si="18"/>
        <v>0</v>
      </c>
      <c r="K482" s="360" t="s">
        <v>2226</v>
      </c>
    </row>
    <row r="483" spans="1:11" s="360" customFormat="1" ht="20.25" hidden="1" customHeight="1">
      <c r="A483" s="356" t="s">
        <v>529</v>
      </c>
      <c r="B483" s="357" t="s">
        <v>710</v>
      </c>
      <c r="C483" s="358">
        <f>SF!I681</f>
        <v>0</v>
      </c>
      <c r="D483" s="354" t="s">
        <v>102</v>
      </c>
      <c r="E483" s="355">
        <f>SF!K681</f>
        <v>709.65</v>
      </c>
      <c r="F483" s="353">
        <f>ROUND(C483*E483,0)</f>
        <v>0</v>
      </c>
      <c r="G483" s="368"/>
      <c r="H483" s="368"/>
      <c r="I483" s="368">
        <f>C483-G483</f>
        <v>0</v>
      </c>
      <c r="J483" s="368">
        <f>F483-H483</f>
        <v>0</v>
      </c>
      <c r="K483" s="360" t="s">
        <v>2308</v>
      </c>
    </row>
    <row r="484" spans="1:11" s="360" customFormat="1" ht="20.25" hidden="1" customHeight="1">
      <c r="A484" s="356" t="s">
        <v>529</v>
      </c>
      <c r="B484" s="357" t="s">
        <v>710</v>
      </c>
      <c r="C484" s="358">
        <f>SF!I688</f>
        <v>0</v>
      </c>
      <c r="D484" s="354" t="s">
        <v>102</v>
      </c>
      <c r="E484" s="355">
        <f>SF!K688</f>
        <v>718.32</v>
      </c>
      <c r="F484" s="353">
        <f>ROUND(C484*E484,0)</f>
        <v>0</v>
      </c>
      <c r="G484" s="368"/>
      <c r="H484" s="368"/>
      <c r="I484" s="368">
        <f>C484-G484</f>
        <v>0</v>
      </c>
      <c r="J484" s="368">
        <f>F484-H484</f>
        <v>0</v>
      </c>
      <c r="K484" s="360" t="s">
        <v>2321</v>
      </c>
    </row>
    <row r="485" spans="1:11" s="360" customFormat="1" ht="20.25" hidden="1" customHeight="1">
      <c r="A485" s="356" t="s">
        <v>529</v>
      </c>
      <c r="B485" s="357" t="s">
        <v>710</v>
      </c>
      <c r="C485" s="358">
        <f>SF!I695</f>
        <v>0</v>
      </c>
      <c r="D485" s="354" t="s">
        <v>102</v>
      </c>
      <c r="E485" s="355">
        <f>SF!K695</f>
        <v>816.76</v>
      </c>
      <c r="F485" s="353">
        <f>ROUND(C485*E485,0)</f>
        <v>0</v>
      </c>
      <c r="G485" s="368"/>
      <c r="H485" s="368"/>
      <c r="I485" s="368">
        <f>C485-G485</f>
        <v>0</v>
      </c>
      <c r="J485" s="368">
        <f>F485-H485</f>
        <v>0</v>
      </c>
      <c r="K485" s="360" t="s">
        <v>2322</v>
      </c>
    </row>
    <row r="486" spans="1:11" s="360" customFormat="1" ht="20.25" hidden="1" customHeight="1">
      <c r="A486" s="356" t="s">
        <v>530</v>
      </c>
      <c r="B486" s="357" t="s">
        <v>2116</v>
      </c>
      <c r="C486" s="358">
        <f>SF!I702</f>
        <v>0</v>
      </c>
      <c r="D486" s="354" t="s">
        <v>102</v>
      </c>
      <c r="E486" s="355">
        <f>SF!K702</f>
        <v>681.6</v>
      </c>
      <c r="F486" s="353">
        <f t="shared" si="20"/>
        <v>0</v>
      </c>
      <c r="G486" s="368"/>
      <c r="H486" s="368"/>
      <c r="I486" s="368">
        <f t="shared" si="17"/>
        <v>0</v>
      </c>
      <c r="J486" s="368">
        <f t="shared" si="18"/>
        <v>0</v>
      </c>
      <c r="K486" s="360" t="s">
        <v>2226</v>
      </c>
    </row>
    <row r="487" spans="1:11" s="360" customFormat="1" ht="20.25" hidden="1" customHeight="1">
      <c r="A487" s="356" t="s">
        <v>530</v>
      </c>
      <c r="B487" s="357" t="s">
        <v>2116</v>
      </c>
      <c r="C487" s="358">
        <f>SF!I709</f>
        <v>0</v>
      </c>
      <c r="D487" s="354" t="s">
        <v>102</v>
      </c>
      <c r="E487" s="355">
        <f>SF!K709</f>
        <v>715.12</v>
      </c>
      <c r="F487" s="353">
        <f>ROUND(C487*E487,0)</f>
        <v>0</v>
      </c>
      <c r="G487" s="368"/>
      <c r="H487" s="368"/>
      <c r="I487" s="368">
        <f>C487-G487</f>
        <v>0</v>
      </c>
      <c r="J487" s="368">
        <f>F487-H487</f>
        <v>0</v>
      </c>
      <c r="K487" s="360" t="s">
        <v>2308</v>
      </c>
    </row>
    <row r="488" spans="1:11" s="360" customFormat="1" ht="20.25" hidden="1" customHeight="1">
      <c r="A488" s="356" t="s">
        <v>530</v>
      </c>
      <c r="B488" s="357" t="s">
        <v>2116</v>
      </c>
      <c r="C488" s="358">
        <f>SF!I716</f>
        <v>0</v>
      </c>
      <c r="D488" s="354" t="s">
        <v>102</v>
      </c>
      <c r="E488" s="355">
        <f>SF!K716</f>
        <v>740.12</v>
      </c>
      <c r="F488" s="353">
        <f>ROUND(C488*E488,0)</f>
        <v>0</v>
      </c>
      <c r="G488" s="368"/>
      <c r="H488" s="368"/>
      <c r="I488" s="368">
        <f>C488-G488</f>
        <v>0</v>
      </c>
      <c r="J488" s="368">
        <f>F488-H488</f>
        <v>0</v>
      </c>
      <c r="K488" s="360" t="s">
        <v>2321</v>
      </c>
    </row>
    <row r="489" spans="1:11" s="360" customFormat="1" ht="20.25" hidden="1" customHeight="1">
      <c r="A489" s="356" t="s">
        <v>530</v>
      </c>
      <c r="B489" s="357" t="s">
        <v>2116</v>
      </c>
      <c r="C489" s="358">
        <f>SF!I723</f>
        <v>0</v>
      </c>
      <c r="D489" s="354" t="s">
        <v>102</v>
      </c>
      <c r="E489" s="355">
        <f>SF!K723</f>
        <v>822.23</v>
      </c>
      <c r="F489" s="353">
        <f>ROUND(C489*E489,0)</f>
        <v>0</v>
      </c>
      <c r="G489" s="368"/>
      <c r="H489" s="368"/>
      <c r="I489" s="368">
        <f>C489-G489</f>
        <v>0</v>
      </c>
      <c r="J489" s="368">
        <f>F489-H489</f>
        <v>0</v>
      </c>
      <c r="K489" s="360" t="s">
        <v>2322</v>
      </c>
    </row>
    <row r="490" spans="1:11" s="360" customFormat="1" ht="20.25" hidden="1" customHeight="1">
      <c r="A490" s="356" t="s">
        <v>531</v>
      </c>
      <c r="B490" s="357" t="s">
        <v>511</v>
      </c>
      <c r="C490" s="358">
        <f>SF!I730</f>
        <v>0</v>
      </c>
      <c r="D490" s="354" t="s">
        <v>102</v>
      </c>
      <c r="E490" s="355">
        <f>SF!K730</f>
        <v>784.71</v>
      </c>
      <c r="F490" s="353">
        <f t="shared" si="20"/>
        <v>0</v>
      </c>
      <c r="G490" s="368"/>
      <c r="H490" s="368"/>
      <c r="I490" s="368">
        <f t="shared" si="17"/>
        <v>0</v>
      </c>
      <c r="J490" s="368">
        <f t="shared" si="18"/>
        <v>0</v>
      </c>
      <c r="K490" s="360" t="s">
        <v>2226</v>
      </c>
    </row>
    <row r="491" spans="1:11" s="360" customFormat="1" ht="20.25" hidden="1" customHeight="1">
      <c r="A491" s="356" t="s">
        <v>531</v>
      </c>
      <c r="B491" s="357" t="s">
        <v>511</v>
      </c>
      <c r="C491" s="358">
        <f>SF!I737</f>
        <v>0</v>
      </c>
      <c r="D491" s="354" t="s">
        <v>102</v>
      </c>
      <c r="E491" s="355">
        <f>SF!K737</f>
        <v>818.23</v>
      </c>
      <c r="F491" s="353">
        <f t="shared" ref="F491" si="21">ROUND(C491*E491,0)</f>
        <v>0</v>
      </c>
      <c r="G491" s="368"/>
      <c r="H491" s="368"/>
      <c r="I491" s="368">
        <f>C491-G491</f>
        <v>0</v>
      </c>
      <c r="J491" s="368">
        <f>F491-H491</f>
        <v>0</v>
      </c>
      <c r="K491" s="360" t="s">
        <v>2308</v>
      </c>
    </row>
    <row r="492" spans="1:11" s="360" customFormat="1" ht="20.25" hidden="1" customHeight="1">
      <c r="A492" s="356" t="s">
        <v>531</v>
      </c>
      <c r="B492" s="357" t="s">
        <v>511</v>
      </c>
      <c r="C492" s="358">
        <f>SF!I744</f>
        <v>0</v>
      </c>
      <c r="D492" s="354" t="s">
        <v>102</v>
      </c>
      <c r="E492" s="355">
        <f>SF!K744</f>
        <v>843.23</v>
      </c>
      <c r="F492" s="353">
        <f>ROUND(C492*E492,0)</f>
        <v>0</v>
      </c>
      <c r="G492" s="368"/>
      <c r="H492" s="368"/>
      <c r="I492" s="368">
        <f>C492-G492</f>
        <v>0</v>
      </c>
      <c r="J492" s="368">
        <f>F492-H492</f>
        <v>0</v>
      </c>
      <c r="K492" s="360" t="s">
        <v>2321</v>
      </c>
    </row>
    <row r="493" spans="1:11" s="360" customFormat="1" ht="20.25" hidden="1" customHeight="1">
      <c r="A493" s="356" t="s">
        <v>531</v>
      </c>
      <c r="B493" s="357" t="s">
        <v>511</v>
      </c>
      <c r="C493" s="358">
        <f>SF!I751</f>
        <v>0</v>
      </c>
      <c r="D493" s="354" t="s">
        <v>102</v>
      </c>
      <c r="E493" s="355">
        <f>SF!K751</f>
        <v>873.89</v>
      </c>
      <c r="F493" s="353">
        <f>ROUND(C493*E493,0)</f>
        <v>0</v>
      </c>
      <c r="G493" s="368"/>
      <c r="H493" s="368"/>
      <c r="I493" s="368">
        <f>C493-G493</f>
        <v>0</v>
      </c>
      <c r="J493" s="368">
        <f>F493-H493</f>
        <v>0</v>
      </c>
      <c r="K493" s="360" t="s">
        <v>2322</v>
      </c>
    </row>
    <row r="494" spans="1:11" s="360" customFormat="1" ht="20.25" hidden="1" customHeight="1">
      <c r="A494" s="356" t="s">
        <v>532</v>
      </c>
      <c r="B494" s="357" t="s">
        <v>2116</v>
      </c>
      <c r="C494" s="358">
        <f>SF!I757</f>
        <v>0</v>
      </c>
      <c r="D494" s="354" t="s">
        <v>102</v>
      </c>
      <c r="E494" s="355">
        <f>SF!K757</f>
        <v>502.03</v>
      </c>
      <c r="F494" s="353">
        <f t="shared" si="20"/>
        <v>0</v>
      </c>
      <c r="G494" s="368"/>
      <c r="H494" s="368"/>
      <c r="I494" s="368">
        <f t="shared" si="17"/>
        <v>0</v>
      </c>
      <c r="J494" s="368">
        <f t="shared" si="18"/>
        <v>0</v>
      </c>
      <c r="K494" s="360" t="s">
        <v>2226</v>
      </c>
    </row>
    <row r="495" spans="1:11" s="360" customFormat="1" ht="20.25" hidden="1" customHeight="1">
      <c r="A495" s="356" t="s">
        <v>532</v>
      </c>
      <c r="B495" s="357" t="s">
        <v>2116</v>
      </c>
      <c r="C495" s="358">
        <f>SF!I763</f>
        <v>0</v>
      </c>
      <c r="D495" s="354" t="s">
        <v>102</v>
      </c>
      <c r="E495" s="355">
        <f>SF!K763</f>
        <v>512.04</v>
      </c>
      <c r="F495" s="353">
        <f>ROUND(C495*E495,0)</f>
        <v>0</v>
      </c>
      <c r="G495" s="368"/>
      <c r="H495" s="368"/>
      <c r="I495" s="368">
        <f>C495-G495</f>
        <v>0</v>
      </c>
      <c r="J495" s="368">
        <f>F495-H495</f>
        <v>0</v>
      </c>
      <c r="K495" s="360" t="s">
        <v>2308</v>
      </c>
    </row>
    <row r="496" spans="1:11" s="360" customFormat="1" ht="20.25" hidden="1" customHeight="1">
      <c r="A496" s="356" t="s">
        <v>532</v>
      </c>
      <c r="B496" s="357" t="s">
        <v>2116</v>
      </c>
      <c r="C496" s="358">
        <f>SF!I769</f>
        <v>0</v>
      </c>
      <c r="D496" s="354" t="s">
        <v>102</v>
      </c>
      <c r="E496" s="355">
        <f>SF!K769</f>
        <v>520.52</v>
      </c>
      <c r="F496" s="353">
        <f>ROUND(C496*E496,0)</f>
        <v>0</v>
      </c>
      <c r="G496" s="368"/>
      <c r="H496" s="368"/>
      <c r="I496" s="368">
        <f>C496-G496</f>
        <v>0</v>
      </c>
      <c r="J496" s="368">
        <f>F496-H496</f>
        <v>0</v>
      </c>
      <c r="K496" s="360" t="s">
        <v>2321</v>
      </c>
    </row>
    <row r="497" spans="1:11" s="360" customFormat="1" ht="20.25" hidden="1" customHeight="1">
      <c r="A497" s="356" t="s">
        <v>532</v>
      </c>
      <c r="B497" s="357" t="s">
        <v>2116</v>
      </c>
      <c r="C497" s="358">
        <f>SF!I775</f>
        <v>0</v>
      </c>
      <c r="D497" s="354" t="s">
        <v>102</v>
      </c>
      <c r="E497" s="355">
        <f>SF!K775</f>
        <v>536.26</v>
      </c>
      <c r="F497" s="353">
        <f>ROUND(C497*E497,0)</f>
        <v>0</v>
      </c>
      <c r="G497" s="368"/>
      <c r="H497" s="368"/>
      <c r="I497" s="368">
        <f>C497-G497</f>
        <v>0</v>
      </c>
      <c r="J497" s="368">
        <f>F497-H497</f>
        <v>0</v>
      </c>
      <c r="K497" s="360" t="s">
        <v>2322</v>
      </c>
    </row>
    <row r="498" spans="1:11" s="360" customFormat="1" ht="20.25" hidden="1" customHeight="1">
      <c r="A498" s="356" t="s">
        <v>492</v>
      </c>
      <c r="B498" s="357" t="s">
        <v>1223</v>
      </c>
      <c r="C498" s="358">
        <f>SF!I781</f>
        <v>0</v>
      </c>
      <c r="D498" s="354" t="s">
        <v>102</v>
      </c>
      <c r="E498" s="355">
        <f>SF!K781</f>
        <v>977.96</v>
      </c>
      <c r="F498" s="353">
        <f t="shared" si="20"/>
        <v>0</v>
      </c>
      <c r="G498" s="368"/>
      <c r="H498" s="368"/>
      <c r="I498" s="368">
        <f t="shared" si="17"/>
        <v>0</v>
      </c>
      <c r="J498" s="368">
        <f t="shared" si="18"/>
        <v>0</v>
      </c>
      <c r="K498" s="360" t="s">
        <v>2226</v>
      </c>
    </row>
    <row r="499" spans="1:11" s="360" customFormat="1" ht="20.25" hidden="1" customHeight="1">
      <c r="A499" s="356" t="s">
        <v>492</v>
      </c>
      <c r="B499" s="357" t="s">
        <v>1223</v>
      </c>
      <c r="C499" s="358">
        <f>SF!I787</f>
        <v>0</v>
      </c>
      <c r="D499" s="354" t="s">
        <v>102</v>
      </c>
      <c r="E499" s="355">
        <f>SF!K787</f>
        <v>1023.19</v>
      </c>
      <c r="F499" s="353">
        <f>ROUND(C499*E499,0)</f>
        <v>0</v>
      </c>
      <c r="G499" s="368"/>
      <c r="H499" s="368"/>
      <c r="I499" s="368">
        <f>C499-G499</f>
        <v>0</v>
      </c>
      <c r="J499" s="368">
        <f>F499-H499</f>
        <v>0</v>
      </c>
      <c r="K499" s="360" t="s">
        <v>2308</v>
      </c>
    </row>
    <row r="500" spans="1:11" s="360" customFormat="1" ht="20.25" hidden="1" customHeight="1">
      <c r="A500" s="356" t="s">
        <v>492</v>
      </c>
      <c r="B500" s="357" t="s">
        <v>1223</v>
      </c>
      <c r="C500" s="358">
        <f>SF!I793</f>
        <v>0</v>
      </c>
      <c r="D500" s="354" t="s">
        <v>102</v>
      </c>
      <c r="E500" s="355">
        <f>SF!K793</f>
        <v>1058.68</v>
      </c>
      <c r="F500" s="353">
        <f>ROUND(C500*E500,0)</f>
        <v>0</v>
      </c>
      <c r="G500" s="368"/>
      <c r="H500" s="368"/>
      <c r="I500" s="368">
        <f>C500-G500</f>
        <v>0</v>
      </c>
      <c r="J500" s="368">
        <f>F500-H500</f>
        <v>0</v>
      </c>
      <c r="K500" s="360" t="s">
        <v>2321</v>
      </c>
    </row>
    <row r="501" spans="1:11" s="360" customFormat="1" ht="20.25" hidden="1" customHeight="1">
      <c r="A501" s="356" t="s">
        <v>492</v>
      </c>
      <c r="B501" s="357" t="s">
        <v>1223</v>
      </c>
      <c r="C501" s="358">
        <f>SF!I799</f>
        <v>0</v>
      </c>
      <c r="D501" s="354" t="s">
        <v>102</v>
      </c>
      <c r="E501" s="355">
        <f>SF!K799</f>
        <v>1100.49</v>
      </c>
      <c r="F501" s="353">
        <f>ROUND(C501*E501,0)</f>
        <v>0</v>
      </c>
      <c r="G501" s="368"/>
      <c r="H501" s="368"/>
      <c r="I501" s="368">
        <f>C501-G501</f>
        <v>0</v>
      </c>
      <c r="J501" s="368">
        <f>F501-H501</f>
        <v>0</v>
      </c>
      <c r="K501" s="360" t="s">
        <v>2322</v>
      </c>
    </row>
    <row r="502" spans="1:11" s="360" customFormat="1" ht="20.25" hidden="1" customHeight="1">
      <c r="A502" s="356" t="s">
        <v>533</v>
      </c>
      <c r="B502" s="357" t="s">
        <v>2239</v>
      </c>
      <c r="C502" s="358">
        <f>SF!I807</f>
        <v>0</v>
      </c>
      <c r="D502" s="354" t="s">
        <v>102</v>
      </c>
      <c r="E502" s="355">
        <f>SF!K807</f>
        <v>21.43</v>
      </c>
      <c r="F502" s="353">
        <f t="shared" si="20"/>
        <v>0</v>
      </c>
      <c r="G502" s="368"/>
      <c r="H502" s="368"/>
      <c r="I502" s="368">
        <f t="shared" si="17"/>
        <v>0</v>
      </c>
      <c r="J502" s="368">
        <f t="shared" si="18"/>
        <v>0</v>
      </c>
      <c r="K502" s="360" t="s">
        <v>2226</v>
      </c>
    </row>
    <row r="503" spans="1:11" s="360" customFormat="1" ht="20.25" hidden="1" customHeight="1">
      <c r="A503" s="356" t="s">
        <v>533</v>
      </c>
      <c r="B503" s="357" t="s">
        <v>2239</v>
      </c>
      <c r="C503" s="358">
        <f>SF!I815</f>
        <v>0</v>
      </c>
      <c r="D503" s="354" t="s">
        <v>102</v>
      </c>
      <c r="E503" s="355">
        <f>SF!K815</f>
        <v>22.88</v>
      </c>
      <c r="F503" s="353">
        <f>ROUND(C503*E503,0)</f>
        <v>0</v>
      </c>
      <c r="G503" s="368"/>
      <c r="H503" s="368"/>
      <c r="I503" s="368">
        <f>C503-G503</f>
        <v>0</v>
      </c>
      <c r="J503" s="368">
        <f>F503-H503</f>
        <v>0</v>
      </c>
      <c r="K503" s="360" t="s">
        <v>2308</v>
      </c>
    </row>
    <row r="504" spans="1:11" s="360" customFormat="1" ht="20.25" hidden="1" customHeight="1">
      <c r="A504" s="356" t="s">
        <v>533</v>
      </c>
      <c r="B504" s="357" t="s">
        <v>2239</v>
      </c>
      <c r="C504" s="358">
        <f>SF!I823</f>
        <v>0</v>
      </c>
      <c r="D504" s="354" t="s">
        <v>102</v>
      </c>
      <c r="E504" s="355">
        <f>SF!K823</f>
        <v>25.95</v>
      </c>
      <c r="F504" s="353">
        <f>ROUND(C504*E504,0)</f>
        <v>0</v>
      </c>
      <c r="G504" s="368"/>
      <c r="H504" s="368"/>
      <c r="I504" s="368">
        <f>C504-G504</f>
        <v>0</v>
      </c>
      <c r="J504" s="368">
        <f>F504-H504</f>
        <v>0</v>
      </c>
      <c r="K504" s="360" t="s">
        <v>2321</v>
      </c>
    </row>
    <row r="505" spans="1:11" s="360" customFormat="1" ht="20.25" hidden="1" customHeight="1">
      <c r="A505" s="356" t="s">
        <v>533</v>
      </c>
      <c r="B505" s="357" t="s">
        <v>2239</v>
      </c>
      <c r="C505" s="358">
        <f>SF!I831</f>
        <v>0</v>
      </c>
      <c r="D505" s="354" t="s">
        <v>102</v>
      </c>
      <c r="E505" s="355">
        <f>SF!K831</f>
        <v>27.91</v>
      </c>
      <c r="F505" s="353">
        <f>ROUND(C505*E505,0)</f>
        <v>0</v>
      </c>
      <c r="G505" s="368"/>
      <c r="H505" s="368"/>
      <c r="I505" s="368">
        <f>C505-G505</f>
        <v>0</v>
      </c>
      <c r="J505" s="368">
        <f>F505-H505</f>
        <v>0</v>
      </c>
      <c r="K505" s="360" t="s">
        <v>2322</v>
      </c>
    </row>
    <row r="506" spans="1:11" s="360" customFormat="1" ht="20.25" hidden="1" customHeight="1">
      <c r="A506" s="356" t="s">
        <v>514</v>
      </c>
      <c r="B506" s="357" t="s">
        <v>2118</v>
      </c>
      <c r="C506" s="358">
        <f>SF!I839</f>
        <v>0</v>
      </c>
      <c r="D506" s="354" t="s">
        <v>102</v>
      </c>
      <c r="E506" s="355">
        <f>SF!K839</f>
        <v>164.74</v>
      </c>
      <c r="F506" s="353">
        <f t="shared" si="20"/>
        <v>0</v>
      </c>
      <c r="G506" s="368"/>
      <c r="H506" s="368"/>
      <c r="I506" s="368">
        <f t="shared" si="17"/>
        <v>0</v>
      </c>
      <c r="J506" s="368">
        <f t="shared" si="18"/>
        <v>0</v>
      </c>
      <c r="K506" s="360" t="s">
        <v>2226</v>
      </c>
    </row>
    <row r="507" spans="1:11" s="360" customFormat="1" ht="20.25" hidden="1" customHeight="1">
      <c r="A507" s="356" t="s">
        <v>531</v>
      </c>
      <c r="B507" s="357" t="s">
        <v>2118</v>
      </c>
      <c r="C507" s="358">
        <f>SF!I847</f>
        <v>0</v>
      </c>
      <c r="D507" s="354" t="s">
        <v>102</v>
      </c>
      <c r="E507" s="355">
        <f>SF!K847</f>
        <v>173.39</v>
      </c>
      <c r="F507" s="353">
        <f>ROUND(C507*E507,0)</f>
        <v>0</v>
      </c>
      <c r="G507" s="368"/>
      <c r="H507" s="368"/>
      <c r="I507" s="368">
        <f>C507-G507</f>
        <v>0</v>
      </c>
      <c r="J507" s="368">
        <f>F507-H507</f>
        <v>0</v>
      </c>
      <c r="K507" s="360" t="s">
        <v>2308</v>
      </c>
    </row>
    <row r="508" spans="1:11" s="360" customFormat="1" ht="20.25" hidden="1" customHeight="1">
      <c r="A508" s="356" t="s">
        <v>531</v>
      </c>
      <c r="B508" s="357" t="s">
        <v>2118</v>
      </c>
      <c r="C508" s="358">
        <f>SF!I855</f>
        <v>0</v>
      </c>
      <c r="D508" s="354" t="s">
        <v>102</v>
      </c>
      <c r="E508" s="355">
        <f>SF!K855</f>
        <v>179.94</v>
      </c>
      <c r="F508" s="353">
        <f>ROUND(C508*E508,0)</f>
        <v>0</v>
      </c>
      <c r="G508" s="368"/>
      <c r="H508" s="368"/>
      <c r="I508" s="368">
        <f>C508-G508</f>
        <v>0</v>
      </c>
      <c r="J508" s="368">
        <f>F508-H508</f>
        <v>0</v>
      </c>
      <c r="K508" s="360" t="s">
        <v>2321</v>
      </c>
    </row>
    <row r="509" spans="1:11" s="360" customFormat="1" ht="20.25" hidden="1" customHeight="1">
      <c r="A509" s="356" t="s">
        <v>513</v>
      </c>
      <c r="B509" s="357" t="s">
        <v>2118</v>
      </c>
      <c r="C509" s="358">
        <f>SF!I863</f>
        <v>0</v>
      </c>
      <c r="D509" s="354" t="s">
        <v>102</v>
      </c>
      <c r="E509" s="355">
        <f>SF!K863</f>
        <v>194.34</v>
      </c>
      <c r="F509" s="353">
        <f>ROUND(C509*E509,0)</f>
        <v>0</v>
      </c>
      <c r="G509" s="368"/>
      <c r="H509" s="368"/>
      <c r="I509" s="368">
        <f>C509-G509</f>
        <v>0</v>
      </c>
      <c r="J509" s="368">
        <f>F509-H509</f>
        <v>0</v>
      </c>
      <c r="K509" s="360" t="s">
        <v>2322</v>
      </c>
    </row>
    <row r="510" spans="1:11" s="360" customFormat="1" ht="20.25" hidden="1" customHeight="1">
      <c r="A510" s="356" t="s">
        <v>525</v>
      </c>
      <c r="B510" s="357" t="s">
        <v>2176</v>
      </c>
      <c r="C510" s="358">
        <f>SF!I871</f>
        <v>0</v>
      </c>
      <c r="D510" s="354" t="s">
        <v>102</v>
      </c>
      <c r="E510" s="355">
        <f>SF!K871</f>
        <v>140.87</v>
      </c>
      <c r="F510" s="353">
        <f t="shared" si="20"/>
        <v>0</v>
      </c>
      <c r="G510" s="368"/>
      <c r="H510" s="368"/>
      <c r="I510" s="368">
        <f t="shared" si="17"/>
        <v>0</v>
      </c>
      <c r="J510" s="368">
        <f t="shared" si="18"/>
        <v>0</v>
      </c>
      <c r="K510" s="360" t="s">
        <v>2226</v>
      </c>
    </row>
    <row r="511" spans="1:11" s="360" customFormat="1" ht="20.25" hidden="1" customHeight="1">
      <c r="A511" s="356" t="s">
        <v>524</v>
      </c>
      <c r="B511" s="357" t="s">
        <v>2176</v>
      </c>
      <c r="C511" s="358">
        <f>SF!I883</f>
        <v>0</v>
      </c>
      <c r="D511" s="354" t="s">
        <v>102</v>
      </c>
      <c r="E511" s="355">
        <f>SF!K883</f>
        <v>149.66</v>
      </c>
      <c r="F511" s="353">
        <f>ROUND(C511*E511,0)</f>
        <v>0</v>
      </c>
      <c r="G511" s="368"/>
      <c r="H511" s="368"/>
      <c r="I511" s="368">
        <f>C511-G511</f>
        <v>0</v>
      </c>
      <c r="J511" s="368">
        <f>F511-H511</f>
        <v>0</v>
      </c>
      <c r="K511" s="360" t="s">
        <v>2308</v>
      </c>
    </row>
    <row r="512" spans="1:11" s="360" customFormat="1" ht="20.25" hidden="1" customHeight="1">
      <c r="A512" s="356" t="s">
        <v>525</v>
      </c>
      <c r="B512" s="357" t="s">
        <v>2176</v>
      </c>
      <c r="C512" s="358">
        <f>SF!I891</f>
        <v>0</v>
      </c>
      <c r="D512" s="354" t="s">
        <v>102</v>
      </c>
      <c r="E512" s="355">
        <f>SF!K891</f>
        <v>156.4</v>
      </c>
      <c r="F512" s="353">
        <f>ROUND(C512*E512,0)</f>
        <v>0</v>
      </c>
      <c r="G512" s="368"/>
      <c r="H512" s="368"/>
      <c r="I512" s="368">
        <f>C512-G512</f>
        <v>0</v>
      </c>
      <c r="J512" s="368">
        <f>F512-H512</f>
        <v>0</v>
      </c>
      <c r="K512" s="360" t="s">
        <v>2321</v>
      </c>
    </row>
    <row r="513" spans="1:11" s="360" customFormat="1" ht="20.25" hidden="1" customHeight="1">
      <c r="A513" s="356" t="s">
        <v>515</v>
      </c>
      <c r="B513" s="357" t="s">
        <v>2176</v>
      </c>
      <c r="C513" s="358">
        <f>SF!I899</f>
        <v>0</v>
      </c>
      <c r="D513" s="354" t="s">
        <v>102</v>
      </c>
      <c r="E513" s="355">
        <f>SF!K899</f>
        <v>169.89</v>
      </c>
      <c r="F513" s="353">
        <f>ROUND(C513*E513,0)</f>
        <v>0</v>
      </c>
      <c r="G513" s="368"/>
      <c r="H513" s="368"/>
      <c r="I513" s="368">
        <f>C513-G513</f>
        <v>0</v>
      </c>
      <c r="J513" s="368">
        <f>F513-H513</f>
        <v>0</v>
      </c>
      <c r="K513" s="360" t="s">
        <v>2322</v>
      </c>
    </row>
    <row r="514" spans="1:11" s="360" customFormat="1" ht="20.25" hidden="1" customHeight="1">
      <c r="A514" s="356" t="s">
        <v>526</v>
      </c>
      <c r="B514" s="357" t="s">
        <v>2177</v>
      </c>
      <c r="C514" s="358">
        <f>SF!I906</f>
        <v>0</v>
      </c>
      <c r="D514" s="354" t="s">
        <v>102</v>
      </c>
      <c r="E514" s="355">
        <f>SF!K906</f>
        <v>192.71</v>
      </c>
      <c r="F514" s="353">
        <f t="shared" si="20"/>
        <v>0</v>
      </c>
      <c r="G514" s="368"/>
      <c r="H514" s="368"/>
      <c r="I514" s="368">
        <f t="shared" si="17"/>
        <v>0</v>
      </c>
      <c r="J514" s="368">
        <f t="shared" si="18"/>
        <v>0</v>
      </c>
      <c r="K514" s="360" t="s">
        <v>2226</v>
      </c>
    </row>
    <row r="515" spans="1:11" s="360" customFormat="1" ht="20.25" hidden="1" customHeight="1">
      <c r="A515" s="356" t="s">
        <v>525</v>
      </c>
      <c r="B515" s="357" t="s">
        <v>2177</v>
      </c>
      <c r="C515" s="358">
        <f>SF!I914</f>
        <v>0</v>
      </c>
      <c r="D515" s="354" t="s">
        <v>102</v>
      </c>
      <c r="E515" s="355">
        <f>SF!K914</f>
        <v>206.39</v>
      </c>
      <c r="F515" s="353">
        <f>ROUND(C515*E515,0)</f>
        <v>0</v>
      </c>
      <c r="G515" s="368"/>
      <c r="H515" s="368"/>
      <c r="I515" s="368">
        <f>C515-G515</f>
        <v>0</v>
      </c>
      <c r="J515" s="368">
        <f>F515-H515</f>
        <v>0</v>
      </c>
      <c r="K515" s="360" t="s">
        <v>2308</v>
      </c>
    </row>
    <row r="516" spans="1:11" s="360" customFormat="1" ht="20.25" hidden="1" customHeight="1">
      <c r="A516" s="356" t="s">
        <v>526</v>
      </c>
      <c r="B516" s="357" t="s">
        <v>2177</v>
      </c>
      <c r="C516" s="358">
        <f>SF!I921</f>
        <v>0</v>
      </c>
      <c r="D516" s="354" t="s">
        <v>102</v>
      </c>
      <c r="E516" s="355">
        <f>SF!K921</f>
        <v>216.76</v>
      </c>
      <c r="F516" s="353">
        <f>ROUND(C516*E516,0)</f>
        <v>0</v>
      </c>
      <c r="G516" s="368"/>
      <c r="H516" s="368"/>
      <c r="I516" s="368">
        <f>C516-G516</f>
        <v>0</v>
      </c>
      <c r="J516" s="368">
        <f>F516-H516</f>
        <v>0</v>
      </c>
      <c r="K516" s="360" t="s">
        <v>2321</v>
      </c>
    </row>
    <row r="517" spans="1:11" s="360" customFormat="1" ht="20.25" hidden="1" customHeight="1">
      <c r="A517" s="356" t="s">
        <v>516</v>
      </c>
      <c r="B517" s="357" t="s">
        <v>2177</v>
      </c>
      <c r="C517" s="358">
        <f>SF!I937</f>
        <v>0</v>
      </c>
      <c r="D517" s="354" t="s">
        <v>102</v>
      </c>
      <c r="E517" s="355">
        <f>SF!K937</f>
        <v>233.59</v>
      </c>
      <c r="F517" s="353">
        <f>ROUND(C517*E517,0)</f>
        <v>0</v>
      </c>
      <c r="G517" s="368"/>
      <c r="H517" s="368"/>
      <c r="I517" s="368">
        <f>C517-G517</f>
        <v>0</v>
      </c>
      <c r="J517" s="368">
        <f>F517-H517</f>
        <v>0</v>
      </c>
      <c r="K517" s="360" t="s">
        <v>2322</v>
      </c>
    </row>
    <row r="518" spans="1:11" s="360" customFormat="1" ht="20.25" hidden="1" customHeight="1">
      <c r="A518" s="356" t="s">
        <v>517</v>
      </c>
      <c r="B518" s="357" t="s">
        <v>477</v>
      </c>
      <c r="C518" s="429">
        <f>SF!I943</f>
        <v>0</v>
      </c>
      <c r="D518" s="221" t="s">
        <v>29</v>
      </c>
      <c r="E518" s="430">
        <f>SF!K943</f>
        <v>64288.5</v>
      </c>
      <c r="F518" s="353">
        <f t="shared" si="20"/>
        <v>0</v>
      </c>
      <c r="G518" s="368"/>
      <c r="H518" s="368"/>
      <c r="I518" s="368">
        <f t="shared" si="17"/>
        <v>0</v>
      </c>
      <c r="J518" s="368">
        <f t="shared" si="18"/>
        <v>0</v>
      </c>
      <c r="K518" s="360" t="s">
        <v>2226</v>
      </c>
    </row>
    <row r="519" spans="1:11" s="360" customFormat="1" ht="20.25" hidden="1" customHeight="1">
      <c r="A519" s="356" t="s">
        <v>526</v>
      </c>
      <c r="B519" s="357" t="s">
        <v>477</v>
      </c>
      <c r="C519" s="429">
        <f>SF!I948</f>
        <v>0</v>
      </c>
      <c r="D519" s="221" t="s">
        <v>29</v>
      </c>
      <c r="E519" s="430">
        <f>SF!K948</f>
        <v>64635</v>
      </c>
      <c r="F519" s="353">
        <f>ROUND(C519*E519,0)</f>
        <v>0</v>
      </c>
      <c r="G519" s="368"/>
      <c r="H519" s="368"/>
      <c r="I519" s="368">
        <f>C519-G519</f>
        <v>0</v>
      </c>
      <c r="J519" s="368">
        <f>F519-H519</f>
        <v>0</v>
      </c>
      <c r="K519" s="360" t="s">
        <v>2308</v>
      </c>
    </row>
    <row r="520" spans="1:11" s="360" customFormat="1" ht="20.25" hidden="1" customHeight="1">
      <c r="A520" s="356" t="s">
        <v>525</v>
      </c>
      <c r="B520" s="357" t="s">
        <v>477</v>
      </c>
      <c r="C520" s="429">
        <f>SF!I954</f>
        <v>0</v>
      </c>
      <c r="D520" s="221" t="s">
        <v>29</v>
      </c>
      <c r="E520" s="430">
        <f>SF!K954</f>
        <v>82189.5</v>
      </c>
      <c r="F520" s="353">
        <f>ROUND(C520*E520,0)</f>
        <v>0</v>
      </c>
      <c r="G520" s="368"/>
      <c r="H520" s="368"/>
      <c r="I520" s="368">
        <f>C520-G520</f>
        <v>0</v>
      </c>
      <c r="J520" s="368">
        <f>F520-H520</f>
        <v>0</v>
      </c>
      <c r="K520" s="360" t="s">
        <v>2321</v>
      </c>
    </row>
    <row r="521" spans="1:11" s="360" customFormat="1" ht="20.25" hidden="1" customHeight="1">
      <c r="A521" s="356" t="s">
        <v>525</v>
      </c>
      <c r="B521" s="357" t="s">
        <v>477</v>
      </c>
      <c r="C521" s="429">
        <f>SF!I960</f>
        <v>0</v>
      </c>
      <c r="D521" s="221" t="s">
        <v>29</v>
      </c>
      <c r="E521" s="430">
        <f>SF!K960</f>
        <v>95016</v>
      </c>
      <c r="F521" s="353">
        <f>ROUND(C521*E521,0)</f>
        <v>0</v>
      </c>
      <c r="G521" s="368"/>
      <c r="H521" s="368"/>
      <c r="I521" s="368">
        <f>C521-G521</f>
        <v>0</v>
      </c>
      <c r="J521" s="368">
        <f>F521-H521</f>
        <v>0</v>
      </c>
      <c r="K521" s="360" t="s">
        <v>2322</v>
      </c>
    </row>
    <row r="522" spans="1:11" s="360" customFormat="1" ht="20.25" hidden="1" customHeight="1">
      <c r="A522" s="356"/>
      <c r="B522" s="431" t="s">
        <v>890</v>
      </c>
      <c r="C522" s="429"/>
      <c r="D522" s="221"/>
      <c r="E522" s="430"/>
      <c r="F522" s="353"/>
      <c r="G522" s="368"/>
      <c r="H522" s="368"/>
      <c r="I522" s="368">
        <f t="shared" si="17"/>
        <v>0</v>
      </c>
      <c r="J522" s="368">
        <f t="shared" si="18"/>
        <v>0</v>
      </c>
      <c r="K522" s="360" t="s">
        <v>2226</v>
      </c>
    </row>
    <row r="523" spans="1:11" s="360" customFormat="1" ht="20.25" customHeight="1">
      <c r="A523" s="356" t="s">
        <v>490</v>
      </c>
      <c r="B523" s="357" t="s">
        <v>2152</v>
      </c>
      <c r="C523" s="358">
        <f>WORK!I2010</f>
        <v>1</v>
      </c>
      <c r="D523" s="354" t="s">
        <v>115</v>
      </c>
      <c r="E523" s="355">
        <f>WORK!K2010</f>
        <v>20396.340000000004</v>
      </c>
      <c r="F523" s="353">
        <f t="shared" ref="F523:F656" si="22">ROUND(C523*E523,0)</f>
        <v>20396</v>
      </c>
      <c r="G523" s="353"/>
      <c r="H523" s="353"/>
      <c r="I523" s="368">
        <f t="shared" si="17"/>
        <v>1</v>
      </c>
      <c r="J523" s="368">
        <f t="shared" si="18"/>
        <v>20396</v>
      </c>
      <c r="K523" s="360" t="s">
        <v>2226</v>
      </c>
    </row>
    <row r="524" spans="1:11" s="360" customFormat="1" ht="20.25" hidden="1" customHeight="1">
      <c r="A524" s="356" t="s">
        <v>498</v>
      </c>
      <c r="B524" s="357" t="s">
        <v>2152</v>
      </c>
      <c r="C524" s="358">
        <f>WORK!I2144</f>
        <v>0</v>
      </c>
      <c r="D524" s="354" t="s">
        <v>115</v>
      </c>
      <c r="E524" s="355">
        <f>WORK!K2144</f>
        <v>20396.340000000004</v>
      </c>
      <c r="F524" s="353">
        <f>ROUND(C524*E524,0)</f>
        <v>0</v>
      </c>
      <c r="G524" s="353"/>
      <c r="H524" s="353"/>
      <c r="I524" s="368">
        <f>C524-G524</f>
        <v>0</v>
      </c>
      <c r="J524" s="368">
        <f>F524-H524</f>
        <v>0</v>
      </c>
      <c r="K524" s="360" t="s">
        <v>2308</v>
      </c>
    </row>
    <row r="525" spans="1:11" s="360" customFormat="1" ht="20.25" hidden="1" customHeight="1">
      <c r="A525" s="356" t="s">
        <v>497</v>
      </c>
      <c r="B525" s="357" t="s">
        <v>2152</v>
      </c>
      <c r="C525" s="358">
        <f>WORK!I2286</f>
        <v>0</v>
      </c>
      <c r="D525" s="354" t="s">
        <v>115</v>
      </c>
      <c r="E525" s="355">
        <f>WORK!K2286</f>
        <v>24683.69</v>
      </c>
      <c r="F525" s="353">
        <f>ROUND(C525*E525,0)</f>
        <v>0</v>
      </c>
      <c r="G525" s="353"/>
      <c r="H525" s="353"/>
      <c r="I525" s="368">
        <f>C525-G525</f>
        <v>0</v>
      </c>
      <c r="J525" s="368">
        <f>F525-H525</f>
        <v>0</v>
      </c>
      <c r="K525" s="360" t="s">
        <v>2321</v>
      </c>
    </row>
    <row r="526" spans="1:11" s="360" customFormat="1" ht="20.25" hidden="1" customHeight="1">
      <c r="A526" s="356" t="s">
        <v>1517</v>
      </c>
      <c r="B526" s="357" t="s">
        <v>2152</v>
      </c>
      <c r="C526" s="358">
        <f>WORK!I2421</f>
        <v>0</v>
      </c>
      <c r="D526" s="354" t="s">
        <v>115</v>
      </c>
      <c r="E526" s="355">
        <f>WORK!K2421</f>
        <v>22903.660000000003</v>
      </c>
      <c r="F526" s="353">
        <f>ROUND(C526*E526,0)</f>
        <v>0</v>
      </c>
      <c r="G526" s="353"/>
      <c r="H526" s="353"/>
      <c r="I526" s="368">
        <f>C526-G526</f>
        <v>0</v>
      </c>
      <c r="J526" s="368">
        <f>F526-H526</f>
        <v>0</v>
      </c>
      <c r="K526" s="360" t="s">
        <v>2322</v>
      </c>
    </row>
    <row r="527" spans="1:11" s="360" customFormat="1" ht="20.25" hidden="1" customHeight="1">
      <c r="A527" s="356" t="s">
        <v>1581</v>
      </c>
      <c r="B527" s="357" t="s">
        <v>2152</v>
      </c>
      <c r="C527" s="358">
        <f>WORK!I2020</f>
        <v>0</v>
      </c>
      <c r="D527" s="354" t="s">
        <v>115</v>
      </c>
      <c r="E527" s="355">
        <f>WORK!K2020</f>
        <v>9855.7799999999988</v>
      </c>
      <c r="F527" s="353">
        <f t="shared" ref="F527" si="23">ROUND(C527*E527,0)</f>
        <v>0</v>
      </c>
      <c r="G527" s="353"/>
      <c r="H527" s="353"/>
      <c r="I527" s="368">
        <f t="shared" ref="I527" si="24">C527-G527</f>
        <v>0</v>
      </c>
      <c r="J527" s="368">
        <f t="shared" ref="J527" si="25">F527-H527</f>
        <v>0</v>
      </c>
      <c r="K527" s="360" t="s">
        <v>2226</v>
      </c>
    </row>
    <row r="528" spans="1:11" s="360" customFormat="1" ht="20.25" hidden="1" customHeight="1">
      <c r="A528" s="356" t="s">
        <v>1581</v>
      </c>
      <c r="B528" s="357" t="s">
        <v>2152</v>
      </c>
      <c r="C528" s="358">
        <f>WORK!I2154</f>
        <v>0</v>
      </c>
      <c r="D528" s="354" t="s">
        <v>115</v>
      </c>
      <c r="E528" s="355">
        <f>WORK!K2154</f>
        <v>9855.7799999999988</v>
      </c>
      <c r="F528" s="353">
        <f>ROUND(C528*E528,0)</f>
        <v>0</v>
      </c>
      <c r="G528" s="353"/>
      <c r="H528" s="353"/>
      <c r="I528" s="368">
        <f>C528-G528</f>
        <v>0</v>
      </c>
      <c r="J528" s="368">
        <f>F528-H528</f>
        <v>0</v>
      </c>
      <c r="K528" s="360" t="s">
        <v>2308</v>
      </c>
    </row>
    <row r="529" spans="1:11" s="360" customFormat="1" ht="20.25" hidden="1" customHeight="1">
      <c r="A529" s="356" t="s">
        <v>1581</v>
      </c>
      <c r="B529" s="357" t="s">
        <v>2152</v>
      </c>
      <c r="C529" s="358">
        <f>WORK!I2296</f>
        <v>0</v>
      </c>
      <c r="D529" s="354" t="s">
        <v>115</v>
      </c>
      <c r="E529" s="355">
        <f>WORK!K2296</f>
        <v>10134.49</v>
      </c>
      <c r="F529" s="353">
        <f>ROUND(C529*E529,0)</f>
        <v>0</v>
      </c>
      <c r="G529" s="353"/>
      <c r="H529" s="353"/>
      <c r="I529" s="368">
        <f>C529-G529</f>
        <v>0</v>
      </c>
      <c r="J529" s="368">
        <f>F529-H529</f>
        <v>0</v>
      </c>
      <c r="K529" s="360" t="s">
        <v>2321</v>
      </c>
    </row>
    <row r="530" spans="1:11" s="360" customFormat="1" ht="20.25" hidden="1" customHeight="1">
      <c r="A530" s="356" t="s">
        <v>1581</v>
      </c>
      <c r="B530" s="357" t="s">
        <v>2152</v>
      </c>
      <c r="C530" s="358">
        <f>WORK!I2431</f>
        <v>0</v>
      </c>
      <c r="D530" s="354" t="s">
        <v>115</v>
      </c>
      <c r="E530" s="355">
        <f>WORK!K2431</f>
        <v>11442.58</v>
      </c>
      <c r="F530" s="353">
        <f>ROUND(C530*E530,0)</f>
        <v>0</v>
      </c>
      <c r="G530" s="353"/>
      <c r="H530" s="353"/>
      <c r="I530" s="368">
        <f>C530-G530</f>
        <v>0</v>
      </c>
      <c r="J530" s="368">
        <f>F530-H530</f>
        <v>0</v>
      </c>
      <c r="K530" s="360" t="s">
        <v>2322</v>
      </c>
    </row>
    <row r="531" spans="1:11" s="360" customFormat="1" ht="20.25" hidden="1" customHeight="1">
      <c r="A531" s="356" t="s">
        <v>1516</v>
      </c>
      <c r="B531" s="357" t="s">
        <v>2244</v>
      </c>
      <c r="C531" s="358">
        <f>WORK!I2025</f>
        <v>0</v>
      </c>
      <c r="D531" s="354" t="s">
        <v>115</v>
      </c>
      <c r="E531" s="355">
        <f>WORK!K2025</f>
        <v>14099.53</v>
      </c>
      <c r="F531" s="353">
        <f t="shared" si="22"/>
        <v>0</v>
      </c>
      <c r="G531" s="353"/>
      <c r="H531" s="353"/>
      <c r="I531" s="368">
        <f t="shared" si="17"/>
        <v>0</v>
      </c>
      <c r="J531" s="368">
        <f t="shared" si="18"/>
        <v>0</v>
      </c>
      <c r="K531" s="360" t="s">
        <v>2226</v>
      </c>
    </row>
    <row r="532" spans="1:11" s="360" customFormat="1" ht="20.25" hidden="1" customHeight="1">
      <c r="A532" s="356" t="s">
        <v>1516</v>
      </c>
      <c r="B532" s="357" t="s">
        <v>2244</v>
      </c>
      <c r="C532" s="358">
        <f>WORK!I2159</f>
        <v>0</v>
      </c>
      <c r="D532" s="354" t="s">
        <v>115</v>
      </c>
      <c r="E532" s="355">
        <f>WORK!K2159</f>
        <v>14099.53</v>
      </c>
      <c r="F532" s="353">
        <f>ROUND(C532*E532,0)</f>
        <v>0</v>
      </c>
      <c r="G532" s="353"/>
      <c r="H532" s="353"/>
      <c r="I532" s="368">
        <f>C532-G532</f>
        <v>0</v>
      </c>
      <c r="J532" s="368">
        <f>F532-H532</f>
        <v>0</v>
      </c>
      <c r="K532" s="360" t="s">
        <v>2308</v>
      </c>
    </row>
    <row r="533" spans="1:11" s="360" customFormat="1" ht="20.25" hidden="1" customHeight="1">
      <c r="A533" s="356" t="s">
        <v>1516</v>
      </c>
      <c r="B533" s="357" t="s">
        <v>2244</v>
      </c>
      <c r="C533" s="358">
        <f>WORK!I2301</f>
        <v>0</v>
      </c>
      <c r="D533" s="354" t="s">
        <v>115</v>
      </c>
      <c r="E533" s="355">
        <f>WORK!K2301</f>
        <v>8918.9600000000009</v>
      </c>
      <c r="F533" s="353">
        <f>ROUND(C533*E533,0)</f>
        <v>0</v>
      </c>
      <c r="G533" s="353"/>
      <c r="H533" s="353"/>
      <c r="I533" s="368">
        <f>C533-G533</f>
        <v>0</v>
      </c>
      <c r="J533" s="368">
        <f>F533-H533</f>
        <v>0</v>
      </c>
      <c r="K533" s="360" t="s">
        <v>2321</v>
      </c>
    </row>
    <row r="534" spans="1:11" s="360" customFormat="1" ht="20.25" hidden="1" customHeight="1">
      <c r="A534" s="356" t="s">
        <v>1516</v>
      </c>
      <c r="B534" s="357" t="s">
        <v>2244</v>
      </c>
      <c r="C534" s="358">
        <f>WORK!I2436</f>
        <v>0</v>
      </c>
      <c r="D534" s="354" t="s">
        <v>115</v>
      </c>
      <c r="E534" s="355">
        <f>WORK!K2436</f>
        <v>15875.19</v>
      </c>
      <c r="F534" s="353">
        <f>ROUND(C534*E534,0)</f>
        <v>0</v>
      </c>
      <c r="G534" s="353"/>
      <c r="H534" s="353"/>
      <c r="I534" s="368">
        <f>C534-G534</f>
        <v>0</v>
      </c>
      <c r="J534" s="368">
        <f>F534-H534</f>
        <v>0</v>
      </c>
      <c r="K534" s="360" t="s">
        <v>2322</v>
      </c>
    </row>
    <row r="535" spans="1:11" s="360" customFormat="1" ht="20.25" hidden="1" customHeight="1">
      <c r="A535" s="356" t="s">
        <v>1516</v>
      </c>
      <c r="B535" s="357" t="s">
        <v>2245</v>
      </c>
      <c r="C535" s="358">
        <f>WORK!I2030</f>
        <v>0</v>
      </c>
      <c r="D535" s="354" t="s">
        <v>115</v>
      </c>
      <c r="E535" s="355">
        <f>WORK!K2030</f>
        <v>13359.1</v>
      </c>
      <c r="F535" s="353">
        <f t="shared" si="22"/>
        <v>0</v>
      </c>
      <c r="G535" s="353"/>
      <c r="H535" s="353"/>
      <c r="I535" s="368">
        <f t="shared" si="17"/>
        <v>0</v>
      </c>
      <c r="J535" s="368">
        <f t="shared" si="18"/>
        <v>0</v>
      </c>
      <c r="K535" s="360" t="s">
        <v>2226</v>
      </c>
    </row>
    <row r="536" spans="1:11" s="360" customFormat="1" ht="20.25" hidden="1" customHeight="1">
      <c r="A536" s="356" t="s">
        <v>1516</v>
      </c>
      <c r="B536" s="357" t="s">
        <v>2245</v>
      </c>
      <c r="C536" s="358">
        <f>WORK!I2164</f>
        <v>0</v>
      </c>
      <c r="D536" s="354" t="s">
        <v>115</v>
      </c>
      <c r="E536" s="355">
        <f>WORK!K2164</f>
        <v>13359.1</v>
      </c>
      <c r="F536" s="353">
        <f>ROUND(C536*E536,0)</f>
        <v>0</v>
      </c>
      <c r="G536" s="353"/>
      <c r="H536" s="353"/>
      <c r="I536" s="368">
        <f>C536-G536</f>
        <v>0</v>
      </c>
      <c r="J536" s="368">
        <f>F536-H536</f>
        <v>0</v>
      </c>
      <c r="K536" s="360" t="s">
        <v>2308</v>
      </c>
    </row>
    <row r="537" spans="1:11" s="360" customFormat="1" ht="20.25" hidden="1" customHeight="1">
      <c r="A537" s="356" t="s">
        <v>1516</v>
      </c>
      <c r="B537" s="357" t="s">
        <v>2245</v>
      </c>
      <c r="C537" s="358">
        <f>WORK!I2306</f>
        <v>0</v>
      </c>
      <c r="D537" s="354" t="s">
        <v>115</v>
      </c>
      <c r="E537" s="355">
        <f>WORK!K2306</f>
        <v>7973.17</v>
      </c>
      <c r="F537" s="353">
        <f>ROUND(C537*E537,0)</f>
        <v>0</v>
      </c>
      <c r="G537" s="353"/>
      <c r="H537" s="353"/>
      <c r="I537" s="368">
        <f>C537-G537</f>
        <v>0</v>
      </c>
      <c r="J537" s="368">
        <f>F537-H537</f>
        <v>0</v>
      </c>
      <c r="K537" s="360" t="s">
        <v>2321</v>
      </c>
    </row>
    <row r="538" spans="1:11" s="360" customFormat="1" ht="20.25" hidden="1" customHeight="1">
      <c r="A538" s="356" t="s">
        <v>1516</v>
      </c>
      <c r="B538" s="357" t="s">
        <v>2245</v>
      </c>
      <c r="C538" s="358">
        <f>WORK!I2441</f>
        <v>0</v>
      </c>
      <c r="D538" s="354" t="s">
        <v>115</v>
      </c>
      <c r="E538" s="355">
        <f>WORK!K2441</f>
        <v>15037.220000000001</v>
      </c>
      <c r="F538" s="353">
        <f>ROUND(C538*E538,0)</f>
        <v>0</v>
      </c>
      <c r="G538" s="353"/>
      <c r="H538" s="353"/>
      <c r="I538" s="368">
        <f>C538-G538</f>
        <v>0</v>
      </c>
      <c r="J538" s="368">
        <f>F538-H538</f>
        <v>0</v>
      </c>
      <c r="K538" s="360" t="s">
        <v>2322</v>
      </c>
    </row>
    <row r="539" spans="1:11" s="360" customFormat="1" ht="20.25" hidden="1" customHeight="1">
      <c r="A539" s="356" t="s">
        <v>527</v>
      </c>
      <c r="B539" s="357" t="s">
        <v>2153</v>
      </c>
      <c r="C539" s="358">
        <f>WORK!I2035</f>
        <v>0</v>
      </c>
      <c r="D539" s="354" t="s">
        <v>115</v>
      </c>
      <c r="E539" s="355">
        <f>WORK!K2035</f>
        <v>8905.99</v>
      </c>
      <c r="F539" s="353">
        <f t="shared" si="22"/>
        <v>0</v>
      </c>
      <c r="G539" s="353"/>
      <c r="H539" s="353"/>
      <c r="I539" s="368">
        <f t="shared" si="17"/>
        <v>0</v>
      </c>
      <c r="J539" s="368">
        <f t="shared" si="18"/>
        <v>0</v>
      </c>
      <c r="K539" s="360" t="s">
        <v>2226</v>
      </c>
    </row>
    <row r="540" spans="1:11" s="360" customFormat="1" ht="20.25" hidden="1" customHeight="1">
      <c r="A540" s="356" t="s">
        <v>527</v>
      </c>
      <c r="B540" s="357" t="s">
        <v>2153</v>
      </c>
      <c r="C540" s="358">
        <f>WORK!I2169</f>
        <v>0</v>
      </c>
      <c r="D540" s="354" t="s">
        <v>115</v>
      </c>
      <c r="E540" s="355">
        <f>WORK!K2169</f>
        <v>8905.99</v>
      </c>
      <c r="F540" s="353">
        <f>ROUND(C540*E540,0)</f>
        <v>0</v>
      </c>
      <c r="G540" s="353"/>
      <c r="H540" s="353"/>
      <c r="I540" s="368">
        <f>C540-G540</f>
        <v>0</v>
      </c>
      <c r="J540" s="368">
        <f>F540-H540</f>
        <v>0</v>
      </c>
      <c r="K540" s="360" t="s">
        <v>2308</v>
      </c>
    </row>
    <row r="541" spans="1:11" s="360" customFormat="1" ht="20.25" hidden="1" customHeight="1">
      <c r="A541" s="356" t="s">
        <v>495</v>
      </c>
      <c r="B541" s="357" t="s">
        <v>2153</v>
      </c>
      <c r="C541" s="358">
        <f>WORK!I2311</f>
        <v>0</v>
      </c>
      <c r="D541" s="354" t="s">
        <v>115</v>
      </c>
      <c r="E541" s="355">
        <f>WORK!K2311</f>
        <v>9185.3799999999992</v>
      </c>
      <c r="F541" s="353">
        <f>ROUND(C541*E541,0)</f>
        <v>0</v>
      </c>
      <c r="G541" s="353"/>
      <c r="H541" s="353"/>
      <c r="I541" s="368">
        <f>C541-G541</f>
        <v>0</v>
      </c>
      <c r="J541" s="368">
        <f>F541-H541</f>
        <v>0</v>
      </c>
      <c r="K541" s="360" t="s">
        <v>2321</v>
      </c>
    </row>
    <row r="542" spans="1:11" s="360" customFormat="1" ht="20.25" hidden="1" customHeight="1">
      <c r="A542" s="356" t="s">
        <v>527</v>
      </c>
      <c r="B542" s="357" t="s">
        <v>2153</v>
      </c>
      <c r="C542" s="358">
        <f>WORK!I2446</f>
        <v>0</v>
      </c>
      <c r="D542" s="354" t="s">
        <v>115</v>
      </c>
      <c r="E542" s="355">
        <f>WORK!K2446</f>
        <v>10330.61</v>
      </c>
      <c r="F542" s="353">
        <f>ROUND(C542*E542,0)</f>
        <v>0</v>
      </c>
      <c r="G542" s="353"/>
      <c r="H542" s="353"/>
      <c r="I542" s="368">
        <f>C542-G542</f>
        <v>0</v>
      </c>
      <c r="J542" s="368">
        <f>F542-H542</f>
        <v>0</v>
      </c>
      <c r="K542" s="360" t="s">
        <v>2322</v>
      </c>
    </row>
    <row r="543" spans="1:11" s="360" customFormat="1" ht="20.25" hidden="1" customHeight="1">
      <c r="A543" s="356" t="s">
        <v>484</v>
      </c>
      <c r="B543" s="357" t="s">
        <v>2246</v>
      </c>
      <c r="C543" s="358">
        <f>WORK!I2040</f>
        <v>0</v>
      </c>
      <c r="D543" s="354" t="s">
        <v>115</v>
      </c>
      <c r="E543" s="355">
        <f>WORK!K2040</f>
        <v>6334.76</v>
      </c>
      <c r="F543" s="353">
        <f t="shared" si="22"/>
        <v>0</v>
      </c>
      <c r="G543" s="353"/>
      <c r="H543" s="353"/>
      <c r="I543" s="368">
        <f t="shared" si="17"/>
        <v>0</v>
      </c>
      <c r="J543" s="368">
        <f t="shared" si="18"/>
        <v>0</v>
      </c>
      <c r="K543" s="360" t="s">
        <v>2226</v>
      </c>
    </row>
    <row r="544" spans="1:11" s="360" customFormat="1" ht="20.25" hidden="1" customHeight="1">
      <c r="A544" s="356" t="s">
        <v>484</v>
      </c>
      <c r="B544" s="357" t="s">
        <v>2246</v>
      </c>
      <c r="C544" s="358">
        <f>WORK!I2174</f>
        <v>0</v>
      </c>
      <c r="D544" s="354" t="s">
        <v>115</v>
      </c>
      <c r="E544" s="355">
        <f>WORK!K2174</f>
        <v>6334.76</v>
      </c>
      <c r="F544" s="353">
        <f>ROUND(C544*E544,0)</f>
        <v>0</v>
      </c>
      <c r="G544" s="353"/>
      <c r="H544" s="353"/>
      <c r="I544" s="368">
        <f>C544-G544</f>
        <v>0</v>
      </c>
      <c r="J544" s="368">
        <f>F544-H544</f>
        <v>0</v>
      </c>
      <c r="K544" s="360" t="s">
        <v>2308</v>
      </c>
    </row>
    <row r="545" spans="1:11" s="360" customFormat="1" ht="20.25" hidden="1" customHeight="1">
      <c r="A545" s="356" t="s">
        <v>484</v>
      </c>
      <c r="B545" s="357" t="s">
        <v>2246</v>
      </c>
      <c r="C545" s="358">
        <f>WORK!I2316</f>
        <v>0</v>
      </c>
      <c r="D545" s="354" t="s">
        <v>115</v>
      </c>
      <c r="E545" s="355">
        <f>WORK!K2316</f>
        <v>6584.41</v>
      </c>
      <c r="F545" s="353">
        <f>ROUND(C545*E545,0)</f>
        <v>0</v>
      </c>
      <c r="G545" s="353"/>
      <c r="H545" s="353"/>
      <c r="I545" s="368">
        <f>C545-G545</f>
        <v>0</v>
      </c>
      <c r="J545" s="368">
        <f>F545-H545</f>
        <v>0</v>
      </c>
      <c r="K545" s="360" t="s">
        <v>2321</v>
      </c>
    </row>
    <row r="546" spans="1:11" s="360" customFormat="1" ht="20.25" hidden="1" customHeight="1">
      <c r="A546" s="356" t="s">
        <v>484</v>
      </c>
      <c r="B546" s="357" t="s">
        <v>2246</v>
      </c>
      <c r="C546" s="358">
        <f>WORK!I2451</f>
        <v>0</v>
      </c>
      <c r="D546" s="354" t="s">
        <v>115</v>
      </c>
      <c r="E546" s="355">
        <f>WORK!K2451</f>
        <v>7015.49</v>
      </c>
      <c r="F546" s="353">
        <f>ROUND(C546*E546,0)</f>
        <v>0</v>
      </c>
      <c r="G546" s="353"/>
      <c r="H546" s="353"/>
      <c r="I546" s="368">
        <f>C546-G546</f>
        <v>0</v>
      </c>
      <c r="J546" s="368">
        <f>F546-H546</f>
        <v>0</v>
      </c>
      <c r="K546" s="360" t="s">
        <v>2322</v>
      </c>
    </row>
    <row r="547" spans="1:11" s="360" customFormat="1" ht="20.25" hidden="1" customHeight="1">
      <c r="A547" s="356" t="s">
        <v>528</v>
      </c>
      <c r="B547" s="357" t="s">
        <v>2152</v>
      </c>
      <c r="C547" s="358">
        <f>WORK!I2015</f>
        <v>0</v>
      </c>
      <c r="D547" s="354" t="s">
        <v>115</v>
      </c>
      <c r="E547" s="355">
        <f>WORK!K2015</f>
        <v>10891.57</v>
      </c>
      <c r="F547" s="353">
        <f t="shared" si="22"/>
        <v>0</v>
      </c>
      <c r="G547" s="368"/>
      <c r="H547" s="368"/>
      <c r="I547" s="368">
        <f t="shared" si="17"/>
        <v>0</v>
      </c>
      <c r="J547" s="368">
        <f t="shared" si="18"/>
        <v>0</v>
      </c>
      <c r="K547" s="360" t="s">
        <v>2226</v>
      </c>
    </row>
    <row r="548" spans="1:11" s="360" customFormat="1" ht="20.25" hidden="1" customHeight="1">
      <c r="A548" s="356" t="s">
        <v>1581</v>
      </c>
      <c r="B548" s="357" t="s">
        <v>2152</v>
      </c>
      <c r="C548" s="358">
        <f>WORK!I2149</f>
        <v>0</v>
      </c>
      <c r="D548" s="354" t="s">
        <v>115</v>
      </c>
      <c r="E548" s="355">
        <f>WORK!K2149</f>
        <v>4180.6099999999997</v>
      </c>
      <c r="F548" s="353">
        <f>ROUND(C548*E548,0)</f>
        <v>0</v>
      </c>
      <c r="G548" s="368"/>
      <c r="H548" s="368"/>
      <c r="I548" s="368">
        <f>C548-G548</f>
        <v>0</v>
      </c>
      <c r="J548" s="368">
        <f>F548-H548</f>
        <v>0</v>
      </c>
      <c r="K548" s="360" t="s">
        <v>2308</v>
      </c>
    </row>
    <row r="549" spans="1:11" s="360" customFormat="1" ht="20.25" hidden="1" customHeight="1">
      <c r="A549" s="356" t="s">
        <v>528</v>
      </c>
      <c r="B549" s="357" t="s">
        <v>2152</v>
      </c>
      <c r="C549" s="358">
        <f>WORK!I2291</f>
        <v>0</v>
      </c>
      <c r="D549" s="354" t="s">
        <v>115</v>
      </c>
      <c r="E549" s="355">
        <f>WORK!K2291</f>
        <v>11215.33</v>
      </c>
      <c r="F549" s="353">
        <f>ROUND(C549*E549,0)</f>
        <v>0</v>
      </c>
      <c r="G549" s="368"/>
      <c r="H549" s="368"/>
      <c r="I549" s="368">
        <f>C549-G549</f>
        <v>0</v>
      </c>
      <c r="J549" s="368">
        <f>F549-H549</f>
        <v>0</v>
      </c>
      <c r="K549" s="360" t="s">
        <v>2321</v>
      </c>
    </row>
    <row r="550" spans="1:11" s="360" customFormat="1" ht="20.25" hidden="1" customHeight="1">
      <c r="A550" s="356" t="s">
        <v>519</v>
      </c>
      <c r="B550" s="357" t="s">
        <v>2152</v>
      </c>
      <c r="C550" s="358">
        <f>WORK!I2426</f>
        <v>0</v>
      </c>
      <c r="D550" s="354" t="s">
        <v>115</v>
      </c>
      <c r="E550" s="355">
        <f>WORK!K2426</f>
        <v>11464.42</v>
      </c>
      <c r="F550" s="353">
        <f>ROUND(C550*E550,0)</f>
        <v>0</v>
      </c>
      <c r="G550" s="368"/>
      <c r="H550" s="368"/>
      <c r="I550" s="368">
        <f>C550-G550</f>
        <v>0</v>
      </c>
      <c r="J550" s="368">
        <f>F550-H550</f>
        <v>0</v>
      </c>
      <c r="K550" s="360" t="s">
        <v>2322</v>
      </c>
    </row>
    <row r="551" spans="1:11" s="360" customFormat="1" ht="20.25" hidden="1" customHeight="1">
      <c r="A551" s="356" t="s">
        <v>642</v>
      </c>
      <c r="B551" s="357" t="s">
        <v>2247</v>
      </c>
      <c r="C551" s="358">
        <f>WORK!I2047</f>
        <v>0</v>
      </c>
      <c r="D551" s="354" t="s">
        <v>115</v>
      </c>
      <c r="E551" s="355">
        <f>WORK!K2047</f>
        <v>15555.64</v>
      </c>
      <c r="F551" s="353">
        <f t="shared" si="22"/>
        <v>0</v>
      </c>
      <c r="G551" s="368"/>
      <c r="H551" s="368"/>
      <c r="I551" s="368">
        <f t="shared" si="17"/>
        <v>0</v>
      </c>
      <c r="J551" s="368">
        <f t="shared" si="18"/>
        <v>0</v>
      </c>
      <c r="K551" s="360" t="s">
        <v>2226</v>
      </c>
    </row>
    <row r="552" spans="1:11" s="360" customFormat="1" ht="20.25" hidden="1" customHeight="1">
      <c r="A552" s="356" t="s">
        <v>642</v>
      </c>
      <c r="B552" s="357" t="s">
        <v>2247</v>
      </c>
      <c r="C552" s="358">
        <f>WORK!I2182</f>
        <v>0</v>
      </c>
      <c r="D552" s="354" t="s">
        <v>115</v>
      </c>
      <c r="E552" s="355">
        <f>WORK!K2182</f>
        <v>15555.64</v>
      </c>
      <c r="F552" s="353">
        <f>ROUND(C552*E552,0)</f>
        <v>0</v>
      </c>
      <c r="G552" s="368"/>
      <c r="H552" s="368"/>
      <c r="I552" s="368">
        <f>C552-G552</f>
        <v>0</v>
      </c>
      <c r="J552" s="368">
        <f>F552-H552</f>
        <v>0</v>
      </c>
      <c r="K552" s="360" t="s">
        <v>2308</v>
      </c>
    </row>
    <row r="553" spans="1:11" s="360" customFormat="1" ht="20.25" hidden="1" customHeight="1">
      <c r="A553" s="356" t="s">
        <v>642</v>
      </c>
      <c r="B553" s="357" t="s">
        <v>2247</v>
      </c>
      <c r="C553" s="358">
        <f>WORK!I2323</f>
        <v>0</v>
      </c>
      <c r="D553" s="354" t="s">
        <v>115</v>
      </c>
      <c r="E553" s="355">
        <f>WORK!K2323</f>
        <v>16143.809999999998</v>
      </c>
      <c r="F553" s="353">
        <f>ROUND(C553*E553,0)</f>
        <v>0</v>
      </c>
      <c r="G553" s="368"/>
      <c r="H553" s="368"/>
      <c r="I553" s="368">
        <f>C553-G553</f>
        <v>0</v>
      </c>
      <c r="J553" s="368">
        <f>F553-H553</f>
        <v>0</v>
      </c>
      <c r="K553" s="360" t="s">
        <v>2321</v>
      </c>
    </row>
    <row r="554" spans="1:11" s="360" customFormat="1" ht="20.25" hidden="1" customHeight="1">
      <c r="A554" s="356" t="s">
        <v>642</v>
      </c>
      <c r="B554" s="357" t="s">
        <v>2247</v>
      </c>
      <c r="C554" s="358">
        <f>WORK!I2458</f>
        <v>0</v>
      </c>
      <c r="D554" s="354" t="s">
        <v>115</v>
      </c>
      <c r="E554" s="355">
        <f>WORK!K2458</f>
        <v>17517.36</v>
      </c>
      <c r="F554" s="353">
        <f>ROUND(C554*E554,0)</f>
        <v>0</v>
      </c>
      <c r="G554" s="368"/>
      <c r="H554" s="368"/>
      <c r="I554" s="368">
        <f>C554-G554</f>
        <v>0</v>
      </c>
      <c r="J554" s="368">
        <f>F554-H554</f>
        <v>0</v>
      </c>
      <c r="K554" s="360" t="s">
        <v>2322</v>
      </c>
    </row>
    <row r="555" spans="1:11" s="360" customFormat="1" ht="20.25" hidden="1" customHeight="1">
      <c r="A555" s="356" t="s">
        <v>1582</v>
      </c>
      <c r="B555" s="357" t="s">
        <v>2217</v>
      </c>
      <c r="C555" s="358">
        <f>WORK!I2054</f>
        <v>0</v>
      </c>
      <c r="D555" s="354" t="s">
        <v>115</v>
      </c>
      <c r="E555" s="355">
        <f>WORK!K2054</f>
        <v>9631.65</v>
      </c>
      <c r="F555" s="353">
        <f t="shared" si="22"/>
        <v>0</v>
      </c>
      <c r="G555" s="368"/>
      <c r="H555" s="368"/>
      <c r="I555" s="368">
        <f t="shared" si="17"/>
        <v>0</v>
      </c>
      <c r="J555" s="368">
        <f t="shared" si="18"/>
        <v>0</v>
      </c>
      <c r="K555" s="360" t="s">
        <v>2226</v>
      </c>
    </row>
    <row r="556" spans="1:11" s="360" customFormat="1" ht="20.25" hidden="1" customHeight="1">
      <c r="A556" s="356" t="s">
        <v>528</v>
      </c>
      <c r="B556" s="357" t="s">
        <v>2217</v>
      </c>
      <c r="C556" s="358">
        <f>WORK!I2190</f>
        <v>0</v>
      </c>
      <c r="D556" s="354" t="s">
        <v>115</v>
      </c>
      <c r="E556" s="355">
        <f>WORK!K2190</f>
        <v>4472.53</v>
      </c>
      <c r="F556" s="353">
        <f>ROUND(C556*E556,0)</f>
        <v>0</v>
      </c>
      <c r="G556" s="368"/>
      <c r="H556" s="368"/>
      <c r="I556" s="368">
        <f>C556-G556</f>
        <v>0</v>
      </c>
      <c r="J556" s="368">
        <f>F556-H556</f>
        <v>0</v>
      </c>
      <c r="K556" s="360" t="s">
        <v>2308</v>
      </c>
    </row>
    <row r="557" spans="1:11" s="360" customFormat="1" ht="20.25" hidden="1" customHeight="1">
      <c r="A557" s="356" t="s">
        <v>1582</v>
      </c>
      <c r="B557" s="357" t="s">
        <v>2217</v>
      </c>
      <c r="C557" s="358">
        <f>WORK!I2330</f>
        <v>0</v>
      </c>
      <c r="D557" s="354" t="s">
        <v>115</v>
      </c>
      <c r="E557" s="355">
        <f>WORK!K2330</f>
        <v>9936.0399999999991</v>
      </c>
      <c r="F557" s="353">
        <f>ROUND(C557*E557,0)</f>
        <v>0</v>
      </c>
      <c r="G557" s="368"/>
      <c r="H557" s="368"/>
      <c r="I557" s="368">
        <f>C557-G557</f>
        <v>0</v>
      </c>
      <c r="J557" s="368">
        <f>F557-H557</f>
        <v>0</v>
      </c>
      <c r="K557" s="360" t="s">
        <v>2321</v>
      </c>
    </row>
    <row r="558" spans="1:11" s="360" customFormat="1" ht="20.25" hidden="1" customHeight="1">
      <c r="A558" s="356" t="s">
        <v>1582</v>
      </c>
      <c r="B558" s="357" t="s">
        <v>2217</v>
      </c>
      <c r="C558" s="358">
        <f>WORK!I2465</f>
        <v>0</v>
      </c>
      <c r="D558" s="354" t="s">
        <v>115</v>
      </c>
      <c r="E558" s="355">
        <f>WORK!K2465</f>
        <v>11186.3</v>
      </c>
      <c r="F558" s="353">
        <f>ROUND(C558*E558,0)</f>
        <v>0</v>
      </c>
      <c r="G558" s="368"/>
      <c r="H558" s="368"/>
      <c r="I558" s="368">
        <f>C558-G558</f>
        <v>0</v>
      </c>
      <c r="J558" s="368">
        <f>F558-H558</f>
        <v>0</v>
      </c>
      <c r="K558" s="360" t="s">
        <v>2322</v>
      </c>
    </row>
    <row r="559" spans="1:11" s="360" customFormat="1" ht="21.75" hidden="1" customHeight="1">
      <c r="A559" s="356" t="s">
        <v>1516</v>
      </c>
      <c r="B559" s="357" t="s">
        <v>2061</v>
      </c>
      <c r="C559" s="358">
        <f>WORK!I2059</f>
        <v>0</v>
      </c>
      <c r="D559" s="354" t="s">
        <v>102</v>
      </c>
      <c r="E559" s="355">
        <f>WORK!K2059</f>
        <v>6011.2</v>
      </c>
      <c r="F559" s="353">
        <f t="shared" si="22"/>
        <v>0</v>
      </c>
      <c r="G559" s="368"/>
      <c r="H559" s="368"/>
      <c r="I559" s="368">
        <f t="shared" si="17"/>
        <v>0</v>
      </c>
      <c r="J559" s="368">
        <f t="shared" si="18"/>
        <v>0</v>
      </c>
      <c r="K559" s="360" t="s">
        <v>2226</v>
      </c>
    </row>
    <row r="560" spans="1:11" s="360" customFormat="1" ht="21.75" hidden="1" customHeight="1">
      <c r="A560" s="356" t="s">
        <v>1517</v>
      </c>
      <c r="B560" s="357" t="s">
        <v>3437</v>
      </c>
      <c r="C560" s="358">
        <f>WORK!I2199</f>
        <v>0</v>
      </c>
      <c r="D560" s="354" t="s">
        <v>102</v>
      </c>
      <c r="E560" s="355">
        <f>WORK!K2199</f>
        <v>5930.61</v>
      </c>
      <c r="F560" s="353">
        <f>ROUND(C560*E560,0)</f>
        <v>0</v>
      </c>
      <c r="G560" s="368"/>
      <c r="H560" s="368"/>
      <c r="I560" s="368">
        <f>C560-G560</f>
        <v>0</v>
      </c>
      <c r="J560" s="368">
        <f>F560-H560</f>
        <v>0</v>
      </c>
      <c r="K560" s="360" t="s">
        <v>2308</v>
      </c>
    </row>
    <row r="561" spans="1:11" s="360" customFormat="1" ht="21.75" hidden="1" customHeight="1">
      <c r="A561" s="356" t="s">
        <v>499</v>
      </c>
      <c r="B561" s="357" t="s">
        <v>2061</v>
      </c>
      <c r="C561" s="358">
        <f>WORK!I2336</f>
        <v>0</v>
      </c>
      <c r="D561" s="354" t="s">
        <v>102</v>
      </c>
      <c r="E561" s="355">
        <f>WORK!K2336</f>
        <v>5976.6</v>
      </c>
      <c r="F561" s="353">
        <f>ROUND(C561*E561,0)</f>
        <v>0</v>
      </c>
      <c r="G561" s="368"/>
      <c r="H561" s="368"/>
      <c r="I561" s="368">
        <f>C561-G561</f>
        <v>0</v>
      </c>
      <c r="J561" s="368">
        <f>F561-H561</f>
        <v>0</v>
      </c>
      <c r="K561" s="360" t="s">
        <v>2321</v>
      </c>
    </row>
    <row r="562" spans="1:11" s="360" customFormat="1" ht="21.75" hidden="1" customHeight="1">
      <c r="A562" s="356" t="s">
        <v>498</v>
      </c>
      <c r="B562" s="1544" t="s">
        <v>3437</v>
      </c>
      <c r="C562" s="358">
        <f>WORK!I2470</f>
        <v>0</v>
      </c>
      <c r="D562" s="354" t="s">
        <v>102</v>
      </c>
      <c r="E562" s="355">
        <f>WORK!K2470</f>
        <v>6869.57</v>
      </c>
      <c r="F562" s="353">
        <f>ROUND(C562*E562,0)</f>
        <v>0</v>
      </c>
      <c r="G562" s="368"/>
      <c r="H562" s="368"/>
      <c r="I562" s="368">
        <f>C562-G562</f>
        <v>0</v>
      </c>
      <c r="J562" s="368">
        <f>F562-H562</f>
        <v>0</v>
      </c>
      <c r="K562" s="360" t="s">
        <v>2322</v>
      </c>
    </row>
    <row r="563" spans="1:11" s="360" customFormat="1" ht="20.25" hidden="1" customHeight="1">
      <c r="A563" s="356" t="s">
        <v>532</v>
      </c>
      <c r="B563" s="357" t="s">
        <v>2062</v>
      </c>
      <c r="C563" s="358">
        <f>WORK!I2066</f>
        <v>0</v>
      </c>
      <c r="D563" s="354" t="s">
        <v>102</v>
      </c>
      <c r="E563" s="355">
        <f>WORK!K2066</f>
        <v>5617.52</v>
      </c>
      <c r="F563" s="353">
        <f t="shared" si="22"/>
        <v>0</v>
      </c>
      <c r="G563" s="368"/>
      <c r="H563" s="368"/>
      <c r="I563" s="368">
        <f t="shared" si="17"/>
        <v>0</v>
      </c>
      <c r="J563" s="368">
        <f t="shared" si="18"/>
        <v>0</v>
      </c>
      <c r="K563" s="360" t="s">
        <v>2226</v>
      </c>
    </row>
    <row r="564" spans="1:11" s="360" customFormat="1" ht="20.25" hidden="1" customHeight="1">
      <c r="A564" s="356" t="s">
        <v>532</v>
      </c>
      <c r="B564" s="357" t="s">
        <v>2062</v>
      </c>
      <c r="C564" s="358">
        <f>WORK!I2206</f>
        <v>0</v>
      </c>
      <c r="D564" s="354" t="s">
        <v>102</v>
      </c>
      <c r="E564" s="355">
        <f>WORK!K2206</f>
        <v>5617.52</v>
      </c>
      <c r="F564" s="353">
        <f>ROUND(C564*E564,0)</f>
        <v>0</v>
      </c>
      <c r="G564" s="368"/>
      <c r="H564" s="368"/>
      <c r="I564" s="368">
        <f>C564-G564</f>
        <v>0</v>
      </c>
      <c r="J564" s="368">
        <f>F564-H564</f>
        <v>0</v>
      </c>
      <c r="K564" s="360" t="s">
        <v>2308</v>
      </c>
    </row>
    <row r="565" spans="1:11" s="360" customFormat="1" ht="20.25" hidden="1" customHeight="1">
      <c r="A565" s="356" t="s">
        <v>532</v>
      </c>
      <c r="B565" s="357" t="s">
        <v>2062</v>
      </c>
      <c r="C565" s="358">
        <f>WORK!I2343</f>
        <v>0</v>
      </c>
      <c r="D565" s="354" t="s">
        <v>102</v>
      </c>
      <c r="E565" s="355">
        <f>WORK!K2343</f>
        <v>5663.52</v>
      </c>
      <c r="F565" s="353">
        <f>ROUND(C565*E565,0)</f>
        <v>0</v>
      </c>
      <c r="G565" s="368"/>
      <c r="H565" s="368"/>
      <c r="I565" s="368">
        <f>C565-G565</f>
        <v>0</v>
      </c>
      <c r="J565" s="368">
        <f>F565-H565</f>
        <v>0</v>
      </c>
      <c r="K565" s="360" t="s">
        <v>2321</v>
      </c>
    </row>
    <row r="566" spans="1:11" s="360" customFormat="1" ht="20.25" hidden="1" customHeight="1">
      <c r="A566" s="356" t="s">
        <v>532</v>
      </c>
      <c r="B566" s="357" t="s">
        <v>2062</v>
      </c>
      <c r="C566" s="358">
        <f>WORK!I2477</f>
        <v>0</v>
      </c>
      <c r="D566" s="354" t="s">
        <v>102</v>
      </c>
      <c r="E566" s="355">
        <f>WORK!K2477</f>
        <v>6508.85</v>
      </c>
      <c r="F566" s="353">
        <f>ROUND(C566*E566,0)</f>
        <v>0</v>
      </c>
      <c r="G566" s="368"/>
      <c r="H566" s="368"/>
      <c r="I566" s="368">
        <f>C566-G566</f>
        <v>0</v>
      </c>
      <c r="J566" s="368">
        <f>F566-H566</f>
        <v>0</v>
      </c>
      <c r="K566" s="360" t="s">
        <v>2322</v>
      </c>
    </row>
    <row r="567" spans="1:11" s="360" customFormat="1" ht="24.75" hidden="1" customHeight="1">
      <c r="A567" s="356" t="s">
        <v>529</v>
      </c>
      <c r="B567" s="357" t="s">
        <v>2119</v>
      </c>
      <c r="C567" s="358">
        <f>WORK!I2073</f>
        <v>0</v>
      </c>
      <c r="D567" s="354" t="s">
        <v>102</v>
      </c>
      <c r="E567" s="355">
        <f>WORK!K2073</f>
        <v>8058</v>
      </c>
      <c r="F567" s="353">
        <f t="shared" si="22"/>
        <v>0</v>
      </c>
      <c r="G567" s="368"/>
      <c r="H567" s="368"/>
      <c r="I567" s="368">
        <f t="shared" si="17"/>
        <v>0</v>
      </c>
      <c r="J567" s="368">
        <f t="shared" si="18"/>
        <v>0</v>
      </c>
      <c r="K567" s="360" t="s">
        <v>2226</v>
      </c>
    </row>
    <row r="568" spans="1:11" s="360" customFormat="1" ht="24.75" hidden="1" customHeight="1">
      <c r="A568" s="356" t="s">
        <v>495</v>
      </c>
      <c r="B568" s="357" t="s">
        <v>2119</v>
      </c>
      <c r="C568" s="358">
        <f>WORK!I2212</f>
        <v>0</v>
      </c>
      <c r="D568" s="354" t="s">
        <v>102</v>
      </c>
      <c r="E568" s="355">
        <f>WORK!K2212</f>
        <v>8058</v>
      </c>
      <c r="F568" s="353">
        <f>ROUND(C568*E568,0)</f>
        <v>0</v>
      </c>
      <c r="G568" s="368"/>
      <c r="H568" s="368"/>
      <c r="I568" s="368">
        <f>C568-G568</f>
        <v>0</v>
      </c>
      <c r="J568" s="368">
        <f>F568-H568</f>
        <v>0</v>
      </c>
      <c r="K568" s="360" t="s">
        <v>2308</v>
      </c>
    </row>
    <row r="569" spans="1:11" s="360" customFormat="1" ht="24.75" hidden="1" customHeight="1">
      <c r="A569" s="356" t="s">
        <v>500</v>
      </c>
      <c r="B569" s="357" t="s">
        <v>2119</v>
      </c>
      <c r="C569" s="358">
        <f>WORK!I2349</f>
        <v>0</v>
      </c>
      <c r="D569" s="354" t="s">
        <v>102</v>
      </c>
      <c r="E569" s="355">
        <f>WORK!K2349</f>
        <v>8058</v>
      </c>
      <c r="F569" s="353">
        <f>ROUND(C569*E569,0)</f>
        <v>0</v>
      </c>
      <c r="G569" s="368"/>
      <c r="H569" s="368"/>
      <c r="I569" s="368">
        <f>C569-G569</f>
        <v>0</v>
      </c>
      <c r="J569" s="368">
        <f>F569-H569</f>
        <v>0</v>
      </c>
      <c r="K569" s="360" t="s">
        <v>2321</v>
      </c>
    </row>
    <row r="570" spans="1:11" s="360" customFormat="1" ht="24.75" hidden="1" customHeight="1">
      <c r="A570" s="356" t="s">
        <v>1517</v>
      </c>
      <c r="B570" s="357" t="s">
        <v>2119</v>
      </c>
      <c r="C570" s="358">
        <f>WORK!I2483</f>
        <v>0</v>
      </c>
      <c r="D570" s="354" t="s">
        <v>102</v>
      </c>
      <c r="E570" s="355">
        <f>WORK!K2483</f>
        <v>8622</v>
      </c>
      <c r="F570" s="353">
        <f>ROUND(C570*E570,0)</f>
        <v>0</v>
      </c>
      <c r="G570" s="368"/>
      <c r="H570" s="368"/>
      <c r="I570" s="368">
        <f>C570-G570</f>
        <v>0</v>
      </c>
      <c r="J570" s="368">
        <f>F570-H570</f>
        <v>0</v>
      </c>
      <c r="K570" s="360" t="s">
        <v>2322</v>
      </c>
    </row>
    <row r="571" spans="1:11" s="360" customFormat="1" ht="24.75" customHeight="1">
      <c r="A571" s="356" t="s">
        <v>491</v>
      </c>
      <c r="B571" s="357" t="s">
        <v>2216</v>
      </c>
      <c r="C571" s="358">
        <f>WORK!I2077</f>
        <v>15.84</v>
      </c>
      <c r="D571" s="354" t="s">
        <v>102</v>
      </c>
      <c r="E571" s="355">
        <f>WORK!K2077</f>
        <v>6038</v>
      </c>
      <c r="F571" s="353">
        <f t="shared" si="22"/>
        <v>95642</v>
      </c>
      <c r="G571" s="368"/>
      <c r="H571" s="368"/>
      <c r="I571" s="368">
        <f t="shared" si="17"/>
        <v>15.84</v>
      </c>
      <c r="J571" s="368">
        <f t="shared" si="18"/>
        <v>95642</v>
      </c>
      <c r="K571" s="360" t="s">
        <v>2226</v>
      </c>
    </row>
    <row r="572" spans="1:11" s="360" customFormat="1" ht="24.75" hidden="1" customHeight="1">
      <c r="A572" s="356" t="s">
        <v>530</v>
      </c>
      <c r="B572" s="357" t="s">
        <v>2216</v>
      </c>
      <c r="C572" s="358">
        <f>WORK!I2216</f>
        <v>0</v>
      </c>
      <c r="D572" s="354" t="s">
        <v>102</v>
      </c>
      <c r="E572" s="355">
        <f>WORK!K2216</f>
        <v>6038</v>
      </c>
      <c r="F572" s="353">
        <f>ROUND(C572*E572,0)</f>
        <v>0</v>
      </c>
      <c r="G572" s="368"/>
      <c r="H572" s="368"/>
      <c r="I572" s="368">
        <f>C572-G572</f>
        <v>0</v>
      </c>
      <c r="J572" s="368">
        <f>F572-H572</f>
        <v>0</v>
      </c>
      <c r="K572" s="360" t="s">
        <v>2308</v>
      </c>
    </row>
    <row r="573" spans="1:11" s="360" customFormat="1" ht="24.75" hidden="1" customHeight="1">
      <c r="A573" s="356" t="s">
        <v>530</v>
      </c>
      <c r="B573" s="357" t="s">
        <v>2216</v>
      </c>
      <c r="C573" s="358">
        <f>WORK!I2353</f>
        <v>0</v>
      </c>
      <c r="D573" s="354" t="s">
        <v>102</v>
      </c>
      <c r="E573" s="355">
        <f>WORK!K2353</f>
        <v>6038</v>
      </c>
      <c r="F573" s="353">
        <f>ROUND(C573*E573,0)</f>
        <v>0</v>
      </c>
      <c r="G573" s="368"/>
      <c r="H573" s="368"/>
      <c r="I573" s="368">
        <f>C573-G573</f>
        <v>0</v>
      </c>
      <c r="J573" s="368">
        <f>F573-H573</f>
        <v>0</v>
      </c>
      <c r="K573" s="360" t="s">
        <v>2321</v>
      </c>
    </row>
    <row r="574" spans="1:11" s="360" customFormat="1" ht="24.75" hidden="1" customHeight="1">
      <c r="A574" s="356" t="s">
        <v>499</v>
      </c>
      <c r="B574" s="357" t="s">
        <v>2216</v>
      </c>
      <c r="C574" s="358">
        <f>WORK!I2487</f>
        <v>0</v>
      </c>
      <c r="D574" s="354" t="s">
        <v>102</v>
      </c>
      <c r="E574" s="355">
        <f>WORK!K2487</f>
        <v>6460</v>
      </c>
      <c r="F574" s="353">
        <f>ROUND(C574*E574,0)</f>
        <v>0</v>
      </c>
      <c r="G574" s="368"/>
      <c r="H574" s="368"/>
      <c r="I574" s="368">
        <f>C574-G574</f>
        <v>0</v>
      </c>
      <c r="J574" s="368">
        <f>F574-H574</f>
        <v>0</v>
      </c>
      <c r="K574" s="360" t="s">
        <v>2322</v>
      </c>
    </row>
    <row r="575" spans="1:11" s="360" customFormat="1" ht="24.75" hidden="1" customHeight="1">
      <c r="A575" s="356" t="s">
        <v>642</v>
      </c>
      <c r="B575" s="357" t="s">
        <v>2178</v>
      </c>
      <c r="C575" s="358">
        <f>WORK!I2081</f>
        <v>0</v>
      </c>
      <c r="D575" s="354" t="s">
        <v>102</v>
      </c>
      <c r="E575" s="355">
        <f>WORK!K2081</f>
        <v>5830</v>
      </c>
      <c r="F575" s="353">
        <f t="shared" si="22"/>
        <v>0</v>
      </c>
      <c r="G575" s="368"/>
      <c r="H575" s="368"/>
      <c r="I575" s="368">
        <f t="shared" si="17"/>
        <v>0</v>
      </c>
      <c r="J575" s="368">
        <f t="shared" si="18"/>
        <v>0</v>
      </c>
      <c r="K575" s="360" t="s">
        <v>2226</v>
      </c>
    </row>
    <row r="576" spans="1:11" s="360" customFormat="1" ht="24.75" hidden="1" customHeight="1">
      <c r="A576" s="356" t="s">
        <v>642</v>
      </c>
      <c r="B576" s="357" t="s">
        <v>2178</v>
      </c>
      <c r="C576" s="358">
        <f>WORK!I2222</f>
        <v>0</v>
      </c>
      <c r="D576" s="354" t="s">
        <v>102</v>
      </c>
      <c r="E576" s="355">
        <f>WORK!K2222</f>
        <v>5830</v>
      </c>
      <c r="F576" s="353">
        <f>ROUND(C576*E576,0)</f>
        <v>0</v>
      </c>
      <c r="G576" s="368"/>
      <c r="H576" s="368"/>
      <c r="I576" s="368">
        <f>C576-G576</f>
        <v>0</v>
      </c>
      <c r="J576" s="368">
        <f>F576-H576</f>
        <v>0</v>
      </c>
      <c r="K576" s="360" t="s">
        <v>2308</v>
      </c>
    </row>
    <row r="577" spans="1:11" s="360" customFormat="1" ht="24.75" hidden="1" customHeight="1">
      <c r="A577" s="356" t="s">
        <v>642</v>
      </c>
      <c r="B577" s="357" t="s">
        <v>2178</v>
      </c>
      <c r="C577" s="358">
        <f>WORK!I2357</f>
        <v>0</v>
      </c>
      <c r="D577" s="354" t="s">
        <v>102</v>
      </c>
      <c r="E577" s="355">
        <f>WORK!K2357</f>
        <v>5830</v>
      </c>
      <c r="F577" s="353">
        <f>ROUND(C577*E577,0)</f>
        <v>0</v>
      </c>
      <c r="G577" s="368"/>
      <c r="H577" s="368"/>
      <c r="I577" s="368">
        <f>C577-G577</f>
        <v>0</v>
      </c>
      <c r="J577" s="368">
        <f>F577-H577</f>
        <v>0</v>
      </c>
      <c r="K577" s="360" t="s">
        <v>2321</v>
      </c>
    </row>
    <row r="578" spans="1:11" s="360" customFormat="1" ht="24.75" hidden="1" customHeight="1">
      <c r="A578" s="356" t="s">
        <v>642</v>
      </c>
      <c r="B578" s="357" t="s">
        <v>2178</v>
      </c>
      <c r="C578" s="358">
        <f>WORK!I2491</f>
        <v>0</v>
      </c>
      <c r="D578" s="354" t="s">
        <v>102</v>
      </c>
      <c r="E578" s="355">
        <f>WORK!K2491</f>
        <v>6238</v>
      </c>
      <c r="F578" s="353">
        <f>ROUND(C578*E578,0)</f>
        <v>0</v>
      </c>
      <c r="G578" s="368"/>
      <c r="H578" s="368"/>
      <c r="I578" s="368">
        <f>C578-G578</f>
        <v>0</v>
      </c>
      <c r="J578" s="368">
        <f>F578-H578</f>
        <v>0</v>
      </c>
      <c r="K578" s="360" t="s">
        <v>2322</v>
      </c>
    </row>
    <row r="579" spans="1:11" s="360" customFormat="1" ht="24.75" hidden="1" customHeight="1">
      <c r="A579" s="356"/>
      <c r="B579" s="357" t="s">
        <v>2294</v>
      </c>
      <c r="C579" s="358">
        <f>WORK!I2086</f>
        <v>0</v>
      </c>
      <c r="D579" s="354" t="s">
        <v>102</v>
      </c>
      <c r="E579" s="355">
        <f>WORK!K2086</f>
        <v>3797</v>
      </c>
      <c r="F579" s="353">
        <f t="shared" si="22"/>
        <v>0</v>
      </c>
      <c r="G579" s="368"/>
      <c r="H579" s="368"/>
      <c r="I579" s="368">
        <f t="shared" ref="I579" si="26">C579-G579</f>
        <v>0</v>
      </c>
      <c r="J579" s="368">
        <f t="shared" ref="J579" si="27">F579-H579</f>
        <v>0</v>
      </c>
      <c r="K579" s="360" t="s">
        <v>2226</v>
      </c>
    </row>
    <row r="580" spans="1:11" s="360" customFormat="1" ht="24.75" hidden="1" customHeight="1">
      <c r="A580" s="356"/>
      <c r="B580" s="357" t="s">
        <v>2294</v>
      </c>
      <c r="C580" s="358">
        <f>WORK!I2227</f>
        <v>0</v>
      </c>
      <c r="D580" s="354" t="s">
        <v>102</v>
      </c>
      <c r="E580" s="355">
        <f>WORK!K2227</f>
        <v>3797</v>
      </c>
      <c r="F580" s="353">
        <f>ROUND(C580*E580,0)</f>
        <v>0</v>
      </c>
      <c r="G580" s="368"/>
      <c r="H580" s="368"/>
      <c r="I580" s="368">
        <f>C580-G580</f>
        <v>0</v>
      </c>
      <c r="J580" s="368">
        <f>F580-H580</f>
        <v>0</v>
      </c>
      <c r="K580" s="360" t="s">
        <v>2308</v>
      </c>
    </row>
    <row r="581" spans="1:11" s="360" customFormat="1" ht="24.75" hidden="1" customHeight="1">
      <c r="A581" s="356"/>
      <c r="B581" s="357" t="s">
        <v>2294</v>
      </c>
      <c r="C581" s="358">
        <f>WORK!I2362</f>
        <v>0</v>
      </c>
      <c r="D581" s="354" t="s">
        <v>102</v>
      </c>
      <c r="E581" s="355">
        <f>WORK!K2362</f>
        <v>3797</v>
      </c>
      <c r="F581" s="353">
        <f>ROUND(C581*E581,0)</f>
        <v>0</v>
      </c>
      <c r="G581" s="368"/>
      <c r="H581" s="368"/>
      <c r="I581" s="368">
        <f>C581-G581</f>
        <v>0</v>
      </c>
      <c r="J581" s="368">
        <f>F581-H581</f>
        <v>0</v>
      </c>
      <c r="K581" s="360" t="s">
        <v>2321</v>
      </c>
    </row>
    <row r="582" spans="1:11" s="360" customFormat="1" ht="24.75" hidden="1" customHeight="1">
      <c r="A582" s="356"/>
      <c r="B582" s="357" t="s">
        <v>2294</v>
      </c>
      <c r="C582" s="358">
        <f>WORK!I2496</f>
        <v>0</v>
      </c>
      <c r="D582" s="354" t="s">
        <v>102</v>
      </c>
      <c r="E582" s="355">
        <f>WORK!K2496</f>
        <v>4062</v>
      </c>
      <c r="F582" s="353">
        <f>ROUND(C582*E582,0)</f>
        <v>0</v>
      </c>
      <c r="G582" s="368"/>
      <c r="H582" s="368"/>
      <c r="I582" s="368">
        <f>C582-G582</f>
        <v>0</v>
      </c>
      <c r="J582" s="368">
        <f>F582-H582</f>
        <v>0</v>
      </c>
      <c r="K582" s="360" t="s">
        <v>2322</v>
      </c>
    </row>
    <row r="583" spans="1:11" s="360" customFormat="1" ht="20.25" hidden="1" customHeight="1">
      <c r="A583" s="356" t="s">
        <v>1147</v>
      </c>
      <c r="B583" s="357" t="s">
        <v>2249</v>
      </c>
      <c r="C583" s="358">
        <f>WORK!I2091</f>
        <v>0</v>
      </c>
      <c r="D583" s="354" t="s">
        <v>115</v>
      </c>
      <c r="E583" s="355">
        <f>WORK!K2091</f>
        <v>494.94</v>
      </c>
      <c r="F583" s="353">
        <f t="shared" si="22"/>
        <v>0</v>
      </c>
      <c r="G583" s="368"/>
      <c r="H583" s="368"/>
      <c r="I583" s="368">
        <f t="shared" ref="I583:I837" si="28">C583-G583</f>
        <v>0</v>
      </c>
      <c r="J583" s="368">
        <f t="shared" ref="J583:J837" si="29">F583-H583</f>
        <v>0</v>
      </c>
      <c r="K583" s="360" t="s">
        <v>2226</v>
      </c>
    </row>
    <row r="584" spans="1:11" s="360" customFormat="1" ht="20.25" hidden="1" customHeight="1">
      <c r="A584" s="356" t="s">
        <v>1147</v>
      </c>
      <c r="B584" s="357" t="s">
        <v>2249</v>
      </c>
      <c r="C584" s="358">
        <f>WORK!I2232</f>
        <v>0</v>
      </c>
      <c r="D584" s="354" t="s">
        <v>115</v>
      </c>
      <c r="E584" s="355">
        <f>WORK!K2232</f>
        <v>494.64</v>
      </c>
      <c r="F584" s="353">
        <f>ROUND(C584*E584,0)</f>
        <v>0</v>
      </c>
      <c r="G584" s="368"/>
      <c r="H584" s="368"/>
      <c r="I584" s="368">
        <f>C584-G584</f>
        <v>0</v>
      </c>
      <c r="J584" s="368">
        <f>F584-H584</f>
        <v>0</v>
      </c>
      <c r="K584" s="360" t="s">
        <v>2308</v>
      </c>
    </row>
    <row r="585" spans="1:11" s="360" customFormat="1" ht="20.25" hidden="1" customHeight="1">
      <c r="A585" s="356" t="s">
        <v>1147</v>
      </c>
      <c r="B585" s="357" t="s">
        <v>2249</v>
      </c>
      <c r="C585" s="358">
        <f>WORK!I2367</f>
        <v>0</v>
      </c>
      <c r="D585" s="354" t="s">
        <v>115</v>
      </c>
      <c r="E585" s="355">
        <f>WORK!K2367</f>
        <v>520.87</v>
      </c>
      <c r="F585" s="353">
        <f>ROUND(C585*E585,0)</f>
        <v>0</v>
      </c>
      <c r="G585" s="368"/>
      <c r="H585" s="368"/>
      <c r="I585" s="368">
        <f>C585-G585</f>
        <v>0</v>
      </c>
      <c r="J585" s="368">
        <f>F585-H585</f>
        <v>0</v>
      </c>
      <c r="K585" s="360" t="s">
        <v>2321</v>
      </c>
    </row>
    <row r="586" spans="1:11" s="360" customFormat="1" ht="20.25" hidden="1" customHeight="1">
      <c r="A586" s="356" t="s">
        <v>1147</v>
      </c>
      <c r="B586" s="357" t="s">
        <v>2249</v>
      </c>
      <c r="C586" s="358">
        <f>WORK!I2501</f>
        <v>0</v>
      </c>
      <c r="D586" s="354" t="s">
        <v>115</v>
      </c>
      <c r="E586" s="355">
        <f>WORK!K2501</f>
        <v>576.98</v>
      </c>
      <c r="F586" s="353">
        <f>ROUND(C586*E586,0)</f>
        <v>0</v>
      </c>
      <c r="G586" s="368"/>
      <c r="H586" s="368"/>
      <c r="I586" s="368">
        <f>C586-G586</f>
        <v>0</v>
      </c>
      <c r="J586" s="368">
        <f>F586-H586</f>
        <v>0</v>
      </c>
      <c r="K586" s="360" t="s">
        <v>2322</v>
      </c>
    </row>
    <row r="587" spans="1:11" s="360" customFormat="1" ht="20.25" customHeight="1">
      <c r="A587" s="356" t="s">
        <v>1516</v>
      </c>
      <c r="B587" s="357" t="s">
        <v>2179</v>
      </c>
      <c r="C587" s="358">
        <f>WORK!I2096</f>
        <v>2.16</v>
      </c>
      <c r="D587" s="354" t="s">
        <v>102</v>
      </c>
      <c r="E587" s="355">
        <f>WORK!K2096</f>
        <v>513.1</v>
      </c>
      <c r="F587" s="353">
        <f t="shared" si="22"/>
        <v>1108</v>
      </c>
      <c r="G587" s="368"/>
      <c r="H587" s="368"/>
      <c r="I587" s="368">
        <f t="shared" si="28"/>
        <v>2.16</v>
      </c>
      <c r="J587" s="368">
        <f t="shared" si="29"/>
        <v>1108</v>
      </c>
      <c r="K587" s="360" t="s">
        <v>2226</v>
      </c>
    </row>
    <row r="588" spans="1:11" s="360" customFormat="1" ht="20.25" hidden="1" customHeight="1">
      <c r="A588" s="356" t="s">
        <v>1519</v>
      </c>
      <c r="B588" s="357" t="s">
        <v>2179</v>
      </c>
      <c r="C588" s="358">
        <f>WORK!I2237</f>
        <v>0</v>
      </c>
      <c r="D588" s="354" t="s">
        <v>102</v>
      </c>
      <c r="E588" s="355">
        <f>WORK!K2237</f>
        <v>529.5</v>
      </c>
      <c r="F588" s="353">
        <f>ROUND(C588*E588,0)</f>
        <v>0</v>
      </c>
      <c r="G588" s="368"/>
      <c r="H588" s="368"/>
      <c r="I588" s="368">
        <f>C588-G588</f>
        <v>0</v>
      </c>
      <c r="J588" s="368">
        <f>F588-H588</f>
        <v>0</v>
      </c>
      <c r="K588" s="360" t="s">
        <v>2308</v>
      </c>
    </row>
    <row r="589" spans="1:11" s="360" customFormat="1" ht="20.25" hidden="1" customHeight="1">
      <c r="A589" s="356" t="s">
        <v>501</v>
      </c>
      <c r="B589" s="357" t="s">
        <v>2179</v>
      </c>
      <c r="C589" s="358">
        <f>WORK!I2372</f>
        <v>0</v>
      </c>
      <c r="D589" s="354" t="s">
        <v>102</v>
      </c>
      <c r="E589" s="355">
        <f>WORK!K2372</f>
        <v>554.35</v>
      </c>
      <c r="F589" s="353">
        <f>ROUND(C589*E589,0)</f>
        <v>0</v>
      </c>
      <c r="G589" s="368"/>
      <c r="H589" s="368"/>
      <c r="I589" s="368">
        <f>C589-G589</f>
        <v>0</v>
      </c>
      <c r="J589" s="368">
        <f>F589-H589</f>
        <v>0</v>
      </c>
      <c r="K589" s="360" t="s">
        <v>2321</v>
      </c>
    </row>
    <row r="590" spans="1:11" s="360" customFormat="1" ht="20.25" hidden="1" customHeight="1">
      <c r="A590" s="356" t="s">
        <v>491</v>
      </c>
      <c r="B590" s="357" t="s">
        <v>2179</v>
      </c>
      <c r="C590" s="358">
        <f>WORK!I2506</f>
        <v>0</v>
      </c>
      <c r="D590" s="354" t="s">
        <v>102</v>
      </c>
      <c r="E590" s="355">
        <f>WORK!K2506</f>
        <v>604.07999999999993</v>
      </c>
      <c r="F590" s="353">
        <f>ROUND(C590*E590,0)</f>
        <v>0</v>
      </c>
      <c r="G590" s="368"/>
      <c r="H590" s="368"/>
      <c r="I590" s="368">
        <f>C590-G590</f>
        <v>0</v>
      </c>
      <c r="J590" s="368">
        <f>F590-H590</f>
        <v>0</v>
      </c>
      <c r="K590" s="360" t="s">
        <v>2322</v>
      </c>
    </row>
    <row r="591" spans="1:11" s="360" customFormat="1" ht="20.25" customHeight="1">
      <c r="A591" s="356" t="s">
        <v>492</v>
      </c>
      <c r="B591" s="357" t="s">
        <v>2120</v>
      </c>
      <c r="C591" s="358">
        <f>WORK!I2101</f>
        <v>385</v>
      </c>
      <c r="D591" s="354" t="s">
        <v>872</v>
      </c>
      <c r="E591" s="355">
        <f>WORK!K2101</f>
        <v>84.009999999999991</v>
      </c>
      <c r="F591" s="353">
        <f t="shared" si="22"/>
        <v>32344</v>
      </c>
      <c r="G591" s="353"/>
      <c r="H591" s="353"/>
      <c r="I591" s="368">
        <f t="shared" si="28"/>
        <v>385</v>
      </c>
      <c r="J591" s="368">
        <f t="shared" si="29"/>
        <v>32344</v>
      </c>
      <c r="K591" s="360" t="s">
        <v>2226</v>
      </c>
    </row>
    <row r="592" spans="1:11" s="360" customFormat="1" ht="20.25" hidden="1" customHeight="1">
      <c r="A592" s="356" t="s">
        <v>502</v>
      </c>
      <c r="B592" s="357" t="s">
        <v>2120</v>
      </c>
      <c r="C592" s="358">
        <f>WORK!I2242</f>
        <v>0</v>
      </c>
      <c r="D592" s="354" t="s">
        <v>872</v>
      </c>
      <c r="E592" s="355">
        <f>WORK!K2242</f>
        <v>82.8</v>
      </c>
      <c r="F592" s="353">
        <f>ROUND(C592*E592,0)</f>
        <v>0</v>
      </c>
      <c r="G592" s="353"/>
      <c r="H592" s="353"/>
      <c r="I592" s="368">
        <f>C592-G592</f>
        <v>0</v>
      </c>
      <c r="J592" s="368">
        <f>F592-H592</f>
        <v>0</v>
      </c>
      <c r="K592" s="360" t="s">
        <v>2308</v>
      </c>
    </row>
    <row r="593" spans="1:11" s="360" customFormat="1" ht="20.25" hidden="1" customHeight="1">
      <c r="A593" s="356" t="s">
        <v>500</v>
      </c>
      <c r="B593" s="357" t="s">
        <v>2120</v>
      </c>
      <c r="C593" s="358">
        <f>WORK!I2377</f>
        <v>0</v>
      </c>
      <c r="D593" s="354" t="s">
        <v>872</v>
      </c>
      <c r="E593" s="355">
        <f>WORK!K2377</f>
        <v>95.89</v>
      </c>
      <c r="F593" s="353">
        <f>ROUND(C593*E593,0)</f>
        <v>0</v>
      </c>
      <c r="G593" s="353"/>
      <c r="H593" s="353"/>
      <c r="I593" s="368">
        <f>C593-G593</f>
        <v>0</v>
      </c>
      <c r="J593" s="368">
        <f>F593-H593</f>
        <v>0</v>
      </c>
      <c r="K593" s="360" t="s">
        <v>2321</v>
      </c>
    </row>
    <row r="594" spans="1:11" s="360" customFormat="1" ht="20.25" hidden="1" customHeight="1">
      <c r="A594" s="356" t="s">
        <v>1516</v>
      </c>
      <c r="B594" s="357" t="s">
        <v>2120</v>
      </c>
      <c r="C594" s="358">
        <f>WORK!I2511</f>
        <v>0</v>
      </c>
      <c r="D594" s="354" t="s">
        <v>872</v>
      </c>
      <c r="E594" s="355">
        <f>WORK!K2511</f>
        <v>110.99</v>
      </c>
      <c r="F594" s="353">
        <f>ROUND(C594*E594,0)</f>
        <v>0</v>
      </c>
      <c r="G594" s="353"/>
      <c r="H594" s="353"/>
      <c r="I594" s="368">
        <f>C594-G594</f>
        <v>0</v>
      </c>
      <c r="J594" s="368">
        <f>F594-H594</f>
        <v>0</v>
      </c>
      <c r="K594" s="360" t="s">
        <v>2322</v>
      </c>
    </row>
    <row r="595" spans="1:11" s="360" customFormat="1" ht="20.25" hidden="1" customHeight="1">
      <c r="A595" s="356" t="s">
        <v>531</v>
      </c>
      <c r="B595" s="357" t="s">
        <v>2120</v>
      </c>
      <c r="C595" s="358">
        <f>WORK!I2108</f>
        <v>0</v>
      </c>
      <c r="D595" s="354" t="s">
        <v>102</v>
      </c>
      <c r="E595" s="355">
        <f>WORK!K2108</f>
        <v>2353.58</v>
      </c>
      <c r="F595" s="353">
        <f t="shared" si="22"/>
        <v>0</v>
      </c>
      <c r="G595" s="368"/>
      <c r="H595" s="368"/>
      <c r="I595" s="368">
        <f t="shared" si="28"/>
        <v>0</v>
      </c>
      <c r="J595" s="368">
        <f t="shared" si="29"/>
        <v>0</v>
      </c>
      <c r="K595" s="360" t="s">
        <v>2226</v>
      </c>
    </row>
    <row r="596" spans="1:11" s="360" customFormat="1" ht="20.25" hidden="1" customHeight="1">
      <c r="A596" s="356" t="s">
        <v>1518</v>
      </c>
      <c r="B596" s="357" t="s">
        <v>2120</v>
      </c>
      <c r="C596" s="358">
        <f>WORK!I2247</f>
        <v>0</v>
      </c>
      <c r="D596" s="354" t="s">
        <v>102</v>
      </c>
      <c r="E596" s="355">
        <f>WORK!K2247</f>
        <v>2324.02</v>
      </c>
      <c r="F596" s="353">
        <f>ROUND(C596*E596,0)</f>
        <v>0</v>
      </c>
      <c r="G596" s="368"/>
      <c r="H596" s="368"/>
      <c r="I596" s="368">
        <f>C596-G596</f>
        <v>0</v>
      </c>
      <c r="J596" s="368">
        <f>F596-H596</f>
        <v>0</v>
      </c>
      <c r="K596" s="360" t="s">
        <v>2308</v>
      </c>
    </row>
    <row r="597" spans="1:11" s="360" customFormat="1" ht="20.25" hidden="1" customHeight="1">
      <c r="A597" s="356" t="s">
        <v>493</v>
      </c>
      <c r="B597" s="357" t="s">
        <v>2120</v>
      </c>
      <c r="C597" s="358">
        <f>WORK!I2382</f>
        <v>0</v>
      </c>
      <c r="D597" s="354" t="s">
        <v>102</v>
      </c>
      <c r="E597" s="355">
        <f>WORK!K2382</f>
        <v>2719.44</v>
      </c>
      <c r="F597" s="353">
        <f>ROUND(C597*E597,0)</f>
        <v>0</v>
      </c>
      <c r="G597" s="368"/>
      <c r="H597" s="368"/>
      <c r="I597" s="368">
        <f>C597-G597</f>
        <v>0</v>
      </c>
      <c r="J597" s="368">
        <f>F597-H597</f>
        <v>0</v>
      </c>
      <c r="K597" s="360" t="s">
        <v>2321</v>
      </c>
    </row>
    <row r="598" spans="1:11" s="360" customFormat="1" ht="20.25" hidden="1" customHeight="1">
      <c r="A598" s="356" t="s">
        <v>531</v>
      </c>
      <c r="B598" s="357" t="s">
        <v>2120</v>
      </c>
      <c r="C598" s="358">
        <f>WORK!I2518</f>
        <v>0</v>
      </c>
      <c r="D598" s="354" t="s">
        <v>102</v>
      </c>
      <c r="E598" s="355">
        <f>WORK!K2518</f>
        <v>3138.49</v>
      </c>
      <c r="F598" s="353">
        <f>ROUND(C598*E598,0)</f>
        <v>0</v>
      </c>
      <c r="G598" s="368"/>
      <c r="H598" s="368"/>
      <c r="I598" s="368">
        <f>C598-G598</f>
        <v>0</v>
      </c>
      <c r="J598" s="368">
        <f>F598-H598</f>
        <v>0</v>
      </c>
      <c r="K598" s="360" t="s">
        <v>2322</v>
      </c>
    </row>
    <row r="599" spans="1:11" s="360" customFormat="1" ht="20.25" hidden="1" customHeight="1">
      <c r="A599" s="356" t="s">
        <v>518</v>
      </c>
      <c r="B599" s="357" t="s">
        <v>2248</v>
      </c>
      <c r="C599" s="358">
        <f>WORK!I2113</f>
        <v>0</v>
      </c>
      <c r="D599" s="354"/>
      <c r="E599" s="355">
        <f>WORK!K2113</f>
        <v>106.5</v>
      </c>
      <c r="F599" s="353">
        <f t="shared" si="22"/>
        <v>0</v>
      </c>
      <c r="G599" s="368"/>
      <c r="H599" s="368"/>
      <c r="I599" s="368">
        <f t="shared" si="28"/>
        <v>0</v>
      </c>
      <c r="J599" s="368">
        <f t="shared" si="29"/>
        <v>0</v>
      </c>
      <c r="K599" s="360" t="s">
        <v>2226</v>
      </c>
    </row>
    <row r="600" spans="1:11" s="360" customFormat="1" ht="20.25" hidden="1" customHeight="1">
      <c r="A600" s="356" t="s">
        <v>518</v>
      </c>
      <c r="B600" s="357" t="s">
        <v>2248</v>
      </c>
      <c r="C600" s="358">
        <f>WORK!I2252</f>
        <v>0</v>
      </c>
      <c r="D600" s="354"/>
      <c r="E600" s="355">
        <f>WORK!K2252</f>
        <v>106.5</v>
      </c>
      <c r="F600" s="353">
        <f>ROUND(C600*E600,0)</f>
        <v>0</v>
      </c>
      <c r="G600" s="368"/>
      <c r="H600" s="368"/>
      <c r="I600" s="368">
        <f>C600-G600</f>
        <v>0</v>
      </c>
      <c r="J600" s="368">
        <f>F600-H600</f>
        <v>0</v>
      </c>
      <c r="K600" s="360" t="s">
        <v>2308</v>
      </c>
    </row>
    <row r="601" spans="1:11" s="360" customFormat="1" ht="20.25" hidden="1" customHeight="1">
      <c r="A601" s="356" t="s">
        <v>518</v>
      </c>
      <c r="B601" s="357" t="s">
        <v>2248</v>
      </c>
      <c r="C601" s="358">
        <f>WORK!I2387</f>
        <v>0</v>
      </c>
      <c r="D601" s="354"/>
      <c r="E601" s="355">
        <f>WORK!K2387</f>
        <v>114.65</v>
      </c>
      <c r="F601" s="353">
        <f>ROUND(C601*E601,0)</f>
        <v>0</v>
      </c>
      <c r="G601" s="368"/>
      <c r="H601" s="368"/>
      <c r="I601" s="368">
        <f>C601-G601</f>
        <v>0</v>
      </c>
      <c r="J601" s="368">
        <f>F601-H601</f>
        <v>0</v>
      </c>
      <c r="K601" s="360" t="s">
        <v>2321</v>
      </c>
    </row>
    <row r="602" spans="1:11" s="360" customFormat="1" ht="20.25" hidden="1" customHeight="1">
      <c r="A602" s="356" t="s">
        <v>518</v>
      </c>
      <c r="B602" s="357" t="s">
        <v>2248</v>
      </c>
      <c r="C602" s="358">
        <f>WORK!I2523</f>
        <v>0</v>
      </c>
      <c r="D602" s="354"/>
      <c r="E602" s="355">
        <f>WORK!K2523</f>
        <v>126.9</v>
      </c>
      <c r="F602" s="353">
        <f>ROUND(C602*E602,0)</f>
        <v>0</v>
      </c>
      <c r="G602" s="368"/>
      <c r="H602" s="368"/>
      <c r="I602" s="368">
        <f>C602-G602</f>
        <v>0</v>
      </c>
      <c r="J602" s="368">
        <f>F602-H602</f>
        <v>0</v>
      </c>
      <c r="K602" s="360" t="s">
        <v>2322</v>
      </c>
    </row>
    <row r="603" spans="1:11" s="360" customFormat="1" ht="20.25" customHeight="1">
      <c r="A603" s="356" t="s">
        <v>493</v>
      </c>
      <c r="B603" s="357" t="s">
        <v>2198</v>
      </c>
      <c r="C603" s="358">
        <f>WORK!I2120</f>
        <v>10.98</v>
      </c>
      <c r="D603" s="354" t="s">
        <v>102</v>
      </c>
      <c r="E603" s="355">
        <f>WORK!K2120</f>
        <v>2839.34</v>
      </c>
      <c r="F603" s="353">
        <f t="shared" si="22"/>
        <v>31176</v>
      </c>
      <c r="G603" s="368"/>
      <c r="H603" s="368"/>
      <c r="I603" s="368">
        <f t="shared" si="28"/>
        <v>10.98</v>
      </c>
      <c r="J603" s="368">
        <f t="shared" si="29"/>
        <v>31176</v>
      </c>
      <c r="K603" s="360" t="s">
        <v>2226</v>
      </c>
    </row>
    <row r="604" spans="1:11" s="360" customFormat="1" ht="20.25" hidden="1" customHeight="1">
      <c r="A604" s="356" t="s">
        <v>530</v>
      </c>
      <c r="B604" s="357" t="s">
        <v>2198</v>
      </c>
      <c r="C604" s="358">
        <f>WORK!I2259</f>
        <v>0</v>
      </c>
      <c r="D604" s="354" t="s">
        <v>102</v>
      </c>
      <c r="E604" s="355">
        <f>WORK!K2259</f>
        <v>2839.34</v>
      </c>
      <c r="F604" s="353">
        <f>ROUND(C604*E604,0)</f>
        <v>0</v>
      </c>
      <c r="G604" s="368"/>
      <c r="H604" s="368"/>
      <c r="I604" s="368">
        <f>C604-G604</f>
        <v>0</v>
      </c>
      <c r="J604" s="368">
        <f>F604-H604</f>
        <v>0</v>
      </c>
      <c r="K604" s="360" t="s">
        <v>2308</v>
      </c>
    </row>
    <row r="605" spans="1:11" s="360" customFormat="1" ht="20.25" hidden="1" customHeight="1">
      <c r="A605" s="356" t="s">
        <v>501</v>
      </c>
      <c r="B605" s="357" t="s">
        <v>2198</v>
      </c>
      <c r="C605" s="358">
        <f>WORK!I2394</f>
        <v>0</v>
      </c>
      <c r="D605" s="354" t="s">
        <v>102</v>
      </c>
      <c r="E605" s="355">
        <f>WORK!K2394</f>
        <v>3034.69</v>
      </c>
      <c r="F605" s="353">
        <f>ROUND(C605*E605,0)</f>
        <v>0</v>
      </c>
      <c r="G605" s="368"/>
      <c r="H605" s="368"/>
      <c r="I605" s="368">
        <f>C605-G605</f>
        <v>0</v>
      </c>
      <c r="J605" s="368">
        <f>F605-H605</f>
        <v>0</v>
      </c>
      <c r="K605" s="360" t="s">
        <v>2321</v>
      </c>
    </row>
    <row r="606" spans="1:11" s="360" customFormat="1" ht="20.25" hidden="1" customHeight="1">
      <c r="A606" s="356" t="s">
        <v>524</v>
      </c>
      <c r="B606" s="357" t="s">
        <v>2198</v>
      </c>
      <c r="C606" s="358">
        <f>WORK!I2533</f>
        <v>0</v>
      </c>
      <c r="D606" s="354" t="s">
        <v>102</v>
      </c>
      <c r="E606" s="355">
        <f>WORK!K2533</f>
        <v>3345.94</v>
      </c>
      <c r="F606" s="353">
        <f>ROUND(C606*E606,0)</f>
        <v>0</v>
      </c>
      <c r="G606" s="368"/>
      <c r="H606" s="368"/>
      <c r="I606" s="368">
        <f>C606-G606</f>
        <v>0</v>
      </c>
      <c r="J606" s="368">
        <f>F606-H606</f>
        <v>0</v>
      </c>
      <c r="K606" s="360" t="s">
        <v>2322</v>
      </c>
    </row>
    <row r="607" spans="1:11" s="360" customFormat="1" ht="20.25" hidden="1" customHeight="1">
      <c r="A607" s="356" t="s">
        <v>527</v>
      </c>
      <c r="B607" s="357" t="s">
        <v>2298</v>
      </c>
      <c r="C607" s="358">
        <f>WORK!I2128</f>
        <v>0</v>
      </c>
      <c r="D607" s="354" t="s">
        <v>102</v>
      </c>
      <c r="E607" s="355">
        <f>WORK!K2128</f>
        <v>1258.8900000000001</v>
      </c>
      <c r="F607" s="353">
        <f t="shared" si="22"/>
        <v>0</v>
      </c>
      <c r="G607" s="368"/>
      <c r="H607" s="368"/>
      <c r="I607" s="368">
        <f t="shared" si="28"/>
        <v>0</v>
      </c>
      <c r="J607" s="368">
        <f t="shared" si="29"/>
        <v>0</v>
      </c>
      <c r="K607" s="360" t="s">
        <v>2226</v>
      </c>
    </row>
    <row r="608" spans="1:11" s="360" customFormat="1" ht="20.25" hidden="1" customHeight="1">
      <c r="A608" s="356" t="s">
        <v>527</v>
      </c>
      <c r="B608" s="357" t="s">
        <v>2298</v>
      </c>
      <c r="C608" s="358">
        <f>WORK!I2267</f>
        <v>0</v>
      </c>
      <c r="D608" s="354" t="s">
        <v>102</v>
      </c>
      <c r="E608" s="355">
        <f>WORK!K2267</f>
        <v>1258.8900000000001</v>
      </c>
      <c r="F608" s="353">
        <f>ROUND(C608*E608,0)</f>
        <v>0</v>
      </c>
      <c r="G608" s="368"/>
      <c r="H608" s="368"/>
      <c r="I608" s="368">
        <f>C608-G608</f>
        <v>0</v>
      </c>
      <c r="J608" s="368">
        <f>F608-H608</f>
        <v>0</v>
      </c>
      <c r="K608" s="360" t="s">
        <v>2308</v>
      </c>
    </row>
    <row r="609" spans="1:11" s="360" customFormat="1" ht="20.25" hidden="1" customHeight="1">
      <c r="A609" s="356" t="s">
        <v>527</v>
      </c>
      <c r="B609" s="357" t="s">
        <v>2298</v>
      </c>
      <c r="C609" s="358">
        <f>WORK!I2402</f>
        <v>0</v>
      </c>
      <c r="D609" s="354" t="s">
        <v>102</v>
      </c>
      <c r="E609" s="355">
        <f>WORK!K2402</f>
        <v>1357.37</v>
      </c>
      <c r="F609" s="353">
        <f>ROUND(C609*E609,0)</f>
        <v>0</v>
      </c>
      <c r="G609" s="368"/>
      <c r="H609" s="368"/>
      <c r="I609" s="368">
        <f>C609-G609</f>
        <v>0</v>
      </c>
      <c r="J609" s="368">
        <f>F609-H609</f>
        <v>0</v>
      </c>
      <c r="K609" s="360" t="s">
        <v>2321</v>
      </c>
    </row>
    <row r="610" spans="1:11" s="360" customFormat="1" ht="20.25" hidden="1" customHeight="1">
      <c r="A610" s="356" t="s">
        <v>527</v>
      </c>
      <c r="B610" s="357" t="s">
        <v>2298</v>
      </c>
      <c r="C610" s="358">
        <f>WORK!I2541</f>
        <v>0</v>
      </c>
      <c r="D610" s="354" t="s">
        <v>102</v>
      </c>
      <c r="E610" s="355">
        <f>WORK!K2541</f>
        <v>1514.34</v>
      </c>
      <c r="F610" s="353">
        <f>ROUND(C610*E610,0)</f>
        <v>0</v>
      </c>
      <c r="G610" s="368"/>
      <c r="H610" s="368"/>
      <c r="I610" s="368">
        <f>C610-G610</f>
        <v>0</v>
      </c>
      <c r="J610" s="368">
        <f>F610-H610</f>
        <v>0</v>
      </c>
      <c r="K610" s="360" t="s">
        <v>2322</v>
      </c>
    </row>
    <row r="611" spans="1:11" s="360" customFormat="1" ht="20.25" hidden="1" customHeight="1">
      <c r="A611" s="356" t="s">
        <v>527</v>
      </c>
      <c r="B611" s="357" t="s">
        <v>1570</v>
      </c>
      <c r="C611" s="358">
        <f>WORK!I2133</f>
        <v>0</v>
      </c>
      <c r="D611" s="354" t="s">
        <v>872</v>
      </c>
      <c r="E611" s="355">
        <f>WORK!K2133</f>
        <v>470.28</v>
      </c>
      <c r="F611" s="353">
        <f t="shared" ref="F611" si="30">ROUND(C611*E611,0)</f>
        <v>0</v>
      </c>
      <c r="G611" s="368"/>
      <c r="H611" s="368"/>
      <c r="I611" s="368">
        <f t="shared" ref="I611" si="31">C611-G611</f>
        <v>0</v>
      </c>
      <c r="J611" s="368">
        <f t="shared" ref="J611" si="32">F611-H611</f>
        <v>0</v>
      </c>
      <c r="K611" s="360" t="s">
        <v>2226</v>
      </c>
    </row>
    <row r="612" spans="1:11" s="360" customFormat="1" ht="20.25" hidden="1" customHeight="1">
      <c r="A612" s="356" t="s">
        <v>527</v>
      </c>
      <c r="B612" s="357" t="s">
        <v>1570</v>
      </c>
      <c r="C612" s="358">
        <f>WORK!I2272</f>
        <v>0</v>
      </c>
      <c r="D612" s="354" t="s">
        <v>872</v>
      </c>
      <c r="E612" s="355">
        <f>WORK!K2272</f>
        <v>470.28</v>
      </c>
      <c r="F612" s="353">
        <f>ROUND(C612*E612,0)</f>
        <v>0</v>
      </c>
      <c r="G612" s="368"/>
      <c r="H612" s="368"/>
      <c r="I612" s="368">
        <f>C612-G612</f>
        <v>0</v>
      </c>
      <c r="J612" s="368">
        <f>F612-H612</f>
        <v>0</v>
      </c>
      <c r="K612" s="360" t="s">
        <v>2308</v>
      </c>
    </row>
    <row r="613" spans="1:11" s="360" customFormat="1" ht="20.25" hidden="1" customHeight="1">
      <c r="A613" s="356" t="s">
        <v>527</v>
      </c>
      <c r="B613" s="357" t="s">
        <v>1570</v>
      </c>
      <c r="C613" s="358">
        <f>WORK!I2407</f>
        <v>0</v>
      </c>
      <c r="D613" s="354" t="s">
        <v>872</v>
      </c>
      <c r="E613" s="355">
        <f>WORK!K2407</f>
        <v>508</v>
      </c>
      <c r="F613" s="353">
        <f>ROUND(C613*E613,0)</f>
        <v>0</v>
      </c>
      <c r="G613" s="368"/>
      <c r="H613" s="368"/>
      <c r="I613" s="368">
        <f>C613-G613</f>
        <v>0</v>
      </c>
      <c r="J613" s="368">
        <f>F613-H613</f>
        <v>0</v>
      </c>
      <c r="K613" s="360" t="s">
        <v>2321</v>
      </c>
    </row>
    <row r="614" spans="1:11" s="360" customFormat="1" ht="20.25" hidden="1" customHeight="1">
      <c r="A614" s="356" t="s">
        <v>527</v>
      </c>
      <c r="B614" s="357" t="s">
        <v>1570</v>
      </c>
      <c r="C614" s="358">
        <f>WORK!I2546</f>
        <v>0</v>
      </c>
      <c r="D614" s="354" t="s">
        <v>872</v>
      </c>
      <c r="E614" s="355">
        <f>WORK!K2546</f>
        <v>568.35</v>
      </c>
      <c r="F614" s="353">
        <f>ROUND(C614*E614,0)</f>
        <v>0</v>
      </c>
      <c r="G614" s="368"/>
      <c r="H614" s="368"/>
      <c r="I614" s="368">
        <f>C614-G614</f>
        <v>0</v>
      </c>
      <c r="J614" s="368">
        <f>F614-H614</f>
        <v>0</v>
      </c>
      <c r="K614" s="360" t="s">
        <v>2322</v>
      </c>
    </row>
    <row r="615" spans="1:11" s="360" customFormat="1" ht="20.25" customHeight="1">
      <c r="A615" s="356" t="s">
        <v>494</v>
      </c>
      <c r="B615" s="357" t="s">
        <v>2121</v>
      </c>
      <c r="C615" s="429">
        <f>WORK!I2138</f>
        <v>10.5</v>
      </c>
      <c r="D615" s="221" t="s">
        <v>277</v>
      </c>
      <c r="E615" s="430">
        <f>WORK!K2138</f>
        <v>412</v>
      </c>
      <c r="F615" s="353">
        <f t="shared" si="22"/>
        <v>4326</v>
      </c>
      <c r="G615" s="368"/>
      <c r="H615" s="368"/>
      <c r="I615" s="368">
        <f t="shared" si="28"/>
        <v>10.5</v>
      </c>
      <c r="J615" s="368">
        <f t="shared" si="29"/>
        <v>4326</v>
      </c>
      <c r="K615" s="360" t="s">
        <v>2226</v>
      </c>
    </row>
    <row r="616" spans="1:11" s="360" customFormat="1" ht="20.25" hidden="1" customHeight="1">
      <c r="A616" s="356" t="s">
        <v>532</v>
      </c>
      <c r="B616" s="357" t="s">
        <v>2121</v>
      </c>
      <c r="C616" s="429">
        <f>WORK!I2280</f>
        <v>0</v>
      </c>
      <c r="D616" s="221" t="s">
        <v>277</v>
      </c>
      <c r="E616" s="430">
        <f>WORK!K2280</f>
        <v>412</v>
      </c>
      <c r="F616" s="353">
        <f>ROUND(C616*E616,0)</f>
        <v>0</v>
      </c>
      <c r="G616" s="368"/>
      <c r="H616" s="368"/>
      <c r="I616" s="368">
        <f>C616-G616</f>
        <v>0</v>
      </c>
      <c r="J616" s="368">
        <f>F616-H616</f>
        <v>0</v>
      </c>
      <c r="K616" s="360" t="s">
        <v>2308</v>
      </c>
    </row>
    <row r="617" spans="1:11" s="360" customFormat="1" ht="20.25" hidden="1" customHeight="1">
      <c r="A617" s="356" t="s">
        <v>504</v>
      </c>
      <c r="B617" s="357" t="s">
        <v>2121</v>
      </c>
      <c r="C617" s="429">
        <f>WORK!I2415</f>
        <v>0</v>
      </c>
      <c r="D617" s="221" t="s">
        <v>277</v>
      </c>
      <c r="E617" s="430">
        <f>WORK!K2415</f>
        <v>438</v>
      </c>
      <c r="F617" s="353">
        <f>ROUND(C617*E617,0)</f>
        <v>0</v>
      </c>
      <c r="G617" s="368"/>
      <c r="H617" s="368"/>
      <c r="I617" s="368">
        <f>C617-G617</f>
        <v>0</v>
      </c>
      <c r="J617" s="368">
        <f>F617-H617</f>
        <v>0</v>
      </c>
      <c r="K617" s="360" t="s">
        <v>2321</v>
      </c>
    </row>
    <row r="618" spans="1:11" s="360" customFormat="1" ht="20.25" hidden="1" customHeight="1">
      <c r="A618" s="356" t="s">
        <v>532</v>
      </c>
      <c r="B618" s="357" t="s">
        <v>2121</v>
      </c>
      <c r="C618" s="429">
        <f>WORK!I2554</f>
        <v>0</v>
      </c>
      <c r="D618" s="221" t="s">
        <v>277</v>
      </c>
      <c r="E618" s="430">
        <f>WORK!K2554</f>
        <v>453</v>
      </c>
      <c r="F618" s="353">
        <f>ROUND(C618*E618,0)</f>
        <v>0</v>
      </c>
      <c r="G618" s="368"/>
      <c r="H618" s="368"/>
      <c r="I618" s="368">
        <f>C618-G618</f>
        <v>0</v>
      </c>
      <c r="J618" s="368">
        <f>F618-H618</f>
        <v>0</v>
      </c>
      <c r="K618" s="360" t="s">
        <v>2322</v>
      </c>
    </row>
    <row r="619" spans="1:11" s="360" customFormat="1" ht="29.25" hidden="1" customHeight="1">
      <c r="A619" s="356"/>
      <c r="B619" s="431" t="s">
        <v>523</v>
      </c>
      <c r="C619" s="358"/>
      <c r="D619" s="361"/>
      <c r="E619" s="355"/>
      <c r="F619" s="353">
        <f t="shared" si="22"/>
        <v>0</v>
      </c>
      <c r="G619" s="368"/>
      <c r="H619" s="368"/>
      <c r="I619" s="368">
        <f t="shared" si="28"/>
        <v>0</v>
      </c>
      <c r="J619" s="368">
        <f t="shared" si="29"/>
        <v>0</v>
      </c>
      <c r="K619" s="360" t="s">
        <v>2226</v>
      </c>
    </row>
    <row r="620" spans="1:11" s="360" customFormat="1" ht="20.25" hidden="1" customHeight="1">
      <c r="A620" s="356" t="s">
        <v>493</v>
      </c>
      <c r="B620" s="357" t="s">
        <v>543</v>
      </c>
      <c r="C620" s="358">
        <f>WORK!I2560</f>
        <v>0</v>
      </c>
      <c r="D620" s="354" t="s">
        <v>277</v>
      </c>
      <c r="E620" s="355">
        <f>WORK!K2560</f>
        <v>193</v>
      </c>
      <c r="F620" s="353">
        <f t="shared" si="22"/>
        <v>0</v>
      </c>
      <c r="G620" s="368"/>
      <c r="H620" s="368"/>
      <c r="I620" s="368">
        <f t="shared" si="28"/>
        <v>0</v>
      </c>
      <c r="J620" s="368">
        <f t="shared" si="29"/>
        <v>0</v>
      </c>
      <c r="K620" s="360" t="s">
        <v>2226</v>
      </c>
    </row>
    <row r="621" spans="1:11" s="360" customFormat="1" ht="20.25" hidden="1" customHeight="1">
      <c r="A621" s="356" t="s">
        <v>493</v>
      </c>
      <c r="B621" s="357" t="s">
        <v>543</v>
      </c>
      <c r="C621" s="358">
        <f>WORK!I2698</f>
        <v>0</v>
      </c>
      <c r="D621" s="354" t="s">
        <v>277</v>
      </c>
      <c r="E621" s="355">
        <f>WORK!K2698</f>
        <v>193</v>
      </c>
      <c r="F621" s="353">
        <f>ROUND(C621*E621,0)</f>
        <v>0</v>
      </c>
      <c r="G621" s="368"/>
      <c r="H621" s="368"/>
      <c r="I621" s="368">
        <f>C621-G621</f>
        <v>0</v>
      </c>
      <c r="J621" s="368">
        <f>F621-H621</f>
        <v>0</v>
      </c>
      <c r="K621" s="360" t="s">
        <v>2308</v>
      </c>
    </row>
    <row r="622" spans="1:11" s="360" customFormat="1" ht="20.25" hidden="1" customHeight="1">
      <c r="A622" s="356" t="s">
        <v>493</v>
      </c>
      <c r="B622" s="357" t="s">
        <v>543</v>
      </c>
      <c r="C622" s="358">
        <f>WORK!I2836</f>
        <v>0</v>
      </c>
      <c r="D622" s="354" t="s">
        <v>277</v>
      </c>
      <c r="E622" s="355">
        <f>WORK!K2836</f>
        <v>202</v>
      </c>
      <c r="F622" s="353">
        <f>ROUND(C622*E622,0)</f>
        <v>0</v>
      </c>
      <c r="G622" s="368"/>
      <c r="H622" s="368"/>
      <c r="I622" s="368">
        <f>C622-G622</f>
        <v>0</v>
      </c>
      <c r="J622" s="368">
        <f>F622-H622</f>
        <v>0</v>
      </c>
      <c r="K622" s="360" t="s">
        <v>2321</v>
      </c>
    </row>
    <row r="623" spans="1:11" s="360" customFormat="1" ht="20.25" hidden="1" customHeight="1">
      <c r="A623" s="356" t="s">
        <v>525</v>
      </c>
      <c r="B623" s="357" t="s">
        <v>543</v>
      </c>
      <c r="C623" s="358">
        <f>WORK!I2978</f>
        <v>0</v>
      </c>
      <c r="D623" s="354" t="s">
        <v>277</v>
      </c>
      <c r="E623" s="355">
        <f>WORK!K2978</f>
        <v>214</v>
      </c>
      <c r="F623" s="353">
        <f>ROUND(C623*E623,0)</f>
        <v>0</v>
      </c>
      <c r="G623" s="368"/>
      <c r="H623" s="368"/>
      <c r="I623" s="368">
        <f>C623-G623</f>
        <v>0</v>
      </c>
      <c r="J623" s="368">
        <f>F623-H623</f>
        <v>0</v>
      </c>
      <c r="K623" s="360" t="s">
        <v>2322</v>
      </c>
    </row>
    <row r="624" spans="1:11" s="360" customFormat="1" ht="20.25" hidden="1" customHeight="1">
      <c r="A624" s="356" t="s">
        <v>1583</v>
      </c>
      <c r="B624" s="357" t="s">
        <v>2180</v>
      </c>
      <c r="C624" s="358">
        <f>WORK!I2565</f>
        <v>0</v>
      </c>
      <c r="D624" s="354" t="s">
        <v>277</v>
      </c>
      <c r="E624" s="355">
        <f>WORK!K2565</f>
        <v>123</v>
      </c>
      <c r="F624" s="353">
        <f t="shared" si="22"/>
        <v>0</v>
      </c>
      <c r="G624" s="368"/>
      <c r="H624" s="368"/>
      <c r="I624" s="368">
        <f t="shared" si="28"/>
        <v>0</v>
      </c>
      <c r="J624" s="368">
        <f t="shared" si="29"/>
        <v>0</v>
      </c>
      <c r="K624" s="360" t="s">
        <v>2226</v>
      </c>
    </row>
    <row r="625" spans="1:11" s="360" customFormat="1" ht="20.25" hidden="1" customHeight="1">
      <c r="A625" s="356" t="s">
        <v>1583</v>
      </c>
      <c r="B625" s="357" t="s">
        <v>2180</v>
      </c>
      <c r="C625" s="358">
        <f>WORK!I2703</f>
        <v>0</v>
      </c>
      <c r="D625" s="354" t="s">
        <v>277</v>
      </c>
      <c r="E625" s="355">
        <f>WORK!K2703</f>
        <v>123</v>
      </c>
      <c r="F625" s="353">
        <f>ROUND(C625*E625,0)</f>
        <v>0</v>
      </c>
      <c r="G625" s="368"/>
      <c r="H625" s="368"/>
      <c r="I625" s="368">
        <f>C625-G625</f>
        <v>0</v>
      </c>
      <c r="J625" s="368">
        <f>F625-H625</f>
        <v>0</v>
      </c>
      <c r="K625" s="360" t="s">
        <v>2308</v>
      </c>
    </row>
    <row r="626" spans="1:11" s="360" customFormat="1" ht="20.25" hidden="1" customHeight="1">
      <c r="A626" s="356" t="s">
        <v>1583</v>
      </c>
      <c r="B626" s="357" t="s">
        <v>2180</v>
      </c>
      <c r="C626" s="358">
        <f>WORK!I2841</f>
        <v>0</v>
      </c>
      <c r="D626" s="354" t="s">
        <v>277</v>
      </c>
      <c r="E626" s="355">
        <f>WORK!K2841</f>
        <v>129</v>
      </c>
      <c r="F626" s="353">
        <f>ROUND(C626*E626,0)</f>
        <v>0</v>
      </c>
      <c r="G626" s="368"/>
      <c r="H626" s="368"/>
      <c r="I626" s="368">
        <f>C626-G626</f>
        <v>0</v>
      </c>
      <c r="J626" s="368">
        <f>F626-H626</f>
        <v>0</v>
      </c>
      <c r="K626" s="360" t="s">
        <v>2321</v>
      </c>
    </row>
    <row r="627" spans="1:11" s="360" customFormat="1" ht="20.25" hidden="1" customHeight="1">
      <c r="A627" s="356" t="s">
        <v>526</v>
      </c>
      <c r="B627" s="357" t="s">
        <v>2180</v>
      </c>
      <c r="C627" s="358">
        <f>WORK!I2983</f>
        <v>0</v>
      </c>
      <c r="D627" s="354" t="s">
        <v>277</v>
      </c>
      <c r="E627" s="355">
        <f>WORK!K2983</f>
        <v>136</v>
      </c>
      <c r="F627" s="353">
        <f>ROUND(C627*E627,0)</f>
        <v>0</v>
      </c>
      <c r="G627" s="368"/>
      <c r="H627" s="368"/>
      <c r="I627" s="368">
        <f>C627-G627</f>
        <v>0</v>
      </c>
      <c r="J627" s="368">
        <f>F627-H627</f>
        <v>0</v>
      </c>
      <c r="K627" s="360" t="s">
        <v>2322</v>
      </c>
    </row>
    <row r="628" spans="1:11" s="360" customFormat="1" ht="20.25" hidden="1" customHeight="1">
      <c r="A628" s="356" t="s">
        <v>1584</v>
      </c>
      <c r="B628" s="357" t="s">
        <v>2181</v>
      </c>
      <c r="C628" s="358">
        <f>WORK!I2570</f>
        <v>0</v>
      </c>
      <c r="D628" s="354" t="s">
        <v>277</v>
      </c>
      <c r="E628" s="355">
        <f>WORK!K2570</f>
        <v>85</v>
      </c>
      <c r="F628" s="353">
        <f t="shared" si="22"/>
        <v>0</v>
      </c>
      <c r="G628" s="368"/>
      <c r="H628" s="368"/>
      <c r="I628" s="368">
        <f t="shared" si="28"/>
        <v>0</v>
      </c>
      <c r="J628" s="368">
        <f t="shared" si="29"/>
        <v>0</v>
      </c>
      <c r="K628" s="360" t="s">
        <v>2226</v>
      </c>
    </row>
    <row r="629" spans="1:11" s="360" customFormat="1" ht="20.25" hidden="1" customHeight="1">
      <c r="A629" s="356" t="s">
        <v>531</v>
      </c>
      <c r="B629" s="357" t="s">
        <v>2181</v>
      </c>
      <c r="C629" s="358">
        <f>WORK!I2708</f>
        <v>0</v>
      </c>
      <c r="D629" s="354" t="s">
        <v>277</v>
      </c>
      <c r="E629" s="355">
        <f>WORK!K2708</f>
        <v>85</v>
      </c>
      <c r="F629" s="353">
        <f>ROUND(C629*E629,0)</f>
        <v>0</v>
      </c>
      <c r="G629" s="368"/>
      <c r="H629" s="368"/>
      <c r="I629" s="368">
        <f>C629-G629</f>
        <v>0</v>
      </c>
      <c r="J629" s="368">
        <f>F629-H629</f>
        <v>0</v>
      </c>
      <c r="K629" s="360" t="s">
        <v>2308</v>
      </c>
    </row>
    <row r="630" spans="1:11" s="360" customFormat="1" ht="20.25" hidden="1" customHeight="1">
      <c r="A630" s="356" t="s">
        <v>494</v>
      </c>
      <c r="B630" s="357" t="s">
        <v>2181</v>
      </c>
      <c r="C630" s="358">
        <f>WORK!I2847</f>
        <v>0</v>
      </c>
      <c r="D630" s="354" t="s">
        <v>277</v>
      </c>
      <c r="E630" s="355">
        <f>WORK!K2847</f>
        <v>89</v>
      </c>
      <c r="F630" s="353">
        <f>ROUND(C630*E630,0)</f>
        <v>0</v>
      </c>
      <c r="G630" s="368"/>
      <c r="H630" s="368"/>
      <c r="I630" s="368">
        <f>C630-G630</f>
        <v>0</v>
      </c>
      <c r="J630" s="368">
        <f>F630-H630</f>
        <v>0</v>
      </c>
      <c r="K630" s="360" t="s">
        <v>2321</v>
      </c>
    </row>
    <row r="631" spans="1:11" s="360" customFormat="1" ht="20.25" hidden="1" customHeight="1">
      <c r="A631" s="356" t="s">
        <v>1584</v>
      </c>
      <c r="B631" s="357" t="s">
        <v>2181</v>
      </c>
      <c r="C631" s="358">
        <f>WORK!I2988</f>
        <v>0</v>
      </c>
      <c r="D631" s="354" t="s">
        <v>277</v>
      </c>
      <c r="E631" s="355">
        <f>WORK!K2988</f>
        <v>94</v>
      </c>
      <c r="F631" s="353">
        <f>ROUND(C631*E631,0)</f>
        <v>0</v>
      </c>
      <c r="G631" s="368"/>
      <c r="H631" s="368"/>
      <c r="I631" s="368">
        <f>C631-G631</f>
        <v>0</v>
      </c>
      <c r="J631" s="368">
        <f>F631-H631</f>
        <v>0</v>
      </c>
      <c r="K631" s="360" t="s">
        <v>2322</v>
      </c>
    </row>
    <row r="632" spans="1:11" s="360" customFormat="1" ht="20.25" hidden="1" customHeight="1">
      <c r="A632" s="356" t="s">
        <v>1153</v>
      </c>
      <c r="B632" s="357" t="s">
        <v>1256</v>
      </c>
      <c r="C632" s="358">
        <f>WORK!I2575</f>
        <v>0</v>
      </c>
      <c r="D632" s="354" t="s">
        <v>277</v>
      </c>
      <c r="E632" s="355">
        <f>WORK!K2575</f>
        <v>24</v>
      </c>
      <c r="F632" s="353">
        <f t="shared" si="22"/>
        <v>0</v>
      </c>
      <c r="G632" s="368"/>
      <c r="H632" s="368"/>
      <c r="I632" s="368">
        <f t="shared" si="28"/>
        <v>0</v>
      </c>
      <c r="J632" s="368">
        <f t="shared" si="29"/>
        <v>0</v>
      </c>
      <c r="K632" s="360" t="s">
        <v>2226</v>
      </c>
    </row>
    <row r="633" spans="1:11" s="360" customFormat="1" ht="20.25" hidden="1" customHeight="1">
      <c r="A633" s="356" t="s">
        <v>1153</v>
      </c>
      <c r="B633" s="357" t="s">
        <v>1256</v>
      </c>
      <c r="C633" s="358">
        <f>WORK!I2713</f>
        <v>0</v>
      </c>
      <c r="D633" s="354" t="s">
        <v>277</v>
      </c>
      <c r="E633" s="355">
        <f>WORK!K2713</f>
        <v>24</v>
      </c>
      <c r="F633" s="353">
        <f>ROUND(C633*E633,0)</f>
        <v>0</v>
      </c>
      <c r="G633" s="368"/>
      <c r="H633" s="368"/>
      <c r="I633" s="368">
        <f>C633-G633</f>
        <v>0</v>
      </c>
      <c r="J633" s="368">
        <f>F633-H633</f>
        <v>0</v>
      </c>
      <c r="K633" s="360" t="s">
        <v>2308</v>
      </c>
    </row>
    <row r="634" spans="1:11" s="360" customFormat="1" ht="20.25" hidden="1" customHeight="1">
      <c r="A634" s="356" t="s">
        <v>1153</v>
      </c>
      <c r="B634" s="357" t="s">
        <v>1256</v>
      </c>
      <c r="C634" s="358">
        <f>WORK!I2852</f>
        <v>0</v>
      </c>
      <c r="D634" s="354" t="s">
        <v>277</v>
      </c>
      <c r="E634" s="355">
        <f>WORK!K2852</f>
        <v>33</v>
      </c>
      <c r="F634" s="353">
        <f>ROUND(C634*E634,0)</f>
        <v>0</v>
      </c>
      <c r="G634" s="368"/>
      <c r="H634" s="368"/>
      <c r="I634" s="368">
        <f>C634-G634</f>
        <v>0</v>
      </c>
      <c r="J634" s="368">
        <f>F634-H634</f>
        <v>0</v>
      </c>
      <c r="K634" s="360" t="s">
        <v>2321</v>
      </c>
    </row>
    <row r="635" spans="1:11" s="360" customFormat="1" ht="20.25" hidden="1" customHeight="1">
      <c r="A635" s="356" t="s">
        <v>1153</v>
      </c>
      <c r="B635" s="357" t="s">
        <v>1256</v>
      </c>
      <c r="C635" s="358">
        <f>WORK!I2993</f>
        <v>0</v>
      </c>
      <c r="D635" s="354" t="s">
        <v>277</v>
      </c>
      <c r="E635" s="355">
        <f>WORK!K2993</f>
        <v>35</v>
      </c>
      <c r="F635" s="353">
        <f>ROUND(C635*E635,0)</f>
        <v>0</v>
      </c>
      <c r="G635" s="368"/>
      <c r="H635" s="368"/>
      <c r="I635" s="368">
        <f>C635-G635</f>
        <v>0</v>
      </c>
      <c r="J635" s="368">
        <f>F635-H635</f>
        <v>0</v>
      </c>
      <c r="K635" s="360" t="s">
        <v>2322</v>
      </c>
    </row>
    <row r="636" spans="1:11" s="360" customFormat="1" ht="20.25" hidden="1" customHeight="1">
      <c r="A636" s="356" t="s">
        <v>533</v>
      </c>
      <c r="B636" s="357" t="s">
        <v>545</v>
      </c>
      <c r="C636" s="358">
        <f>WORK!I2580</f>
        <v>0</v>
      </c>
      <c r="D636" s="354" t="s">
        <v>277</v>
      </c>
      <c r="E636" s="355">
        <f>WORK!K2580</f>
        <v>31</v>
      </c>
      <c r="F636" s="353">
        <f t="shared" si="22"/>
        <v>0</v>
      </c>
      <c r="G636" s="368"/>
      <c r="H636" s="368"/>
      <c r="I636" s="368">
        <f t="shared" si="28"/>
        <v>0</v>
      </c>
      <c r="J636" s="368">
        <f t="shared" si="29"/>
        <v>0</v>
      </c>
      <c r="K636" s="360" t="s">
        <v>2226</v>
      </c>
    </row>
    <row r="637" spans="1:11" s="360" customFormat="1" ht="20.25" hidden="1" customHeight="1">
      <c r="A637" s="356" t="s">
        <v>532</v>
      </c>
      <c r="B637" s="357" t="s">
        <v>545</v>
      </c>
      <c r="C637" s="358">
        <f>WORK!I2718</f>
        <v>0</v>
      </c>
      <c r="D637" s="354" t="s">
        <v>277</v>
      </c>
      <c r="E637" s="355">
        <f>WORK!K2718</f>
        <v>31</v>
      </c>
      <c r="F637" s="353">
        <f>ROUND(C637*E637,0)</f>
        <v>0</v>
      </c>
      <c r="G637" s="368"/>
      <c r="H637" s="368"/>
      <c r="I637" s="368">
        <f>C637-G637</f>
        <v>0</v>
      </c>
      <c r="J637" s="368">
        <f>F637-H637</f>
        <v>0</v>
      </c>
      <c r="K637" s="360" t="s">
        <v>2308</v>
      </c>
    </row>
    <row r="638" spans="1:11" s="360" customFormat="1" ht="20.25" hidden="1" customHeight="1">
      <c r="A638" s="356" t="s">
        <v>495</v>
      </c>
      <c r="B638" s="357" t="s">
        <v>545</v>
      </c>
      <c r="C638" s="358">
        <f>WORK!I2858</f>
        <v>0</v>
      </c>
      <c r="D638" s="354" t="s">
        <v>277</v>
      </c>
      <c r="E638" s="355">
        <f>WORK!K2858</f>
        <v>33</v>
      </c>
      <c r="F638" s="353">
        <f>ROUND(C638*E638,0)</f>
        <v>0</v>
      </c>
      <c r="G638" s="368"/>
      <c r="H638" s="368"/>
      <c r="I638" s="368">
        <f>C638-G638</f>
        <v>0</v>
      </c>
      <c r="J638" s="368">
        <f>F638-H638</f>
        <v>0</v>
      </c>
      <c r="K638" s="360" t="s">
        <v>2321</v>
      </c>
    </row>
    <row r="639" spans="1:11" s="360" customFormat="1" ht="20.25" hidden="1" customHeight="1">
      <c r="A639" s="356" t="s">
        <v>527</v>
      </c>
      <c r="B639" s="357" t="s">
        <v>545</v>
      </c>
      <c r="C639" s="358">
        <f>WORK!I2998</f>
        <v>0</v>
      </c>
      <c r="D639" s="354" t="s">
        <v>277</v>
      </c>
      <c r="E639" s="355">
        <f>WORK!K2998</f>
        <v>33</v>
      </c>
      <c r="F639" s="353">
        <f>ROUND(C639*E639,0)</f>
        <v>0</v>
      </c>
      <c r="G639" s="368"/>
      <c r="H639" s="368"/>
      <c r="I639" s="368">
        <f>C639-G639</f>
        <v>0</v>
      </c>
      <c r="J639" s="368">
        <f>F639-H639</f>
        <v>0</v>
      </c>
      <c r="K639" s="360" t="s">
        <v>2322</v>
      </c>
    </row>
    <row r="640" spans="1:11" s="360" customFormat="1" ht="20.25" hidden="1" customHeight="1">
      <c r="A640" s="356" t="s">
        <v>534</v>
      </c>
      <c r="B640" s="357" t="s">
        <v>546</v>
      </c>
      <c r="C640" s="358">
        <f>WORK!I2585</f>
        <v>0</v>
      </c>
      <c r="D640" s="354" t="s">
        <v>115</v>
      </c>
      <c r="E640" s="355">
        <f>WORK!K2585</f>
        <v>349</v>
      </c>
      <c r="F640" s="353">
        <f t="shared" si="22"/>
        <v>0</v>
      </c>
      <c r="G640" s="368"/>
      <c r="H640" s="368"/>
      <c r="I640" s="368">
        <f t="shared" si="28"/>
        <v>0</v>
      </c>
      <c r="J640" s="368">
        <f t="shared" si="29"/>
        <v>0</v>
      </c>
      <c r="K640" s="360" t="s">
        <v>2226</v>
      </c>
    </row>
    <row r="641" spans="1:11" s="360" customFormat="1" ht="20.25" hidden="1" customHeight="1">
      <c r="A641" s="356" t="s">
        <v>1583</v>
      </c>
      <c r="B641" s="357" t="s">
        <v>546</v>
      </c>
      <c r="C641" s="358">
        <f>WORK!I2723</f>
        <v>0</v>
      </c>
      <c r="D641" s="354" t="s">
        <v>115</v>
      </c>
      <c r="E641" s="355">
        <f>WORK!K2723</f>
        <v>349</v>
      </c>
      <c r="F641" s="353">
        <f>ROUND(C641*E641,0)</f>
        <v>0</v>
      </c>
      <c r="G641" s="368"/>
      <c r="H641" s="368"/>
      <c r="I641" s="368">
        <f>C641-G641</f>
        <v>0</v>
      </c>
      <c r="J641" s="368">
        <f>F641-H641</f>
        <v>0</v>
      </c>
      <c r="K641" s="360" t="s">
        <v>2308</v>
      </c>
    </row>
    <row r="642" spans="1:11" s="360" customFormat="1" ht="20.25" hidden="1" customHeight="1">
      <c r="A642" s="356" t="s">
        <v>534</v>
      </c>
      <c r="B642" s="357" t="s">
        <v>546</v>
      </c>
      <c r="C642" s="358">
        <f>WORK!I2863</f>
        <v>0</v>
      </c>
      <c r="D642" s="354" t="s">
        <v>115</v>
      </c>
      <c r="E642" s="355">
        <f>WORK!K2863</f>
        <v>366</v>
      </c>
      <c r="F642" s="353">
        <f>ROUND(C642*E642,0)</f>
        <v>0</v>
      </c>
      <c r="G642" s="368"/>
      <c r="H642" s="368"/>
      <c r="I642" s="368">
        <f>C642-G642</f>
        <v>0</v>
      </c>
      <c r="J642" s="368">
        <f>F642-H642</f>
        <v>0</v>
      </c>
      <c r="K642" s="360" t="s">
        <v>2321</v>
      </c>
    </row>
    <row r="643" spans="1:11" s="360" customFormat="1" ht="20.25" hidden="1" customHeight="1">
      <c r="A643" s="356" t="s">
        <v>534</v>
      </c>
      <c r="B643" s="357" t="s">
        <v>546</v>
      </c>
      <c r="C643" s="358">
        <f>WORK!I3003</f>
        <v>0</v>
      </c>
      <c r="D643" s="354" t="s">
        <v>115</v>
      </c>
      <c r="E643" s="355">
        <f>WORK!K3003</f>
        <v>387</v>
      </c>
      <c r="F643" s="353">
        <f>ROUND(C643*E643,0)</f>
        <v>0</v>
      </c>
      <c r="G643" s="368"/>
      <c r="H643" s="368"/>
      <c r="I643" s="368">
        <f>C643-G643</f>
        <v>0</v>
      </c>
      <c r="J643" s="368">
        <f>F643-H643</f>
        <v>0</v>
      </c>
      <c r="K643" s="360" t="s">
        <v>2322</v>
      </c>
    </row>
    <row r="644" spans="1:11" s="360" customFormat="1" ht="24.75" hidden="1" customHeight="1">
      <c r="A644" s="356" t="s">
        <v>529</v>
      </c>
      <c r="B644" s="357" t="s">
        <v>713</v>
      </c>
      <c r="C644" s="358">
        <f>WORK!I2590</f>
        <v>0</v>
      </c>
      <c r="D644" s="354" t="s">
        <v>115</v>
      </c>
      <c r="E644" s="355">
        <f>WORK!K2590</f>
        <v>1483</v>
      </c>
      <c r="F644" s="353">
        <f t="shared" si="22"/>
        <v>0</v>
      </c>
      <c r="G644" s="368"/>
      <c r="H644" s="368"/>
      <c r="I644" s="368">
        <f t="shared" si="28"/>
        <v>0</v>
      </c>
      <c r="J644" s="368">
        <f t="shared" si="29"/>
        <v>0</v>
      </c>
      <c r="K644" s="360" t="s">
        <v>2226</v>
      </c>
    </row>
    <row r="645" spans="1:11" s="360" customFormat="1" ht="24.75" hidden="1" customHeight="1">
      <c r="A645" s="356" t="s">
        <v>642</v>
      </c>
      <c r="B645" s="357" t="s">
        <v>713</v>
      </c>
      <c r="C645" s="358">
        <f>WORK!I2728</f>
        <v>0</v>
      </c>
      <c r="D645" s="354" t="s">
        <v>115</v>
      </c>
      <c r="E645" s="355">
        <f>WORK!K2728</f>
        <v>2769</v>
      </c>
      <c r="F645" s="353">
        <f>ROUND(C645*E645,0)</f>
        <v>0</v>
      </c>
      <c r="G645" s="368"/>
      <c r="H645" s="368"/>
      <c r="I645" s="368">
        <f>C645-G645</f>
        <v>0</v>
      </c>
      <c r="J645" s="368">
        <f>F645-H645</f>
        <v>0</v>
      </c>
      <c r="K645" s="360" t="s">
        <v>2308</v>
      </c>
    </row>
    <row r="646" spans="1:11" s="360" customFormat="1" ht="24.75" hidden="1" customHeight="1">
      <c r="A646" s="356" t="s">
        <v>529</v>
      </c>
      <c r="B646" s="357" t="s">
        <v>713</v>
      </c>
      <c r="C646" s="358">
        <f>WORK!I2868</f>
        <v>0</v>
      </c>
      <c r="D646" s="354" t="s">
        <v>115</v>
      </c>
      <c r="E646" s="355">
        <f>WORK!K2868</f>
        <v>1554</v>
      </c>
      <c r="F646" s="353">
        <f>ROUND(C646*E646,0)</f>
        <v>0</v>
      </c>
      <c r="G646" s="368"/>
      <c r="H646" s="368"/>
      <c r="I646" s="368">
        <f>C646-G646</f>
        <v>0</v>
      </c>
      <c r="J646" s="368">
        <f>F646-H646</f>
        <v>0</v>
      </c>
      <c r="K646" s="360" t="s">
        <v>2321</v>
      </c>
    </row>
    <row r="647" spans="1:11" s="360" customFormat="1" ht="24.75" hidden="1" customHeight="1">
      <c r="A647" s="356" t="s">
        <v>529</v>
      </c>
      <c r="B647" s="357" t="s">
        <v>713</v>
      </c>
      <c r="C647" s="358">
        <f>WORK!I3008</f>
        <v>0</v>
      </c>
      <c r="D647" s="354" t="s">
        <v>115</v>
      </c>
      <c r="E647" s="355">
        <f>WORK!K3008</f>
        <v>1644</v>
      </c>
      <c r="F647" s="353">
        <f>ROUND(C647*E647,0)</f>
        <v>0</v>
      </c>
      <c r="G647" s="368"/>
      <c r="H647" s="368"/>
      <c r="I647" s="368">
        <f>C647-G647</f>
        <v>0</v>
      </c>
      <c r="J647" s="368">
        <f>F647-H647</f>
        <v>0</v>
      </c>
      <c r="K647" s="360" t="s">
        <v>2322</v>
      </c>
    </row>
    <row r="648" spans="1:11" s="360" customFormat="1" ht="20.25" hidden="1" customHeight="1">
      <c r="A648" s="356" t="s">
        <v>642</v>
      </c>
      <c r="B648" s="357" t="s">
        <v>2182</v>
      </c>
      <c r="C648" s="358">
        <f>WORK!I2595</f>
        <v>0</v>
      </c>
      <c r="D648" s="354" t="s">
        <v>277</v>
      </c>
      <c r="E648" s="355">
        <f>WORK!K2595</f>
        <v>136.66666666666666</v>
      </c>
      <c r="F648" s="353">
        <f t="shared" si="22"/>
        <v>0</v>
      </c>
      <c r="G648" s="368"/>
      <c r="H648" s="368"/>
      <c r="I648" s="368">
        <f t="shared" si="28"/>
        <v>0</v>
      </c>
      <c r="J648" s="368">
        <f t="shared" si="29"/>
        <v>0</v>
      </c>
      <c r="K648" s="360" t="s">
        <v>2226</v>
      </c>
    </row>
    <row r="649" spans="1:11" s="360" customFormat="1" ht="20.25" hidden="1" customHeight="1">
      <c r="A649" s="356" t="s">
        <v>533</v>
      </c>
      <c r="B649" s="357" t="s">
        <v>2182</v>
      </c>
      <c r="C649" s="358">
        <f>WORK!I2733</f>
        <v>0</v>
      </c>
      <c r="D649" s="354" t="s">
        <v>277</v>
      </c>
      <c r="E649" s="355">
        <f>WORK!K2733</f>
        <v>136.66666666666666</v>
      </c>
      <c r="F649" s="353">
        <f>ROUND(C649*E649,0)</f>
        <v>0</v>
      </c>
      <c r="G649" s="368"/>
      <c r="H649" s="368"/>
      <c r="I649" s="368">
        <f>C649-G649</f>
        <v>0</v>
      </c>
      <c r="J649" s="368">
        <f>F649-H649</f>
        <v>0</v>
      </c>
      <c r="K649" s="360" t="s">
        <v>2308</v>
      </c>
    </row>
    <row r="650" spans="1:11" s="360" customFormat="1" ht="20.25" hidden="1" customHeight="1">
      <c r="A650" s="356" t="s">
        <v>1517</v>
      </c>
      <c r="B650" s="357" t="s">
        <v>2182</v>
      </c>
      <c r="C650" s="358">
        <f>WORK!I2874</f>
        <v>0</v>
      </c>
      <c r="D650" s="354" t="s">
        <v>277</v>
      </c>
      <c r="E650" s="355">
        <f>WORK!K2874</f>
        <v>142</v>
      </c>
      <c r="F650" s="353">
        <f>ROUND(C650*E650,0)</f>
        <v>0</v>
      </c>
      <c r="G650" s="368"/>
      <c r="H650" s="368"/>
      <c r="I650" s="368">
        <f>C650-G650</f>
        <v>0</v>
      </c>
      <c r="J650" s="368">
        <f>F650-H650</f>
        <v>0</v>
      </c>
      <c r="K650" s="360" t="s">
        <v>2321</v>
      </c>
    </row>
    <row r="651" spans="1:11" s="360" customFormat="1" ht="20.25" hidden="1" customHeight="1">
      <c r="A651" s="356" t="s">
        <v>1581</v>
      </c>
      <c r="B651" s="357" t="s">
        <v>2182</v>
      </c>
      <c r="C651" s="358">
        <f>WORK!I3013</f>
        <v>0</v>
      </c>
      <c r="D651" s="354" t="s">
        <v>277</v>
      </c>
      <c r="E651" s="355">
        <f>WORK!K3013</f>
        <v>149</v>
      </c>
      <c r="F651" s="353">
        <f>ROUND(C651*E651,0)</f>
        <v>0</v>
      </c>
      <c r="G651" s="368"/>
      <c r="H651" s="368"/>
      <c r="I651" s="368">
        <f>C651-G651</f>
        <v>0</v>
      </c>
      <c r="J651" s="368">
        <f>F651-H651</f>
        <v>0</v>
      </c>
      <c r="K651" s="360" t="s">
        <v>2322</v>
      </c>
    </row>
    <row r="652" spans="1:11" s="360" customFormat="1" ht="20.25" hidden="1" customHeight="1">
      <c r="A652" s="356" t="s">
        <v>642</v>
      </c>
      <c r="B652" s="357" t="s">
        <v>548</v>
      </c>
      <c r="C652" s="358">
        <f>WORK!I2600</f>
        <v>0</v>
      </c>
      <c r="D652" s="354" t="s">
        <v>277</v>
      </c>
      <c r="E652" s="355">
        <f>WORK!K2600</f>
        <v>129.66666666666666</v>
      </c>
      <c r="F652" s="353">
        <f t="shared" si="22"/>
        <v>0</v>
      </c>
      <c r="G652" s="368"/>
      <c r="H652" s="368"/>
      <c r="I652" s="368">
        <f t="shared" si="28"/>
        <v>0</v>
      </c>
      <c r="J652" s="368">
        <f t="shared" si="29"/>
        <v>0</v>
      </c>
      <c r="K652" s="360" t="s">
        <v>2226</v>
      </c>
    </row>
    <row r="653" spans="1:11" s="360" customFormat="1" ht="20.25" hidden="1" customHeight="1">
      <c r="A653" s="356" t="s">
        <v>642</v>
      </c>
      <c r="B653" s="357" t="s">
        <v>548</v>
      </c>
      <c r="C653" s="358">
        <f>WORK!I2738</f>
        <v>0</v>
      </c>
      <c r="D653" s="354" t="s">
        <v>277</v>
      </c>
      <c r="E653" s="355">
        <f>WORK!K2738</f>
        <v>129.66666666666666</v>
      </c>
      <c r="F653" s="353">
        <f>ROUND(C653*E653,0)</f>
        <v>0</v>
      </c>
      <c r="G653" s="368"/>
      <c r="H653" s="368"/>
      <c r="I653" s="368">
        <f>C653-G653</f>
        <v>0</v>
      </c>
      <c r="J653" s="368">
        <f>F653-H653</f>
        <v>0</v>
      </c>
      <c r="K653" s="360" t="s">
        <v>2308</v>
      </c>
    </row>
    <row r="654" spans="1:11" s="360" customFormat="1" ht="20.25" hidden="1" customHeight="1">
      <c r="A654" s="356" t="s">
        <v>642</v>
      </c>
      <c r="B654" s="357" t="s">
        <v>548</v>
      </c>
      <c r="C654" s="358">
        <f>WORK!I2879</f>
        <v>0</v>
      </c>
      <c r="D654" s="354" t="s">
        <v>277</v>
      </c>
      <c r="E654" s="355">
        <f>WORK!K2879</f>
        <v>135</v>
      </c>
      <c r="F654" s="353">
        <f>ROUND(C654*E654,0)</f>
        <v>0</v>
      </c>
      <c r="G654" s="368"/>
      <c r="H654" s="368"/>
      <c r="I654" s="368">
        <f>C654-G654</f>
        <v>0</v>
      </c>
      <c r="J654" s="368">
        <f>F654-H654</f>
        <v>0</v>
      </c>
      <c r="K654" s="360" t="s">
        <v>2321</v>
      </c>
    </row>
    <row r="655" spans="1:11" s="360" customFormat="1" ht="20.25" hidden="1" customHeight="1">
      <c r="A655" s="356" t="s">
        <v>642</v>
      </c>
      <c r="B655" s="357" t="s">
        <v>548</v>
      </c>
      <c r="C655" s="358">
        <f>WORK!I3018</f>
        <v>0</v>
      </c>
      <c r="D655" s="354" t="s">
        <v>277</v>
      </c>
      <c r="E655" s="355">
        <f>WORK!K3018</f>
        <v>141.66666666666666</v>
      </c>
      <c r="F655" s="353">
        <f>ROUND(C655*E655,0)</f>
        <v>0</v>
      </c>
      <c r="G655" s="368"/>
      <c r="H655" s="368"/>
      <c r="I655" s="368">
        <f>C655-G655</f>
        <v>0</v>
      </c>
      <c r="J655" s="368">
        <f>F655-H655</f>
        <v>0</v>
      </c>
      <c r="K655" s="360" t="s">
        <v>2322</v>
      </c>
    </row>
    <row r="656" spans="1:11" s="360" customFormat="1" ht="20.25" hidden="1" customHeight="1">
      <c r="A656" s="356" t="s">
        <v>643</v>
      </c>
      <c r="B656" s="357" t="s">
        <v>2183</v>
      </c>
      <c r="C656" s="358">
        <f>WORK!I2605</f>
        <v>0</v>
      </c>
      <c r="D656" s="354" t="s">
        <v>277</v>
      </c>
      <c r="E656" s="355">
        <f>WORK!K2605</f>
        <v>81.333333333333329</v>
      </c>
      <c r="F656" s="353">
        <f t="shared" si="22"/>
        <v>0</v>
      </c>
      <c r="G656" s="368"/>
      <c r="H656" s="368"/>
      <c r="I656" s="368">
        <f t="shared" si="28"/>
        <v>0</v>
      </c>
      <c r="J656" s="368">
        <f t="shared" si="29"/>
        <v>0</v>
      </c>
      <c r="K656" s="360" t="s">
        <v>2226</v>
      </c>
    </row>
    <row r="657" spans="1:11" s="360" customFormat="1" ht="20.25" hidden="1" customHeight="1">
      <c r="A657" s="356" t="s">
        <v>534</v>
      </c>
      <c r="B657" s="357" t="s">
        <v>2183</v>
      </c>
      <c r="C657" s="358">
        <f>WORK!I2743</f>
        <v>0</v>
      </c>
      <c r="D657" s="354" t="s">
        <v>277</v>
      </c>
      <c r="E657" s="355">
        <f>WORK!K2743</f>
        <v>81.333333333333329</v>
      </c>
      <c r="F657" s="353">
        <f>ROUND(C657*E657,0)</f>
        <v>0</v>
      </c>
      <c r="G657" s="368"/>
      <c r="H657" s="368"/>
      <c r="I657" s="368">
        <f>C657-G657</f>
        <v>0</v>
      </c>
      <c r="J657" s="368">
        <f>F657-H657</f>
        <v>0</v>
      </c>
      <c r="K657" s="360" t="s">
        <v>2308</v>
      </c>
    </row>
    <row r="658" spans="1:11" s="360" customFormat="1" ht="20.25" hidden="1" customHeight="1">
      <c r="A658" s="356" t="s">
        <v>1518</v>
      </c>
      <c r="B658" s="357" t="s">
        <v>2183</v>
      </c>
      <c r="C658" s="358">
        <f>WORK!I2885</f>
        <v>0</v>
      </c>
      <c r="D658" s="354" t="s">
        <v>277</v>
      </c>
      <c r="E658" s="355">
        <f>WORK!K2885</f>
        <v>84.666666666666671</v>
      </c>
      <c r="F658" s="353">
        <f>ROUND(C658*E658,0)</f>
        <v>0</v>
      </c>
      <c r="G658" s="368"/>
      <c r="H658" s="368"/>
      <c r="I658" s="368">
        <f>C658-G658</f>
        <v>0</v>
      </c>
      <c r="J658" s="368">
        <f>F658-H658</f>
        <v>0</v>
      </c>
      <c r="K658" s="360" t="s">
        <v>2321</v>
      </c>
    </row>
    <row r="659" spans="1:11" s="360" customFormat="1" ht="20.25" hidden="1" customHeight="1">
      <c r="A659" s="356" t="s">
        <v>528</v>
      </c>
      <c r="B659" s="357" t="s">
        <v>2183</v>
      </c>
      <c r="C659" s="358">
        <f>WORK!I3023</f>
        <v>0</v>
      </c>
      <c r="D659" s="354" t="s">
        <v>277</v>
      </c>
      <c r="E659" s="355">
        <f>WORK!K3023</f>
        <v>89</v>
      </c>
      <c r="F659" s="353">
        <f>ROUND(C659*E659,0)</f>
        <v>0</v>
      </c>
      <c r="G659" s="368"/>
      <c r="H659" s="368"/>
      <c r="I659" s="368">
        <f>C659-G659</f>
        <v>0</v>
      </c>
      <c r="J659" s="368">
        <f>F659-H659</f>
        <v>0</v>
      </c>
      <c r="K659" s="360" t="s">
        <v>2322</v>
      </c>
    </row>
    <row r="660" spans="1:11" s="360" customFormat="1" ht="20.25" hidden="1" customHeight="1">
      <c r="A660" s="356" t="s">
        <v>644</v>
      </c>
      <c r="B660" s="357" t="s">
        <v>550</v>
      </c>
      <c r="C660" s="358">
        <f>WORK!I2611</f>
        <v>0</v>
      </c>
      <c r="D660" s="354" t="s">
        <v>277</v>
      </c>
      <c r="E660" s="355">
        <f>WORK!K2611</f>
        <v>70</v>
      </c>
      <c r="F660" s="353">
        <f t="shared" ref="F660:F732" si="33">ROUND(C660*E660,0)</f>
        <v>0</v>
      </c>
      <c r="G660" s="368"/>
      <c r="H660" s="368"/>
      <c r="I660" s="368">
        <f t="shared" si="28"/>
        <v>0</v>
      </c>
      <c r="J660" s="368">
        <f t="shared" si="29"/>
        <v>0</v>
      </c>
      <c r="K660" s="360" t="s">
        <v>2226</v>
      </c>
    </row>
    <row r="661" spans="1:11" s="360" customFormat="1" ht="20.25" hidden="1" customHeight="1">
      <c r="A661" s="356" t="s">
        <v>642</v>
      </c>
      <c r="B661" s="357" t="s">
        <v>550</v>
      </c>
      <c r="C661" s="358">
        <f>WORK!I2749</f>
        <v>0</v>
      </c>
      <c r="D661" s="354" t="s">
        <v>277</v>
      </c>
      <c r="E661" s="355">
        <f>WORK!K2749</f>
        <v>70</v>
      </c>
      <c r="F661" s="353">
        <f>ROUND(C661*E661,0)</f>
        <v>0</v>
      </c>
      <c r="G661" s="368"/>
      <c r="H661" s="368"/>
      <c r="I661" s="368">
        <f>C661-G661</f>
        <v>0</v>
      </c>
      <c r="J661" s="368">
        <f>F661-H661</f>
        <v>0</v>
      </c>
      <c r="K661" s="360" t="s">
        <v>2308</v>
      </c>
    </row>
    <row r="662" spans="1:11" s="360" customFormat="1" ht="20.25" hidden="1" customHeight="1">
      <c r="A662" s="356" t="s">
        <v>1519</v>
      </c>
      <c r="B662" s="357" t="s">
        <v>550</v>
      </c>
      <c r="C662" s="358">
        <f>WORK!I2891</f>
        <v>0</v>
      </c>
      <c r="D662" s="354" t="s">
        <v>277</v>
      </c>
      <c r="E662" s="355">
        <f>WORK!K2891</f>
        <v>74</v>
      </c>
      <c r="F662" s="353">
        <f>ROUND(C662*E662,0)</f>
        <v>0</v>
      </c>
      <c r="G662" s="368"/>
      <c r="H662" s="368"/>
      <c r="I662" s="368">
        <f>C662-G662</f>
        <v>0</v>
      </c>
      <c r="J662" s="368">
        <f>F662-H662</f>
        <v>0</v>
      </c>
      <c r="K662" s="360" t="s">
        <v>2321</v>
      </c>
    </row>
    <row r="663" spans="1:11" s="360" customFormat="1" ht="20.25" hidden="1" customHeight="1">
      <c r="A663" s="356" t="s">
        <v>1582</v>
      </c>
      <c r="B663" s="357" t="s">
        <v>550</v>
      </c>
      <c r="C663" s="358">
        <f>WORK!I3029</f>
        <v>0</v>
      </c>
      <c r="D663" s="354" t="s">
        <v>277</v>
      </c>
      <c r="E663" s="355">
        <f>WORK!K3029</f>
        <v>79</v>
      </c>
      <c r="F663" s="353">
        <f>ROUND(C663*E663,0)</f>
        <v>0</v>
      </c>
      <c r="G663" s="368"/>
      <c r="H663" s="368"/>
      <c r="I663" s="368">
        <f>C663-G663</f>
        <v>0</v>
      </c>
      <c r="J663" s="368">
        <f>F663-H663</f>
        <v>0</v>
      </c>
      <c r="K663" s="360" t="s">
        <v>2322</v>
      </c>
    </row>
    <row r="664" spans="1:11" s="360" customFormat="1" ht="20.25" hidden="1" customHeight="1">
      <c r="A664" s="356" t="s">
        <v>1577</v>
      </c>
      <c r="B664" s="357" t="s">
        <v>2215</v>
      </c>
      <c r="C664" s="358">
        <f>WORK!I2616</f>
        <v>0</v>
      </c>
      <c r="D664" s="354" t="s">
        <v>115</v>
      </c>
      <c r="E664" s="355">
        <f>WORK!K2616</f>
        <v>4776</v>
      </c>
      <c r="F664" s="353">
        <f t="shared" si="33"/>
        <v>0</v>
      </c>
      <c r="G664" s="368"/>
      <c r="H664" s="368"/>
      <c r="I664" s="368">
        <f t="shared" si="28"/>
        <v>0</v>
      </c>
      <c r="J664" s="368">
        <f t="shared" si="29"/>
        <v>0</v>
      </c>
      <c r="K664" s="360" t="s">
        <v>2226</v>
      </c>
    </row>
    <row r="665" spans="1:11" s="360" customFormat="1" ht="20.25" hidden="1" customHeight="1">
      <c r="A665" s="356" t="s">
        <v>643</v>
      </c>
      <c r="B665" s="357" t="s">
        <v>2215</v>
      </c>
      <c r="C665" s="358">
        <f>WORK!I2754</f>
        <v>0</v>
      </c>
      <c r="D665" s="354" t="s">
        <v>115</v>
      </c>
      <c r="E665" s="355">
        <f>WORK!K2754</f>
        <v>4776</v>
      </c>
      <c r="F665" s="353">
        <f>ROUND(C665*E665,0)</f>
        <v>0</v>
      </c>
      <c r="G665" s="368"/>
      <c r="H665" s="368"/>
      <c r="I665" s="368">
        <f>C665-G665</f>
        <v>0</v>
      </c>
      <c r="J665" s="368">
        <f>F665-H665</f>
        <v>0</v>
      </c>
      <c r="K665" s="360" t="s">
        <v>2308</v>
      </c>
    </row>
    <row r="666" spans="1:11" s="360" customFormat="1" ht="20.25" hidden="1" customHeight="1">
      <c r="A666" s="356" t="s">
        <v>1577</v>
      </c>
      <c r="B666" s="357" t="s">
        <v>2215</v>
      </c>
      <c r="C666" s="358">
        <f>WORK!I2896</f>
        <v>0</v>
      </c>
      <c r="D666" s="354" t="s">
        <v>115</v>
      </c>
      <c r="E666" s="355">
        <f>WORK!K2896</f>
        <v>5006</v>
      </c>
      <c r="F666" s="353">
        <f>ROUND(C666*E666,0)</f>
        <v>0</v>
      </c>
      <c r="G666" s="368"/>
      <c r="H666" s="368"/>
      <c r="I666" s="368">
        <f>C666-G666</f>
        <v>0</v>
      </c>
      <c r="J666" s="368">
        <f>F666-H666</f>
        <v>0</v>
      </c>
      <c r="K666" s="360" t="s">
        <v>2321</v>
      </c>
    </row>
    <row r="667" spans="1:11" s="360" customFormat="1" ht="20.25" hidden="1" customHeight="1">
      <c r="A667" s="356" t="s">
        <v>529</v>
      </c>
      <c r="B667" s="357" t="s">
        <v>2215</v>
      </c>
      <c r="C667" s="358">
        <f>WORK!I3034</f>
        <v>0</v>
      </c>
      <c r="D667" s="354" t="s">
        <v>115</v>
      </c>
      <c r="E667" s="355">
        <f>WORK!K3034</f>
        <v>5297</v>
      </c>
      <c r="F667" s="353">
        <f>ROUND(C667*E667,0)</f>
        <v>0</v>
      </c>
      <c r="G667" s="368"/>
      <c r="H667" s="368"/>
      <c r="I667" s="368">
        <f>C667-G667</f>
        <v>0</v>
      </c>
      <c r="J667" s="368">
        <f>F667-H667</f>
        <v>0</v>
      </c>
      <c r="K667" s="360" t="s">
        <v>2322</v>
      </c>
    </row>
    <row r="668" spans="1:11" s="360" customFormat="1" ht="20.25" hidden="1" customHeight="1">
      <c r="A668" s="356" t="s">
        <v>520</v>
      </c>
      <c r="B668" s="357" t="s">
        <v>633</v>
      </c>
      <c r="C668" s="358">
        <f>WORK!I2621</f>
        <v>0</v>
      </c>
      <c r="D668" s="354" t="s">
        <v>115</v>
      </c>
      <c r="E668" s="355">
        <f>WORK!K2621</f>
        <v>934</v>
      </c>
      <c r="F668" s="353">
        <f t="shared" si="33"/>
        <v>0</v>
      </c>
      <c r="G668" s="368"/>
      <c r="H668" s="368"/>
      <c r="I668" s="368">
        <f t="shared" si="28"/>
        <v>0</v>
      </c>
      <c r="J668" s="368">
        <f t="shared" si="29"/>
        <v>0</v>
      </c>
      <c r="K668" s="360" t="s">
        <v>2226</v>
      </c>
    </row>
    <row r="669" spans="1:11" s="360" customFormat="1" ht="20.25" hidden="1" customHeight="1">
      <c r="A669" s="356" t="s">
        <v>520</v>
      </c>
      <c r="B669" s="357" t="s">
        <v>633</v>
      </c>
      <c r="C669" s="358">
        <f>WORK!I2759</f>
        <v>0</v>
      </c>
      <c r="D669" s="354" t="s">
        <v>115</v>
      </c>
      <c r="E669" s="355">
        <f>WORK!K2759</f>
        <v>934</v>
      </c>
      <c r="F669" s="353">
        <f>ROUND(C669*E669,0)</f>
        <v>0</v>
      </c>
      <c r="G669" s="368"/>
      <c r="H669" s="368"/>
      <c r="I669" s="368">
        <f>C669-G669</f>
        <v>0</v>
      </c>
      <c r="J669" s="368">
        <f>F669-H669</f>
        <v>0</v>
      </c>
      <c r="K669" s="360" t="s">
        <v>2308</v>
      </c>
    </row>
    <row r="670" spans="1:11" s="360" customFormat="1" ht="20.25" hidden="1" customHeight="1">
      <c r="A670" s="356" t="s">
        <v>520</v>
      </c>
      <c r="B670" s="357" t="s">
        <v>633</v>
      </c>
      <c r="C670" s="358">
        <f>WORK!I2901</f>
        <v>0</v>
      </c>
      <c r="D670" s="354" t="s">
        <v>115</v>
      </c>
      <c r="E670" s="355">
        <f>WORK!K2901</f>
        <v>979</v>
      </c>
      <c r="F670" s="353">
        <f>ROUND(C670*E670,0)</f>
        <v>0</v>
      </c>
      <c r="G670" s="368"/>
      <c r="H670" s="368"/>
      <c r="I670" s="368">
        <f>C670-G670</f>
        <v>0</v>
      </c>
      <c r="J670" s="368">
        <f>F670-H670</f>
        <v>0</v>
      </c>
      <c r="K670" s="360" t="s">
        <v>2321</v>
      </c>
    </row>
    <row r="671" spans="1:11" s="360" customFormat="1" ht="20.25" hidden="1" customHeight="1">
      <c r="A671" s="356" t="s">
        <v>520</v>
      </c>
      <c r="B671" s="357" t="s">
        <v>633</v>
      </c>
      <c r="C671" s="358">
        <f>WORK!I3039</f>
        <v>0</v>
      </c>
      <c r="D671" s="354" t="s">
        <v>115</v>
      </c>
      <c r="E671" s="355">
        <f>WORK!K3039</f>
        <v>1036</v>
      </c>
      <c r="F671" s="353">
        <f>ROUND(C671*E671,0)</f>
        <v>0</v>
      </c>
      <c r="G671" s="368"/>
      <c r="H671" s="368"/>
      <c r="I671" s="368">
        <f>C671-G671</f>
        <v>0</v>
      </c>
      <c r="J671" s="368">
        <f>F671-H671</f>
        <v>0</v>
      </c>
      <c r="K671" s="360" t="s">
        <v>2322</v>
      </c>
    </row>
    <row r="672" spans="1:11" s="360" customFormat="1" ht="20.25" hidden="1" customHeight="1">
      <c r="A672" s="356" t="s">
        <v>1584</v>
      </c>
      <c r="B672" s="357" t="s">
        <v>634</v>
      </c>
      <c r="C672" s="358">
        <f>WORK!I2631</f>
        <v>0</v>
      </c>
      <c r="D672" s="354" t="s">
        <v>115</v>
      </c>
      <c r="E672" s="355">
        <f>WORK!K2631</f>
        <v>1827</v>
      </c>
      <c r="F672" s="353">
        <f t="shared" si="33"/>
        <v>0</v>
      </c>
      <c r="G672" s="368"/>
      <c r="H672" s="368"/>
      <c r="I672" s="368">
        <f t="shared" si="28"/>
        <v>0</v>
      </c>
      <c r="J672" s="368">
        <f t="shared" si="29"/>
        <v>0</v>
      </c>
      <c r="K672" s="360" t="s">
        <v>2226</v>
      </c>
    </row>
    <row r="673" spans="1:11" s="360" customFormat="1" ht="20.25" hidden="1" customHeight="1">
      <c r="A673" s="356" t="s">
        <v>644</v>
      </c>
      <c r="B673" s="357" t="s">
        <v>634</v>
      </c>
      <c r="C673" s="358">
        <f>WORK!I2769</f>
        <v>0</v>
      </c>
      <c r="D673" s="354" t="s">
        <v>115</v>
      </c>
      <c r="E673" s="355">
        <f>WORK!K2769</f>
        <v>1827</v>
      </c>
      <c r="F673" s="353">
        <f>ROUND(C673*E673,0)</f>
        <v>0</v>
      </c>
      <c r="G673" s="368"/>
      <c r="H673" s="368"/>
      <c r="I673" s="368">
        <f>C673-G673</f>
        <v>0</v>
      </c>
      <c r="J673" s="368">
        <f>F673-H673</f>
        <v>0</v>
      </c>
      <c r="K673" s="360" t="s">
        <v>2308</v>
      </c>
    </row>
    <row r="674" spans="1:11" s="360" customFormat="1" ht="20.25" hidden="1" customHeight="1">
      <c r="A674" s="356" t="s">
        <v>1584</v>
      </c>
      <c r="B674" s="357" t="s">
        <v>634</v>
      </c>
      <c r="C674" s="358">
        <f>WORK!I2911</f>
        <v>0</v>
      </c>
      <c r="D674" s="354" t="s">
        <v>115</v>
      </c>
      <c r="E674" s="355">
        <f>WORK!K2911</f>
        <v>1915</v>
      </c>
      <c r="F674" s="353">
        <f>ROUND(C674*E674,0)</f>
        <v>0</v>
      </c>
      <c r="G674" s="368"/>
      <c r="H674" s="368"/>
      <c r="I674" s="368">
        <f>C674-G674</f>
        <v>0</v>
      </c>
      <c r="J674" s="368">
        <f>F674-H674</f>
        <v>0</v>
      </c>
      <c r="K674" s="360" t="s">
        <v>2321</v>
      </c>
    </row>
    <row r="675" spans="1:11" s="360" customFormat="1" ht="20.25" hidden="1" customHeight="1">
      <c r="A675" s="356" t="s">
        <v>1584</v>
      </c>
      <c r="B675" s="357" t="s">
        <v>634</v>
      </c>
      <c r="C675" s="358">
        <f>WORK!I3049</f>
        <v>0</v>
      </c>
      <c r="D675" s="354" t="s">
        <v>115</v>
      </c>
      <c r="E675" s="355">
        <f>WORK!K3049</f>
        <v>2025</v>
      </c>
      <c r="F675" s="353">
        <f>ROUND(C675*E675,0)</f>
        <v>0</v>
      </c>
      <c r="G675" s="368"/>
      <c r="H675" s="368"/>
      <c r="I675" s="368">
        <f>C675-G675</f>
        <v>0</v>
      </c>
      <c r="J675" s="368">
        <f>F675-H675</f>
        <v>0</v>
      </c>
      <c r="K675" s="360" t="s">
        <v>2322</v>
      </c>
    </row>
    <row r="676" spans="1:11" s="360" customFormat="1" ht="20.25" hidden="1" customHeight="1">
      <c r="A676" s="356" t="s">
        <v>1584</v>
      </c>
      <c r="B676" s="357" t="s">
        <v>1257</v>
      </c>
      <c r="C676" s="358">
        <f>WORK!I2626</f>
        <v>0</v>
      </c>
      <c r="D676" s="354" t="s">
        <v>115</v>
      </c>
      <c r="E676" s="355">
        <f>WORK!K2626</f>
        <v>2385</v>
      </c>
      <c r="F676" s="353">
        <f t="shared" si="33"/>
        <v>0</v>
      </c>
      <c r="G676" s="368"/>
      <c r="H676" s="368"/>
      <c r="I676" s="368">
        <f t="shared" si="28"/>
        <v>0</v>
      </c>
      <c r="J676" s="368">
        <f t="shared" si="29"/>
        <v>0</v>
      </c>
      <c r="K676" s="360" t="s">
        <v>2226</v>
      </c>
    </row>
    <row r="677" spans="1:11" s="360" customFormat="1" ht="20.25" hidden="1" customHeight="1">
      <c r="A677" s="356" t="s">
        <v>1585</v>
      </c>
      <c r="B677" s="357" t="s">
        <v>1257</v>
      </c>
      <c r="C677" s="358">
        <f>WORK!I2764</f>
        <v>0</v>
      </c>
      <c r="D677" s="354" t="s">
        <v>115</v>
      </c>
      <c r="E677" s="355">
        <f>WORK!K2764</f>
        <v>2385</v>
      </c>
      <c r="F677" s="353">
        <f>ROUND(C677*E677,0)</f>
        <v>0</v>
      </c>
      <c r="G677" s="368"/>
      <c r="H677" s="368"/>
      <c r="I677" s="368">
        <f>C677-G677</f>
        <v>0</v>
      </c>
      <c r="J677" s="368">
        <f>F677-H677</f>
        <v>0</v>
      </c>
      <c r="K677" s="360" t="s">
        <v>2308</v>
      </c>
    </row>
    <row r="678" spans="1:11" s="360" customFormat="1" ht="20.25" hidden="1" customHeight="1">
      <c r="A678" s="356" t="s">
        <v>1584</v>
      </c>
      <c r="B678" s="357" t="s">
        <v>1257</v>
      </c>
      <c r="C678" s="358">
        <f>WORK!I2906</f>
        <v>0</v>
      </c>
      <c r="D678" s="354" t="s">
        <v>115</v>
      </c>
      <c r="E678" s="355">
        <f>WORK!K2906</f>
        <v>2499</v>
      </c>
      <c r="F678" s="353">
        <f>ROUND(C678*E678,0)</f>
        <v>0</v>
      </c>
      <c r="G678" s="368"/>
      <c r="H678" s="368"/>
      <c r="I678" s="368">
        <f>C678-G678</f>
        <v>0</v>
      </c>
      <c r="J678" s="368">
        <f>F678-H678</f>
        <v>0</v>
      </c>
      <c r="K678" s="360" t="s">
        <v>2321</v>
      </c>
    </row>
    <row r="679" spans="1:11" s="360" customFormat="1" ht="20.25" hidden="1" customHeight="1">
      <c r="A679" s="356" t="s">
        <v>1584</v>
      </c>
      <c r="B679" s="357" t="s">
        <v>1257</v>
      </c>
      <c r="C679" s="358">
        <f>WORK!I3044</f>
        <v>0</v>
      </c>
      <c r="D679" s="354" t="s">
        <v>115</v>
      </c>
      <c r="E679" s="355">
        <f>WORK!K3044</f>
        <v>2644</v>
      </c>
      <c r="F679" s="353">
        <f>ROUND(C679*E679,0)</f>
        <v>0</v>
      </c>
      <c r="G679" s="368"/>
      <c r="H679" s="368"/>
      <c r="I679" s="368">
        <f>C679-G679</f>
        <v>0</v>
      </c>
      <c r="J679" s="368">
        <f>F679-H679</f>
        <v>0</v>
      </c>
      <c r="K679" s="360" t="s">
        <v>2322</v>
      </c>
    </row>
    <row r="680" spans="1:11" s="360" customFormat="1" ht="20.25" hidden="1" customHeight="1">
      <c r="A680" s="356" t="s">
        <v>1585</v>
      </c>
      <c r="B680" s="357" t="s">
        <v>719</v>
      </c>
      <c r="C680" s="358">
        <f>WORK!I2636</f>
        <v>0</v>
      </c>
      <c r="D680" s="354" t="s">
        <v>115</v>
      </c>
      <c r="E680" s="355">
        <f>WORK!K2636</f>
        <v>122</v>
      </c>
      <c r="F680" s="353">
        <f t="shared" si="33"/>
        <v>0</v>
      </c>
      <c r="G680" s="368"/>
      <c r="H680" s="368"/>
      <c r="I680" s="368">
        <f t="shared" si="28"/>
        <v>0</v>
      </c>
      <c r="J680" s="368">
        <f t="shared" si="29"/>
        <v>0</v>
      </c>
      <c r="K680" s="360" t="s">
        <v>2226</v>
      </c>
    </row>
    <row r="681" spans="1:11" s="360" customFormat="1" ht="20.25" hidden="1" customHeight="1">
      <c r="A681" s="356" t="s">
        <v>1577</v>
      </c>
      <c r="B681" s="357" t="s">
        <v>2805</v>
      </c>
      <c r="C681" s="358">
        <f>WORK!I2774</f>
        <v>0</v>
      </c>
      <c r="D681" s="354" t="s">
        <v>115</v>
      </c>
      <c r="E681" s="355">
        <f>WORK!K2774</f>
        <v>86</v>
      </c>
      <c r="F681" s="353">
        <f>ROUND(C681*E681,0)</f>
        <v>0</v>
      </c>
      <c r="G681" s="368"/>
      <c r="H681" s="368"/>
      <c r="I681" s="368">
        <f>C681-G681</f>
        <v>0</v>
      </c>
      <c r="J681" s="368">
        <f>F681-H681</f>
        <v>0</v>
      </c>
      <c r="K681" s="360" t="s">
        <v>2308</v>
      </c>
    </row>
    <row r="682" spans="1:11" s="360" customFormat="1" ht="20.25" hidden="1" customHeight="1">
      <c r="A682" s="356" t="s">
        <v>1585</v>
      </c>
      <c r="B682" s="357" t="s">
        <v>719</v>
      </c>
      <c r="C682" s="358">
        <f>WORK!I2916</f>
        <v>0</v>
      </c>
      <c r="D682" s="354" t="s">
        <v>115</v>
      </c>
      <c r="E682" s="355">
        <f>WORK!K2916</f>
        <v>89</v>
      </c>
      <c r="F682" s="353">
        <f>ROUND(C682*E682,0)</f>
        <v>0</v>
      </c>
      <c r="G682" s="368"/>
      <c r="H682" s="368"/>
      <c r="I682" s="368">
        <f>C682-G682</f>
        <v>0</v>
      </c>
      <c r="J682" s="368">
        <f>F682-H682</f>
        <v>0</v>
      </c>
      <c r="K682" s="360" t="s">
        <v>2321</v>
      </c>
    </row>
    <row r="683" spans="1:11" s="360" customFormat="1" ht="20.25" hidden="1" customHeight="1">
      <c r="A683" s="356" t="s">
        <v>530</v>
      </c>
      <c r="B683" s="357" t="s">
        <v>719</v>
      </c>
      <c r="C683" s="358">
        <f>WORK!I3054</f>
        <v>0</v>
      </c>
      <c r="D683" s="354" t="s">
        <v>115</v>
      </c>
      <c r="E683" s="355">
        <f>WORK!K3054</f>
        <v>93</v>
      </c>
      <c r="F683" s="353">
        <f>ROUND(C683*E683,0)</f>
        <v>0</v>
      </c>
      <c r="G683" s="368"/>
      <c r="H683" s="368"/>
      <c r="I683" s="368">
        <f>C683-G683</f>
        <v>0</v>
      </c>
      <c r="J683" s="368">
        <f>F683-H683</f>
        <v>0</v>
      </c>
      <c r="K683" s="360" t="s">
        <v>2322</v>
      </c>
    </row>
    <row r="684" spans="1:11" s="360" customFormat="1" ht="20.25" hidden="1" customHeight="1">
      <c r="A684" s="356" t="s">
        <v>1143</v>
      </c>
      <c r="B684" s="357" t="s">
        <v>1816</v>
      </c>
      <c r="C684" s="358">
        <f>WORK!I2641</f>
        <v>0</v>
      </c>
      <c r="D684" s="354" t="s">
        <v>574</v>
      </c>
      <c r="E684" s="355">
        <f>WORK!K2641</f>
        <v>6</v>
      </c>
      <c r="F684" s="353">
        <f t="shared" si="33"/>
        <v>0</v>
      </c>
      <c r="G684" s="368"/>
      <c r="H684" s="368"/>
      <c r="I684" s="368">
        <f t="shared" si="28"/>
        <v>0</v>
      </c>
      <c r="J684" s="368">
        <f t="shared" si="29"/>
        <v>0</v>
      </c>
      <c r="K684" s="360" t="s">
        <v>2226</v>
      </c>
    </row>
    <row r="685" spans="1:11" s="360" customFormat="1" ht="20.25" hidden="1" customHeight="1">
      <c r="A685" s="356" t="s">
        <v>1584</v>
      </c>
      <c r="B685" s="357" t="s">
        <v>1816</v>
      </c>
      <c r="C685" s="358">
        <f>WORK!I2779</f>
        <v>0</v>
      </c>
      <c r="D685" s="354" t="s">
        <v>574</v>
      </c>
      <c r="E685" s="355">
        <f>WORK!K2779</f>
        <v>6</v>
      </c>
      <c r="F685" s="353">
        <f>ROUND(C685*E685,0)</f>
        <v>0</v>
      </c>
      <c r="G685" s="368"/>
      <c r="H685" s="368"/>
      <c r="I685" s="368">
        <f>C685-G685</f>
        <v>0</v>
      </c>
      <c r="J685" s="368">
        <f>F685-H685</f>
        <v>0</v>
      </c>
      <c r="K685" s="360" t="s">
        <v>2308</v>
      </c>
    </row>
    <row r="686" spans="1:11" s="360" customFormat="1" ht="20.25" hidden="1" customHeight="1">
      <c r="A686" s="356" t="s">
        <v>1143</v>
      </c>
      <c r="B686" s="357" t="s">
        <v>1816</v>
      </c>
      <c r="C686" s="358">
        <f>WORK!I2921</f>
        <v>0</v>
      </c>
      <c r="D686" s="354" t="s">
        <v>574</v>
      </c>
      <c r="E686" s="355">
        <f>WORK!K2921</f>
        <v>6</v>
      </c>
      <c r="F686" s="353">
        <f>ROUND(C686*E686,0)</f>
        <v>0</v>
      </c>
      <c r="G686" s="368"/>
      <c r="H686" s="368"/>
      <c r="I686" s="368">
        <f>C686-G686</f>
        <v>0</v>
      </c>
      <c r="J686" s="368">
        <f>F686-H686</f>
        <v>0</v>
      </c>
      <c r="K686" s="360" t="s">
        <v>2321</v>
      </c>
    </row>
    <row r="687" spans="1:11" s="360" customFormat="1" ht="20.25" hidden="1" customHeight="1">
      <c r="A687" s="356" t="s">
        <v>531</v>
      </c>
      <c r="B687" s="357" t="s">
        <v>1816</v>
      </c>
      <c r="C687" s="358">
        <f>WORK!I3059</f>
        <v>0</v>
      </c>
      <c r="D687" s="354" t="s">
        <v>574</v>
      </c>
      <c r="E687" s="355">
        <f>WORK!K3059</f>
        <v>9.5</v>
      </c>
      <c r="F687" s="353">
        <f>ROUND(C687*E687,0)</f>
        <v>0</v>
      </c>
      <c r="G687" s="368"/>
      <c r="H687" s="368"/>
      <c r="I687" s="368">
        <f>C687-G687</f>
        <v>0</v>
      </c>
      <c r="J687" s="368">
        <f>F687-H687</f>
        <v>0</v>
      </c>
      <c r="K687" s="360" t="s">
        <v>2322</v>
      </c>
    </row>
    <row r="688" spans="1:11" s="360" customFormat="1" ht="20.25" hidden="1" customHeight="1">
      <c r="A688" s="356" t="s">
        <v>532</v>
      </c>
      <c r="B688" s="357" t="s">
        <v>3212</v>
      </c>
      <c r="C688" s="358">
        <f>WORK!I2644</f>
        <v>0</v>
      </c>
      <c r="D688" s="354" t="s">
        <v>277</v>
      </c>
      <c r="E688" s="355">
        <f>WORK!K2644</f>
        <v>446.4</v>
      </c>
      <c r="F688" s="353">
        <f t="shared" si="33"/>
        <v>0</v>
      </c>
      <c r="G688" s="368"/>
      <c r="H688" s="368"/>
      <c r="I688" s="368">
        <f t="shared" si="28"/>
        <v>0</v>
      </c>
      <c r="J688" s="368">
        <f t="shared" si="29"/>
        <v>0</v>
      </c>
      <c r="K688" s="360" t="s">
        <v>2226</v>
      </c>
    </row>
    <row r="689" spans="1:11" s="360" customFormat="1" ht="20.25" hidden="1" customHeight="1">
      <c r="A689" s="356" t="s">
        <v>1585</v>
      </c>
      <c r="B689" s="357" t="s">
        <v>553</v>
      </c>
      <c r="C689" s="358">
        <f>WORK!I2782</f>
        <v>0</v>
      </c>
      <c r="D689" s="354" t="s">
        <v>277</v>
      </c>
      <c r="E689" s="355">
        <f>WORK!K2782</f>
        <v>446.4</v>
      </c>
      <c r="F689" s="353">
        <f>ROUND(C689*E689,0)</f>
        <v>0</v>
      </c>
      <c r="G689" s="368"/>
      <c r="H689" s="368"/>
      <c r="I689" s="368">
        <f>C689-G689</f>
        <v>0</v>
      </c>
      <c r="J689" s="368">
        <f>F689-H689</f>
        <v>0</v>
      </c>
      <c r="K689" s="360" t="s">
        <v>2308</v>
      </c>
    </row>
    <row r="690" spans="1:11" s="360" customFormat="1" ht="20.25" hidden="1" customHeight="1">
      <c r="A690" s="356" t="s">
        <v>1586</v>
      </c>
      <c r="B690" s="357" t="s">
        <v>553</v>
      </c>
      <c r="C690" s="358">
        <f>WORK!I2924</f>
        <v>0</v>
      </c>
      <c r="D690" s="354" t="s">
        <v>277</v>
      </c>
      <c r="E690" s="355">
        <f>WORK!K2924</f>
        <v>470</v>
      </c>
      <c r="F690" s="353">
        <f>ROUND(C690*E690,0)</f>
        <v>0</v>
      </c>
      <c r="G690" s="368"/>
      <c r="H690" s="368"/>
      <c r="I690" s="368">
        <f>C690-G690</f>
        <v>0</v>
      </c>
      <c r="J690" s="368">
        <f>F690-H690</f>
        <v>0</v>
      </c>
      <c r="K690" s="360" t="s">
        <v>2321</v>
      </c>
    </row>
    <row r="691" spans="1:11" s="360" customFormat="1" ht="20.25" hidden="1" customHeight="1">
      <c r="A691" s="356" t="s">
        <v>1586</v>
      </c>
      <c r="B691" s="357" t="s">
        <v>553</v>
      </c>
      <c r="C691" s="358">
        <f>WORK!I3062</f>
        <v>0</v>
      </c>
      <c r="D691" s="354" t="s">
        <v>277</v>
      </c>
      <c r="E691" s="355">
        <f>WORK!K3062</f>
        <v>446.4</v>
      </c>
      <c r="F691" s="353">
        <f>ROUND(C691*E691,0)</f>
        <v>0</v>
      </c>
      <c r="G691" s="368"/>
      <c r="H691" s="368"/>
      <c r="I691" s="368">
        <f>C691-G691</f>
        <v>0</v>
      </c>
      <c r="J691" s="368">
        <f>F691-H691</f>
        <v>0</v>
      </c>
      <c r="K691" s="360" t="s">
        <v>2322</v>
      </c>
    </row>
    <row r="692" spans="1:11" s="360" customFormat="1" ht="20.25" hidden="1" customHeight="1">
      <c r="A692" s="356" t="s">
        <v>1583</v>
      </c>
      <c r="B692" s="357" t="s">
        <v>3212</v>
      </c>
      <c r="C692" s="358">
        <f>WORK!I2645</f>
        <v>0</v>
      </c>
      <c r="D692" s="354" t="s">
        <v>277</v>
      </c>
      <c r="E692" s="355">
        <f>WORK!K2645</f>
        <v>477.6</v>
      </c>
      <c r="F692" s="353">
        <f t="shared" si="33"/>
        <v>0</v>
      </c>
      <c r="G692" s="368"/>
      <c r="H692" s="368"/>
      <c r="I692" s="368">
        <f t="shared" si="28"/>
        <v>0</v>
      </c>
      <c r="J692" s="368">
        <f t="shared" si="29"/>
        <v>0</v>
      </c>
      <c r="K692" s="360" t="s">
        <v>2226</v>
      </c>
    </row>
    <row r="693" spans="1:11" s="360" customFormat="1" ht="20.25" hidden="1" customHeight="1">
      <c r="A693" s="356" t="s">
        <v>524</v>
      </c>
      <c r="B693" s="357" t="s">
        <v>553</v>
      </c>
      <c r="C693" s="358">
        <f>WORK!I2783</f>
        <v>0</v>
      </c>
      <c r="D693" s="354" t="s">
        <v>277</v>
      </c>
      <c r="E693" s="355">
        <f>WORK!K2783</f>
        <v>477.6</v>
      </c>
      <c r="F693" s="353">
        <f>ROUND(C693*E693,0)</f>
        <v>0</v>
      </c>
      <c r="G693" s="368"/>
      <c r="H693" s="368"/>
      <c r="I693" s="368">
        <f>C693-G693</f>
        <v>0</v>
      </c>
      <c r="J693" s="368">
        <f>F693-H693</f>
        <v>0</v>
      </c>
      <c r="K693" s="360" t="s">
        <v>2308</v>
      </c>
    </row>
    <row r="694" spans="1:11" s="360" customFormat="1" ht="20.25" hidden="1" customHeight="1">
      <c r="A694" s="356" t="s">
        <v>524</v>
      </c>
      <c r="B694" s="357" t="s">
        <v>553</v>
      </c>
      <c r="C694" s="358">
        <f>WORK!I2925</f>
        <v>0</v>
      </c>
      <c r="D694" s="354" t="s">
        <v>277</v>
      </c>
      <c r="E694" s="355">
        <f>WORK!K2925</f>
        <v>502</v>
      </c>
      <c r="F694" s="353">
        <f>ROUND(C694*E694,0)</f>
        <v>0</v>
      </c>
      <c r="G694" s="368"/>
      <c r="H694" s="368"/>
      <c r="I694" s="368">
        <f>C694-G694</f>
        <v>0</v>
      </c>
      <c r="J694" s="368">
        <f>F694-H694</f>
        <v>0</v>
      </c>
      <c r="K694" s="360" t="s">
        <v>2321</v>
      </c>
    </row>
    <row r="695" spans="1:11" s="360" customFormat="1" ht="20.25" hidden="1" customHeight="1">
      <c r="A695" s="356" t="s">
        <v>524</v>
      </c>
      <c r="B695" s="357" t="s">
        <v>553</v>
      </c>
      <c r="C695" s="358">
        <f>WORK!I3063</f>
        <v>0</v>
      </c>
      <c r="D695" s="354" t="s">
        <v>277</v>
      </c>
      <c r="E695" s="355">
        <f>WORK!K3063</f>
        <v>477.6</v>
      </c>
      <c r="F695" s="353">
        <f>ROUND(C695*E695,0)</f>
        <v>0</v>
      </c>
      <c r="G695" s="368"/>
      <c r="H695" s="368"/>
      <c r="I695" s="368">
        <f>C695-G695</f>
        <v>0</v>
      </c>
      <c r="J695" s="368">
        <f>F695-H695</f>
        <v>0</v>
      </c>
      <c r="K695" s="360" t="s">
        <v>2322</v>
      </c>
    </row>
    <row r="696" spans="1:11" s="360" customFormat="1" ht="20.25" hidden="1" customHeight="1">
      <c r="A696" s="356" t="s">
        <v>525</v>
      </c>
      <c r="B696" s="357" t="s">
        <v>553</v>
      </c>
      <c r="C696" s="358">
        <f>WORK!I2646</f>
        <v>0</v>
      </c>
      <c r="D696" s="354" t="s">
        <v>277</v>
      </c>
      <c r="E696" s="355">
        <f>WORK!K2646</f>
        <v>600</v>
      </c>
      <c r="F696" s="353">
        <f t="shared" si="33"/>
        <v>0</v>
      </c>
      <c r="G696" s="368"/>
      <c r="H696" s="368"/>
      <c r="I696" s="368">
        <f t="shared" si="28"/>
        <v>0</v>
      </c>
      <c r="J696" s="368">
        <f t="shared" si="29"/>
        <v>0</v>
      </c>
      <c r="K696" s="360" t="s">
        <v>2226</v>
      </c>
    </row>
    <row r="697" spans="1:11" s="360" customFormat="1" ht="20.25" hidden="1" customHeight="1">
      <c r="A697" s="356" t="s">
        <v>525</v>
      </c>
      <c r="B697" s="357" t="s">
        <v>553</v>
      </c>
      <c r="C697" s="358">
        <f>WORK!I2784</f>
        <v>0</v>
      </c>
      <c r="D697" s="354" t="s">
        <v>277</v>
      </c>
      <c r="E697" s="355">
        <f>WORK!K2784</f>
        <v>535.70000000000005</v>
      </c>
      <c r="F697" s="353">
        <f>ROUND(C697*E697,0)</f>
        <v>0</v>
      </c>
      <c r="G697" s="368"/>
      <c r="H697" s="368"/>
      <c r="I697" s="368">
        <f>C697-G697</f>
        <v>0</v>
      </c>
      <c r="J697" s="368">
        <f>F697-H697</f>
        <v>0</v>
      </c>
      <c r="K697" s="360" t="s">
        <v>2308</v>
      </c>
    </row>
    <row r="698" spans="1:11" s="360" customFormat="1" ht="20.25" hidden="1" customHeight="1">
      <c r="A698" s="356" t="s">
        <v>525</v>
      </c>
      <c r="B698" s="357" t="s">
        <v>553</v>
      </c>
      <c r="C698" s="358">
        <f>WORK!I2926</f>
        <v>0</v>
      </c>
      <c r="D698" s="354" t="s">
        <v>277</v>
      </c>
      <c r="E698" s="355">
        <f>WORK!K2926</f>
        <v>563</v>
      </c>
      <c r="F698" s="353">
        <f>ROUND(C698*E698,0)</f>
        <v>0</v>
      </c>
      <c r="G698" s="368"/>
      <c r="H698" s="368"/>
      <c r="I698" s="368">
        <f>C698-G698</f>
        <v>0</v>
      </c>
      <c r="J698" s="368">
        <f>F698-H698</f>
        <v>0</v>
      </c>
      <c r="K698" s="360" t="s">
        <v>2321</v>
      </c>
    </row>
    <row r="699" spans="1:11" s="360" customFormat="1" ht="20.25" hidden="1" customHeight="1">
      <c r="A699" s="356" t="s">
        <v>525</v>
      </c>
      <c r="B699" s="357" t="s">
        <v>553</v>
      </c>
      <c r="C699" s="358">
        <f>WORK!I3064</f>
        <v>0</v>
      </c>
      <c r="D699" s="354" t="s">
        <v>277</v>
      </c>
      <c r="E699" s="355">
        <f>WORK!K3064</f>
        <v>535.70000000000005</v>
      </c>
      <c r="F699" s="353">
        <f>ROUND(C699*E699,0)</f>
        <v>0</v>
      </c>
      <c r="G699" s="368"/>
      <c r="H699" s="368"/>
      <c r="I699" s="368">
        <f>C699-G699</f>
        <v>0</v>
      </c>
      <c r="J699" s="368">
        <f>F699-H699</f>
        <v>0</v>
      </c>
      <c r="K699" s="360" t="s">
        <v>2322</v>
      </c>
    </row>
    <row r="700" spans="1:11" s="360" customFormat="1" ht="20.25" hidden="1" customHeight="1">
      <c r="A700" s="356" t="s">
        <v>533</v>
      </c>
      <c r="B700" s="357" t="s">
        <v>2122</v>
      </c>
      <c r="C700" s="358">
        <f>WORK!I2652</f>
        <v>0</v>
      </c>
      <c r="D700" s="354" t="s">
        <v>277</v>
      </c>
      <c r="E700" s="355">
        <f>WORK!K2652</f>
        <v>325</v>
      </c>
      <c r="F700" s="353">
        <f t="shared" si="33"/>
        <v>0</v>
      </c>
      <c r="G700" s="368"/>
      <c r="H700" s="368"/>
      <c r="I700" s="368">
        <f t="shared" si="28"/>
        <v>0</v>
      </c>
      <c r="J700" s="368">
        <f t="shared" si="29"/>
        <v>0</v>
      </c>
      <c r="K700" s="360" t="s">
        <v>2226</v>
      </c>
    </row>
    <row r="701" spans="1:11" s="360" customFormat="1" ht="20.25" hidden="1" customHeight="1">
      <c r="A701" s="356" t="s">
        <v>1143</v>
      </c>
      <c r="B701" s="357" t="s">
        <v>2122</v>
      </c>
      <c r="C701" s="358">
        <f>WORK!I2790</f>
        <v>0</v>
      </c>
      <c r="D701" s="354" t="s">
        <v>277</v>
      </c>
      <c r="E701" s="355">
        <f>WORK!K2790</f>
        <v>325</v>
      </c>
      <c r="F701" s="353">
        <f>ROUND(C701*E701,0)</f>
        <v>0</v>
      </c>
      <c r="G701" s="368"/>
      <c r="H701" s="368"/>
      <c r="I701" s="368">
        <f>C701-G701</f>
        <v>0</v>
      </c>
      <c r="J701" s="368">
        <f>F701-H701</f>
        <v>0</v>
      </c>
      <c r="K701" s="360" t="s">
        <v>2308</v>
      </c>
    </row>
    <row r="702" spans="1:11" s="360" customFormat="1" ht="20.25" hidden="1" customHeight="1">
      <c r="A702" s="356" t="s">
        <v>645</v>
      </c>
      <c r="B702" s="357" t="s">
        <v>2122</v>
      </c>
      <c r="C702" s="358">
        <f>WORK!I2932</f>
        <v>0</v>
      </c>
      <c r="D702" s="354" t="s">
        <v>277</v>
      </c>
      <c r="E702" s="355">
        <f>WORK!K2932</f>
        <v>342</v>
      </c>
      <c r="F702" s="353">
        <f>ROUND(C702*E702,0)</f>
        <v>0</v>
      </c>
      <c r="G702" s="368"/>
      <c r="H702" s="368"/>
      <c r="I702" s="368">
        <f>C702-G702</f>
        <v>0</v>
      </c>
      <c r="J702" s="368">
        <f>F702-H702</f>
        <v>0</v>
      </c>
      <c r="K702" s="360" t="s">
        <v>2321</v>
      </c>
    </row>
    <row r="703" spans="1:11" s="360" customFormat="1" ht="20.25" hidden="1" customHeight="1">
      <c r="A703" s="356" t="s">
        <v>645</v>
      </c>
      <c r="B703" s="357" t="s">
        <v>2122</v>
      </c>
      <c r="C703" s="358">
        <f>WORK!I3070</f>
        <v>0</v>
      </c>
      <c r="D703" s="354" t="s">
        <v>277</v>
      </c>
      <c r="E703" s="355">
        <f>WORK!K3070</f>
        <v>325</v>
      </c>
      <c r="F703" s="353">
        <f>ROUND(C703*E703,0)</f>
        <v>0</v>
      </c>
      <c r="G703" s="368"/>
      <c r="H703" s="368"/>
      <c r="I703" s="368">
        <f>C703-G703</f>
        <v>0</v>
      </c>
      <c r="J703" s="368">
        <f>F703-H703</f>
        <v>0</v>
      </c>
      <c r="K703" s="360" t="s">
        <v>2322</v>
      </c>
    </row>
    <row r="704" spans="1:11" s="360" customFormat="1" ht="20.25" hidden="1" customHeight="1">
      <c r="A704" s="356" t="s">
        <v>534</v>
      </c>
      <c r="B704" s="357" t="s">
        <v>2309</v>
      </c>
      <c r="C704" s="358">
        <f>WORK!I2657</f>
        <v>0</v>
      </c>
      <c r="D704" s="354" t="s">
        <v>115</v>
      </c>
      <c r="E704" s="355">
        <f>WORK!K2657</f>
        <v>18409</v>
      </c>
      <c r="F704" s="353">
        <f t="shared" si="33"/>
        <v>0</v>
      </c>
      <c r="G704" s="368"/>
      <c r="H704" s="368"/>
      <c r="I704" s="368">
        <f t="shared" si="28"/>
        <v>0</v>
      </c>
      <c r="J704" s="368">
        <f t="shared" si="29"/>
        <v>0</v>
      </c>
      <c r="K704" s="360" t="s">
        <v>2226</v>
      </c>
    </row>
    <row r="705" spans="1:11" s="360" customFormat="1" ht="20.25" hidden="1" customHeight="1">
      <c r="A705" s="356" t="s">
        <v>1586</v>
      </c>
      <c r="B705" s="357" t="s">
        <v>2309</v>
      </c>
      <c r="C705" s="358">
        <f>WORK!I2795</f>
        <v>0</v>
      </c>
      <c r="D705" s="354" t="s">
        <v>115</v>
      </c>
      <c r="E705" s="355">
        <f>WORK!K2795</f>
        <v>18526</v>
      </c>
      <c r="F705" s="353">
        <f>ROUND(C705*E705,0)</f>
        <v>0</v>
      </c>
      <c r="G705" s="368"/>
      <c r="H705" s="368"/>
      <c r="I705" s="368">
        <f>C705-G705</f>
        <v>0</v>
      </c>
      <c r="J705" s="368">
        <f>F705-H705</f>
        <v>0</v>
      </c>
      <c r="K705" s="360" t="s">
        <v>2308</v>
      </c>
    </row>
    <row r="706" spans="1:11" s="360" customFormat="1" ht="20.25" hidden="1" customHeight="1">
      <c r="A706" s="356" t="s">
        <v>1587</v>
      </c>
      <c r="B706" s="357" t="s">
        <v>2309</v>
      </c>
      <c r="C706" s="358">
        <f>WORK!I2937</f>
        <v>0</v>
      </c>
      <c r="D706" s="354" t="s">
        <v>115</v>
      </c>
      <c r="E706" s="355">
        <f>WORK!K2937</f>
        <v>18370</v>
      </c>
      <c r="F706" s="353">
        <f>ROUND(C706*E706,0)</f>
        <v>0</v>
      </c>
      <c r="G706" s="368"/>
      <c r="H706" s="368"/>
      <c r="I706" s="368">
        <f>C706-G706</f>
        <v>0</v>
      </c>
      <c r="J706" s="368">
        <f>F706-H706</f>
        <v>0</v>
      </c>
      <c r="K706" s="360" t="s">
        <v>2321</v>
      </c>
    </row>
    <row r="707" spans="1:11" s="360" customFormat="1" ht="20.25" hidden="1" customHeight="1">
      <c r="A707" s="356" t="s">
        <v>1587</v>
      </c>
      <c r="B707" s="357" t="s">
        <v>2309</v>
      </c>
      <c r="C707" s="358">
        <f>WORK!I3075</f>
        <v>0</v>
      </c>
      <c r="D707" s="354" t="s">
        <v>115</v>
      </c>
      <c r="E707" s="355">
        <f>WORK!K3075</f>
        <v>18370</v>
      </c>
      <c r="F707" s="353">
        <f>ROUND(C707*E707,0)</f>
        <v>0</v>
      </c>
      <c r="G707" s="368"/>
      <c r="H707" s="368"/>
      <c r="I707" s="368">
        <f>C707-G707</f>
        <v>0</v>
      </c>
      <c r="J707" s="368">
        <f>F707-H707</f>
        <v>0</v>
      </c>
      <c r="K707" s="360" t="s">
        <v>2322</v>
      </c>
    </row>
    <row r="708" spans="1:11" s="360" customFormat="1" ht="20.25" hidden="1" customHeight="1">
      <c r="A708" s="356" t="s">
        <v>642</v>
      </c>
      <c r="B708" s="357" t="s">
        <v>2807</v>
      </c>
      <c r="C708" s="358">
        <f>WORK!I2662</f>
        <v>0</v>
      </c>
      <c r="D708" s="354" t="s">
        <v>277</v>
      </c>
      <c r="E708" s="355">
        <f>WORK!K2662</f>
        <v>64</v>
      </c>
      <c r="F708" s="353">
        <f t="shared" si="33"/>
        <v>0</v>
      </c>
      <c r="G708" s="368"/>
      <c r="H708" s="368"/>
      <c r="I708" s="368">
        <f t="shared" si="28"/>
        <v>0</v>
      </c>
      <c r="J708" s="368">
        <f t="shared" si="29"/>
        <v>0</v>
      </c>
      <c r="K708" s="360" t="s">
        <v>2226</v>
      </c>
    </row>
    <row r="709" spans="1:11" s="360" customFormat="1" ht="20.25" hidden="1" customHeight="1">
      <c r="A709" s="356" t="s">
        <v>645</v>
      </c>
      <c r="B709" s="357" t="s">
        <v>2807</v>
      </c>
      <c r="C709" s="358">
        <f>WORK!I2800</f>
        <v>0</v>
      </c>
      <c r="D709" s="354" t="s">
        <v>277</v>
      </c>
      <c r="E709" s="355">
        <f>WORK!K2800</f>
        <v>59</v>
      </c>
      <c r="F709" s="353">
        <f>ROUND(C709*E709,0)</f>
        <v>0</v>
      </c>
      <c r="G709" s="368"/>
      <c r="H709" s="368"/>
      <c r="I709" s="368">
        <f>C709-G709</f>
        <v>0</v>
      </c>
      <c r="J709" s="368">
        <f>F709-H709</f>
        <v>0</v>
      </c>
      <c r="K709" s="360" t="s">
        <v>2308</v>
      </c>
    </row>
    <row r="710" spans="1:11" s="360" customFormat="1" ht="20.25" hidden="1" customHeight="1">
      <c r="A710" s="356" t="s">
        <v>1588</v>
      </c>
      <c r="B710" s="357" t="s">
        <v>636</v>
      </c>
      <c r="C710" s="358">
        <f>WORK!I2942</f>
        <v>0</v>
      </c>
      <c r="D710" s="354" t="s">
        <v>277</v>
      </c>
      <c r="E710" s="355">
        <f>WORK!K2942</f>
        <v>73</v>
      </c>
      <c r="F710" s="353">
        <f>ROUND(C710*E710,0)</f>
        <v>0</v>
      </c>
      <c r="G710" s="368"/>
      <c r="H710" s="368"/>
      <c r="I710" s="368">
        <f>C710-G710</f>
        <v>0</v>
      </c>
      <c r="J710" s="368">
        <f>F710-H710</f>
        <v>0</v>
      </c>
      <c r="K710" s="360" t="s">
        <v>2321</v>
      </c>
    </row>
    <row r="711" spans="1:11" s="360" customFormat="1" ht="20.25" hidden="1" customHeight="1">
      <c r="A711" s="356" t="s">
        <v>1588</v>
      </c>
      <c r="B711" s="357" t="s">
        <v>636</v>
      </c>
      <c r="C711" s="358">
        <f>WORK!I3080</f>
        <v>0</v>
      </c>
      <c r="D711" s="354" t="s">
        <v>277</v>
      </c>
      <c r="E711" s="355">
        <f>WORK!K3080</f>
        <v>85</v>
      </c>
      <c r="F711" s="353">
        <f>ROUND(C711*E711,0)</f>
        <v>0</v>
      </c>
      <c r="G711" s="368"/>
      <c r="H711" s="368"/>
      <c r="I711" s="368">
        <f>C711-G711</f>
        <v>0</v>
      </c>
      <c r="J711" s="368">
        <f>F711-H711</f>
        <v>0</v>
      </c>
      <c r="K711" s="360" t="s">
        <v>2322</v>
      </c>
    </row>
    <row r="712" spans="1:11" s="360" customFormat="1" ht="20.25" hidden="1" customHeight="1">
      <c r="A712" s="356" t="s">
        <v>643</v>
      </c>
      <c r="B712" s="357" t="s">
        <v>1447</v>
      </c>
      <c r="C712" s="358">
        <f>WORK!I2667</f>
        <v>0</v>
      </c>
      <c r="D712" s="354" t="s">
        <v>115</v>
      </c>
      <c r="E712" s="355">
        <f>WORK!K2667</f>
        <v>109</v>
      </c>
      <c r="F712" s="353">
        <f t="shared" si="33"/>
        <v>0</v>
      </c>
      <c r="G712" s="368"/>
      <c r="H712" s="368"/>
      <c r="I712" s="368">
        <f t="shared" si="28"/>
        <v>0</v>
      </c>
      <c r="J712" s="368">
        <f t="shared" si="29"/>
        <v>0</v>
      </c>
      <c r="K712" s="360" t="s">
        <v>2226</v>
      </c>
    </row>
    <row r="713" spans="1:11" s="360" customFormat="1" ht="20.25" hidden="1" customHeight="1">
      <c r="A713" s="356" t="s">
        <v>1587</v>
      </c>
      <c r="B713" s="357" t="s">
        <v>1447</v>
      </c>
      <c r="C713" s="358">
        <f>WORK!I2805</f>
        <v>0</v>
      </c>
      <c r="D713" s="354" t="s">
        <v>115</v>
      </c>
      <c r="E713" s="355">
        <f>WORK!K2805</f>
        <v>300</v>
      </c>
      <c r="F713" s="353">
        <f>ROUND(C713*E713,0)</f>
        <v>0</v>
      </c>
      <c r="G713" s="368"/>
      <c r="H713" s="368"/>
      <c r="I713" s="368">
        <f>C713-G713</f>
        <v>0</v>
      </c>
      <c r="J713" s="368">
        <f>F713-H713</f>
        <v>0</v>
      </c>
      <c r="K713" s="360" t="s">
        <v>2308</v>
      </c>
    </row>
    <row r="714" spans="1:11" s="360" customFormat="1" ht="20.25" hidden="1" customHeight="1">
      <c r="A714" s="356" t="s">
        <v>646</v>
      </c>
      <c r="B714" s="357" t="s">
        <v>284</v>
      </c>
      <c r="C714" s="358">
        <f>WORK!I2947</f>
        <v>0</v>
      </c>
      <c r="D714" s="354" t="s">
        <v>115</v>
      </c>
      <c r="E714" s="355">
        <f>WORK!K2947</f>
        <v>315</v>
      </c>
      <c r="F714" s="353">
        <f>ROUND(C714*E714,0)</f>
        <v>0</v>
      </c>
      <c r="G714" s="368"/>
      <c r="H714" s="368"/>
      <c r="I714" s="368">
        <f>C714-G714</f>
        <v>0</v>
      </c>
      <c r="J714" s="368">
        <f>F714-H714</f>
        <v>0</v>
      </c>
      <c r="K714" s="360" t="s">
        <v>2321</v>
      </c>
    </row>
    <row r="715" spans="1:11" s="360" customFormat="1" ht="20.25" hidden="1" customHeight="1">
      <c r="A715" s="356" t="s">
        <v>646</v>
      </c>
      <c r="B715" s="357" t="s">
        <v>284</v>
      </c>
      <c r="C715" s="358">
        <f>WORK!I3085</f>
        <v>0</v>
      </c>
      <c r="D715" s="354" t="s">
        <v>115</v>
      </c>
      <c r="E715" s="355">
        <f>WORK!K3085</f>
        <v>300</v>
      </c>
      <c r="F715" s="353">
        <f>ROUND(C715*E715,0)</f>
        <v>0</v>
      </c>
      <c r="G715" s="368"/>
      <c r="H715" s="368"/>
      <c r="I715" s="368">
        <f>C715-G715</f>
        <v>0</v>
      </c>
      <c r="J715" s="368">
        <f>F715-H715</f>
        <v>0</v>
      </c>
      <c r="K715" s="360" t="s">
        <v>2322</v>
      </c>
    </row>
    <row r="716" spans="1:11" s="360" customFormat="1" ht="20.25" hidden="1" customHeight="1">
      <c r="A716" s="356" t="s">
        <v>644</v>
      </c>
      <c r="B716" s="357" t="s">
        <v>2806</v>
      </c>
      <c r="C716" s="358">
        <f>WORK!I2672</f>
        <v>0</v>
      </c>
      <c r="D716" s="354" t="s">
        <v>115</v>
      </c>
      <c r="E716" s="355">
        <f>WORK!K2672</f>
        <v>198</v>
      </c>
      <c r="F716" s="353">
        <f t="shared" si="33"/>
        <v>0</v>
      </c>
      <c r="G716" s="368"/>
      <c r="H716" s="368"/>
      <c r="I716" s="368">
        <f t="shared" si="28"/>
        <v>0</v>
      </c>
      <c r="J716" s="368">
        <f t="shared" si="29"/>
        <v>0</v>
      </c>
      <c r="K716" s="360" t="s">
        <v>2226</v>
      </c>
    </row>
    <row r="717" spans="1:11" s="360" customFormat="1" ht="20.25" hidden="1" customHeight="1">
      <c r="A717" s="356" t="s">
        <v>1588</v>
      </c>
      <c r="B717" s="357" t="s">
        <v>2806</v>
      </c>
      <c r="C717" s="358">
        <f>WORK!I2810</f>
        <v>0</v>
      </c>
      <c r="D717" s="354" t="s">
        <v>115</v>
      </c>
      <c r="E717" s="355">
        <f>WORK!K2810</f>
        <v>400</v>
      </c>
      <c r="F717" s="353">
        <f>ROUND(C717*E717,0)</f>
        <v>0</v>
      </c>
      <c r="G717" s="368"/>
      <c r="H717" s="368"/>
      <c r="I717" s="368">
        <f>C717-G717</f>
        <v>0</v>
      </c>
      <c r="J717" s="368">
        <f>F717-H717</f>
        <v>0</v>
      </c>
      <c r="K717" s="360" t="s">
        <v>2308</v>
      </c>
    </row>
    <row r="718" spans="1:11" s="360" customFormat="1" ht="20.25" hidden="1" customHeight="1">
      <c r="A718" s="356" t="s">
        <v>1144</v>
      </c>
      <c r="B718" s="357" t="s">
        <v>285</v>
      </c>
      <c r="C718" s="358">
        <f>WORK!I2952</f>
        <v>0</v>
      </c>
      <c r="D718" s="354" t="s">
        <v>115</v>
      </c>
      <c r="E718" s="355">
        <f>WORK!K2952</f>
        <v>420</v>
      </c>
      <c r="F718" s="353">
        <f>ROUND(C718*E718,0)</f>
        <v>0</v>
      </c>
      <c r="G718" s="368"/>
      <c r="H718" s="368"/>
      <c r="I718" s="368">
        <f>C718-G718</f>
        <v>0</v>
      </c>
      <c r="J718" s="368">
        <f>F718-H718</f>
        <v>0</v>
      </c>
      <c r="K718" s="360" t="s">
        <v>2321</v>
      </c>
    </row>
    <row r="719" spans="1:11" s="360" customFormat="1" ht="20.25" hidden="1" customHeight="1">
      <c r="A719" s="356" t="s">
        <v>1144</v>
      </c>
      <c r="B719" s="357" t="s">
        <v>285</v>
      </c>
      <c r="C719" s="358">
        <f>WORK!I3090</f>
        <v>0</v>
      </c>
      <c r="D719" s="354" t="s">
        <v>115</v>
      </c>
      <c r="E719" s="355">
        <f>WORK!K3090</f>
        <v>400</v>
      </c>
      <c r="F719" s="353">
        <f>ROUND(C719*E719,0)</f>
        <v>0</v>
      </c>
      <c r="G719" s="368"/>
      <c r="H719" s="368"/>
      <c r="I719" s="368">
        <f>C719-G719</f>
        <v>0</v>
      </c>
      <c r="J719" s="368">
        <f>F719-H719</f>
        <v>0</v>
      </c>
      <c r="K719" s="360" t="s">
        <v>2322</v>
      </c>
    </row>
    <row r="720" spans="1:11" s="360" customFormat="1" ht="20.25" hidden="1" customHeight="1">
      <c r="A720" s="356" t="s">
        <v>1577</v>
      </c>
      <c r="B720" s="357" t="s">
        <v>2808</v>
      </c>
      <c r="C720" s="358">
        <f>WORK!I2677</f>
        <v>0</v>
      </c>
      <c r="D720" s="354" t="s">
        <v>115</v>
      </c>
      <c r="E720" s="355">
        <f>WORK!K2677</f>
        <v>22</v>
      </c>
      <c r="F720" s="353">
        <f t="shared" si="33"/>
        <v>0</v>
      </c>
      <c r="G720" s="368"/>
      <c r="H720" s="368"/>
      <c r="I720" s="368">
        <f t="shared" si="28"/>
        <v>0</v>
      </c>
      <c r="J720" s="368">
        <f t="shared" si="29"/>
        <v>0</v>
      </c>
      <c r="K720" s="360" t="s">
        <v>2226</v>
      </c>
    </row>
    <row r="721" spans="1:11" s="360" customFormat="1" ht="20.25" hidden="1" customHeight="1">
      <c r="A721" s="356" t="s">
        <v>646</v>
      </c>
      <c r="B721" s="357" t="s">
        <v>2808</v>
      </c>
      <c r="C721" s="358">
        <f>WORK!I2815</f>
        <v>0</v>
      </c>
      <c r="D721" s="354" t="s">
        <v>115</v>
      </c>
      <c r="E721" s="355">
        <f>WORK!K2815</f>
        <v>70</v>
      </c>
      <c r="F721" s="353">
        <f>ROUND(C721*E721,0)</f>
        <v>0</v>
      </c>
      <c r="G721" s="368"/>
      <c r="H721" s="368"/>
      <c r="I721" s="368">
        <f>C721-G721</f>
        <v>0</v>
      </c>
      <c r="J721" s="368">
        <f>F721-H721</f>
        <v>0</v>
      </c>
      <c r="K721" s="360" t="s">
        <v>2308</v>
      </c>
    </row>
    <row r="722" spans="1:11" s="360" customFormat="1" ht="20.25" hidden="1" customHeight="1">
      <c r="A722" s="356" t="s">
        <v>1591</v>
      </c>
      <c r="B722" s="357" t="s">
        <v>286</v>
      </c>
      <c r="C722" s="358">
        <f>WORK!I2957</f>
        <v>0</v>
      </c>
      <c r="D722" s="354" t="s">
        <v>115</v>
      </c>
      <c r="E722" s="355">
        <f>WORK!K2957</f>
        <v>73</v>
      </c>
      <c r="F722" s="353">
        <f>ROUND(C722*E722,0)</f>
        <v>0</v>
      </c>
      <c r="G722" s="368"/>
      <c r="H722" s="368"/>
      <c r="I722" s="368">
        <f>C722-G722</f>
        <v>0</v>
      </c>
      <c r="J722" s="368">
        <f>F722-H722</f>
        <v>0</v>
      </c>
      <c r="K722" s="360" t="s">
        <v>2321</v>
      </c>
    </row>
    <row r="723" spans="1:11" s="360" customFormat="1" ht="20.25" hidden="1" customHeight="1">
      <c r="A723" s="356" t="s">
        <v>1591</v>
      </c>
      <c r="B723" s="357" t="s">
        <v>286</v>
      </c>
      <c r="C723" s="358">
        <f>WORK!I3095</f>
        <v>0</v>
      </c>
      <c r="D723" s="354" t="s">
        <v>115</v>
      </c>
      <c r="E723" s="355">
        <f>WORK!K3095</f>
        <v>77</v>
      </c>
      <c r="F723" s="353">
        <f>ROUND(C723*E723,0)</f>
        <v>0</v>
      </c>
      <c r="G723" s="368"/>
      <c r="H723" s="368"/>
      <c r="I723" s="368">
        <f>C723-G723</f>
        <v>0</v>
      </c>
      <c r="J723" s="368">
        <f>F723-H723</f>
        <v>0</v>
      </c>
      <c r="K723" s="360" t="s">
        <v>2322</v>
      </c>
    </row>
    <row r="724" spans="1:11" s="360" customFormat="1" ht="20.25" hidden="1" customHeight="1">
      <c r="A724" s="356" t="s">
        <v>1584</v>
      </c>
      <c r="B724" s="357" t="s">
        <v>2809</v>
      </c>
      <c r="C724" s="358">
        <f>WORK!I2682</f>
        <v>0</v>
      </c>
      <c r="D724" s="354" t="s">
        <v>115</v>
      </c>
      <c r="E724" s="355">
        <f>WORK!K2682</f>
        <v>145.19999999999999</v>
      </c>
      <c r="F724" s="353">
        <f t="shared" si="33"/>
        <v>0</v>
      </c>
      <c r="G724" s="368"/>
      <c r="H724" s="368"/>
      <c r="I724" s="368">
        <f t="shared" si="28"/>
        <v>0</v>
      </c>
      <c r="J724" s="368">
        <f t="shared" si="29"/>
        <v>0</v>
      </c>
      <c r="K724" s="360" t="s">
        <v>2226</v>
      </c>
    </row>
    <row r="725" spans="1:11" s="360" customFormat="1" ht="20.25" hidden="1" customHeight="1">
      <c r="A725" s="356" t="s">
        <v>1144</v>
      </c>
      <c r="B725" s="357" t="s">
        <v>2809</v>
      </c>
      <c r="C725" s="358">
        <f>WORK!I2820</f>
        <v>0</v>
      </c>
      <c r="D725" s="354" t="s">
        <v>115</v>
      </c>
      <c r="E725" s="355">
        <f>WORK!K2820</f>
        <v>175</v>
      </c>
      <c r="F725" s="353">
        <f>ROUND(C725*E725,0)</f>
        <v>0</v>
      </c>
      <c r="G725" s="368"/>
      <c r="H725" s="368"/>
      <c r="I725" s="368">
        <f>C725-G725</f>
        <v>0</v>
      </c>
      <c r="J725" s="368">
        <f>F725-H725</f>
        <v>0</v>
      </c>
      <c r="K725" s="360" t="s">
        <v>2308</v>
      </c>
    </row>
    <row r="726" spans="1:11" s="360" customFormat="1" ht="20.25" hidden="1" customHeight="1">
      <c r="A726" s="356" t="s">
        <v>647</v>
      </c>
      <c r="B726" s="357" t="s">
        <v>287</v>
      </c>
      <c r="C726" s="358">
        <f>WORK!I2962</f>
        <v>0</v>
      </c>
      <c r="D726" s="354" t="s">
        <v>115</v>
      </c>
      <c r="E726" s="355">
        <f>WORK!K2962</f>
        <v>177</v>
      </c>
      <c r="F726" s="353">
        <f>ROUND(C726*E726,0)</f>
        <v>0</v>
      </c>
      <c r="G726" s="368"/>
      <c r="H726" s="368"/>
      <c r="I726" s="368">
        <f>C726-G726</f>
        <v>0</v>
      </c>
      <c r="J726" s="368">
        <f>F726-H726</f>
        <v>0</v>
      </c>
      <c r="K726" s="360" t="s">
        <v>2321</v>
      </c>
    </row>
    <row r="727" spans="1:11" s="360" customFormat="1" ht="20.25" hidden="1" customHeight="1">
      <c r="A727" s="356" t="s">
        <v>647</v>
      </c>
      <c r="B727" s="357" t="s">
        <v>287</v>
      </c>
      <c r="C727" s="358">
        <f>WORK!I3100</f>
        <v>0</v>
      </c>
      <c r="D727" s="354" t="s">
        <v>115</v>
      </c>
      <c r="E727" s="355">
        <f>WORK!K3100</f>
        <v>194</v>
      </c>
      <c r="F727" s="353">
        <f>ROUND(C727*E727,0)</f>
        <v>0</v>
      </c>
      <c r="G727" s="368"/>
      <c r="H727" s="368"/>
      <c r="I727" s="368">
        <f>C727-G727</f>
        <v>0</v>
      </c>
      <c r="J727" s="368">
        <f>F727-H727</f>
        <v>0</v>
      </c>
      <c r="K727" s="360" t="s">
        <v>2322</v>
      </c>
    </row>
    <row r="728" spans="1:11" s="360" customFormat="1" ht="20.25" hidden="1" customHeight="1">
      <c r="A728" s="356" t="s">
        <v>1585</v>
      </c>
      <c r="B728" s="357" t="s">
        <v>3213</v>
      </c>
      <c r="C728" s="358">
        <f>WORK!I2687</f>
        <v>0</v>
      </c>
      <c r="D728" s="354" t="s">
        <v>277</v>
      </c>
      <c r="E728" s="355">
        <f>WORK!K2687</f>
        <v>80</v>
      </c>
      <c r="F728" s="353">
        <f t="shared" si="33"/>
        <v>0</v>
      </c>
      <c r="G728" s="368"/>
      <c r="H728" s="368"/>
      <c r="I728" s="368">
        <f t="shared" si="28"/>
        <v>0</v>
      </c>
      <c r="J728" s="368">
        <f t="shared" si="29"/>
        <v>0</v>
      </c>
      <c r="K728" s="360" t="s">
        <v>2226</v>
      </c>
    </row>
    <row r="729" spans="1:11" s="360" customFormat="1" ht="20.25" hidden="1" customHeight="1">
      <c r="A729" s="356" t="s">
        <v>1589</v>
      </c>
      <c r="B729" s="357" t="s">
        <v>2810</v>
      </c>
      <c r="C729" s="358">
        <f>WORK!I2825</f>
        <v>0</v>
      </c>
      <c r="D729" s="354" t="s">
        <v>277</v>
      </c>
      <c r="E729" s="355">
        <f>WORK!K2825</f>
        <v>80</v>
      </c>
      <c r="F729" s="353">
        <f t="shared" ref="F729" si="34">ROUND(C729*E729,0)</f>
        <v>0</v>
      </c>
      <c r="G729" s="368"/>
      <c r="H729" s="368"/>
      <c r="I729" s="368">
        <f>C729-G729</f>
        <v>0</v>
      </c>
      <c r="J729" s="368">
        <f>F729-H729</f>
        <v>0</v>
      </c>
      <c r="K729" s="360" t="s">
        <v>2308</v>
      </c>
    </row>
    <row r="730" spans="1:11" s="360" customFormat="1" ht="20.25" hidden="1" customHeight="1">
      <c r="A730" s="356" t="s">
        <v>1589</v>
      </c>
      <c r="B730" s="357" t="s">
        <v>2123</v>
      </c>
      <c r="C730" s="358">
        <f>WORK!I2967</f>
        <v>0</v>
      </c>
      <c r="D730" s="354" t="s">
        <v>277</v>
      </c>
      <c r="E730" s="355">
        <f>WORK!K2967</f>
        <v>92</v>
      </c>
      <c r="F730" s="353">
        <f>ROUND(C730*E730,0)</f>
        <v>0</v>
      </c>
      <c r="G730" s="368"/>
      <c r="H730" s="368"/>
      <c r="I730" s="368">
        <f>C730-G730</f>
        <v>0</v>
      </c>
      <c r="J730" s="368">
        <f>F730-H730</f>
        <v>0</v>
      </c>
      <c r="K730" s="360" t="s">
        <v>2321</v>
      </c>
    </row>
    <row r="731" spans="1:11" s="360" customFormat="1" ht="20.25" hidden="1" customHeight="1">
      <c r="A731" s="356" t="s">
        <v>1589</v>
      </c>
      <c r="B731" s="357" t="s">
        <v>2123</v>
      </c>
      <c r="C731" s="358">
        <f>WORK!I3105</f>
        <v>0</v>
      </c>
      <c r="D731" s="354" t="s">
        <v>277</v>
      </c>
      <c r="E731" s="355">
        <f>WORK!K3105</f>
        <v>105</v>
      </c>
      <c r="F731" s="353">
        <f>ROUND(C731*E731,0)</f>
        <v>0</v>
      </c>
      <c r="G731" s="368"/>
      <c r="H731" s="368"/>
      <c r="I731" s="368">
        <f>C731-G731</f>
        <v>0</v>
      </c>
      <c r="J731" s="368">
        <f>F731-H731</f>
        <v>0</v>
      </c>
      <c r="K731" s="360" t="s">
        <v>2322</v>
      </c>
    </row>
    <row r="732" spans="1:11" s="360" customFormat="1" ht="20.25" hidden="1" customHeight="1">
      <c r="A732" s="356" t="s">
        <v>1143</v>
      </c>
      <c r="B732" s="357" t="s">
        <v>2124</v>
      </c>
      <c r="C732" s="358">
        <f>WORK!I2692</f>
        <v>0</v>
      </c>
      <c r="D732" s="354" t="s">
        <v>115</v>
      </c>
      <c r="E732" s="355">
        <f>WORK!K2692</f>
        <v>4500</v>
      </c>
      <c r="F732" s="353">
        <f t="shared" si="33"/>
        <v>0</v>
      </c>
      <c r="G732" s="368"/>
      <c r="H732" s="368"/>
      <c r="I732" s="368">
        <f t="shared" si="28"/>
        <v>0</v>
      </c>
      <c r="J732" s="368">
        <f t="shared" si="29"/>
        <v>0</v>
      </c>
      <c r="K732" s="360" t="s">
        <v>2226</v>
      </c>
    </row>
    <row r="733" spans="1:11" s="360" customFormat="1" ht="20.25" hidden="1" customHeight="1">
      <c r="A733" s="356" t="s">
        <v>1590</v>
      </c>
      <c r="B733" s="357" t="s">
        <v>2811</v>
      </c>
      <c r="C733" s="358">
        <f>WORK!I2830</f>
        <v>0</v>
      </c>
      <c r="D733" s="354" t="s">
        <v>115</v>
      </c>
      <c r="E733" s="355">
        <f>WORK!K2830</f>
        <v>4500</v>
      </c>
      <c r="F733" s="353">
        <f>ROUND(C733*E733,0)</f>
        <v>0</v>
      </c>
      <c r="G733" s="368"/>
      <c r="H733" s="368"/>
      <c r="I733" s="368">
        <f>C733-G733</f>
        <v>0</v>
      </c>
      <c r="J733" s="368">
        <f>F733-H733</f>
        <v>0</v>
      </c>
      <c r="K733" s="360" t="s">
        <v>2308</v>
      </c>
    </row>
    <row r="734" spans="1:11" s="360" customFormat="1" ht="20.25" hidden="1" customHeight="1">
      <c r="A734" s="356" t="s">
        <v>1590</v>
      </c>
      <c r="B734" s="357" t="s">
        <v>2124</v>
      </c>
      <c r="C734" s="358">
        <f>WORK!I2972</f>
        <v>0</v>
      </c>
      <c r="D734" s="354" t="s">
        <v>115</v>
      </c>
      <c r="E734" s="355">
        <f>WORK!K2972</f>
        <v>4950</v>
      </c>
      <c r="F734" s="353">
        <f>ROUND(C734*E734,0)</f>
        <v>0</v>
      </c>
      <c r="G734" s="368"/>
      <c r="H734" s="368"/>
      <c r="I734" s="368">
        <f>C734-G734</f>
        <v>0</v>
      </c>
      <c r="J734" s="368">
        <f>F734-H734</f>
        <v>0</v>
      </c>
      <c r="K734" s="360" t="s">
        <v>2321</v>
      </c>
    </row>
    <row r="735" spans="1:11" s="360" customFormat="1" ht="20.25" hidden="1" customHeight="1">
      <c r="A735" s="356" t="s">
        <v>1590</v>
      </c>
      <c r="B735" s="357" t="s">
        <v>2124</v>
      </c>
      <c r="C735" s="358">
        <f>WORK!I3110</f>
        <v>0</v>
      </c>
      <c r="D735" s="354" t="s">
        <v>115</v>
      </c>
      <c r="E735" s="355">
        <f>WORK!K3110</f>
        <v>5445</v>
      </c>
      <c r="F735" s="353">
        <f>ROUND(C735*E735,0)</f>
        <v>0</v>
      </c>
      <c r="G735" s="368"/>
      <c r="H735" s="368"/>
      <c r="I735" s="368">
        <f>C735-G735</f>
        <v>0</v>
      </c>
      <c r="J735" s="368">
        <f>F735-H735</f>
        <v>0</v>
      </c>
      <c r="K735" s="360" t="s">
        <v>2322</v>
      </c>
    </row>
    <row r="736" spans="1:11" s="360" customFormat="1" ht="20.25" hidden="1" customHeight="1">
      <c r="A736" s="356"/>
      <c r="B736" s="431" t="s">
        <v>426</v>
      </c>
      <c r="C736" s="358"/>
      <c r="D736" s="354"/>
      <c r="E736" s="355"/>
      <c r="F736" s="353"/>
      <c r="G736" s="368"/>
      <c r="H736" s="368"/>
      <c r="I736" s="368">
        <f t="shared" si="28"/>
        <v>0</v>
      </c>
      <c r="J736" s="368">
        <f t="shared" si="29"/>
        <v>0</v>
      </c>
      <c r="K736" s="360" t="s">
        <v>2226</v>
      </c>
    </row>
    <row r="737" spans="1:11" s="360" customFormat="1" ht="20.25" customHeight="1">
      <c r="A737" s="356" t="s">
        <v>495</v>
      </c>
      <c r="B737" s="357" t="s">
        <v>2125</v>
      </c>
      <c r="C737" s="358">
        <f>WORK!I3118</f>
        <v>60</v>
      </c>
      <c r="D737" s="354" t="s">
        <v>277</v>
      </c>
      <c r="E737" s="355">
        <f>WORK!K3118</f>
        <v>71.040000000000006</v>
      </c>
      <c r="F737" s="353">
        <f t="shared" ref="F737:F897" si="35">ROUND(C737*E737,0)</f>
        <v>4262</v>
      </c>
      <c r="G737" s="353"/>
      <c r="H737" s="353"/>
      <c r="I737" s="368">
        <f t="shared" si="28"/>
        <v>60</v>
      </c>
      <c r="J737" s="368">
        <f t="shared" si="29"/>
        <v>4262</v>
      </c>
      <c r="K737" s="360" t="s">
        <v>2226</v>
      </c>
    </row>
    <row r="738" spans="1:11" s="360" customFormat="1" ht="20.25" hidden="1" customHeight="1">
      <c r="A738" s="356" t="s">
        <v>1519</v>
      </c>
      <c r="B738" s="357" t="s">
        <v>2125</v>
      </c>
      <c r="C738" s="358">
        <f>WORK!I3338</f>
        <v>0</v>
      </c>
      <c r="D738" s="354" t="s">
        <v>277</v>
      </c>
      <c r="E738" s="355">
        <f>WORK!K3338</f>
        <v>64.86</v>
      </c>
      <c r="F738" s="353">
        <f>ROUND(C738*E738,0)</f>
        <v>0</v>
      </c>
      <c r="G738" s="353"/>
      <c r="H738" s="353"/>
      <c r="I738" s="368">
        <f>C738-G738</f>
        <v>0</v>
      </c>
      <c r="J738" s="368">
        <f>F738-H738</f>
        <v>0</v>
      </c>
      <c r="K738" s="360" t="s">
        <v>2308</v>
      </c>
    </row>
    <row r="739" spans="1:11" s="360" customFormat="1" ht="20.25" hidden="1" customHeight="1">
      <c r="A739" s="356" t="s">
        <v>1143</v>
      </c>
      <c r="B739" s="357" t="s">
        <v>2125</v>
      </c>
      <c r="C739" s="358">
        <f>WORK!I3557</f>
        <v>0</v>
      </c>
      <c r="D739" s="354" t="s">
        <v>277</v>
      </c>
      <c r="E739" s="355">
        <f>WORK!K3557</f>
        <v>69.88</v>
      </c>
      <c r="F739" s="353">
        <f>ROUND(C739*E739,0)</f>
        <v>0</v>
      </c>
      <c r="G739" s="353"/>
      <c r="H739" s="353"/>
      <c r="I739" s="368">
        <f>C739-G739</f>
        <v>0</v>
      </c>
      <c r="J739" s="368">
        <f>F739-H739</f>
        <v>0</v>
      </c>
      <c r="K739" s="360" t="s">
        <v>2321</v>
      </c>
    </row>
    <row r="740" spans="1:11" s="360" customFormat="1" ht="20.25" hidden="1" customHeight="1">
      <c r="A740" s="356" t="s">
        <v>1143</v>
      </c>
      <c r="B740" s="357" t="s">
        <v>2125</v>
      </c>
      <c r="C740" s="358">
        <f>WORK!I3777</f>
        <v>0</v>
      </c>
      <c r="D740" s="354" t="s">
        <v>277</v>
      </c>
      <c r="E740" s="355">
        <f>WORK!K3777</f>
        <v>80.180000000000007</v>
      </c>
      <c r="F740" s="353">
        <f>ROUND(C740*E740,0)</f>
        <v>0</v>
      </c>
      <c r="G740" s="353"/>
      <c r="H740" s="353"/>
      <c r="I740" s="368">
        <f>C740-G740</f>
        <v>0</v>
      </c>
      <c r="J740" s="368">
        <f>F740-H740</f>
        <v>0</v>
      </c>
      <c r="K740" s="360" t="s">
        <v>2322</v>
      </c>
    </row>
    <row r="741" spans="1:11" s="360" customFormat="1" ht="20.25" customHeight="1">
      <c r="A741" s="356" t="s">
        <v>1517</v>
      </c>
      <c r="B741" s="357" t="s">
        <v>2126</v>
      </c>
      <c r="C741" s="358">
        <f>WORK!I3125</f>
        <v>60</v>
      </c>
      <c r="D741" s="354" t="s">
        <v>277</v>
      </c>
      <c r="E741" s="355">
        <f>WORK!K3125</f>
        <v>79.19</v>
      </c>
      <c r="F741" s="353">
        <f t="shared" si="35"/>
        <v>4751</v>
      </c>
      <c r="G741" s="368"/>
      <c r="H741" s="368"/>
      <c r="I741" s="368">
        <f t="shared" si="28"/>
        <v>60</v>
      </c>
      <c r="J741" s="368">
        <f t="shared" si="29"/>
        <v>4751</v>
      </c>
      <c r="K741" s="360" t="s">
        <v>2226</v>
      </c>
    </row>
    <row r="742" spans="1:11" s="360" customFormat="1" ht="20.25" hidden="1" customHeight="1">
      <c r="A742" s="356" t="s">
        <v>647</v>
      </c>
      <c r="B742" s="357" t="s">
        <v>2126</v>
      </c>
      <c r="C742" s="358">
        <f>WORK!I3344</f>
        <v>0</v>
      </c>
      <c r="D742" s="354" t="s">
        <v>277</v>
      </c>
      <c r="E742" s="355">
        <f>WORK!K3344</f>
        <v>73.41</v>
      </c>
      <c r="F742" s="353">
        <f>ROUND(C742*E742,0)</f>
        <v>0</v>
      </c>
      <c r="G742" s="368"/>
      <c r="H742" s="368"/>
      <c r="I742" s="368">
        <f>C742-G742</f>
        <v>0</v>
      </c>
      <c r="J742" s="368">
        <f>F742-H742</f>
        <v>0</v>
      </c>
      <c r="K742" s="360" t="s">
        <v>2308</v>
      </c>
    </row>
    <row r="743" spans="1:11" s="360" customFormat="1" ht="20.25" hidden="1" customHeight="1">
      <c r="A743" s="356" t="s">
        <v>508</v>
      </c>
      <c r="B743" s="357" t="s">
        <v>2126</v>
      </c>
      <c r="C743" s="358">
        <f>WORK!I3564</f>
        <v>0</v>
      </c>
      <c r="D743" s="354" t="s">
        <v>277</v>
      </c>
      <c r="E743" s="355">
        <f>WORK!K3564</f>
        <v>79.430000000000007</v>
      </c>
      <c r="F743" s="353">
        <f>ROUND(C743*E743,0)</f>
        <v>0</v>
      </c>
      <c r="G743" s="368"/>
      <c r="H743" s="368"/>
      <c r="I743" s="368">
        <f>C743-G743</f>
        <v>0</v>
      </c>
      <c r="J743" s="368">
        <f>F743-H743</f>
        <v>0</v>
      </c>
      <c r="K743" s="360" t="s">
        <v>2321</v>
      </c>
    </row>
    <row r="744" spans="1:11" s="360" customFormat="1" ht="20.25" hidden="1" customHeight="1">
      <c r="A744" s="356" t="s">
        <v>503</v>
      </c>
      <c r="B744" s="357" t="s">
        <v>2126</v>
      </c>
      <c r="C744" s="358">
        <f>WORK!I3784</f>
        <v>0</v>
      </c>
      <c r="D744" s="354" t="s">
        <v>277</v>
      </c>
      <c r="E744" s="355">
        <f>WORK!K3784</f>
        <v>89.61</v>
      </c>
      <c r="F744" s="353">
        <f>ROUND(C744*E744,0)</f>
        <v>0</v>
      </c>
      <c r="G744" s="368"/>
      <c r="H744" s="368"/>
      <c r="I744" s="368">
        <f>C744-G744</f>
        <v>0</v>
      </c>
      <c r="J744" s="368">
        <f>F744-H744</f>
        <v>0</v>
      </c>
      <c r="K744" s="360" t="s">
        <v>2322</v>
      </c>
    </row>
    <row r="745" spans="1:11" s="360" customFormat="1" ht="20.25" hidden="1" customHeight="1">
      <c r="A745" s="356" t="s">
        <v>1158</v>
      </c>
      <c r="B745" s="357" t="s">
        <v>572</v>
      </c>
      <c r="C745" s="358">
        <f>WORK!I3133</f>
        <v>0</v>
      </c>
      <c r="D745" s="354" t="s">
        <v>277</v>
      </c>
      <c r="E745" s="355">
        <f>WORK!K3133</f>
        <v>55</v>
      </c>
      <c r="F745" s="353">
        <f t="shared" si="35"/>
        <v>0</v>
      </c>
      <c r="G745" s="368"/>
      <c r="H745" s="368"/>
      <c r="I745" s="368">
        <f t="shared" si="28"/>
        <v>0</v>
      </c>
      <c r="J745" s="368">
        <f t="shared" si="29"/>
        <v>0</v>
      </c>
      <c r="K745" s="360" t="s">
        <v>2226</v>
      </c>
    </row>
    <row r="746" spans="1:11" s="360" customFormat="1" ht="20.25" hidden="1" customHeight="1">
      <c r="A746" s="356" t="s">
        <v>1158</v>
      </c>
      <c r="B746" s="357" t="s">
        <v>572</v>
      </c>
      <c r="C746" s="358">
        <f>WORK!I3352</f>
        <v>0</v>
      </c>
      <c r="D746" s="354" t="s">
        <v>277</v>
      </c>
      <c r="E746" s="355">
        <f>WORK!K3352</f>
        <v>55</v>
      </c>
      <c r="F746" s="353">
        <f>ROUND(C746*E746,0)</f>
        <v>0</v>
      </c>
      <c r="G746" s="368"/>
      <c r="H746" s="368"/>
      <c r="I746" s="368">
        <f>C746-G746</f>
        <v>0</v>
      </c>
      <c r="J746" s="368">
        <f>F746-H746</f>
        <v>0</v>
      </c>
      <c r="K746" s="360" t="s">
        <v>2308</v>
      </c>
    </row>
    <row r="747" spans="1:11" s="360" customFormat="1" ht="20.25" hidden="1" customHeight="1">
      <c r="A747" s="356" t="s">
        <v>1158</v>
      </c>
      <c r="B747" s="357" t="s">
        <v>572</v>
      </c>
      <c r="C747" s="358">
        <f>WORK!I3572</f>
        <v>0</v>
      </c>
      <c r="D747" s="354" t="s">
        <v>277</v>
      </c>
      <c r="E747" s="355">
        <f>WORK!K3572</f>
        <v>58</v>
      </c>
      <c r="F747" s="353">
        <f>ROUND(C747*E747,0)</f>
        <v>0</v>
      </c>
      <c r="G747" s="368"/>
      <c r="H747" s="368"/>
      <c r="I747" s="368">
        <f>C747-G747</f>
        <v>0</v>
      </c>
      <c r="J747" s="368">
        <f>F747-H747</f>
        <v>0</v>
      </c>
      <c r="K747" s="360" t="s">
        <v>2321</v>
      </c>
    </row>
    <row r="748" spans="1:11" s="360" customFormat="1" ht="20.25" hidden="1" customHeight="1">
      <c r="A748" s="356" t="s">
        <v>1158</v>
      </c>
      <c r="B748" s="357" t="s">
        <v>572</v>
      </c>
      <c r="C748" s="358">
        <f>WORK!I3792</f>
        <v>0</v>
      </c>
      <c r="D748" s="354" t="s">
        <v>277</v>
      </c>
      <c r="E748" s="355">
        <f>WORK!K3792</f>
        <v>64</v>
      </c>
      <c r="F748" s="353">
        <f>ROUND(C748*E748,0)</f>
        <v>0</v>
      </c>
      <c r="G748" s="368"/>
      <c r="H748" s="368"/>
      <c r="I748" s="368">
        <f>C748-G748</f>
        <v>0</v>
      </c>
      <c r="J748" s="368">
        <f>F748-H748</f>
        <v>0</v>
      </c>
      <c r="K748" s="360" t="s">
        <v>2322</v>
      </c>
    </row>
    <row r="749" spans="1:11" s="360" customFormat="1" ht="20.25" customHeight="1">
      <c r="A749" s="356" t="s">
        <v>1518</v>
      </c>
      <c r="B749" s="357" t="s">
        <v>1448</v>
      </c>
      <c r="C749" s="358">
        <f>WORK!I3138</f>
        <v>1</v>
      </c>
      <c r="D749" s="354" t="s">
        <v>115</v>
      </c>
      <c r="E749" s="355">
        <f>WORK!K3138</f>
        <v>205</v>
      </c>
      <c r="F749" s="353">
        <f t="shared" si="35"/>
        <v>205</v>
      </c>
      <c r="G749" s="368"/>
      <c r="H749" s="368"/>
      <c r="I749" s="368">
        <f t="shared" si="28"/>
        <v>1</v>
      </c>
      <c r="J749" s="368">
        <f t="shared" si="29"/>
        <v>205</v>
      </c>
      <c r="K749" s="360" t="s">
        <v>2226</v>
      </c>
    </row>
    <row r="750" spans="1:11" s="360" customFormat="1" ht="20.25" hidden="1" customHeight="1">
      <c r="A750" s="356" t="s">
        <v>1592</v>
      </c>
      <c r="B750" s="357" t="s">
        <v>1448</v>
      </c>
      <c r="C750" s="358">
        <f>WORK!I3357</f>
        <v>0</v>
      </c>
      <c r="D750" s="354" t="s">
        <v>115</v>
      </c>
      <c r="E750" s="355">
        <f>WORK!K3357</f>
        <v>205</v>
      </c>
      <c r="F750" s="353">
        <f>ROUND(C750*E750,0)</f>
        <v>0</v>
      </c>
      <c r="G750" s="368"/>
      <c r="H750" s="368"/>
      <c r="I750" s="368">
        <f>C750-G750</f>
        <v>0</v>
      </c>
      <c r="J750" s="368">
        <f>F750-H750</f>
        <v>0</v>
      </c>
      <c r="K750" s="360" t="s">
        <v>2308</v>
      </c>
    </row>
    <row r="751" spans="1:11" s="360" customFormat="1" ht="20.25" hidden="1" customHeight="1">
      <c r="A751" s="356" t="s">
        <v>510</v>
      </c>
      <c r="B751" s="357" t="s">
        <v>1448</v>
      </c>
      <c r="C751" s="358">
        <f>WORK!I3577</f>
        <v>0</v>
      </c>
      <c r="D751" s="354" t="s">
        <v>115</v>
      </c>
      <c r="E751" s="355">
        <f>WORK!K3577</f>
        <v>226</v>
      </c>
      <c r="F751" s="353">
        <f>ROUND(C751*E751,0)</f>
        <v>0</v>
      </c>
      <c r="G751" s="368"/>
      <c r="H751" s="368"/>
      <c r="I751" s="368">
        <f>C751-G751</f>
        <v>0</v>
      </c>
      <c r="J751" s="368">
        <f>F751-H751</f>
        <v>0</v>
      </c>
      <c r="K751" s="360" t="s">
        <v>2321</v>
      </c>
    </row>
    <row r="752" spans="1:11" s="360" customFormat="1" ht="20.25" hidden="1" customHeight="1">
      <c r="A752" s="356" t="s">
        <v>504</v>
      </c>
      <c r="B752" s="357" t="s">
        <v>1448</v>
      </c>
      <c r="C752" s="358">
        <f>WORK!I3797</f>
        <v>0</v>
      </c>
      <c r="D752" s="354" t="s">
        <v>115</v>
      </c>
      <c r="E752" s="355">
        <f>WORK!K3797</f>
        <v>245</v>
      </c>
      <c r="F752" s="353">
        <f>ROUND(C752*E752,0)</f>
        <v>0</v>
      </c>
      <c r="G752" s="368"/>
      <c r="H752" s="368"/>
      <c r="I752" s="368">
        <f>C752-G752</f>
        <v>0</v>
      </c>
      <c r="J752" s="368">
        <f>F752-H752</f>
        <v>0</v>
      </c>
      <c r="K752" s="360" t="s">
        <v>2322</v>
      </c>
    </row>
    <row r="753" spans="1:11" s="360" customFormat="1" ht="20.25" customHeight="1">
      <c r="A753" s="356" t="s">
        <v>1519</v>
      </c>
      <c r="B753" s="357" t="s">
        <v>1449</v>
      </c>
      <c r="C753" s="358">
        <f>WORK!I3143</f>
        <v>10</v>
      </c>
      <c r="D753" s="354" t="s">
        <v>115</v>
      </c>
      <c r="E753" s="355">
        <f>WORK!K3143</f>
        <v>170</v>
      </c>
      <c r="F753" s="353">
        <f t="shared" si="35"/>
        <v>1700</v>
      </c>
      <c r="G753" s="368"/>
      <c r="H753" s="368"/>
      <c r="I753" s="368">
        <f t="shared" si="28"/>
        <v>10</v>
      </c>
      <c r="J753" s="368">
        <f t="shared" si="29"/>
        <v>1700</v>
      </c>
      <c r="K753" s="360" t="s">
        <v>2226</v>
      </c>
    </row>
    <row r="754" spans="1:11" s="360" customFormat="1" ht="20.25" hidden="1" customHeight="1">
      <c r="A754" s="356" t="s">
        <v>1578</v>
      </c>
      <c r="B754" s="357" t="s">
        <v>1449</v>
      </c>
      <c r="C754" s="358">
        <f>WORK!I3362</f>
        <v>0</v>
      </c>
      <c r="D754" s="354" t="s">
        <v>115</v>
      </c>
      <c r="E754" s="355">
        <f>WORK!K3362</f>
        <v>170</v>
      </c>
      <c r="F754" s="353">
        <f>ROUND(C754*E754,0)</f>
        <v>0</v>
      </c>
      <c r="G754" s="368"/>
      <c r="H754" s="368"/>
      <c r="I754" s="368">
        <f>C754-G754</f>
        <v>0</v>
      </c>
      <c r="J754" s="368">
        <f>F754-H754</f>
        <v>0</v>
      </c>
      <c r="K754" s="360" t="s">
        <v>2308</v>
      </c>
    </row>
    <row r="755" spans="1:11" s="360" customFormat="1" ht="20.25" hidden="1" customHeight="1">
      <c r="A755" s="356" t="s">
        <v>645</v>
      </c>
      <c r="B755" s="357" t="s">
        <v>1449</v>
      </c>
      <c r="C755" s="358">
        <f>WORK!I3582</f>
        <v>0</v>
      </c>
      <c r="D755" s="354" t="s">
        <v>115</v>
      </c>
      <c r="E755" s="355">
        <f>WORK!K3582</f>
        <v>187</v>
      </c>
      <c r="F755" s="353">
        <f>ROUND(C755*E755,0)</f>
        <v>0</v>
      </c>
      <c r="G755" s="368"/>
      <c r="H755" s="368"/>
      <c r="I755" s="368">
        <f>C755-G755</f>
        <v>0</v>
      </c>
      <c r="J755" s="368">
        <f>F755-H755</f>
        <v>0</v>
      </c>
      <c r="K755" s="360" t="s">
        <v>2321</v>
      </c>
    </row>
    <row r="756" spans="1:11" s="360" customFormat="1" ht="20.25" hidden="1" customHeight="1">
      <c r="A756" s="356" t="s">
        <v>506</v>
      </c>
      <c r="B756" s="357" t="s">
        <v>1449</v>
      </c>
      <c r="C756" s="358">
        <f>WORK!I3802</f>
        <v>0</v>
      </c>
      <c r="D756" s="354" t="s">
        <v>115</v>
      </c>
      <c r="E756" s="355">
        <f>WORK!K3802</f>
        <v>203</v>
      </c>
      <c r="F756" s="353">
        <f>ROUND(C756*E756,0)</f>
        <v>0</v>
      </c>
      <c r="G756" s="368"/>
      <c r="H756" s="368"/>
      <c r="I756" s="368">
        <f>C756-G756</f>
        <v>0</v>
      </c>
      <c r="J756" s="368">
        <f>F756-H756</f>
        <v>0</v>
      </c>
      <c r="K756" s="360" t="s">
        <v>2322</v>
      </c>
    </row>
    <row r="757" spans="1:11" s="360" customFormat="1" ht="20.25" hidden="1" customHeight="1">
      <c r="A757" s="356" t="s">
        <v>1587</v>
      </c>
      <c r="B757" s="357" t="s">
        <v>1450</v>
      </c>
      <c r="C757" s="358">
        <f>WORK!I3148</f>
        <v>0</v>
      </c>
      <c r="D757" s="354" t="s">
        <v>115</v>
      </c>
      <c r="E757" s="355">
        <f>WORK!K3148</f>
        <v>130</v>
      </c>
      <c r="F757" s="353">
        <f t="shared" si="35"/>
        <v>0</v>
      </c>
      <c r="G757" s="368"/>
      <c r="H757" s="368"/>
      <c r="I757" s="368">
        <f t="shared" si="28"/>
        <v>0</v>
      </c>
      <c r="J757" s="368">
        <f t="shared" si="29"/>
        <v>0</v>
      </c>
      <c r="K757" s="360" t="s">
        <v>2226</v>
      </c>
    </row>
    <row r="758" spans="1:11" s="360" customFormat="1" ht="20.25" hidden="1" customHeight="1">
      <c r="A758" s="356" t="s">
        <v>1593</v>
      </c>
      <c r="B758" s="357" t="s">
        <v>1450</v>
      </c>
      <c r="C758" s="358">
        <f>WORK!I3367</f>
        <v>0</v>
      </c>
      <c r="D758" s="354" t="s">
        <v>115</v>
      </c>
      <c r="E758" s="355">
        <f>WORK!K3367</f>
        <v>130</v>
      </c>
      <c r="F758" s="353">
        <f>ROUND(C758*E758,0)</f>
        <v>0</v>
      </c>
      <c r="G758" s="368"/>
      <c r="H758" s="368"/>
      <c r="I758" s="368">
        <f>C758-G758</f>
        <v>0</v>
      </c>
      <c r="J758" s="368">
        <f>F758-H758</f>
        <v>0</v>
      </c>
      <c r="K758" s="360" t="s">
        <v>2308</v>
      </c>
    </row>
    <row r="759" spans="1:11" s="360" customFormat="1" ht="20.25" hidden="1" customHeight="1">
      <c r="A759" s="356" t="s">
        <v>1587</v>
      </c>
      <c r="B759" s="357" t="s">
        <v>1450</v>
      </c>
      <c r="C759" s="358">
        <f>WORK!I3587</f>
        <v>0</v>
      </c>
      <c r="D759" s="354" t="s">
        <v>115</v>
      </c>
      <c r="E759" s="355">
        <f>WORK!K3587</f>
        <v>143</v>
      </c>
      <c r="F759" s="353">
        <f>ROUND(C759*E759,0)</f>
        <v>0</v>
      </c>
      <c r="G759" s="368"/>
      <c r="H759" s="368"/>
      <c r="I759" s="368">
        <f>C759-G759</f>
        <v>0</v>
      </c>
      <c r="J759" s="368">
        <f>F759-H759</f>
        <v>0</v>
      </c>
      <c r="K759" s="360" t="s">
        <v>2321</v>
      </c>
    </row>
    <row r="760" spans="1:11" s="360" customFormat="1" ht="20.25" hidden="1" customHeight="1">
      <c r="A760" s="356" t="s">
        <v>500</v>
      </c>
      <c r="B760" s="357" t="s">
        <v>1450</v>
      </c>
      <c r="C760" s="358">
        <f>WORK!I3807</f>
        <v>0</v>
      </c>
      <c r="D760" s="354" t="s">
        <v>115</v>
      </c>
      <c r="E760" s="355">
        <f>WORK!K3807</f>
        <v>155</v>
      </c>
      <c r="F760" s="353">
        <f>ROUND(C760*E760,0)</f>
        <v>0</v>
      </c>
      <c r="G760" s="368"/>
      <c r="H760" s="368"/>
      <c r="I760" s="368">
        <f>C760-G760</f>
        <v>0</v>
      </c>
      <c r="J760" s="368">
        <f>F760-H760</f>
        <v>0</v>
      </c>
      <c r="K760" s="360" t="s">
        <v>2322</v>
      </c>
    </row>
    <row r="761" spans="1:11" s="360" customFormat="1" ht="20.25" hidden="1" customHeight="1">
      <c r="A761" s="356" t="s">
        <v>1588</v>
      </c>
      <c r="B761" s="357" t="s">
        <v>1452</v>
      </c>
      <c r="C761" s="358">
        <f>WORK!I3166</f>
        <v>0</v>
      </c>
      <c r="D761" s="354" t="s">
        <v>115</v>
      </c>
      <c r="E761" s="355">
        <f>WORK!K3166</f>
        <v>95</v>
      </c>
      <c r="F761" s="353">
        <f t="shared" si="35"/>
        <v>0</v>
      </c>
      <c r="G761" s="368"/>
      <c r="H761" s="368"/>
      <c r="I761" s="368">
        <f t="shared" si="28"/>
        <v>0</v>
      </c>
      <c r="J761" s="368">
        <f t="shared" si="29"/>
        <v>0</v>
      </c>
      <c r="K761" s="360" t="s">
        <v>2226</v>
      </c>
    </row>
    <row r="762" spans="1:11" s="360" customFormat="1" ht="20.25" hidden="1" customHeight="1">
      <c r="A762" s="356" t="s">
        <v>1589</v>
      </c>
      <c r="B762" s="357" t="s">
        <v>1452</v>
      </c>
      <c r="C762" s="358">
        <f>WORK!I3385</f>
        <v>0</v>
      </c>
      <c r="D762" s="354" t="s">
        <v>115</v>
      </c>
      <c r="E762" s="355">
        <f>WORK!K3385</f>
        <v>95</v>
      </c>
      <c r="F762" s="353">
        <f>ROUND(C762*E762,0)</f>
        <v>0</v>
      </c>
      <c r="G762" s="368"/>
      <c r="H762" s="368"/>
      <c r="I762" s="368">
        <f>C762-G762</f>
        <v>0</v>
      </c>
      <c r="J762" s="368">
        <f>F762-H762</f>
        <v>0</v>
      </c>
      <c r="K762" s="360" t="s">
        <v>2308</v>
      </c>
    </row>
    <row r="763" spans="1:11" s="360" customFormat="1" ht="20.25" hidden="1" customHeight="1">
      <c r="A763" s="356" t="s">
        <v>1588</v>
      </c>
      <c r="B763" s="357" t="s">
        <v>1452</v>
      </c>
      <c r="C763" s="358">
        <f>WORK!I3605</f>
        <v>0</v>
      </c>
      <c r="D763" s="354" t="s">
        <v>115</v>
      </c>
      <c r="E763" s="355">
        <f>WORK!K3605</f>
        <v>105</v>
      </c>
      <c r="F763" s="353">
        <f>ROUND(C763*E763,0)</f>
        <v>0</v>
      </c>
      <c r="G763" s="368"/>
      <c r="H763" s="368"/>
      <c r="I763" s="368">
        <f>C763-G763</f>
        <v>0</v>
      </c>
      <c r="J763" s="368">
        <f>F763-H763</f>
        <v>0</v>
      </c>
      <c r="K763" s="360" t="s">
        <v>2321</v>
      </c>
    </row>
    <row r="764" spans="1:11" s="360" customFormat="1" ht="20.25" hidden="1" customHeight="1">
      <c r="A764" s="356" t="s">
        <v>1588</v>
      </c>
      <c r="B764" s="357" t="s">
        <v>1452</v>
      </c>
      <c r="C764" s="358">
        <f>WORK!I3825</f>
        <v>0</v>
      </c>
      <c r="D764" s="354" t="s">
        <v>115</v>
      </c>
      <c r="E764" s="355">
        <f>WORK!K3825</f>
        <v>114</v>
      </c>
      <c r="F764" s="353">
        <f>ROUND(C764*E764,0)</f>
        <v>0</v>
      </c>
      <c r="G764" s="368"/>
      <c r="H764" s="368"/>
      <c r="I764" s="368">
        <f>C764-G764</f>
        <v>0</v>
      </c>
      <c r="J764" s="368">
        <f>F764-H764</f>
        <v>0</v>
      </c>
      <c r="K764" s="360" t="s">
        <v>2322</v>
      </c>
    </row>
    <row r="765" spans="1:11" s="360" customFormat="1" ht="20.25" hidden="1" customHeight="1">
      <c r="A765" s="356" t="s">
        <v>516</v>
      </c>
      <c r="B765" s="357" t="s">
        <v>1451</v>
      </c>
      <c r="C765" s="358">
        <f>WORK!I3161</f>
        <v>0</v>
      </c>
      <c r="D765" s="354" t="s">
        <v>115</v>
      </c>
      <c r="E765" s="355">
        <f>WORK!K3161</f>
        <v>335</v>
      </c>
      <c r="F765" s="353">
        <f t="shared" si="35"/>
        <v>0</v>
      </c>
      <c r="G765" s="368"/>
      <c r="H765" s="368"/>
      <c r="I765" s="368">
        <f t="shared" si="28"/>
        <v>0</v>
      </c>
      <c r="J765" s="368">
        <f t="shared" si="29"/>
        <v>0</v>
      </c>
      <c r="K765" s="360" t="s">
        <v>2226</v>
      </c>
    </row>
    <row r="766" spans="1:11" s="360" customFormat="1" ht="20.25" hidden="1" customHeight="1">
      <c r="A766" s="356" t="s">
        <v>516</v>
      </c>
      <c r="B766" s="357" t="s">
        <v>1451</v>
      </c>
      <c r="C766" s="358">
        <f>WORK!I3380</f>
        <v>0</v>
      </c>
      <c r="D766" s="354" t="s">
        <v>115</v>
      </c>
      <c r="E766" s="355">
        <f>WORK!K3380</f>
        <v>335</v>
      </c>
      <c r="F766" s="353">
        <f>ROUND(C766*E766,0)</f>
        <v>0</v>
      </c>
      <c r="G766" s="368"/>
      <c r="H766" s="368"/>
      <c r="I766" s="368">
        <f>C766-G766</f>
        <v>0</v>
      </c>
      <c r="J766" s="368">
        <f>F766-H766</f>
        <v>0</v>
      </c>
      <c r="K766" s="360" t="s">
        <v>2308</v>
      </c>
    </row>
    <row r="767" spans="1:11" s="360" customFormat="1" ht="20.25" hidden="1" customHeight="1">
      <c r="A767" s="356" t="s">
        <v>516</v>
      </c>
      <c r="B767" s="357" t="s">
        <v>1451</v>
      </c>
      <c r="C767" s="358">
        <f>WORK!I3600</f>
        <v>0</v>
      </c>
      <c r="D767" s="354" t="s">
        <v>115</v>
      </c>
      <c r="E767" s="355">
        <f>WORK!K3600</f>
        <v>369</v>
      </c>
      <c r="F767" s="353">
        <f>ROUND(C767*E767,0)</f>
        <v>0</v>
      </c>
      <c r="G767" s="368"/>
      <c r="H767" s="368"/>
      <c r="I767" s="368">
        <f>C767-G767</f>
        <v>0</v>
      </c>
      <c r="J767" s="368">
        <f>F767-H767</f>
        <v>0</v>
      </c>
      <c r="K767" s="360" t="s">
        <v>2321</v>
      </c>
    </row>
    <row r="768" spans="1:11" s="360" customFormat="1" ht="20.25" hidden="1" customHeight="1">
      <c r="A768" s="356" t="s">
        <v>516</v>
      </c>
      <c r="B768" s="357" t="s">
        <v>1451</v>
      </c>
      <c r="C768" s="358">
        <f>WORK!I3820</f>
        <v>0</v>
      </c>
      <c r="D768" s="354" t="s">
        <v>115</v>
      </c>
      <c r="E768" s="355">
        <f>WORK!K3820</f>
        <v>400</v>
      </c>
      <c r="F768" s="353">
        <f>ROUND(C768*E768,0)</f>
        <v>0</v>
      </c>
      <c r="G768" s="368"/>
      <c r="H768" s="368"/>
      <c r="I768" s="368">
        <f>C768-G768</f>
        <v>0</v>
      </c>
      <c r="J768" s="368">
        <f>F768-H768</f>
        <v>0</v>
      </c>
      <c r="K768" s="360" t="s">
        <v>2322</v>
      </c>
    </row>
    <row r="769" spans="1:11" s="360" customFormat="1" ht="20.25" hidden="1" customHeight="1">
      <c r="A769" s="356" t="s">
        <v>645</v>
      </c>
      <c r="B769" s="357" t="s">
        <v>1453</v>
      </c>
      <c r="C769" s="358">
        <f>WORK!I3171</f>
        <v>0</v>
      </c>
      <c r="D769" s="354" t="s">
        <v>115</v>
      </c>
      <c r="E769" s="355">
        <f>WORK!K3171</f>
        <v>57</v>
      </c>
      <c r="F769" s="353">
        <f t="shared" si="35"/>
        <v>0</v>
      </c>
      <c r="G769" s="368"/>
      <c r="H769" s="368"/>
      <c r="I769" s="368">
        <f t="shared" si="28"/>
        <v>0</v>
      </c>
      <c r="J769" s="368">
        <f t="shared" si="29"/>
        <v>0</v>
      </c>
      <c r="K769" s="360" t="s">
        <v>2226</v>
      </c>
    </row>
    <row r="770" spans="1:11" s="360" customFormat="1" ht="20.25" hidden="1" customHeight="1">
      <c r="A770" s="356" t="s">
        <v>1579</v>
      </c>
      <c r="B770" s="357" t="s">
        <v>1453</v>
      </c>
      <c r="C770" s="358">
        <f>WORK!I3390</f>
        <v>0</v>
      </c>
      <c r="D770" s="354" t="s">
        <v>115</v>
      </c>
      <c r="E770" s="355">
        <f>WORK!K3390</f>
        <v>57</v>
      </c>
      <c r="F770" s="353">
        <f>ROUND(C770*E770,0)</f>
        <v>0</v>
      </c>
      <c r="G770" s="368"/>
      <c r="H770" s="368"/>
      <c r="I770" s="368">
        <f>C770-G770</f>
        <v>0</v>
      </c>
      <c r="J770" s="368">
        <f>F770-H770</f>
        <v>0</v>
      </c>
      <c r="K770" s="360" t="s">
        <v>2308</v>
      </c>
    </row>
    <row r="771" spans="1:11" s="360" customFormat="1" ht="20.25" hidden="1" customHeight="1">
      <c r="A771" s="356" t="s">
        <v>645</v>
      </c>
      <c r="B771" s="357" t="s">
        <v>1453</v>
      </c>
      <c r="C771" s="358">
        <f>WORK!I3610</f>
        <v>0</v>
      </c>
      <c r="D771" s="354" t="s">
        <v>115</v>
      </c>
      <c r="E771" s="355">
        <f>WORK!K3610</f>
        <v>63</v>
      </c>
      <c r="F771" s="353">
        <f>ROUND(C771*E771,0)</f>
        <v>0</v>
      </c>
      <c r="G771" s="368"/>
      <c r="H771" s="368"/>
      <c r="I771" s="368">
        <f>C771-G771</f>
        <v>0</v>
      </c>
      <c r="J771" s="368">
        <f>F771-H771</f>
        <v>0</v>
      </c>
      <c r="K771" s="360" t="s">
        <v>2321</v>
      </c>
    </row>
    <row r="772" spans="1:11" s="360" customFormat="1" ht="20.25" hidden="1" customHeight="1">
      <c r="A772" s="356" t="s">
        <v>645</v>
      </c>
      <c r="B772" s="357" t="s">
        <v>1453</v>
      </c>
      <c r="C772" s="358">
        <f>WORK!I3830</f>
        <v>0</v>
      </c>
      <c r="D772" s="354" t="s">
        <v>115</v>
      </c>
      <c r="E772" s="355">
        <f>WORK!K3830</f>
        <v>68</v>
      </c>
      <c r="F772" s="353">
        <f>ROUND(C772*E772,0)</f>
        <v>0</v>
      </c>
      <c r="G772" s="368"/>
      <c r="H772" s="368"/>
      <c r="I772" s="368">
        <f>C772-G772</f>
        <v>0</v>
      </c>
      <c r="J772" s="368">
        <f>F772-H772</f>
        <v>0</v>
      </c>
      <c r="K772" s="360" t="s">
        <v>2322</v>
      </c>
    </row>
    <row r="773" spans="1:11" s="360" customFormat="1" ht="20.25" customHeight="1">
      <c r="A773" s="356" t="s">
        <v>1520</v>
      </c>
      <c r="B773" s="357" t="s">
        <v>2250</v>
      </c>
      <c r="C773" s="358">
        <f>WORK!I3177</f>
        <v>10</v>
      </c>
      <c r="D773" s="354" t="s">
        <v>568</v>
      </c>
      <c r="E773" s="355">
        <f>WORK!K3177</f>
        <v>383.5</v>
      </c>
      <c r="F773" s="353">
        <f t="shared" si="35"/>
        <v>3835</v>
      </c>
      <c r="G773" s="368"/>
      <c r="H773" s="368"/>
      <c r="I773" s="368">
        <f t="shared" si="28"/>
        <v>10</v>
      </c>
      <c r="J773" s="368">
        <f t="shared" si="29"/>
        <v>3835</v>
      </c>
      <c r="K773" s="360" t="s">
        <v>2226</v>
      </c>
    </row>
    <row r="774" spans="1:11" s="360" customFormat="1" ht="20.25" hidden="1" customHeight="1">
      <c r="A774" s="356" t="s">
        <v>1580</v>
      </c>
      <c r="B774" s="357" t="s">
        <v>2250</v>
      </c>
      <c r="C774" s="358">
        <f>WORK!I3395</f>
        <v>0</v>
      </c>
      <c r="D774" s="354" t="s">
        <v>568</v>
      </c>
      <c r="E774" s="355">
        <f>WORK!K3395</f>
        <v>395.5</v>
      </c>
      <c r="F774" s="353">
        <f>ROUND(C774*E774,0)</f>
        <v>0</v>
      </c>
      <c r="G774" s="368"/>
      <c r="H774" s="368"/>
      <c r="I774" s="368">
        <f>C774-G774</f>
        <v>0</v>
      </c>
      <c r="J774" s="368">
        <f>F774-H774</f>
        <v>0</v>
      </c>
      <c r="K774" s="360" t="s">
        <v>2308</v>
      </c>
    </row>
    <row r="775" spans="1:11" s="360" customFormat="1" ht="20.25" hidden="1" customHeight="1">
      <c r="A775" s="356" t="s">
        <v>1522</v>
      </c>
      <c r="B775" s="357" t="s">
        <v>2250</v>
      </c>
      <c r="C775" s="358">
        <f>WORK!I3616</f>
        <v>0</v>
      </c>
      <c r="D775" s="354" t="s">
        <v>568</v>
      </c>
      <c r="E775" s="355">
        <f>WORK!K3616</f>
        <v>436.33</v>
      </c>
      <c r="F775" s="353">
        <f>ROUND(C775*E775,0)</f>
        <v>0</v>
      </c>
      <c r="G775" s="368"/>
      <c r="H775" s="368"/>
      <c r="I775" s="368">
        <f>C775-G775</f>
        <v>0</v>
      </c>
      <c r="J775" s="368">
        <f>F775-H775</f>
        <v>0</v>
      </c>
      <c r="K775" s="360" t="s">
        <v>2321</v>
      </c>
    </row>
    <row r="776" spans="1:11" s="360" customFormat="1" ht="20.25" hidden="1" customHeight="1">
      <c r="A776" s="356" t="s">
        <v>508</v>
      </c>
      <c r="B776" s="357" t="s">
        <v>2250</v>
      </c>
      <c r="C776" s="358">
        <f>WORK!I3836</f>
        <v>0</v>
      </c>
      <c r="D776" s="354" t="s">
        <v>568</v>
      </c>
      <c r="E776" s="355">
        <f>WORK!K3836</f>
        <v>481.67</v>
      </c>
      <c r="F776" s="353">
        <f>ROUND(C776*E776,0)</f>
        <v>0</v>
      </c>
      <c r="G776" s="368"/>
      <c r="H776" s="368"/>
      <c r="I776" s="368">
        <f>C776-G776</f>
        <v>0</v>
      </c>
      <c r="J776" s="368">
        <f>F776-H776</f>
        <v>0</v>
      </c>
      <c r="K776" s="360" t="s">
        <v>2322</v>
      </c>
    </row>
    <row r="777" spans="1:11" s="360" customFormat="1" ht="20.25" customHeight="1">
      <c r="A777" s="356" t="s">
        <v>1521</v>
      </c>
      <c r="B777" s="357" t="s">
        <v>2127</v>
      </c>
      <c r="C777" s="358">
        <f>WORK!I3182</f>
        <v>8</v>
      </c>
      <c r="D777" s="354" t="s">
        <v>568</v>
      </c>
      <c r="E777" s="355">
        <f>WORK!K3182</f>
        <v>402.5</v>
      </c>
      <c r="F777" s="353">
        <f t="shared" si="35"/>
        <v>3220</v>
      </c>
      <c r="G777" s="368"/>
      <c r="H777" s="368"/>
      <c r="I777" s="368">
        <f t="shared" si="28"/>
        <v>8</v>
      </c>
      <c r="J777" s="368">
        <f t="shared" si="29"/>
        <v>3220</v>
      </c>
      <c r="K777" s="360" t="s">
        <v>2226</v>
      </c>
    </row>
    <row r="778" spans="1:11" s="360" customFormat="1" ht="20.25" hidden="1" customHeight="1">
      <c r="A778" s="356" t="s">
        <v>497</v>
      </c>
      <c r="B778" s="357" t="s">
        <v>2127</v>
      </c>
      <c r="C778" s="358">
        <f>WORK!I3402</f>
        <v>0</v>
      </c>
      <c r="D778" s="354" t="s">
        <v>568</v>
      </c>
      <c r="E778" s="355">
        <f>WORK!K3402</f>
        <v>414.5</v>
      </c>
      <c r="F778" s="353">
        <f>ROUND(C778*E778,0)</f>
        <v>0</v>
      </c>
      <c r="G778" s="368"/>
      <c r="H778" s="368"/>
      <c r="I778" s="368">
        <f>C778-G778</f>
        <v>0</v>
      </c>
      <c r="J778" s="368">
        <f>F778-H778</f>
        <v>0</v>
      </c>
      <c r="K778" s="360" t="s">
        <v>2308</v>
      </c>
    </row>
    <row r="779" spans="1:11" s="360" customFormat="1" ht="20.25" hidden="1" customHeight="1">
      <c r="A779" s="356" t="s">
        <v>512</v>
      </c>
      <c r="B779" s="357" t="s">
        <v>2127</v>
      </c>
      <c r="C779" s="358">
        <f>WORK!I3621</f>
        <v>0</v>
      </c>
      <c r="D779" s="354" t="s">
        <v>568</v>
      </c>
      <c r="E779" s="355">
        <f>WORK!K3621</f>
        <v>457.33</v>
      </c>
      <c r="F779" s="353">
        <f>ROUND(C779*E779,0)</f>
        <v>0</v>
      </c>
      <c r="G779" s="368"/>
      <c r="H779" s="368"/>
      <c r="I779" s="368">
        <f>C779-G779</f>
        <v>0</v>
      </c>
      <c r="J779" s="368">
        <f>F779-H779</f>
        <v>0</v>
      </c>
      <c r="K779" s="360" t="s">
        <v>2321</v>
      </c>
    </row>
    <row r="780" spans="1:11" s="360" customFormat="1" ht="20.25" hidden="1" customHeight="1">
      <c r="A780" s="356" t="s">
        <v>510</v>
      </c>
      <c r="B780" s="357" t="s">
        <v>2127</v>
      </c>
      <c r="C780" s="358">
        <f>WORK!I3841</f>
        <v>0</v>
      </c>
      <c r="D780" s="354" t="s">
        <v>568</v>
      </c>
      <c r="E780" s="355">
        <f>WORK!K3841</f>
        <v>503.67</v>
      </c>
      <c r="F780" s="353">
        <f>ROUND(C780*E780,0)</f>
        <v>0</v>
      </c>
      <c r="G780" s="368"/>
      <c r="H780" s="368"/>
      <c r="I780" s="368">
        <f>C780-G780</f>
        <v>0</v>
      </c>
      <c r="J780" s="368">
        <f>F780-H780</f>
        <v>0</v>
      </c>
      <c r="K780" s="360" t="s">
        <v>2322</v>
      </c>
    </row>
    <row r="781" spans="1:11" s="360" customFormat="1" ht="20.25" hidden="1" customHeight="1">
      <c r="A781" s="356" t="s">
        <v>1144</v>
      </c>
      <c r="B781" s="357" t="s">
        <v>2128</v>
      </c>
      <c r="C781" s="358">
        <f>WORK!I3188</f>
        <v>0</v>
      </c>
      <c r="D781" s="354" t="s">
        <v>277</v>
      </c>
      <c r="E781" s="355">
        <f>WORK!K3188</f>
        <v>18.59</v>
      </c>
      <c r="F781" s="353">
        <f t="shared" ref="F781:F785" si="36">ROUND(C781*E781,0)</f>
        <v>0</v>
      </c>
      <c r="G781" s="368"/>
      <c r="H781" s="368"/>
      <c r="I781" s="368">
        <f t="shared" ref="I781:I785" si="37">C781-G781</f>
        <v>0</v>
      </c>
      <c r="J781" s="368">
        <f t="shared" ref="J781:J785" si="38">F781-H781</f>
        <v>0</v>
      </c>
      <c r="K781" s="360" t="s">
        <v>2226</v>
      </c>
    </row>
    <row r="782" spans="1:11" s="360" customFormat="1" ht="20.25" hidden="1" customHeight="1">
      <c r="A782" s="356" t="s">
        <v>1145</v>
      </c>
      <c r="B782" s="357" t="s">
        <v>2128</v>
      </c>
      <c r="C782" s="358">
        <f>WORK!I3408</f>
        <v>0</v>
      </c>
      <c r="D782" s="354" t="s">
        <v>277</v>
      </c>
      <c r="E782" s="355">
        <f>WORK!K3408</f>
        <v>19.09</v>
      </c>
      <c r="F782" s="353">
        <f>ROUND(C782*E782,0)</f>
        <v>0</v>
      </c>
      <c r="G782" s="368"/>
      <c r="H782" s="368"/>
      <c r="I782" s="368">
        <f>C782-G782</f>
        <v>0</v>
      </c>
      <c r="J782" s="368">
        <f>F782-H782</f>
        <v>0</v>
      </c>
      <c r="K782" s="360" t="s">
        <v>2308</v>
      </c>
    </row>
    <row r="783" spans="1:11" s="360" customFormat="1" ht="20.25" hidden="1" customHeight="1">
      <c r="A783" s="356" t="s">
        <v>1144</v>
      </c>
      <c r="B783" s="357" t="s">
        <v>2128</v>
      </c>
      <c r="C783" s="358">
        <f>WORK!I3627</f>
        <v>0</v>
      </c>
      <c r="D783" s="354" t="s">
        <v>277</v>
      </c>
      <c r="E783" s="355">
        <f>WORK!K3627</f>
        <v>21.19</v>
      </c>
      <c r="F783" s="353">
        <f>ROUND(C783*E783,0)</f>
        <v>0</v>
      </c>
      <c r="G783" s="368"/>
      <c r="H783" s="368"/>
      <c r="I783" s="368">
        <f>C783-G783</f>
        <v>0</v>
      </c>
      <c r="J783" s="368">
        <f>F783-H783</f>
        <v>0</v>
      </c>
      <c r="K783" s="360" t="s">
        <v>2321</v>
      </c>
    </row>
    <row r="784" spans="1:11" s="360" customFormat="1" ht="20.25" hidden="1" customHeight="1">
      <c r="A784" s="356" t="s">
        <v>1518</v>
      </c>
      <c r="B784" s="357" t="s">
        <v>2128</v>
      </c>
      <c r="C784" s="358">
        <f>WORK!I3846</f>
        <v>0</v>
      </c>
      <c r="D784" s="354" t="s">
        <v>277</v>
      </c>
      <c r="E784" s="355">
        <f>WORK!K3846</f>
        <v>23.55</v>
      </c>
      <c r="F784" s="353">
        <f>ROUND(C784*E784,0)</f>
        <v>0</v>
      </c>
      <c r="G784" s="368"/>
      <c r="H784" s="368"/>
      <c r="I784" s="368">
        <f>C784-G784</f>
        <v>0</v>
      </c>
      <c r="J784" s="368">
        <f>F784-H784</f>
        <v>0</v>
      </c>
      <c r="K784" s="360" t="s">
        <v>2322</v>
      </c>
    </row>
    <row r="785" spans="1:11" s="360" customFormat="1" ht="20.25" hidden="1" customHeight="1">
      <c r="A785" s="356" t="s">
        <v>1589</v>
      </c>
      <c r="B785" s="357" t="s">
        <v>2282</v>
      </c>
      <c r="C785" s="358">
        <f>WORK!I3193</f>
        <v>0</v>
      </c>
      <c r="D785" s="354" t="s">
        <v>277</v>
      </c>
      <c r="E785" s="355">
        <f>WORK!K3193</f>
        <v>60.7</v>
      </c>
      <c r="F785" s="353">
        <f t="shared" si="36"/>
        <v>0</v>
      </c>
      <c r="G785" s="368"/>
      <c r="H785" s="368"/>
      <c r="I785" s="368">
        <f t="shared" si="37"/>
        <v>0</v>
      </c>
      <c r="J785" s="368">
        <f t="shared" si="38"/>
        <v>0</v>
      </c>
      <c r="K785" s="360" t="s">
        <v>2226</v>
      </c>
    </row>
    <row r="786" spans="1:11" s="360" customFormat="1" ht="20.25" hidden="1" customHeight="1">
      <c r="A786" s="356" t="s">
        <v>1589</v>
      </c>
      <c r="B786" s="357" t="s">
        <v>2282</v>
      </c>
      <c r="C786" s="358">
        <f>WORK!I3413</f>
        <v>0</v>
      </c>
      <c r="D786" s="354" t="s">
        <v>277</v>
      </c>
      <c r="E786" s="355">
        <f>WORK!K3413</f>
        <v>60.7</v>
      </c>
      <c r="F786" s="353">
        <f>ROUND(C786*E786,0)</f>
        <v>0</v>
      </c>
      <c r="G786" s="368"/>
      <c r="H786" s="368"/>
      <c r="I786" s="368">
        <f>C786-G786</f>
        <v>0</v>
      </c>
      <c r="J786" s="368">
        <f>F786-H786</f>
        <v>0</v>
      </c>
      <c r="K786" s="360" t="s">
        <v>2308</v>
      </c>
    </row>
    <row r="787" spans="1:11" s="360" customFormat="1" ht="20.25" hidden="1" customHeight="1">
      <c r="A787" s="356" t="s">
        <v>1589</v>
      </c>
      <c r="B787" s="357" t="s">
        <v>2282</v>
      </c>
      <c r="C787" s="358">
        <f>WORK!I3632</f>
        <v>0</v>
      </c>
      <c r="D787" s="354" t="s">
        <v>277</v>
      </c>
      <c r="E787" s="355">
        <f>WORK!K3632</f>
        <v>69.83</v>
      </c>
      <c r="F787" s="353">
        <f>ROUND(C787*E787,0)</f>
        <v>0</v>
      </c>
      <c r="G787" s="368"/>
      <c r="H787" s="368"/>
      <c r="I787" s="368">
        <f>C787-G787</f>
        <v>0</v>
      </c>
      <c r="J787" s="368">
        <f>F787-H787</f>
        <v>0</v>
      </c>
      <c r="K787" s="360" t="s">
        <v>2321</v>
      </c>
    </row>
    <row r="788" spans="1:11" s="360" customFormat="1" ht="20.25" hidden="1" customHeight="1">
      <c r="A788" s="356" t="s">
        <v>1517</v>
      </c>
      <c r="B788" s="357" t="s">
        <v>2282</v>
      </c>
      <c r="C788" s="358">
        <f>WORK!I3855</f>
        <v>0</v>
      </c>
      <c r="D788" s="354" t="s">
        <v>277</v>
      </c>
      <c r="E788" s="355">
        <f>WORK!K3855</f>
        <v>79.48</v>
      </c>
      <c r="F788" s="353">
        <f>ROUND(C788*E788,0)</f>
        <v>0</v>
      </c>
      <c r="G788" s="368"/>
      <c r="H788" s="368"/>
      <c r="I788" s="368">
        <f>C788-G788</f>
        <v>0</v>
      </c>
      <c r="J788" s="368">
        <f>F788-H788</f>
        <v>0</v>
      </c>
      <c r="K788" s="360" t="s">
        <v>2322</v>
      </c>
    </row>
    <row r="789" spans="1:11" s="360" customFormat="1" ht="20.25" customHeight="1">
      <c r="A789" s="356" t="s">
        <v>497</v>
      </c>
      <c r="B789" s="357" t="s">
        <v>2130</v>
      </c>
      <c r="C789" s="358">
        <f>WORK!I3200</f>
        <v>60</v>
      </c>
      <c r="D789" s="354" t="s">
        <v>277</v>
      </c>
      <c r="E789" s="355">
        <f>WORK!K3200</f>
        <v>64.873099999999994</v>
      </c>
      <c r="F789" s="353">
        <f t="shared" si="35"/>
        <v>3892</v>
      </c>
      <c r="G789" s="368"/>
      <c r="H789" s="368"/>
      <c r="I789" s="368">
        <f t="shared" si="28"/>
        <v>60</v>
      </c>
      <c r="J789" s="368">
        <f t="shared" si="29"/>
        <v>3892</v>
      </c>
      <c r="K789" s="360" t="s">
        <v>2226</v>
      </c>
    </row>
    <row r="790" spans="1:11" s="360" customFormat="1" ht="20.25" hidden="1" customHeight="1">
      <c r="A790" s="356" t="s">
        <v>1594</v>
      </c>
      <c r="B790" s="357" t="s">
        <v>2130</v>
      </c>
      <c r="C790" s="358">
        <f>WORK!I3418</f>
        <v>0</v>
      </c>
      <c r="D790" s="354" t="s">
        <v>277</v>
      </c>
      <c r="E790" s="355">
        <f>WORK!K3418</f>
        <v>65.868499999999997</v>
      </c>
      <c r="F790" s="353">
        <f>ROUND(C790*E790,0)</f>
        <v>0</v>
      </c>
      <c r="G790" s="368"/>
      <c r="H790" s="368"/>
      <c r="I790" s="368">
        <f>C790-G790</f>
        <v>0</v>
      </c>
      <c r="J790" s="368">
        <f>F790-H790</f>
        <v>0</v>
      </c>
      <c r="K790" s="360" t="s">
        <v>2308</v>
      </c>
    </row>
    <row r="791" spans="1:11" s="360" customFormat="1" ht="20.25" hidden="1" customHeight="1">
      <c r="A791" s="356" t="s">
        <v>513</v>
      </c>
      <c r="B791" s="357" t="s">
        <v>2130</v>
      </c>
      <c r="C791" s="358">
        <f>WORK!I3639</f>
        <v>0</v>
      </c>
      <c r="D791" s="354" t="s">
        <v>277</v>
      </c>
      <c r="E791" s="355">
        <f>WORK!K3639</f>
        <v>74.22399999999999</v>
      </c>
      <c r="F791" s="353">
        <f>ROUND(C791*E791,0)</f>
        <v>0</v>
      </c>
      <c r="G791" s="368"/>
      <c r="H791" s="368"/>
      <c r="I791" s="368">
        <f>C791-G791</f>
        <v>0</v>
      </c>
      <c r="J791" s="368">
        <f>F791-H791</f>
        <v>0</v>
      </c>
      <c r="K791" s="360" t="s">
        <v>2321</v>
      </c>
    </row>
    <row r="792" spans="1:11" s="360" customFormat="1" ht="20.25" hidden="1" customHeight="1">
      <c r="A792" s="356" t="s">
        <v>1522</v>
      </c>
      <c r="B792" s="357" t="s">
        <v>2130</v>
      </c>
      <c r="C792" s="358">
        <f>WORK!I3862</f>
        <v>0</v>
      </c>
      <c r="D792" s="354" t="s">
        <v>277</v>
      </c>
      <c r="E792" s="355">
        <f>WORK!K3862</f>
        <v>83.333500000000001</v>
      </c>
      <c r="F792" s="353">
        <f>ROUND(C792*E792,0)</f>
        <v>0</v>
      </c>
      <c r="G792" s="368"/>
      <c r="H792" s="368"/>
      <c r="I792" s="368">
        <f>C792-G792</f>
        <v>0</v>
      </c>
      <c r="J792" s="368">
        <f>F792-H792</f>
        <v>0</v>
      </c>
      <c r="K792" s="360" t="s">
        <v>2322</v>
      </c>
    </row>
    <row r="793" spans="1:11" s="360" customFormat="1" ht="20.25" hidden="1" customHeight="1">
      <c r="A793" s="356" t="s">
        <v>531</v>
      </c>
      <c r="B793" s="357" t="s">
        <v>2154</v>
      </c>
      <c r="C793" s="358">
        <f>WORK!I3205</f>
        <v>0</v>
      </c>
      <c r="D793" s="354" t="s">
        <v>277</v>
      </c>
      <c r="E793" s="355">
        <f>WORK!K3205</f>
        <v>98.56</v>
      </c>
      <c r="F793" s="353">
        <f t="shared" si="35"/>
        <v>0</v>
      </c>
      <c r="G793" s="368"/>
      <c r="H793" s="368"/>
      <c r="I793" s="368">
        <f t="shared" si="28"/>
        <v>0</v>
      </c>
      <c r="J793" s="368">
        <f t="shared" si="29"/>
        <v>0</v>
      </c>
      <c r="K793" s="360" t="s">
        <v>2226</v>
      </c>
    </row>
    <row r="794" spans="1:11" s="360" customFormat="1" ht="20.25" hidden="1" customHeight="1">
      <c r="A794" s="356" t="s">
        <v>1595</v>
      </c>
      <c r="B794" s="357" t="s">
        <v>2154</v>
      </c>
      <c r="C794" s="358">
        <f>WORK!I3423</f>
        <v>0</v>
      </c>
      <c r="D794" s="354" t="s">
        <v>277</v>
      </c>
      <c r="E794" s="355">
        <f>WORK!K3423</f>
        <v>100.05</v>
      </c>
      <c r="F794" s="353">
        <f>ROUND(C794*E794,0)</f>
        <v>0</v>
      </c>
      <c r="G794" s="368"/>
      <c r="H794" s="368"/>
      <c r="I794" s="368">
        <f>C794-G794</f>
        <v>0</v>
      </c>
      <c r="J794" s="368">
        <f>F794-H794</f>
        <v>0</v>
      </c>
      <c r="K794" s="360" t="s">
        <v>2308</v>
      </c>
    </row>
    <row r="795" spans="1:11" s="360" customFormat="1" ht="20.25" hidden="1" customHeight="1">
      <c r="A795" s="356" t="s">
        <v>531</v>
      </c>
      <c r="B795" s="357" t="s">
        <v>2154</v>
      </c>
      <c r="C795" s="358">
        <f>WORK!I3644</f>
        <v>0</v>
      </c>
      <c r="D795" s="354" t="s">
        <v>277</v>
      </c>
      <c r="E795" s="355">
        <f>WORK!K3644</f>
        <v>112.78</v>
      </c>
      <c r="F795" s="353">
        <f>ROUND(C795*E795,0)</f>
        <v>0</v>
      </c>
      <c r="G795" s="368"/>
      <c r="H795" s="368"/>
      <c r="I795" s="368">
        <f>C795-G795</f>
        <v>0</v>
      </c>
      <c r="J795" s="368">
        <f>F795-H795</f>
        <v>0</v>
      </c>
      <c r="K795" s="360" t="s">
        <v>2321</v>
      </c>
    </row>
    <row r="796" spans="1:11" s="360" customFormat="1" ht="20.25" hidden="1" customHeight="1">
      <c r="A796" s="356" t="s">
        <v>531</v>
      </c>
      <c r="B796" s="357" t="s">
        <v>2154</v>
      </c>
      <c r="C796" s="358">
        <f>WORK!I3867</f>
        <v>0</v>
      </c>
      <c r="D796" s="354" t="s">
        <v>277</v>
      </c>
      <c r="E796" s="355">
        <f>WORK!K3867</f>
        <v>126.65</v>
      </c>
      <c r="F796" s="353">
        <f>ROUND(C796*E796,0)</f>
        <v>0</v>
      </c>
      <c r="G796" s="368"/>
      <c r="H796" s="368"/>
      <c r="I796" s="368">
        <f>C796-G796</f>
        <v>0</v>
      </c>
      <c r="J796" s="368">
        <f>F796-H796</f>
        <v>0</v>
      </c>
      <c r="K796" s="360" t="s">
        <v>2322</v>
      </c>
    </row>
    <row r="797" spans="1:11" s="360" customFormat="1" ht="20.25" hidden="1" customHeight="1">
      <c r="A797" s="356" t="s">
        <v>1590</v>
      </c>
      <c r="B797" s="357" t="s">
        <v>2129</v>
      </c>
      <c r="C797" s="358">
        <f>WORK!I3210</f>
        <v>0</v>
      </c>
      <c r="D797" s="354" t="s">
        <v>277</v>
      </c>
      <c r="E797" s="355">
        <f>WORK!K3210</f>
        <v>50.795000000000002</v>
      </c>
      <c r="F797" s="353">
        <f t="shared" si="35"/>
        <v>0</v>
      </c>
      <c r="G797" s="368"/>
      <c r="H797" s="368"/>
      <c r="I797" s="368">
        <f t="shared" si="28"/>
        <v>0</v>
      </c>
      <c r="J797" s="368">
        <f t="shared" si="29"/>
        <v>0</v>
      </c>
      <c r="K797" s="360" t="s">
        <v>2226</v>
      </c>
    </row>
    <row r="798" spans="1:11" s="360" customFormat="1" ht="20.25" hidden="1" customHeight="1">
      <c r="A798" s="356" t="s">
        <v>1596</v>
      </c>
      <c r="B798" s="357" t="s">
        <v>2129</v>
      </c>
      <c r="C798" s="358">
        <f>WORK!I3428</f>
        <v>0</v>
      </c>
      <c r="D798" s="354" t="s">
        <v>277</v>
      </c>
      <c r="E798" s="355">
        <f>WORK!K3428</f>
        <v>54.465000000000003</v>
      </c>
      <c r="F798" s="353">
        <f>ROUND(C798*E798,0)</f>
        <v>0</v>
      </c>
      <c r="G798" s="368"/>
      <c r="H798" s="368"/>
      <c r="I798" s="368">
        <f>C798-G798</f>
        <v>0</v>
      </c>
      <c r="J798" s="368">
        <f>F798-H798</f>
        <v>0</v>
      </c>
      <c r="K798" s="360" t="s">
        <v>2308</v>
      </c>
    </row>
    <row r="799" spans="1:11" s="360" customFormat="1" ht="20.25" hidden="1" customHeight="1">
      <c r="A799" s="356" t="s">
        <v>514</v>
      </c>
      <c r="B799" s="357" t="s">
        <v>2129</v>
      </c>
      <c r="C799" s="358">
        <f>WORK!I3649</f>
        <v>0</v>
      </c>
      <c r="D799" s="354" t="s">
        <v>277</v>
      </c>
      <c r="E799" s="355">
        <f>WORK!K3649</f>
        <v>56.313999999999993</v>
      </c>
      <c r="F799" s="353">
        <f>ROUND(C799*E799,0)</f>
        <v>0</v>
      </c>
      <c r="G799" s="368"/>
      <c r="H799" s="368"/>
      <c r="I799" s="368">
        <f>C799-G799</f>
        <v>0</v>
      </c>
      <c r="J799" s="368">
        <f>F799-H799</f>
        <v>0</v>
      </c>
      <c r="K799" s="360" t="s">
        <v>2321</v>
      </c>
    </row>
    <row r="800" spans="1:11" s="360" customFormat="1" ht="20.25" hidden="1" customHeight="1">
      <c r="A800" s="356" t="s">
        <v>1590</v>
      </c>
      <c r="B800" s="357" t="s">
        <v>2129</v>
      </c>
      <c r="C800" s="358">
        <f>WORK!I3872</f>
        <v>0</v>
      </c>
      <c r="D800" s="354" t="s">
        <v>277</v>
      </c>
      <c r="E800" s="355">
        <f>WORK!K3872</f>
        <v>64.563000000000002</v>
      </c>
      <c r="F800" s="353">
        <f>ROUND(C800*E800,0)</f>
        <v>0</v>
      </c>
      <c r="G800" s="368"/>
      <c r="H800" s="368"/>
      <c r="I800" s="368">
        <f>C800-G800</f>
        <v>0</v>
      </c>
      <c r="J800" s="368">
        <f>F800-H800</f>
        <v>0</v>
      </c>
      <c r="K800" s="360" t="s">
        <v>2322</v>
      </c>
    </row>
    <row r="801" spans="1:11" s="360" customFormat="1" ht="20.25" customHeight="1">
      <c r="A801" s="356" t="s">
        <v>498</v>
      </c>
      <c r="B801" s="357" t="s">
        <v>2214</v>
      </c>
      <c r="C801" s="358">
        <f>WORK!I3215</f>
        <v>1</v>
      </c>
      <c r="D801" s="354" t="s">
        <v>115</v>
      </c>
      <c r="E801" s="355">
        <f>WORK!K3215</f>
        <v>190</v>
      </c>
      <c r="F801" s="353">
        <f t="shared" si="35"/>
        <v>190</v>
      </c>
      <c r="G801" s="368"/>
      <c r="H801" s="368"/>
      <c r="I801" s="368">
        <f t="shared" si="28"/>
        <v>1</v>
      </c>
      <c r="J801" s="368">
        <f t="shared" si="29"/>
        <v>190</v>
      </c>
      <c r="K801" s="360" t="s">
        <v>2226</v>
      </c>
    </row>
    <row r="802" spans="1:11" s="360" customFormat="1" ht="20.25" hidden="1" customHeight="1">
      <c r="A802" s="356" t="s">
        <v>1597</v>
      </c>
      <c r="B802" s="357" t="s">
        <v>2214</v>
      </c>
      <c r="C802" s="358">
        <f>WORK!I3433</f>
        <v>0</v>
      </c>
      <c r="D802" s="354" t="s">
        <v>115</v>
      </c>
      <c r="E802" s="355">
        <f>WORK!K3433</f>
        <v>190</v>
      </c>
      <c r="F802" s="353">
        <f>ROUND(C802*E802,0)</f>
        <v>0</v>
      </c>
      <c r="G802" s="368"/>
      <c r="H802" s="368"/>
      <c r="I802" s="368">
        <f>C802-G802</f>
        <v>0</v>
      </c>
      <c r="J802" s="368">
        <f>F802-H802</f>
        <v>0</v>
      </c>
      <c r="K802" s="360" t="s">
        <v>2308</v>
      </c>
    </row>
    <row r="803" spans="1:11" s="360" customFormat="1" ht="20.25" hidden="1" customHeight="1">
      <c r="A803" s="356" t="s">
        <v>515</v>
      </c>
      <c r="B803" s="357" t="s">
        <v>2214</v>
      </c>
      <c r="C803" s="358">
        <f>WORK!I3654</f>
        <v>0</v>
      </c>
      <c r="D803" s="354" t="s">
        <v>115</v>
      </c>
      <c r="E803" s="355">
        <f>WORK!K3654</f>
        <v>209</v>
      </c>
      <c r="F803" s="353">
        <f>ROUND(C803*E803,0)</f>
        <v>0</v>
      </c>
      <c r="G803" s="368"/>
      <c r="H803" s="368"/>
      <c r="I803" s="368">
        <f>C803-G803</f>
        <v>0</v>
      </c>
      <c r="J803" s="368">
        <f>F803-H803</f>
        <v>0</v>
      </c>
      <c r="K803" s="360" t="s">
        <v>2321</v>
      </c>
    </row>
    <row r="804" spans="1:11" s="360" customFormat="1" ht="20.25" hidden="1" customHeight="1">
      <c r="A804" s="356" t="s">
        <v>512</v>
      </c>
      <c r="B804" s="357" t="s">
        <v>2214</v>
      </c>
      <c r="C804" s="358">
        <f>WORK!I3877</f>
        <v>0</v>
      </c>
      <c r="D804" s="354" t="s">
        <v>115</v>
      </c>
      <c r="E804" s="355">
        <f>WORK!K3877</f>
        <v>209</v>
      </c>
      <c r="F804" s="353">
        <f>ROUND(C804*E804,0)</f>
        <v>0</v>
      </c>
      <c r="G804" s="368"/>
      <c r="H804" s="368"/>
      <c r="I804" s="368">
        <f>C804-G804</f>
        <v>0</v>
      </c>
      <c r="J804" s="368">
        <f>F804-H804</f>
        <v>0</v>
      </c>
      <c r="K804" s="360" t="s">
        <v>2322</v>
      </c>
    </row>
    <row r="805" spans="1:11" s="360" customFormat="1" ht="20.25" customHeight="1">
      <c r="A805" s="356" t="s">
        <v>499</v>
      </c>
      <c r="B805" s="357" t="s">
        <v>2131</v>
      </c>
      <c r="C805" s="358">
        <f>WORK!I3220</f>
        <v>10</v>
      </c>
      <c r="D805" s="354" t="s">
        <v>115</v>
      </c>
      <c r="E805" s="355">
        <f>WORK!K3220</f>
        <v>155</v>
      </c>
      <c r="F805" s="353">
        <f t="shared" si="35"/>
        <v>1550</v>
      </c>
      <c r="G805" s="368"/>
      <c r="H805" s="368"/>
      <c r="I805" s="368">
        <f t="shared" si="28"/>
        <v>10</v>
      </c>
      <c r="J805" s="368">
        <f t="shared" si="29"/>
        <v>1550</v>
      </c>
      <c r="K805" s="360" t="s">
        <v>2226</v>
      </c>
    </row>
    <row r="806" spans="1:11" s="360" customFormat="1" ht="20.25" hidden="1" customHeight="1">
      <c r="A806" s="356" t="s">
        <v>1146</v>
      </c>
      <c r="B806" s="357" t="s">
        <v>2131</v>
      </c>
      <c r="C806" s="358">
        <f>WORK!I3438</f>
        <v>0</v>
      </c>
      <c r="D806" s="354" t="s">
        <v>115</v>
      </c>
      <c r="E806" s="355">
        <f>WORK!K3438</f>
        <v>155</v>
      </c>
      <c r="F806" s="353">
        <f>ROUND(C806*E806,0)</f>
        <v>0</v>
      </c>
      <c r="G806" s="368"/>
      <c r="H806" s="368"/>
      <c r="I806" s="368">
        <f>C806-G806</f>
        <v>0</v>
      </c>
      <c r="J806" s="368">
        <f>F806-H806</f>
        <v>0</v>
      </c>
      <c r="K806" s="360" t="s">
        <v>2308</v>
      </c>
    </row>
    <row r="807" spans="1:11" s="360" customFormat="1" ht="20.25" hidden="1" customHeight="1">
      <c r="A807" s="356" t="s">
        <v>647</v>
      </c>
      <c r="B807" s="357" t="s">
        <v>2131</v>
      </c>
      <c r="C807" s="358">
        <f>WORK!I3659</f>
        <v>0</v>
      </c>
      <c r="D807" s="354" t="s">
        <v>115</v>
      </c>
      <c r="E807" s="355">
        <f>WORK!K3659</f>
        <v>171</v>
      </c>
      <c r="F807" s="353">
        <f>ROUND(C807*E807,0)</f>
        <v>0</v>
      </c>
      <c r="G807" s="368"/>
      <c r="H807" s="368"/>
      <c r="I807" s="368">
        <f>C807-G807</f>
        <v>0</v>
      </c>
      <c r="J807" s="368">
        <f>F807-H807</f>
        <v>0</v>
      </c>
      <c r="K807" s="360" t="s">
        <v>2321</v>
      </c>
    </row>
    <row r="808" spans="1:11" s="360" customFormat="1" ht="20.25" hidden="1" customHeight="1">
      <c r="A808" s="356" t="s">
        <v>513</v>
      </c>
      <c r="B808" s="357" t="s">
        <v>2131</v>
      </c>
      <c r="C808" s="358">
        <f>WORK!I3882</f>
        <v>0</v>
      </c>
      <c r="D808" s="354" t="s">
        <v>115</v>
      </c>
      <c r="E808" s="355">
        <f>WORK!K3882</f>
        <v>171</v>
      </c>
      <c r="F808" s="353">
        <f>ROUND(C808*E808,0)</f>
        <v>0</v>
      </c>
      <c r="G808" s="368"/>
      <c r="H808" s="368"/>
      <c r="I808" s="368">
        <f>C808-G808</f>
        <v>0</v>
      </c>
      <c r="J808" s="368">
        <f>F808-H808</f>
        <v>0</v>
      </c>
      <c r="K808" s="360" t="s">
        <v>2322</v>
      </c>
    </row>
    <row r="809" spans="1:11" s="360" customFormat="1" ht="20.25" hidden="1" customHeight="1">
      <c r="A809" s="356" t="s">
        <v>1592</v>
      </c>
      <c r="B809" s="357" t="s">
        <v>2132</v>
      </c>
      <c r="C809" s="358">
        <f>WORK!I3225</f>
        <v>0</v>
      </c>
      <c r="D809" s="354" t="s">
        <v>115</v>
      </c>
      <c r="E809" s="355">
        <f>WORK!K3225</f>
        <v>120</v>
      </c>
      <c r="F809" s="353">
        <f t="shared" si="35"/>
        <v>0</v>
      </c>
      <c r="G809" s="368"/>
      <c r="H809" s="368"/>
      <c r="I809" s="368">
        <f t="shared" si="28"/>
        <v>0</v>
      </c>
      <c r="J809" s="368">
        <f t="shared" si="29"/>
        <v>0</v>
      </c>
      <c r="K809" s="360" t="s">
        <v>2226</v>
      </c>
    </row>
    <row r="810" spans="1:11" s="360" customFormat="1" ht="20.25" hidden="1" customHeight="1">
      <c r="A810" s="356" t="s">
        <v>1147</v>
      </c>
      <c r="B810" s="357" t="s">
        <v>2132</v>
      </c>
      <c r="C810" s="358">
        <f>WORK!I3443</f>
        <v>0</v>
      </c>
      <c r="D810" s="354" t="s">
        <v>115</v>
      </c>
      <c r="E810" s="355">
        <f>WORK!K3443</f>
        <v>120</v>
      </c>
      <c r="F810" s="353">
        <f>ROUND(C810*E810,0)</f>
        <v>0</v>
      </c>
      <c r="G810" s="368"/>
      <c r="H810" s="368"/>
      <c r="I810" s="368">
        <f>C810-G810</f>
        <v>0</v>
      </c>
      <c r="J810" s="368">
        <f>F810-H810</f>
        <v>0</v>
      </c>
      <c r="K810" s="360" t="s">
        <v>2308</v>
      </c>
    </row>
    <row r="811" spans="1:11" s="360" customFormat="1" ht="20.25" hidden="1" customHeight="1">
      <c r="A811" s="356" t="s">
        <v>1592</v>
      </c>
      <c r="B811" s="357" t="s">
        <v>2132</v>
      </c>
      <c r="C811" s="358">
        <f>WORK!I3664</f>
        <v>0</v>
      </c>
      <c r="D811" s="354" t="s">
        <v>115</v>
      </c>
      <c r="E811" s="355">
        <f>WORK!K3664</f>
        <v>132</v>
      </c>
      <c r="F811" s="353">
        <f>ROUND(C811*E811,0)</f>
        <v>0</v>
      </c>
      <c r="G811" s="368"/>
      <c r="H811" s="368"/>
      <c r="I811" s="368">
        <f>C811-G811</f>
        <v>0</v>
      </c>
      <c r="J811" s="368">
        <f>F811-H811</f>
        <v>0</v>
      </c>
      <c r="K811" s="360" t="s">
        <v>2321</v>
      </c>
    </row>
    <row r="812" spans="1:11" s="360" customFormat="1" ht="20.25" hidden="1" customHeight="1">
      <c r="A812" s="356" t="s">
        <v>1592</v>
      </c>
      <c r="B812" s="357" t="s">
        <v>2132</v>
      </c>
      <c r="C812" s="358">
        <f>WORK!I3887</f>
        <v>0</v>
      </c>
      <c r="D812" s="354" t="s">
        <v>115</v>
      </c>
      <c r="E812" s="355">
        <f>WORK!K3887</f>
        <v>132</v>
      </c>
      <c r="F812" s="353">
        <f>ROUND(C812*E812,0)</f>
        <v>0</v>
      </c>
      <c r="G812" s="368"/>
      <c r="H812" s="368"/>
      <c r="I812" s="368">
        <f>C812-G812</f>
        <v>0</v>
      </c>
      <c r="J812" s="368">
        <f>F812-H812</f>
        <v>0</v>
      </c>
      <c r="K812" s="360" t="s">
        <v>2322</v>
      </c>
    </row>
    <row r="813" spans="1:11" s="360" customFormat="1" ht="20.25" hidden="1" customHeight="1">
      <c r="A813" s="356" t="s">
        <v>1578</v>
      </c>
      <c r="B813" s="357" t="s">
        <v>2133</v>
      </c>
      <c r="C813" s="358">
        <f>WORK!I3235</f>
        <v>0</v>
      </c>
      <c r="D813" s="354" t="s">
        <v>115</v>
      </c>
      <c r="E813" s="355">
        <f>WORK!K3235</f>
        <v>80</v>
      </c>
      <c r="F813" s="353">
        <f t="shared" si="35"/>
        <v>0</v>
      </c>
      <c r="G813" s="368"/>
      <c r="H813" s="368"/>
      <c r="I813" s="368">
        <f t="shared" si="28"/>
        <v>0</v>
      </c>
      <c r="J813" s="368">
        <f t="shared" si="29"/>
        <v>0</v>
      </c>
      <c r="K813" s="360" t="s">
        <v>2226</v>
      </c>
    </row>
    <row r="814" spans="1:11" s="360" customFormat="1" ht="20.25" hidden="1" customHeight="1">
      <c r="A814" s="356" t="s">
        <v>1580</v>
      </c>
      <c r="B814" s="357" t="s">
        <v>2133</v>
      </c>
      <c r="C814" s="358">
        <f>WORK!I3453</f>
        <v>0</v>
      </c>
      <c r="D814" s="354" t="s">
        <v>115</v>
      </c>
      <c r="E814" s="355">
        <f>WORK!K3453</f>
        <v>80</v>
      </c>
      <c r="F814" s="353">
        <f>ROUND(C814*E814,0)</f>
        <v>0</v>
      </c>
      <c r="G814" s="368"/>
      <c r="H814" s="368"/>
      <c r="I814" s="368">
        <f>C814-G814</f>
        <v>0</v>
      </c>
      <c r="J814" s="368">
        <f>F814-H814</f>
        <v>0</v>
      </c>
      <c r="K814" s="360" t="s">
        <v>2308</v>
      </c>
    </row>
    <row r="815" spans="1:11" s="360" customFormat="1" ht="20.25" hidden="1" customHeight="1">
      <c r="A815" s="356" t="s">
        <v>1578</v>
      </c>
      <c r="B815" s="357" t="s">
        <v>2133</v>
      </c>
      <c r="C815" s="358">
        <f>WORK!I3674</f>
        <v>0</v>
      </c>
      <c r="D815" s="354" t="s">
        <v>115</v>
      </c>
      <c r="E815" s="355">
        <f>WORK!K3674</f>
        <v>88</v>
      </c>
      <c r="F815" s="353">
        <f>ROUND(C815*E815,0)</f>
        <v>0</v>
      </c>
      <c r="G815" s="368"/>
      <c r="H815" s="368"/>
      <c r="I815" s="368">
        <f>C815-G815</f>
        <v>0</v>
      </c>
      <c r="J815" s="368">
        <f>F815-H815</f>
        <v>0</v>
      </c>
      <c r="K815" s="360" t="s">
        <v>2321</v>
      </c>
    </row>
    <row r="816" spans="1:11" s="360" customFormat="1" ht="20.25" hidden="1" customHeight="1">
      <c r="A816" s="356" t="s">
        <v>1578</v>
      </c>
      <c r="B816" s="357" t="s">
        <v>2133</v>
      </c>
      <c r="C816" s="358">
        <f>WORK!I3897</f>
        <v>0</v>
      </c>
      <c r="D816" s="354" t="s">
        <v>115</v>
      </c>
      <c r="E816" s="355">
        <f>WORK!K3897</f>
        <v>88</v>
      </c>
      <c r="F816" s="353">
        <f>ROUND(C816*E816,0)</f>
        <v>0</v>
      </c>
      <c r="G816" s="368"/>
      <c r="H816" s="368"/>
      <c r="I816" s="368">
        <f>C816-G816</f>
        <v>0</v>
      </c>
      <c r="J816" s="368">
        <f>F816-H816</f>
        <v>0</v>
      </c>
      <c r="K816" s="360" t="s">
        <v>2322</v>
      </c>
    </row>
    <row r="817" spans="1:11" s="360" customFormat="1" ht="20.25" hidden="1" customHeight="1">
      <c r="A817" s="356" t="s">
        <v>525</v>
      </c>
      <c r="B817" s="357" t="s">
        <v>2251</v>
      </c>
      <c r="C817" s="358">
        <f>WORK!I3230</f>
        <v>0</v>
      </c>
      <c r="D817" s="354" t="s">
        <v>115</v>
      </c>
      <c r="E817" s="355">
        <f>WORK!K3230</f>
        <v>310</v>
      </c>
      <c r="F817" s="353">
        <f t="shared" si="35"/>
        <v>0</v>
      </c>
      <c r="G817" s="368"/>
      <c r="H817" s="368"/>
      <c r="I817" s="368">
        <f t="shared" si="28"/>
        <v>0</v>
      </c>
      <c r="J817" s="368">
        <f t="shared" si="29"/>
        <v>0</v>
      </c>
      <c r="K817" s="360" t="s">
        <v>2226</v>
      </c>
    </row>
    <row r="818" spans="1:11" s="360" customFormat="1" ht="20.25" hidden="1" customHeight="1">
      <c r="A818" s="356" t="s">
        <v>525</v>
      </c>
      <c r="B818" s="357" t="s">
        <v>2251</v>
      </c>
      <c r="C818" s="358">
        <f>WORK!I3448</f>
        <v>0</v>
      </c>
      <c r="D818" s="354" t="s">
        <v>115</v>
      </c>
      <c r="E818" s="355">
        <f>WORK!K3448</f>
        <v>310</v>
      </c>
      <c r="F818" s="353">
        <f>ROUND(C818*E818,0)</f>
        <v>0</v>
      </c>
      <c r="G818" s="368"/>
      <c r="H818" s="368"/>
      <c r="I818" s="368">
        <f>C818-G818</f>
        <v>0</v>
      </c>
      <c r="J818" s="368">
        <f>F818-H818</f>
        <v>0</v>
      </c>
      <c r="K818" s="360" t="s">
        <v>2308</v>
      </c>
    </row>
    <row r="819" spans="1:11" s="360" customFormat="1" ht="20.25" hidden="1" customHeight="1">
      <c r="A819" s="356" t="s">
        <v>525</v>
      </c>
      <c r="B819" s="357" t="s">
        <v>2251</v>
      </c>
      <c r="C819" s="358">
        <f>WORK!I3669</f>
        <v>0</v>
      </c>
      <c r="D819" s="354" t="s">
        <v>115</v>
      </c>
      <c r="E819" s="355">
        <f>WORK!K3669</f>
        <v>341</v>
      </c>
      <c r="F819" s="353">
        <f>ROUND(C819*E819,0)</f>
        <v>0</v>
      </c>
      <c r="G819" s="368"/>
      <c r="H819" s="368"/>
      <c r="I819" s="368">
        <f>C819-G819</f>
        <v>0</v>
      </c>
      <c r="J819" s="368">
        <f>F819-H819</f>
        <v>0</v>
      </c>
      <c r="K819" s="360" t="s">
        <v>2321</v>
      </c>
    </row>
    <row r="820" spans="1:11" s="360" customFormat="1" ht="20.25" hidden="1" customHeight="1">
      <c r="A820" s="356" t="s">
        <v>525</v>
      </c>
      <c r="B820" s="357" t="s">
        <v>2251</v>
      </c>
      <c r="C820" s="358">
        <f>WORK!I3892</f>
        <v>0</v>
      </c>
      <c r="D820" s="354" t="s">
        <v>115</v>
      </c>
      <c r="E820" s="355">
        <f>WORK!K3892</f>
        <v>341</v>
      </c>
      <c r="F820" s="353">
        <f>ROUND(C820*E820,0)</f>
        <v>0</v>
      </c>
      <c r="G820" s="368"/>
      <c r="H820" s="368"/>
      <c r="I820" s="368">
        <f>C820-G820</f>
        <v>0</v>
      </c>
      <c r="J820" s="368">
        <f>F820-H820</f>
        <v>0</v>
      </c>
      <c r="K820" s="360" t="s">
        <v>2322</v>
      </c>
    </row>
    <row r="821" spans="1:11" s="360" customFormat="1" ht="20.25" hidden="1" customHeight="1">
      <c r="A821" s="356" t="s">
        <v>1520</v>
      </c>
      <c r="B821" s="357" t="s">
        <v>2252</v>
      </c>
      <c r="C821" s="358">
        <f>WORK!I3156</f>
        <v>0</v>
      </c>
      <c r="D821" s="354" t="s">
        <v>115</v>
      </c>
      <c r="E821" s="355">
        <f>WORK!K3156</f>
        <v>300</v>
      </c>
      <c r="F821" s="353">
        <f t="shared" si="35"/>
        <v>0</v>
      </c>
      <c r="G821" s="368"/>
      <c r="H821" s="368"/>
      <c r="I821" s="368">
        <f t="shared" si="28"/>
        <v>0</v>
      </c>
      <c r="J821" s="368">
        <f t="shared" si="29"/>
        <v>0</v>
      </c>
      <c r="K821" s="360" t="s">
        <v>2226</v>
      </c>
    </row>
    <row r="822" spans="1:11" s="360" customFormat="1" ht="20.25" hidden="1" customHeight="1">
      <c r="A822" s="356" t="s">
        <v>1520</v>
      </c>
      <c r="B822" s="357" t="s">
        <v>2252</v>
      </c>
      <c r="C822" s="358">
        <f>WORK!I3375</f>
        <v>0</v>
      </c>
      <c r="D822" s="354" t="s">
        <v>115</v>
      </c>
      <c r="E822" s="355">
        <f>WORK!K3375</f>
        <v>300</v>
      </c>
      <c r="F822" s="353">
        <f>ROUND(C822*E822,0)</f>
        <v>0</v>
      </c>
      <c r="G822" s="368"/>
      <c r="H822" s="368"/>
      <c r="I822" s="368">
        <f>C822-G822</f>
        <v>0</v>
      </c>
      <c r="J822" s="368">
        <f>F822-H822</f>
        <v>0</v>
      </c>
      <c r="K822" s="360" t="s">
        <v>2308</v>
      </c>
    </row>
    <row r="823" spans="1:11" s="360" customFormat="1" ht="20.25" hidden="1" customHeight="1">
      <c r="A823" s="356" t="s">
        <v>1520</v>
      </c>
      <c r="B823" s="357" t="s">
        <v>2252</v>
      </c>
      <c r="C823" s="358">
        <f>WORK!I3595</f>
        <v>0</v>
      </c>
      <c r="D823" s="354" t="s">
        <v>115</v>
      </c>
      <c r="E823" s="355">
        <f>WORK!K3595</f>
        <v>331</v>
      </c>
      <c r="F823" s="353">
        <f>ROUND(C823*E823,0)</f>
        <v>0</v>
      </c>
      <c r="G823" s="368"/>
      <c r="H823" s="368"/>
      <c r="I823" s="368">
        <f>C823-G823</f>
        <v>0</v>
      </c>
      <c r="J823" s="368">
        <f>F823-H823</f>
        <v>0</v>
      </c>
      <c r="K823" s="360" t="s">
        <v>2321</v>
      </c>
    </row>
    <row r="824" spans="1:11" s="360" customFormat="1" ht="20.25" hidden="1" customHeight="1">
      <c r="A824" s="356" t="s">
        <v>1520</v>
      </c>
      <c r="B824" s="357" t="s">
        <v>2252</v>
      </c>
      <c r="C824" s="358">
        <f>WORK!I3815</f>
        <v>0</v>
      </c>
      <c r="D824" s="354" t="s">
        <v>115</v>
      </c>
      <c r="E824" s="355">
        <f>WORK!K3815</f>
        <v>359</v>
      </c>
      <c r="F824" s="353">
        <f>ROUND(C824*E824,0)</f>
        <v>0</v>
      </c>
      <c r="G824" s="368"/>
      <c r="H824" s="368"/>
      <c r="I824" s="368">
        <f>C824-G824</f>
        <v>0</v>
      </c>
      <c r="J824" s="368">
        <f>F824-H824</f>
        <v>0</v>
      </c>
      <c r="K824" s="360" t="s">
        <v>2322</v>
      </c>
    </row>
    <row r="825" spans="1:11" s="360" customFormat="1" ht="20.25" hidden="1" customHeight="1">
      <c r="A825" s="356" t="s">
        <v>647</v>
      </c>
      <c r="B825" s="357" t="s">
        <v>2199</v>
      </c>
      <c r="C825" s="358">
        <f>WORK!I3240</f>
        <v>0</v>
      </c>
      <c r="D825" s="354" t="s">
        <v>115</v>
      </c>
      <c r="E825" s="355">
        <f>WORK!K3240</f>
        <v>60</v>
      </c>
      <c r="F825" s="353">
        <f t="shared" si="35"/>
        <v>0</v>
      </c>
      <c r="G825" s="368"/>
      <c r="H825" s="368"/>
      <c r="I825" s="368">
        <f t="shared" si="28"/>
        <v>0</v>
      </c>
      <c r="J825" s="368">
        <f t="shared" si="29"/>
        <v>0</v>
      </c>
      <c r="K825" s="360" t="s">
        <v>2226</v>
      </c>
    </row>
    <row r="826" spans="1:11" s="360" customFormat="1" ht="20.25" hidden="1" customHeight="1">
      <c r="A826" s="356" t="s">
        <v>1148</v>
      </c>
      <c r="B826" s="357" t="s">
        <v>2199</v>
      </c>
      <c r="C826" s="358">
        <f>WORK!I3458</f>
        <v>0</v>
      </c>
      <c r="D826" s="354" t="s">
        <v>115</v>
      </c>
      <c r="E826" s="355">
        <f>WORK!K3458</f>
        <v>60</v>
      </c>
      <c r="F826" s="353">
        <f>ROUND(C826*E826,0)</f>
        <v>0</v>
      </c>
      <c r="G826" s="368"/>
      <c r="H826" s="368"/>
      <c r="I826" s="368">
        <f>C826-G826</f>
        <v>0</v>
      </c>
      <c r="J826" s="368">
        <f>F826-H826</f>
        <v>0</v>
      </c>
      <c r="K826" s="360" t="s">
        <v>2308</v>
      </c>
    </row>
    <row r="827" spans="1:11" s="360" customFormat="1" ht="20.25" hidden="1" customHeight="1">
      <c r="A827" s="356" t="s">
        <v>647</v>
      </c>
      <c r="B827" s="357" t="s">
        <v>2199</v>
      </c>
      <c r="C827" s="358">
        <f>WORK!I3679</f>
        <v>0</v>
      </c>
      <c r="D827" s="354" t="s">
        <v>115</v>
      </c>
      <c r="E827" s="355">
        <f>WORK!K3679</f>
        <v>66</v>
      </c>
      <c r="F827" s="353">
        <f>ROUND(C827*E827,0)</f>
        <v>0</v>
      </c>
      <c r="G827" s="368"/>
      <c r="H827" s="368"/>
      <c r="I827" s="368">
        <f>C827-G827</f>
        <v>0</v>
      </c>
      <c r="J827" s="368">
        <f>F827-H827</f>
        <v>0</v>
      </c>
      <c r="K827" s="360" t="s">
        <v>2321</v>
      </c>
    </row>
    <row r="828" spans="1:11" s="360" customFormat="1" ht="20.25" hidden="1" customHeight="1">
      <c r="A828" s="356" t="s">
        <v>647</v>
      </c>
      <c r="B828" s="357" t="s">
        <v>2199</v>
      </c>
      <c r="C828" s="358">
        <f>WORK!I3902</f>
        <v>0</v>
      </c>
      <c r="D828" s="354" t="s">
        <v>115</v>
      </c>
      <c r="E828" s="355">
        <f>WORK!K3902</f>
        <v>66</v>
      </c>
      <c r="F828" s="353">
        <f>ROUND(C828*E828,0)</f>
        <v>0</v>
      </c>
      <c r="G828" s="368"/>
      <c r="H828" s="368"/>
      <c r="I828" s="368">
        <f>C828-G828</f>
        <v>0</v>
      </c>
      <c r="J828" s="368">
        <f>F828-H828</f>
        <v>0</v>
      </c>
      <c r="K828" s="360" t="s">
        <v>2322</v>
      </c>
    </row>
    <row r="829" spans="1:11" s="360" customFormat="1" ht="20.25" customHeight="1">
      <c r="A829" s="356" t="s">
        <v>500</v>
      </c>
      <c r="B829" s="357" t="s">
        <v>2134</v>
      </c>
      <c r="C829" s="358">
        <f>WORK!I3250</f>
        <v>11</v>
      </c>
      <c r="D829" s="354" t="s">
        <v>115</v>
      </c>
      <c r="E829" s="355">
        <f>WORK!K3250</f>
        <v>105.53100000000001</v>
      </c>
      <c r="F829" s="353">
        <f t="shared" si="35"/>
        <v>1161</v>
      </c>
      <c r="G829" s="368"/>
      <c r="H829" s="368"/>
      <c r="I829" s="368">
        <f t="shared" si="28"/>
        <v>11</v>
      </c>
      <c r="J829" s="368">
        <f t="shared" si="29"/>
        <v>1161</v>
      </c>
      <c r="K829" s="360" t="s">
        <v>2226</v>
      </c>
    </row>
    <row r="830" spans="1:11" s="360" customFormat="1" ht="20.25" hidden="1" customHeight="1">
      <c r="A830" s="356" t="s">
        <v>1149</v>
      </c>
      <c r="B830" s="357" t="s">
        <v>2812</v>
      </c>
      <c r="C830" s="358">
        <f>WORK!I3468</f>
        <v>0</v>
      </c>
      <c r="D830" s="354" t="s">
        <v>115</v>
      </c>
      <c r="E830" s="355">
        <f>WORK!K3468</f>
        <v>109.685</v>
      </c>
      <c r="F830" s="353">
        <f>ROUND(C830*E830,0)</f>
        <v>0</v>
      </c>
      <c r="G830" s="368"/>
      <c r="H830" s="368"/>
      <c r="I830" s="368">
        <f>C830-G830</f>
        <v>0</v>
      </c>
      <c r="J830" s="368">
        <f>F830-H830</f>
        <v>0</v>
      </c>
      <c r="K830" s="360" t="s">
        <v>2308</v>
      </c>
    </row>
    <row r="831" spans="1:11" s="360" customFormat="1" ht="20.25" hidden="1" customHeight="1">
      <c r="A831" s="356" t="s">
        <v>516</v>
      </c>
      <c r="B831" s="357" t="s">
        <v>2134</v>
      </c>
      <c r="C831" s="358">
        <f>WORK!I3689</f>
        <v>0</v>
      </c>
      <c r="D831" s="354" t="s">
        <v>115</v>
      </c>
      <c r="E831" s="355">
        <f>WORK!K3689</f>
        <v>118.04</v>
      </c>
      <c r="F831" s="353">
        <f>ROUND(C831*E831,0)</f>
        <v>0</v>
      </c>
      <c r="G831" s="368"/>
      <c r="H831" s="368"/>
      <c r="I831" s="368">
        <f>C831-G831</f>
        <v>0</v>
      </c>
      <c r="J831" s="368">
        <f>F831-H831</f>
        <v>0</v>
      </c>
      <c r="K831" s="360" t="s">
        <v>2321</v>
      </c>
    </row>
    <row r="832" spans="1:11" s="360" customFormat="1" ht="20.25" hidden="1" customHeight="1">
      <c r="A832" s="356" t="s">
        <v>514</v>
      </c>
      <c r="B832" s="357" t="s">
        <v>2134</v>
      </c>
      <c r="C832" s="358">
        <f>WORK!I3912</f>
        <v>0</v>
      </c>
      <c r="D832" s="354" t="s">
        <v>115</v>
      </c>
      <c r="E832" s="355">
        <f>WORK!K3912</f>
        <v>125.73500000000001</v>
      </c>
      <c r="F832" s="353">
        <f>ROUND(C832*E832,0)</f>
        <v>0</v>
      </c>
      <c r="G832" s="368"/>
      <c r="H832" s="368"/>
      <c r="I832" s="368">
        <f>C832-G832</f>
        <v>0</v>
      </c>
      <c r="J832" s="368">
        <f>F832-H832</f>
        <v>0</v>
      </c>
      <c r="K832" s="360" t="s">
        <v>2322</v>
      </c>
    </row>
    <row r="833" spans="1:11" s="360" customFormat="1" ht="20.25" hidden="1" customHeight="1">
      <c r="A833" s="356" t="s">
        <v>1159</v>
      </c>
      <c r="B833" s="357" t="s">
        <v>2200</v>
      </c>
      <c r="C833" s="358">
        <f>WORK!I3245</f>
        <v>0</v>
      </c>
      <c r="D833" s="354" t="s">
        <v>115</v>
      </c>
      <c r="E833" s="355">
        <f>WORK!K3245</f>
        <v>344.3</v>
      </c>
      <c r="F833" s="353">
        <f t="shared" si="35"/>
        <v>0</v>
      </c>
      <c r="G833" s="368"/>
      <c r="H833" s="368"/>
      <c r="I833" s="368">
        <f t="shared" si="28"/>
        <v>0</v>
      </c>
      <c r="J833" s="368">
        <f t="shared" si="29"/>
        <v>0</v>
      </c>
      <c r="K833" s="360" t="s">
        <v>2226</v>
      </c>
    </row>
    <row r="834" spans="1:11" s="360" customFormat="1" ht="20.25" hidden="1" customHeight="1">
      <c r="A834" s="356" t="s">
        <v>1151</v>
      </c>
      <c r="B834" s="357" t="s">
        <v>2813</v>
      </c>
      <c r="C834" s="358">
        <f>WORK!I3463</f>
        <v>0</v>
      </c>
      <c r="D834" s="354" t="s">
        <v>115</v>
      </c>
      <c r="E834" s="355">
        <f>WORK!K3463</f>
        <v>375.5</v>
      </c>
      <c r="F834" s="353">
        <f>ROUND(C834*E834,0)</f>
        <v>0</v>
      </c>
      <c r="G834" s="368"/>
      <c r="H834" s="368"/>
      <c r="I834" s="368">
        <f>C834-G834</f>
        <v>0</v>
      </c>
      <c r="J834" s="368">
        <f>F834-H834</f>
        <v>0</v>
      </c>
      <c r="K834" s="360" t="s">
        <v>2308</v>
      </c>
    </row>
    <row r="835" spans="1:11" s="360" customFormat="1" ht="20.25" hidden="1" customHeight="1">
      <c r="A835" s="356" t="s">
        <v>1159</v>
      </c>
      <c r="B835" s="357" t="s">
        <v>2200</v>
      </c>
      <c r="C835" s="358">
        <f>WORK!I3684</f>
        <v>0</v>
      </c>
      <c r="D835" s="354" t="s">
        <v>115</v>
      </c>
      <c r="E835" s="355">
        <f>WORK!K3684</f>
        <v>410</v>
      </c>
      <c r="F835" s="353">
        <f>ROUND(C835*E835,0)</f>
        <v>0</v>
      </c>
      <c r="G835" s="368"/>
      <c r="H835" s="368"/>
      <c r="I835" s="368">
        <f>C835-G835</f>
        <v>0</v>
      </c>
      <c r="J835" s="368">
        <f>F835-H835</f>
        <v>0</v>
      </c>
      <c r="K835" s="360" t="s">
        <v>2321</v>
      </c>
    </row>
    <row r="836" spans="1:11" s="360" customFormat="1" ht="20.25" hidden="1" customHeight="1">
      <c r="A836" s="356" t="s">
        <v>1159</v>
      </c>
      <c r="B836" s="357" t="s">
        <v>2200</v>
      </c>
      <c r="C836" s="358">
        <f>WORK!I3907</f>
        <v>0</v>
      </c>
      <c r="D836" s="354" t="s">
        <v>115</v>
      </c>
      <c r="E836" s="355">
        <f>WORK!K3907</f>
        <v>422.5</v>
      </c>
      <c r="F836" s="353">
        <f>ROUND(C836*E836,0)</f>
        <v>0</v>
      </c>
      <c r="G836" s="368"/>
      <c r="H836" s="368"/>
      <c r="I836" s="368">
        <f>C836-G836</f>
        <v>0</v>
      </c>
      <c r="J836" s="368">
        <f>F836-H836</f>
        <v>0</v>
      </c>
      <c r="K836" s="360" t="s">
        <v>2322</v>
      </c>
    </row>
    <row r="837" spans="1:11" s="360" customFormat="1" ht="20.25" hidden="1" customHeight="1">
      <c r="A837" s="356" t="s">
        <v>646</v>
      </c>
      <c r="B837" s="357" t="s">
        <v>2253</v>
      </c>
      <c r="C837" s="358">
        <f>WORK!I3255</f>
        <v>0</v>
      </c>
      <c r="D837" s="354" t="s">
        <v>115</v>
      </c>
      <c r="E837" s="355">
        <f>WORK!K3255</f>
        <v>99.531000000000006</v>
      </c>
      <c r="F837" s="353">
        <f t="shared" si="35"/>
        <v>0</v>
      </c>
      <c r="G837" s="368"/>
      <c r="H837" s="368"/>
      <c r="I837" s="368">
        <f t="shared" si="28"/>
        <v>0</v>
      </c>
      <c r="J837" s="368">
        <f t="shared" si="29"/>
        <v>0</v>
      </c>
      <c r="K837" s="360" t="s">
        <v>2226</v>
      </c>
    </row>
    <row r="838" spans="1:11" s="360" customFormat="1" ht="20.25" hidden="1" customHeight="1">
      <c r="A838" s="356" t="s">
        <v>646</v>
      </c>
      <c r="B838" s="357" t="s">
        <v>2253</v>
      </c>
      <c r="C838" s="358">
        <f>WORK!I3473</f>
        <v>0</v>
      </c>
      <c r="D838" s="354" t="s">
        <v>115</v>
      </c>
      <c r="E838" s="355">
        <f>WORK!K3473</f>
        <v>103.685</v>
      </c>
      <c r="F838" s="353">
        <f>ROUND(C838*E838,0)</f>
        <v>0</v>
      </c>
      <c r="G838" s="368"/>
      <c r="H838" s="368"/>
      <c r="I838" s="368">
        <f>C838-G838</f>
        <v>0</v>
      </c>
      <c r="J838" s="368">
        <f>F838-H838</f>
        <v>0</v>
      </c>
      <c r="K838" s="360" t="s">
        <v>2308</v>
      </c>
    </row>
    <row r="839" spans="1:11" s="360" customFormat="1" ht="20.25" hidden="1" customHeight="1">
      <c r="A839" s="356" t="s">
        <v>646</v>
      </c>
      <c r="B839" s="357" t="s">
        <v>2253</v>
      </c>
      <c r="C839" s="358">
        <f>WORK!I3694</f>
        <v>0</v>
      </c>
      <c r="D839" s="354" t="s">
        <v>115</v>
      </c>
      <c r="E839" s="355">
        <f>WORK!K3694</f>
        <v>112.04</v>
      </c>
      <c r="F839" s="353">
        <f>ROUND(C839*E839,0)</f>
        <v>0</v>
      </c>
      <c r="G839" s="368"/>
      <c r="H839" s="368"/>
      <c r="I839" s="368">
        <f>C839-G839</f>
        <v>0</v>
      </c>
      <c r="J839" s="368">
        <f>F839-H839</f>
        <v>0</v>
      </c>
      <c r="K839" s="360" t="s">
        <v>2321</v>
      </c>
    </row>
    <row r="840" spans="1:11" s="360" customFormat="1" ht="20.25" hidden="1" customHeight="1">
      <c r="A840" s="356" t="s">
        <v>646</v>
      </c>
      <c r="B840" s="357" t="s">
        <v>2253</v>
      </c>
      <c r="C840" s="358">
        <f>WORK!I3917</f>
        <v>0</v>
      </c>
      <c r="D840" s="354" t="s">
        <v>115</v>
      </c>
      <c r="E840" s="355">
        <f>WORK!K3917</f>
        <v>119.73500000000001</v>
      </c>
      <c r="F840" s="353">
        <f>ROUND(C840*E840,0)</f>
        <v>0</v>
      </c>
      <c r="G840" s="368"/>
      <c r="H840" s="368"/>
      <c r="I840" s="368">
        <f>C840-G840</f>
        <v>0</v>
      </c>
      <c r="J840" s="368">
        <f>F840-H840</f>
        <v>0</v>
      </c>
      <c r="K840" s="360" t="s">
        <v>2322</v>
      </c>
    </row>
    <row r="841" spans="1:11" s="360" customFormat="1" ht="20.25" hidden="1" customHeight="1">
      <c r="A841" s="356" t="s">
        <v>1150</v>
      </c>
      <c r="B841" s="357" t="s">
        <v>1454</v>
      </c>
      <c r="C841" s="358">
        <f>WORK!I3260</f>
        <v>0</v>
      </c>
      <c r="D841" s="354" t="s">
        <v>115</v>
      </c>
      <c r="E841" s="355">
        <f>WORK!K3260</f>
        <v>18</v>
      </c>
      <c r="F841" s="353">
        <f t="shared" si="35"/>
        <v>0</v>
      </c>
      <c r="G841" s="368"/>
      <c r="H841" s="368"/>
      <c r="I841" s="368">
        <f t="shared" ref="I841:I897" si="39">C841-G841</f>
        <v>0</v>
      </c>
      <c r="J841" s="368">
        <f t="shared" ref="J841:J897" si="40">F841-H841</f>
        <v>0</v>
      </c>
      <c r="K841" s="360" t="s">
        <v>2226</v>
      </c>
    </row>
    <row r="842" spans="1:11" s="360" customFormat="1" ht="20.25" hidden="1" customHeight="1">
      <c r="A842" s="356" t="s">
        <v>1152</v>
      </c>
      <c r="B842" s="357" t="s">
        <v>1905</v>
      </c>
      <c r="C842" s="358">
        <f>WORK!I3478</f>
        <v>0</v>
      </c>
      <c r="D842" s="354" t="s">
        <v>115</v>
      </c>
      <c r="E842" s="355">
        <f>WORK!K3478</f>
        <v>18</v>
      </c>
      <c r="F842" s="353">
        <f>ROUND(C842*E842,0)</f>
        <v>0</v>
      </c>
      <c r="G842" s="368"/>
      <c r="H842" s="368"/>
      <c r="I842" s="368">
        <f>C842-G842</f>
        <v>0</v>
      </c>
      <c r="J842" s="368">
        <f>F842-H842</f>
        <v>0</v>
      </c>
      <c r="K842" s="360" t="s">
        <v>2308</v>
      </c>
    </row>
    <row r="843" spans="1:11" s="360" customFormat="1" ht="20.25" hidden="1" customHeight="1">
      <c r="A843" s="356" t="s">
        <v>1150</v>
      </c>
      <c r="B843" s="357" t="s">
        <v>1454</v>
      </c>
      <c r="C843" s="358">
        <f>WORK!I3699</f>
        <v>0</v>
      </c>
      <c r="D843" s="354" t="s">
        <v>115</v>
      </c>
      <c r="E843" s="355">
        <f>WORK!K3699</f>
        <v>20</v>
      </c>
      <c r="F843" s="353">
        <f>ROUND(C843*E843,0)</f>
        <v>0</v>
      </c>
      <c r="G843" s="368"/>
      <c r="H843" s="368"/>
      <c r="I843" s="368">
        <f>C843-G843</f>
        <v>0</v>
      </c>
      <c r="J843" s="368">
        <f>F843-H843</f>
        <v>0</v>
      </c>
      <c r="K843" s="360" t="s">
        <v>2321</v>
      </c>
    </row>
    <row r="844" spans="1:11" s="360" customFormat="1" ht="20.25" hidden="1" customHeight="1">
      <c r="A844" s="356" t="s">
        <v>1150</v>
      </c>
      <c r="B844" s="357" t="s">
        <v>1454</v>
      </c>
      <c r="C844" s="358">
        <f>WORK!I3922</f>
        <v>0</v>
      </c>
      <c r="D844" s="354" t="s">
        <v>115</v>
      </c>
      <c r="E844" s="355">
        <f>WORK!K3922</f>
        <v>21</v>
      </c>
      <c r="F844" s="353">
        <f>ROUND(C844*E844,0)</f>
        <v>0</v>
      </c>
      <c r="G844" s="368"/>
      <c r="H844" s="368"/>
      <c r="I844" s="368">
        <f>C844-G844</f>
        <v>0</v>
      </c>
      <c r="J844" s="368">
        <f>F844-H844</f>
        <v>0</v>
      </c>
      <c r="K844" s="360" t="s">
        <v>2322</v>
      </c>
    </row>
    <row r="845" spans="1:11" s="360" customFormat="1" ht="20.25" customHeight="1">
      <c r="A845" s="356" t="s">
        <v>501</v>
      </c>
      <c r="B845" s="357" t="s">
        <v>2155</v>
      </c>
      <c r="C845" s="358">
        <f>WORK!I3265</f>
        <v>2</v>
      </c>
      <c r="D845" s="354" t="s">
        <v>115</v>
      </c>
      <c r="E845" s="355">
        <f>WORK!K3265</f>
        <v>177.65</v>
      </c>
      <c r="F845" s="353">
        <f t="shared" si="35"/>
        <v>355</v>
      </c>
      <c r="G845" s="368"/>
      <c r="H845" s="368"/>
      <c r="I845" s="368">
        <f t="shared" si="39"/>
        <v>2</v>
      </c>
      <c r="J845" s="368">
        <f t="shared" si="40"/>
        <v>355</v>
      </c>
      <c r="K845" s="360" t="s">
        <v>2226</v>
      </c>
    </row>
    <row r="846" spans="1:11" s="360" customFormat="1" ht="20.25" hidden="1" customHeight="1">
      <c r="A846" s="356" t="s">
        <v>2585</v>
      </c>
      <c r="B846" s="357" t="s">
        <v>2155</v>
      </c>
      <c r="C846" s="358">
        <f>WORK!I3483</f>
        <v>0</v>
      </c>
      <c r="D846" s="354" t="s">
        <v>115</v>
      </c>
      <c r="E846" s="355">
        <f>WORK!K3483</f>
        <v>120.75</v>
      </c>
      <c r="F846" s="353">
        <f>ROUND(C846*E846,0)</f>
        <v>0</v>
      </c>
      <c r="G846" s="368"/>
      <c r="H846" s="368"/>
      <c r="I846" s="368">
        <f>C846-G846</f>
        <v>0</v>
      </c>
      <c r="J846" s="368">
        <f>F846-H846</f>
        <v>0</v>
      </c>
      <c r="K846" s="360" t="s">
        <v>2308</v>
      </c>
    </row>
    <row r="847" spans="1:11" s="360" customFormat="1" ht="20.25" hidden="1" customHeight="1">
      <c r="A847" s="356" t="s">
        <v>517</v>
      </c>
      <c r="B847" s="357" t="s">
        <v>2155</v>
      </c>
      <c r="C847" s="358">
        <f>WORK!I3704</f>
        <v>0</v>
      </c>
      <c r="D847" s="354" t="s">
        <v>115</v>
      </c>
      <c r="E847" s="355">
        <f>WORK!K3704</f>
        <v>122</v>
      </c>
      <c r="F847" s="353">
        <f>ROUND(C847*E847,0)</f>
        <v>0</v>
      </c>
      <c r="G847" s="368"/>
      <c r="H847" s="368"/>
      <c r="I847" s="368">
        <f>C847-G847</f>
        <v>0</v>
      </c>
      <c r="J847" s="368">
        <f>F847-H847</f>
        <v>0</v>
      </c>
      <c r="K847" s="360" t="s">
        <v>2321</v>
      </c>
    </row>
    <row r="848" spans="1:11" s="360" customFormat="1" ht="20.25" hidden="1" customHeight="1">
      <c r="A848" s="356" t="s">
        <v>515</v>
      </c>
      <c r="B848" s="357" t="s">
        <v>2155</v>
      </c>
      <c r="C848" s="358">
        <f>WORK!I3927</f>
        <v>0</v>
      </c>
      <c r="D848" s="354" t="s">
        <v>115</v>
      </c>
      <c r="E848" s="355">
        <f>WORK!K3927</f>
        <v>127.25</v>
      </c>
      <c r="F848" s="353">
        <f>ROUND(C848*E848,0)</f>
        <v>0</v>
      </c>
      <c r="G848" s="368"/>
      <c r="H848" s="368"/>
      <c r="I848" s="368">
        <f>C848-G848</f>
        <v>0</v>
      </c>
      <c r="J848" s="368">
        <f>F848-H848</f>
        <v>0</v>
      </c>
      <c r="K848" s="360" t="s">
        <v>2322</v>
      </c>
    </row>
    <row r="849" spans="1:11" s="360" customFormat="1" ht="20.25" customHeight="1">
      <c r="A849" s="356" t="s">
        <v>502</v>
      </c>
      <c r="B849" s="357" t="s">
        <v>563</v>
      </c>
      <c r="C849" s="358">
        <f>WORK!I3270</f>
        <v>3</v>
      </c>
      <c r="D849" s="354" t="s">
        <v>115</v>
      </c>
      <c r="E849" s="355">
        <f>WORK!K3270</f>
        <v>2636.625</v>
      </c>
      <c r="F849" s="353">
        <f t="shared" si="35"/>
        <v>7910</v>
      </c>
      <c r="G849" s="368"/>
      <c r="H849" s="368"/>
      <c r="I849" s="368">
        <f t="shared" si="39"/>
        <v>3</v>
      </c>
      <c r="J849" s="368">
        <f t="shared" si="40"/>
        <v>7910</v>
      </c>
      <c r="K849" s="360" t="s">
        <v>2226</v>
      </c>
    </row>
    <row r="850" spans="1:11" s="360" customFormat="1" ht="20.25" hidden="1" customHeight="1">
      <c r="A850" s="356" t="s">
        <v>1146</v>
      </c>
      <c r="B850" s="357" t="s">
        <v>563</v>
      </c>
      <c r="C850" s="358">
        <f>WORK!I3489</f>
        <v>0</v>
      </c>
      <c r="D850" s="354" t="s">
        <v>115</v>
      </c>
      <c r="E850" s="355">
        <f>WORK!K3489</f>
        <v>2644.375</v>
      </c>
      <c r="F850" s="353">
        <f>ROUND(C850*E850,0)</f>
        <v>0</v>
      </c>
      <c r="G850" s="368"/>
      <c r="H850" s="368"/>
      <c r="I850" s="368">
        <f>C850-G850</f>
        <v>0</v>
      </c>
      <c r="J850" s="368">
        <f>F850-H850</f>
        <v>0</v>
      </c>
      <c r="K850" s="360" t="s">
        <v>2308</v>
      </c>
    </row>
    <row r="851" spans="1:11" s="360" customFormat="1" ht="20.25" hidden="1" customHeight="1">
      <c r="A851" s="356" t="s">
        <v>518</v>
      </c>
      <c r="B851" s="357" t="s">
        <v>563</v>
      </c>
      <c r="C851" s="358">
        <f>WORK!I3709</f>
        <v>0</v>
      </c>
      <c r="D851" s="354" t="s">
        <v>115</v>
      </c>
      <c r="E851" s="355">
        <f>WORK!K3709</f>
        <v>3020.3799999999997</v>
      </c>
      <c r="F851" s="353">
        <f>ROUND(C851*E851,0)</f>
        <v>0</v>
      </c>
      <c r="G851" s="368"/>
      <c r="H851" s="368"/>
      <c r="I851" s="368">
        <f>C851-G851</f>
        <v>0</v>
      </c>
      <c r="J851" s="368">
        <f>F851-H851</f>
        <v>0</v>
      </c>
      <c r="K851" s="360" t="s">
        <v>2321</v>
      </c>
    </row>
    <row r="852" spans="1:11" s="360" customFormat="1" ht="20.25" hidden="1" customHeight="1">
      <c r="A852" s="356" t="s">
        <v>516</v>
      </c>
      <c r="B852" s="357" t="s">
        <v>563</v>
      </c>
      <c r="C852" s="358">
        <f>WORK!I3932</f>
        <v>0</v>
      </c>
      <c r="D852" s="354" t="s">
        <v>115</v>
      </c>
      <c r="E852" s="355">
        <f>WORK!K3932</f>
        <v>3312.1849999999999</v>
      </c>
      <c r="F852" s="353">
        <f>ROUND(C852*E852,0)</f>
        <v>0</v>
      </c>
      <c r="G852" s="368"/>
      <c r="H852" s="368"/>
      <c r="I852" s="368">
        <f>C852-G852</f>
        <v>0</v>
      </c>
      <c r="J852" s="368">
        <f>F852-H852</f>
        <v>0</v>
      </c>
      <c r="K852" s="360" t="s">
        <v>2322</v>
      </c>
    </row>
    <row r="853" spans="1:11" s="360" customFormat="1" ht="20.25" hidden="1" customHeight="1">
      <c r="A853" s="356" t="s">
        <v>1145</v>
      </c>
      <c r="B853" s="357" t="s">
        <v>563</v>
      </c>
      <c r="C853" s="358">
        <f>WORK!I3280</f>
        <v>0</v>
      </c>
      <c r="D853" s="354" t="s">
        <v>115</v>
      </c>
      <c r="E853" s="355">
        <f>WORK!K3280</f>
        <v>2323</v>
      </c>
      <c r="F853" s="353">
        <f t="shared" si="35"/>
        <v>0</v>
      </c>
      <c r="G853" s="368"/>
      <c r="H853" s="368"/>
      <c r="I853" s="368">
        <f t="shared" si="39"/>
        <v>0</v>
      </c>
      <c r="J853" s="368">
        <f t="shared" si="40"/>
        <v>0</v>
      </c>
      <c r="K853" s="360" t="s">
        <v>2226</v>
      </c>
    </row>
    <row r="854" spans="1:11" s="360" customFormat="1" ht="20.25" hidden="1" customHeight="1">
      <c r="A854" s="356" t="s">
        <v>1153</v>
      </c>
      <c r="B854" s="357" t="s">
        <v>563</v>
      </c>
      <c r="C854" s="358">
        <f>WORK!I3499</f>
        <v>0</v>
      </c>
      <c r="D854" s="354" t="s">
        <v>115</v>
      </c>
      <c r="E854" s="355">
        <f>WORK!K3499</f>
        <v>2323</v>
      </c>
      <c r="F854" s="353">
        <f>ROUND(C854*E854,0)</f>
        <v>0</v>
      </c>
      <c r="G854" s="368"/>
      <c r="H854" s="368"/>
      <c r="I854" s="368">
        <f>C854-G854</f>
        <v>0</v>
      </c>
      <c r="J854" s="368">
        <f>F854-H854</f>
        <v>0</v>
      </c>
      <c r="K854" s="360" t="s">
        <v>2308</v>
      </c>
    </row>
    <row r="855" spans="1:11" s="360" customFormat="1" ht="20.25" hidden="1" customHeight="1">
      <c r="A855" s="356" t="s">
        <v>1145</v>
      </c>
      <c r="B855" s="357" t="s">
        <v>563</v>
      </c>
      <c r="C855" s="358">
        <f>WORK!I3719</f>
        <v>0</v>
      </c>
      <c r="D855" s="354" t="s">
        <v>115</v>
      </c>
      <c r="E855" s="355">
        <f>WORK!K3719</f>
        <v>2671.45</v>
      </c>
      <c r="F855" s="353">
        <f>ROUND(C855*E855,0)</f>
        <v>0</v>
      </c>
      <c r="G855" s="368"/>
      <c r="H855" s="368"/>
      <c r="I855" s="368">
        <f>C855-G855</f>
        <v>0</v>
      </c>
      <c r="J855" s="368">
        <f>F855-H855</f>
        <v>0</v>
      </c>
      <c r="K855" s="360" t="s">
        <v>2321</v>
      </c>
    </row>
    <row r="856" spans="1:11" s="360" customFormat="1" ht="20.25" hidden="1" customHeight="1">
      <c r="A856" s="356" t="s">
        <v>1145</v>
      </c>
      <c r="B856" s="357" t="s">
        <v>563</v>
      </c>
      <c r="C856" s="358">
        <f>WORK!I3949</f>
        <v>0</v>
      </c>
      <c r="D856" s="354" t="s">
        <v>115</v>
      </c>
      <c r="E856" s="355">
        <f>WORK!K3949</f>
        <v>2941.12</v>
      </c>
      <c r="F856" s="353">
        <f>ROUND(C856*E856,0)</f>
        <v>0</v>
      </c>
      <c r="G856" s="368"/>
      <c r="H856" s="368"/>
      <c r="I856" s="368">
        <f>C856-G856</f>
        <v>0</v>
      </c>
      <c r="J856" s="368">
        <f>F856-H856</f>
        <v>0</v>
      </c>
      <c r="K856" s="360" t="s">
        <v>2322</v>
      </c>
    </row>
    <row r="857" spans="1:11" s="360" customFormat="1" ht="20.25" hidden="1" customHeight="1">
      <c r="A857" s="356" t="s">
        <v>1594</v>
      </c>
      <c r="B857" s="357" t="s">
        <v>831</v>
      </c>
      <c r="C857" s="358">
        <f>WORK!I3285</f>
        <v>0</v>
      </c>
      <c r="D857" s="354" t="s">
        <v>115</v>
      </c>
      <c r="E857" s="355">
        <f>WORK!K3285</f>
        <v>237.5</v>
      </c>
      <c r="F857" s="353">
        <f t="shared" si="35"/>
        <v>0</v>
      </c>
      <c r="G857" s="368"/>
      <c r="H857" s="368"/>
      <c r="I857" s="368">
        <f t="shared" si="39"/>
        <v>0</v>
      </c>
      <c r="J857" s="368">
        <f t="shared" si="40"/>
        <v>0</v>
      </c>
      <c r="K857" s="360" t="s">
        <v>2226</v>
      </c>
    </row>
    <row r="858" spans="1:11" s="360" customFormat="1" ht="20.25" hidden="1" customHeight="1">
      <c r="A858" s="356" t="s">
        <v>1154</v>
      </c>
      <c r="B858" s="357" t="s">
        <v>831</v>
      </c>
      <c r="C858" s="358">
        <f>WORK!I3504</f>
        <v>0</v>
      </c>
      <c r="D858" s="354" t="s">
        <v>115</v>
      </c>
      <c r="E858" s="355">
        <f>WORK!K3504</f>
        <v>241</v>
      </c>
      <c r="F858" s="353">
        <f>ROUND(C858*E858,0)</f>
        <v>0</v>
      </c>
      <c r="G858" s="368"/>
      <c r="H858" s="368"/>
      <c r="I858" s="368">
        <f>C858-G858</f>
        <v>0</v>
      </c>
      <c r="J858" s="368">
        <f>F858-H858</f>
        <v>0</v>
      </c>
      <c r="K858" s="360" t="s">
        <v>2308</v>
      </c>
    </row>
    <row r="859" spans="1:11" s="360" customFormat="1" ht="20.25" hidden="1" customHeight="1">
      <c r="A859" s="356" t="s">
        <v>1594</v>
      </c>
      <c r="B859" s="357" t="s">
        <v>831</v>
      </c>
      <c r="C859" s="358">
        <f>WORK!I3724</f>
        <v>0</v>
      </c>
      <c r="D859" s="354" t="s">
        <v>115</v>
      </c>
      <c r="E859" s="355">
        <f>WORK!K3724</f>
        <v>263</v>
      </c>
      <c r="F859" s="353">
        <f>ROUND(C859*E859,0)</f>
        <v>0</v>
      </c>
      <c r="G859" s="368"/>
      <c r="H859" s="368"/>
      <c r="I859" s="368">
        <f>C859-G859</f>
        <v>0</v>
      </c>
      <c r="J859" s="368">
        <f>F859-H859</f>
        <v>0</v>
      </c>
      <c r="K859" s="360" t="s">
        <v>2321</v>
      </c>
    </row>
    <row r="860" spans="1:11" s="360" customFormat="1" ht="20.25" hidden="1" customHeight="1">
      <c r="A860" s="356" t="s">
        <v>1594</v>
      </c>
      <c r="B860" s="357" t="s">
        <v>831</v>
      </c>
      <c r="C860" s="358">
        <f>WORK!I3961</f>
        <v>0</v>
      </c>
      <c r="D860" s="354" t="s">
        <v>115</v>
      </c>
      <c r="E860" s="355">
        <f>WORK!K3961</f>
        <v>278</v>
      </c>
      <c r="F860" s="353">
        <f>ROUND(C860*E860,0)</f>
        <v>0</v>
      </c>
      <c r="G860" s="368"/>
      <c r="H860" s="368"/>
      <c r="I860" s="368">
        <f>C860-G860</f>
        <v>0</v>
      </c>
      <c r="J860" s="368">
        <f>F860-H860</f>
        <v>0</v>
      </c>
      <c r="K860" s="360" t="s">
        <v>2322</v>
      </c>
    </row>
    <row r="861" spans="1:11" s="360" customFormat="1" ht="20.25" hidden="1" customHeight="1">
      <c r="A861" s="356" t="s">
        <v>1595</v>
      </c>
      <c r="B861" s="357" t="s">
        <v>967</v>
      </c>
      <c r="C861" s="358">
        <f>WORK!I3290</f>
        <v>0</v>
      </c>
      <c r="D861" s="354" t="s">
        <v>115</v>
      </c>
      <c r="E861" s="355">
        <f>WORK!K3290</f>
        <v>133.625</v>
      </c>
      <c r="F861" s="353">
        <f t="shared" si="35"/>
        <v>0</v>
      </c>
      <c r="G861" s="368"/>
      <c r="H861" s="368"/>
      <c r="I861" s="368">
        <f t="shared" si="39"/>
        <v>0</v>
      </c>
      <c r="J861" s="368">
        <f t="shared" si="40"/>
        <v>0</v>
      </c>
      <c r="K861" s="360" t="s">
        <v>2226</v>
      </c>
    </row>
    <row r="862" spans="1:11" s="360" customFormat="1" ht="20.25" hidden="1" customHeight="1">
      <c r="A862" s="356" t="s">
        <v>2586</v>
      </c>
      <c r="B862" s="357" t="s">
        <v>967</v>
      </c>
      <c r="C862" s="358">
        <f>WORK!I3509</f>
        <v>0</v>
      </c>
      <c r="D862" s="354" t="s">
        <v>115</v>
      </c>
      <c r="E862" s="355">
        <f>WORK!K3509</f>
        <v>141.375</v>
      </c>
      <c r="F862" s="353">
        <f>ROUND(C862*E862,0)</f>
        <v>0</v>
      </c>
      <c r="G862" s="368"/>
      <c r="H862" s="368"/>
      <c r="I862" s="368">
        <f>C862-G862</f>
        <v>0</v>
      </c>
      <c r="J862" s="368">
        <f>F862-H862</f>
        <v>0</v>
      </c>
      <c r="K862" s="360" t="s">
        <v>2308</v>
      </c>
    </row>
    <row r="863" spans="1:11" s="360" customFormat="1" ht="20.25" hidden="1" customHeight="1">
      <c r="A863" s="356" t="s">
        <v>1595</v>
      </c>
      <c r="B863" s="357" t="s">
        <v>967</v>
      </c>
      <c r="C863" s="358">
        <f>WORK!I3729</f>
        <v>0</v>
      </c>
      <c r="D863" s="354" t="s">
        <v>115</v>
      </c>
      <c r="E863" s="355">
        <f>WORK!K3729</f>
        <v>158.43</v>
      </c>
      <c r="F863" s="353">
        <f>ROUND(C863*E863,0)</f>
        <v>0</v>
      </c>
      <c r="G863" s="368"/>
      <c r="H863" s="368"/>
      <c r="I863" s="368">
        <f>C863-G863</f>
        <v>0</v>
      </c>
      <c r="J863" s="368">
        <f>F863-H863</f>
        <v>0</v>
      </c>
      <c r="K863" s="360" t="s">
        <v>2321</v>
      </c>
    </row>
    <row r="864" spans="1:11" s="360" customFormat="1" ht="20.25" hidden="1" customHeight="1">
      <c r="A864" s="356" t="s">
        <v>1595</v>
      </c>
      <c r="B864" s="357" t="s">
        <v>967</v>
      </c>
      <c r="C864" s="358">
        <f>WORK!I3973</f>
        <v>0</v>
      </c>
      <c r="D864" s="354" t="s">
        <v>115</v>
      </c>
      <c r="E864" s="355">
        <f>WORK!K3973</f>
        <v>163.065</v>
      </c>
      <c r="F864" s="353">
        <f>ROUND(C864*E864,0)</f>
        <v>0</v>
      </c>
      <c r="G864" s="368"/>
      <c r="H864" s="368"/>
      <c r="I864" s="368">
        <f>C864-G864</f>
        <v>0</v>
      </c>
      <c r="J864" s="368">
        <f>F864-H864</f>
        <v>0</v>
      </c>
      <c r="K864" s="360" t="s">
        <v>2322</v>
      </c>
    </row>
    <row r="865" spans="1:11" s="360" customFormat="1" ht="20.25" hidden="1" customHeight="1">
      <c r="A865" s="356" t="s">
        <v>1596</v>
      </c>
      <c r="B865" s="357" t="s">
        <v>1576</v>
      </c>
      <c r="C865" s="358">
        <f>WORK!I3275</f>
        <v>0</v>
      </c>
      <c r="D865" s="354" t="s">
        <v>115</v>
      </c>
      <c r="E865" s="355">
        <f>WORK!K3275</f>
        <v>252.38800000000001</v>
      </c>
      <c r="F865" s="353">
        <f t="shared" si="35"/>
        <v>0</v>
      </c>
      <c r="G865" s="368"/>
      <c r="H865" s="368"/>
      <c r="I865" s="368">
        <f t="shared" si="39"/>
        <v>0</v>
      </c>
      <c r="J865" s="368">
        <f t="shared" si="40"/>
        <v>0</v>
      </c>
      <c r="K865" s="360" t="s">
        <v>2226</v>
      </c>
    </row>
    <row r="866" spans="1:11" s="360" customFormat="1" ht="20.25" hidden="1" customHeight="1">
      <c r="A866" s="356" t="s">
        <v>1155</v>
      </c>
      <c r="B866" s="357" t="s">
        <v>1576</v>
      </c>
      <c r="C866" s="358">
        <f>WORK!I3494</f>
        <v>0</v>
      </c>
      <c r="D866" s="354" t="s">
        <v>115</v>
      </c>
      <c r="E866" s="355">
        <f>WORK!K3494</f>
        <v>195.17000000000002</v>
      </c>
      <c r="F866" s="353">
        <f t="shared" ref="F866" si="41">ROUND(C866*E866,0)</f>
        <v>0</v>
      </c>
      <c r="G866" s="368"/>
      <c r="H866" s="368"/>
      <c r="I866" s="368">
        <f>C866-G866</f>
        <v>0</v>
      </c>
      <c r="J866" s="368">
        <f>F866-H866</f>
        <v>0</v>
      </c>
      <c r="K866" s="360" t="s">
        <v>2308</v>
      </c>
    </row>
    <row r="867" spans="1:11" s="360" customFormat="1" ht="20.25" hidden="1" customHeight="1">
      <c r="A867" s="356" t="s">
        <v>1596</v>
      </c>
      <c r="B867" s="357" t="s">
        <v>1576</v>
      </c>
      <c r="C867" s="358">
        <f>WORK!I3714</f>
        <v>0</v>
      </c>
      <c r="D867" s="354" t="s">
        <v>115</v>
      </c>
      <c r="E867" s="355">
        <f>WORK!K3714</f>
        <v>208.13000000000002</v>
      </c>
      <c r="F867" s="353">
        <f>ROUND(C867*E867,0)</f>
        <v>0</v>
      </c>
      <c r="G867" s="368"/>
      <c r="H867" s="368"/>
      <c r="I867" s="368">
        <f>C867-G867</f>
        <v>0</v>
      </c>
      <c r="J867" s="368">
        <f>F867-H867</f>
        <v>0</v>
      </c>
      <c r="K867" s="360" t="s">
        <v>2321</v>
      </c>
    </row>
    <row r="868" spans="1:11" s="360" customFormat="1" ht="20.25" hidden="1" customHeight="1">
      <c r="A868" s="356" t="s">
        <v>1596</v>
      </c>
      <c r="B868" s="357" t="s">
        <v>1576</v>
      </c>
      <c r="C868" s="358">
        <f>WORK!I3937</f>
        <v>0</v>
      </c>
      <c r="D868" s="354" t="s">
        <v>115</v>
      </c>
      <c r="E868" s="355">
        <f>WORK!K3937</f>
        <v>230.73000000000002</v>
      </c>
      <c r="F868" s="353">
        <f>ROUND(C868*E868,0)</f>
        <v>0</v>
      </c>
      <c r="G868" s="368"/>
      <c r="H868" s="368"/>
      <c r="I868" s="368">
        <f>C868-G868</f>
        <v>0</v>
      </c>
      <c r="J868" s="368">
        <f>F868-H868</f>
        <v>0</v>
      </c>
      <c r="K868" s="360" t="s">
        <v>2322</v>
      </c>
    </row>
    <row r="869" spans="1:11" s="360" customFormat="1" ht="20.25" hidden="1" customHeight="1">
      <c r="A869" s="356" t="s">
        <v>1592</v>
      </c>
      <c r="B869" s="357" t="s">
        <v>832</v>
      </c>
      <c r="C869" s="358">
        <f>WORK!I3297</f>
        <v>0</v>
      </c>
      <c r="D869" s="354" t="s">
        <v>115</v>
      </c>
      <c r="E869" s="355">
        <f>WORK!K3297</f>
        <v>126.80000000000001</v>
      </c>
      <c r="F869" s="353">
        <f t="shared" si="35"/>
        <v>0</v>
      </c>
      <c r="G869" s="368"/>
      <c r="H869" s="368"/>
      <c r="I869" s="368">
        <f t="shared" si="39"/>
        <v>0</v>
      </c>
      <c r="J869" s="368">
        <f t="shared" si="40"/>
        <v>0</v>
      </c>
      <c r="K869" s="360" t="s">
        <v>2226</v>
      </c>
    </row>
    <row r="870" spans="1:11" s="360" customFormat="1" ht="20.25" hidden="1" customHeight="1">
      <c r="A870" s="356" t="s">
        <v>1592</v>
      </c>
      <c r="B870" s="357" t="s">
        <v>832</v>
      </c>
      <c r="C870" s="358">
        <f>WORK!I3516</f>
        <v>0</v>
      </c>
      <c r="D870" s="354" t="s">
        <v>115</v>
      </c>
      <c r="E870" s="355">
        <f>WORK!K3516</f>
        <v>129.5</v>
      </c>
      <c r="F870" s="353">
        <f>ROUND(C870*E870,0)</f>
        <v>0</v>
      </c>
      <c r="G870" s="368"/>
      <c r="H870" s="368"/>
      <c r="I870" s="368">
        <f>C870-G870</f>
        <v>0</v>
      </c>
      <c r="J870" s="368">
        <f>F870-H870</f>
        <v>0</v>
      </c>
      <c r="K870" s="360" t="s">
        <v>2308</v>
      </c>
    </row>
    <row r="871" spans="1:11" s="360" customFormat="1" ht="20.25" hidden="1" customHeight="1">
      <c r="A871" s="356" t="s">
        <v>1592</v>
      </c>
      <c r="B871" s="357" t="s">
        <v>832</v>
      </c>
      <c r="C871" s="358">
        <f>WORK!I3736</f>
        <v>0</v>
      </c>
      <c r="D871" s="354" t="s">
        <v>115</v>
      </c>
      <c r="E871" s="355">
        <f>WORK!K3736</f>
        <v>147</v>
      </c>
      <c r="F871" s="353">
        <f>ROUND(C871*E871,0)</f>
        <v>0</v>
      </c>
      <c r="G871" s="368"/>
      <c r="H871" s="368"/>
      <c r="I871" s="368">
        <f>C871-G871</f>
        <v>0</v>
      </c>
      <c r="J871" s="368">
        <f>F871-H871</f>
        <v>0</v>
      </c>
      <c r="K871" s="360" t="s">
        <v>2321</v>
      </c>
    </row>
    <row r="872" spans="1:11" s="360" customFormat="1" ht="20.25" hidden="1" customHeight="1">
      <c r="A872" s="356" t="s">
        <v>1592</v>
      </c>
      <c r="B872" s="357" t="s">
        <v>832</v>
      </c>
      <c r="C872" s="358">
        <f>WORK!I3980</f>
        <v>0</v>
      </c>
      <c r="D872" s="354" t="s">
        <v>115</v>
      </c>
      <c r="E872" s="355">
        <f>WORK!K3980</f>
        <v>161.5</v>
      </c>
      <c r="F872" s="353">
        <f>ROUND(C872*E872,0)</f>
        <v>0</v>
      </c>
      <c r="G872" s="368"/>
      <c r="H872" s="368"/>
      <c r="I872" s="368">
        <f>C872-G872</f>
        <v>0</v>
      </c>
      <c r="J872" s="368">
        <f>F872-H872</f>
        <v>0</v>
      </c>
      <c r="K872" s="360" t="s">
        <v>2322</v>
      </c>
    </row>
    <row r="873" spans="1:11" s="360" customFormat="1" ht="20.25" customHeight="1">
      <c r="A873" s="356" t="s">
        <v>503</v>
      </c>
      <c r="B873" s="357" t="s">
        <v>564</v>
      </c>
      <c r="C873" s="358">
        <f>WORK!I3302</f>
        <v>8</v>
      </c>
      <c r="D873" s="354" t="s">
        <v>115</v>
      </c>
      <c r="E873" s="355">
        <f>WORK!K3302</f>
        <v>404.1</v>
      </c>
      <c r="F873" s="353">
        <f t="shared" si="35"/>
        <v>3233</v>
      </c>
      <c r="G873" s="368"/>
      <c r="H873" s="368"/>
      <c r="I873" s="368">
        <f t="shared" si="39"/>
        <v>8</v>
      </c>
      <c r="J873" s="368">
        <f t="shared" si="40"/>
        <v>3233</v>
      </c>
      <c r="K873" s="360" t="s">
        <v>2226</v>
      </c>
    </row>
    <row r="874" spans="1:11" s="360" customFormat="1" ht="20.25" hidden="1" customHeight="1">
      <c r="A874" s="356" t="s">
        <v>1156</v>
      </c>
      <c r="B874" s="357" t="s">
        <v>564</v>
      </c>
      <c r="C874" s="358">
        <f>WORK!I3521</f>
        <v>0</v>
      </c>
      <c r="D874" s="354" t="s">
        <v>115</v>
      </c>
      <c r="E874" s="355">
        <f>WORK!K3521</f>
        <v>410.5</v>
      </c>
      <c r="F874" s="353">
        <f>ROUND(C874*E874,0)</f>
        <v>0</v>
      </c>
      <c r="G874" s="368"/>
      <c r="H874" s="368"/>
      <c r="I874" s="368">
        <f>C874-G874</f>
        <v>0</v>
      </c>
      <c r="J874" s="368">
        <f>F874-H874</f>
        <v>0</v>
      </c>
      <c r="K874" s="360" t="s">
        <v>2308</v>
      </c>
    </row>
    <row r="875" spans="1:11" s="360" customFormat="1" ht="20.25" hidden="1" customHeight="1">
      <c r="A875" s="356" t="s">
        <v>519</v>
      </c>
      <c r="B875" s="357" t="s">
        <v>564</v>
      </c>
      <c r="C875" s="358">
        <f>WORK!I3741</f>
        <v>0</v>
      </c>
      <c r="D875" s="354" t="s">
        <v>115</v>
      </c>
      <c r="E875" s="355">
        <f>WORK!K3741</f>
        <v>395.93</v>
      </c>
      <c r="F875" s="353">
        <f>ROUND(C875*E875,0)</f>
        <v>0</v>
      </c>
      <c r="G875" s="368"/>
      <c r="H875" s="368"/>
      <c r="I875" s="368">
        <f>C875-G875</f>
        <v>0</v>
      </c>
      <c r="J875" s="368">
        <f>F875-H875</f>
        <v>0</v>
      </c>
      <c r="K875" s="360" t="s">
        <v>2321</v>
      </c>
    </row>
    <row r="876" spans="1:11" s="360" customFormat="1" ht="20.25" hidden="1" customHeight="1">
      <c r="A876" s="356" t="s">
        <v>517</v>
      </c>
      <c r="B876" s="357" t="s">
        <v>564</v>
      </c>
      <c r="C876" s="358">
        <f>WORK!I3985</f>
        <v>0</v>
      </c>
      <c r="D876" s="354" t="s">
        <v>115</v>
      </c>
      <c r="E876" s="355">
        <f>WORK!K3985</f>
        <v>406.44</v>
      </c>
      <c r="F876" s="353">
        <f>ROUND(C876*E876,0)</f>
        <v>0</v>
      </c>
      <c r="G876" s="368"/>
      <c r="H876" s="368"/>
      <c r="I876" s="368">
        <f>C876-G876</f>
        <v>0</v>
      </c>
      <c r="J876" s="368">
        <f>F876-H876</f>
        <v>0</v>
      </c>
      <c r="K876" s="360" t="s">
        <v>2322</v>
      </c>
    </row>
    <row r="877" spans="1:11" s="360" customFormat="1" ht="20.25" hidden="1" customHeight="1">
      <c r="A877" s="356" t="s">
        <v>1155</v>
      </c>
      <c r="B877" s="357" t="s">
        <v>2284</v>
      </c>
      <c r="C877" s="358">
        <f>WORK!I3307</f>
        <v>0</v>
      </c>
      <c r="D877" s="354" t="s">
        <v>115</v>
      </c>
      <c r="E877" s="355">
        <f>WORK!K3307</f>
        <v>1980</v>
      </c>
      <c r="F877" s="353">
        <f t="shared" si="35"/>
        <v>0</v>
      </c>
      <c r="G877" s="368"/>
      <c r="H877" s="368"/>
      <c r="I877" s="368">
        <f t="shared" si="39"/>
        <v>0</v>
      </c>
      <c r="J877" s="368">
        <f t="shared" si="40"/>
        <v>0</v>
      </c>
      <c r="K877" s="360" t="s">
        <v>2226</v>
      </c>
    </row>
    <row r="878" spans="1:11" s="360" customFormat="1" ht="20.25" hidden="1" customHeight="1">
      <c r="A878" s="356" t="s">
        <v>1155</v>
      </c>
      <c r="B878" s="357" t="s">
        <v>2284</v>
      </c>
      <c r="C878" s="358">
        <f>WORK!I3526</f>
        <v>0</v>
      </c>
      <c r="D878" s="354" t="s">
        <v>115</v>
      </c>
      <c r="E878" s="355">
        <f>WORK!K3526</f>
        <v>1980</v>
      </c>
      <c r="F878" s="353">
        <f>ROUND(C878*E878,0)</f>
        <v>0</v>
      </c>
      <c r="G878" s="368"/>
      <c r="H878" s="368"/>
      <c r="I878" s="368">
        <f>C878-G878</f>
        <v>0</v>
      </c>
      <c r="J878" s="368">
        <f>F878-H878</f>
        <v>0</v>
      </c>
      <c r="K878" s="360" t="s">
        <v>2308</v>
      </c>
    </row>
    <row r="879" spans="1:11" s="360" customFormat="1" ht="20.25" hidden="1" customHeight="1">
      <c r="A879" s="356" t="s">
        <v>1155</v>
      </c>
      <c r="B879" s="357" t="s">
        <v>2284</v>
      </c>
      <c r="C879" s="358">
        <f>WORK!I3746</f>
        <v>0</v>
      </c>
      <c r="D879" s="354" t="s">
        <v>115</v>
      </c>
      <c r="E879" s="355">
        <f>WORK!K3746</f>
        <v>1822</v>
      </c>
      <c r="F879" s="353">
        <f>ROUND(C879*E879,0)</f>
        <v>0</v>
      </c>
      <c r="G879" s="368"/>
      <c r="H879" s="368"/>
      <c r="I879" s="368">
        <f>C879-G879</f>
        <v>0</v>
      </c>
      <c r="J879" s="368">
        <f>F879-H879</f>
        <v>0</v>
      </c>
      <c r="K879" s="360" t="s">
        <v>2321</v>
      </c>
    </row>
    <row r="880" spans="1:11" s="360" customFormat="1" ht="20.25" hidden="1" customHeight="1">
      <c r="A880" s="356" t="s">
        <v>1155</v>
      </c>
      <c r="B880" s="357" t="s">
        <v>2284</v>
      </c>
      <c r="C880" s="358">
        <f>WORK!I3990</f>
        <v>0</v>
      </c>
      <c r="D880" s="354" t="s">
        <v>115</v>
      </c>
      <c r="E880" s="355">
        <f>WORK!K3990</f>
        <v>1822</v>
      </c>
      <c r="F880" s="353">
        <f>ROUND(C880*E880,0)</f>
        <v>0</v>
      </c>
      <c r="G880" s="368"/>
      <c r="H880" s="368"/>
      <c r="I880" s="368">
        <f>C880-G880</f>
        <v>0</v>
      </c>
      <c r="J880" s="368">
        <f>F880-H880</f>
        <v>0</v>
      </c>
      <c r="K880" s="360" t="s">
        <v>2322</v>
      </c>
    </row>
    <row r="881" spans="1:11" s="360" customFormat="1" ht="20.25" hidden="1" customHeight="1">
      <c r="A881" s="356" t="s">
        <v>1155</v>
      </c>
      <c r="B881" s="357" t="s">
        <v>2285</v>
      </c>
      <c r="C881" s="358">
        <f>WORK!I3312</f>
        <v>0</v>
      </c>
      <c r="D881" s="354" t="s">
        <v>115</v>
      </c>
      <c r="E881" s="355">
        <f>WORK!K3312</f>
        <v>5900</v>
      </c>
      <c r="F881" s="353">
        <f t="shared" ref="F881" si="42">ROUND(C881*E881,0)</f>
        <v>0</v>
      </c>
      <c r="G881" s="368"/>
      <c r="H881" s="368"/>
      <c r="I881" s="368">
        <f t="shared" ref="I881" si="43">C881-G881</f>
        <v>0</v>
      </c>
      <c r="J881" s="368">
        <f t="shared" ref="J881" si="44">F881-H881</f>
        <v>0</v>
      </c>
      <c r="K881" s="360" t="s">
        <v>2226</v>
      </c>
    </row>
    <row r="882" spans="1:11" s="360" customFormat="1" ht="20.25" hidden="1" customHeight="1">
      <c r="A882" s="356" t="s">
        <v>1155</v>
      </c>
      <c r="B882" s="357" t="s">
        <v>2285</v>
      </c>
      <c r="C882" s="358">
        <f>WORK!I3531</f>
        <v>0</v>
      </c>
      <c r="D882" s="354" t="s">
        <v>115</v>
      </c>
      <c r="E882" s="355">
        <f>WORK!K3531</f>
        <v>5900</v>
      </c>
      <c r="F882" s="353">
        <f>ROUND(C882*E882,0)</f>
        <v>0</v>
      </c>
      <c r="G882" s="368"/>
      <c r="H882" s="368"/>
      <c r="I882" s="368">
        <f>C882-G882</f>
        <v>0</v>
      </c>
      <c r="J882" s="368">
        <f>F882-H882</f>
        <v>0</v>
      </c>
      <c r="K882" s="360" t="s">
        <v>2308</v>
      </c>
    </row>
    <row r="883" spans="1:11" s="360" customFormat="1" ht="20.25" hidden="1" customHeight="1">
      <c r="A883" s="356" t="s">
        <v>1155</v>
      </c>
      <c r="B883" s="357" t="s">
        <v>2285</v>
      </c>
      <c r="C883" s="358">
        <f>WORK!I3751</f>
        <v>0</v>
      </c>
      <c r="D883" s="354" t="s">
        <v>115</v>
      </c>
      <c r="E883" s="355">
        <f>WORK!K3751</f>
        <v>5428</v>
      </c>
      <c r="F883" s="353">
        <f>ROUND(C883*E883,0)</f>
        <v>0</v>
      </c>
      <c r="G883" s="368"/>
      <c r="H883" s="368"/>
      <c r="I883" s="368">
        <f>C883-G883</f>
        <v>0</v>
      </c>
      <c r="J883" s="368">
        <f>F883-H883</f>
        <v>0</v>
      </c>
      <c r="K883" s="360" t="s">
        <v>2321</v>
      </c>
    </row>
    <row r="884" spans="1:11" s="360" customFormat="1" ht="20.25" hidden="1" customHeight="1">
      <c r="A884" s="356" t="s">
        <v>1155</v>
      </c>
      <c r="B884" s="357" t="s">
        <v>2285</v>
      </c>
      <c r="C884" s="358">
        <f>WORK!I3995</f>
        <v>0</v>
      </c>
      <c r="D884" s="354" t="s">
        <v>115</v>
      </c>
      <c r="E884" s="355">
        <f>WORK!K3995</f>
        <v>5428</v>
      </c>
      <c r="F884" s="353">
        <f>ROUND(C884*E884,0)</f>
        <v>0</v>
      </c>
      <c r="G884" s="368"/>
      <c r="H884" s="368"/>
      <c r="I884" s="368">
        <f>C884-G884</f>
        <v>0</v>
      </c>
      <c r="J884" s="368">
        <f>F884-H884</f>
        <v>0</v>
      </c>
      <c r="K884" s="360" t="s">
        <v>2322</v>
      </c>
    </row>
    <row r="885" spans="1:11" s="360" customFormat="1" ht="20.25" customHeight="1">
      <c r="A885" s="356" t="s">
        <v>504</v>
      </c>
      <c r="B885" s="357" t="s">
        <v>1568</v>
      </c>
      <c r="C885" s="358">
        <f>WORK!I3322</f>
        <v>1</v>
      </c>
      <c r="D885" s="354" t="s">
        <v>115</v>
      </c>
      <c r="E885" s="355">
        <f>WORK!K3322</f>
        <v>2936</v>
      </c>
      <c r="F885" s="353">
        <f t="shared" si="35"/>
        <v>2936</v>
      </c>
      <c r="G885" s="368"/>
      <c r="H885" s="368"/>
      <c r="I885" s="368">
        <f t="shared" si="39"/>
        <v>1</v>
      </c>
      <c r="J885" s="368">
        <f t="shared" si="40"/>
        <v>2936</v>
      </c>
      <c r="K885" s="360" t="s">
        <v>2226</v>
      </c>
    </row>
    <row r="886" spans="1:11" s="360" customFormat="1" ht="20.25" hidden="1" customHeight="1">
      <c r="A886" s="356" t="s">
        <v>2700</v>
      </c>
      <c r="B886" s="357" t="s">
        <v>1568</v>
      </c>
      <c r="C886" s="358">
        <f>WORK!I3541</f>
        <v>0</v>
      </c>
      <c r="D886" s="354" t="s">
        <v>115</v>
      </c>
      <c r="E886" s="355">
        <f>WORK!K3541</f>
        <v>2995</v>
      </c>
      <c r="F886" s="353">
        <f>ROUND(C886*E886,0)</f>
        <v>0</v>
      </c>
      <c r="G886" s="368"/>
      <c r="H886" s="368"/>
      <c r="I886" s="368">
        <f>C886-G886</f>
        <v>0</v>
      </c>
      <c r="J886" s="368">
        <f>F886-H886</f>
        <v>0</v>
      </c>
      <c r="K886" s="360" t="s">
        <v>2308</v>
      </c>
    </row>
    <row r="887" spans="1:11" s="360" customFormat="1" ht="20.25" hidden="1" customHeight="1">
      <c r="A887" s="356" t="s">
        <v>520</v>
      </c>
      <c r="B887" s="357" t="s">
        <v>1568</v>
      </c>
      <c r="C887" s="358">
        <f>WORK!I3761</f>
        <v>0</v>
      </c>
      <c r="D887" s="354" t="s">
        <v>115</v>
      </c>
      <c r="E887" s="355">
        <f>WORK!K3761</f>
        <v>3255</v>
      </c>
      <c r="F887" s="353">
        <f>ROUND(C887*E887,0)</f>
        <v>0</v>
      </c>
      <c r="G887" s="368"/>
      <c r="H887" s="368"/>
      <c r="I887" s="368">
        <f>C887-G887</f>
        <v>0</v>
      </c>
      <c r="J887" s="368">
        <f>F887-H887</f>
        <v>0</v>
      </c>
      <c r="K887" s="360" t="s">
        <v>2321</v>
      </c>
    </row>
    <row r="888" spans="1:11" s="360" customFormat="1" ht="20.25" hidden="1" customHeight="1">
      <c r="A888" s="356" t="s">
        <v>518</v>
      </c>
      <c r="B888" s="357" t="s">
        <v>1568</v>
      </c>
      <c r="C888" s="358">
        <f>WORK!I4005</f>
        <v>0</v>
      </c>
      <c r="D888" s="354" t="s">
        <v>115</v>
      </c>
      <c r="E888" s="355">
        <f>WORK!K4005</f>
        <v>3662</v>
      </c>
      <c r="F888" s="353">
        <f>ROUND(C888*E888,0)</f>
        <v>0</v>
      </c>
      <c r="G888" s="368"/>
      <c r="H888" s="368"/>
      <c r="I888" s="368">
        <f>C888-G888</f>
        <v>0</v>
      </c>
      <c r="J888" s="368">
        <f>F888-H888</f>
        <v>0</v>
      </c>
      <c r="K888" s="360" t="s">
        <v>2322</v>
      </c>
    </row>
    <row r="889" spans="1:11" s="360" customFormat="1" ht="20.25" hidden="1" customHeight="1">
      <c r="A889" s="356" t="s">
        <v>1161</v>
      </c>
      <c r="B889" s="357" t="s">
        <v>797</v>
      </c>
      <c r="C889" s="358">
        <f>WORK!I3317</f>
        <v>0</v>
      </c>
      <c r="D889" s="354" t="s">
        <v>115</v>
      </c>
      <c r="E889" s="355">
        <f>WORK!K3317</f>
        <v>1290</v>
      </c>
      <c r="F889" s="353">
        <f t="shared" si="35"/>
        <v>0</v>
      </c>
      <c r="G889" s="368"/>
      <c r="H889" s="368"/>
      <c r="I889" s="368">
        <f t="shared" si="39"/>
        <v>0</v>
      </c>
      <c r="J889" s="368">
        <f t="shared" si="40"/>
        <v>0</v>
      </c>
      <c r="K889" s="360" t="s">
        <v>2226</v>
      </c>
    </row>
    <row r="890" spans="1:11" s="360" customFormat="1" ht="20.25" hidden="1" customHeight="1">
      <c r="A890" s="356" t="s">
        <v>1161</v>
      </c>
      <c r="B890" s="357" t="s">
        <v>797</v>
      </c>
      <c r="C890" s="358">
        <f>WORK!I3536</f>
        <v>0</v>
      </c>
      <c r="D890" s="354" t="s">
        <v>115</v>
      </c>
      <c r="E890" s="355">
        <f>WORK!K3536</f>
        <v>1290</v>
      </c>
      <c r="F890" s="353">
        <f>ROUND(C890*E890,0)</f>
        <v>0</v>
      </c>
      <c r="G890" s="368"/>
      <c r="H890" s="368"/>
      <c r="I890" s="368">
        <f>C890-G890</f>
        <v>0</v>
      </c>
      <c r="J890" s="368">
        <f>F890-H890</f>
        <v>0</v>
      </c>
      <c r="K890" s="360" t="s">
        <v>2308</v>
      </c>
    </row>
    <row r="891" spans="1:11" s="360" customFormat="1" ht="20.25" hidden="1" customHeight="1">
      <c r="A891" s="356" t="s">
        <v>1161</v>
      </c>
      <c r="B891" s="357" t="s">
        <v>797</v>
      </c>
      <c r="C891" s="358">
        <f>WORK!I3756</f>
        <v>0</v>
      </c>
      <c r="D891" s="354" t="s">
        <v>115</v>
      </c>
      <c r="E891" s="355">
        <f>WORK!K3756</f>
        <v>1484</v>
      </c>
      <c r="F891" s="353">
        <f>ROUND(C891*E891,0)</f>
        <v>0</v>
      </c>
      <c r="G891" s="368"/>
      <c r="H891" s="368"/>
      <c r="I891" s="368">
        <f>C891-G891</f>
        <v>0</v>
      </c>
      <c r="J891" s="368">
        <f>F891-H891</f>
        <v>0</v>
      </c>
      <c r="K891" s="360" t="s">
        <v>2321</v>
      </c>
    </row>
    <row r="892" spans="1:11" s="360" customFormat="1" ht="20.25" hidden="1" customHeight="1">
      <c r="A892" s="356" t="s">
        <v>1161</v>
      </c>
      <c r="B892" s="357" t="s">
        <v>797</v>
      </c>
      <c r="C892" s="358">
        <f>WORK!I4000</f>
        <v>0</v>
      </c>
      <c r="D892" s="354" t="s">
        <v>115</v>
      </c>
      <c r="E892" s="355">
        <f>WORK!K4000</f>
        <v>1634</v>
      </c>
      <c r="F892" s="353">
        <f>ROUND(C892*E892,0)</f>
        <v>0</v>
      </c>
      <c r="G892" s="368"/>
      <c r="H892" s="368"/>
      <c r="I892" s="368">
        <f>C892-G892</f>
        <v>0</v>
      </c>
      <c r="J892" s="368">
        <f>F892-H892</f>
        <v>0</v>
      </c>
      <c r="K892" s="360" t="s">
        <v>2322</v>
      </c>
    </row>
    <row r="893" spans="1:11" s="360" customFormat="1" ht="30.75" customHeight="1">
      <c r="A893" s="356" t="s">
        <v>506</v>
      </c>
      <c r="B893" s="357" t="s">
        <v>2135</v>
      </c>
      <c r="C893" s="358">
        <f>WORK!I3327</f>
        <v>1</v>
      </c>
      <c r="D893" s="354" t="s">
        <v>115</v>
      </c>
      <c r="E893" s="355">
        <f>WORK!K3327</f>
        <v>886.80000000000007</v>
      </c>
      <c r="F893" s="353">
        <f t="shared" si="35"/>
        <v>887</v>
      </c>
      <c r="G893" s="368"/>
      <c r="H893" s="368"/>
      <c r="I893" s="368">
        <f t="shared" si="39"/>
        <v>1</v>
      </c>
      <c r="J893" s="368">
        <f t="shared" si="40"/>
        <v>887</v>
      </c>
      <c r="K893" s="360" t="s">
        <v>2226</v>
      </c>
    </row>
    <row r="894" spans="1:11" s="360" customFormat="1" ht="30.75" hidden="1" customHeight="1">
      <c r="A894" s="356" t="s">
        <v>1157</v>
      </c>
      <c r="B894" s="357" t="s">
        <v>2135</v>
      </c>
      <c r="C894" s="358">
        <f>WORK!I3546</f>
        <v>0</v>
      </c>
      <c r="D894" s="354" t="s">
        <v>115</v>
      </c>
      <c r="E894" s="355">
        <f>WORK!K3546</f>
        <v>905</v>
      </c>
      <c r="F894" s="353">
        <f>ROUND(C894*E894,0)</f>
        <v>0</v>
      </c>
      <c r="G894" s="368"/>
      <c r="H894" s="368"/>
      <c r="I894" s="368">
        <f>C894-G894</f>
        <v>0</v>
      </c>
      <c r="J894" s="368">
        <f>F894-H894</f>
        <v>0</v>
      </c>
      <c r="K894" s="360" t="s">
        <v>2308</v>
      </c>
    </row>
    <row r="895" spans="1:11" s="360" customFormat="1" ht="30.75" hidden="1" customHeight="1">
      <c r="A895" s="356" t="s">
        <v>521</v>
      </c>
      <c r="B895" s="357" t="s">
        <v>2135</v>
      </c>
      <c r="C895" s="358">
        <f>WORK!I3766</f>
        <v>0</v>
      </c>
      <c r="D895" s="354" t="s">
        <v>115</v>
      </c>
      <c r="E895" s="355">
        <f>WORK!K3766</f>
        <v>1005.6</v>
      </c>
      <c r="F895" s="353">
        <f>ROUND(C895*E895,0)</f>
        <v>0</v>
      </c>
      <c r="G895" s="368"/>
      <c r="H895" s="368"/>
      <c r="I895" s="368">
        <f>C895-G895</f>
        <v>0</v>
      </c>
      <c r="J895" s="368">
        <f>F895-H895</f>
        <v>0</v>
      </c>
      <c r="K895" s="360" t="s">
        <v>2321</v>
      </c>
    </row>
    <row r="896" spans="1:11" s="360" customFormat="1" ht="30.75" hidden="1" customHeight="1">
      <c r="A896" s="356" t="s">
        <v>519</v>
      </c>
      <c r="B896" s="357" t="s">
        <v>2135</v>
      </c>
      <c r="C896" s="358">
        <f>WORK!I4010</f>
        <v>0</v>
      </c>
      <c r="D896" s="354" t="s">
        <v>115</v>
      </c>
      <c r="E896" s="355">
        <f>WORK!K4010</f>
        <v>1089.96</v>
      </c>
      <c r="F896" s="353">
        <f>ROUND(C896*E896,0)</f>
        <v>0</v>
      </c>
      <c r="G896" s="368"/>
      <c r="H896" s="368"/>
      <c r="I896" s="368">
        <f>C896-G896</f>
        <v>0</v>
      </c>
      <c r="J896" s="368">
        <f>F896-H896</f>
        <v>0</v>
      </c>
      <c r="K896" s="360" t="s">
        <v>2322</v>
      </c>
    </row>
    <row r="897" spans="1:11" s="360" customFormat="1" hidden="1">
      <c r="A897" s="356" t="s">
        <v>1148</v>
      </c>
      <c r="B897" s="357" t="s">
        <v>565</v>
      </c>
      <c r="C897" s="358">
        <f>WORK!I3332</f>
        <v>0</v>
      </c>
      <c r="D897" s="354" t="s">
        <v>115</v>
      </c>
      <c r="E897" s="355">
        <f>WORK!K3332</f>
        <v>3404.82</v>
      </c>
      <c r="F897" s="353">
        <f t="shared" si="35"/>
        <v>0</v>
      </c>
      <c r="G897" s="368"/>
      <c r="H897" s="368"/>
      <c r="I897" s="368">
        <f t="shared" si="39"/>
        <v>0</v>
      </c>
      <c r="J897" s="368">
        <f t="shared" si="40"/>
        <v>0</v>
      </c>
      <c r="K897" s="360" t="s">
        <v>2226</v>
      </c>
    </row>
    <row r="898" spans="1:11" s="360" customFormat="1" hidden="1">
      <c r="A898" s="356" t="s">
        <v>2701</v>
      </c>
      <c r="B898" s="357" t="s">
        <v>2814</v>
      </c>
      <c r="C898" s="358">
        <f>WORK!I3551</f>
        <v>0</v>
      </c>
      <c r="D898" s="354" t="s">
        <v>115</v>
      </c>
      <c r="E898" s="355">
        <f>WORK!K3551</f>
        <v>3432.82</v>
      </c>
      <c r="F898" s="353">
        <f>ROUND(C898*E898,0)</f>
        <v>0</v>
      </c>
      <c r="G898" s="368"/>
      <c r="H898" s="368"/>
      <c r="I898" s="368">
        <f>C898-G898</f>
        <v>0</v>
      </c>
      <c r="J898" s="368">
        <f>F898-H898</f>
        <v>0</v>
      </c>
      <c r="K898" s="360" t="s">
        <v>2308</v>
      </c>
    </row>
    <row r="899" spans="1:11" s="360" customFormat="1" hidden="1">
      <c r="A899" s="356" t="s">
        <v>522</v>
      </c>
      <c r="B899" s="357" t="s">
        <v>565</v>
      </c>
      <c r="C899" s="358">
        <f>WORK!I3771</f>
        <v>0</v>
      </c>
      <c r="D899" s="354" t="s">
        <v>115</v>
      </c>
      <c r="E899" s="355">
        <f>WORK!K3771</f>
        <v>3771.9349999999999</v>
      </c>
      <c r="F899" s="353">
        <f>ROUND(C899*E899,0)</f>
        <v>0</v>
      </c>
      <c r="G899" s="368"/>
      <c r="H899" s="368"/>
      <c r="I899" s="368">
        <f>C899-G899</f>
        <v>0</v>
      </c>
      <c r="J899" s="368">
        <f>F899-H899</f>
        <v>0</v>
      </c>
      <c r="K899" s="360" t="s">
        <v>2321</v>
      </c>
    </row>
    <row r="900" spans="1:11" s="360" customFormat="1" hidden="1">
      <c r="A900" s="356" t="s">
        <v>501</v>
      </c>
      <c r="B900" s="357" t="s">
        <v>565</v>
      </c>
      <c r="C900" s="358">
        <f>WORK!I4014</f>
        <v>0</v>
      </c>
      <c r="D900" s="354" t="s">
        <v>115</v>
      </c>
      <c r="E900" s="355">
        <f>WORK!K4014</f>
        <v>4142.4250000000002</v>
      </c>
      <c r="F900" s="353">
        <f>ROUND(C900*E900,0)</f>
        <v>0</v>
      </c>
      <c r="G900" s="368"/>
      <c r="H900" s="368"/>
      <c r="I900" s="368">
        <f>C900-G900</f>
        <v>0</v>
      </c>
      <c r="J900" s="368">
        <f>F900-H900</f>
        <v>0</v>
      </c>
      <c r="K900" s="360" t="s">
        <v>2322</v>
      </c>
    </row>
    <row r="901" spans="1:11" s="26" customFormat="1" hidden="1">
      <c r="A901" s="23"/>
      <c r="B901" s="702" t="s">
        <v>2479</v>
      </c>
      <c r="C901" s="28"/>
      <c r="D901" s="224"/>
      <c r="E901" s="37"/>
      <c r="F901" s="883"/>
      <c r="G901" s="25"/>
      <c r="H901" s="25"/>
      <c r="I901" s="25"/>
      <c r="J901" s="25"/>
    </row>
    <row r="902" spans="1:11" s="360" customFormat="1" ht="20.25" hidden="1" customHeight="1">
      <c r="A902" s="356" t="s">
        <v>460</v>
      </c>
      <c r="B902" s="357" t="s">
        <v>537</v>
      </c>
      <c r="C902" s="358">
        <f>'3.60 lakhs'!I14</f>
        <v>0</v>
      </c>
      <c r="D902" s="354" t="s">
        <v>102</v>
      </c>
      <c r="E902" s="355">
        <f>'3.60 lakhs'!K14</f>
        <v>6.06</v>
      </c>
      <c r="F902" s="353">
        <f t="shared" ref="F902:F927" si="45">ROUND(C902*E902,0)</f>
        <v>0</v>
      </c>
      <c r="G902" s="353"/>
      <c r="H902" s="353"/>
      <c r="I902" s="368">
        <f t="shared" ref="I902:I965" si="46">C902-G902</f>
        <v>0</v>
      </c>
      <c r="J902" s="368">
        <f t="shared" ref="J902:J965" si="47">F902-H902</f>
        <v>0</v>
      </c>
      <c r="K902" s="360" t="s">
        <v>2322</v>
      </c>
    </row>
    <row r="903" spans="1:11" s="360" customFormat="1" ht="20.25" hidden="1" customHeight="1">
      <c r="A903" s="356" t="s">
        <v>500</v>
      </c>
      <c r="B903" s="357" t="s">
        <v>2108</v>
      </c>
      <c r="C903" s="358">
        <f>'3.60 lakhs'!I20</f>
        <v>0</v>
      </c>
      <c r="D903" s="354" t="s">
        <v>5</v>
      </c>
      <c r="E903" s="355">
        <f>'3.60 lakhs'!K20</f>
        <v>144.26</v>
      </c>
      <c r="F903" s="353">
        <f t="shared" si="45"/>
        <v>0</v>
      </c>
      <c r="G903" s="353"/>
      <c r="H903" s="353"/>
      <c r="I903" s="368">
        <f t="shared" si="46"/>
        <v>0</v>
      </c>
      <c r="J903" s="368">
        <f t="shared" si="47"/>
        <v>0</v>
      </c>
      <c r="K903" s="360" t="s">
        <v>2322</v>
      </c>
    </row>
    <row r="904" spans="1:11" s="360" customFormat="1" ht="20.25" hidden="1" customHeight="1">
      <c r="A904" s="356" t="s">
        <v>501</v>
      </c>
      <c r="B904" s="357" t="s">
        <v>538</v>
      </c>
      <c r="C904" s="358">
        <f>'3.60 lakhs'!I25</f>
        <v>0</v>
      </c>
      <c r="D904" s="354" t="s">
        <v>5</v>
      </c>
      <c r="E904" s="355">
        <f>'3.60 lakhs'!K25</f>
        <v>4583.3100000000004</v>
      </c>
      <c r="F904" s="353">
        <f t="shared" si="45"/>
        <v>0</v>
      </c>
      <c r="G904" s="353"/>
      <c r="H904" s="353"/>
      <c r="I904" s="368">
        <f t="shared" si="46"/>
        <v>0</v>
      </c>
      <c r="J904" s="368">
        <f t="shared" si="47"/>
        <v>0</v>
      </c>
      <c r="K904" s="360" t="s">
        <v>2322</v>
      </c>
    </row>
    <row r="905" spans="1:11" s="360" customFormat="1" ht="20.25" hidden="1" customHeight="1">
      <c r="A905" s="356" t="s">
        <v>463</v>
      </c>
      <c r="B905" s="357" t="s">
        <v>539</v>
      </c>
      <c r="C905" s="358">
        <f>'3.60 lakhs'!I34</f>
        <v>0</v>
      </c>
      <c r="D905" s="354" t="s">
        <v>5</v>
      </c>
      <c r="E905" s="355">
        <f>'3.60 lakhs'!K34</f>
        <v>4431.03</v>
      </c>
      <c r="F905" s="353">
        <f t="shared" si="45"/>
        <v>0</v>
      </c>
      <c r="G905" s="368"/>
      <c r="H905" s="368"/>
      <c r="I905" s="368">
        <f t="shared" si="46"/>
        <v>0</v>
      </c>
      <c r="J905" s="368">
        <f t="shared" si="47"/>
        <v>0</v>
      </c>
      <c r="K905" s="360" t="s">
        <v>2322</v>
      </c>
    </row>
    <row r="906" spans="1:11" s="360" customFormat="1" ht="20.25" hidden="1" customHeight="1">
      <c r="A906" s="356" t="s">
        <v>462</v>
      </c>
      <c r="B906" s="357" t="s">
        <v>1433</v>
      </c>
      <c r="C906" s="358">
        <f>'3.60 lakhs'!I40</f>
        <v>0</v>
      </c>
      <c r="D906" s="354" t="s">
        <v>5</v>
      </c>
      <c r="E906" s="355">
        <f>'3.60 lakhs'!K40</f>
        <v>216.13</v>
      </c>
      <c r="F906" s="353">
        <f t="shared" si="45"/>
        <v>0</v>
      </c>
      <c r="G906" s="353"/>
      <c r="H906" s="353"/>
      <c r="I906" s="368">
        <f t="shared" si="46"/>
        <v>0</v>
      </c>
      <c r="J906" s="368">
        <f t="shared" si="47"/>
        <v>0</v>
      </c>
      <c r="K906" s="360" t="s">
        <v>2322</v>
      </c>
    </row>
    <row r="907" spans="1:11" s="360" customFormat="1" ht="20.25" hidden="1" customHeight="1">
      <c r="A907" s="356" t="s">
        <v>464</v>
      </c>
      <c r="B907" s="357" t="s">
        <v>716</v>
      </c>
      <c r="C907" s="358">
        <f>'3.60 lakhs'!I46</f>
        <v>0</v>
      </c>
      <c r="D907" s="354" t="s">
        <v>5</v>
      </c>
      <c r="E907" s="355">
        <f>'3.60 lakhs'!K46</f>
        <v>272.13</v>
      </c>
      <c r="F907" s="353">
        <f t="shared" si="45"/>
        <v>0</v>
      </c>
      <c r="G907" s="368"/>
      <c r="H907" s="368"/>
      <c r="I907" s="368">
        <f t="shared" si="46"/>
        <v>0</v>
      </c>
      <c r="J907" s="368">
        <f t="shared" si="47"/>
        <v>0</v>
      </c>
      <c r="K907" s="360" t="s">
        <v>2322</v>
      </c>
    </row>
    <row r="908" spans="1:11" s="360" customFormat="1" ht="20.25" hidden="1" customHeight="1">
      <c r="A908" s="356" t="s">
        <v>463</v>
      </c>
      <c r="B908" s="357" t="s">
        <v>1434</v>
      </c>
      <c r="C908" s="358">
        <f>'3.60 lakhs'!I52</f>
        <v>0</v>
      </c>
      <c r="D908" s="354" t="s">
        <v>5</v>
      </c>
      <c r="E908" s="355">
        <f>'3.60 lakhs'!K52</f>
        <v>1603.13</v>
      </c>
      <c r="F908" s="353">
        <f t="shared" si="45"/>
        <v>0</v>
      </c>
      <c r="G908" s="368"/>
      <c r="H908" s="368"/>
      <c r="I908" s="368">
        <f t="shared" si="46"/>
        <v>0</v>
      </c>
      <c r="J908" s="368">
        <f t="shared" si="47"/>
        <v>0</v>
      </c>
      <c r="K908" s="360" t="s">
        <v>2322</v>
      </c>
    </row>
    <row r="909" spans="1:11" s="360" customFormat="1" ht="20.25" hidden="1" customHeight="1">
      <c r="A909" s="356" t="s">
        <v>463</v>
      </c>
      <c r="B909" s="357" t="s">
        <v>540</v>
      </c>
      <c r="C909" s="358">
        <f>'3.60 lakhs'!I59</f>
        <v>0</v>
      </c>
      <c r="D909" s="354" t="s">
        <v>5</v>
      </c>
      <c r="E909" s="355">
        <f>'3.60 lakhs'!K59</f>
        <v>284.39999999999998</v>
      </c>
      <c r="F909" s="353">
        <f t="shared" si="45"/>
        <v>0</v>
      </c>
      <c r="G909" s="368"/>
      <c r="H909" s="368"/>
      <c r="I909" s="368">
        <f t="shared" si="46"/>
        <v>0</v>
      </c>
      <c r="J909" s="368">
        <f t="shared" si="47"/>
        <v>0</v>
      </c>
      <c r="K909" s="360" t="s">
        <v>2322</v>
      </c>
    </row>
    <row r="910" spans="1:11" s="360" customFormat="1" ht="20.25" hidden="1" customHeight="1">
      <c r="A910" s="356" t="s">
        <v>464</v>
      </c>
      <c r="B910" s="357" t="s">
        <v>2232</v>
      </c>
      <c r="C910" s="358">
        <f>'3.60 lakhs'!I64</f>
        <v>0</v>
      </c>
      <c r="D910" s="354" t="s">
        <v>5</v>
      </c>
      <c r="E910" s="355">
        <f>'3.60 lakhs'!K64</f>
        <v>8062.18</v>
      </c>
      <c r="F910" s="353">
        <f t="shared" si="45"/>
        <v>0</v>
      </c>
      <c r="G910" s="353"/>
      <c r="H910" s="353"/>
      <c r="I910" s="368">
        <f t="shared" si="46"/>
        <v>0</v>
      </c>
      <c r="J910" s="368">
        <f t="shared" si="47"/>
        <v>0</v>
      </c>
      <c r="K910" s="360" t="s">
        <v>2322</v>
      </c>
    </row>
    <row r="911" spans="1:11" s="360" customFormat="1" ht="20.25" hidden="1" customHeight="1">
      <c r="A911" s="356" t="s">
        <v>465</v>
      </c>
      <c r="B911" s="357" t="s">
        <v>2009</v>
      </c>
      <c r="C911" s="358">
        <f>'3.60 lakhs'!I69</f>
        <v>0</v>
      </c>
      <c r="D911" s="354" t="s">
        <v>5</v>
      </c>
      <c r="E911" s="355">
        <f>'3.60 lakhs'!K69</f>
        <v>8501.18</v>
      </c>
      <c r="F911" s="353">
        <f t="shared" si="45"/>
        <v>0</v>
      </c>
      <c r="G911" s="353"/>
      <c r="H911" s="353"/>
      <c r="I911" s="368">
        <f t="shared" si="46"/>
        <v>0</v>
      </c>
      <c r="J911" s="368">
        <f t="shared" si="47"/>
        <v>0</v>
      </c>
      <c r="K911" s="360" t="s">
        <v>2322</v>
      </c>
    </row>
    <row r="912" spans="1:11" s="360" customFormat="1" ht="20.25" hidden="1" customHeight="1">
      <c r="A912" s="356" t="s">
        <v>466</v>
      </c>
      <c r="B912" s="357" t="s">
        <v>2010</v>
      </c>
      <c r="C912" s="358">
        <f>'3.60 lakhs'!I81</f>
        <v>0</v>
      </c>
      <c r="D912" s="354" t="s">
        <v>5</v>
      </c>
      <c r="E912" s="355">
        <f>'3.60 lakhs'!K81</f>
        <v>10417.6</v>
      </c>
      <c r="F912" s="353">
        <f t="shared" si="45"/>
        <v>0</v>
      </c>
      <c r="G912" s="353"/>
      <c r="H912" s="353"/>
      <c r="I912" s="368">
        <f t="shared" si="46"/>
        <v>0</v>
      </c>
      <c r="J912" s="368">
        <f t="shared" si="47"/>
        <v>0</v>
      </c>
      <c r="K912" s="360" t="s">
        <v>2322</v>
      </c>
    </row>
    <row r="913" spans="1:11" s="360" customFormat="1" ht="20.25" hidden="1" customHeight="1">
      <c r="A913" s="356" t="s">
        <v>467</v>
      </c>
      <c r="B913" s="357" t="s">
        <v>2011</v>
      </c>
      <c r="C913" s="358">
        <f>'3.60 lakhs'!I89</f>
        <v>0</v>
      </c>
      <c r="D913" s="354" t="s">
        <v>5</v>
      </c>
      <c r="E913" s="355">
        <f>'3.60 lakhs'!K89</f>
        <v>10162.18</v>
      </c>
      <c r="F913" s="353">
        <f t="shared" si="45"/>
        <v>0</v>
      </c>
      <c r="G913" s="353"/>
      <c r="H913" s="353"/>
      <c r="I913" s="368">
        <f t="shared" si="46"/>
        <v>0</v>
      </c>
      <c r="J913" s="368">
        <f t="shared" si="47"/>
        <v>0</v>
      </c>
      <c r="K913" s="360" t="s">
        <v>2322</v>
      </c>
    </row>
    <row r="914" spans="1:11" s="360" customFormat="1" ht="20.25" hidden="1" customHeight="1">
      <c r="A914" s="356" t="s">
        <v>468</v>
      </c>
      <c r="B914" s="357" t="s">
        <v>2012</v>
      </c>
      <c r="C914" s="358">
        <f>'3.60 lakhs'!I97</f>
        <v>0</v>
      </c>
      <c r="D914" s="428" t="s">
        <v>5</v>
      </c>
      <c r="E914" s="355">
        <f>'3.60 lakhs'!K97</f>
        <v>9921.19</v>
      </c>
      <c r="F914" s="353">
        <f t="shared" si="45"/>
        <v>0</v>
      </c>
      <c r="G914" s="353"/>
      <c r="H914" s="353"/>
      <c r="I914" s="368">
        <f t="shared" si="46"/>
        <v>0</v>
      </c>
      <c r="J914" s="368">
        <f t="shared" si="47"/>
        <v>0</v>
      </c>
      <c r="K914" s="360" t="s">
        <v>2322</v>
      </c>
    </row>
    <row r="915" spans="1:11" s="360" customFormat="1" ht="20.25" hidden="1" customHeight="1">
      <c r="A915" s="356" t="s">
        <v>326</v>
      </c>
      <c r="B915" s="357" t="s">
        <v>2013</v>
      </c>
      <c r="C915" s="358">
        <f>'3.60 lakhs'!I109</f>
        <v>0</v>
      </c>
      <c r="D915" s="354" t="s">
        <v>102</v>
      </c>
      <c r="E915" s="355">
        <f>'3.60 lakhs'!K109</f>
        <v>1202.4000000000001</v>
      </c>
      <c r="F915" s="353">
        <f t="shared" si="45"/>
        <v>0</v>
      </c>
      <c r="G915" s="353"/>
      <c r="H915" s="353"/>
      <c r="I915" s="368">
        <f t="shared" si="46"/>
        <v>0</v>
      </c>
      <c r="J915" s="368">
        <f t="shared" si="47"/>
        <v>0</v>
      </c>
      <c r="K915" s="360" t="s">
        <v>2322</v>
      </c>
    </row>
    <row r="916" spans="1:11" s="360" customFormat="1" ht="20.25" hidden="1" customHeight="1">
      <c r="A916" s="356" t="s">
        <v>469</v>
      </c>
      <c r="B916" s="357" t="s">
        <v>2014</v>
      </c>
      <c r="C916" s="358">
        <f>'3.60 lakhs'!I103</f>
        <v>0</v>
      </c>
      <c r="D916" s="354" t="s">
        <v>102</v>
      </c>
      <c r="E916" s="355">
        <f>'3.60 lakhs'!K103</f>
        <v>1345.28</v>
      </c>
      <c r="F916" s="353">
        <f t="shared" si="45"/>
        <v>0</v>
      </c>
      <c r="G916" s="368"/>
      <c r="H916" s="368"/>
      <c r="I916" s="368">
        <f t="shared" si="46"/>
        <v>0</v>
      </c>
      <c r="J916" s="368">
        <f t="shared" si="47"/>
        <v>0</v>
      </c>
      <c r="K916" s="360" t="s">
        <v>2322</v>
      </c>
    </row>
    <row r="917" spans="1:11" s="360" customFormat="1" ht="20.25" hidden="1" customHeight="1">
      <c r="A917" s="356" t="s">
        <v>469</v>
      </c>
      <c r="B917" s="357" t="s">
        <v>2227</v>
      </c>
      <c r="C917" s="358">
        <f>'3.60 lakhs'!I115</f>
        <v>0</v>
      </c>
      <c r="D917" s="354" t="s">
        <v>102</v>
      </c>
      <c r="E917" s="355">
        <f>'3.60 lakhs'!K115</f>
        <v>1059.52</v>
      </c>
      <c r="F917" s="353">
        <f t="shared" si="45"/>
        <v>0</v>
      </c>
      <c r="G917" s="368"/>
      <c r="H917" s="368"/>
      <c r="I917" s="368">
        <f t="shared" si="46"/>
        <v>0</v>
      </c>
      <c r="J917" s="368">
        <f t="shared" si="47"/>
        <v>0</v>
      </c>
      <c r="K917" s="360" t="s">
        <v>2322</v>
      </c>
    </row>
    <row r="918" spans="1:11" s="360" customFormat="1" ht="20.25" hidden="1" customHeight="1">
      <c r="A918" s="356" t="s">
        <v>469</v>
      </c>
      <c r="B918" s="357" t="s">
        <v>2228</v>
      </c>
      <c r="C918" s="358">
        <f>'3.60 lakhs'!I121</f>
        <v>0</v>
      </c>
      <c r="D918" s="354" t="s">
        <v>102</v>
      </c>
      <c r="E918" s="355">
        <f>'3.60 lakhs'!K121</f>
        <v>526.29999999999995</v>
      </c>
      <c r="F918" s="353">
        <f t="shared" si="45"/>
        <v>0</v>
      </c>
      <c r="G918" s="353"/>
      <c r="H918" s="353"/>
      <c r="I918" s="368">
        <f t="shared" si="46"/>
        <v>0</v>
      </c>
      <c r="J918" s="368">
        <f t="shared" si="47"/>
        <v>0</v>
      </c>
      <c r="K918" s="360" t="s">
        <v>2322</v>
      </c>
    </row>
    <row r="919" spans="1:11" s="360" customFormat="1" ht="20.25" hidden="1" customHeight="1">
      <c r="A919" s="356" t="s">
        <v>475</v>
      </c>
      <c r="B919" s="357" t="s">
        <v>2229</v>
      </c>
      <c r="C919" s="358">
        <f>'3.60 lakhs'!I128</f>
        <v>0</v>
      </c>
      <c r="D919" s="354" t="s">
        <v>102</v>
      </c>
      <c r="E919" s="355">
        <f>'3.60 lakhs'!K128</f>
        <v>385.15</v>
      </c>
      <c r="F919" s="353">
        <f t="shared" si="45"/>
        <v>0</v>
      </c>
      <c r="G919" s="368"/>
      <c r="H919" s="368"/>
      <c r="I919" s="368">
        <f t="shared" si="46"/>
        <v>0</v>
      </c>
      <c r="J919" s="368">
        <f t="shared" si="47"/>
        <v>0</v>
      </c>
      <c r="K919" s="360" t="s">
        <v>2322</v>
      </c>
    </row>
    <row r="920" spans="1:11" s="360" customFormat="1" ht="20.25" hidden="1" customHeight="1">
      <c r="A920" s="356" t="s">
        <v>483</v>
      </c>
      <c r="B920" s="357" t="s">
        <v>2015</v>
      </c>
      <c r="C920" s="358">
        <f>'3.60 lakhs'!I137</f>
        <v>0</v>
      </c>
      <c r="D920" s="354" t="s">
        <v>5</v>
      </c>
      <c r="E920" s="355">
        <f>'3.60 lakhs'!K137</f>
        <v>10584.6</v>
      </c>
      <c r="F920" s="353">
        <f t="shared" si="45"/>
        <v>0</v>
      </c>
      <c r="G920" s="353"/>
      <c r="H920" s="353"/>
      <c r="I920" s="368">
        <f t="shared" si="46"/>
        <v>0</v>
      </c>
      <c r="J920" s="368">
        <f t="shared" si="47"/>
        <v>0</v>
      </c>
      <c r="K920" s="360" t="s">
        <v>2322</v>
      </c>
    </row>
    <row r="921" spans="1:11" s="360" customFormat="1" ht="20.25" hidden="1" customHeight="1">
      <c r="A921" s="356" t="s">
        <v>484</v>
      </c>
      <c r="B921" s="357" t="s">
        <v>2016</v>
      </c>
      <c r="C921" s="358">
        <f>'3.60 lakhs'!I143</f>
        <v>0</v>
      </c>
      <c r="D921" s="354" t="s">
        <v>277</v>
      </c>
      <c r="E921" s="355">
        <f>'3.60 lakhs'!K143</f>
        <v>518.52</v>
      </c>
      <c r="F921" s="353">
        <f t="shared" si="45"/>
        <v>0</v>
      </c>
      <c r="G921" s="353"/>
      <c r="H921" s="353"/>
      <c r="I921" s="368">
        <f t="shared" si="46"/>
        <v>0</v>
      </c>
      <c r="J921" s="368">
        <f t="shared" si="47"/>
        <v>0</v>
      </c>
      <c r="K921" s="360" t="s">
        <v>2322</v>
      </c>
    </row>
    <row r="922" spans="1:11" s="360" customFormat="1" ht="20.25" hidden="1" customHeight="1">
      <c r="A922" s="356" t="s">
        <v>493</v>
      </c>
      <c r="B922" s="357" t="s">
        <v>2230</v>
      </c>
      <c r="C922" s="358">
        <f>'3.60 lakhs'!I149</f>
        <v>0</v>
      </c>
      <c r="D922" s="221" t="s">
        <v>102</v>
      </c>
      <c r="E922" s="355">
        <f>'3.60 lakhs'!K149</f>
        <v>315.69</v>
      </c>
      <c r="F922" s="353">
        <f t="shared" si="45"/>
        <v>0</v>
      </c>
      <c r="G922" s="353"/>
      <c r="H922" s="353"/>
      <c r="I922" s="368">
        <f t="shared" si="46"/>
        <v>0</v>
      </c>
      <c r="J922" s="368">
        <f t="shared" si="47"/>
        <v>0</v>
      </c>
      <c r="K922" s="360" t="s">
        <v>2322</v>
      </c>
    </row>
    <row r="923" spans="1:11" s="360" customFormat="1" ht="20.25" hidden="1" customHeight="1">
      <c r="A923" s="356" t="s">
        <v>474</v>
      </c>
      <c r="B923" s="357" t="s">
        <v>2231</v>
      </c>
      <c r="C923" s="358">
        <f>'3.60 lakhs'!I155</f>
        <v>0</v>
      </c>
      <c r="D923" s="221" t="s">
        <v>102</v>
      </c>
      <c r="E923" s="355">
        <f>'3.60 lakhs'!K155</f>
        <v>405.78</v>
      </c>
      <c r="F923" s="353">
        <f t="shared" si="45"/>
        <v>0</v>
      </c>
      <c r="G923" s="368"/>
      <c r="H923" s="368"/>
      <c r="I923" s="368">
        <f t="shared" si="46"/>
        <v>0</v>
      </c>
      <c r="J923" s="368">
        <f t="shared" si="47"/>
        <v>0</v>
      </c>
      <c r="K923" s="360" t="s">
        <v>2322</v>
      </c>
    </row>
    <row r="924" spans="1:11" s="360" customFormat="1" ht="20.25" hidden="1" customHeight="1">
      <c r="A924" s="356" t="s">
        <v>474</v>
      </c>
      <c r="B924" s="357" t="s">
        <v>2078</v>
      </c>
      <c r="C924" s="358">
        <f>'3.60 lakhs'!I256</f>
        <v>0</v>
      </c>
      <c r="D924" s="354" t="s">
        <v>5</v>
      </c>
      <c r="E924" s="355">
        <f>'3.60 lakhs'!K256</f>
        <v>5601.67</v>
      </c>
      <c r="F924" s="353">
        <f t="shared" si="45"/>
        <v>0</v>
      </c>
      <c r="G924" s="368"/>
      <c r="H924" s="368"/>
      <c r="I924" s="368">
        <f t="shared" si="46"/>
        <v>0</v>
      </c>
      <c r="J924" s="368">
        <f t="shared" si="47"/>
        <v>0</v>
      </c>
      <c r="K924" s="360" t="s">
        <v>2322</v>
      </c>
    </row>
    <row r="925" spans="1:11" s="360" customFormat="1" ht="20.25" hidden="1" customHeight="1">
      <c r="A925" s="356" t="s">
        <v>475</v>
      </c>
      <c r="B925" s="357" t="s">
        <v>2233</v>
      </c>
      <c r="C925" s="358">
        <f>'3.60 lakhs'!I162</f>
        <v>0</v>
      </c>
      <c r="D925" s="354" t="s">
        <v>5</v>
      </c>
      <c r="E925" s="355">
        <f>'3.60 lakhs'!K162</f>
        <v>3828.3500000000004</v>
      </c>
      <c r="F925" s="353">
        <f t="shared" si="45"/>
        <v>0</v>
      </c>
      <c r="G925" s="353"/>
      <c r="H925" s="353"/>
      <c r="I925" s="368">
        <f t="shared" si="46"/>
        <v>0</v>
      </c>
      <c r="J925" s="368">
        <f t="shared" si="47"/>
        <v>0</v>
      </c>
      <c r="K925" s="360" t="s">
        <v>2322</v>
      </c>
    </row>
    <row r="926" spans="1:11" s="360" customFormat="1" ht="20.25" hidden="1" customHeight="1">
      <c r="A926" s="356" t="s">
        <v>1518</v>
      </c>
      <c r="B926" s="357" t="s">
        <v>2112</v>
      </c>
      <c r="C926" s="358">
        <f>'3.60 lakhs'!I170</f>
        <v>0</v>
      </c>
      <c r="D926" s="354" t="s">
        <v>5</v>
      </c>
      <c r="E926" s="355">
        <f>'3.60 lakhs'!K170</f>
        <v>6869.83</v>
      </c>
      <c r="F926" s="353">
        <f t="shared" si="45"/>
        <v>0</v>
      </c>
      <c r="G926" s="368"/>
      <c r="H926" s="368"/>
      <c r="I926" s="368">
        <f t="shared" si="46"/>
        <v>0</v>
      </c>
      <c r="J926" s="368">
        <f t="shared" si="47"/>
        <v>0</v>
      </c>
      <c r="K926" s="360" t="s">
        <v>2322</v>
      </c>
    </row>
    <row r="927" spans="1:11" s="360" customFormat="1" ht="20.25" hidden="1" customHeight="1">
      <c r="A927" s="356" t="s">
        <v>502</v>
      </c>
      <c r="B927" s="357" t="s">
        <v>2146</v>
      </c>
      <c r="C927" s="358">
        <f>'3.60 lakhs'!I178</f>
        <v>0</v>
      </c>
      <c r="D927" s="354" t="s">
        <v>5</v>
      </c>
      <c r="E927" s="355">
        <f>'3.60 lakhs'!K178</f>
        <v>6926.2300000000005</v>
      </c>
      <c r="F927" s="353">
        <f t="shared" si="45"/>
        <v>0</v>
      </c>
      <c r="G927" s="353"/>
      <c r="H927" s="353"/>
      <c r="I927" s="368">
        <f t="shared" si="46"/>
        <v>0</v>
      </c>
      <c r="J927" s="368">
        <f t="shared" si="47"/>
        <v>0</v>
      </c>
      <c r="K927" s="360" t="s">
        <v>2322</v>
      </c>
    </row>
    <row r="928" spans="1:11" s="360" customFormat="1" hidden="1">
      <c r="A928" s="356" t="s">
        <v>487</v>
      </c>
      <c r="B928" s="357" t="s">
        <v>2147</v>
      </c>
      <c r="C928" s="358">
        <f>'3.60 lakhs'!I185</f>
        <v>0</v>
      </c>
      <c r="D928" s="354" t="s">
        <v>102</v>
      </c>
      <c r="E928" s="355">
        <f>'3.60 lakhs'!K185</f>
        <v>881.3</v>
      </c>
      <c r="F928" s="353">
        <f>ROUND(C928*E928/1,0)</f>
        <v>0</v>
      </c>
      <c r="G928" s="353"/>
      <c r="H928" s="353"/>
      <c r="I928" s="368">
        <f t="shared" si="46"/>
        <v>0</v>
      </c>
      <c r="J928" s="368">
        <f t="shared" si="47"/>
        <v>0</v>
      </c>
      <c r="K928" s="360" t="s">
        <v>2322</v>
      </c>
    </row>
    <row r="929" spans="1:11" s="360" customFormat="1" hidden="1">
      <c r="A929" s="356" t="s">
        <v>479</v>
      </c>
      <c r="B929" s="357" t="s">
        <v>1222</v>
      </c>
      <c r="C929" s="358">
        <f>'3.60 lakhs'!I193</f>
        <v>0</v>
      </c>
      <c r="D929" s="354" t="s">
        <v>102</v>
      </c>
      <c r="E929" s="355">
        <f>'3.60 lakhs'!K193</f>
        <v>6281.3700000000008</v>
      </c>
      <c r="F929" s="353">
        <f>ROUND(C929*E929/1,0)</f>
        <v>0</v>
      </c>
      <c r="G929" s="368"/>
      <c r="H929" s="368"/>
      <c r="I929" s="368">
        <f t="shared" si="46"/>
        <v>0</v>
      </c>
      <c r="J929" s="368">
        <f t="shared" si="47"/>
        <v>0</v>
      </c>
      <c r="K929" s="360" t="s">
        <v>2322</v>
      </c>
    </row>
    <row r="930" spans="1:11" s="360" customFormat="1" hidden="1">
      <c r="A930" s="356" t="s">
        <v>476</v>
      </c>
      <c r="B930" s="357" t="s">
        <v>1215</v>
      </c>
      <c r="C930" s="358">
        <f>'3.60 lakhs'!I200</f>
        <v>0</v>
      </c>
      <c r="D930" s="354" t="s">
        <v>102</v>
      </c>
      <c r="E930" s="355">
        <f>'3.60 lakhs'!K200</f>
        <v>2232.9699999999998</v>
      </c>
      <c r="F930" s="353">
        <f>ROUND(C930*E930/1,0)</f>
        <v>0</v>
      </c>
      <c r="G930" s="368"/>
      <c r="H930" s="368"/>
      <c r="I930" s="368">
        <f t="shared" si="46"/>
        <v>0</v>
      </c>
      <c r="J930" s="368">
        <f t="shared" si="47"/>
        <v>0</v>
      </c>
      <c r="K930" s="360" t="s">
        <v>2322</v>
      </c>
    </row>
    <row r="931" spans="1:11" s="360" customFormat="1" ht="20.25" hidden="1" customHeight="1">
      <c r="A931" s="356" t="s">
        <v>1520</v>
      </c>
      <c r="B931" s="357" t="s">
        <v>2113</v>
      </c>
      <c r="C931" s="358">
        <f>'3.60 lakhs'!I209</f>
        <v>0</v>
      </c>
      <c r="D931" s="354" t="s">
        <v>102</v>
      </c>
      <c r="E931" s="355">
        <f>'3.60 lakhs'!K209</f>
        <v>318.2</v>
      </c>
      <c r="F931" s="353">
        <f t="shared" ref="F931:F970" si="48">ROUND(C931*E931,0)</f>
        <v>0</v>
      </c>
      <c r="G931" s="353"/>
      <c r="H931" s="353"/>
      <c r="I931" s="368">
        <f t="shared" si="46"/>
        <v>0</v>
      </c>
      <c r="J931" s="368">
        <f t="shared" si="47"/>
        <v>0</v>
      </c>
      <c r="K931" s="360" t="s">
        <v>2322</v>
      </c>
    </row>
    <row r="932" spans="1:11" s="360" customFormat="1" ht="20.25" hidden="1" customHeight="1">
      <c r="A932" s="356" t="s">
        <v>503</v>
      </c>
      <c r="B932" s="357" t="s">
        <v>2173</v>
      </c>
      <c r="C932" s="358">
        <f>'3.60 lakhs'!I219</f>
        <v>0</v>
      </c>
      <c r="D932" s="354" t="s">
        <v>102</v>
      </c>
      <c r="E932" s="355">
        <f>'3.60 lakhs'!K219</f>
        <v>294.70999999999998</v>
      </c>
      <c r="F932" s="353">
        <f t="shared" si="48"/>
        <v>0</v>
      </c>
      <c r="G932" s="368"/>
      <c r="H932" s="368"/>
      <c r="I932" s="368">
        <f t="shared" si="46"/>
        <v>0</v>
      </c>
      <c r="J932" s="368">
        <f t="shared" si="47"/>
        <v>0</v>
      </c>
      <c r="K932" s="360" t="s">
        <v>2322</v>
      </c>
    </row>
    <row r="933" spans="1:11" s="360" customFormat="1" ht="20.25" hidden="1" customHeight="1">
      <c r="A933" s="356" t="s">
        <v>479</v>
      </c>
      <c r="B933" s="357" t="s">
        <v>2197</v>
      </c>
      <c r="C933" s="358">
        <f>'3.60 lakhs'!I226</f>
        <v>0</v>
      </c>
      <c r="D933" s="354" t="s">
        <v>102</v>
      </c>
      <c r="E933" s="355">
        <f>'3.60 lakhs'!K226</f>
        <v>314.89999999999998</v>
      </c>
      <c r="F933" s="353">
        <f t="shared" si="48"/>
        <v>0</v>
      </c>
      <c r="G933" s="368"/>
      <c r="H933" s="368"/>
      <c r="I933" s="368">
        <f t="shared" si="46"/>
        <v>0</v>
      </c>
      <c r="J933" s="368">
        <f t="shared" si="47"/>
        <v>0</v>
      </c>
      <c r="K933" s="360" t="s">
        <v>2322</v>
      </c>
    </row>
    <row r="934" spans="1:11" s="360" customFormat="1" ht="20.25" hidden="1" customHeight="1">
      <c r="A934" s="356" t="s">
        <v>1521</v>
      </c>
      <c r="B934" s="357" t="s">
        <v>2114</v>
      </c>
      <c r="C934" s="358">
        <f>'3.60 lakhs'!I233</f>
        <v>0</v>
      </c>
      <c r="D934" s="354" t="s">
        <v>102</v>
      </c>
      <c r="E934" s="355">
        <f>'3.60 lakhs'!K233</f>
        <v>388.21</v>
      </c>
      <c r="F934" s="353">
        <f t="shared" si="48"/>
        <v>0</v>
      </c>
      <c r="G934" s="353"/>
      <c r="H934" s="353"/>
      <c r="I934" s="368">
        <f t="shared" si="46"/>
        <v>0</v>
      </c>
      <c r="J934" s="368">
        <f t="shared" si="47"/>
        <v>0</v>
      </c>
      <c r="K934" s="360" t="s">
        <v>2322</v>
      </c>
    </row>
    <row r="935" spans="1:11" s="360" customFormat="1" ht="20.25" hidden="1" customHeight="1">
      <c r="A935" s="356" t="s">
        <v>497</v>
      </c>
      <c r="B935" s="357" t="s">
        <v>2115</v>
      </c>
      <c r="C935" s="358">
        <f>'3.60 lakhs'!I249</f>
        <v>0</v>
      </c>
      <c r="D935" s="354" t="s">
        <v>102</v>
      </c>
      <c r="E935" s="355">
        <f>'3.60 lakhs'!K249</f>
        <v>404.02</v>
      </c>
      <c r="F935" s="353">
        <f t="shared" si="48"/>
        <v>0</v>
      </c>
      <c r="G935" s="353"/>
      <c r="H935" s="353"/>
      <c r="I935" s="368">
        <f t="shared" si="46"/>
        <v>0</v>
      </c>
      <c r="J935" s="368">
        <f t="shared" si="47"/>
        <v>0</v>
      </c>
      <c r="K935" s="360" t="s">
        <v>2322</v>
      </c>
    </row>
    <row r="936" spans="1:11" s="360" customFormat="1" ht="20.25" hidden="1" customHeight="1">
      <c r="A936" s="356" t="s">
        <v>504</v>
      </c>
      <c r="B936" s="357" t="s">
        <v>507</v>
      </c>
      <c r="C936" s="358">
        <f>'3.60 lakhs'!I268</f>
        <v>0</v>
      </c>
      <c r="D936" s="354" t="s">
        <v>102</v>
      </c>
      <c r="E936" s="355">
        <f>'3.60 lakhs'!K268</f>
        <v>1067.3599999999999</v>
      </c>
      <c r="F936" s="353">
        <f t="shared" si="48"/>
        <v>0</v>
      </c>
      <c r="G936" s="368"/>
      <c r="H936" s="368"/>
      <c r="I936" s="368">
        <f t="shared" si="46"/>
        <v>0</v>
      </c>
      <c r="J936" s="368">
        <f t="shared" si="47"/>
        <v>0</v>
      </c>
      <c r="K936" s="360" t="s">
        <v>2322</v>
      </c>
    </row>
    <row r="937" spans="1:11" s="360" customFormat="1" ht="20.25" hidden="1" customHeight="1">
      <c r="A937" s="356" t="s">
        <v>506</v>
      </c>
      <c r="B937" s="357" t="s">
        <v>2116</v>
      </c>
      <c r="C937" s="358">
        <f>'3.60 lakhs'!I291</f>
        <v>0</v>
      </c>
      <c r="D937" s="354" t="s">
        <v>102</v>
      </c>
      <c r="E937" s="355">
        <f>'3.60 lakhs'!K291</f>
        <v>1062.03</v>
      </c>
      <c r="F937" s="353">
        <f t="shared" si="48"/>
        <v>0</v>
      </c>
      <c r="G937" s="368"/>
      <c r="H937" s="368"/>
      <c r="I937" s="368">
        <f t="shared" si="46"/>
        <v>0</v>
      </c>
      <c r="J937" s="368">
        <f t="shared" si="47"/>
        <v>0</v>
      </c>
      <c r="K937" s="360" t="s">
        <v>2322</v>
      </c>
    </row>
    <row r="938" spans="1:11" s="360" customFormat="1" ht="20.25" hidden="1" customHeight="1">
      <c r="A938" s="356" t="s">
        <v>500</v>
      </c>
      <c r="B938" s="357" t="s">
        <v>708</v>
      </c>
      <c r="C938" s="358">
        <f>'3.60 lakhs'!I298</f>
        <v>0</v>
      </c>
      <c r="D938" s="354" t="s">
        <v>77</v>
      </c>
      <c r="E938" s="355">
        <f>'3.60 lakhs'!K298</f>
        <v>3115.07</v>
      </c>
      <c r="F938" s="353">
        <f t="shared" si="48"/>
        <v>0</v>
      </c>
      <c r="G938" s="368"/>
      <c r="H938" s="368"/>
      <c r="I938" s="368">
        <f t="shared" si="46"/>
        <v>0</v>
      </c>
      <c r="J938" s="368">
        <f t="shared" si="47"/>
        <v>0</v>
      </c>
      <c r="K938" s="360" t="s">
        <v>2322</v>
      </c>
    </row>
    <row r="939" spans="1:11" s="360" customFormat="1" ht="20.25" hidden="1" customHeight="1">
      <c r="A939" s="356" t="s">
        <v>501</v>
      </c>
      <c r="B939" s="357" t="s">
        <v>2116</v>
      </c>
      <c r="C939" s="358">
        <f>'3.60 lakhs'!I306</f>
        <v>0</v>
      </c>
      <c r="D939" s="354" t="s">
        <v>102</v>
      </c>
      <c r="E939" s="355">
        <f>'3.60 lakhs'!K306</f>
        <v>2905.43</v>
      </c>
      <c r="F939" s="353">
        <f t="shared" si="48"/>
        <v>0</v>
      </c>
      <c r="G939" s="368"/>
      <c r="H939" s="368"/>
      <c r="I939" s="368">
        <f t="shared" si="46"/>
        <v>0</v>
      </c>
      <c r="J939" s="368">
        <f t="shared" si="47"/>
        <v>0</v>
      </c>
      <c r="K939" s="360" t="s">
        <v>2322</v>
      </c>
    </row>
    <row r="940" spans="1:11" s="360" customFormat="1" ht="20.25" hidden="1" customHeight="1">
      <c r="A940" s="356" t="s">
        <v>498</v>
      </c>
      <c r="B940" s="357" t="s">
        <v>710</v>
      </c>
      <c r="C940" s="358">
        <f>'3.60 lakhs'!I313</f>
        <v>0</v>
      </c>
      <c r="D940" s="354" t="s">
        <v>102</v>
      </c>
      <c r="E940" s="355">
        <f>'3.60 lakhs'!K313</f>
        <v>744.7</v>
      </c>
      <c r="F940" s="353">
        <f t="shared" si="48"/>
        <v>0</v>
      </c>
      <c r="G940" s="368"/>
      <c r="H940" s="368"/>
      <c r="I940" s="368">
        <f t="shared" si="46"/>
        <v>0</v>
      </c>
      <c r="J940" s="368">
        <f t="shared" si="47"/>
        <v>0</v>
      </c>
      <c r="K940" s="360" t="s">
        <v>2322</v>
      </c>
    </row>
    <row r="941" spans="1:11" s="360" customFormat="1" ht="20.25" hidden="1" customHeight="1">
      <c r="A941" s="356" t="s">
        <v>499</v>
      </c>
      <c r="B941" s="357" t="s">
        <v>2116</v>
      </c>
      <c r="C941" s="358">
        <f>'3.60 lakhs'!I320</f>
        <v>0</v>
      </c>
      <c r="D941" s="354" t="s">
        <v>102</v>
      </c>
      <c r="E941" s="355">
        <f>'3.60 lakhs'!K320</f>
        <v>750.18</v>
      </c>
      <c r="F941" s="353">
        <f t="shared" si="48"/>
        <v>0</v>
      </c>
      <c r="G941" s="368"/>
      <c r="H941" s="368"/>
      <c r="I941" s="368">
        <f t="shared" si="46"/>
        <v>0</v>
      </c>
      <c r="J941" s="368">
        <f t="shared" si="47"/>
        <v>0</v>
      </c>
      <c r="K941" s="360" t="s">
        <v>2322</v>
      </c>
    </row>
    <row r="942" spans="1:11" s="360" customFormat="1" ht="20.25" hidden="1" customHeight="1">
      <c r="A942" s="356" t="s">
        <v>508</v>
      </c>
      <c r="B942" s="357" t="s">
        <v>2117</v>
      </c>
      <c r="C942" s="358">
        <f>'3.60 lakhs'!I333</f>
        <v>0</v>
      </c>
      <c r="D942" s="354" t="s">
        <v>102</v>
      </c>
      <c r="E942" s="355">
        <f>'3.60 lakhs'!K333</f>
        <v>801.83</v>
      </c>
      <c r="F942" s="353">
        <f t="shared" si="48"/>
        <v>0</v>
      </c>
      <c r="G942" s="368"/>
      <c r="H942" s="368"/>
      <c r="I942" s="368">
        <f t="shared" si="46"/>
        <v>0</v>
      </c>
      <c r="J942" s="368">
        <f t="shared" si="47"/>
        <v>0</v>
      </c>
      <c r="K942" s="360" t="s">
        <v>2322</v>
      </c>
    </row>
    <row r="943" spans="1:11" s="360" customFormat="1" ht="20.25" hidden="1" customHeight="1">
      <c r="A943" s="356" t="s">
        <v>510</v>
      </c>
      <c r="B943" s="357" t="s">
        <v>2116</v>
      </c>
      <c r="C943" s="358">
        <f>'3.60 lakhs'!I341</f>
        <v>0</v>
      </c>
      <c r="D943" s="354" t="s">
        <v>102</v>
      </c>
      <c r="E943" s="355">
        <f>'3.60 lakhs'!K341</f>
        <v>518.15</v>
      </c>
      <c r="F943" s="353">
        <f t="shared" si="48"/>
        <v>0</v>
      </c>
      <c r="G943" s="368"/>
      <c r="H943" s="368"/>
      <c r="I943" s="368">
        <f t="shared" si="46"/>
        <v>0</v>
      </c>
      <c r="J943" s="368">
        <f t="shared" si="47"/>
        <v>0</v>
      </c>
      <c r="K943" s="360" t="s">
        <v>2322</v>
      </c>
    </row>
    <row r="944" spans="1:11" s="360" customFormat="1" ht="20.25" hidden="1" customHeight="1">
      <c r="A944" s="356" t="s">
        <v>485</v>
      </c>
      <c r="B944" s="357" t="s">
        <v>1223</v>
      </c>
      <c r="C944" s="358">
        <f>'3.60 lakhs'!I348</f>
        <v>0</v>
      </c>
      <c r="D944" s="354" t="s">
        <v>102</v>
      </c>
      <c r="E944" s="355">
        <f>'3.60 lakhs'!K348</f>
        <v>1017.93</v>
      </c>
      <c r="F944" s="353">
        <f t="shared" si="48"/>
        <v>0</v>
      </c>
      <c r="G944" s="368"/>
      <c r="H944" s="368"/>
      <c r="I944" s="368">
        <f t="shared" si="46"/>
        <v>0</v>
      </c>
      <c r="J944" s="368">
        <f t="shared" si="47"/>
        <v>0</v>
      </c>
      <c r="K944" s="360" t="s">
        <v>2322</v>
      </c>
    </row>
    <row r="945" spans="1:11" s="360" customFormat="1" ht="20.25" hidden="1" customHeight="1">
      <c r="A945" s="356" t="s">
        <v>500</v>
      </c>
      <c r="B945" s="357" t="s">
        <v>2234</v>
      </c>
      <c r="C945" s="358">
        <f>'3.60 lakhs'!I369</f>
        <v>0</v>
      </c>
      <c r="D945" s="354" t="s">
        <v>102</v>
      </c>
      <c r="E945" s="355">
        <f>'3.60 lakhs'!K369</f>
        <v>24.05</v>
      </c>
      <c r="F945" s="353">
        <f t="shared" si="48"/>
        <v>0</v>
      </c>
      <c r="G945" s="368"/>
      <c r="H945" s="368"/>
      <c r="I945" s="368">
        <f t="shared" si="46"/>
        <v>0</v>
      </c>
      <c r="J945" s="368">
        <f t="shared" si="47"/>
        <v>0</v>
      </c>
      <c r="K945" s="360" t="s">
        <v>2322</v>
      </c>
    </row>
    <row r="946" spans="1:11" s="360" customFormat="1" ht="20.25" hidden="1" customHeight="1">
      <c r="A946" s="356" t="s">
        <v>502</v>
      </c>
      <c r="B946" s="357" t="s">
        <v>2118</v>
      </c>
      <c r="C946" s="358">
        <f>'3.60 lakhs'!I376</f>
        <v>0</v>
      </c>
      <c r="D946" s="354" t="s">
        <v>102</v>
      </c>
      <c r="E946" s="355">
        <f>'3.60 lakhs'!K376</f>
        <v>173.73</v>
      </c>
      <c r="F946" s="353">
        <f t="shared" si="48"/>
        <v>0</v>
      </c>
      <c r="G946" s="368"/>
      <c r="H946" s="368"/>
      <c r="I946" s="368">
        <f t="shared" si="46"/>
        <v>0</v>
      </c>
      <c r="J946" s="368">
        <f t="shared" si="47"/>
        <v>0</v>
      </c>
      <c r="K946" s="360" t="s">
        <v>2322</v>
      </c>
    </row>
    <row r="947" spans="1:11" s="360" customFormat="1" ht="20.25" hidden="1" customHeight="1">
      <c r="A947" s="356" t="s">
        <v>503</v>
      </c>
      <c r="B947" s="357" t="s">
        <v>2174</v>
      </c>
      <c r="C947" s="358">
        <f>'3.60 lakhs'!I383</f>
        <v>0</v>
      </c>
      <c r="D947" s="354" t="s">
        <v>102</v>
      </c>
      <c r="E947" s="355">
        <f>'3.60 lakhs'!K383</f>
        <v>146.82</v>
      </c>
      <c r="F947" s="353">
        <f t="shared" si="48"/>
        <v>0</v>
      </c>
      <c r="G947" s="368"/>
      <c r="H947" s="368"/>
      <c r="I947" s="368">
        <f t="shared" si="46"/>
        <v>0</v>
      </c>
      <c r="J947" s="368">
        <f t="shared" si="47"/>
        <v>0</v>
      </c>
      <c r="K947" s="360" t="s">
        <v>2322</v>
      </c>
    </row>
    <row r="948" spans="1:11" s="360" customFormat="1" ht="20.25" hidden="1" customHeight="1">
      <c r="A948" s="356" t="s">
        <v>504</v>
      </c>
      <c r="B948" s="357" t="s">
        <v>2175</v>
      </c>
      <c r="C948" s="358">
        <f>'3.60 lakhs'!I418</f>
        <v>0</v>
      </c>
      <c r="D948" s="354" t="s">
        <v>102</v>
      </c>
      <c r="E948" s="355">
        <f>'3.60 lakhs'!K418</f>
        <v>200.84</v>
      </c>
      <c r="F948" s="353">
        <f t="shared" si="48"/>
        <v>0</v>
      </c>
      <c r="G948" s="368"/>
      <c r="H948" s="368"/>
      <c r="I948" s="368">
        <f t="shared" si="46"/>
        <v>0</v>
      </c>
      <c r="J948" s="368">
        <f t="shared" si="47"/>
        <v>0</v>
      </c>
      <c r="K948" s="360" t="s">
        <v>2322</v>
      </c>
    </row>
    <row r="949" spans="1:11" s="360" customFormat="1" hidden="1">
      <c r="A949" s="356" t="s">
        <v>489</v>
      </c>
      <c r="B949" s="357" t="s">
        <v>1438</v>
      </c>
      <c r="C949" s="358">
        <f>'3.60 lakhs'!I429</f>
        <v>0</v>
      </c>
      <c r="D949" s="354" t="s">
        <v>102</v>
      </c>
      <c r="E949" s="355">
        <f>'3.60 lakhs'!K429</f>
        <v>968.78</v>
      </c>
      <c r="F949" s="353">
        <f t="shared" si="48"/>
        <v>0</v>
      </c>
      <c r="G949" s="368"/>
      <c r="H949" s="368"/>
      <c r="I949" s="368">
        <f t="shared" si="46"/>
        <v>0</v>
      </c>
      <c r="J949" s="368">
        <f t="shared" si="47"/>
        <v>0</v>
      </c>
      <c r="K949" s="360" t="s">
        <v>2322</v>
      </c>
    </row>
    <row r="950" spans="1:11" s="360" customFormat="1" ht="20.25" hidden="1" customHeight="1">
      <c r="A950" s="356" t="s">
        <v>506</v>
      </c>
      <c r="B950" s="357" t="s">
        <v>2017</v>
      </c>
      <c r="C950" s="429">
        <f>'3.60 lakhs'!I434</f>
        <v>0</v>
      </c>
      <c r="D950" s="221" t="s">
        <v>102</v>
      </c>
      <c r="E950" s="430">
        <f>'3.60 lakhs'!K434</f>
        <v>4025</v>
      </c>
      <c r="F950" s="353">
        <f t="shared" si="48"/>
        <v>0</v>
      </c>
      <c r="G950" s="368"/>
      <c r="H950" s="368"/>
      <c r="I950" s="368">
        <f t="shared" si="46"/>
        <v>0</v>
      </c>
      <c r="J950" s="368">
        <f t="shared" si="47"/>
        <v>0</v>
      </c>
      <c r="K950" s="360" t="s">
        <v>2322</v>
      </c>
    </row>
    <row r="951" spans="1:11" s="360" customFormat="1" hidden="1">
      <c r="A951" s="356" t="s">
        <v>490</v>
      </c>
      <c r="B951" s="357" t="s">
        <v>2018</v>
      </c>
      <c r="C951" s="358">
        <f>'3.60 lakhs'!I424</f>
        <v>0</v>
      </c>
      <c r="D951" s="354" t="s">
        <v>102</v>
      </c>
      <c r="E951" s="355">
        <f>'3.60 lakhs'!K424</f>
        <v>149.86000000000001</v>
      </c>
      <c r="F951" s="353">
        <f t="shared" si="48"/>
        <v>0</v>
      </c>
      <c r="G951" s="368"/>
      <c r="H951" s="368"/>
      <c r="I951" s="368">
        <f t="shared" si="46"/>
        <v>0</v>
      </c>
      <c r="J951" s="368">
        <f t="shared" si="47"/>
        <v>0</v>
      </c>
      <c r="K951" s="360" t="s">
        <v>2322</v>
      </c>
    </row>
    <row r="952" spans="1:11" s="360" customFormat="1" hidden="1">
      <c r="A952" s="356" t="s">
        <v>493</v>
      </c>
      <c r="B952" s="357" t="s">
        <v>2280</v>
      </c>
      <c r="C952" s="358">
        <f>'3.60 lakhs'!I355</f>
        <v>0</v>
      </c>
      <c r="D952" s="354" t="s">
        <v>102</v>
      </c>
      <c r="E952" s="355">
        <f>'3.60 lakhs'!K355</f>
        <v>610</v>
      </c>
      <c r="F952" s="353">
        <f t="shared" si="48"/>
        <v>0</v>
      </c>
      <c r="G952" s="368"/>
      <c r="H952" s="368"/>
      <c r="I952" s="368">
        <f t="shared" si="46"/>
        <v>0</v>
      </c>
      <c r="J952" s="368">
        <f t="shared" si="47"/>
        <v>0</v>
      </c>
      <c r="K952" s="360" t="s">
        <v>2322</v>
      </c>
    </row>
    <row r="953" spans="1:11" s="360" customFormat="1" hidden="1">
      <c r="A953" s="356" t="s">
        <v>1517</v>
      </c>
      <c r="B953" s="357" t="s">
        <v>2281</v>
      </c>
      <c r="C953" s="358">
        <f>'3.60 lakhs'!I362</f>
        <v>0</v>
      </c>
      <c r="D953" s="354" t="s">
        <v>102</v>
      </c>
      <c r="E953" s="355">
        <f>'3.60 lakhs'!K362</f>
        <v>345.47</v>
      </c>
      <c r="F953" s="353">
        <f t="shared" si="48"/>
        <v>0</v>
      </c>
      <c r="G953" s="368"/>
      <c r="H953" s="368"/>
      <c r="I953" s="368">
        <f t="shared" si="46"/>
        <v>0</v>
      </c>
      <c r="J953" s="368">
        <f t="shared" si="47"/>
        <v>0</v>
      </c>
      <c r="K953" s="360" t="s">
        <v>2322</v>
      </c>
    </row>
    <row r="954" spans="1:11" s="360" customFormat="1" ht="20.25" hidden="1" customHeight="1">
      <c r="A954" s="356" t="s">
        <v>492</v>
      </c>
      <c r="B954" s="357" t="s">
        <v>2235</v>
      </c>
      <c r="C954" s="358">
        <f>'3.60 lakhs'!I439</f>
        <v>0</v>
      </c>
      <c r="D954" s="354" t="s">
        <v>115</v>
      </c>
      <c r="E954" s="355">
        <f>'3.60 lakhs'!K439</f>
        <v>666.66</v>
      </c>
      <c r="F954" s="353">
        <f t="shared" si="48"/>
        <v>0</v>
      </c>
      <c r="G954" s="368"/>
      <c r="H954" s="368"/>
      <c r="I954" s="368">
        <f t="shared" si="46"/>
        <v>0</v>
      </c>
      <c r="J954" s="368">
        <f t="shared" si="47"/>
        <v>0</v>
      </c>
      <c r="K954" s="360" t="s">
        <v>2322</v>
      </c>
    </row>
    <row r="955" spans="1:11" s="360" customFormat="1" ht="20.25" hidden="1" customHeight="1">
      <c r="A955" s="356" t="s">
        <v>1522</v>
      </c>
      <c r="B955" s="357" t="s">
        <v>2236</v>
      </c>
      <c r="C955" s="358">
        <f>'3.60 lakhs'!I444</f>
        <v>0</v>
      </c>
      <c r="D955" s="354" t="s">
        <v>115</v>
      </c>
      <c r="E955" s="355">
        <f>'3.60 lakhs'!K444</f>
        <v>500</v>
      </c>
      <c r="F955" s="353">
        <f t="shared" si="48"/>
        <v>0</v>
      </c>
      <c r="G955" s="368"/>
      <c r="H955" s="368"/>
      <c r="I955" s="368">
        <f t="shared" si="46"/>
        <v>0</v>
      </c>
      <c r="J955" s="368">
        <f t="shared" si="47"/>
        <v>0</v>
      </c>
      <c r="K955" s="360" t="s">
        <v>2322</v>
      </c>
    </row>
    <row r="956" spans="1:11" s="360" customFormat="1" ht="27" hidden="1" customHeight="1">
      <c r="A956" s="356" t="s">
        <v>512</v>
      </c>
      <c r="B956" s="357" t="s">
        <v>1485</v>
      </c>
      <c r="C956" s="358">
        <f>'3.60 lakhs'!I449</f>
        <v>0</v>
      </c>
      <c r="D956" s="354" t="s">
        <v>115</v>
      </c>
      <c r="E956" s="355">
        <f>'3.60 lakhs'!K449</f>
        <v>130</v>
      </c>
      <c r="F956" s="353">
        <f t="shared" si="48"/>
        <v>0</v>
      </c>
      <c r="G956" s="368"/>
      <c r="H956" s="368"/>
      <c r="I956" s="368">
        <f t="shared" si="46"/>
        <v>0</v>
      </c>
      <c r="J956" s="368">
        <f t="shared" si="47"/>
        <v>0</v>
      </c>
      <c r="K956" s="360" t="s">
        <v>2322</v>
      </c>
    </row>
    <row r="957" spans="1:11" s="360" customFormat="1" ht="20.25" hidden="1" customHeight="1">
      <c r="A957" s="356" t="s">
        <v>1519</v>
      </c>
      <c r="B957" s="357" t="s">
        <v>477</v>
      </c>
      <c r="C957" s="429">
        <f>'3.60 lakhs'!I456</f>
        <v>0</v>
      </c>
      <c r="D957" s="221" t="s">
        <v>29</v>
      </c>
      <c r="E957" s="430">
        <f>'3.60 lakhs'!K456</f>
        <v>89280</v>
      </c>
      <c r="F957" s="353">
        <f t="shared" si="48"/>
        <v>0</v>
      </c>
      <c r="G957" s="353"/>
      <c r="H957" s="353"/>
      <c r="I957" s="368">
        <f t="shared" si="46"/>
        <v>0</v>
      </c>
      <c r="J957" s="368">
        <f t="shared" si="47"/>
        <v>0</v>
      </c>
      <c r="K957" s="360" t="s">
        <v>2322</v>
      </c>
    </row>
    <row r="958" spans="1:11" s="360" customFormat="1" ht="20.25" hidden="1" customHeight="1">
      <c r="A958" s="356" t="s">
        <v>1516</v>
      </c>
      <c r="B958" s="357" t="s">
        <v>2110</v>
      </c>
      <c r="C958" s="358">
        <f>'3.60 lakhs'!I462</f>
        <v>0</v>
      </c>
      <c r="D958" s="354" t="s">
        <v>5</v>
      </c>
      <c r="E958" s="355">
        <f>'3.60 lakhs'!K462</f>
        <v>11192.01</v>
      </c>
      <c r="F958" s="353">
        <f t="shared" si="48"/>
        <v>0</v>
      </c>
      <c r="G958" s="368"/>
      <c r="H958" s="368"/>
      <c r="I958" s="368">
        <f t="shared" si="46"/>
        <v>0</v>
      </c>
      <c r="J958" s="368">
        <f t="shared" si="47"/>
        <v>0</v>
      </c>
      <c r="K958" s="360" t="s">
        <v>2322</v>
      </c>
    </row>
    <row r="959" spans="1:11" s="360" customFormat="1" ht="20.25" hidden="1" customHeight="1">
      <c r="A959" s="356" t="s">
        <v>492</v>
      </c>
      <c r="B959" s="357" t="s">
        <v>2019</v>
      </c>
      <c r="C959" s="358">
        <f>'3.60 lakhs'!I468</f>
        <v>0</v>
      </c>
      <c r="D959" s="354" t="s">
        <v>5</v>
      </c>
      <c r="E959" s="355">
        <f>'3.60 lakhs'!K468</f>
        <v>10490.18</v>
      </c>
      <c r="F959" s="353">
        <f t="shared" si="48"/>
        <v>0</v>
      </c>
      <c r="G959" s="368"/>
      <c r="H959" s="368"/>
      <c r="I959" s="368">
        <f t="shared" si="46"/>
        <v>0</v>
      </c>
      <c r="J959" s="368">
        <f t="shared" si="47"/>
        <v>0</v>
      </c>
      <c r="K959" s="360" t="s">
        <v>2322</v>
      </c>
    </row>
    <row r="960" spans="1:11" s="360" customFormat="1" ht="20.25" hidden="1" customHeight="1">
      <c r="A960" s="356" t="s">
        <v>493</v>
      </c>
      <c r="B960" s="357" t="s">
        <v>2013</v>
      </c>
      <c r="C960" s="358">
        <f>'3.60 lakhs'!I479</f>
        <v>0</v>
      </c>
      <c r="D960" s="354" t="s">
        <v>102</v>
      </c>
      <c r="E960" s="355">
        <f>'3.60 lakhs'!K479</f>
        <v>1395.89</v>
      </c>
      <c r="F960" s="353">
        <f t="shared" si="48"/>
        <v>0</v>
      </c>
      <c r="G960" s="368"/>
      <c r="H960" s="368"/>
      <c r="I960" s="368">
        <f t="shared" si="46"/>
        <v>0</v>
      </c>
      <c r="J960" s="368">
        <f t="shared" si="47"/>
        <v>0</v>
      </c>
      <c r="K960" s="360" t="s">
        <v>2322</v>
      </c>
    </row>
    <row r="961" spans="1:11" s="360" customFormat="1" ht="20.25" hidden="1" customHeight="1">
      <c r="A961" s="356" t="s">
        <v>487</v>
      </c>
      <c r="B961" s="357" t="s">
        <v>2227</v>
      </c>
      <c r="C961" s="358">
        <f>'3.60 lakhs'!I484</f>
        <v>0</v>
      </c>
      <c r="D961" s="354" t="s">
        <v>102</v>
      </c>
      <c r="E961" s="355">
        <f>'3.60 lakhs'!K484</f>
        <v>1253.01</v>
      </c>
      <c r="F961" s="353">
        <f t="shared" si="48"/>
        <v>0</v>
      </c>
      <c r="G961" s="368"/>
      <c r="H961" s="368"/>
      <c r="I961" s="368">
        <f t="shared" si="46"/>
        <v>0</v>
      </c>
      <c r="J961" s="368">
        <f t="shared" si="47"/>
        <v>0</v>
      </c>
      <c r="K961" s="360" t="s">
        <v>2322</v>
      </c>
    </row>
    <row r="962" spans="1:11" s="360" customFormat="1" ht="20.25" hidden="1" customHeight="1">
      <c r="A962" s="356" t="s">
        <v>494</v>
      </c>
      <c r="B962" s="357" t="s">
        <v>2014</v>
      </c>
      <c r="C962" s="358">
        <f>'3.60 lakhs'!I473</f>
        <v>0</v>
      </c>
      <c r="D962" s="221" t="s">
        <v>102</v>
      </c>
      <c r="E962" s="355">
        <f>'3.60 lakhs'!K473</f>
        <v>1538.77</v>
      </c>
      <c r="F962" s="353">
        <f t="shared" si="48"/>
        <v>0</v>
      </c>
      <c r="G962" s="368"/>
      <c r="H962" s="368"/>
      <c r="I962" s="368">
        <f t="shared" si="46"/>
        <v>0</v>
      </c>
      <c r="J962" s="368">
        <f t="shared" si="47"/>
        <v>0</v>
      </c>
      <c r="K962" s="360" t="s">
        <v>2322</v>
      </c>
    </row>
    <row r="963" spans="1:11" s="360" customFormat="1" ht="20.25" hidden="1" customHeight="1">
      <c r="A963" s="356" t="s">
        <v>517</v>
      </c>
      <c r="B963" s="357" t="s">
        <v>2228</v>
      </c>
      <c r="C963" s="358">
        <f>'3.60 lakhs'!I490</f>
        <v>0</v>
      </c>
      <c r="D963" s="221" t="s">
        <v>102</v>
      </c>
      <c r="E963" s="355">
        <f>'3.60 lakhs'!K490</f>
        <v>694.54</v>
      </c>
      <c r="F963" s="353">
        <f t="shared" si="48"/>
        <v>0</v>
      </c>
      <c r="G963" s="368"/>
      <c r="H963" s="368"/>
      <c r="I963" s="368">
        <f t="shared" si="46"/>
        <v>0</v>
      </c>
      <c r="J963" s="368">
        <f t="shared" si="47"/>
        <v>0</v>
      </c>
      <c r="K963" s="360" t="s">
        <v>2322</v>
      </c>
    </row>
    <row r="964" spans="1:11" s="360" customFormat="1" ht="20.25" hidden="1" customHeight="1">
      <c r="A964" s="356" t="s">
        <v>517</v>
      </c>
      <c r="B964" s="357" t="s">
        <v>2229</v>
      </c>
      <c r="C964" s="358">
        <f>'3.60 lakhs'!I496</f>
        <v>0</v>
      </c>
      <c r="D964" s="221" t="s">
        <v>102</v>
      </c>
      <c r="E964" s="355">
        <f>'3.60 lakhs'!K496</f>
        <v>553.39</v>
      </c>
      <c r="F964" s="353">
        <f t="shared" si="48"/>
        <v>0</v>
      </c>
      <c r="G964" s="368"/>
      <c r="H964" s="368"/>
      <c r="I964" s="368">
        <f t="shared" si="46"/>
        <v>0</v>
      </c>
      <c r="J964" s="368">
        <f t="shared" si="47"/>
        <v>0</v>
      </c>
      <c r="K964" s="360" t="s">
        <v>2322</v>
      </c>
    </row>
    <row r="965" spans="1:11" s="360" customFormat="1" ht="20.25" hidden="1" customHeight="1">
      <c r="A965" s="356" t="s">
        <v>1520</v>
      </c>
      <c r="B965" s="357" t="s">
        <v>2015</v>
      </c>
      <c r="C965" s="358">
        <f>'3.60 lakhs'!I502</f>
        <v>0</v>
      </c>
      <c r="D965" s="354" t="s">
        <v>5</v>
      </c>
      <c r="E965" s="355">
        <f>'3.60 lakhs'!K502</f>
        <v>11212.51</v>
      </c>
      <c r="F965" s="353">
        <f t="shared" si="48"/>
        <v>0</v>
      </c>
      <c r="G965" s="368"/>
      <c r="H965" s="368"/>
      <c r="I965" s="368">
        <f t="shared" si="46"/>
        <v>0</v>
      </c>
      <c r="J965" s="368">
        <f t="shared" si="47"/>
        <v>0</v>
      </c>
      <c r="K965" s="360" t="s">
        <v>2322</v>
      </c>
    </row>
    <row r="966" spans="1:11" s="360" customFormat="1" ht="20.25" hidden="1" customHeight="1">
      <c r="A966" s="356" t="s">
        <v>1521</v>
      </c>
      <c r="B966" s="357" t="s">
        <v>2016</v>
      </c>
      <c r="C966" s="358">
        <f>'3.60 lakhs'!I508</f>
        <v>0</v>
      </c>
      <c r="D966" s="221" t="s">
        <v>277</v>
      </c>
      <c r="E966" s="355">
        <f>'3.60 lakhs'!K508</f>
        <v>630.35</v>
      </c>
      <c r="F966" s="353">
        <f t="shared" si="48"/>
        <v>0</v>
      </c>
      <c r="G966" s="368"/>
      <c r="H966" s="368"/>
      <c r="I966" s="368">
        <f t="shared" ref="I966:I1029" si="49">C966-G966</f>
        <v>0</v>
      </c>
      <c r="J966" s="368">
        <f t="shared" ref="J966:J1029" si="50">F966-H966</f>
        <v>0</v>
      </c>
      <c r="K966" s="360" t="s">
        <v>2322</v>
      </c>
    </row>
    <row r="967" spans="1:11" s="360" customFormat="1" ht="20.25" hidden="1" customHeight="1">
      <c r="A967" s="356" t="s">
        <v>1519</v>
      </c>
      <c r="B967" s="357" t="s">
        <v>2237</v>
      </c>
      <c r="C967" s="358">
        <f>'3.60 lakhs'!I514</f>
        <v>0</v>
      </c>
      <c r="D967" s="221" t="s">
        <v>102</v>
      </c>
      <c r="E967" s="355">
        <f>'3.60 lakhs'!K514</f>
        <v>339.16</v>
      </c>
      <c r="F967" s="353">
        <f t="shared" si="48"/>
        <v>0</v>
      </c>
      <c r="G967" s="368"/>
      <c r="H967" s="368"/>
      <c r="I967" s="368">
        <f t="shared" si="49"/>
        <v>0</v>
      </c>
      <c r="J967" s="368">
        <f t="shared" si="50"/>
        <v>0</v>
      </c>
      <c r="K967" s="360" t="s">
        <v>2322</v>
      </c>
    </row>
    <row r="968" spans="1:11" s="360" customFormat="1" ht="20.25" hidden="1" customHeight="1">
      <c r="A968" s="356" t="s">
        <v>520</v>
      </c>
      <c r="B968" s="357" t="s">
        <v>2238</v>
      </c>
      <c r="C968" s="358">
        <f>'3.60 lakhs'!I520</f>
        <v>0</v>
      </c>
      <c r="D968" s="221" t="s">
        <v>102</v>
      </c>
      <c r="E968" s="355">
        <f>'3.60 lakhs'!K520</f>
        <v>438.06</v>
      </c>
      <c r="F968" s="353">
        <f t="shared" si="48"/>
        <v>0</v>
      </c>
      <c r="G968" s="368"/>
      <c r="H968" s="368"/>
      <c r="I968" s="368">
        <f t="shared" si="49"/>
        <v>0</v>
      </c>
      <c r="J968" s="368">
        <f t="shared" si="50"/>
        <v>0</v>
      </c>
      <c r="K968" s="360" t="s">
        <v>2322</v>
      </c>
    </row>
    <row r="969" spans="1:11" s="360" customFormat="1" ht="20.25" hidden="1" customHeight="1">
      <c r="A969" s="356" t="s">
        <v>497</v>
      </c>
      <c r="B969" s="357" t="s">
        <v>2148</v>
      </c>
      <c r="C969" s="358">
        <f>'3.60 lakhs'!I532</f>
        <v>0</v>
      </c>
      <c r="D969" s="354" t="s">
        <v>5</v>
      </c>
      <c r="E969" s="355">
        <f>'3.60 lakhs'!K532</f>
        <v>7283.96</v>
      </c>
      <c r="F969" s="353">
        <f t="shared" si="48"/>
        <v>0</v>
      </c>
      <c r="G969" s="368"/>
      <c r="H969" s="368"/>
      <c r="I969" s="368">
        <f t="shared" si="49"/>
        <v>0</v>
      </c>
      <c r="J969" s="368">
        <f t="shared" si="50"/>
        <v>0</v>
      </c>
      <c r="K969" s="360" t="s">
        <v>2322</v>
      </c>
    </row>
    <row r="970" spans="1:11" s="360" customFormat="1" ht="20.25" hidden="1" customHeight="1">
      <c r="A970" s="356" t="s">
        <v>491</v>
      </c>
      <c r="B970" s="357" t="s">
        <v>2112</v>
      </c>
      <c r="C970" s="358">
        <f>'3.60 lakhs'!I526</f>
        <v>0</v>
      </c>
      <c r="D970" s="354" t="s">
        <v>5</v>
      </c>
      <c r="E970" s="355">
        <f>'3.60 lakhs'!K526</f>
        <v>7227.5599999999995</v>
      </c>
      <c r="F970" s="353">
        <f t="shared" si="48"/>
        <v>0</v>
      </c>
      <c r="G970" s="368"/>
      <c r="H970" s="368"/>
      <c r="I970" s="368">
        <f t="shared" si="49"/>
        <v>0</v>
      </c>
      <c r="J970" s="368">
        <f t="shared" si="50"/>
        <v>0</v>
      </c>
      <c r="K970" s="360" t="s">
        <v>2322</v>
      </c>
    </row>
    <row r="971" spans="1:11" s="360" customFormat="1" ht="27" hidden="1" customHeight="1">
      <c r="A971" s="356" t="s">
        <v>498</v>
      </c>
      <c r="B971" s="27" t="s">
        <v>2149</v>
      </c>
      <c r="C971" s="358">
        <f>'3.60 lakhs'!I539</f>
        <v>0</v>
      </c>
      <c r="D971" s="354" t="s">
        <v>102</v>
      </c>
      <c r="E971" s="355">
        <f>'3.60 lakhs'!K539</f>
        <v>945.26</v>
      </c>
      <c r="F971" s="353">
        <f>ROUND(C971*E971/1,0)</f>
        <v>0</v>
      </c>
      <c r="G971" s="368"/>
      <c r="H971" s="368"/>
      <c r="I971" s="368">
        <f t="shared" si="49"/>
        <v>0</v>
      </c>
      <c r="J971" s="368">
        <f t="shared" si="50"/>
        <v>0</v>
      </c>
      <c r="K971" s="360" t="s">
        <v>2322</v>
      </c>
    </row>
    <row r="972" spans="1:11" s="360" customFormat="1" hidden="1">
      <c r="A972" s="356" t="s">
        <v>483</v>
      </c>
      <c r="B972" s="357" t="s">
        <v>1222</v>
      </c>
      <c r="C972" s="358">
        <f>'3.60 lakhs'!I546</f>
        <v>0</v>
      </c>
      <c r="D972" s="354" t="s">
        <v>102</v>
      </c>
      <c r="E972" s="355">
        <f>'3.60 lakhs'!K546</f>
        <v>6718.55</v>
      </c>
      <c r="F972" s="353">
        <f>ROUND(C972*E972/1,0)</f>
        <v>0</v>
      </c>
      <c r="G972" s="368"/>
      <c r="H972" s="368"/>
      <c r="I972" s="368">
        <f t="shared" si="49"/>
        <v>0</v>
      </c>
      <c r="J972" s="368">
        <f t="shared" si="50"/>
        <v>0</v>
      </c>
      <c r="K972" s="360" t="s">
        <v>2322</v>
      </c>
    </row>
    <row r="973" spans="1:11" s="360" customFormat="1" hidden="1">
      <c r="A973" s="356" t="s">
        <v>484</v>
      </c>
      <c r="B973" s="357" t="s">
        <v>1215</v>
      </c>
      <c r="C973" s="358">
        <f>'3.60 lakhs'!I552</f>
        <v>0</v>
      </c>
      <c r="D973" s="354" t="s">
        <v>102</v>
      </c>
      <c r="E973" s="355">
        <f>'3.60 lakhs'!K552</f>
        <v>2346.34</v>
      </c>
      <c r="F973" s="353">
        <f>ROUND(C973*E973/1,0)</f>
        <v>0</v>
      </c>
      <c r="G973" s="368"/>
      <c r="H973" s="368"/>
      <c r="I973" s="368">
        <f t="shared" si="49"/>
        <v>0</v>
      </c>
      <c r="J973" s="368">
        <f t="shared" si="50"/>
        <v>0</v>
      </c>
      <c r="K973" s="360" t="s">
        <v>2322</v>
      </c>
    </row>
    <row r="974" spans="1:11" s="360" customFormat="1" ht="20.25" hidden="1" customHeight="1">
      <c r="A974" s="356" t="s">
        <v>508</v>
      </c>
      <c r="B974" s="357" t="s">
        <v>2113</v>
      </c>
      <c r="C974" s="358">
        <f>'3.60 lakhs'!I559</f>
        <v>0</v>
      </c>
      <c r="D974" s="354" t="s">
        <v>102</v>
      </c>
      <c r="E974" s="355">
        <f>'3.60 lakhs'!K559</f>
        <v>351.17</v>
      </c>
      <c r="F974" s="353">
        <f t="shared" ref="F974:F1006" si="51">ROUND(C974*E974,0)</f>
        <v>0</v>
      </c>
      <c r="G974" s="368"/>
      <c r="H974" s="368"/>
      <c r="I974" s="368">
        <f t="shared" si="49"/>
        <v>0</v>
      </c>
      <c r="J974" s="368">
        <f t="shared" si="50"/>
        <v>0</v>
      </c>
      <c r="K974" s="360" t="s">
        <v>2322</v>
      </c>
    </row>
    <row r="975" spans="1:11" s="360" customFormat="1" ht="20.25" hidden="1" customHeight="1">
      <c r="A975" s="356" t="s">
        <v>493</v>
      </c>
      <c r="B975" s="357" t="s">
        <v>2173</v>
      </c>
      <c r="C975" s="358">
        <f>'3.60 lakhs'!I567</f>
        <v>0</v>
      </c>
      <c r="D975" s="354" t="s">
        <v>102</v>
      </c>
      <c r="E975" s="355">
        <f>'3.60 lakhs'!K567</f>
        <v>323.04000000000002</v>
      </c>
      <c r="F975" s="353">
        <f t="shared" si="51"/>
        <v>0</v>
      </c>
      <c r="G975" s="368"/>
      <c r="H975" s="368"/>
      <c r="I975" s="368">
        <f t="shared" si="49"/>
        <v>0</v>
      </c>
      <c r="J975" s="368">
        <f t="shared" si="50"/>
        <v>0</v>
      </c>
      <c r="K975" s="360" t="s">
        <v>2322</v>
      </c>
    </row>
    <row r="976" spans="1:11" s="360" customFormat="1" ht="20.25" hidden="1" customHeight="1">
      <c r="A976" s="356" t="s">
        <v>494</v>
      </c>
      <c r="B976" s="357" t="s">
        <v>2197</v>
      </c>
      <c r="C976" s="358">
        <f>'3.60 lakhs'!I575</f>
        <v>0</v>
      </c>
      <c r="D976" s="354" t="s">
        <v>102</v>
      </c>
      <c r="E976" s="355">
        <f>'3.60 lakhs'!K575</f>
        <v>343.23</v>
      </c>
      <c r="F976" s="353">
        <f t="shared" si="51"/>
        <v>0</v>
      </c>
      <c r="G976" s="368"/>
      <c r="H976" s="368"/>
      <c r="I976" s="368">
        <f t="shared" si="49"/>
        <v>0</v>
      </c>
      <c r="J976" s="368">
        <f t="shared" si="50"/>
        <v>0</v>
      </c>
      <c r="K976" s="360" t="s">
        <v>2322</v>
      </c>
    </row>
    <row r="977" spans="1:11" s="360" customFormat="1" ht="20.25" hidden="1" customHeight="1">
      <c r="A977" s="356" t="s">
        <v>510</v>
      </c>
      <c r="B977" s="357" t="s">
        <v>2114</v>
      </c>
      <c r="C977" s="358">
        <f>'3.60 lakhs'!I582</f>
        <v>0</v>
      </c>
      <c r="D977" s="354" t="s">
        <v>102</v>
      </c>
      <c r="E977" s="355">
        <f>'3.60 lakhs'!K582</f>
        <v>425.82</v>
      </c>
      <c r="F977" s="353">
        <f t="shared" si="51"/>
        <v>0</v>
      </c>
      <c r="G977" s="368"/>
      <c r="H977" s="368"/>
      <c r="I977" s="368">
        <f t="shared" si="49"/>
        <v>0</v>
      </c>
      <c r="J977" s="368">
        <f t="shared" si="50"/>
        <v>0</v>
      </c>
      <c r="K977" s="360" t="s">
        <v>2322</v>
      </c>
    </row>
    <row r="978" spans="1:11" s="360" customFormat="1" ht="20.25" hidden="1" customHeight="1">
      <c r="A978" s="356" t="s">
        <v>1522</v>
      </c>
      <c r="B978" s="357" t="s">
        <v>2115</v>
      </c>
      <c r="C978" s="358">
        <f>'3.60 lakhs'!I589</f>
        <v>0</v>
      </c>
      <c r="D978" s="354" t="s">
        <v>102</v>
      </c>
      <c r="E978" s="355">
        <f>'3.60 lakhs'!K589</f>
        <v>441.63</v>
      </c>
      <c r="F978" s="353">
        <f t="shared" si="51"/>
        <v>0</v>
      </c>
      <c r="G978" s="368"/>
      <c r="H978" s="368"/>
      <c r="I978" s="368">
        <f t="shared" si="49"/>
        <v>0</v>
      </c>
      <c r="J978" s="368">
        <f t="shared" si="50"/>
        <v>0</v>
      </c>
      <c r="K978" s="360" t="s">
        <v>2322</v>
      </c>
    </row>
    <row r="979" spans="1:11" s="360" customFormat="1" ht="20.25" hidden="1" customHeight="1">
      <c r="A979" s="356" t="s">
        <v>498</v>
      </c>
      <c r="B979" s="357" t="s">
        <v>1225</v>
      </c>
      <c r="C979" s="358">
        <f>'3.60 lakhs'!I596</f>
        <v>0</v>
      </c>
      <c r="D979" s="354" t="s">
        <v>5</v>
      </c>
      <c r="E979" s="355">
        <f>'3.60 lakhs'!K596</f>
        <v>5722.81</v>
      </c>
      <c r="F979" s="353">
        <f t="shared" si="51"/>
        <v>0</v>
      </c>
      <c r="G979" s="368"/>
      <c r="H979" s="368"/>
      <c r="I979" s="368">
        <f t="shared" si="49"/>
        <v>0</v>
      </c>
      <c r="J979" s="368">
        <f t="shared" si="50"/>
        <v>0</v>
      </c>
      <c r="K979" s="360" t="s">
        <v>2322</v>
      </c>
    </row>
    <row r="980" spans="1:11" s="360" customFormat="1" ht="20.25" hidden="1" customHeight="1">
      <c r="A980" s="356" t="s">
        <v>512</v>
      </c>
      <c r="B980" s="357" t="s">
        <v>507</v>
      </c>
      <c r="C980" s="358">
        <f>'3.60 lakhs'!I603</f>
        <v>0</v>
      </c>
      <c r="D980" s="354" t="s">
        <v>102</v>
      </c>
      <c r="E980" s="355">
        <f>'3.60 lakhs'!K603</f>
        <v>1103.3900000000001</v>
      </c>
      <c r="F980" s="353">
        <f t="shared" si="51"/>
        <v>0</v>
      </c>
      <c r="G980" s="368"/>
      <c r="H980" s="368"/>
      <c r="I980" s="368">
        <f t="shared" si="49"/>
        <v>0</v>
      </c>
      <c r="J980" s="368">
        <f t="shared" si="50"/>
        <v>0</v>
      </c>
      <c r="K980" s="360" t="s">
        <v>2322</v>
      </c>
    </row>
    <row r="981" spans="1:11" s="360" customFormat="1" ht="20.25" hidden="1" customHeight="1">
      <c r="A981" s="356" t="s">
        <v>513</v>
      </c>
      <c r="B981" s="357" t="s">
        <v>2116</v>
      </c>
      <c r="C981" s="358">
        <f>'3.60 lakhs'!I610</f>
        <v>0</v>
      </c>
      <c r="D981" s="354" t="s">
        <v>102</v>
      </c>
      <c r="E981" s="355">
        <f>'3.60 lakhs'!K610</f>
        <v>1098.05</v>
      </c>
      <c r="F981" s="353">
        <f t="shared" si="51"/>
        <v>0</v>
      </c>
      <c r="G981" s="368"/>
      <c r="H981" s="368"/>
      <c r="I981" s="368">
        <f t="shared" si="49"/>
        <v>0</v>
      </c>
      <c r="J981" s="368">
        <f t="shared" si="50"/>
        <v>0</v>
      </c>
      <c r="K981" s="360" t="s">
        <v>2322</v>
      </c>
    </row>
    <row r="982" spans="1:11" s="360" customFormat="1" ht="20.25" hidden="1" customHeight="1">
      <c r="A982" s="356" t="s">
        <v>514</v>
      </c>
      <c r="B982" s="357" t="s">
        <v>708</v>
      </c>
      <c r="C982" s="358">
        <f>'3.60 lakhs'!I617</f>
        <v>0</v>
      </c>
      <c r="D982" s="354" t="s">
        <v>77</v>
      </c>
      <c r="E982" s="355">
        <f>'3.60 lakhs'!K617</f>
        <v>3181.62</v>
      </c>
      <c r="F982" s="353">
        <f t="shared" si="51"/>
        <v>0</v>
      </c>
      <c r="G982" s="368"/>
      <c r="H982" s="368"/>
      <c r="I982" s="368">
        <f t="shared" si="49"/>
        <v>0</v>
      </c>
      <c r="J982" s="368">
        <f t="shared" si="50"/>
        <v>0</v>
      </c>
      <c r="K982" s="360" t="s">
        <v>2322</v>
      </c>
    </row>
    <row r="983" spans="1:11" s="360" customFormat="1" ht="20.25" hidden="1" customHeight="1">
      <c r="A983" s="356" t="s">
        <v>515</v>
      </c>
      <c r="B983" s="357" t="s">
        <v>2116</v>
      </c>
      <c r="C983" s="358">
        <f>'3.60 lakhs'!I624</f>
        <v>0</v>
      </c>
      <c r="D983" s="354" t="s">
        <v>102</v>
      </c>
      <c r="E983" s="355">
        <f>'3.60 lakhs'!K624</f>
        <v>2950.54</v>
      </c>
      <c r="F983" s="353">
        <f t="shared" si="51"/>
        <v>0</v>
      </c>
      <c r="G983" s="368"/>
      <c r="H983" s="368"/>
      <c r="I983" s="368">
        <f t="shared" si="49"/>
        <v>0</v>
      </c>
      <c r="J983" s="368">
        <f t="shared" si="50"/>
        <v>0</v>
      </c>
      <c r="K983" s="360" t="s">
        <v>2322</v>
      </c>
    </row>
    <row r="984" spans="1:11" s="360" customFormat="1" ht="20.25" hidden="1" customHeight="1">
      <c r="A984" s="356" t="s">
        <v>529</v>
      </c>
      <c r="B984" s="357" t="s">
        <v>710</v>
      </c>
      <c r="C984" s="358">
        <f>'3.60 lakhs'!I632</f>
        <v>0</v>
      </c>
      <c r="D984" s="354" t="s">
        <v>102</v>
      </c>
      <c r="E984" s="355">
        <f>'3.60 lakhs'!K632</f>
        <v>780.73</v>
      </c>
      <c r="F984" s="353">
        <f t="shared" si="51"/>
        <v>0</v>
      </c>
      <c r="G984" s="368"/>
      <c r="H984" s="368"/>
      <c r="I984" s="368">
        <f t="shared" si="49"/>
        <v>0</v>
      </c>
      <c r="J984" s="368">
        <f t="shared" si="50"/>
        <v>0</v>
      </c>
      <c r="K984" s="360" t="s">
        <v>2322</v>
      </c>
    </row>
    <row r="985" spans="1:11" s="360" customFormat="1" ht="20.25" hidden="1" customHeight="1">
      <c r="A985" s="356" t="s">
        <v>530</v>
      </c>
      <c r="B985" s="357" t="s">
        <v>2116</v>
      </c>
      <c r="C985" s="358">
        <f>'3.60 lakhs'!I639</f>
        <v>0</v>
      </c>
      <c r="D985" s="354" t="s">
        <v>102</v>
      </c>
      <c r="E985" s="355">
        <f>'3.60 lakhs'!K639</f>
        <v>786.2</v>
      </c>
      <c r="F985" s="353">
        <f t="shared" si="51"/>
        <v>0</v>
      </c>
      <c r="G985" s="368"/>
      <c r="H985" s="368"/>
      <c r="I985" s="368">
        <f t="shared" si="49"/>
        <v>0</v>
      </c>
      <c r="J985" s="368">
        <f t="shared" si="50"/>
        <v>0</v>
      </c>
      <c r="K985" s="360" t="s">
        <v>2322</v>
      </c>
    </row>
    <row r="986" spans="1:11" s="360" customFormat="1" ht="20.25" hidden="1" customHeight="1">
      <c r="A986" s="356" t="s">
        <v>516</v>
      </c>
      <c r="B986" s="357" t="s">
        <v>2117</v>
      </c>
      <c r="C986" s="358">
        <f>'3.60 lakhs'!I646</f>
        <v>0</v>
      </c>
      <c r="D986" s="354" t="s">
        <v>102</v>
      </c>
      <c r="E986" s="355">
        <f>'3.60 lakhs'!K646</f>
        <v>837.86</v>
      </c>
      <c r="F986" s="353">
        <f t="shared" si="51"/>
        <v>0</v>
      </c>
      <c r="G986" s="368"/>
      <c r="H986" s="368"/>
      <c r="I986" s="368">
        <f t="shared" si="49"/>
        <v>0</v>
      </c>
      <c r="J986" s="368">
        <f t="shared" si="50"/>
        <v>0</v>
      </c>
      <c r="K986" s="360" t="s">
        <v>2322</v>
      </c>
    </row>
    <row r="987" spans="1:11" s="360" customFormat="1" ht="20.25" hidden="1" customHeight="1">
      <c r="A987" s="356" t="s">
        <v>517</v>
      </c>
      <c r="B987" s="357" t="s">
        <v>2116</v>
      </c>
      <c r="C987" s="358">
        <f>'3.60 lakhs'!I653</f>
        <v>0</v>
      </c>
      <c r="D987" s="354" t="s">
        <v>102</v>
      </c>
      <c r="E987" s="355">
        <f>'3.60 lakhs'!K653</f>
        <v>527.21</v>
      </c>
      <c r="F987" s="353">
        <f t="shared" si="51"/>
        <v>0</v>
      </c>
      <c r="G987" s="368"/>
      <c r="H987" s="368"/>
      <c r="I987" s="368">
        <f t="shared" si="49"/>
        <v>0</v>
      </c>
      <c r="J987" s="368">
        <f t="shared" si="50"/>
        <v>0</v>
      </c>
      <c r="K987" s="360" t="s">
        <v>2322</v>
      </c>
    </row>
    <row r="988" spans="1:11" s="360" customFormat="1" ht="20.25" hidden="1" customHeight="1">
      <c r="A988" s="356" t="s">
        <v>492</v>
      </c>
      <c r="B988" s="357" t="s">
        <v>1223</v>
      </c>
      <c r="C988" s="358">
        <f>'3.60 lakhs'!I661</f>
        <v>0</v>
      </c>
      <c r="D988" s="354" t="s">
        <v>102</v>
      </c>
      <c r="E988" s="355">
        <f>'3.60 lakhs'!K661</f>
        <v>1059.21</v>
      </c>
      <c r="F988" s="353">
        <f t="shared" si="51"/>
        <v>0</v>
      </c>
      <c r="G988" s="368"/>
      <c r="H988" s="368"/>
      <c r="I988" s="368">
        <f t="shared" si="49"/>
        <v>0</v>
      </c>
      <c r="J988" s="368">
        <f t="shared" si="50"/>
        <v>0</v>
      </c>
      <c r="K988" s="360" t="s">
        <v>2322</v>
      </c>
    </row>
    <row r="989" spans="1:11" s="360" customFormat="1" ht="20.25" hidden="1" customHeight="1">
      <c r="A989" s="356" t="s">
        <v>533</v>
      </c>
      <c r="B989" s="357" t="s">
        <v>2239</v>
      </c>
      <c r="C989" s="358">
        <f>'3.60 lakhs'!I670</f>
        <v>0</v>
      </c>
      <c r="D989" s="354" t="s">
        <v>102</v>
      </c>
      <c r="E989" s="355">
        <f>'3.60 lakhs'!K670</f>
        <v>25.98</v>
      </c>
      <c r="F989" s="353">
        <f t="shared" si="51"/>
        <v>0</v>
      </c>
      <c r="G989" s="368"/>
      <c r="H989" s="368"/>
      <c r="I989" s="368">
        <f t="shared" si="49"/>
        <v>0</v>
      </c>
      <c r="J989" s="368">
        <f t="shared" si="50"/>
        <v>0</v>
      </c>
      <c r="K989" s="360" t="s">
        <v>2322</v>
      </c>
    </row>
    <row r="990" spans="1:11" s="360" customFormat="1" ht="20.25" hidden="1" customHeight="1">
      <c r="A990" s="356" t="s">
        <v>518</v>
      </c>
      <c r="B990" s="357" t="s">
        <v>2118</v>
      </c>
      <c r="C990" s="358">
        <f>'3.60 lakhs'!I680</f>
        <v>0</v>
      </c>
      <c r="D990" s="354" t="s">
        <v>102</v>
      </c>
      <c r="E990" s="355">
        <f>'3.60 lakhs'!K680</f>
        <v>184.03</v>
      </c>
      <c r="F990" s="353">
        <f t="shared" si="51"/>
        <v>0</v>
      </c>
      <c r="G990" s="368"/>
      <c r="H990" s="368"/>
      <c r="I990" s="368">
        <f t="shared" si="49"/>
        <v>0</v>
      </c>
      <c r="J990" s="368">
        <f t="shared" si="50"/>
        <v>0</v>
      </c>
      <c r="K990" s="360" t="s">
        <v>2322</v>
      </c>
    </row>
    <row r="991" spans="1:11" s="360" customFormat="1" ht="20.25" hidden="1" customHeight="1">
      <c r="A991" s="356" t="s">
        <v>519</v>
      </c>
      <c r="B991" s="357" t="s">
        <v>2176</v>
      </c>
      <c r="C991" s="358">
        <f>'3.60 lakhs'!I689</f>
        <v>0</v>
      </c>
      <c r="D991" s="354" t="s">
        <v>102</v>
      </c>
      <c r="E991" s="355">
        <f>'3.60 lakhs'!K689</f>
        <v>158.36000000000001</v>
      </c>
      <c r="F991" s="353">
        <f t="shared" si="51"/>
        <v>0</v>
      </c>
      <c r="G991" s="368"/>
      <c r="H991" s="368"/>
      <c r="I991" s="368">
        <f t="shared" si="49"/>
        <v>0</v>
      </c>
      <c r="J991" s="368">
        <f t="shared" si="50"/>
        <v>0</v>
      </c>
      <c r="K991" s="360" t="s">
        <v>2322</v>
      </c>
    </row>
    <row r="992" spans="1:11" s="360" customFormat="1" ht="20.25" hidden="1" customHeight="1">
      <c r="A992" s="356" t="s">
        <v>520</v>
      </c>
      <c r="B992" s="357" t="s">
        <v>2177</v>
      </c>
      <c r="C992" s="358">
        <f>'3.60 lakhs'!I696</f>
        <v>0</v>
      </c>
      <c r="D992" s="354" t="s">
        <v>102</v>
      </c>
      <c r="E992" s="355">
        <f>'3.60 lakhs'!K696</f>
        <v>217.22</v>
      </c>
      <c r="F992" s="353">
        <f t="shared" si="51"/>
        <v>0</v>
      </c>
      <c r="G992" s="368"/>
      <c r="H992" s="368"/>
      <c r="I992" s="368">
        <f t="shared" si="49"/>
        <v>0</v>
      </c>
      <c r="J992" s="368">
        <f t="shared" si="50"/>
        <v>0</v>
      </c>
      <c r="K992" s="360" t="s">
        <v>2322</v>
      </c>
    </row>
    <row r="993" spans="1:11" s="360" customFormat="1" ht="20.25" hidden="1" customHeight="1">
      <c r="A993" s="356" t="s">
        <v>513</v>
      </c>
      <c r="B993" s="357" t="s">
        <v>477</v>
      </c>
      <c r="C993" s="429">
        <f>'3.60 lakhs'!I703</f>
        <v>0</v>
      </c>
      <c r="D993" s="221" t="s">
        <v>29</v>
      </c>
      <c r="E993" s="430">
        <f>'3.60 lakhs'!K703</f>
        <v>90555</v>
      </c>
      <c r="F993" s="353">
        <f t="shared" si="51"/>
        <v>0</v>
      </c>
      <c r="G993" s="368"/>
      <c r="H993" s="368"/>
      <c r="I993" s="368">
        <f t="shared" si="49"/>
        <v>0</v>
      </c>
      <c r="J993" s="368">
        <f t="shared" si="50"/>
        <v>0</v>
      </c>
      <c r="K993" s="360" t="s">
        <v>2322</v>
      </c>
    </row>
    <row r="994" spans="1:11" s="360" customFormat="1" ht="20.25" hidden="1" customHeight="1">
      <c r="A994" s="356" t="s">
        <v>514</v>
      </c>
      <c r="B994" s="357" t="s">
        <v>2150</v>
      </c>
      <c r="C994" s="358">
        <f>'3.60 lakhs'!I709</f>
        <v>0</v>
      </c>
      <c r="D994" s="354" t="s">
        <v>5</v>
      </c>
      <c r="E994" s="355">
        <f>'3.60 lakhs'!K709</f>
        <v>12013.61</v>
      </c>
      <c r="F994" s="353">
        <f t="shared" si="51"/>
        <v>0</v>
      </c>
      <c r="G994" s="368"/>
      <c r="H994" s="368"/>
      <c r="I994" s="368">
        <f t="shared" si="49"/>
        <v>0</v>
      </c>
      <c r="J994" s="368">
        <f t="shared" si="50"/>
        <v>0</v>
      </c>
      <c r="K994" s="360" t="s">
        <v>2322</v>
      </c>
    </row>
    <row r="995" spans="1:11" s="360" customFormat="1" ht="20.25" hidden="1" customHeight="1">
      <c r="A995" s="356" t="s">
        <v>515</v>
      </c>
      <c r="B995" s="357" t="s">
        <v>2109</v>
      </c>
      <c r="C995" s="358">
        <f>'3.60 lakhs'!I715</f>
        <v>0</v>
      </c>
      <c r="D995" s="354" t="s">
        <v>5</v>
      </c>
      <c r="E995" s="355">
        <f>'3.60 lakhs'!K715</f>
        <v>11098.560000000001</v>
      </c>
      <c r="F995" s="353">
        <f t="shared" si="51"/>
        <v>0</v>
      </c>
      <c r="G995" s="368"/>
      <c r="H995" s="368"/>
      <c r="I995" s="368">
        <f t="shared" si="49"/>
        <v>0</v>
      </c>
      <c r="J995" s="368">
        <f t="shared" si="50"/>
        <v>0</v>
      </c>
      <c r="K995" s="360" t="s">
        <v>2322</v>
      </c>
    </row>
    <row r="996" spans="1:11" s="360" customFormat="1" ht="20.25" hidden="1" customHeight="1">
      <c r="A996" s="356" t="s">
        <v>516</v>
      </c>
      <c r="B996" s="357" t="s">
        <v>2020</v>
      </c>
      <c r="C996" s="358">
        <f>'3.60 lakhs'!I726</f>
        <v>0</v>
      </c>
      <c r="D996" s="354" t="s">
        <v>102</v>
      </c>
      <c r="E996" s="355">
        <f>'3.60 lakhs'!K726</f>
        <v>1594.17</v>
      </c>
      <c r="F996" s="353">
        <f t="shared" si="51"/>
        <v>0</v>
      </c>
      <c r="G996" s="368"/>
      <c r="H996" s="368"/>
      <c r="I996" s="368">
        <f t="shared" si="49"/>
        <v>0</v>
      </c>
      <c r="J996" s="368">
        <f t="shared" si="50"/>
        <v>0</v>
      </c>
      <c r="K996" s="360" t="s">
        <v>2322</v>
      </c>
    </row>
    <row r="997" spans="1:11" s="360" customFormat="1" ht="20.25" hidden="1" customHeight="1">
      <c r="A997" s="356" t="s">
        <v>487</v>
      </c>
      <c r="B997" s="357" t="s">
        <v>2240</v>
      </c>
      <c r="C997" s="358">
        <f>'3.60 lakhs'!I731</f>
        <v>0</v>
      </c>
      <c r="D997" s="354" t="s">
        <v>102</v>
      </c>
      <c r="E997" s="355">
        <f>'3.60 lakhs'!K731</f>
        <v>1451.29</v>
      </c>
      <c r="F997" s="353">
        <f t="shared" si="51"/>
        <v>0</v>
      </c>
      <c r="G997" s="368"/>
      <c r="H997" s="368"/>
      <c r="I997" s="368">
        <f t="shared" si="49"/>
        <v>0</v>
      </c>
      <c r="J997" s="368">
        <f t="shared" si="50"/>
        <v>0</v>
      </c>
      <c r="K997" s="360" t="s">
        <v>2322</v>
      </c>
    </row>
    <row r="998" spans="1:11" s="360" customFormat="1" ht="20.25" hidden="1" customHeight="1">
      <c r="A998" s="356" t="s">
        <v>516</v>
      </c>
      <c r="B998" s="357" t="s">
        <v>2111</v>
      </c>
      <c r="C998" s="358">
        <f>'3.60 lakhs'!I721</f>
        <v>0</v>
      </c>
      <c r="D998" s="221" t="s">
        <v>102</v>
      </c>
      <c r="E998" s="355">
        <f>'3.60 lakhs'!K721</f>
        <v>1737.05</v>
      </c>
      <c r="F998" s="353">
        <f t="shared" si="51"/>
        <v>0</v>
      </c>
      <c r="G998" s="368"/>
      <c r="H998" s="368"/>
      <c r="I998" s="368">
        <f t="shared" si="49"/>
        <v>0</v>
      </c>
      <c r="J998" s="368">
        <f t="shared" si="50"/>
        <v>0</v>
      </c>
      <c r="K998" s="360" t="s">
        <v>2322</v>
      </c>
    </row>
    <row r="999" spans="1:11" s="360" customFormat="1" ht="20.25" hidden="1" customHeight="1">
      <c r="A999" s="356" t="s">
        <v>517</v>
      </c>
      <c r="B999" s="357" t="s">
        <v>2241</v>
      </c>
      <c r="C999" s="358">
        <f>'3.60 lakhs'!I737</f>
        <v>0</v>
      </c>
      <c r="D999" s="221" t="s">
        <v>102</v>
      </c>
      <c r="E999" s="355">
        <f>'3.60 lakhs'!K737</f>
        <v>865.17</v>
      </c>
      <c r="F999" s="353">
        <f t="shared" si="51"/>
        <v>0</v>
      </c>
      <c r="G999" s="368"/>
      <c r="H999" s="368"/>
      <c r="I999" s="368">
        <f t="shared" si="49"/>
        <v>0</v>
      </c>
      <c r="J999" s="368">
        <f t="shared" si="50"/>
        <v>0</v>
      </c>
      <c r="K999" s="360" t="s">
        <v>2322</v>
      </c>
    </row>
    <row r="1000" spans="1:11" s="360" customFormat="1" ht="20.25" hidden="1" customHeight="1">
      <c r="A1000" s="356" t="s">
        <v>517</v>
      </c>
      <c r="B1000" s="357" t="s">
        <v>2242</v>
      </c>
      <c r="C1000" s="358">
        <f>'3.60 lakhs'!I743</f>
        <v>0</v>
      </c>
      <c r="D1000" s="221" t="s">
        <v>102</v>
      </c>
      <c r="E1000" s="355">
        <f>'3.60 lakhs'!K743</f>
        <v>724.02</v>
      </c>
      <c r="F1000" s="353">
        <f t="shared" si="51"/>
        <v>0</v>
      </c>
      <c r="G1000" s="368"/>
      <c r="H1000" s="368"/>
      <c r="I1000" s="368">
        <f t="shared" si="49"/>
        <v>0</v>
      </c>
      <c r="J1000" s="368">
        <f t="shared" si="50"/>
        <v>0</v>
      </c>
      <c r="K1000" s="360" t="s">
        <v>2322</v>
      </c>
    </row>
    <row r="1001" spans="1:11" s="360" customFormat="1" ht="20.25" hidden="1" customHeight="1">
      <c r="A1001" s="356" t="s">
        <v>513</v>
      </c>
      <c r="B1001" s="357" t="s">
        <v>2172</v>
      </c>
      <c r="C1001" s="358">
        <f>'3.60 lakhs'!I750</f>
        <v>0</v>
      </c>
      <c r="D1001" s="354" t="s">
        <v>5</v>
      </c>
      <c r="E1001" s="355">
        <f>'3.60 lakhs'!K750</f>
        <v>11874.810000000001</v>
      </c>
      <c r="F1001" s="353">
        <f t="shared" si="51"/>
        <v>0</v>
      </c>
      <c r="G1001" s="368"/>
      <c r="H1001" s="368"/>
      <c r="I1001" s="368">
        <f t="shared" si="49"/>
        <v>0</v>
      </c>
      <c r="J1001" s="368">
        <f t="shared" si="50"/>
        <v>0</v>
      </c>
      <c r="K1001" s="360" t="s">
        <v>2322</v>
      </c>
    </row>
    <row r="1002" spans="1:11" s="360" customFormat="1" ht="20.25" hidden="1" customHeight="1">
      <c r="A1002" s="356" t="s">
        <v>519</v>
      </c>
      <c r="B1002" s="357" t="s">
        <v>2243</v>
      </c>
      <c r="C1002" s="358">
        <f>'3.60 lakhs'!I755</f>
        <v>0</v>
      </c>
      <c r="D1002" s="221" t="s">
        <v>277</v>
      </c>
      <c r="E1002" s="355">
        <f>'3.60 lakhs'!K755</f>
        <v>744.7299999999999</v>
      </c>
      <c r="F1002" s="353">
        <f t="shared" si="51"/>
        <v>0</v>
      </c>
      <c r="G1002" s="368"/>
      <c r="H1002" s="368"/>
      <c r="I1002" s="368">
        <f t="shared" si="49"/>
        <v>0</v>
      </c>
      <c r="J1002" s="368">
        <f t="shared" si="50"/>
        <v>0</v>
      </c>
      <c r="K1002" s="360" t="s">
        <v>2322</v>
      </c>
    </row>
    <row r="1003" spans="1:11" s="360" customFormat="1" ht="20.25" hidden="1" customHeight="1">
      <c r="A1003" s="356" t="s">
        <v>515</v>
      </c>
      <c r="B1003" s="357" t="s">
        <v>2230</v>
      </c>
      <c r="C1003" s="358">
        <f>'3.60 lakhs'!I760</f>
        <v>0</v>
      </c>
      <c r="D1003" s="221" t="s">
        <v>102</v>
      </c>
      <c r="E1003" s="355">
        <f>'3.60 lakhs'!K760</f>
        <v>362.63</v>
      </c>
      <c r="F1003" s="353">
        <f t="shared" si="51"/>
        <v>0</v>
      </c>
      <c r="G1003" s="368"/>
      <c r="H1003" s="368"/>
      <c r="I1003" s="368">
        <f t="shared" si="49"/>
        <v>0</v>
      </c>
      <c r="J1003" s="368">
        <f t="shared" si="50"/>
        <v>0</v>
      </c>
      <c r="K1003" s="360" t="s">
        <v>2322</v>
      </c>
    </row>
    <row r="1004" spans="1:11" s="360" customFormat="1" ht="20.25" hidden="1" customHeight="1">
      <c r="A1004" s="356" t="s">
        <v>520</v>
      </c>
      <c r="B1004" s="357" t="s">
        <v>2231</v>
      </c>
      <c r="C1004" s="358">
        <f>'3.60 lakhs'!I766</f>
        <v>0</v>
      </c>
      <c r="D1004" s="221" t="s">
        <v>102</v>
      </c>
      <c r="E1004" s="355">
        <f>'3.60 lakhs'!K766</f>
        <v>470.34</v>
      </c>
      <c r="F1004" s="353">
        <f t="shared" si="51"/>
        <v>0</v>
      </c>
      <c r="G1004" s="368"/>
      <c r="H1004" s="368"/>
      <c r="I1004" s="368">
        <f t="shared" si="49"/>
        <v>0</v>
      </c>
      <c r="J1004" s="368">
        <f t="shared" si="50"/>
        <v>0</v>
      </c>
      <c r="K1004" s="360" t="s">
        <v>2322</v>
      </c>
    </row>
    <row r="1005" spans="1:11" s="360" customFormat="1" ht="20.25" hidden="1" customHeight="1">
      <c r="A1005" s="356" t="s">
        <v>517</v>
      </c>
      <c r="B1005" s="357" t="s">
        <v>2146</v>
      </c>
      <c r="C1005" s="358">
        <f>'3.60 lakhs'!I779</f>
        <v>0</v>
      </c>
      <c r="D1005" s="354" t="s">
        <v>5</v>
      </c>
      <c r="E1005" s="355">
        <f>'3.60 lakhs'!K779</f>
        <v>7673.4</v>
      </c>
      <c r="F1005" s="353">
        <f t="shared" si="51"/>
        <v>0</v>
      </c>
      <c r="G1005" s="368"/>
      <c r="H1005" s="368"/>
      <c r="I1005" s="368">
        <f t="shared" si="49"/>
        <v>0</v>
      </c>
      <c r="J1005" s="368">
        <f t="shared" si="50"/>
        <v>0</v>
      </c>
      <c r="K1005" s="360" t="s">
        <v>2322</v>
      </c>
    </row>
    <row r="1006" spans="1:11" s="360" customFormat="1" ht="20.25" hidden="1" customHeight="1">
      <c r="A1006" s="356" t="s">
        <v>491</v>
      </c>
      <c r="B1006" s="357" t="s">
        <v>2112</v>
      </c>
      <c r="C1006" s="358">
        <f>'3.60 lakhs'!I774</f>
        <v>0</v>
      </c>
      <c r="D1006" s="354" t="s">
        <v>5</v>
      </c>
      <c r="E1006" s="355">
        <f>'3.60 lakhs'!K774</f>
        <v>7616.9999999999991</v>
      </c>
      <c r="F1006" s="353">
        <f t="shared" si="51"/>
        <v>0</v>
      </c>
      <c r="G1006" s="368"/>
      <c r="H1006" s="368"/>
      <c r="I1006" s="368">
        <f t="shared" si="49"/>
        <v>0</v>
      </c>
      <c r="J1006" s="368">
        <f t="shared" si="50"/>
        <v>0</v>
      </c>
      <c r="K1006" s="360" t="s">
        <v>2322</v>
      </c>
    </row>
    <row r="1007" spans="1:11" s="360" customFormat="1" ht="27" hidden="1" customHeight="1">
      <c r="A1007" s="356" t="s">
        <v>518</v>
      </c>
      <c r="B1007" s="357" t="s">
        <v>2151</v>
      </c>
      <c r="C1007" s="358">
        <f>'3.60 lakhs'!I785</f>
        <v>0</v>
      </c>
      <c r="D1007" s="354" t="s">
        <v>102</v>
      </c>
      <c r="E1007" s="355">
        <f>'3.60 lakhs'!K785</f>
        <v>1015.55</v>
      </c>
      <c r="F1007" s="353">
        <f>ROUND(C1007*E1007/1,0)</f>
        <v>0</v>
      </c>
      <c r="G1007" s="368"/>
      <c r="H1007" s="368"/>
      <c r="I1007" s="368">
        <f t="shared" si="49"/>
        <v>0</v>
      </c>
      <c r="J1007" s="368">
        <f t="shared" si="50"/>
        <v>0</v>
      </c>
      <c r="K1007" s="360" t="s">
        <v>2322</v>
      </c>
    </row>
    <row r="1008" spans="1:11" s="360" customFormat="1" hidden="1">
      <c r="A1008" s="356" t="s">
        <v>483</v>
      </c>
      <c r="B1008" s="357" t="s">
        <v>1222</v>
      </c>
      <c r="C1008" s="358">
        <f>'3.60 lakhs'!I792</f>
        <v>0</v>
      </c>
      <c r="D1008" s="354" t="s">
        <v>102</v>
      </c>
      <c r="E1008" s="355">
        <f>'3.60 lakhs'!K792</f>
        <v>7187.4500000000007</v>
      </c>
      <c r="F1008" s="353">
        <f>ROUND(C1008*E1008/1,0)</f>
        <v>0</v>
      </c>
      <c r="G1008" s="368"/>
      <c r="H1008" s="368"/>
      <c r="I1008" s="368">
        <f t="shared" si="49"/>
        <v>0</v>
      </c>
      <c r="J1008" s="368">
        <f t="shared" si="50"/>
        <v>0</v>
      </c>
      <c r="K1008" s="360" t="s">
        <v>2322</v>
      </c>
    </row>
    <row r="1009" spans="1:11" s="360" customFormat="1" ht="20.25" hidden="1" customHeight="1">
      <c r="A1009" s="356" t="s">
        <v>521</v>
      </c>
      <c r="B1009" s="357" t="s">
        <v>2113</v>
      </c>
      <c r="C1009" s="358">
        <f>'3.60 lakhs'!I799</f>
        <v>0</v>
      </c>
      <c r="D1009" s="354" t="s">
        <v>102</v>
      </c>
      <c r="E1009" s="355">
        <f>'3.60 lakhs'!K799</f>
        <v>385.55</v>
      </c>
      <c r="F1009" s="353">
        <f t="shared" ref="F1009:F1040" si="52">ROUND(C1009*E1009,0)</f>
        <v>0</v>
      </c>
      <c r="G1009" s="368"/>
      <c r="H1009" s="368"/>
      <c r="I1009" s="368">
        <f t="shared" si="49"/>
        <v>0</v>
      </c>
      <c r="J1009" s="368">
        <f t="shared" si="50"/>
        <v>0</v>
      </c>
      <c r="K1009" s="360" t="s">
        <v>2322</v>
      </c>
    </row>
    <row r="1010" spans="1:11" s="360" customFormat="1" ht="20.25" hidden="1" customHeight="1">
      <c r="A1010" s="356" t="s">
        <v>493</v>
      </c>
      <c r="B1010" s="357" t="s">
        <v>2173</v>
      </c>
      <c r="C1010" s="358">
        <f>'3.60 lakhs'!I807</f>
        <v>0</v>
      </c>
      <c r="D1010" s="354" t="s">
        <v>102</v>
      </c>
      <c r="E1010" s="355">
        <f>'3.60 lakhs'!K807</f>
        <v>352.1</v>
      </c>
      <c r="F1010" s="353">
        <f t="shared" si="52"/>
        <v>0</v>
      </c>
      <c r="G1010" s="368"/>
      <c r="H1010" s="368"/>
      <c r="I1010" s="368">
        <f t="shared" si="49"/>
        <v>0</v>
      </c>
      <c r="J1010" s="368">
        <f t="shared" si="50"/>
        <v>0</v>
      </c>
      <c r="K1010" s="360" t="s">
        <v>2322</v>
      </c>
    </row>
    <row r="1011" spans="1:11" s="360" customFormat="1" ht="20.25" hidden="1" customHeight="1">
      <c r="A1011" s="356" t="s">
        <v>494</v>
      </c>
      <c r="B1011" s="357" t="s">
        <v>2197</v>
      </c>
      <c r="C1011" s="358">
        <f>'3.60 lakhs'!I815</f>
        <v>0</v>
      </c>
      <c r="D1011" s="354" t="s">
        <v>102</v>
      </c>
      <c r="E1011" s="355">
        <f>'3.60 lakhs'!K815</f>
        <v>372.29</v>
      </c>
      <c r="F1011" s="353">
        <f t="shared" si="52"/>
        <v>0</v>
      </c>
      <c r="G1011" s="368"/>
      <c r="H1011" s="368"/>
      <c r="I1011" s="368">
        <f t="shared" si="49"/>
        <v>0</v>
      </c>
      <c r="J1011" s="368">
        <f t="shared" si="50"/>
        <v>0</v>
      </c>
      <c r="K1011" s="360" t="s">
        <v>2322</v>
      </c>
    </row>
    <row r="1012" spans="1:11" s="360" customFormat="1" ht="20.25" hidden="1" customHeight="1">
      <c r="A1012" s="356" t="s">
        <v>522</v>
      </c>
      <c r="B1012" s="357" t="s">
        <v>2114</v>
      </c>
      <c r="C1012" s="358">
        <f>'3.60 lakhs'!I822</f>
        <v>0</v>
      </c>
      <c r="D1012" s="354" t="s">
        <v>102</v>
      </c>
      <c r="E1012" s="355">
        <f>'3.60 lakhs'!K822</f>
        <v>464.16</v>
      </c>
      <c r="F1012" s="353">
        <f t="shared" si="52"/>
        <v>0</v>
      </c>
      <c r="G1012" s="368"/>
      <c r="H1012" s="368"/>
      <c r="I1012" s="368">
        <f t="shared" si="49"/>
        <v>0</v>
      </c>
      <c r="J1012" s="368">
        <f t="shared" si="50"/>
        <v>0</v>
      </c>
      <c r="K1012" s="360" t="s">
        <v>2322</v>
      </c>
    </row>
    <row r="1013" spans="1:11" s="360" customFormat="1" ht="20.25" hidden="1" customHeight="1">
      <c r="A1013" s="356" t="s">
        <v>524</v>
      </c>
      <c r="B1013" s="357" t="s">
        <v>2115</v>
      </c>
      <c r="C1013" s="358">
        <f>'3.60 lakhs'!I829</f>
        <v>0</v>
      </c>
      <c r="D1013" s="354" t="s">
        <v>102</v>
      </c>
      <c r="E1013" s="355">
        <f>'3.60 lakhs'!K829</f>
        <v>479.98</v>
      </c>
      <c r="F1013" s="353">
        <f t="shared" si="52"/>
        <v>0</v>
      </c>
      <c r="G1013" s="368"/>
      <c r="H1013" s="368"/>
      <c r="I1013" s="368">
        <f t="shared" si="49"/>
        <v>0</v>
      </c>
      <c r="J1013" s="368">
        <f t="shared" si="50"/>
        <v>0</v>
      </c>
      <c r="K1013" s="360" t="s">
        <v>2322</v>
      </c>
    </row>
    <row r="1014" spans="1:11" s="360" customFormat="1" ht="20.25" hidden="1" customHeight="1">
      <c r="A1014" s="356" t="s">
        <v>473</v>
      </c>
      <c r="B1014" s="357" t="s">
        <v>1225</v>
      </c>
      <c r="C1014" s="358">
        <f>'3.60 lakhs'!I834</f>
        <v>0</v>
      </c>
      <c r="D1014" s="354" t="s">
        <v>5</v>
      </c>
      <c r="E1014" s="355">
        <f>'3.60 lakhs'!K834</f>
        <v>5843.9400000000005</v>
      </c>
      <c r="F1014" s="353">
        <f t="shared" si="52"/>
        <v>0</v>
      </c>
      <c r="G1014" s="368"/>
      <c r="H1014" s="368"/>
      <c r="I1014" s="368">
        <f t="shared" si="49"/>
        <v>0</v>
      </c>
      <c r="J1014" s="368">
        <f t="shared" si="50"/>
        <v>0</v>
      </c>
      <c r="K1014" s="360" t="s">
        <v>2322</v>
      </c>
    </row>
    <row r="1015" spans="1:11" s="360" customFormat="1" ht="20.25" hidden="1" customHeight="1">
      <c r="A1015" s="356" t="s">
        <v>519</v>
      </c>
      <c r="B1015" s="357" t="s">
        <v>507</v>
      </c>
      <c r="C1015" s="358">
        <f>'3.60 lakhs'!I840</f>
        <v>0</v>
      </c>
      <c r="D1015" s="354" t="s">
        <v>102</v>
      </c>
      <c r="E1015" s="355">
        <f>'3.60 lakhs'!K840</f>
        <v>1139.42</v>
      </c>
      <c r="F1015" s="353">
        <f t="shared" si="52"/>
        <v>0</v>
      </c>
      <c r="G1015" s="368"/>
      <c r="H1015" s="368"/>
      <c r="I1015" s="368">
        <f t="shared" si="49"/>
        <v>0</v>
      </c>
      <c r="J1015" s="368">
        <f t="shared" si="50"/>
        <v>0</v>
      </c>
      <c r="K1015" s="360" t="s">
        <v>2322</v>
      </c>
    </row>
    <row r="1016" spans="1:11" s="360" customFormat="1" ht="20.25" hidden="1" customHeight="1">
      <c r="A1016" s="356" t="s">
        <v>528</v>
      </c>
      <c r="B1016" s="357" t="s">
        <v>2116</v>
      </c>
      <c r="C1016" s="358">
        <f>'3.60 lakhs'!I847</f>
        <v>0</v>
      </c>
      <c r="D1016" s="354" t="s">
        <v>102</v>
      </c>
      <c r="E1016" s="355">
        <f>'3.60 lakhs'!K847</f>
        <v>1134.08</v>
      </c>
      <c r="F1016" s="353">
        <f t="shared" si="52"/>
        <v>0</v>
      </c>
      <c r="G1016" s="368"/>
      <c r="H1016" s="368"/>
      <c r="I1016" s="368">
        <f t="shared" si="49"/>
        <v>0</v>
      </c>
      <c r="J1016" s="368">
        <f t="shared" si="50"/>
        <v>0</v>
      </c>
      <c r="K1016" s="360" t="s">
        <v>2322</v>
      </c>
    </row>
    <row r="1017" spans="1:11" s="360" customFormat="1" ht="20.25" hidden="1" customHeight="1">
      <c r="A1017" s="356" t="s">
        <v>508</v>
      </c>
      <c r="B1017" s="357" t="s">
        <v>708</v>
      </c>
      <c r="C1017" s="358">
        <f>'3.60 lakhs'!I854</f>
        <v>0</v>
      </c>
      <c r="D1017" s="354" t="s">
        <v>77</v>
      </c>
      <c r="E1017" s="355">
        <f>'3.60 lakhs'!K854</f>
        <v>3248.17</v>
      </c>
      <c r="F1017" s="353">
        <f t="shared" si="52"/>
        <v>0</v>
      </c>
      <c r="G1017" s="368"/>
      <c r="H1017" s="368"/>
      <c r="I1017" s="368">
        <f t="shared" si="49"/>
        <v>0</v>
      </c>
      <c r="J1017" s="368">
        <f t="shared" si="50"/>
        <v>0</v>
      </c>
      <c r="K1017" s="360" t="s">
        <v>2322</v>
      </c>
    </row>
    <row r="1018" spans="1:11" s="360" customFormat="1" ht="20.25" hidden="1" customHeight="1">
      <c r="A1018" s="356" t="s">
        <v>510</v>
      </c>
      <c r="B1018" s="357" t="s">
        <v>2116</v>
      </c>
      <c r="C1018" s="358">
        <f>'3.60 lakhs'!I861</f>
        <v>0</v>
      </c>
      <c r="D1018" s="354" t="s">
        <v>102</v>
      </c>
      <c r="E1018" s="355">
        <f>'3.60 lakhs'!K861</f>
        <v>2995.66</v>
      </c>
      <c r="F1018" s="353">
        <f t="shared" si="52"/>
        <v>0</v>
      </c>
      <c r="G1018" s="368"/>
      <c r="H1018" s="368"/>
      <c r="I1018" s="368">
        <f t="shared" si="49"/>
        <v>0</v>
      </c>
      <c r="J1018" s="368">
        <f t="shared" si="50"/>
        <v>0</v>
      </c>
      <c r="K1018" s="360" t="s">
        <v>2322</v>
      </c>
    </row>
    <row r="1019" spans="1:11" s="360" customFormat="1" ht="20.25" hidden="1" customHeight="1">
      <c r="A1019" s="356" t="s">
        <v>529</v>
      </c>
      <c r="B1019" s="357" t="s">
        <v>710</v>
      </c>
      <c r="C1019" s="358">
        <f>'3.60 lakhs'!I868</f>
        <v>0</v>
      </c>
      <c r="D1019" s="354" t="s">
        <v>102</v>
      </c>
      <c r="E1019" s="355">
        <f>'3.60 lakhs'!K868</f>
        <v>816.76</v>
      </c>
      <c r="F1019" s="353">
        <f t="shared" si="52"/>
        <v>0</v>
      </c>
      <c r="G1019" s="368"/>
      <c r="H1019" s="368"/>
      <c r="I1019" s="368">
        <f t="shared" si="49"/>
        <v>0</v>
      </c>
      <c r="J1019" s="368">
        <f t="shared" si="50"/>
        <v>0</v>
      </c>
      <c r="K1019" s="360" t="s">
        <v>2322</v>
      </c>
    </row>
    <row r="1020" spans="1:11" s="360" customFormat="1" ht="20.25" hidden="1" customHeight="1">
      <c r="A1020" s="356" t="s">
        <v>530</v>
      </c>
      <c r="B1020" s="357" t="s">
        <v>2116</v>
      </c>
      <c r="C1020" s="358">
        <f>'3.60 lakhs'!I875</f>
        <v>0</v>
      </c>
      <c r="D1020" s="354" t="s">
        <v>102</v>
      </c>
      <c r="E1020" s="355">
        <f>'3.60 lakhs'!K875</f>
        <v>822.23</v>
      </c>
      <c r="F1020" s="353">
        <f t="shared" si="52"/>
        <v>0</v>
      </c>
      <c r="G1020" s="368"/>
      <c r="H1020" s="368"/>
      <c r="I1020" s="368">
        <f t="shared" si="49"/>
        <v>0</v>
      </c>
      <c r="J1020" s="368">
        <f t="shared" si="50"/>
        <v>0</v>
      </c>
      <c r="K1020" s="360" t="s">
        <v>2322</v>
      </c>
    </row>
    <row r="1021" spans="1:11" s="360" customFormat="1" ht="20.25" hidden="1" customHeight="1">
      <c r="A1021" s="356" t="s">
        <v>531</v>
      </c>
      <c r="B1021" s="357" t="s">
        <v>511</v>
      </c>
      <c r="C1021" s="358">
        <f>'3.60 lakhs'!I882</f>
        <v>0</v>
      </c>
      <c r="D1021" s="354" t="s">
        <v>102</v>
      </c>
      <c r="E1021" s="355">
        <f>'3.60 lakhs'!K882</f>
        <v>873.89</v>
      </c>
      <c r="F1021" s="353">
        <f t="shared" si="52"/>
        <v>0</v>
      </c>
      <c r="G1021" s="368"/>
      <c r="H1021" s="368"/>
      <c r="I1021" s="368">
        <f t="shared" si="49"/>
        <v>0</v>
      </c>
      <c r="J1021" s="368">
        <f t="shared" si="50"/>
        <v>0</v>
      </c>
      <c r="K1021" s="360" t="s">
        <v>2322</v>
      </c>
    </row>
    <row r="1022" spans="1:11" s="360" customFormat="1" ht="20.25" hidden="1" customHeight="1">
      <c r="A1022" s="356" t="s">
        <v>532</v>
      </c>
      <c r="B1022" s="357" t="s">
        <v>2116</v>
      </c>
      <c r="C1022" s="358">
        <f>'3.60 lakhs'!I888</f>
        <v>0</v>
      </c>
      <c r="D1022" s="354" t="s">
        <v>102</v>
      </c>
      <c r="E1022" s="355">
        <f>'3.60 lakhs'!K888</f>
        <v>536.26</v>
      </c>
      <c r="F1022" s="353">
        <f t="shared" si="52"/>
        <v>0</v>
      </c>
      <c r="G1022" s="368"/>
      <c r="H1022" s="368"/>
      <c r="I1022" s="368">
        <f t="shared" si="49"/>
        <v>0</v>
      </c>
      <c r="J1022" s="368">
        <f t="shared" si="50"/>
        <v>0</v>
      </c>
      <c r="K1022" s="360" t="s">
        <v>2322</v>
      </c>
    </row>
    <row r="1023" spans="1:11" s="360" customFormat="1" ht="20.25" hidden="1" customHeight="1">
      <c r="A1023" s="356" t="s">
        <v>492</v>
      </c>
      <c r="B1023" s="357" t="s">
        <v>1223</v>
      </c>
      <c r="C1023" s="358">
        <f>'3.60 lakhs'!I894</f>
        <v>0</v>
      </c>
      <c r="D1023" s="354" t="s">
        <v>102</v>
      </c>
      <c r="E1023" s="355">
        <f>'3.60 lakhs'!K894</f>
        <v>1100.49</v>
      </c>
      <c r="F1023" s="353">
        <f t="shared" si="52"/>
        <v>0</v>
      </c>
      <c r="G1023" s="368"/>
      <c r="H1023" s="368"/>
      <c r="I1023" s="368">
        <f t="shared" si="49"/>
        <v>0</v>
      </c>
      <c r="J1023" s="368">
        <f t="shared" si="50"/>
        <v>0</v>
      </c>
      <c r="K1023" s="360" t="s">
        <v>2322</v>
      </c>
    </row>
    <row r="1024" spans="1:11" s="360" customFormat="1" ht="20.25" hidden="1" customHeight="1">
      <c r="A1024" s="356" t="s">
        <v>533</v>
      </c>
      <c r="B1024" s="357" t="s">
        <v>2239</v>
      </c>
      <c r="C1024" s="358">
        <f>'3.60 lakhs'!I902</f>
        <v>0</v>
      </c>
      <c r="D1024" s="354" t="s">
        <v>102</v>
      </c>
      <c r="E1024" s="355">
        <f>'3.60 lakhs'!K902</f>
        <v>27.91</v>
      </c>
      <c r="F1024" s="353">
        <f t="shared" si="52"/>
        <v>0</v>
      </c>
      <c r="G1024" s="368"/>
      <c r="H1024" s="368"/>
      <c r="I1024" s="368">
        <f t="shared" si="49"/>
        <v>0</v>
      </c>
      <c r="J1024" s="368">
        <f t="shared" si="50"/>
        <v>0</v>
      </c>
      <c r="K1024" s="360" t="s">
        <v>2322</v>
      </c>
    </row>
    <row r="1025" spans="1:11" s="360" customFormat="1" ht="20.25" hidden="1" customHeight="1">
      <c r="A1025" s="356" t="s">
        <v>531</v>
      </c>
      <c r="B1025" s="357" t="s">
        <v>2118</v>
      </c>
      <c r="C1025" s="358">
        <f>'3.60 lakhs'!I910</f>
        <v>0</v>
      </c>
      <c r="D1025" s="354" t="s">
        <v>102</v>
      </c>
      <c r="E1025" s="355">
        <f>'3.60 lakhs'!K910</f>
        <v>194.34</v>
      </c>
      <c r="F1025" s="353">
        <f t="shared" si="52"/>
        <v>0</v>
      </c>
      <c r="G1025" s="368"/>
      <c r="H1025" s="368"/>
      <c r="I1025" s="368">
        <f t="shared" si="49"/>
        <v>0</v>
      </c>
      <c r="J1025" s="368">
        <f t="shared" si="50"/>
        <v>0</v>
      </c>
      <c r="K1025" s="360" t="s">
        <v>2322</v>
      </c>
    </row>
    <row r="1026" spans="1:11" s="360" customFormat="1" ht="20.25" hidden="1" customHeight="1">
      <c r="A1026" s="356" t="s">
        <v>525</v>
      </c>
      <c r="B1026" s="357" t="s">
        <v>2176</v>
      </c>
      <c r="C1026" s="358">
        <f>'3.60 lakhs'!I918</f>
        <v>0</v>
      </c>
      <c r="D1026" s="354" t="s">
        <v>102</v>
      </c>
      <c r="E1026" s="355">
        <f>'3.60 lakhs'!K918</f>
        <v>169.89</v>
      </c>
      <c r="F1026" s="353">
        <f t="shared" si="52"/>
        <v>0</v>
      </c>
      <c r="G1026" s="368"/>
      <c r="H1026" s="368"/>
      <c r="I1026" s="368">
        <f t="shared" si="49"/>
        <v>0</v>
      </c>
      <c r="J1026" s="368">
        <f t="shared" si="50"/>
        <v>0</v>
      </c>
      <c r="K1026" s="360" t="s">
        <v>2322</v>
      </c>
    </row>
    <row r="1027" spans="1:11" s="360" customFormat="1" ht="20.25" hidden="1" customHeight="1">
      <c r="A1027" s="356" t="s">
        <v>526</v>
      </c>
      <c r="B1027" s="357" t="s">
        <v>2177</v>
      </c>
      <c r="C1027" s="358">
        <f>'3.60 lakhs'!I925</f>
        <v>0</v>
      </c>
      <c r="D1027" s="354" t="s">
        <v>102</v>
      </c>
      <c r="E1027" s="355">
        <f>'3.60 lakhs'!K925</f>
        <v>233.59</v>
      </c>
      <c r="F1027" s="353">
        <f t="shared" si="52"/>
        <v>0</v>
      </c>
      <c r="G1027" s="368"/>
      <c r="H1027" s="368"/>
      <c r="I1027" s="368">
        <f t="shared" si="49"/>
        <v>0</v>
      </c>
      <c r="J1027" s="368">
        <f t="shared" si="50"/>
        <v>0</v>
      </c>
      <c r="K1027" s="360" t="s">
        <v>2322</v>
      </c>
    </row>
    <row r="1028" spans="1:11" s="360" customFormat="1" ht="20.25" hidden="1" customHeight="1">
      <c r="A1028" s="356" t="s">
        <v>525</v>
      </c>
      <c r="B1028" s="357" t="s">
        <v>477</v>
      </c>
      <c r="C1028" s="429">
        <f>'3.60 lakhs'!I931</f>
        <v>0</v>
      </c>
      <c r="D1028" s="221" t="s">
        <v>29</v>
      </c>
      <c r="E1028" s="430">
        <f>'3.60 lakhs'!K931</f>
        <v>91830</v>
      </c>
      <c r="F1028" s="353">
        <f t="shared" si="52"/>
        <v>0</v>
      </c>
      <c r="G1028" s="368"/>
      <c r="H1028" s="368"/>
      <c r="I1028" s="368">
        <f t="shared" si="49"/>
        <v>0</v>
      </c>
      <c r="J1028" s="368">
        <f t="shared" si="50"/>
        <v>0</v>
      </c>
      <c r="K1028" s="360" t="s">
        <v>2322</v>
      </c>
    </row>
    <row r="1029" spans="1:11" s="360" customFormat="1" ht="20.25" hidden="1" customHeight="1">
      <c r="A1029" s="356" t="s">
        <v>527</v>
      </c>
      <c r="B1029" s="357" t="s">
        <v>2152</v>
      </c>
      <c r="C1029" s="358">
        <f>'3.60 lakhs'!I937</f>
        <v>0</v>
      </c>
      <c r="D1029" s="354" t="s">
        <v>115</v>
      </c>
      <c r="E1029" s="355">
        <f>'3.60 lakhs'!K937</f>
        <v>22903.660000000003</v>
      </c>
      <c r="F1029" s="353">
        <f t="shared" si="52"/>
        <v>0</v>
      </c>
      <c r="G1029" s="353"/>
      <c r="H1029" s="353"/>
      <c r="I1029" s="368">
        <f t="shared" si="49"/>
        <v>0</v>
      </c>
      <c r="J1029" s="368">
        <f t="shared" si="50"/>
        <v>0</v>
      </c>
      <c r="K1029" s="360" t="s">
        <v>2322</v>
      </c>
    </row>
    <row r="1030" spans="1:11" s="360" customFormat="1" ht="20.25" hidden="1" customHeight="1">
      <c r="A1030" s="356" t="s">
        <v>1581</v>
      </c>
      <c r="B1030" s="357" t="s">
        <v>2152</v>
      </c>
      <c r="C1030" s="358">
        <f>'3.60 lakhs'!I947</f>
        <v>0</v>
      </c>
      <c r="D1030" s="354" t="s">
        <v>115</v>
      </c>
      <c r="E1030" s="355">
        <f>'3.60 lakhs'!K947</f>
        <v>11442.58</v>
      </c>
      <c r="F1030" s="353">
        <f t="shared" si="52"/>
        <v>0</v>
      </c>
      <c r="G1030" s="353"/>
      <c r="H1030" s="353"/>
      <c r="I1030" s="368">
        <f t="shared" ref="I1030:I1093" si="53">C1030-G1030</f>
        <v>0</v>
      </c>
      <c r="J1030" s="368">
        <f t="shared" ref="J1030:J1093" si="54">F1030-H1030</f>
        <v>0</v>
      </c>
      <c r="K1030" s="360" t="s">
        <v>2322</v>
      </c>
    </row>
    <row r="1031" spans="1:11" s="360" customFormat="1" ht="20.25" hidden="1" customHeight="1">
      <c r="A1031" s="356" t="s">
        <v>1516</v>
      </c>
      <c r="B1031" s="357" t="s">
        <v>2244</v>
      </c>
      <c r="C1031" s="358">
        <f>'3.60 lakhs'!I952</f>
        <v>0</v>
      </c>
      <c r="D1031" s="354" t="s">
        <v>115</v>
      </c>
      <c r="E1031" s="355">
        <f>'3.60 lakhs'!K952</f>
        <v>15875.19</v>
      </c>
      <c r="F1031" s="353">
        <f t="shared" si="52"/>
        <v>0</v>
      </c>
      <c r="G1031" s="353"/>
      <c r="H1031" s="353"/>
      <c r="I1031" s="368">
        <f t="shared" si="53"/>
        <v>0</v>
      </c>
      <c r="J1031" s="368">
        <f t="shared" si="54"/>
        <v>0</v>
      </c>
      <c r="K1031" s="360" t="s">
        <v>2322</v>
      </c>
    </row>
    <row r="1032" spans="1:11" s="360" customFormat="1" ht="20.25" hidden="1" customHeight="1">
      <c r="A1032" s="356" t="s">
        <v>1516</v>
      </c>
      <c r="B1032" s="357" t="s">
        <v>2245</v>
      </c>
      <c r="C1032" s="358">
        <f>'3.60 lakhs'!I957</f>
        <v>0</v>
      </c>
      <c r="D1032" s="354" t="s">
        <v>115</v>
      </c>
      <c r="E1032" s="355">
        <f>'3.60 lakhs'!K957</f>
        <v>15037.220000000001</v>
      </c>
      <c r="F1032" s="353">
        <f t="shared" si="52"/>
        <v>0</v>
      </c>
      <c r="G1032" s="353"/>
      <c r="H1032" s="353"/>
      <c r="I1032" s="368">
        <f t="shared" si="53"/>
        <v>0</v>
      </c>
      <c r="J1032" s="368">
        <f t="shared" si="54"/>
        <v>0</v>
      </c>
      <c r="K1032" s="360" t="s">
        <v>2322</v>
      </c>
    </row>
    <row r="1033" spans="1:11" s="360" customFormat="1" ht="20.25" hidden="1" customHeight="1">
      <c r="A1033" s="356" t="s">
        <v>527</v>
      </c>
      <c r="B1033" s="357" t="s">
        <v>2153</v>
      </c>
      <c r="C1033" s="358">
        <f>'3.60 lakhs'!I962</f>
        <v>0</v>
      </c>
      <c r="D1033" s="354" t="s">
        <v>115</v>
      </c>
      <c r="E1033" s="355">
        <f>'3.60 lakhs'!K962</f>
        <v>10330.61</v>
      </c>
      <c r="F1033" s="353">
        <f t="shared" si="52"/>
        <v>0</v>
      </c>
      <c r="G1033" s="353"/>
      <c r="H1033" s="353"/>
      <c r="I1033" s="368">
        <f t="shared" si="53"/>
        <v>0</v>
      </c>
      <c r="J1033" s="368">
        <f t="shared" si="54"/>
        <v>0</v>
      </c>
      <c r="K1033" s="360" t="s">
        <v>2322</v>
      </c>
    </row>
    <row r="1034" spans="1:11" s="360" customFormat="1" ht="20.25" hidden="1" customHeight="1">
      <c r="A1034" s="356" t="s">
        <v>484</v>
      </c>
      <c r="B1034" s="357" t="s">
        <v>2246</v>
      </c>
      <c r="C1034" s="358">
        <f>'3.60 lakhs'!I967</f>
        <v>0</v>
      </c>
      <c r="D1034" s="354" t="s">
        <v>115</v>
      </c>
      <c r="E1034" s="355">
        <f>'3.60 lakhs'!K967</f>
        <v>7015.49</v>
      </c>
      <c r="F1034" s="353">
        <f t="shared" si="52"/>
        <v>0</v>
      </c>
      <c r="G1034" s="353"/>
      <c r="H1034" s="353"/>
      <c r="I1034" s="368">
        <f t="shared" si="53"/>
        <v>0</v>
      </c>
      <c r="J1034" s="368">
        <f t="shared" si="54"/>
        <v>0</v>
      </c>
      <c r="K1034" s="360" t="s">
        <v>2322</v>
      </c>
    </row>
    <row r="1035" spans="1:11" s="360" customFormat="1" ht="20.25" hidden="1" customHeight="1">
      <c r="A1035" s="356" t="s">
        <v>2702</v>
      </c>
      <c r="B1035" s="357" t="s">
        <v>2152</v>
      </c>
      <c r="C1035" s="358">
        <f>'3.60 lakhs'!I942</f>
        <v>0</v>
      </c>
      <c r="D1035" s="354" t="s">
        <v>115</v>
      </c>
      <c r="E1035" s="355">
        <f>'3.60 lakhs'!K942</f>
        <v>7927.96</v>
      </c>
      <c r="F1035" s="353">
        <f t="shared" si="52"/>
        <v>0</v>
      </c>
      <c r="G1035" s="368"/>
      <c r="H1035" s="368"/>
      <c r="I1035" s="368">
        <f t="shared" si="53"/>
        <v>0</v>
      </c>
      <c r="J1035" s="368">
        <f t="shared" si="54"/>
        <v>0</v>
      </c>
      <c r="K1035" s="360" t="s">
        <v>2322</v>
      </c>
    </row>
    <row r="1036" spans="1:11" s="360" customFormat="1" ht="20.25" hidden="1" customHeight="1">
      <c r="A1036" s="356" t="s">
        <v>642</v>
      </c>
      <c r="B1036" s="357" t="s">
        <v>2247</v>
      </c>
      <c r="C1036" s="358">
        <f>'3.60 lakhs'!I974</f>
        <v>0</v>
      </c>
      <c r="D1036" s="354" t="s">
        <v>115</v>
      </c>
      <c r="E1036" s="355">
        <f>'3.60 lakhs'!K974</f>
        <v>17517.36</v>
      </c>
      <c r="F1036" s="353">
        <f t="shared" si="52"/>
        <v>0</v>
      </c>
      <c r="G1036" s="368"/>
      <c r="H1036" s="368"/>
      <c r="I1036" s="368">
        <f t="shared" si="53"/>
        <v>0</v>
      </c>
      <c r="J1036" s="368">
        <f t="shared" si="54"/>
        <v>0</v>
      </c>
      <c r="K1036" s="360" t="s">
        <v>2322</v>
      </c>
    </row>
    <row r="1037" spans="1:11" s="360" customFormat="1" ht="20.25" hidden="1" customHeight="1">
      <c r="A1037" s="356" t="s">
        <v>1158</v>
      </c>
      <c r="B1037" s="357" t="s">
        <v>2217</v>
      </c>
      <c r="C1037" s="358">
        <f>'3.60 lakhs'!I979</f>
        <v>0</v>
      </c>
      <c r="D1037" s="354" t="s">
        <v>115</v>
      </c>
      <c r="E1037" s="355">
        <f>'3.60 lakhs'!K979</f>
        <v>7005.16</v>
      </c>
      <c r="F1037" s="353">
        <f t="shared" si="52"/>
        <v>0</v>
      </c>
      <c r="G1037" s="368"/>
      <c r="H1037" s="368"/>
      <c r="I1037" s="368">
        <f t="shared" si="53"/>
        <v>0</v>
      </c>
      <c r="J1037" s="368">
        <f t="shared" si="54"/>
        <v>0</v>
      </c>
      <c r="K1037" s="360" t="s">
        <v>2322</v>
      </c>
    </row>
    <row r="1038" spans="1:11" s="360" customFormat="1" ht="21.75" hidden="1" customHeight="1">
      <c r="A1038" s="356" t="s">
        <v>1259</v>
      </c>
      <c r="B1038" s="357" t="s">
        <v>2061</v>
      </c>
      <c r="C1038" s="358">
        <f>'3.60 lakhs'!I984</f>
        <v>0</v>
      </c>
      <c r="D1038" s="354" t="s">
        <v>102</v>
      </c>
      <c r="E1038" s="355">
        <f>'3.60 lakhs'!K984</f>
        <v>4083.08</v>
      </c>
      <c r="F1038" s="353">
        <f t="shared" si="52"/>
        <v>0</v>
      </c>
      <c r="G1038" s="368"/>
      <c r="H1038" s="368"/>
      <c r="I1038" s="368">
        <f t="shared" si="53"/>
        <v>0</v>
      </c>
      <c r="J1038" s="368">
        <f t="shared" si="54"/>
        <v>0</v>
      </c>
      <c r="K1038" s="360" t="s">
        <v>2322</v>
      </c>
    </row>
    <row r="1039" spans="1:11" s="360" customFormat="1" ht="20.25" hidden="1" customHeight="1">
      <c r="A1039" s="356" t="s">
        <v>513</v>
      </c>
      <c r="B1039" s="357" t="s">
        <v>2062</v>
      </c>
      <c r="C1039" s="358">
        <f>'3.60 lakhs'!I990</f>
        <v>0</v>
      </c>
      <c r="D1039" s="354" t="s">
        <v>102</v>
      </c>
      <c r="E1039" s="355">
        <f>'3.60 lakhs'!K990</f>
        <v>6132.48</v>
      </c>
      <c r="F1039" s="353">
        <f t="shared" si="52"/>
        <v>0</v>
      </c>
      <c r="G1039" s="368"/>
      <c r="H1039" s="368"/>
      <c r="I1039" s="368">
        <f t="shared" si="53"/>
        <v>0</v>
      </c>
      <c r="J1039" s="368">
        <f t="shared" si="54"/>
        <v>0</v>
      </c>
      <c r="K1039" s="360" t="s">
        <v>2322</v>
      </c>
    </row>
    <row r="1040" spans="1:11" s="360" customFormat="1" ht="24.75" hidden="1" customHeight="1">
      <c r="A1040" s="356" t="s">
        <v>1583</v>
      </c>
      <c r="B1040" s="357" t="s">
        <v>2119</v>
      </c>
      <c r="C1040" s="358">
        <f>'3.60 lakhs'!I1001</f>
        <v>0</v>
      </c>
      <c r="D1040" s="354" t="s">
        <v>102</v>
      </c>
      <c r="E1040" s="355">
        <f>'3.60 lakhs'!K1001</f>
        <v>8622</v>
      </c>
      <c r="F1040" s="353">
        <f t="shared" si="52"/>
        <v>0</v>
      </c>
      <c r="G1040" s="368"/>
      <c r="H1040" s="368"/>
      <c r="I1040" s="368">
        <f t="shared" si="53"/>
        <v>0</v>
      </c>
      <c r="J1040" s="368">
        <f t="shared" si="54"/>
        <v>0</v>
      </c>
      <c r="K1040" s="360" t="s">
        <v>2322</v>
      </c>
    </row>
    <row r="1041" spans="1:11" s="360" customFormat="1" ht="24.75" hidden="1" customHeight="1">
      <c r="A1041" s="356" t="s">
        <v>530</v>
      </c>
      <c r="B1041" s="357" t="s">
        <v>2216</v>
      </c>
      <c r="C1041" s="358">
        <f>'3.60 lakhs'!I1005</f>
        <v>0</v>
      </c>
      <c r="D1041" s="354" t="s">
        <v>102</v>
      </c>
      <c r="E1041" s="355">
        <f>'3.60 lakhs'!K1005</f>
        <v>6460</v>
      </c>
      <c r="F1041" s="353">
        <f t="shared" ref="F1041:F1072" si="55">ROUND(C1041*E1041,0)</f>
        <v>0</v>
      </c>
      <c r="G1041" s="368"/>
      <c r="H1041" s="368"/>
      <c r="I1041" s="368">
        <f t="shared" si="53"/>
        <v>0</v>
      </c>
      <c r="J1041" s="368">
        <f t="shared" si="54"/>
        <v>0</v>
      </c>
      <c r="K1041" s="360" t="s">
        <v>2322</v>
      </c>
    </row>
    <row r="1042" spans="1:11" s="360" customFormat="1" ht="24.75" hidden="1" customHeight="1">
      <c r="A1042" s="356" t="s">
        <v>642</v>
      </c>
      <c r="B1042" s="357" t="s">
        <v>2178</v>
      </c>
      <c r="C1042" s="358">
        <f>'3.60 lakhs'!I1009</f>
        <v>0</v>
      </c>
      <c r="D1042" s="354" t="s">
        <v>102</v>
      </c>
      <c r="E1042" s="355">
        <f>'3.60 lakhs'!K1009</f>
        <v>6238</v>
      </c>
      <c r="F1042" s="353">
        <f t="shared" si="55"/>
        <v>0</v>
      </c>
      <c r="G1042" s="368"/>
      <c r="H1042" s="368"/>
      <c r="I1042" s="368">
        <f t="shared" si="53"/>
        <v>0</v>
      </c>
      <c r="J1042" s="368">
        <f t="shared" si="54"/>
        <v>0</v>
      </c>
      <c r="K1042" s="360" t="s">
        <v>2322</v>
      </c>
    </row>
    <row r="1043" spans="1:11" s="360" customFormat="1" ht="24.75" hidden="1" customHeight="1">
      <c r="A1043" s="356"/>
      <c r="B1043" s="357" t="s">
        <v>2294</v>
      </c>
      <c r="C1043" s="358">
        <f>'3.60 lakhs'!I1014</f>
        <v>0</v>
      </c>
      <c r="D1043" s="354" t="s">
        <v>102</v>
      </c>
      <c r="E1043" s="355">
        <f>'3.60 lakhs'!K1014</f>
        <v>4062</v>
      </c>
      <c r="F1043" s="353">
        <f t="shared" si="55"/>
        <v>0</v>
      </c>
      <c r="G1043" s="368"/>
      <c r="H1043" s="368"/>
      <c r="I1043" s="368">
        <f t="shared" si="53"/>
        <v>0</v>
      </c>
      <c r="J1043" s="368">
        <f t="shared" si="54"/>
        <v>0</v>
      </c>
      <c r="K1043" s="360" t="s">
        <v>2322</v>
      </c>
    </row>
    <row r="1044" spans="1:11" s="360" customFormat="1" ht="20.25" hidden="1" customHeight="1">
      <c r="A1044" s="356" t="s">
        <v>1147</v>
      </c>
      <c r="B1044" s="357" t="s">
        <v>2249</v>
      </c>
      <c r="C1044" s="358">
        <f>'3.60 lakhs'!I1019</f>
        <v>0</v>
      </c>
      <c r="D1044" s="354" t="s">
        <v>115</v>
      </c>
      <c r="E1044" s="355">
        <f>'3.60 lakhs'!K1019</f>
        <v>577.28</v>
      </c>
      <c r="F1044" s="353">
        <f t="shared" si="55"/>
        <v>0</v>
      </c>
      <c r="G1044" s="368"/>
      <c r="H1044" s="368"/>
      <c r="I1044" s="368">
        <f t="shared" si="53"/>
        <v>0</v>
      </c>
      <c r="J1044" s="368">
        <f t="shared" si="54"/>
        <v>0</v>
      </c>
      <c r="K1044" s="360" t="s">
        <v>2322</v>
      </c>
    </row>
    <row r="1045" spans="1:11" s="360" customFormat="1" ht="20.25" hidden="1" customHeight="1">
      <c r="A1045" s="356" t="s">
        <v>643</v>
      </c>
      <c r="B1045" s="357" t="s">
        <v>2179</v>
      </c>
      <c r="C1045" s="358">
        <f>'3.60 lakhs'!I1024</f>
        <v>0</v>
      </c>
      <c r="D1045" s="354" t="s">
        <v>102</v>
      </c>
      <c r="E1045" s="355">
        <f>'3.60 lakhs'!K1024</f>
        <v>604.07999999999993</v>
      </c>
      <c r="F1045" s="353">
        <f t="shared" si="55"/>
        <v>0</v>
      </c>
      <c r="G1045" s="368"/>
      <c r="H1045" s="368"/>
      <c r="I1045" s="368">
        <f t="shared" si="53"/>
        <v>0</v>
      </c>
      <c r="J1045" s="368">
        <f t="shared" si="54"/>
        <v>0</v>
      </c>
      <c r="K1045" s="360" t="s">
        <v>2322</v>
      </c>
    </row>
    <row r="1046" spans="1:11" s="360" customFormat="1" ht="20.25" hidden="1" customHeight="1">
      <c r="A1046" s="356" t="s">
        <v>525</v>
      </c>
      <c r="B1046" s="357" t="s">
        <v>2120</v>
      </c>
      <c r="C1046" s="358">
        <f>'3.60 lakhs'!I1029</f>
        <v>0</v>
      </c>
      <c r="D1046" s="354" t="s">
        <v>872</v>
      </c>
      <c r="E1046" s="355">
        <f>'3.60 lakhs'!K1029</f>
        <v>110.38</v>
      </c>
      <c r="F1046" s="353">
        <f t="shared" si="55"/>
        <v>0</v>
      </c>
      <c r="G1046" s="353"/>
      <c r="H1046" s="353"/>
      <c r="I1046" s="368">
        <f t="shared" si="53"/>
        <v>0</v>
      </c>
      <c r="J1046" s="368">
        <f t="shared" si="54"/>
        <v>0</v>
      </c>
      <c r="K1046" s="360" t="s">
        <v>2322</v>
      </c>
    </row>
    <row r="1047" spans="1:11" s="360" customFormat="1" ht="20.25" hidden="1" customHeight="1">
      <c r="A1047" s="356" t="s">
        <v>531</v>
      </c>
      <c r="B1047" s="357" t="s">
        <v>2120</v>
      </c>
      <c r="C1047" s="358">
        <f>'3.60 lakhs'!I1036</f>
        <v>0</v>
      </c>
      <c r="D1047" s="354" t="s">
        <v>102</v>
      </c>
      <c r="E1047" s="355">
        <f>'3.60 lakhs'!K1036</f>
        <v>3130</v>
      </c>
      <c r="F1047" s="353">
        <f t="shared" si="55"/>
        <v>0</v>
      </c>
      <c r="G1047" s="368"/>
      <c r="H1047" s="368"/>
      <c r="I1047" s="368">
        <f t="shared" si="53"/>
        <v>0</v>
      </c>
      <c r="J1047" s="368">
        <f t="shared" si="54"/>
        <v>0</v>
      </c>
      <c r="K1047" s="360" t="s">
        <v>2322</v>
      </c>
    </row>
    <row r="1048" spans="1:11" s="360" customFormat="1" ht="20.25" hidden="1" customHeight="1">
      <c r="A1048" s="356" t="s">
        <v>518</v>
      </c>
      <c r="B1048" s="357" t="s">
        <v>2248</v>
      </c>
      <c r="C1048" s="358">
        <f>'3.60 lakhs'!I1041</f>
        <v>0</v>
      </c>
      <c r="D1048" s="354"/>
      <c r="E1048" s="355">
        <f>'3.60 lakhs'!K1041</f>
        <v>126.9</v>
      </c>
      <c r="F1048" s="353">
        <f t="shared" si="55"/>
        <v>0</v>
      </c>
      <c r="G1048" s="368"/>
      <c r="H1048" s="368"/>
      <c r="I1048" s="368">
        <f t="shared" si="53"/>
        <v>0</v>
      </c>
      <c r="J1048" s="368">
        <f t="shared" si="54"/>
        <v>0</v>
      </c>
      <c r="K1048" s="360" t="s">
        <v>2322</v>
      </c>
    </row>
    <row r="1049" spans="1:11" s="360" customFormat="1" ht="20.25" hidden="1" customHeight="1">
      <c r="A1049" s="356" t="s">
        <v>533</v>
      </c>
      <c r="B1049" s="357" t="s">
        <v>2198</v>
      </c>
      <c r="C1049" s="358">
        <f>'3.60 lakhs'!I1051</f>
        <v>0</v>
      </c>
      <c r="D1049" s="354" t="s">
        <v>102</v>
      </c>
      <c r="E1049" s="355">
        <f>'3.60 lakhs'!K1051</f>
        <v>3345.94</v>
      </c>
      <c r="F1049" s="353">
        <f t="shared" si="55"/>
        <v>0</v>
      </c>
      <c r="G1049" s="368"/>
      <c r="H1049" s="368"/>
      <c r="I1049" s="368">
        <f t="shared" si="53"/>
        <v>0</v>
      </c>
      <c r="J1049" s="368">
        <f t="shared" si="54"/>
        <v>0</v>
      </c>
      <c r="K1049" s="360" t="s">
        <v>2322</v>
      </c>
    </row>
    <row r="1050" spans="1:11" s="360" customFormat="1" ht="20.25" hidden="1" customHeight="1">
      <c r="A1050" s="356" t="s">
        <v>527</v>
      </c>
      <c r="B1050" s="357" t="s">
        <v>2298</v>
      </c>
      <c r="C1050" s="358">
        <f>'3.60 lakhs'!I1059</f>
        <v>0</v>
      </c>
      <c r="D1050" s="354" t="s">
        <v>102</v>
      </c>
      <c r="E1050" s="355">
        <f>'3.60 lakhs'!K1059</f>
        <v>1514.34</v>
      </c>
      <c r="F1050" s="353">
        <f t="shared" si="55"/>
        <v>0</v>
      </c>
      <c r="G1050" s="368"/>
      <c r="H1050" s="368"/>
      <c r="I1050" s="368">
        <f t="shared" si="53"/>
        <v>0</v>
      </c>
      <c r="J1050" s="368">
        <f t="shared" si="54"/>
        <v>0</v>
      </c>
      <c r="K1050" s="360" t="s">
        <v>2322</v>
      </c>
    </row>
    <row r="1051" spans="1:11" s="360" customFormat="1" ht="20.25" hidden="1" customHeight="1">
      <c r="A1051" s="356" t="s">
        <v>527</v>
      </c>
      <c r="B1051" s="357" t="s">
        <v>1570</v>
      </c>
      <c r="C1051" s="358">
        <f>'3.60 lakhs'!I1064</f>
        <v>0</v>
      </c>
      <c r="D1051" s="354" t="s">
        <v>872</v>
      </c>
      <c r="E1051" s="355">
        <f>'3.60 lakhs'!K1064</f>
        <v>568.35</v>
      </c>
      <c r="F1051" s="353">
        <f t="shared" si="55"/>
        <v>0</v>
      </c>
      <c r="G1051" s="368"/>
      <c r="H1051" s="368"/>
      <c r="I1051" s="368">
        <f t="shared" si="53"/>
        <v>0</v>
      </c>
      <c r="J1051" s="368">
        <f t="shared" si="54"/>
        <v>0</v>
      </c>
      <c r="K1051" s="360" t="s">
        <v>2322</v>
      </c>
    </row>
    <row r="1052" spans="1:11" s="360" customFormat="1" ht="20.25" hidden="1" customHeight="1">
      <c r="A1052" s="356" t="s">
        <v>532</v>
      </c>
      <c r="B1052" s="357" t="s">
        <v>2121</v>
      </c>
      <c r="C1052" s="429">
        <f>'3.60 lakhs'!I1072</f>
        <v>0</v>
      </c>
      <c r="D1052" s="221" t="s">
        <v>277</v>
      </c>
      <c r="E1052" s="430">
        <f>'3.60 lakhs'!K1072</f>
        <v>453</v>
      </c>
      <c r="F1052" s="353">
        <f t="shared" si="55"/>
        <v>0</v>
      </c>
      <c r="G1052" s="368"/>
      <c r="H1052" s="368"/>
      <c r="I1052" s="368">
        <f t="shared" si="53"/>
        <v>0</v>
      </c>
      <c r="J1052" s="368">
        <f t="shared" si="54"/>
        <v>0</v>
      </c>
      <c r="K1052" s="360" t="s">
        <v>2322</v>
      </c>
    </row>
    <row r="1053" spans="1:11" s="360" customFormat="1" ht="20.25" hidden="1" customHeight="1">
      <c r="A1053" s="356" t="s">
        <v>534</v>
      </c>
      <c r="B1053" s="357" t="s">
        <v>3214</v>
      </c>
      <c r="C1053" s="358">
        <f>'3.60 lakhs'!I1078</f>
        <v>0</v>
      </c>
      <c r="D1053" s="354" t="s">
        <v>277</v>
      </c>
      <c r="E1053" s="355">
        <f>'3.60 lakhs'!K1078</f>
        <v>214</v>
      </c>
      <c r="F1053" s="353">
        <f t="shared" si="55"/>
        <v>0</v>
      </c>
      <c r="G1053" s="368"/>
      <c r="H1053" s="368"/>
      <c r="I1053" s="368">
        <f t="shared" si="53"/>
        <v>0</v>
      </c>
      <c r="J1053" s="368">
        <f t="shared" si="54"/>
        <v>0</v>
      </c>
      <c r="K1053" s="360" t="s">
        <v>2322</v>
      </c>
    </row>
    <row r="1054" spans="1:11" s="360" customFormat="1" ht="20.25" hidden="1" customHeight="1">
      <c r="A1054" s="356" t="s">
        <v>642</v>
      </c>
      <c r="B1054" s="357" t="s">
        <v>2180</v>
      </c>
      <c r="C1054" s="358">
        <f>'3.60 lakhs'!I1083</f>
        <v>0</v>
      </c>
      <c r="D1054" s="354" t="s">
        <v>277</v>
      </c>
      <c r="E1054" s="355">
        <f>'3.60 lakhs'!K1083</f>
        <v>136</v>
      </c>
      <c r="F1054" s="353">
        <f t="shared" si="55"/>
        <v>0</v>
      </c>
      <c r="G1054" s="368"/>
      <c r="H1054" s="368"/>
      <c r="I1054" s="368">
        <f t="shared" si="53"/>
        <v>0</v>
      </c>
      <c r="J1054" s="368">
        <f t="shared" si="54"/>
        <v>0</v>
      </c>
      <c r="K1054" s="360" t="s">
        <v>2322</v>
      </c>
    </row>
    <row r="1055" spans="1:11" s="360" customFormat="1" ht="20.25" hidden="1" customHeight="1">
      <c r="A1055" s="356" t="s">
        <v>1584</v>
      </c>
      <c r="B1055" s="357" t="s">
        <v>2181</v>
      </c>
      <c r="C1055" s="358">
        <f>'3.60 lakhs'!I1088</f>
        <v>0</v>
      </c>
      <c r="D1055" s="354" t="s">
        <v>277</v>
      </c>
      <c r="E1055" s="355">
        <f>'3.60 lakhs'!K1088</f>
        <v>94</v>
      </c>
      <c r="F1055" s="353">
        <f t="shared" si="55"/>
        <v>0</v>
      </c>
      <c r="G1055" s="368"/>
      <c r="H1055" s="368"/>
      <c r="I1055" s="368">
        <f t="shared" si="53"/>
        <v>0</v>
      </c>
      <c r="J1055" s="368">
        <f t="shared" si="54"/>
        <v>0</v>
      </c>
      <c r="K1055" s="360" t="s">
        <v>2322</v>
      </c>
    </row>
    <row r="1056" spans="1:11" s="360" customFormat="1" ht="20.25" hidden="1" customHeight="1">
      <c r="A1056" s="356" t="s">
        <v>1153</v>
      </c>
      <c r="B1056" s="357" t="s">
        <v>1256</v>
      </c>
      <c r="C1056" s="358">
        <f>'3.60 lakhs'!I1098</f>
        <v>0</v>
      </c>
      <c r="D1056" s="354" t="s">
        <v>277</v>
      </c>
      <c r="E1056" s="355">
        <f>'3.60 lakhs'!K1098</f>
        <v>35</v>
      </c>
      <c r="F1056" s="353">
        <f t="shared" si="55"/>
        <v>0</v>
      </c>
      <c r="G1056" s="368"/>
      <c r="H1056" s="368"/>
      <c r="I1056" s="368">
        <f t="shared" si="53"/>
        <v>0</v>
      </c>
      <c r="J1056" s="368">
        <f t="shared" si="54"/>
        <v>0</v>
      </c>
      <c r="K1056" s="360" t="s">
        <v>2322</v>
      </c>
    </row>
    <row r="1057" spans="1:11" s="360" customFormat="1" ht="20.25" hidden="1" customHeight="1">
      <c r="A1057" s="356" t="s">
        <v>643</v>
      </c>
      <c r="B1057" s="357" t="s">
        <v>545</v>
      </c>
      <c r="C1057" s="358">
        <f>'3.60 lakhs'!I1104</f>
        <v>0</v>
      </c>
      <c r="D1057" s="354" t="s">
        <v>277</v>
      </c>
      <c r="E1057" s="355">
        <f>'3.60 lakhs'!K1104</f>
        <v>33</v>
      </c>
      <c r="F1057" s="353">
        <f t="shared" si="55"/>
        <v>0</v>
      </c>
      <c r="G1057" s="368"/>
      <c r="H1057" s="368"/>
      <c r="I1057" s="368">
        <f t="shared" si="53"/>
        <v>0</v>
      </c>
      <c r="J1057" s="368">
        <f t="shared" si="54"/>
        <v>0</v>
      </c>
      <c r="K1057" s="360" t="s">
        <v>2322</v>
      </c>
    </row>
    <row r="1058" spans="1:11" s="360" customFormat="1" ht="20.25" hidden="1" customHeight="1">
      <c r="A1058" s="356" t="s">
        <v>517</v>
      </c>
      <c r="B1058" s="357" t="s">
        <v>546</v>
      </c>
      <c r="C1058" s="358">
        <f>'3.60 lakhs'!I1109</f>
        <v>0</v>
      </c>
      <c r="D1058" s="354" t="s">
        <v>115</v>
      </c>
      <c r="E1058" s="355">
        <f>'3.60 lakhs'!K1109</f>
        <v>387</v>
      </c>
      <c r="F1058" s="353">
        <f t="shared" si="55"/>
        <v>0</v>
      </c>
      <c r="G1058" s="368"/>
      <c r="H1058" s="368"/>
      <c r="I1058" s="368">
        <f t="shared" si="53"/>
        <v>0</v>
      </c>
      <c r="J1058" s="368">
        <f t="shared" si="54"/>
        <v>0</v>
      </c>
      <c r="K1058" s="360" t="s">
        <v>2322</v>
      </c>
    </row>
    <row r="1059" spans="1:11" s="360" customFormat="1" ht="24.75" hidden="1" customHeight="1">
      <c r="A1059" s="356" t="s">
        <v>529</v>
      </c>
      <c r="B1059" s="357" t="s">
        <v>713</v>
      </c>
      <c r="C1059" s="358">
        <f>'3.60 lakhs'!I1114</f>
        <v>0</v>
      </c>
      <c r="D1059" s="354" t="s">
        <v>115</v>
      </c>
      <c r="E1059" s="355">
        <f>'3.60 lakhs'!K1114</f>
        <v>1644</v>
      </c>
      <c r="F1059" s="353">
        <f t="shared" si="55"/>
        <v>0</v>
      </c>
      <c r="G1059" s="368"/>
      <c r="H1059" s="368"/>
      <c r="I1059" s="368">
        <f t="shared" si="53"/>
        <v>0</v>
      </c>
      <c r="J1059" s="368">
        <f t="shared" si="54"/>
        <v>0</v>
      </c>
      <c r="K1059" s="360" t="s">
        <v>2322</v>
      </c>
    </row>
    <row r="1060" spans="1:11" s="360" customFormat="1" ht="20.25" hidden="1" customHeight="1">
      <c r="A1060" s="356" t="s">
        <v>644</v>
      </c>
      <c r="B1060" s="357" t="s">
        <v>2182</v>
      </c>
      <c r="C1060" s="358">
        <f>'3.60 lakhs'!I1119</f>
        <v>0</v>
      </c>
      <c r="D1060" s="354" t="s">
        <v>277</v>
      </c>
      <c r="E1060" s="355">
        <f>'3.60 lakhs'!K1119</f>
        <v>149</v>
      </c>
      <c r="F1060" s="353">
        <f t="shared" si="55"/>
        <v>0</v>
      </c>
      <c r="G1060" s="368"/>
      <c r="H1060" s="368"/>
      <c r="I1060" s="368">
        <f t="shared" si="53"/>
        <v>0</v>
      </c>
      <c r="J1060" s="368">
        <f t="shared" si="54"/>
        <v>0</v>
      </c>
      <c r="K1060" s="360" t="s">
        <v>2322</v>
      </c>
    </row>
    <row r="1061" spans="1:11" s="360" customFormat="1" ht="20.25" hidden="1" customHeight="1">
      <c r="A1061" s="356" t="s">
        <v>642</v>
      </c>
      <c r="B1061" s="357" t="s">
        <v>548</v>
      </c>
      <c r="C1061" s="358">
        <f>'3.60 lakhs'!I1124</f>
        <v>0</v>
      </c>
      <c r="D1061" s="354" t="s">
        <v>277</v>
      </c>
      <c r="E1061" s="355">
        <f>'3.60 lakhs'!K1124</f>
        <v>141.66666666666666</v>
      </c>
      <c r="F1061" s="353">
        <f t="shared" si="55"/>
        <v>0</v>
      </c>
      <c r="G1061" s="368"/>
      <c r="H1061" s="368"/>
      <c r="I1061" s="368">
        <f t="shared" si="53"/>
        <v>0</v>
      </c>
      <c r="J1061" s="368">
        <f t="shared" si="54"/>
        <v>0</v>
      </c>
      <c r="K1061" s="360" t="s">
        <v>2322</v>
      </c>
    </row>
    <row r="1062" spans="1:11" s="360" customFormat="1" ht="20.25" hidden="1" customHeight="1">
      <c r="A1062" s="356" t="s">
        <v>1577</v>
      </c>
      <c r="B1062" s="357" t="s">
        <v>2183</v>
      </c>
      <c r="C1062" s="358">
        <f>'3.60 lakhs'!I1129</f>
        <v>0</v>
      </c>
      <c r="D1062" s="354" t="s">
        <v>277</v>
      </c>
      <c r="E1062" s="355">
        <f>'3.60 lakhs'!K1129</f>
        <v>89</v>
      </c>
      <c r="F1062" s="353">
        <f t="shared" si="55"/>
        <v>0</v>
      </c>
      <c r="G1062" s="368"/>
      <c r="H1062" s="368"/>
      <c r="I1062" s="368">
        <f t="shared" si="53"/>
        <v>0</v>
      </c>
      <c r="J1062" s="368">
        <f t="shared" si="54"/>
        <v>0</v>
      </c>
      <c r="K1062" s="360" t="s">
        <v>2322</v>
      </c>
    </row>
    <row r="1063" spans="1:11" s="360" customFormat="1" ht="20.25" hidden="1" customHeight="1">
      <c r="A1063" s="356" t="s">
        <v>1584</v>
      </c>
      <c r="B1063" s="357" t="s">
        <v>550</v>
      </c>
      <c r="C1063" s="358">
        <f>'3.60 lakhs'!I1135</f>
        <v>0</v>
      </c>
      <c r="D1063" s="354" t="s">
        <v>277</v>
      </c>
      <c r="E1063" s="355">
        <f>'3.60 lakhs'!K1135</f>
        <v>79</v>
      </c>
      <c r="F1063" s="353">
        <f t="shared" si="55"/>
        <v>0</v>
      </c>
      <c r="G1063" s="368"/>
      <c r="H1063" s="368"/>
      <c r="I1063" s="368">
        <f t="shared" si="53"/>
        <v>0</v>
      </c>
      <c r="J1063" s="368">
        <f t="shared" si="54"/>
        <v>0</v>
      </c>
      <c r="K1063" s="360" t="s">
        <v>2322</v>
      </c>
    </row>
    <row r="1064" spans="1:11" s="360" customFormat="1" ht="20.25" hidden="1" customHeight="1">
      <c r="A1064" s="356" t="s">
        <v>1585</v>
      </c>
      <c r="B1064" s="357" t="s">
        <v>2215</v>
      </c>
      <c r="C1064" s="358">
        <f>'3.60 lakhs'!I1140</f>
        <v>0</v>
      </c>
      <c r="D1064" s="354" t="s">
        <v>115</v>
      </c>
      <c r="E1064" s="355">
        <f>'3.60 lakhs'!K1140</f>
        <v>5297</v>
      </c>
      <c r="F1064" s="353">
        <f t="shared" si="55"/>
        <v>0</v>
      </c>
      <c r="G1064" s="368"/>
      <c r="H1064" s="368"/>
      <c r="I1064" s="368">
        <f t="shared" si="53"/>
        <v>0</v>
      </c>
      <c r="J1064" s="368">
        <f t="shared" si="54"/>
        <v>0</v>
      </c>
      <c r="K1064" s="360" t="s">
        <v>2322</v>
      </c>
    </row>
    <row r="1065" spans="1:11" s="360" customFormat="1" ht="20.25" hidden="1" customHeight="1">
      <c r="A1065" s="356" t="s">
        <v>520</v>
      </c>
      <c r="B1065" s="357" t="s">
        <v>633</v>
      </c>
      <c r="C1065" s="358">
        <f>'3.60 lakhs'!I1145</f>
        <v>0</v>
      </c>
      <c r="D1065" s="354" t="s">
        <v>115</v>
      </c>
      <c r="E1065" s="355">
        <f>'3.60 lakhs'!K1145</f>
        <v>1036</v>
      </c>
      <c r="F1065" s="353">
        <f t="shared" si="55"/>
        <v>0</v>
      </c>
      <c r="G1065" s="368"/>
      <c r="H1065" s="368"/>
      <c r="I1065" s="368">
        <f t="shared" si="53"/>
        <v>0</v>
      </c>
      <c r="J1065" s="368">
        <f t="shared" si="54"/>
        <v>0</v>
      </c>
      <c r="K1065" s="360" t="s">
        <v>2322</v>
      </c>
    </row>
    <row r="1066" spans="1:11" s="360" customFormat="1" ht="20.25" hidden="1" customHeight="1">
      <c r="A1066" s="356" t="s">
        <v>522</v>
      </c>
      <c r="B1066" s="357" t="s">
        <v>634</v>
      </c>
      <c r="C1066" s="358">
        <f>'3.60 lakhs'!I1155</f>
        <v>0</v>
      </c>
      <c r="D1066" s="354" t="s">
        <v>115</v>
      </c>
      <c r="E1066" s="355">
        <f>'3.60 lakhs'!K1155</f>
        <v>2025</v>
      </c>
      <c r="F1066" s="353">
        <f t="shared" si="55"/>
        <v>0</v>
      </c>
      <c r="G1066" s="368"/>
      <c r="H1066" s="368"/>
      <c r="I1066" s="368">
        <f t="shared" si="53"/>
        <v>0</v>
      </c>
      <c r="J1066" s="368">
        <f t="shared" si="54"/>
        <v>0</v>
      </c>
      <c r="K1066" s="360" t="s">
        <v>2322</v>
      </c>
    </row>
    <row r="1067" spans="1:11" s="360" customFormat="1" ht="20.25" hidden="1" customHeight="1">
      <c r="A1067" s="356" t="s">
        <v>1584</v>
      </c>
      <c r="B1067" s="357" t="s">
        <v>1257</v>
      </c>
      <c r="C1067" s="358">
        <f>'3.60 lakhs'!I1150</f>
        <v>0</v>
      </c>
      <c r="D1067" s="354" t="s">
        <v>115</v>
      </c>
      <c r="E1067" s="355">
        <f>'3.60 lakhs'!K1150</f>
        <v>2644</v>
      </c>
      <c r="F1067" s="353">
        <f t="shared" si="55"/>
        <v>0</v>
      </c>
      <c r="G1067" s="368"/>
      <c r="H1067" s="368"/>
      <c r="I1067" s="368">
        <f t="shared" si="53"/>
        <v>0</v>
      </c>
      <c r="J1067" s="368">
        <f t="shared" si="54"/>
        <v>0</v>
      </c>
      <c r="K1067" s="360" t="s">
        <v>2322</v>
      </c>
    </row>
    <row r="1068" spans="1:11" s="360" customFormat="1" ht="20.25" hidden="1" customHeight="1">
      <c r="A1068" s="356" t="s">
        <v>1143</v>
      </c>
      <c r="B1068" s="357" t="s">
        <v>2805</v>
      </c>
      <c r="C1068" s="358">
        <f>'3.60 lakhs'!I1160</f>
        <v>0</v>
      </c>
      <c r="D1068" s="354" t="s">
        <v>115</v>
      </c>
      <c r="E1068" s="355">
        <f>'3.60 lakhs'!K1160</f>
        <v>93</v>
      </c>
      <c r="F1068" s="353">
        <f t="shared" si="55"/>
        <v>0</v>
      </c>
      <c r="G1068" s="368"/>
      <c r="H1068" s="368"/>
      <c r="I1068" s="368">
        <f t="shared" si="53"/>
        <v>0</v>
      </c>
      <c r="J1068" s="368">
        <f t="shared" si="54"/>
        <v>0</v>
      </c>
      <c r="K1068" s="360" t="s">
        <v>2322</v>
      </c>
    </row>
    <row r="1069" spans="1:11" s="360" customFormat="1" ht="20.25" hidden="1" customHeight="1">
      <c r="A1069" s="356" t="s">
        <v>1586</v>
      </c>
      <c r="B1069" s="357" t="s">
        <v>1816</v>
      </c>
      <c r="C1069" s="358">
        <f>'3.60 lakhs'!I1165</f>
        <v>0</v>
      </c>
      <c r="D1069" s="354" t="s">
        <v>574</v>
      </c>
      <c r="E1069" s="355">
        <f>'3.60 lakhs'!K1165</f>
        <v>9.5</v>
      </c>
      <c r="F1069" s="353">
        <f t="shared" si="55"/>
        <v>0</v>
      </c>
      <c r="G1069" s="368"/>
      <c r="H1069" s="368"/>
      <c r="I1069" s="368">
        <f t="shared" si="53"/>
        <v>0</v>
      </c>
      <c r="J1069" s="368">
        <f t="shared" si="54"/>
        <v>0</v>
      </c>
      <c r="K1069" s="360" t="s">
        <v>2322</v>
      </c>
    </row>
    <row r="1070" spans="1:11" s="360" customFormat="1" ht="20.25" hidden="1" customHeight="1">
      <c r="A1070" s="356" t="s">
        <v>1586</v>
      </c>
      <c r="B1070" s="357" t="s">
        <v>553</v>
      </c>
      <c r="C1070" s="358">
        <f>'3.60 lakhs'!I1168</f>
        <v>0</v>
      </c>
      <c r="D1070" s="354" t="s">
        <v>277</v>
      </c>
      <c r="E1070" s="355">
        <f>'3.60 lakhs'!K1168</f>
        <v>446.4</v>
      </c>
      <c r="F1070" s="353">
        <f t="shared" si="55"/>
        <v>0</v>
      </c>
      <c r="G1070" s="368"/>
      <c r="H1070" s="368"/>
      <c r="I1070" s="368">
        <f t="shared" si="53"/>
        <v>0</v>
      </c>
      <c r="J1070" s="368">
        <f t="shared" si="54"/>
        <v>0</v>
      </c>
      <c r="K1070" s="360" t="s">
        <v>2322</v>
      </c>
    </row>
    <row r="1071" spans="1:11" s="360" customFormat="1" ht="20.25" hidden="1" customHeight="1">
      <c r="A1071" s="356" t="s">
        <v>524</v>
      </c>
      <c r="B1071" s="357" t="s">
        <v>553</v>
      </c>
      <c r="C1071" s="358">
        <f>'3.60 lakhs'!I1169</f>
        <v>0</v>
      </c>
      <c r="D1071" s="354" t="s">
        <v>277</v>
      </c>
      <c r="E1071" s="355">
        <f>'3.60 lakhs'!K1169</f>
        <v>477.6</v>
      </c>
      <c r="F1071" s="353">
        <f t="shared" si="55"/>
        <v>0</v>
      </c>
      <c r="G1071" s="368"/>
      <c r="H1071" s="368"/>
      <c r="I1071" s="368">
        <f t="shared" si="53"/>
        <v>0</v>
      </c>
      <c r="J1071" s="368">
        <f t="shared" si="54"/>
        <v>0</v>
      </c>
      <c r="K1071" s="360" t="s">
        <v>2322</v>
      </c>
    </row>
    <row r="1072" spans="1:11" s="360" customFormat="1" ht="20.25" hidden="1" customHeight="1">
      <c r="A1072" s="356" t="s">
        <v>525</v>
      </c>
      <c r="B1072" s="357" t="s">
        <v>553</v>
      </c>
      <c r="C1072" s="358">
        <f>'3.60 lakhs'!I1170</f>
        <v>0</v>
      </c>
      <c r="D1072" s="354" t="s">
        <v>277</v>
      </c>
      <c r="E1072" s="355">
        <f>'3.60 lakhs'!K1170</f>
        <v>535.70000000000005</v>
      </c>
      <c r="F1072" s="353">
        <f t="shared" si="55"/>
        <v>0</v>
      </c>
      <c r="G1072" s="368"/>
      <c r="H1072" s="368"/>
      <c r="I1072" s="368">
        <f t="shared" si="53"/>
        <v>0</v>
      </c>
      <c r="J1072" s="368">
        <f t="shared" si="54"/>
        <v>0</v>
      </c>
      <c r="K1072" s="360" t="s">
        <v>2322</v>
      </c>
    </row>
    <row r="1073" spans="1:11" s="360" customFormat="1" ht="20.25" hidden="1" customHeight="1">
      <c r="A1073" s="356" t="s">
        <v>645</v>
      </c>
      <c r="B1073" s="357" t="s">
        <v>2122</v>
      </c>
      <c r="C1073" s="358">
        <f>'3.60 lakhs'!I1176</f>
        <v>0</v>
      </c>
      <c r="D1073" s="354" t="s">
        <v>277</v>
      </c>
      <c r="E1073" s="355">
        <f>'3.60 lakhs'!K1176</f>
        <v>325</v>
      </c>
      <c r="F1073" s="353">
        <f t="shared" ref="F1073:F1104" si="56">ROUND(C1073*E1073,0)</f>
        <v>0</v>
      </c>
      <c r="G1073" s="368"/>
      <c r="H1073" s="368"/>
      <c r="I1073" s="368">
        <f t="shared" si="53"/>
        <v>0</v>
      </c>
      <c r="J1073" s="368">
        <f t="shared" si="54"/>
        <v>0</v>
      </c>
      <c r="K1073" s="360" t="s">
        <v>2322</v>
      </c>
    </row>
    <row r="1074" spans="1:11" s="360" customFormat="1" ht="20.25" hidden="1" customHeight="1">
      <c r="A1074" s="356" t="s">
        <v>1587</v>
      </c>
      <c r="B1074" s="357" t="s">
        <v>2309</v>
      </c>
      <c r="C1074" s="358">
        <f>'3.60 lakhs'!I1181</f>
        <v>0</v>
      </c>
      <c r="D1074" s="354" t="s">
        <v>115</v>
      </c>
      <c r="E1074" s="355">
        <f>'3.60 lakhs'!K1181</f>
        <v>18370</v>
      </c>
      <c r="F1074" s="353">
        <f t="shared" si="56"/>
        <v>0</v>
      </c>
      <c r="G1074" s="368"/>
      <c r="H1074" s="368"/>
      <c r="I1074" s="368">
        <f t="shared" si="53"/>
        <v>0</v>
      </c>
      <c r="J1074" s="368">
        <f t="shared" si="54"/>
        <v>0</v>
      </c>
      <c r="K1074" s="360" t="s">
        <v>2322</v>
      </c>
    </row>
    <row r="1075" spans="1:11" s="360" customFormat="1" ht="20.25" hidden="1" customHeight="1">
      <c r="A1075" s="356" t="s">
        <v>1588</v>
      </c>
      <c r="B1075" s="357" t="s">
        <v>636</v>
      </c>
      <c r="C1075" s="358">
        <f>'3.60 lakhs'!I1186</f>
        <v>0</v>
      </c>
      <c r="D1075" s="354" t="s">
        <v>277</v>
      </c>
      <c r="E1075" s="355">
        <f>'3.60 lakhs'!K1186</f>
        <v>85</v>
      </c>
      <c r="F1075" s="353">
        <f t="shared" si="56"/>
        <v>0</v>
      </c>
      <c r="G1075" s="368"/>
      <c r="H1075" s="368"/>
      <c r="I1075" s="368">
        <f t="shared" si="53"/>
        <v>0</v>
      </c>
      <c r="J1075" s="368">
        <f t="shared" si="54"/>
        <v>0</v>
      </c>
      <c r="K1075" s="360" t="s">
        <v>2322</v>
      </c>
    </row>
    <row r="1076" spans="1:11" s="360" customFormat="1" ht="20.25" hidden="1" customHeight="1">
      <c r="A1076" s="356" t="s">
        <v>646</v>
      </c>
      <c r="B1076" s="357" t="s">
        <v>284</v>
      </c>
      <c r="C1076" s="358">
        <f>'3.60 lakhs'!I1191</f>
        <v>0</v>
      </c>
      <c r="D1076" s="354" t="s">
        <v>115</v>
      </c>
      <c r="E1076" s="355">
        <f>'3.60 lakhs'!K1191</f>
        <v>300</v>
      </c>
      <c r="F1076" s="353">
        <f t="shared" si="56"/>
        <v>0</v>
      </c>
      <c r="G1076" s="368"/>
      <c r="H1076" s="368"/>
      <c r="I1076" s="368">
        <f t="shared" si="53"/>
        <v>0</v>
      </c>
      <c r="J1076" s="368">
        <f t="shared" si="54"/>
        <v>0</v>
      </c>
      <c r="K1076" s="360" t="s">
        <v>2322</v>
      </c>
    </row>
    <row r="1077" spans="1:11" s="360" customFormat="1" ht="20.25" hidden="1" customHeight="1">
      <c r="A1077" s="356" t="s">
        <v>1144</v>
      </c>
      <c r="B1077" s="357" t="s">
        <v>285</v>
      </c>
      <c r="C1077" s="358">
        <f>'3.60 lakhs'!I1196</f>
        <v>0</v>
      </c>
      <c r="D1077" s="354" t="s">
        <v>115</v>
      </c>
      <c r="E1077" s="355">
        <f>'3.60 lakhs'!K1196</f>
        <v>400</v>
      </c>
      <c r="F1077" s="353">
        <f t="shared" si="56"/>
        <v>0</v>
      </c>
      <c r="G1077" s="368"/>
      <c r="H1077" s="368"/>
      <c r="I1077" s="368">
        <f t="shared" si="53"/>
        <v>0</v>
      </c>
      <c r="J1077" s="368">
        <f t="shared" si="54"/>
        <v>0</v>
      </c>
      <c r="K1077" s="360" t="s">
        <v>2322</v>
      </c>
    </row>
    <row r="1078" spans="1:11" s="360" customFormat="1" ht="20.25" hidden="1" customHeight="1">
      <c r="A1078" s="356" t="s">
        <v>1591</v>
      </c>
      <c r="B1078" s="357" t="s">
        <v>286</v>
      </c>
      <c r="C1078" s="358">
        <f>'3.60 lakhs'!I1201</f>
        <v>0</v>
      </c>
      <c r="D1078" s="354" t="s">
        <v>115</v>
      </c>
      <c r="E1078" s="355">
        <f>'3.60 lakhs'!K1201</f>
        <v>77</v>
      </c>
      <c r="F1078" s="353">
        <f t="shared" si="56"/>
        <v>0</v>
      </c>
      <c r="G1078" s="368"/>
      <c r="H1078" s="368"/>
      <c r="I1078" s="368">
        <f t="shared" si="53"/>
        <v>0</v>
      </c>
      <c r="J1078" s="368">
        <f t="shared" si="54"/>
        <v>0</v>
      </c>
      <c r="K1078" s="360" t="s">
        <v>2322</v>
      </c>
    </row>
    <row r="1079" spans="1:11" s="360" customFormat="1" ht="20.25" hidden="1" customHeight="1">
      <c r="A1079" s="356" t="s">
        <v>647</v>
      </c>
      <c r="B1079" s="357" t="s">
        <v>287</v>
      </c>
      <c r="C1079" s="358">
        <f>'3.60 lakhs'!I1206</f>
        <v>0</v>
      </c>
      <c r="D1079" s="354" t="s">
        <v>115</v>
      </c>
      <c r="E1079" s="355">
        <f>'3.60 lakhs'!K1206</f>
        <v>194</v>
      </c>
      <c r="F1079" s="353">
        <f t="shared" si="56"/>
        <v>0</v>
      </c>
      <c r="G1079" s="368"/>
      <c r="H1079" s="368"/>
      <c r="I1079" s="368">
        <f t="shared" si="53"/>
        <v>0</v>
      </c>
      <c r="J1079" s="368">
        <f t="shared" si="54"/>
        <v>0</v>
      </c>
      <c r="K1079" s="360" t="s">
        <v>2322</v>
      </c>
    </row>
    <row r="1080" spans="1:11" s="360" customFormat="1" ht="20.25" hidden="1" customHeight="1">
      <c r="A1080" s="356" t="s">
        <v>1589</v>
      </c>
      <c r="B1080" s="357" t="s">
        <v>2123</v>
      </c>
      <c r="C1080" s="358">
        <f>'3.60 lakhs'!I1211</f>
        <v>0</v>
      </c>
      <c r="D1080" s="354" t="s">
        <v>277</v>
      </c>
      <c r="E1080" s="355">
        <f>'3.60 lakhs'!K1211</f>
        <v>105</v>
      </c>
      <c r="F1080" s="353">
        <f t="shared" si="56"/>
        <v>0</v>
      </c>
      <c r="G1080" s="368"/>
      <c r="H1080" s="368"/>
      <c r="I1080" s="368">
        <f t="shared" si="53"/>
        <v>0</v>
      </c>
      <c r="J1080" s="368">
        <f t="shared" si="54"/>
        <v>0</v>
      </c>
      <c r="K1080" s="360" t="s">
        <v>2322</v>
      </c>
    </row>
    <row r="1081" spans="1:11" s="360" customFormat="1" ht="20.25" hidden="1" customHeight="1">
      <c r="A1081" s="356" t="s">
        <v>1590</v>
      </c>
      <c r="B1081" s="357" t="s">
        <v>2124</v>
      </c>
      <c r="C1081" s="358">
        <f>'3.60 lakhs'!I1216</f>
        <v>0</v>
      </c>
      <c r="D1081" s="354" t="s">
        <v>115</v>
      </c>
      <c r="E1081" s="355">
        <f>'3.60 lakhs'!K1216</f>
        <v>5445</v>
      </c>
      <c r="F1081" s="353">
        <f t="shared" si="56"/>
        <v>0</v>
      </c>
      <c r="G1081" s="368"/>
      <c r="H1081" s="368"/>
      <c r="I1081" s="368">
        <f t="shared" si="53"/>
        <v>0</v>
      </c>
      <c r="J1081" s="368">
        <f t="shared" si="54"/>
        <v>0</v>
      </c>
      <c r="K1081" s="360" t="s">
        <v>2322</v>
      </c>
    </row>
    <row r="1082" spans="1:11" s="360" customFormat="1" ht="20.25" hidden="1" customHeight="1">
      <c r="A1082" s="356" t="s">
        <v>1143</v>
      </c>
      <c r="B1082" s="357" t="s">
        <v>2125</v>
      </c>
      <c r="C1082" s="358">
        <f>'3.60 lakhs'!I1222</f>
        <v>0</v>
      </c>
      <c r="D1082" s="354" t="s">
        <v>277</v>
      </c>
      <c r="E1082" s="355">
        <f>'3.60 lakhs'!K1222</f>
        <v>73.94</v>
      </c>
      <c r="F1082" s="353">
        <f t="shared" si="56"/>
        <v>0</v>
      </c>
      <c r="G1082" s="353"/>
      <c r="H1082" s="353"/>
      <c r="I1082" s="368">
        <f t="shared" si="53"/>
        <v>0</v>
      </c>
      <c r="J1082" s="368">
        <f t="shared" si="54"/>
        <v>0</v>
      </c>
      <c r="K1082" s="360" t="s">
        <v>2322</v>
      </c>
    </row>
    <row r="1083" spans="1:11" s="360" customFormat="1" ht="20.25" hidden="1" customHeight="1">
      <c r="A1083" s="356" t="s">
        <v>645</v>
      </c>
      <c r="B1083" s="357" t="s">
        <v>2126</v>
      </c>
      <c r="C1083" s="358">
        <f>'3.60 lakhs'!I1239</f>
        <v>0</v>
      </c>
      <c r="D1083" s="354" t="s">
        <v>277</v>
      </c>
      <c r="E1083" s="355">
        <f>'3.60 lakhs'!K1239</f>
        <v>89.61</v>
      </c>
      <c r="F1083" s="353">
        <f t="shared" si="56"/>
        <v>0</v>
      </c>
      <c r="G1083" s="368"/>
      <c r="H1083" s="368"/>
      <c r="I1083" s="368">
        <f t="shared" si="53"/>
        <v>0</v>
      </c>
      <c r="J1083" s="368">
        <f t="shared" si="54"/>
        <v>0</v>
      </c>
      <c r="K1083" s="360" t="s">
        <v>2322</v>
      </c>
    </row>
    <row r="1084" spans="1:11" s="360" customFormat="1" ht="20.25" hidden="1" customHeight="1">
      <c r="A1084" s="356" t="s">
        <v>1158</v>
      </c>
      <c r="B1084" s="357" t="s">
        <v>572</v>
      </c>
      <c r="C1084" s="358">
        <f>'3.60 lakhs'!I1247</f>
        <v>0</v>
      </c>
      <c r="D1084" s="354" t="s">
        <v>277</v>
      </c>
      <c r="E1084" s="355">
        <f>'3.60 lakhs'!K1247</f>
        <v>64</v>
      </c>
      <c r="F1084" s="353">
        <f t="shared" si="56"/>
        <v>0</v>
      </c>
      <c r="G1084" s="368"/>
      <c r="H1084" s="368"/>
      <c r="I1084" s="368">
        <f t="shared" si="53"/>
        <v>0</v>
      </c>
      <c r="J1084" s="368">
        <f t="shared" si="54"/>
        <v>0</v>
      </c>
      <c r="K1084" s="360" t="s">
        <v>2322</v>
      </c>
    </row>
    <row r="1085" spans="1:11" s="360" customFormat="1" ht="20.25" hidden="1" customHeight="1">
      <c r="A1085" s="356" t="s">
        <v>1587</v>
      </c>
      <c r="B1085" s="357" t="s">
        <v>1448</v>
      </c>
      <c r="C1085" s="358">
        <f>'3.60 lakhs'!I1253</f>
        <v>0</v>
      </c>
      <c r="D1085" s="354" t="s">
        <v>115</v>
      </c>
      <c r="E1085" s="355">
        <f>'3.60 lakhs'!K1253</f>
        <v>245</v>
      </c>
      <c r="F1085" s="353">
        <f t="shared" si="56"/>
        <v>0</v>
      </c>
      <c r="G1085" s="368"/>
      <c r="H1085" s="368"/>
      <c r="I1085" s="368">
        <f t="shared" si="53"/>
        <v>0</v>
      </c>
      <c r="J1085" s="368">
        <f t="shared" si="54"/>
        <v>0</v>
      </c>
      <c r="K1085" s="360" t="s">
        <v>2322</v>
      </c>
    </row>
    <row r="1086" spans="1:11" s="360" customFormat="1" ht="20.25" hidden="1" customHeight="1">
      <c r="A1086" s="356" t="s">
        <v>1588</v>
      </c>
      <c r="B1086" s="357" t="s">
        <v>1449</v>
      </c>
      <c r="C1086" s="358">
        <f>'3.60 lakhs'!I1259</f>
        <v>0</v>
      </c>
      <c r="D1086" s="354" t="s">
        <v>115</v>
      </c>
      <c r="E1086" s="355">
        <f>'3.60 lakhs'!K1259</f>
        <v>203</v>
      </c>
      <c r="F1086" s="353">
        <f t="shared" si="56"/>
        <v>0</v>
      </c>
      <c r="G1086" s="368"/>
      <c r="H1086" s="368"/>
      <c r="I1086" s="368">
        <f t="shared" si="53"/>
        <v>0</v>
      </c>
      <c r="J1086" s="368">
        <f t="shared" si="54"/>
        <v>0</v>
      </c>
      <c r="K1086" s="360" t="s">
        <v>2322</v>
      </c>
    </row>
    <row r="1087" spans="1:11" s="360" customFormat="1" ht="20.25" hidden="1" customHeight="1">
      <c r="A1087" s="356" t="s">
        <v>527</v>
      </c>
      <c r="B1087" s="357" t="s">
        <v>1450</v>
      </c>
      <c r="C1087" s="358">
        <f>'3.60 lakhs'!I1264</f>
        <v>0</v>
      </c>
      <c r="D1087" s="354" t="s">
        <v>115</v>
      </c>
      <c r="E1087" s="355">
        <f>'3.60 lakhs'!K1264</f>
        <v>155</v>
      </c>
      <c r="F1087" s="353">
        <f t="shared" si="56"/>
        <v>0</v>
      </c>
      <c r="G1087" s="368"/>
      <c r="H1087" s="368"/>
      <c r="I1087" s="368">
        <f t="shared" si="53"/>
        <v>0</v>
      </c>
      <c r="J1087" s="368">
        <f t="shared" si="54"/>
        <v>0</v>
      </c>
      <c r="K1087" s="360" t="s">
        <v>2322</v>
      </c>
    </row>
    <row r="1088" spans="1:11" s="360" customFormat="1" ht="20.25" hidden="1" customHeight="1">
      <c r="A1088" s="356" t="s">
        <v>1581</v>
      </c>
      <c r="B1088" s="357" t="s">
        <v>1452</v>
      </c>
      <c r="C1088" s="358">
        <f>'3.60 lakhs'!I1282</f>
        <v>0</v>
      </c>
      <c r="D1088" s="354" t="s">
        <v>115</v>
      </c>
      <c r="E1088" s="355">
        <f>'3.60 lakhs'!K1282</f>
        <v>114</v>
      </c>
      <c r="F1088" s="353">
        <f t="shared" si="56"/>
        <v>0</v>
      </c>
      <c r="G1088" s="368"/>
      <c r="H1088" s="368"/>
      <c r="I1088" s="368">
        <f t="shared" si="53"/>
        <v>0</v>
      </c>
      <c r="J1088" s="368">
        <f t="shared" si="54"/>
        <v>0</v>
      </c>
      <c r="K1088" s="360" t="s">
        <v>2322</v>
      </c>
    </row>
    <row r="1089" spans="1:11" s="360" customFormat="1" ht="20.25" hidden="1" customHeight="1">
      <c r="A1089" s="356" t="s">
        <v>516</v>
      </c>
      <c r="B1089" s="357" t="s">
        <v>1451</v>
      </c>
      <c r="C1089" s="358">
        <f>'3.60 lakhs'!I1277</f>
        <v>0</v>
      </c>
      <c r="D1089" s="354" t="s">
        <v>115</v>
      </c>
      <c r="E1089" s="355">
        <f>'3.60 lakhs'!K1277</f>
        <v>400</v>
      </c>
      <c r="F1089" s="353">
        <f t="shared" si="56"/>
        <v>0</v>
      </c>
      <c r="G1089" s="368"/>
      <c r="H1089" s="368"/>
      <c r="I1089" s="368">
        <f t="shared" si="53"/>
        <v>0</v>
      </c>
      <c r="J1089" s="368">
        <f t="shared" si="54"/>
        <v>0</v>
      </c>
      <c r="K1089" s="360" t="s">
        <v>2322</v>
      </c>
    </row>
    <row r="1090" spans="1:11" s="360" customFormat="1" ht="20.25" hidden="1" customHeight="1">
      <c r="A1090" s="356" t="s">
        <v>528</v>
      </c>
      <c r="B1090" s="357" t="s">
        <v>1453</v>
      </c>
      <c r="C1090" s="358">
        <f>'3.60 lakhs'!I1287</f>
        <v>0</v>
      </c>
      <c r="D1090" s="354" t="s">
        <v>115</v>
      </c>
      <c r="E1090" s="355">
        <f>'3.60 lakhs'!K1287</f>
        <v>68</v>
      </c>
      <c r="F1090" s="353">
        <f t="shared" si="56"/>
        <v>0</v>
      </c>
      <c r="G1090" s="368"/>
      <c r="H1090" s="368"/>
      <c r="I1090" s="368">
        <f t="shared" si="53"/>
        <v>0</v>
      </c>
      <c r="J1090" s="368">
        <f t="shared" si="54"/>
        <v>0</v>
      </c>
      <c r="K1090" s="360" t="s">
        <v>2322</v>
      </c>
    </row>
    <row r="1091" spans="1:11" s="360" customFormat="1" ht="20.25" hidden="1" customHeight="1">
      <c r="A1091" s="356" t="s">
        <v>646</v>
      </c>
      <c r="B1091" s="357" t="s">
        <v>2250</v>
      </c>
      <c r="C1091" s="358">
        <f>'3.60 lakhs'!I1295</f>
        <v>0</v>
      </c>
      <c r="D1091" s="354" t="s">
        <v>568</v>
      </c>
      <c r="E1091" s="355">
        <f>'3.60 lakhs'!K1295</f>
        <v>481.67</v>
      </c>
      <c r="F1091" s="353">
        <f t="shared" si="56"/>
        <v>0</v>
      </c>
      <c r="G1091" s="368"/>
      <c r="H1091" s="368"/>
      <c r="I1091" s="368">
        <f t="shared" si="53"/>
        <v>0</v>
      </c>
      <c r="J1091" s="368">
        <f t="shared" si="54"/>
        <v>0</v>
      </c>
      <c r="K1091" s="360" t="s">
        <v>2322</v>
      </c>
    </row>
    <row r="1092" spans="1:11" s="360" customFormat="1" ht="20.25" hidden="1" customHeight="1">
      <c r="A1092" s="356" t="s">
        <v>1144</v>
      </c>
      <c r="B1092" s="357" t="s">
        <v>2127</v>
      </c>
      <c r="C1092" s="358">
        <f>'3.60 lakhs'!I1301</f>
        <v>0</v>
      </c>
      <c r="D1092" s="354" t="s">
        <v>568</v>
      </c>
      <c r="E1092" s="355">
        <f>'3.60 lakhs'!K1301</f>
        <v>503.67</v>
      </c>
      <c r="F1092" s="353">
        <f t="shared" si="56"/>
        <v>0</v>
      </c>
      <c r="G1092" s="368"/>
      <c r="H1092" s="368"/>
      <c r="I1092" s="368">
        <f t="shared" si="53"/>
        <v>0</v>
      </c>
      <c r="J1092" s="368">
        <f t="shared" si="54"/>
        <v>0</v>
      </c>
      <c r="K1092" s="360" t="s">
        <v>2322</v>
      </c>
    </row>
    <row r="1093" spans="1:11" s="360" customFormat="1" ht="20.25" hidden="1" customHeight="1">
      <c r="A1093" s="356" t="s">
        <v>1144</v>
      </c>
      <c r="B1093" s="357" t="s">
        <v>2128</v>
      </c>
      <c r="C1093" s="358">
        <f>'3.60 lakhs'!I1307</f>
        <v>0</v>
      </c>
      <c r="D1093" s="354" t="s">
        <v>277</v>
      </c>
      <c r="E1093" s="355">
        <f>'3.60 lakhs'!K1307</f>
        <v>23.55</v>
      </c>
      <c r="F1093" s="353">
        <f t="shared" si="56"/>
        <v>0</v>
      </c>
      <c r="G1093" s="368"/>
      <c r="H1093" s="368"/>
      <c r="I1093" s="368">
        <f t="shared" si="53"/>
        <v>0</v>
      </c>
      <c r="J1093" s="368">
        <f t="shared" si="54"/>
        <v>0</v>
      </c>
      <c r="K1093" s="360" t="s">
        <v>2322</v>
      </c>
    </row>
    <row r="1094" spans="1:11" s="360" customFormat="1" ht="20.25" hidden="1" customHeight="1">
      <c r="A1094" s="356" t="s">
        <v>1589</v>
      </c>
      <c r="B1094" s="357" t="s">
        <v>2282</v>
      </c>
      <c r="C1094" s="358">
        <f>'3.60 lakhs'!I1312</f>
        <v>0</v>
      </c>
      <c r="D1094" s="354" t="s">
        <v>277</v>
      </c>
      <c r="E1094" s="355">
        <f>'3.60 lakhs'!K1312</f>
        <v>79.48</v>
      </c>
      <c r="F1094" s="353">
        <f t="shared" si="56"/>
        <v>0</v>
      </c>
      <c r="G1094" s="368"/>
      <c r="H1094" s="368"/>
      <c r="I1094" s="368">
        <f t="shared" ref="I1094:I1124" si="57">C1094-G1094</f>
        <v>0</v>
      </c>
      <c r="J1094" s="368">
        <f t="shared" ref="J1094:J1124" si="58">F1094-H1094</f>
        <v>0</v>
      </c>
      <c r="K1094" s="360" t="s">
        <v>2322</v>
      </c>
    </row>
    <row r="1095" spans="1:11" s="360" customFormat="1" ht="20.25" hidden="1" customHeight="1">
      <c r="A1095" s="356" t="s">
        <v>1589</v>
      </c>
      <c r="B1095" s="357" t="s">
        <v>2130</v>
      </c>
      <c r="C1095" s="358">
        <f>'3.60 lakhs'!I1318</f>
        <v>0</v>
      </c>
      <c r="D1095" s="354" t="s">
        <v>277</v>
      </c>
      <c r="E1095" s="355">
        <f>'3.60 lakhs'!K1318</f>
        <v>83.333500000000001</v>
      </c>
      <c r="F1095" s="353">
        <f t="shared" si="56"/>
        <v>0</v>
      </c>
      <c r="G1095" s="368"/>
      <c r="H1095" s="368"/>
      <c r="I1095" s="368">
        <f t="shared" si="57"/>
        <v>0</v>
      </c>
      <c r="J1095" s="368">
        <f t="shared" si="58"/>
        <v>0</v>
      </c>
      <c r="K1095" s="360" t="s">
        <v>2322</v>
      </c>
    </row>
    <row r="1096" spans="1:11" s="360" customFormat="1" ht="20.25" hidden="1" customHeight="1">
      <c r="A1096" s="356" t="s">
        <v>531</v>
      </c>
      <c r="B1096" s="357" t="s">
        <v>2154</v>
      </c>
      <c r="C1096" s="358">
        <f>'3.60 lakhs'!I1323</f>
        <v>0</v>
      </c>
      <c r="D1096" s="354" t="s">
        <v>277</v>
      </c>
      <c r="E1096" s="355">
        <f>'3.60 lakhs'!K1323</f>
        <v>126.65</v>
      </c>
      <c r="F1096" s="353">
        <f t="shared" si="56"/>
        <v>0</v>
      </c>
      <c r="G1096" s="368"/>
      <c r="H1096" s="368"/>
      <c r="I1096" s="368">
        <f t="shared" si="57"/>
        <v>0</v>
      </c>
      <c r="J1096" s="368">
        <f t="shared" si="58"/>
        <v>0</v>
      </c>
      <c r="K1096" s="360" t="s">
        <v>2322</v>
      </c>
    </row>
    <row r="1097" spans="1:11" s="360" customFormat="1" ht="20.25" hidden="1" customHeight="1">
      <c r="A1097" s="356" t="s">
        <v>1590</v>
      </c>
      <c r="B1097" s="357" t="s">
        <v>2129</v>
      </c>
      <c r="C1097" s="358">
        <f>'3.60 lakhs'!I1328</f>
        <v>0</v>
      </c>
      <c r="D1097" s="354" t="s">
        <v>277</v>
      </c>
      <c r="E1097" s="355">
        <f>'3.60 lakhs'!K1328</f>
        <v>64.563000000000002</v>
      </c>
      <c r="F1097" s="353">
        <f t="shared" si="56"/>
        <v>0</v>
      </c>
      <c r="G1097" s="368"/>
      <c r="H1097" s="368"/>
      <c r="I1097" s="368">
        <f t="shared" si="57"/>
        <v>0</v>
      </c>
      <c r="J1097" s="368">
        <f t="shared" si="58"/>
        <v>0</v>
      </c>
      <c r="K1097" s="360" t="s">
        <v>2322</v>
      </c>
    </row>
    <row r="1098" spans="1:11" s="360" customFormat="1" ht="20.25" hidden="1" customHeight="1">
      <c r="A1098" s="356" t="s">
        <v>1590</v>
      </c>
      <c r="B1098" s="357" t="s">
        <v>2214</v>
      </c>
      <c r="C1098" s="358">
        <f>'3.60 lakhs'!I1334</f>
        <v>0</v>
      </c>
      <c r="D1098" s="354" t="s">
        <v>115</v>
      </c>
      <c r="E1098" s="355">
        <f>'3.60 lakhs'!K1334</f>
        <v>209</v>
      </c>
      <c r="F1098" s="353">
        <f t="shared" si="56"/>
        <v>0</v>
      </c>
      <c r="G1098" s="368"/>
      <c r="H1098" s="368"/>
      <c r="I1098" s="368">
        <f t="shared" si="57"/>
        <v>0</v>
      </c>
      <c r="J1098" s="368">
        <f t="shared" si="58"/>
        <v>0</v>
      </c>
      <c r="K1098" s="360" t="s">
        <v>2322</v>
      </c>
    </row>
    <row r="1099" spans="1:11" s="360" customFormat="1" ht="20.25" hidden="1" customHeight="1">
      <c r="A1099" s="356" t="s">
        <v>1591</v>
      </c>
      <c r="B1099" s="357" t="s">
        <v>2131</v>
      </c>
      <c r="C1099" s="358">
        <f>'3.60 lakhs'!I1340</f>
        <v>0</v>
      </c>
      <c r="D1099" s="354" t="s">
        <v>115</v>
      </c>
      <c r="E1099" s="355">
        <f>'3.60 lakhs'!K1340</f>
        <v>171</v>
      </c>
      <c r="F1099" s="353">
        <f t="shared" si="56"/>
        <v>0</v>
      </c>
      <c r="G1099" s="368"/>
      <c r="H1099" s="368"/>
      <c r="I1099" s="368">
        <f t="shared" si="57"/>
        <v>0</v>
      </c>
      <c r="J1099" s="368">
        <f t="shared" si="58"/>
        <v>0</v>
      </c>
      <c r="K1099" s="360" t="s">
        <v>2322</v>
      </c>
    </row>
    <row r="1100" spans="1:11" s="360" customFormat="1" ht="20.25" hidden="1" customHeight="1">
      <c r="A1100" s="356" t="s">
        <v>1583</v>
      </c>
      <c r="B1100" s="357" t="s">
        <v>2132</v>
      </c>
      <c r="C1100" s="358">
        <f>'3.60 lakhs'!I1345</f>
        <v>0</v>
      </c>
      <c r="D1100" s="354" t="s">
        <v>115</v>
      </c>
      <c r="E1100" s="355">
        <f>'3.60 lakhs'!K1345</f>
        <v>132</v>
      </c>
      <c r="F1100" s="353">
        <f t="shared" si="56"/>
        <v>0</v>
      </c>
      <c r="G1100" s="368"/>
      <c r="H1100" s="368"/>
      <c r="I1100" s="368">
        <f t="shared" si="57"/>
        <v>0</v>
      </c>
      <c r="J1100" s="368">
        <f t="shared" si="58"/>
        <v>0</v>
      </c>
      <c r="K1100" s="360" t="s">
        <v>2322</v>
      </c>
    </row>
    <row r="1101" spans="1:11" s="360" customFormat="1" ht="20.25" hidden="1" customHeight="1">
      <c r="A1101" s="356" t="s">
        <v>533</v>
      </c>
      <c r="B1101" s="357" t="s">
        <v>2133</v>
      </c>
      <c r="C1101" s="358">
        <f>'3.60 lakhs'!I1355</f>
        <v>0</v>
      </c>
      <c r="D1101" s="354" t="s">
        <v>115</v>
      </c>
      <c r="E1101" s="355">
        <f>'3.60 lakhs'!K1355</f>
        <v>88</v>
      </c>
      <c r="F1101" s="353">
        <f t="shared" si="56"/>
        <v>0</v>
      </c>
      <c r="G1101" s="368"/>
      <c r="H1101" s="368"/>
      <c r="I1101" s="368">
        <f t="shared" si="57"/>
        <v>0</v>
      </c>
      <c r="J1101" s="368">
        <f t="shared" si="58"/>
        <v>0</v>
      </c>
      <c r="K1101" s="360" t="s">
        <v>2322</v>
      </c>
    </row>
    <row r="1102" spans="1:11" s="360" customFormat="1" ht="20.25" hidden="1" customHeight="1">
      <c r="A1102" s="356" t="s">
        <v>525</v>
      </c>
      <c r="B1102" s="357" t="s">
        <v>2251</v>
      </c>
      <c r="C1102" s="358">
        <f>'3.60 lakhs'!I1350</f>
        <v>0</v>
      </c>
      <c r="D1102" s="354" t="s">
        <v>115</v>
      </c>
      <c r="E1102" s="355">
        <f>'3.60 lakhs'!K1350</f>
        <v>341</v>
      </c>
      <c r="F1102" s="353">
        <f t="shared" si="56"/>
        <v>0</v>
      </c>
      <c r="G1102" s="368"/>
      <c r="H1102" s="368"/>
      <c r="I1102" s="368">
        <f t="shared" si="57"/>
        <v>0</v>
      </c>
      <c r="J1102" s="368">
        <f t="shared" si="58"/>
        <v>0</v>
      </c>
      <c r="K1102" s="360" t="s">
        <v>2322</v>
      </c>
    </row>
    <row r="1103" spans="1:11" s="360" customFormat="1" ht="20.25" hidden="1" customHeight="1">
      <c r="A1103" s="356" t="s">
        <v>1520</v>
      </c>
      <c r="B1103" s="357" t="s">
        <v>2252</v>
      </c>
      <c r="C1103" s="358">
        <f>'3.60 lakhs'!I1272</f>
        <v>0</v>
      </c>
      <c r="D1103" s="354" t="s">
        <v>115</v>
      </c>
      <c r="E1103" s="355">
        <f>'3.60 lakhs'!K1272</f>
        <v>359</v>
      </c>
      <c r="F1103" s="353">
        <f t="shared" si="56"/>
        <v>0</v>
      </c>
      <c r="G1103" s="368"/>
      <c r="H1103" s="368"/>
      <c r="I1103" s="368">
        <f t="shared" si="57"/>
        <v>0</v>
      </c>
      <c r="J1103" s="368">
        <f t="shared" si="58"/>
        <v>0</v>
      </c>
      <c r="K1103" s="360" t="s">
        <v>2322</v>
      </c>
    </row>
    <row r="1104" spans="1:11" s="360" customFormat="1" ht="20.25" hidden="1" customHeight="1">
      <c r="A1104" s="356" t="s">
        <v>534</v>
      </c>
      <c r="B1104" s="357" t="s">
        <v>2199</v>
      </c>
      <c r="C1104" s="358">
        <f>'3.60 lakhs'!I1360</f>
        <v>0</v>
      </c>
      <c r="D1104" s="354" t="s">
        <v>115</v>
      </c>
      <c r="E1104" s="355">
        <f>'3.60 lakhs'!K1360</f>
        <v>66</v>
      </c>
      <c r="F1104" s="353">
        <f t="shared" si="56"/>
        <v>0</v>
      </c>
      <c r="G1104" s="368"/>
      <c r="H1104" s="368"/>
      <c r="I1104" s="368">
        <f t="shared" si="57"/>
        <v>0</v>
      </c>
      <c r="J1104" s="368">
        <f t="shared" si="58"/>
        <v>0</v>
      </c>
      <c r="K1104" s="360" t="s">
        <v>2322</v>
      </c>
    </row>
    <row r="1105" spans="1:11" s="360" customFormat="1" ht="20.25" hidden="1" customHeight="1">
      <c r="A1105" s="356" t="s">
        <v>647</v>
      </c>
      <c r="B1105" s="357" t="s">
        <v>2134</v>
      </c>
      <c r="C1105" s="358">
        <f>'3.60 lakhs'!I1371</f>
        <v>0</v>
      </c>
      <c r="D1105" s="354" t="s">
        <v>115</v>
      </c>
      <c r="E1105" s="355">
        <f>'3.60 lakhs'!K1371</f>
        <v>125.73500000000001</v>
      </c>
      <c r="F1105" s="353">
        <f t="shared" ref="F1105:F1123" si="59">ROUND(C1105*E1105,0)</f>
        <v>0</v>
      </c>
      <c r="G1105" s="368"/>
      <c r="H1105" s="368"/>
      <c r="I1105" s="368">
        <f t="shared" si="57"/>
        <v>0</v>
      </c>
      <c r="J1105" s="368">
        <f t="shared" si="58"/>
        <v>0</v>
      </c>
      <c r="K1105" s="360" t="s">
        <v>2322</v>
      </c>
    </row>
    <row r="1106" spans="1:11" s="360" customFormat="1" ht="20.25" hidden="1" customHeight="1">
      <c r="A1106" s="356" t="s">
        <v>643</v>
      </c>
      <c r="B1106" s="357" t="s">
        <v>2200</v>
      </c>
      <c r="C1106" s="358">
        <f>'3.60 lakhs'!I1365</f>
        <v>0</v>
      </c>
      <c r="D1106" s="354" t="s">
        <v>115</v>
      </c>
      <c r="E1106" s="355">
        <f>'3.60 lakhs'!K1365</f>
        <v>422.5</v>
      </c>
      <c r="F1106" s="353">
        <f t="shared" si="59"/>
        <v>0</v>
      </c>
      <c r="G1106" s="368"/>
      <c r="H1106" s="368"/>
      <c r="I1106" s="368">
        <f t="shared" si="57"/>
        <v>0</v>
      </c>
      <c r="J1106" s="368">
        <f t="shared" si="58"/>
        <v>0</v>
      </c>
      <c r="K1106" s="360" t="s">
        <v>2322</v>
      </c>
    </row>
    <row r="1107" spans="1:11" s="360" customFormat="1" ht="20.25" hidden="1" customHeight="1">
      <c r="A1107" s="356" t="s">
        <v>644</v>
      </c>
      <c r="B1107" s="357" t="s">
        <v>2253</v>
      </c>
      <c r="C1107" s="358">
        <f>'3.60 lakhs'!I1376</f>
        <v>0</v>
      </c>
      <c r="D1107" s="354" t="s">
        <v>115</v>
      </c>
      <c r="E1107" s="355">
        <f>'3.60 lakhs'!K1376</f>
        <v>119.73500000000001</v>
      </c>
      <c r="F1107" s="353">
        <f t="shared" si="59"/>
        <v>0</v>
      </c>
      <c r="G1107" s="368"/>
      <c r="H1107" s="368"/>
      <c r="I1107" s="368">
        <f t="shared" si="57"/>
        <v>0</v>
      </c>
      <c r="J1107" s="368">
        <f t="shared" si="58"/>
        <v>0</v>
      </c>
      <c r="K1107" s="360" t="s">
        <v>2322</v>
      </c>
    </row>
    <row r="1108" spans="1:11" s="360" customFormat="1" ht="20.25" hidden="1" customHeight="1">
      <c r="A1108" s="356" t="s">
        <v>1577</v>
      </c>
      <c r="B1108" s="357" t="s">
        <v>1454</v>
      </c>
      <c r="C1108" s="358">
        <f>'3.60 lakhs'!I1381</f>
        <v>0</v>
      </c>
      <c r="D1108" s="354" t="s">
        <v>115</v>
      </c>
      <c r="E1108" s="355">
        <f>'3.60 lakhs'!K1381</f>
        <v>21</v>
      </c>
      <c r="F1108" s="353">
        <f t="shared" si="59"/>
        <v>0</v>
      </c>
      <c r="G1108" s="368"/>
      <c r="H1108" s="368"/>
      <c r="I1108" s="368">
        <f t="shared" si="57"/>
        <v>0</v>
      </c>
      <c r="J1108" s="368">
        <f t="shared" si="58"/>
        <v>0</v>
      </c>
      <c r="K1108" s="360" t="s">
        <v>2322</v>
      </c>
    </row>
    <row r="1109" spans="1:11" s="360" customFormat="1" ht="20.25" hidden="1" customHeight="1">
      <c r="A1109" s="356" t="s">
        <v>1592</v>
      </c>
      <c r="B1109" s="357" t="s">
        <v>2155</v>
      </c>
      <c r="C1109" s="358">
        <f>'3.60 lakhs'!I1387</f>
        <v>0</v>
      </c>
      <c r="D1109" s="354" t="s">
        <v>115</v>
      </c>
      <c r="E1109" s="355">
        <f>'3.60 lakhs'!K1387</f>
        <v>127.25</v>
      </c>
      <c r="F1109" s="353">
        <f t="shared" si="59"/>
        <v>0</v>
      </c>
      <c r="G1109" s="368"/>
      <c r="H1109" s="368"/>
      <c r="I1109" s="368">
        <f t="shared" si="57"/>
        <v>0</v>
      </c>
      <c r="J1109" s="368">
        <f t="shared" si="58"/>
        <v>0</v>
      </c>
      <c r="K1109" s="360" t="s">
        <v>2322</v>
      </c>
    </row>
    <row r="1110" spans="1:11" s="360" customFormat="1" ht="20.25" hidden="1" customHeight="1">
      <c r="A1110" s="356" t="s">
        <v>1578</v>
      </c>
      <c r="B1110" s="357" t="s">
        <v>563</v>
      </c>
      <c r="C1110" s="358">
        <f>'3.60 lakhs'!I1393</f>
        <v>0</v>
      </c>
      <c r="D1110" s="354" t="s">
        <v>115</v>
      </c>
      <c r="E1110" s="355">
        <f>'3.60 lakhs'!K1393</f>
        <v>3312.1849999999999</v>
      </c>
      <c r="F1110" s="353">
        <f t="shared" si="59"/>
        <v>0</v>
      </c>
      <c r="G1110" s="368"/>
      <c r="H1110" s="368"/>
      <c r="I1110" s="368">
        <f t="shared" si="57"/>
        <v>0</v>
      </c>
      <c r="J1110" s="368">
        <f t="shared" si="58"/>
        <v>0</v>
      </c>
      <c r="K1110" s="360" t="s">
        <v>2322</v>
      </c>
    </row>
    <row r="1111" spans="1:11" s="360" customFormat="1" ht="20.25" hidden="1" customHeight="1">
      <c r="A1111" s="356" t="s">
        <v>1145</v>
      </c>
      <c r="B1111" s="357" t="s">
        <v>563</v>
      </c>
      <c r="C1111" s="358">
        <f>'3.60 lakhs'!I1403</f>
        <v>0</v>
      </c>
      <c r="D1111" s="354" t="s">
        <v>115</v>
      </c>
      <c r="E1111" s="355">
        <f>'3.60 lakhs'!K1403</f>
        <v>2941.12</v>
      </c>
      <c r="F1111" s="353">
        <f t="shared" si="59"/>
        <v>0</v>
      </c>
      <c r="G1111" s="368"/>
      <c r="H1111" s="368"/>
      <c r="I1111" s="368">
        <f t="shared" si="57"/>
        <v>0</v>
      </c>
      <c r="J1111" s="368">
        <f t="shared" si="58"/>
        <v>0</v>
      </c>
      <c r="K1111" s="360" t="s">
        <v>2322</v>
      </c>
    </row>
    <row r="1112" spans="1:11" s="360" customFormat="1" ht="20.25" hidden="1" customHeight="1">
      <c r="A1112" s="356" t="s">
        <v>1594</v>
      </c>
      <c r="B1112" s="357" t="s">
        <v>831</v>
      </c>
      <c r="C1112" s="358">
        <f>'3.60 lakhs'!I1408</f>
        <v>0</v>
      </c>
      <c r="D1112" s="354" t="s">
        <v>115</v>
      </c>
      <c r="E1112" s="355">
        <f>'3.60 lakhs'!K1408</f>
        <v>278</v>
      </c>
      <c r="F1112" s="353">
        <f t="shared" si="59"/>
        <v>0</v>
      </c>
      <c r="G1112" s="368"/>
      <c r="H1112" s="368"/>
      <c r="I1112" s="368">
        <f t="shared" si="57"/>
        <v>0</v>
      </c>
      <c r="J1112" s="368">
        <f t="shared" si="58"/>
        <v>0</v>
      </c>
      <c r="K1112" s="360" t="s">
        <v>2322</v>
      </c>
    </row>
    <row r="1113" spans="1:11" s="360" customFormat="1" ht="20.25" hidden="1" customHeight="1">
      <c r="A1113" s="356" t="s">
        <v>1595</v>
      </c>
      <c r="B1113" s="357" t="s">
        <v>967</v>
      </c>
      <c r="C1113" s="358">
        <f>'3.60 lakhs'!I1413</f>
        <v>0</v>
      </c>
      <c r="D1113" s="354" t="s">
        <v>115</v>
      </c>
      <c r="E1113" s="355">
        <f>'3.60 lakhs'!K1413</f>
        <v>163.065</v>
      </c>
      <c r="F1113" s="353">
        <f t="shared" si="59"/>
        <v>0</v>
      </c>
      <c r="G1113" s="368"/>
      <c r="H1113" s="368"/>
      <c r="I1113" s="368">
        <f t="shared" si="57"/>
        <v>0</v>
      </c>
      <c r="J1113" s="368">
        <f t="shared" si="58"/>
        <v>0</v>
      </c>
      <c r="K1113" s="360" t="s">
        <v>2322</v>
      </c>
    </row>
    <row r="1114" spans="1:11" s="360" customFormat="1" ht="20.25" hidden="1" customHeight="1">
      <c r="A1114" s="356" t="s">
        <v>1596</v>
      </c>
      <c r="B1114" s="357" t="s">
        <v>1576</v>
      </c>
      <c r="C1114" s="358">
        <f>'3.60 lakhs'!I1398</f>
        <v>0</v>
      </c>
      <c r="D1114" s="354" t="s">
        <v>115</v>
      </c>
      <c r="E1114" s="355">
        <f>'3.60 lakhs'!K1398</f>
        <v>227.41000000000003</v>
      </c>
      <c r="F1114" s="353">
        <f t="shared" si="59"/>
        <v>0</v>
      </c>
      <c r="G1114" s="368"/>
      <c r="H1114" s="368"/>
      <c r="I1114" s="368">
        <f t="shared" si="57"/>
        <v>0</v>
      </c>
      <c r="J1114" s="368">
        <f t="shared" si="58"/>
        <v>0</v>
      </c>
      <c r="K1114" s="360" t="s">
        <v>2322</v>
      </c>
    </row>
    <row r="1115" spans="1:11" s="360" customFormat="1" ht="20.25" hidden="1" customHeight="1">
      <c r="A1115" s="356" t="s">
        <v>1592</v>
      </c>
      <c r="B1115" s="357" t="s">
        <v>832</v>
      </c>
      <c r="C1115" s="358">
        <f>'3.60 lakhs'!I1420</f>
        <v>0</v>
      </c>
      <c r="D1115" s="354" t="s">
        <v>115</v>
      </c>
      <c r="E1115" s="355">
        <f>'3.60 lakhs'!K1420</f>
        <v>161.5</v>
      </c>
      <c r="F1115" s="353">
        <f t="shared" si="59"/>
        <v>0</v>
      </c>
      <c r="G1115" s="368"/>
      <c r="H1115" s="368"/>
      <c r="I1115" s="368">
        <f t="shared" si="57"/>
        <v>0</v>
      </c>
      <c r="J1115" s="368">
        <f t="shared" si="58"/>
        <v>0</v>
      </c>
      <c r="K1115" s="360" t="s">
        <v>2322</v>
      </c>
    </row>
    <row r="1116" spans="1:11" s="360" customFormat="1" ht="20.25" hidden="1" customHeight="1">
      <c r="A1116" s="356" t="s">
        <v>1593</v>
      </c>
      <c r="B1116" s="357" t="s">
        <v>564</v>
      </c>
      <c r="C1116" s="358">
        <f>'3.60 lakhs'!I1426</f>
        <v>0</v>
      </c>
      <c r="D1116" s="354" t="s">
        <v>115</v>
      </c>
      <c r="E1116" s="355">
        <f>'3.60 lakhs'!K1426</f>
        <v>399.94</v>
      </c>
      <c r="F1116" s="353">
        <f t="shared" si="59"/>
        <v>0</v>
      </c>
      <c r="G1116" s="368"/>
      <c r="H1116" s="368"/>
      <c r="I1116" s="368">
        <f t="shared" si="57"/>
        <v>0</v>
      </c>
      <c r="J1116" s="368">
        <f t="shared" si="58"/>
        <v>0</v>
      </c>
      <c r="K1116" s="360" t="s">
        <v>2322</v>
      </c>
    </row>
    <row r="1117" spans="1:11" s="360" customFormat="1" ht="20.25" hidden="1" customHeight="1">
      <c r="A1117" s="356" t="s">
        <v>1155</v>
      </c>
      <c r="B1117" s="357" t="s">
        <v>2284</v>
      </c>
      <c r="C1117" s="358">
        <f>'3.60 lakhs'!I1431</f>
        <v>0</v>
      </c>
      <c r="D1117" s="354" t="s">
        <v>115</v>
      </c>
      <c r="E1117" s="355">
        <f>'3.60 lakhs'!K1431</f>
        <v>1822</v>
      </c>
      <c r="F1117" s="353">
        <f t="shared" si="59"/>
        <v>0</v>
      </c>
      <c r="G1117" s="368"/>
      <c r="H1117" s="368"/>
      <c r="I1117" s="368">
        <f t="shared" si="57"/>
        <v>0</v>
      </c>
      <c r="J1117" s="368">
        <f t="shared" si="58"/>
        <v>0</v>
      </c>
      <c r="K1117" s="360" t="s">
        <v>2322</v>
      </c>
    </row>
    <row r="1118" spans="1:11" s="360" customFormat="1" ht="20.25" hidden="1" customHeight="1">
      <c r="A1118" s="356" t="s">
        <v>1155</v>
      </c>
      <c r="B1118" s="357" t="s">
        <v>2285</v>
      </c>
      <c r="C1118" s="358">
        <f>'3.60 lakhs'!I1436</f>
        <v>0</v>
      </c>
      <c r="D1118" s="354" t="s">
        <v>115</v>
      </c>
      <c r="E1118" s="355">
        <f>'3.60 lakhs'!K1436</f>
        <v>5428</v>
      </c>
      <c r="F1118" s="353">
        <f t="shared" si="59"/>
        <v>0</v>
      </c>
      <c r="G1118" s="368"/>
      <c r="H1118" s="368"/>
      <c r="I1118" s="368">
        <f t="shared" si="57"/>
        <v>0</v>
      </c>
      <c r="J1118" s="368">
        <f t="shared" si="58"/>
        <v>0</v>
      </c>
      <c r="K1118" s="360" t="s">
        <v>2322</v>
      </c>
    </row>
    <row r="1119" spans="1:11" s="360" customFormat="1" ht="20.25" hidden="1" customHeight="1">
      <c r="A1119" s="356" t="s">
        <v>1579</v>
      </c>
      <c r="B1119" s="357" t="s">
        <v>1568</v>
      </c>
      <c r="C1119" s="358">
        <f>'3.60 lakhs'!I1446</f>
        <v>0</v>
      </c>
      <c r="D1119" s="354" t="s">
        <v>115</v>
      </c>
      <c r="E1119" s="355">
        <f>'3.60 lakhs'!K1446</f>
        <v>3662</v>
      </c>
      <c r="F1119" s="353">
        <f t="shared" si="59"/>
        <v>0</v>
      </c>
      <c r="G1119" s="368"/>
      <c r="H1119" s="368"/>
      <c r="I1119" s="368">
        <f t="shared" si="57"/>
        <v>0</v>
      </c>
      <c r="J1119" s="368">
        <f t="shared" si="58"/>
        <v>0</v>
      </c>
      <c r="K1119" s="360" t="s">
        <v>2322</v>
      </c>
    </row>
    <row r="1120" spans="1:11" s="360" customFormat="1" ht="20.25" hidden="1" customHeight="1">
      <c r="A1120" s="356" t="s">
        <v>1161</v>
      </c>
      <c r="B1120" s="357" t="s">
        <v>797</v>
      </c>
      <c r="C1120" s="358">
        <f>'3.60 lakhs'!I1441</f>
        <v>0</v>
      </c>
      <c r="D1120" s="354" t="s">
        <v>115</v>
      </c>
      <c r="E1120" s="355">
        <f>'3.60 lakhs'!K1441</f>
        <v>1634</v>
      </c>
      <c r="F1120" s="353">
        <f t="shared" si="59"/>
        <v>0</v>
      </c>
      <c r="G1120" s="368"/>
      <c r="H1120" s="368"/>
      <c r="I1120" s="368">
        <f t="shared" si="57"/>
        <v>0</v>
      </c>
      <c r="J1120" s="368">
        <f t="shared" si="58"/>
        <v>0</v>
      </c>
      <c r="K1120" s="360" t="s">
        <v>2322</v>
      </c>
    </row>
    <row r="1121" spans="1:11" s="360" customFormat="1" ht="30.75" hidden="1" customHeight="1">
      <c r="A1121" s="356" t="s">
        <v>1580</v>
      </c>
      <c r="B1121" s="357" t="s">
        <v>2135</v>
      </c>
      <c r="C1121" s="358">
        <f>'3.60 lakhs'!I1451</f>
        <v>0</v>
      </c>
      <c r="D1121" s="354" t="s">
        <v>115</v>
      </c>
      <c r="E1121" s="355">
        <f>'3.60 lakhs'!K1451</f>
        <v>1089.96</v>
      </c>
      <c r="F1121" s="353">
        <f t="shared" si="59"/>
        <v>0</v>
      </c>
      <c r="G1121" s="368"/>
      <c r="H1121" s="368"/>
      <c r="I1121" s="368">
        <f t="shared" si="57"/>
        <v>0</v>
      </c>
      <c r="J1121" s="368">
        <f t="shared" si="58"/>
        <v>0</v>
      </c>
      <c r="K1121" s="360" t="s">
        <v>2322</v>
      </c>
    </row>
    <row r="1122" spans="1:11" s="360" customFormat="1" hidden="1">
      <c r="A1122" s="356" t="s">
        <v>1145</v>
      </c>
      <c r="B1122" s="357" t="s">
        <v>565</v>
      </c>
      <c r="C1122" s="358">
        <f>'3.60 lakhs'!I1456</f>
        <v>0</v>
      </c>
      <c r="D1122" s="354" t="s">
        <v>115</v>
      </c>
      <c r="E1122" s="355">
        <f>'3.60 lakhs'!K1456</f>
        <v>4142.4250000000002</v>
      </c>
      <c r="F1122" s="353">
        <f t="shared" si="59"/>
        <v>0</v>
      </c>
      <c r="G1122" s="368"/>
      <c r="H1122" s="368"/>
      <c r="I1122" s="368">
        <f t="shared" si="57"/>
        <v>0</v>
      </c>
      <c r="J1122" s="368">
        <f t="shared" si="58"/>
        <v>0</v>
      </c>
      <c r="K1122" s="360" t="s">
        <v>2322</v>
      </c>
    </row>
    <row r="1123" spans="1:11" s="360" customFormat="1" hidden="1">
      <c r="A1123" s="356" t="s">
        <v>2703</v>
      </c>
      <c r="B1123" s="357" t="s">
        <v>2283</v>
      </c>
      <c r="C1123" s="358">
        <f>'3.60 lakhs'!I1461</f>
        <v>0</v>
      </c>
      <c r="D1123" s="354" t="s">
        <v>102</v>
      </c>
      <c r="E1123" s="355">
        <f>'3.60 lakhs'!K1461</f>
        <v>630</v>
      </c>
      <c r="F1123" s="353">
        <f t="shared" si="59"/>
        <v>0</v>
      </c>
      <c r="G1123" s="368"/>
      <c r="H1123" s="368"/>
      <c r="I1123" s="368">
        <f t="shared" si="57"/>
        <v>0</v>
      </c>
      <c r="J1123" s="368">
        <f t="shared" si="58"/>
        <v>0</v>
      </c>
      <c r="K1123" s="360" t="s">
        <v>2322</v>
      </c>
    </row>
    <row r="1124" spans="1:11" s="360" customFormat="1" hidden="1">
      <c r="A1124" s="356" t="s">
        <v>646</v>
      </c>
      <c r="B1124" s="357" t="s">
        <v>2475</v>
      </c>
      <c r="C1124" s="358">
        <f>'3.60 lakhs'!I1462</f>
        <v>0</v>
      </c>
      <c r="D1124" s="354"/>
      <c r="E1124" s="355">
        <f>'3.60 lakhs'!K1462</f>
        <v>0</v>
      </c>
      <c r="F1124" s="353"/>
      <c r="G1124" s="368"/>
      <c r="H1124" s="368"/>
      <c r="I1124" s="368">
        <f t="shared" si="57"/>
        <v>0</v>
      </c>
      <c r="J1124" s="368">
        <f t="shared" si="58"/>
        <v>0</v>
      </c>
      <c r="K1124" s="360" t="s">
        <v>2322</v>
      </c>
    </row>
    <row r="1125" spans="1:11" s="26" customFormat="1" hidden="1">
      <c r="A1125" s="23" t="s">
        <v>1260</v>
      </c>
      <c r="B1125" s="54" t="s">
        <v>2815</v>
      </c>
      <c r="C1125" s="28"/>
      <c r="D1125" s="24"/>
      <c r="E1125" s="37"/>
      <c r="F1125" s="11">
        <f>WORK!M4017</f>
        <v>0</v>
      </c>
      <c r="G1125" s="25"/>
      <c r="H1125" s="25"/>
      <c r="I1125" s="25">
        <f t="shared" ref="I1125" si="60">C1125-G1125</f>
        <v>0</v>
      </c>
      <c r="J1125" s="25">
        <f t="shared" ref="J1125" si="61">F1125-H1125</f>
        <v>0</v>
      </c>
    </row>
    <row r="1126" spans="1:11" s="26" customFormat="1">
      <c r="A1126" s="23" t="s">
        <v>508</v>
      </c>
      <c r="B1126" s="54" t="s">
        <v>2211</v>
      </c>
      <c r="C1126" s="28"/>
      <c r="D1126" s="24"/>
      <c r="E1126" s="37"/>
      <c r="F1126" s="11">
        <f>WORK!M4016</f>
        <v>22044</v>
      </c>
      <c r="G1126" s="25"/>
      <c r="H1126" s="25"/>
      <c r="I1126" s="25">
        <f t="shared" ref="I1126:I1129" si="62">C1126-G1126</f>
        <v>0</v>
      </c>
      <c r="J1126" s="25">
        <f t="shared" ref="J1126:J1129" si="63">F1126-H1126</f>
        <v>22044</v>
      </c>
    </row>
    <row r="1127" spans="1:11" s="26" customFormat="1">
      <c r="A1127" s="23" t="s">
        <v>510</v>
      </c>
      <c r="B1127" s="54" t="s">
        <v>1456</v>
      </c>
      <c r="C1127" s="28"/>
      <c r="D1127" s="24"/>
      <c r="E1127" s="37"/>
      <c r="F1127" s="11">
        <f>WORK!M4015</f>
        <v>7906</v>
      </c>
      <c r="G1127" s="25"/>
      <c r="H1127" s="25"/>
      <c r="I1127" s="25">
        <f t="shared" si="62"/>
        <v>0</v>
      </c>
      <c r="J1127" s="25">
        <f t="shared" si="63"/>
        <v>7906</v>
      </c>
    </row>
    <row r="1128" spans="1:11" s="26" customFormat="1" hidden="1">
      <c r="A1128" s="23" t="s">
        <v>2706</v>
      </c>
      <c r="B1128" s="27" t="s">
        <v>445</v>
      </c>
      <c r="C1128" s="28"/>
      <c r="D1128" s="224"/>
      <c r="E1128" s="29"/>
      <c r="F1128" s="223">
        <f>abstract!G17</f>
        <v>0</v>
      </c>
      <c r="G1128" s="25"/>
      <c r="H1128" s="25"/>
      <c r="I1128" s="25">
        <f t="shared" si="62"/>
        <v>0</v>
      </c>
      <c r="J1128" s="25">
        <f t="shared" si="63"/>
        <v>0</v>
      </c>
    </row>
    <row r="1129" spans="1:11" s="26" customFormat="1" hidden="1">
      <c r="A1129" s="23" t="s">
        <v>1596</v>
      </c>
      <c r="B1129" s="27" t="s">
        <v>567</v>
      </c>
      <c r="C1129" s="28"/>
      <c r="D1129" s="224"/>
      <c r="E1129" s="29"/>
      <c r="F1129" s="223">
        <f>WORK!M4023</f>
        <v>0</v>
      </c>
      <c r="G1129" s="25"/>
      <c r="H1129" s="25"/>
      <c r="I1129" s="25">
        <f t="shared" si="62"/>
        <v>0</v>
      </c>
      <c r="J1129" s="25">
        <f t="shared" si="63"/>
        <v>0</v>
      </c>
    </row>
    <row r="1130" spans="1:11" s="26" customFormat="1" ht="20.25" hidden="1" customHeight="1">
      <c r="A1130" s="23"/>
      <c r="B1130" s="27"/>
      <c r="C1130" s="28"/>
      <c r="D1130" s="224"/>
      <c r="E1130" s="29"/>
      <c r="F1130" s="223"/>
      <c r="G1130" s="25"/>
      <c r="H1130" s="25"/>
      <c r="I1130" s="25"/>
      <c r="J1130" s="25"/>
    </row>
    <row r="1131" spans="1:11" s="26" customFormat="1" ht="20.25" customHeight="1">
      <c r="A1131" s="23"/>
      <c r="B1131" s="30"/>
      <c r="C1131" s="28"/>
      <c r="D1131" s="225"/>
      <c r="E1131" s="23"/>
      <c r="F1131" s="31">
        <f>SUM(F7:F1130)</f>
        <v>2146251</v>
      </c>
      <c r="G1131" s="31">
        <f>SUM(G7:G1129)</f>
        <v>0</v>
      </c>
      <c r="H1131" s="31">
        <f>SUM(H7:H1129)</f>
        <v>0</v>
      </c>
      <c r="I1131" s="31"/>
      <c r="J1131" s="31">
        <f>SUM(J7:J1130)</f>
        <v>2146251</v>
      </c>
    </row>
    <row r="1132" spans="1:11" ht="17.25" customHeight="1">
      <c r="A1132" s="26"/>
      <c r="B1132" s="32"/>
    </row>
    <row r="1133" spans="1:11" s="33" customFormat="1">
      <c r="A1133" s="26"/>
      <c r="B1133" s="32"/>
      <c r="D1133" s="34"/>
      <c r="E1133" s="17"/>
      <c r="F1133" s="17"/>
      <c r="G1133" s="35"/>
      <c r="H1133" s="35"/>
      <c r="I1133" s="35"/>
      <c r="J1133" s="17"/>
    </row>
    <row r="1134" spans="1:11" s="33" customFormat="1">
      <c r="A1134" s="26"/>
      <c r="B1134" s="32"/>
      <c r="D1134" s="34"/>
      <c r="E1134" s="17"/>
      <c r="F1134" s="17"/>
      <c r="G1134" s="35"/>
      <c r="H1134" s="35"/>
      <c r="I1134" s="35"/>
      <c r="J1134" s="17"/>
    </row>
    <row r="1135" spans="1:11" s="33" customFormat="1">
      <c r="A1135" s="26"/>
      <c r="B1135" s="32"/>
      <c r="D1135" s="34"/>
      <c r="E1135" s="17"/>
      <c r="F1135" s="56">
        <f>abstract!G14+abstract!G17+WORK!M4023</f>
        <v>0</v>
      </c>
      <c r="G1135" s="35"/>
      <c r="H1135" s="35"/>
      <c r="I1135" s="35"/>
      <c r="J1135" s="17"/>
    </row>
    <row r="1136" spans="1:11" s="33" customFormat="1">
      <c r="A1136" s="26"/>
      <c r="B1136" s="32"/>
      <c r="D1136" s="34"/>
      <c r="E1136" s="17"/>
      <c r="F1136" s="56">
        <f>F1131-F1135</f>
        <v>2146251</v>
      </c>
      <c r="G1136" s="35" t="s">
        <v>2553</v>
      </c>
      <c r="H1136" s="35"/>
      <c r="I1136" s="35"/>
      <c r="J1136" s="17"/>
    </row>
    <row r="1137" spans="1:10" s="33" customFormat="1">
      <c r="A1137" s="26"/>
      <c r="B1137" s="17"/>
      <c r="D1137" s="34"/>
      <c r="E1137" s="17"/>
      <c r="F1137" s="17"/>
      <c r="G1137" s="35"/>
      <c r="H1137" s="35"/>
      <c r="I1137" s="35"/>
      <c r="J1137" s="17"/>
    </row>
    <row r="1138" spans="1:10" s="33" customFormat="1">
      <c r="A1138" s="26"/>
      <c r="B1138" s="17"/>
      <c r="D1138" s="34"/>
      <c r="E1138" s="17"/>
      <c r="F1138" s="17"/>
      <c r="G1138" s="35"/>
      <c r="H1138" s="35"/>
      <c r="I1138" s="35"/>
      <c r="J1138" s="17"/>
    </row>
    <row r="1139" spans="1:10" s="33" customFormat="1">
      <c r="A1139" s="26"/>
      <c r="B1139" s="17"/>
      <c r="D1139" s="34"/>
      <c r="E1139" s="17"/>
      <c r="F1139" s="17"/>
      <c r="G1139" s="35"/>
      <c r="H1139" s="35"/>
      <c r="I1139" s="35"/>
      <c r="J1139" s="17"/>
    </row>
    <row r="1140" spans="1:10" s="33" customFormat="1">
      <c r="A1140" s="26"/>
      <c r="B1140" s="17"/>
      <c r="D1140" s="34"/>
      <c r="E1140" s="17"/>
      <c r="F1140" s="17"/>
      <c r="G1140" s="35"/>
      <c r="H1140" s="35"/>
      <c r="I1140" s="35"/>
      <c r="J1140" s="17"/>
    </row>
    <row r="1141" spans="1:10" s="33" customFormat="1">
      <c r="A1141" s="26"/>
      <c r="B1141" s="17"/>
      <c r="D1141" s="34"/>
      <c r="E1141" s="17"/>
      <c r="F1141" s="17"/>
      <c r="G1141" s="35"/>
      <c r="H1141" s="35"/>
      <c r="I1141" s="35"/>
      <c r="J1141" s="17"/>
    </row>
    <row r="1142" spans="1:10" s="33" customFormat="1">
      <c r="A1142" s="26"/>
      <c r="B1142" s="17"/>
      <c r="D1142" s="34"/>
      <c r="E1142" s="17"/>
      <c r="F1142" s="17"/>
      <c r="G1142" s="35"/>
      <c r="H1142" s="35"/>
      <c r="I1142" s="35"/>
      <c r="J1142" s="17"/>
    </row>
    <row r="1143" spans="1:10" s="33" customFormat="1">
      <c r="A1143" s="26"/>
      <c r="B1143" s="17"/>
      <c r="D1143" s="34"/>
      <c r="E1143" s="17"/>
      <c r="F1143" s="17"/>
      <c r="G1143" s="35"/>
      <c r="H1143" s="35"/>
      <c r="I1143" s="35"/>
      <c r="J1143" s="17"/>
    </row>
    <row r="1144" spans="1:10" s="33" customFormat="1">
      <c r="A1144" s="26"/>
      <c r="B1144" s="17"/>
      <c r="D1144" s="34"/>
      <c r="E1144" s="17"/>
      <c r="F1144" s="17"/>
      <c r="G1144" s="35"/>
      <c r="H1144" s="35"/>
      <c r="I1144" s="35"/>
      <c r="J1144" s="17"/>
    </row>
    <row r="1145" spans="1:10" s="33" customFormat="1">
      <c r="A1145" s="26"/>
      <c r="B1145" s="17"/>
      <c r="D1145" s="34"/>
      <c r="E1145" s="17"/>
      <c r="F1145" s="17"/>
      <c r="G1145" s="35"/>
      <c r="H1145" s="35"/>
      <c r="I1145" s="35"/>
      <c r="J1145" s="17"/>
    </row>
    <row r="1146" spans="1:10" s="33" customFormat="1">
      <c r="A1146" s="26"/>
      <c r="B1146" s="17"/>
      <c r="D1146" s="34"/>
      <c r="E1146" s="17"/>
      <c r="F1146" s="17"/>
      <c r="G1146" s="35"/>
      <c r="H1146" s="35"/>
      <c r="I1146" s="35"/>
      <c r="J1146" s="17"/>
    </row>
    <row r="1147" spans="1:10" s="33" customFormat="1">
      <c r="A1147" s="26"/>
      <c r="B1147" s="17"/>
      <c r="D1147" s="34"/>
      <c r="E1147" s="17"/>
      <c r="F1147" s="17"/>
      <c r="G1147" s="35"/>
      <c r="H1147" s="35"/>
      <c r="I1147" s="35"/>
      <c r="J1147" s="17"/>
    </row>
    <row r="1148" spans="1:10" s="33" customFormat="1">
      <c r="A1148" s="26"/>
      <c r="B1148" s="17"/>
      <c r="D1148" s="34"/>
      <c r="E1148" s="17"/>
      <c r="F1148" s="17"/>
      <c r="G1148" s="35"/>
      <c r="H1148" s="35"/>
      <c r="I1148" s="35"/>
      <c r="J1148" s="17"/>
    </row>
    <row r="1149" spans="1:10">
      <c r="A1149" s="26"/>
    </row>
    <row r="1150" spans="1:10">
      <c r="A1150" s="26"/>
    </row>
    <row r="1151" spans="1:10">
      <c r="A1151" s="26"/>
    </row>
    <row r="1152" spans="1:10">
      <c r="A1152" s="26"/>
    </row>
    <row r="1153" spans="1:9">
      <c r="A1153" s="26"/>
    </row>
    <row r="1154" spans="1:9">
      <c r="A1154" s="26"/>
    </row>
    <row r="1155" spans="1:9">
      <c r="A1155" s="26"/>
    </row>
    <row r="1156" spans="1:9">
      <c r="A1156" s="26"/>
    </row>
    <row r="1157" spans="1:9">
      <c r="A1157" s="26"/>
      <c r="C1157" s="17"/>
      <c r="D1157" s="17"/>
      <c r="G1157" s="17"/>
      <c r="H1157" s="17"/>
      <c r="I1157" s="17"/>
    </row>
    <row r="1158" spans="1:9">
      <c r="A1158" s="26"/>
      <c r="C1158" s="17"/>
      <c r="D1158" s="17"/>
      <c r="G1158" s="17"/>
      <c r="H1158" s="17"/>
      <c r="I1158" s="17"/>
    </row>
    <row r="1159" spans="1:9">
      <c r="A1159" s="26"/>
      <c r="C1159" s="17"/>
      <c r="D1159" s="17"/>
      <c r="G1159" s="17"/>
      <c r="H1159" s="17"/>
      <c r="I1159" s="17"/>
    </row>
    <row r="1160" spans="1:9">
      <c r="A1160" s="26"/>
      <c r="C1160" s="17"/>
      <c r="D1160" s="17"/>
      <c r="G1160" s="17"/>
      <c r="H1160" s="17"/>
      <c r="I1160" s="17"/>
    </row>
    <row r="1161" spans="1:9">
      <c r="A1161" s="26"/>
      <c r="C1161" s="17"/>
      <c r="D1161" s="17"/>
      <c r="G1161" s="17"/>
      <c r="H1161" s="17"/>
      <c r="I1161" s="17"/>
    </row>
    <row r="1162" spans="1:9">
      <c r="A1162" s="26"/>
      <c r="C1162" s="17"/>
      <c r="D1162" s="17"/>
      <c r="G1162" s="17"/>
      <c r="H1162" s="17"/>
      <c r="I1162" s="17"/>
    </row>
    <row r="1163" spans="1:9">
      <c r="A1163" s="26"/>
      <c r="C1163" s="17"/>
      <c r="D1163" s="17"/>
      <c r="G1163" s="17"/>
      <c r="H1163" s="17"/>
      <c r="I1163" s="17"/>
    </row>
    <row r="1164" spans="1:9">
      <c r="A1164" s="26"/>
      <c r="C1164" s="17"/>
      <c r="D1164" s="17"/>
      <c r="G1164" s="17"/>
      <c r="H1164" s="17"/>
      <c r="I1164" s="17"/>
    </row>
    <row r="1165" spans="1:9">
      <c r="A1165" s="26"/>
      <c r="C1165" s="17"/>
      <c r="D1165" s="17"/>
      <c r="G1165" s="17"/>
      <c r="H1165" s="17"/>
      <c r="I1165" s="17"/>
    </row>
    <row r="1166" spans="1:9">
      <c r="A1166" s="26"/>
      <c r="C1166" s="17"/>
      <c r="D1166" s="17"/>
      <c r="G1166" s="17"/>
      <c r="H1166" s="17"/>
      <c r="I1166" s="17"/>
    </row>
    <row r="1167" spans="1:9">
      <c r="A1167" s="26"/>
      <c r="C1167" s="17"/>
      <c r="D1167" s="17"/>
      <c r="G1167" s="17"/>
      <c r="H1167" s="17"/>
      <c r="I1167" s="17"/>
    </row>
    <row r="1168" spans="1:9">
      <c r="A1168" s="26"/>
      <c r="C1168" s="17"/>
      <c r="D1168" s="17"/>
      <c r="G1168" s="17"/>
      <c r="H1168" s="17"/>
      <c r="I1168" s="17"/>
    </row>
    <row r="1169" spans="1:9">
      <c r="A1169" s="26"/>
      <c r="C1169" s="17"/>
      <c r="D1169" s="17"/>
      <c r="G1169" s="17"/>
      <c r="H1169" s="17"/>
      <c r="I1169" s="17"/>
    </row>
    <row r="1170" spans="1:9">
      <c r="A1170" s="26"/>
      <c r="C1170" s="17"/>
      <c r="D1170" s="17"/>
      <c r="G1170" s="17"/>
      <c r="H1170" s="17"/>
      <c r="I1170" s="17"/>
    </row>
    <row r="1171" spans="1:9">
      <c r="A1171" s="26"/>
      <c r="C1171" s="17"/>
      <c r="D1171" s="17"/>
      <c r="G1171" s="17"/>
      <c r="H1171" s="17"/>
      <c r="I1171" s="17"/>
    </row>
    <row r="1172" spans="1:9">
      <c r="A1172" s="26"/>
      <c r="C1172" s="17"/>
      <c r="D1172" s="17"/>
      <c r="G1172" s="17"/>
      <c r="H1172" s="17"/>
      <c r="I1172" s="17"/>
    </row>
    <row r="1173" spans="1:9">
      <c r="A1173" s="26"/>
      <c r="C1173" s="17"/>
      <c r="D1173" s="17"/>
      <c r="G1173" s="17"/>
      <c r="H1173" s="17"/>
      <c r="I1173" s="17"/>
    </row>
    <row r="1174" spans="1:9">
      <c r="A1174" s="26"/>
      <c r="C1174" s="17"/>
      <c r="D1174" s="17"/>
      <c r="G1174" s="17"/>
      <c r="H1174" s="17"/>
      <c r="I1174" s="17"/>
    </row>
    <row r="1175" spans="1:9">
      <c r="A1175" s="26"/>
      <c r="C1175" s="17"/>
      <c r="D1175" s="17"/>
      <c r="G1175" s="17"/>
      <c r="H1175" s="17"/>
      <c r="I1175" s="17"/>
    </row>
    <row r="1176" spans="1:9">
      <c r="A1176" s="26"/>
      <c r="C1176" s="17"/>
      <c r="D1176" s="17"/>
      <c r="G1176" s="17"/>
      <c r="H1176" s="17"/>
      <c r="I1176" s="17"/>
    </row>
    <row r="1177" spans="1:9">
      <c r="A1177" s="26"/>
      <c r="C1177" s="17"/>
      <c r="D1177" s="17"/>
      <c r="G1177" s="17"/>
      <c r="H1177" s="17"/>
      <c r="I1177" s="17"/>
    </row>
    <row r="1178" spans="1:9">
      <c r="A1178" s="26"/>
      <c r="C1178" s="17"/>
      <c r="D1178" s="17"/>
      <c r="G1178" s="17"/>
      <c r="H1178" s="17"/>
      <c r="I1178" s="17"/>
    </row>
    <row r="1179" spans="1:9">
      <c r="A1179" s="26"/>
      <c r="C1179" s="17"/>
      <c r="D1179" s="17"/>
      <c r="G1179" s="17"/>
      <c r="H1179" s="17"/>
      <c r="I1179" s="17"/>
    </row>
    <row r="1180" spans="1:9">
      <c r="A1180" s="26"/>
      <c r="C1180" s="17"/>
      <c r="D1180" s="17"/>
      <c r="G1180" s="17"/>
      <c r="H1180" s="17"/>
      <c r="I1180" s="17"/>
    </row>
    <row r="1181" spans="1:9">
      <c r="A1181" s="26"/>
      <c r="C1181" s="17"/>
      <c r="D1181" s="17"/>
      <c r="G1181" s="17"/>
      <c r="H1181" s="17"/>
      <c r="I1181" s="17"/>
    </row>
    <row r="1182" spans="1:9">
      <c r="A1182" s="26"/>
      <c r="C1182" s="17"/>
      <c r="D1182" s="17"/>
      <c r="G1182" s="17"/>
      <c r="H1182" s="17"/>
      <c r="I1182" s="17"/>
    </row>
    <row r="1183" spans="1:9">
      <c r="A1183" s="26"/>
      <c r="C1183" s="17"/>
      <c r="D1183" s="17"/>
      <c r="G1183" s="17"/>
      <c r="H1183" s="17"/>
      <c r="I1183" s="17"/>
    </row>
    <row r="1184" spans="1:9">
      <c r="A1184" s="26"/>
      <c r="C1184" s="17"/>
      <c r="D1184" s="17"/>
      <c r="G1184" s="17"/>
      <c r="H1184" s="17"/>
      <c r="I1184" s="17"/>
    </row>
    <row r="1185" spans="1:9">
      <c r="A1185" s="26"/>
      <c r="C1185" s="17"/>
      <c r="D1185" s="17"/>
      <c r="G1185" s="17"/>
      <c r="H1185" s="17"/>
      <c r="I1185" s="17"/>
    </row>
    <row r="1186" spans="1:9">
      <c r="A1186" s="26"/>
      <c r="C1186" s="17"/>
      <c r="D1186" s="17"/>
      <c r="G1186" s="17"/>
      <c r="H1186" s="17"/>
      <c r="I1186" s="17"/>
    </row>
    <row r="1187" spans="1:9">
      <c r="A1187" s="26"/>
      <c r="C1187" s="17"/>
      <c r="D1187" s="17"/>
      <c r="G1187" s="17"/>
      <c r="H1187" s="17"/>
      <c r="I1187" s="17"/>
    </row>
    <row r="1188" spans="1:9">
      <c r="A1188" s="26"/>
      <c r="C1188" s="17"/>
      <c r="D1188" s="17"/>
      <c r="G1188" s="17"/>
      <c r="H1188" s="17"/>
      <c r="I1188" s="17"/>
    </row>
    <row r="1189" spans="1:9">
      <c r="A1189" s="26"/>
      <c r="C1189" s="17"/>
      <c r="D1189" s="17"/>
      <c r="G1189" s="17"/>
      <c r="H1189" s="17"/>
      <c r="I1189" s="17"/>
    </row>
    <row r="1190" spans="1:9">
      <c r="A1190" s="26"/>
      <c r="C1190" s="17"/>
      <c r="D1190" s="17"/>
      <c r="G1190" s="17"/>
      <c r="H1190" s="17"/>
      <c r="I1190" s="17"/>
    </row>
    <row r="1191" spans="1:9">
      <c r="A1191" s="26"/>
      <c r="C1191" s="17"/>
      <c r="D1191" s="17"/>
      <c r="G1191" s="17"/>
      <c r="H1191" s="17"/>
      <c r="I1191" s="17"/>
    </row>
    <row r="1192" spans="1:9">
      <c r="A1192" s="26"/>
      <c r="C1192" s="17"/>
      <c r="D1192" s="17"/>
      <c r="G1192" s="17"/>
      <c r="H1192" s="17"/>
      <c r="I1192" s="17"/>
    </row>
    <row r="1193" spans="1:9">
      <c r="A1193" s="26"/>
      <c r="C1193" s="17"/>
      <c r="D1193" s="17"/>
      <c r="G1193" s="17"/>
      <c r="H1193" s="17"/>
      <c r="I1193" s="17"/>
    </row>
    <row r="1194" spans="1:9">
      <c r="A1194" s="26"/>
      <c r="C1194" s="17"/>
      <c r="D1194" s="17"/>
      <c r="G1194" s="17"/>
      <c r="H1194" s="17"/>
      <c r="I1194" s="17"/>
    </row>
    <row r="1195" spans="1:9">
      <c r="A1195" s="26"/>
      <c r="C1195" s="17"/>
      <c r="D1195" s="17"/>
      <c r="G1195" s="17"/>
      <c r="H1195" s="17"/>
      <c r="I1195" s="17"/>
    </row>
    <row r="1196" spans="1:9">
      <c r="A1196" s="26"/>
      <c r="C1196" s="17"/>
      <c r="D1196" s="17"/>
      <c r="G1196" s="17"/>
      <c r="H1196" s="17"/>
      <c r="I1196" s="17"/>
    </row>
    <row r="1197" spans="1:9">
      <c r="A1197" s="26"/>
      <c r="C1197" s="17"/>
      <c r="D1197" s="17"/>
      <c r="G1197" s="17"/>
      <c r="H1197" s="17"/>
      <c r="I1197" s="17"/>
    </row>
    <row r="1198" spans="1:9">
      <c r="A1198" s="26"/>
      <c r="C1198" s="17"/>
      <c r="D1198" s="17"/>
      <c r="G1198" s="17"/>
      <c r="H1198" s="17"/>
      <c r="I1198" s="17"/>
    </row>
    <row r="1199" spans="1:9">
      <c r="A1199" s="26"/>
      <c r="C1199" s="17"/>
      <c r="D1199" s="17"/>
      <c r="G1199" s="17"/>
      <c r="H1199" s="17"/>
      <c r="I1199" s="17"/>
    </row>
    <row r="1200" spans="1:9">
      <c r="A1200" s="26"/>
      <c r="C1200" s="17"/>
      <c r="D1200" s="17"/>
      <c r="G1200" s="17"/>
      <c r="H1200" s="17"/>
      <c r="I1200" s="17"/>
    </row>
    <row r="1201" spans="1:9">
      <c r="A1201" s="26"/>
      <c r="C1201" s="17"/>
      <c r="D1201" s="17"/>
      <c r="G1201" s="17"/>
      <c r="H1201" s="17"/>
      <c r="I1201" s="17"/>
    </row>
    <row r="1202" spans="1:9">
      <c r="A1202" s="26"/>
      <c r="C1202" s="17"/>
      <c r="D1202" s="17"/>
      <c r="G1202" s="17"/>
      <c r="H1202" s="17"/>
      <c r="I1202" s="17"/>
    </row>
    <row r="1203" spans="1:9">
      <c r="A1203" s="26"/>
      <c r="C1203" s="17"/>
      <c r="D1203" s="17"/>
      <c r="G1203" s="17"/>
      <c r="H1203" s="17"/>
      <c r="I1203" s="17"/>
    </row>
    <row r="1204" spans="1:9">
      <c r="A1204" s="26"/>
      <c r="C1204" s="17"/>
      <c r="D1204" s="17"/>
      <c r="G1204" s="17"/>
      <c r="H1204" s="17"/>
      <c r="I1204" s="17"/>
    </row>
    <row r="1205" spans="1:9">
      <c r="A1205" s="26"/>
      <c r="C1205" s="17"/>
      <c r="D1205" s="17"/>
      <c r="G1205" s="17"/>
      <c r="H1205" s="17"/>
      <c r="I1205" s="17"/>
    </row>
    <row r="1206" spans="1:9">
      <c r="A1206" s="26"/>
      <c r="C1206" s="17"/>
      <c r="D1206" s="17"/>
      <c r="G1206" s="17"/>
      <c r="H1206" s="17"/>
      <c r="I1206" s="17"/>
    </row>
    <row r="1207" spans="1:9">
      <c r="A1207" s="26"/>
      <c r="C1207" s="17"/>
      <c r="D1207" s="17"/>
      <c r="G1207" s="17"/>
      <c r="H1207" s="17"/>
      <c r="I1207" s="17"/>
    </row>
    <row r="1208" spans="1:9">
      <c r="A1208" s="26"/>
      <c r="C1208" s="17"/>
      <c r="D1208" s="17"/>
      <c r="G1208" s="17"/>
      <c r="H1208" s="17"/>
      <c r="I1208" s="17"/>
    </row>
    <row r="1209" spans="1:9">
      <c r="A1209" s="26"/>
      <c r="C1209" s="17"/>
      <c r="D1209" s="17"/>
      <c r="G1209" s="17"/>
      <c r="H1209" s="17"/>
      <c r="I1209" s="17"/>
    </row>
    <row r="1210" spans="1:9">
      <c r="A1210" s="26"/>
      <c r="C1210" s="17"/>
      <c r="D1210" s="17"/>
      <c r="G1210" s="17"/>
      <c r="H1210" s="17"/>
      <c r="I1210" s="17"/>
    </row>
    <row r="1211" spans="1:9">
      <c r="A1211" s="26"/>
      <c r="C1211" s="17"/>
      <c r="D1211" s="17"/>
      <c r="G1211" s="17"/>
      <c r="H1211" s="17"/>
      <c r="I1211" s="17"/>
    </row>
    <row r="1212" spans="1:9">
      <c r="A1212" s="26"/>
      <c r="C1212" s="17"/>
      <c r="D1212" s="17"/>
      <c r="G1212" s="17"/>
      <c r="H1212" s="17"/>
      <c r="I1212" s="17"/>
    </row>
    <row r="1213" spans="1:9">
      <c r="A1213" s="26"/>
      <c r="C1213" s="17"/>
      <c r="D1213" s="17"/>
      <c r="G1213" s="17"/>
      <c r="H1213" s="17"/>
      <c r="I1213" s="17"/>
    </row>
    <row r="1214" spans="1:9">
      <c r="A1214" s="26"/>
      <c r="C1214" s="17"/>
      <c r="D1214" s="17"/>
      <c r="G1214" s="17"/>
      <c r="H1214" s="17"/>
      <c r="I1214" s="17"/>
    </row>
    <row r="1215" spans="1:9">
      <c r="A1215" s="26"/>
      <c r="C1215" s="17"/>
      <c r="D1215" s="17"/>
      <c r="G1215" s="17"/>
      <c r="H1215" s="17"/>
      <c r="I1215" s="17"/>
    </row>
    <row r="1216" spans="1:9">
      <c r="A1216" s="26"/>
      <c r="C1216" s="17"/>
      <c r="D1216" s="17"/>
      <c r="G1216" s="17"/>
      <c r="H1216" s="17"/>
      <c r="I1216" s="17"/>
    </row>
    <row r="1217" spans="1:9">
      <c r="A1217" s="26"/>
      <c r="C1217" s="17"/>
      <c r="D1217" s="17"/>
      <c r="G1217" s="17"/>
      <c r="H1217" s="17"/>
      <c r="I1217" s="17"/>
    </row>
    <row r="1218" spans="1:9">
      <c r="A1218" s="26"/>
      <c r="C1218" s="17"/>
      <c r="D1218" s="17"/>
      <c r="G1218" s="17"/>
      <c r="H1218" s="17"/>
      <c r="I1218" s="17"/>
    </row>
    <row r="1219" spans="1:9">
      <c r="A1219" s="26"/>
      <c r="C1219" s="17"/>
      <c r="D1219" s="17"/>
      <c r="G1219" s="17"/>
      <c r="H1219" s="17"/>
      <c r="I1219" s="17"/>
    </row>
    <row r="1220" spans="1:9">
      <c r="A1220" s="26"/>
      <c r="C1220" s="17"/>
      <c r="D1220" s="17"/>
      <c r="G1220" s="17"/>
      <c r="H1220" s="17"/>
      <c r="I1220" s="17"/>
    </row>
    <row r="1221" spans="1:9">
      <c r="A1221" s="26"/>
      <c r="C1221" s="17"/>
      <c r="D1221" s="17"/>
      <c r="G1221" s="17"/>
      <c r="H1221" s="17"/>
      <c r="I1221" s="17"/>
    </row>
    <row r="1222" spans="1:9">
      <c r="A1222" s="26"/>
      <c r="C1222" s="17"/>
      <c r="D1222" s="17"/>
      <c r="G1222" s="17"/>
      <c r="H1222" s="17"/>
      <c r="I1222" s="17"/>
    </row>
    <row r="1223" spans="1:9">
      <c r="A1223" s="26"/>
      <c r="C1223" s="17"/>
      <c r="D1223" s="17"/>
      <c r="G1223" s="17"/>
      <c r="H1223" s="17"/>
      <c r="I1223" s="17"/>
    </row>
    <row r="1224" spans="1:9">
      <c r="A1224" s="26"/>
      <c r="C1224" s="17"/>
      <c r="D1224" s="17"/>
      <c r="G1224" s="17"/>
      <c r="H1224" s="17"/>
      <c r="I1224" s="17"/>
    </row>
    <row r="1225" spans="1:9">
      <c r="A1225" s="26"/>
      <c r="C1225" s="17"/>
      <c r="D1225" s="17"/>
      <c r="G1225" s="17"/>
      <c r="H1225" s="17"/>
      <c r="I1225" s="17"/>
    </row>
    <row r="1226" spans="1:9">
      <c r="A1226" s="26"/>
      <c r="C1226" s="17"/>
      <c r="D1226" s="17"/>
      <c r="G1226" s="17"/>
      <c r="H1226" s="17"/>
      <c r="I1226" s="17"/>
    </row>
    <row r="1227" spans="1:9">
      <c r="A1227" s="26"/>
      <c r="C1227" s="17"/>
      <c r="D1227" s="17"/>
      <c r="G1227" s="17"/>
      <c r="H1227" s="17"/>
      <c r="I1227" s="17"/>
    </row>
    <row r="1228" spans="1:9">
      <c r="A1228" s="26"/>
      <c r="C1228" s="17"/>
      <c r="D1228" s="17"/>
      <c r="G1228" s="17"/>
      <c r="H1228" s="17"/>
      <c r="I1228" s="17"/>
    </row>
    <row r="1229" spans="1:9">
      <c r="A1229" s="26"/>
      <c r="C1229" s="17"/>
      <c r="D1229" s="17"/>
      <c r="G1229" s="17"/>
      <c r="H1229" s="17"/>
      <c r="I1229" s="17"/>
    </row>
    <row r="1230" spans="1:9">
      <c r="A1230" s="26"/>
      <c r="C1230" s="17"/>
      <c r="D1230" s="17"/>
      <c r="G1230" s="17"/>
      <c r="H1230" s="17"/>
      <c r="I1230" s="17"/>
    </row>
    <row r="1231" spans="1:9">
      <c r="A1231" s="26"/>
      <c r="C1231" s="17"/>
      <c r="D1231" s="17"/>
      <c r="G1231" s="17"/>
      <c r="H1231" s="17"/>
      <c r="I1231" s="17"/>
    </row>
    <row r="1232" spans="1:9">
      <c r="A1232" s="26"/>
      <c r="C1232" s="17"/>
      <c r="D1232" s="17"/>
      <c r="G1232" s="17"/>
      <c r="H1232" s="17"/>
      <c r="I1232" s="17"/>
    </row>
    <row r="1233" spans="1:9">
      <c r="A1233" s="26"/>
      <c r="C1233" s="17"/>
      <c r="D1233" s="17"/>
      <c r="G1233" s="17"/>
      <c r="H1233" s="17"/>
      <c r="I1233" s="17"/>
    </row>
    <row r="1234" spans="1:9">
      <c r="A1234" s="26"/>
      <c r="C1234" s="17"/>
      <c r="D1234" s="17"/>
      <c r="G1234" s="17"/>
      <c r="H1234" s="17"/>
      <c r="I1234" s="17"/>
    </row>
    <row r="1235" spans="1:9">
      <c r="A1235" s="26"/>
      <c r="C1235" s="17"/>
      <c r="D1235" s="17"/>
      <c r="G1235" s="17"/>
      <c r="H1235" s="17"/>
      <c r="I1235" s="17"/>
    </row>
    <row r="1236" spans="1:9">
      <c r="A1236" s="26"/>
      <c r="C1236" s="17"/>
      <c r="D1236" s="17"/>
      <c r="G1236" s="17"/>
      <c r="H1236" s="17"/>
      <c r="I1236" s="17"/>
    </row>
    <row r="1237" spans="1:9">
      <c r="A1237" s="26"/>
      <c r="C1237" s="17"/>
      <c r="D1237" s="17"/>
      <c r="G1237" s="17"/>
      <c r="H1237" s="17"/>
      <c r="I1237" s="17"/>
    </row>
    <row r="1238" spans="1:9">
      <c r="A1238" s="26"/>
      <c r="C1238" s="17"/>
      <c r="D1238" s="17"/>
      <c r="G1238" s="17"/>
      <c r="H1238" s="17"/>
      <c r="I1238" s="17"/>
    </row>
    <row r="1239" spans="1:9">
      <c r="A1239" s="26"/>
      <c r="C1239" s="17"/>
      <c r="D1239" s="17"/>
      <c r="G1239" s="17"/>
      <c r="H1239" s="17"/>
      <c r="I1239" s="17"/>
    </row>
  </sheetData>
  <autoFilter ref="A5:J1131">
    <filterColumn colId="2" showButton="0"/>
    <filterColumn colId="5">
      <customFilters>
        <customFilter operator="notEqual" val=" "/>
      </customFilters>
    </filterColumn>
  </autoFilter>
  <mergeCells count="5">
    <mergeCell ref="C4:D4"/>
    <mergeCell ref="C5:D5"/>
    <mergeCell ref="A1:J1"/>
    <mergeCell ref="A2:J2"/>
    <mergeCell ref="G3:J3"/>
  </mergeCells>
  <printOptions horizontalCentered="1"/>
  <pageMargins left="0.23622047244094499" right="0.15748031496063" top="0.25" bottom="0.34" header="0.22" footer="0.23622047244094499"/>
  <pageSetup paperSize="9" orientation="landscape" errors="blank" r:id="rId1"/>
  <headerFooter alignWithMargins="0"/>
  <rowBreaks count="1" manualBreakCount="1">
    <brk id="892" max="9" man="1"/>
  </rowBreaks>
</worksheet>
</file>

<file path=xl/worksheets/sheet38.xml><?xml version="1.0" encoding="utf-8"?>
<worksheet xmlns="http://schemas.openxmlformats.org/spreadsheetml/2006/main" xmlns:r="http://schemas.openxmlformats.org/officeDocument/2006/relationships">
  <sheetPr>
    <tabColor rgb="FF7030A0"/>
  </sheetPr>
  <dimension ref="A1:F313"/>
  <sheetViews>
    <sheetView workbookViewId="0">
      <selection activeCell="C31" sqref="C31:E31"/>
    </sheetView>
  </sheetViews>
  <sheetFormatPr defaultColWidth="9.140625" defaultRowHeight="15"/>
  <cols>
    <col min="1" max="1" width="9.140625" style="463"/>
    <col min="2" max="5" width="14.42578125" style="463" customWidth="1"/>
    <col min="6" max="6" width="11.7109375" style="463" customWidth="1"/>
    <col min="7" max="16384" width="9.140625" style="463"/>
  </cols>
  <sheetData>
    <row r="1" spans="1:6" ht="23.25">
      <c r="A1" s="1948" t="s">
        <v>1641</v>
      </c>
      <c r="B1" s="1948"/>
      <c r="C1" s="1948"/>
      <c r="D1" s="1948"/>
      <c r="E1" s="1948"/>
      <c r="F1" s="1948"/>
    </row>
    <row r="2" spans="1:6" ht="18">
      <c r="A2" s="464"/>
      <c r="B2" s="1949" t="s">
        <v>1642</v>
      </c>
      <c r="C2" s="1949"/>
      <c r="D2" s="1949"/>
      <c r="E2" s="464"/>
      <c r="F2" s="464"/>
    </row>
    <row r="3" spans="1:6" ht="15" customHeight="1">
      <c r="A3" s="1950" t="s">
        <v>253</v>
      </c>
      <c r="B3" s="465" t="s">
        <v>1643</v>
      </c>
      <c r="C3" s="465" t="s">
        <v>139</v>
      </c>
      <c r="D3" s="466" t="s">
        <v>1644</v>
      </c>
      <c r="E3" s="467" t="s">
        <v>1645</v>
      </c>
      <c r="F3" s="468"/>
    </row>
    <row r="4" spans="1:6" ht="42" customHeight="1">
      <c r="A4" s="1950"/>
      <c r="B4" s="469" t="s">
        <v>1646</v>
      </c>
      <c r="C4" s="469" t="s">
        <v>1646</v>
      </c>
      <c r="D4" s="469" t="s">
        <v>1646</v>
      </c>
      <c r="E4" s="470" t="s">
        <v>1647</v>
      </c>
      <c r="F4" s="471" t="s">
        <v>1648</v>
      </c>
    </row>
    <row r="5" spans="1:6">
      <c r="A5" s="472">
        <v>1</v>
      </c>
      <c r="B5" s="473">
        <v>2</v>
      </c>
      <c r="C5" s="472">
        <v>3</v>
      </c>
      <c r="D5" s="473">
        <v>4</v>
      </c>
      <c r="E5" s="472">
        <v>5</v>
      </c>
      <c r="F5" s="473">
        <v>6</v>
      </c>
    </row>
    <row r="6" spans="1:6" ht="18" customHeight="1">
      <c r="A6" s="474">
        <v>1</v>
      </c>
      <c r="B6" s="475">
        <v>30.4</v>
      </c>
      <c r="C6" s="475">
        <v>29.4</v>
      </c>
      <c r="D6" s="476">
        <v>48.9</v>
      </c>
      <c r="E6" s="477">
        <v>43.2</v>
      </c>
      <c r="F6" s="478"/>
    </row>
    <row r="7" spans="1:6" ht="18" customHeight="1">
      <c r="A7" s="474">
        <v>2</v>
      </c>
      <c r="B7" s="475">
        <v>42.6</v>
      </c>
      <c r="C7" s="475">
        <v>41.1</v>
      </c>
      <c r="D7" s="476">
        <v>68.5</v>
      </c>
      <c r="E7" s="477">
        <v>60.4</v>
      </c>
      <c r="F7" s="478"/>
    </row>
    <row r="8" spans="1:6" ht="18" customHeight="1">
      <c r="A8" s="474">
        <v>3</v>
      </c>
      <c r="B8" s="475">
        <v>56.8</v>
      </c>
      <c r="C8" s="475">
        <v>54.8</v>
      </c>
      <c r="D8" s="476">
        <v>91.3</v>
      </c>
      <c r="E8" s="477">
        <v>80.599999999999994</v>
      </c>
      <c r="F8" s="478"/>
    </row>
    <row r="9" spans="1:6" ht="18" customHeight="1">
      <c r="A9" s="474">
        <v>4</v>
      </c>
      <c r="B9" s="475">
        <v>69</v>
      </c>
      <c r="C9" s="475">
        <v>66.5</v>
      </c>
      <c r="D9" s="476">
        <v>110.9</v>
      </c>
      <c r="E9" s="477">
        <v>97.8</v>
      </c>
      <c r="F9" s="478"/>
    </row>
    <row r="10" spans="1:6" ht="18" customHeight="1">
      <c r="A10" s="474">
        <v>5</v>
      </c>
      <c r="B10" s="475">
        <v>81.099999999999994</v>
      </c>
      <c r="C10" s="475">
        <v>78.3</v>
      </c>
      <c r="D10" s="476">
        <v>130.4</v>
      </c>
      <c r="E10" s="477">
        <v>115.1</v>
      </c>
      <c r="F10" s="478"/>
    </row>
    <row r="11" spans="1:6" ht="18" customHeight="1">
      <c r="A11" s="474">
        <v>6</v>
      </c>
      <c r="B11" s="475">
        <v>93.3</v>
      </c>
      <c r="C11" s="475">
        <v>90</v>
      </c>
      <c r="D11" s="476">
        <v>150</v>
      </c>
      <c r="E11" s="479">
        <f>E10+17.3</f>
        <v>132.4</v>
      </c>
      <c r="F11" s="478"/>
    </row>
    <row r="12" spans="1:6" ht="18" customHeight="1">
      <c r="A12" s="474">
        <v>7</v>
      </c>
      <c r="B12" s="475">
        <v>105.5</v>
      </c>
      <c r="C12" s="475">
        <v>101.7</v>
      </c>
      <c r="D12" s="476">
        <v>169.6</v>
      </c>
      <c r="E12" s="479">
        <f t="shared" ref="E12:E35" si="0">E11+17.3</f>
        <v>149.70000000000002</v>
      </c>
      <c r="F12" s="478"/>
    </row>
    <row r="13" spans="1:6" ht="18" customHeight="1">
      <c r="A13" s="474">
        <v>8</v>
      </c>
      <c r="B13" s="475">
        <v>117.7</v>
      </c>
      <c r="C13" s="475">
        <v>113.4</v>
      </c>
      <c r="D13" s="476">
        <v>189.2</v>
      </c>
      <c r="E13" s="479">
        <f t="shared" si="0"/>
        <v>167.00000000000003</v>
      </c>
      <c r="F13" s="478"/>
    </row>
    <row r="14" spans="1:6" ht="18" customHeight="1">
      <c r="A14" s="474">
        <v>9</v>
      </c>
      <c r="B14" s="475">
        <v>129.9</v>
      </c>
      <c r="C14" s="475">
        <v>125.10000000000001</v>
      </c>
      <c r="D14" s="476">
        <v>208.79999999999998</v>
      </c>
      <c r="E14" s="479">
        <f t="shared" si="0"/>
        <v>184.30000000000004</v>
      </c>
      <c r="F14" s="478"/>
    </row>
    <row r="15" spans="1:6" ht="18" customHeight="1">
      <c r="A15" s="474">
        <v>10</v>
      </c>
      <c r="B15" s="475">
        <v>142.1</v>
      </c>
      <c r="C15" s="475">
        <v>136.80000000000001</v>
      </c>
      <c r="D15" s="476">
        <v>228.39999999999998</v>
      </c>
      <c r="E15" s="479">
        <f t="shared" si="0"/>
        <v>201.60000000000005</v>
      </c>
      <c r="F15" s="478"/>
    </row>
    <row r="16" spans="1:6" ht="18" customHeight="1">
      <c r="A16" s="474">
        <v>11</v>
      </c>
      <c r="B16" s="475">
        <v>154.29999999999998</v>
      </c>
      <c r="C16" s="475">
        <v>148.5</v>
      </c>
      <c r="D16" s="476">
        <v>247.99999999999997</v>
      </c>
      <c r="E16" s="479">
        <f t="shared" si="0"/>
        <v>218.90000000000006</v>
      </c>
      <c r="F16" s="478"/>
    </row>
    <row r="17" spans="1:6" ht="18" customHeight="1">
      <c r="A17" s="474">
        <v>12</v>
      </c>
      <c r="B17" s="475">
        <v>166.49999999999997</v>
      </c>
      <c r="C17" s="475">
        <v>160.19999999999999</v>
      </c>
      <c r="D17" s="476">
        <v>267.59999999999997</v>
      </c>
      <c r="E17" s="479">
        <f t="shared" si="0"/>
        <v>236.20000000000007</v>
      </c>
      <c r="F17" s="478"/>
    </row>
    <row r="18" spans="1:6" ht="18" customHeight="1">
      <c r="A18" s="474">
        <v>13</v>
      </c>
      <c r="B18" s="475">
        <v>178.69999999999996</v>
      </c>
      <c r="C18" s="475">
        <v>171.89999999999998</v>
      </c>
      <c r="D18" s="476">
        <v>287.2</v>
      </c>
      <c r="E18" s="479">
        <f t="shared" si="0"/>
        <v>253.50000000000009</v>
      </c>
      <c r="F18" s="478"/>
    </row>
    <row r="19" spans="1:6" ht="18" customHeight="1">
      <c r="A19" s="474">
        <v>14</v>
      </c>
      <c r="B19" s="475">
        <v>190.89999999999995</v>
      </c>
      <c r="C19" s="475">
        <v>183.59999999999997</v>
      </c>
      <c r="D19" s="476">
        <v>306.8</v>
      </c>
      <c r="E19" s="479">
        <f t="shared" si="0"/>
        <v>270.80000000000007</v>
      </c>
      <c r="F19" s="478"/>
    </row>
    <row r="20" spans="1:6" ht="18" customHeight="1">
      <c r="A20" s="474">
        <v>15</v>
      </c>
      <c r="B20" s="475">
        <v>203.09999999999994</v>
      </c>
      <c r="C20" s="475">
        <v>195.29999999999995</v>
      </c>
      <c r="D20" s="476">
        <v>326.40000000000003</v>
      </c>
      <c r="E20" s="479">
        <f t="shared" si="0"/>
        <v>288.10000000000008</v>
      </c>
      <c r="F20" s="478"/>
    </row>
    <row r="21" spans="1:6" ht="18" customHeight="1">
      <c r="A21" s="474">
        <v>16</v>
      </c>
      <c r="B21" s="475">
        <v>215.29999999999993</v>
      </c>
      <c r="C21" s="475">
        <v>206.99999999999994</v>
      </c>
      <c r="D21" s="476">
        <v>346.00000000000006</v>
      </c>
      <c r="E21" s="479">
        <f t="shared" si="0"/>
        <v>305.40000000000009</v>
      </c>
      <c r="F21" s="478"/>
    </row>
    <row r="22" spans="1:6" ht="18" customHeight="1">
      <c r="A22" s="474">
        <v>17</v>
      </c>
      <c r="B22" s="475">
        <v>227.49999999999991</v>
      </c>
      <c r="C22" s="475">
        <v>218.69999999999993</v>
      </c>
      <c r="D22" s="476">
        <v>365.60000000000008</v>
      </c>
      <c r="E22" s="479">
        <f t="shared" si="0"/>
        <v>322.7000000000001</v>
      </c>
      <c r="F22" s="478"/>
    </row>
    <row r="23" spans="1:6" ht="18" customHeight="1">
      <c r="A23" s="474">
        <v>18</v>
      </c>
      <c r="B23" s="475">
        <v>239.6999999999999</v>
      </c>
      <c r="C23" s="475">
        <v>230.39999999999992</v>
      </c>
      <c r="D23" s="476">
        <v>385.2000000000001</v>
      </c>
      <c r="E23" s="479">
        <f t="shared" si="0"/>
        <v>340.00000000000011</v>
      </c>
      <c r="F23" s="478"/>
    </row>
    <row r="24" spans="1:6" ht="18" customHeight="1">
      <c r="A24" s="474">
        <v>19</v>
      </c>
      <c r="B24" s="475">
        <v>251.89999999999989</v>
      </c>
      <c r="C24" s="475">
        <v>242.09999999999991</v>
      </c>
      <c r="D24" s="476">
        <v>404.80000000000013</v>
      </c>
      <c r="E24" s="479">
        <f t="shared" si="0"/>
        <v>357.30000000000013</v>
      </c>
      <c r="F24" s="478"/>
    </row>
    <row r="25" spans="1:6" ht="18" customHeight="1">
      <c r="A25" s="474">
        <v>20</v>
      </c>
      <c r="B25" s="475">
        <v>264.09999999999991</v>
      </c>
      <c r="C25" s="475">
        <v>253.7999999999999</v>
      </c>
      <c r="D25" s="476">
        <v>424.40000000000015</v>
      </c>
      <c r="E25" s="479">
        <f t="shared" si="0"/>
        <v>374.60000000000014</v>
      </c>
      <c r="F25" s="478"/>
    </row>
    <row r="26" spans="1:6" ht="18" customHeight="1">
      <c r="A26" s="474">
        <v>21</v>
      </c>
      <c r="B26" s="475">
        <v>276.2999999999999</v>
      </c>
      <c r="C26" s="475">
        <v>265.49999999999989</v>
      </c>
      <c r="D26" s="476">
        <v>444.00000000000017</v>
      </c>
      <c r="E26" s="479">
        <f t="shared" si="0"/>
        <v>391.90000000000015</v>
      </c>
      <c r="F26" s="478"/>
    </row>
    <row r="27" spans="1:6" ht="18" customHeight="1">
      <c r="A27" s="474">
        <v>22</v>
      </c>
      <c r="B27" s="475">
        <v>288.49999999999989</v>
      </c>
      <c r="C27" s="475">
        <v>277.19999999999987</v>
      </c>
      <c r="D27" s="476">
        <v>463.60000000000019</v>
      </c>
      <c r="E27" s="479">
        <f t="shared" si="0"/>
        <v>409.20000000000016</v>
      </c>
      <c r="F27" s="478"/>
    </row>
    <row r="28" spans="1:6" ht="18" customHeight="1">
      <c r="A28" s="474">
        <v>23</v>
      </c>
      <c r="B28" s="475">
        <v>300.69999999999987</v>
      </c>
      <c r="C28" s="475">
        <v>288.89999999999986</v>
      </c>
      <c r="D28" s="476">
        <v>483.20000000000022</v>
      </c>
      <c r="E28" s="479">
        <f t="shared" si="0"/>
        <v>426.50000000000017</v>
      </c>
      <c r="F28" s="478"/>
    </row>
    <row r="29" spans="1:6" ht="18" customHeight="1">
      <c r="A29" s="474">
        <v>24</v>
      </c>
      <c r="B29" s="475">
        <v>312.89999999999986</v>
      </c>
      <c r="C29" s="475">
        <v>300.59999999999985</v>
      </c>
      <c r="D29" s="476">
        <v>502.80000000000024</v>
      </c>
      <c r="E29" s="479">
        <f t="shared" si="0"/>
        <v>443.80000000000018</v>
      </c>
      <c r="F29" s="478"/>
    </row>
    <row r="30" spans="1:6" ht="18" customHeight="1">
      <c r="A30" s="474">
        <v>25</v>
      </c>
      <c r="B30" s="475">
        <v>325.09999999999985</v>
      </c>
      <c r="C30" s="475">
        <v>312.29999999999984</v>
      </c>
      <c r="D30" s="476">
        <v>522.4000000000002</v>
      </c>
      <c r="E30" s="479">
        <f t="shared" si="0"/>
        <v>461.10000000000019</v>
      </c>
      <c r="F30" s="478"/>
    </row>
    <row r="31" spans="1:6" ht="18" customHeight="1">
      <c r="A31" s="474">
        <v>26</v>
      </c>
      <c r="B31" s="475">
        <v>337.29999999999984</v>
      </c>
      <c r="C31" s="475">
        <v>323.99999999999983</v>
      </c>
      <c r="D31" s="476">
        <v>542.00000000000023</v>
      </c>
      <c r="E31" s="479">
        <f t="shared" si="0"/>
        <v>478.4000000000002</v>
      </c>
      <c r="F31" s="478"/>
    </row>
    <row r="32" spans="1:6" ht="18" customHeight="1">
      <c r="A32" s="474">
        <v>27</v>
      </c>
      <c r="B32" s="475">
        <v>349.49999999999983</v>
      </c>
      <c r="C32" s="475">
        <v>335.69999999999982</v>
      </c>
      <c r="D32" s="476">
        <v>561.60000000000025</v>
      </c>
      <c r="E32" s="479">
        <f t="shared" si="0"/>
        <v>495.70000000000022</v>
      </c>
      <c r="F32" s="478"/>
    </row>
    <row r="33" spans="1:6" ht="18" customHeight="1">
      <c r="A33" s="474">
        <v>28</v>
      </c>
      <c r="B33" s="475">
        <v>361.69999999999982</v>
      </c>
      <c r="C33" s="475">
        <v>347.39999999999981</v>
      </c>
      <c r="D33" s="476">
        <v>581.20000000000027</v>
      </c>
      <c r="E33" s="479">
        <f t="shared" si="0"/>
        <v>513.00000000000023</v>
      </c>
      <c r="F33" s="478"/>
    </row>
    <row r="34" spans="1:6" ht="18" customHeight="1">
      <c r="A34" s="474">
        <v>29</v>
      </c>
      <c r="B34" s="475">
        <v>373.89999999999981</v>
      </c>
      <c r="C34" s="475">
        <v>359.0999999999998</v>
      </c>
      <c r="D34" s="476">
        <v>600.8000000000003</v>
      </c>
      <c r="E34" s="479">
        <f t="shared" si="0"/>
        <v>530.30000000000018</v>
      </c>
      <c r="F34" s="478"/>
    </row>
    <row r="35" spans="1:6" ht="18" customHeight="1">
      <c r="A35" s="474">
        <v>30</v>
      </c>
      <c r="B35" s="475">
        <v>386.0999999999998</v>
      </c>
      <c r="C35" s="475">
        <v>370.79999999999978</v>
      </c>
      <c r="D35" s="476">
        <v>620.40000000000032</v>
      </c>
      <c r="E35" s="479">
        <f t="shared" si="0"/>
        <v>547.60000000000014</v>
      </c>
      <c r="F35" s="478"/>
    </row>
    <row r="36" spans="1:6" ht="18" customHeight="1">
      <c r="A36" s="474">
        <v>31</v>
      </c>
      <c r="B36" s="475">
        <v>396.19999999999982</v>
      </c>
      <c r="C36" s="475">
        <v>380.5999999999998</v>
      </c>
      <c r="D36" s="476">
        <v>636.70000000000027</v>
      </c>
      <c r="E36" s="479">
        <f>E35+14.4</f>
        <v>562.00000000000011</v>
      </c>
      <c r="F36" s="478"/>
    </row>
    <row r="37" spans="1:6" ht="18" customHeight="1">
      <c r="A37" s="474">
        <v>32</v>
      </c>
      <c r="B37" s="475">
        <v>406.29999999999984</v>
      </c>
      <c r="C37" s="475">
        <v>390.39999999999981</v>
      </c>
      <c r="D37" s="476">
        <v>653.00000000000023</v>
      </c>
      <c r="E37" s="479">
        <f t="shared" ref="E37:E100" si="1">E36+14.4</f>
        <v>576.40000000000009</v>
      </c>
      <c r="F37" s="478"/>
    </row>
    <row r="38" spans="1:6" ht="18" customHeight="1">
      <c r="A38" s="474">
        <v>33</v>
      </c>
      <c r="B38" s="475">
        <v>416.39999999999986</v>
      </c>
      <c r="C38" s="475">
        <v>400.19999999999982</v>
      </c>
      <c r="D38" s="476">
        <v>669.30000000000018</v>
      </c>
      <c r="E38" s="479">
        <f t="shared" si="1"/>
        <v>590.80000000000007</v>
      </c>
      <c r="F38" s="478"/>
    </row>
    <row r="39" spans="1:6" ht="18" customHeight="1">
      <c r="A39" s="474">
        <v>34</v>
      </c>
      <c r="B39" s="475">
        <v>426.49999999999989</v>
      </c>
      <c r="C39" s="475">
        <v>409.99999999999983</v>
      </c>
      <c r="D39" s="476">
        <v>685.60000000000014</v>
      </c>
      <c r="E39" s="479">
        <f t="shared" si="1"/>
        <v>605.20000000000005</v>
      </c>
      <c r="F39" s="478"/>
    </row>
    <row r="40" spans="1:6" ht="18" customHeight="1">
      <c r="A40" s="474">
        <v>35</v>
      </c>
      <c r="B40" s="475">
        <v>436.59999999999991</v>
      </c>
      <c r="C40" s="475">
        <v>419.79999999999984</v>
      </c>
      <c r="D40" s="476">
        <v>701.90000000000009</v>
      </c>
      <c r="E40" s="479">
        <f t="shared" si="1"/>
        <v>619.6</v>
      </c>
      <c r="F40" s="478"/>
    </row>
    <row r="41" spans="1:6" ht="18" customHeight="1">
      <c r="A41" s="474">
        <v>36</v>
      </c>
      <c r="B41" s="475">
        <v>446.69999999999993</v>
      </c>
      <c r="C41" s="475">
        <v>429.59999999999985</v>
      </c>
      <c r="D41" s="476">
        <v>718.2</v>
      </c>
      <c r="E41" s="479">
        <f t="shared" si="1"/>
        <v>634</v>
      </c>
      <c r="F41" s="478"/>
    </row>
    <row r="42" spans="1:6" ht="18" customHeight="1">
      <c r="A42" s="474">
        <v>37</v>
      </c>
      <c r="B42" s="475">
        <v>456.79999999999995</v>
      </c>
      <c r="C42" s="475">
        <v>439.39999999999986</v>
      </c>
      <c r="D42" s="476">
        <v>734.5</v>
      </c>
      <c r="E42" s="479">
        <f t="shared" si="1"/>
        <v>648.4</v>
      </c>
      <c r="F42" s="478"/>
    </row>
    <row r="43" spans="1:6" ht="18" customHeight="1">
      <c r="A43" s="474">
        <v>38</v>
      </c>
      <c r="B43" s="475">
        <v>466.9</v>
      </c>
      <c r="C43" s="475">
        <v>449.19999999999987</v>
      </c>
      <c r="D43" s="476">
        <v>750.8</v>
      </c>
      <c r="E43" s="479">
        <f t="shared" si="1"/>
        <v>662.8</v>
      </c>
      <c r="F43" s="478"/>
    </row>
    <row r="44" spans="1:6" ht="18" customHeight="1">
      <c r="A44" s="474">
        <v>39</v>
      </c>
      <c r="B44" s="475">
        <v>477</v>
      </c>
      <c r="C44" s="475">
        <v>458.99999999999989</v>
      </c>
      <c r="D44" s="476">
        <v>767.09999999999991</v>
      </c>
      <c r="E44" s="479">
        <f t="shared" si="1"/>
        <v>677.19999999999993</v>
      </c>
      <c r="F44" s="478"/>
    </row>
    <row r="45" spans="1:6" ht="18" customHeight="1">
      <c r="A45" s="474">
        <v>40</v>
      </c>
      <c r="B45" s="475">
        <v>487.1</v>
      </c>
      <c r="C45" s="475">
        <v>468.7999999999999</v>
      </c>
      <c r="D45" s="476">
        <v>783.39999999999986</v>
      </c>
      <c r="E45" s="479">
        <f t="shared" si="1"/>
        <v>691.59999999999991</v>
      </c>
      <c r="F45" s="478"/>
    </row>
    <row r="46" spans="1:6" ht="18" customHeight="1">
      <c r="A46" s="474">
        <v>41</v>
      </c>
      <c r="B46" s="475">
        <v>497.20000000000005</v>
      </c>
      <c r="C46" s="475">
        <v>478.59999999999991</v>
      </c>
      <c r="D46" s="476">
        <v>799.69999999999982</v>
      </c>
      <c r="E46" s="479">
        <f t="shared" si="1"/>
        <v>705.99999999999989</v>
      </c>
      <c r="F46" s="478"/>
    </row>
    <row r="47" spans="1:6" ht="18" customHeight="1">
      <c r="A47" s="474">
        <v>42</v>
      </c>
      <c r="B47" s="475">
        <v>507.30000000000007</v>
      </c>
      <c r="C47" s="475">
        <v>488.39999999999992</v>
      </c>
      <c r="D47" s="476">
        <v>815.99999999999977</v>
      </c>
      <c r="E47" s="479">
        <f t="shared" si="1"/>
        <v>720.39999999999986</v>
      </c>
      <c r="F47" s="478"/>
    </row>
    <row r="48" spans="1:6" ht="18" customHeight="1">
      <c r="A48" s="474">
        <v>43</v>
      </c>
      <c r="B48" s="475">
        <v>517.40000000000009</v>
      </c>
      <c r="C48" s="475">
        <v>498.19999999999993</v>
      </c>
      <c r="D48" s="476">
        <v>832.29999999999973</v>
      </c>
      <c r="E48" s="479">
        <f t="shared" si="1"/>
        <v>734.79999999999984</v>
      </c>
      <c r="F48" s="478"/>
    </row>
    <row r="49" spans="1:6" ht="18" customHeight="1">
      <c r="A49" s="474">
        <v>44</v>
      </c>
      <c r="B49" s="475">
        <v>527.50000000000011</v>
      </c>
      <c r="C49" s="475">
        <v>507.99999999999994</v>
      </c>
      <c r="D49" s="476">
        <v>848.59999999999968</v>
      </c>
      <c r="E49" s="479">
        <f t="shared" si="1"/>
        <v>749.19999999999982</v>
      </c>
      <c r="F49" s="478"/>
    </row>
    <row r="50" spans="1:6" ht="18" customHeight="1">
      <c r="A50" s="474">
        <v>45</v>
      </c>
      <c r="B50" s="475">
        <v>537.60000000000014</v>
      </c>
      <c r="C50" s="475">
        <v>517.79999999999995</v>
      </c>
      <c r="D50" s="476">
        <v>864.89999999999964</v>
      </c>
      <c r="E50" s="479">
        <f t="shared" si="1"/>
        <v>763.5999999999998</v>
      </c>
      <c r="F50" s="478"/>
    </row>
    <row r="51" spans="1:6" ht="18" customHeight="1">
      <c r="A51" s="474">
        <v>46</v>
      </c>
      <c r="B51" s="475">
        <v>547.70000000000016</v>
      </c>
      <c r="C51" s="475">
        <v>527.59999999999991</v>
      </c>
      <c r="D51" s="476">
        <v>881.19999999999959</v>
      </c>
      <c r="E51" s="479">
        <f t="shared" si="1"/>
        <v>777.99999999999977</v>
      </c>
      <c r="F51" s="478"/>
    </row>
    <row r="52" spans="1:6" ht="18" customHeight="1">
      <c r="A52" s="474">
        <v>47</v>
      </c>
      <c r="B52" s="475">
        <v>557.80000000000018</v>
      </c>
      <c r="C52" s="475">
        <v>537.39999999999986</v>
      </c>
      <c r="D52" s="476">
        <v>897.49999999999955</v>
      </c>
      <c r="E52" s="479">
        <f t="shared" si="1"/>
        <v>792.39999999999975</v>
      </c>
      <c r="F52" s="478"/>
    </row>
    <row r="53" spans="1:6" ht="18" customHeight="1">
      <c r="A53" s="474">
        <v>48</v>
      </c>
      <c r="B53" s="475">
        <v>567.9000000000002</v>
      </c>
      <c r="C53" s="475">
        <v>547.19999999999982</v>
      </c>
      <c r="D53" s="476">
        <v>913.7999999999995</v>
      </c>
      <c r="E53" s="479">
        <f t="shared" si="1"/>
        <v>806.79999999999973</v>
      </c>
      <c r="F53" s="478"/>
    </row>
    <row r="54" spans="1:6" ht="18" customHeight="1">
      <c r="A54" s="474">
        <v>49</v>
      </c>
      <c r="B54" s="475">
        <v>578.00000000000023</v>
      </c>
      <c r="C54" s="475">
        <v>556.99999999999977</v>
      </c>
      <c r="D54" s="476">
        <v>930.09999999999945</v>
      </c>
      <c r="E54" s="479">
        <f t="shared" si="1"/>
        <v>821.1999999999997</v>
      </c>
      <c r="F54" s="478"/>
    </row>
    <row r="55" spans="1:6" ht="18" customHeight="1">
      <c r="A55" s="480">
        <v>50</v>
      </c>
      <c r="B55" s="475">
        <v>588.10000000000025</v>
      </c>
      <c r="C55" s="475">
        <v>566.79999999999973</v>
      </c>
      <c r="D55" s="476">
        <v>946.39999999999941</v>
      </c>
      <c r="E55" s="479">
        <f t="shared" si="1"/>
        <v>835.59999999999968</v>
      </c>
      <c r="F55" s="478"/>
    </row>
    <row r="56" spans="1:6" ht="18" customHeight="1">
      <c r="A56" s="474">
        <v>51</v>
      </c>
      <c r="B56" s="475">
        <v>598.20000000000027</v>
      </c>
      <c r="C56" s="475">
        <v>576.59999999999968</v>
      </c>
      <c r="D56" s="476">
        <v>962.69999999999936</v>
      </c>
      <c r="E56" s="479">
        <f t="shared" si="1"/>
        <v>849.99999999999966</v>
      </c>
      <c r="F56" s="478"/>
    </row>
    <row r="57" spans="1:6" ht="18" customHeight="1">
      <c r="A57" s="474">
        <v>52</v>
      </c>
      <c r="B57" s="475">
        <v>608.3000000000003</v>
      </c>
      <c r="C57" s="475">
        <v>586.39999999999964</v>
      </c>
      <c r="D57" s="476">
        <v>978.99999999999932</v>
      </c>
      <c r="E57" s="479">
        <f t="shared" si="1"/>
        <v>864.39999999999964</v>
      </c>
      <c r="F57" s="478"/>
    </row>
    <row r="58" spans="1:6" ht="18" customHeight="1">
      <c r="A58" s="474">
        <v>53</v>
      </c>
      <c r="B58" s="475">
        <v>618.40000000000032</v>
      </c>
      <c r="C58" s="475">
        <v>596.19999999999959</v>
      </c>
      <c r="D58" s="476">
        <v>995.29999999999927</v>
      </c>
      <c r="E58" s="479">
        <f t="shared" si="1"/>
        <v>878.79999999999961</v>
      </c>
      <c r="F58" s="478"/>
    </row>
    <row r="59" spans="1:6" ht="18" customHeight="1">
      <c r="A59" s="474">
        <v>54</v>
      </c>
      <c r="B59" s="475">
        <v>628.50000000000034</v>
      </c>
      <c r="C59" s="475">
        <v>605.99999999999955</v>
      </c>
      <c r="D59" s="476">
        <v>1011.5999999999992</v>
      </c>
      <c r="E59" s="479">
        <f t="shared" si="1"/>
        <v>893.19999999999959</v>
      </c>
      <c r="F59" s="478"/>
    </row>
    <row r="60" spans="1:6" ht="18" customHeight="1">
      <c r="A60" s="474">
        <v>55</v>
      </c>
      <c r="B60" s="475">
        <v>638.60000000000036</v>
      </c>
      <c r="C60" s="475">
        <v>615.7999999999995</v>
      </c>
      <c r="D60" s="476">
        <v>1027.8999999999992</v>
      </c>
      <c r="E60" s="479">
        <f t="shared" si="1"/>
        <v>907.59999999999957</v>
      </c>
      <c r="F60" s="478"/>
    </row>
    <row r="61" spans="1:6" ht="18" customHeight="1">
      <c r="A61" s="474">
        <v>56</v>
      </c>
      <c r="B61" s="475">
        <v>648.70000000000039</v>
      </c>
      <c r="C61" s="475">
        <v>625.59999999999945</v>
      </c>
      <c r="D61" s="476">
        <v>1044.1999999999991</v>
      </c>
      <c r="E61" s="479">
        <f t="shared" si="1"/>
        <v>921.99999999999955</v>
      </c>
      <c r="F61" s="478"/>
    </row>
    <row r="62" spans="1:6" ht="18" customHeight="1">
      <c r="A62" s="474">
        <v>57</v>
      </c>
      <c r="B62" s="475">
        <v>658.80000000000041</v>
      </c>
      <c r="C62" s="475">
        <v>635.39999999999941</v>
      </c>
      <c r="D62" s="476">
        <v>1060.4999999999991</v>
      </c>
      <c r="E62" s="479">
        <f t="shared" si="1"/>
        <v>936.39999999999952</v>
      </c>
      <c r="F62" s="478"/>
    </row>
    <row r="63" spans="1:6" ht="18" customHeight="1">
      <c r="A63" s="474">
        <v>58</v>
      </c>
      <c r="B63" s="475">
        <v>668.90000000000043</v>
      </c>
      <c r="C63" s="475">
        <v>645.19999999999936</v>
      </c>
      <c r="D63" s="476">
        <v>1076.799999999999</v>
      </c>
      <c r="E63" s="479">
        <f t="shared" si="1"/>
        <v>950.7999999999995</v>
      </c>
      <c r="F63" s="478"/>
    </row>
    <row r="64" spans="1:6" ht="18" customHeight="1">
      <c r="A64" s="474">
        <v>59</v>
      </c>
      <c r="B64" s="475">
        <v>679.00000000000045</v>
      </c>
      <c r="C64" s="475">
        <v>654.99999999999932</v>
      </c>
      <c r="D64" s="476">
        <v>1093.099999999999</v>
      </c>
      <c r="E64" s="479">
        <f t="shared" si="1"/>
        <v>965.19999999999948</v>
      </c>
      <c r="F64" s="478"/>
    </row>
    <row r="65" spans="1:6" ht="18" customHeight="1">
      <c r="A65" s="474">
        <v>60</v>
      </c>
      <c r="B65" s="475">
        <v>689.10000000000048</v>
      </c>
      <c r="C65" s="475">
        <v>664.79999999999927</v>
      </c>
      <c r="D65" s="476">
        <v>1109.399999999999</v>
      </c>
      <c r="E65" s="479">
        <f t="shared" si="1"/>
        <v>979.59999999999945</v>
      </c>
      <c r="F65" s="478"/>
    </row>
    <row r="66" spans="1:6" ht="18" customHeight="1">
      <c r="A66" s="474">
        <v>61</v>
      </c>
      <c r="B66" s="475">
        <v>699.2000000000005</v>
      </c>
      <c r="C66" s="475">
        <v>674.59999999999923</v>
      </c>
      <c r="D66" s="476">
        <v>1125.6999999999989</v>
      </c>
      <c r="E66" s="479">
        <f t="shared" si="1"/>
        <v>993.99999999999943</v>
      </c>
      <c r="F66" s="478"/>
    </row>
    <row r="67" spans="1:6" ht="18" customHeight="1">
      <c r="A67" s="474">
        <v>62</v>
      </c>
      <c r="B67" s="475">
        <v>709.30000000000052</v>
      </c>
      <c r="C67" s="475">
        <v>684.39999999999918</v>
      </c>
      <c r="D67" s="476">
        <v>1141.9999999999989</v>
      </c>
      <c r="E67" s="479">
        <f t="shared" si="1"/>
        <v>1008.3999999999994</v>
      </c>
      <c r="F67" s="478"/>
    </row>
    <row r="68" spans="1:6" ht="18" customHeight="1">
      <c r="A68" s="474">
        <v>63</v>
      </c>
      <c r="B68" s="475">
        <v>719.40000000000055</v>
      </c>
      <c r="C68" s="475">
        <v>694.19999999999914</v>
      </c>
      <c r="D68" s="476">
        <v>1158.2999999999988</v>
      </c>
      <c r="E68" s="479">
        <f t="shared" si="1"/>
        <v>1022.7999999999994</v>
      </c>
      <c r="F68" s="478"/>
    </row>
    <row r="69" spans="1:6" ht="18" customHeight="1">
      <c r="A69" s="474">
        <v>64</v>
      </c>
      <c r="B69" s="475">
        <v>729.50000000000057</v>
      </c>
      <c r="C69" s="475">
        <v>703.99999999999909</v>
      </c>
      <c r="D69" s="476">
        <v>1174.5999999999988</v>
      </c>
      <c r="E69" s="479">
        <f t="shared" si="1"/>
        <v>1037.1999999999994</v>
      </c>
      <c r="F69" s="478"/>
    </row>
    <row r="70" spans="1:6" ht="18" customHeight="1">
      <c r="A70" s="474">
        <v>65</v>
      </c>
      <c r="B70" s="475">
        <v>739.60000000000059</v>
      </c>
      <c r="C70" s="475">
        <v>713.79999999999905</v>
      </c>
      <c r="D70" s="476">
        <v>1190.8999999999987</v>
      </c>
      <c r="E70" s="479">
        <f t="shared" si="1"/>
        <v>1051.5999999999995</v>
      </c>
      <c r="F70" s="478"/>
    </row>
    <row r="71" spans="1:6" ht="18" customHeight="1">
      <c r="A71" s="474">
        <v>66</v>
      </c>
      <c r="B71" s="475">
        <v>749.70000000000061</v>
      </c>
      <c r="C71" s="475">
        <v>723.599999999999</v>
      </c>
      <c r="D71" s="476">
        <v>1207.1999999999987</v>
      </c>
      <c r="E71" s="479">
        <f t="shared" si="1"/>
        <v>1065.9999999999995</v>
      </c>
      <c r="F71" s="478"/>
    </row>
    <row r="72" spans="1:6" ht="18" customHeight="1">
      <c r="A72" s="474">
        <v>67</v>
      </c>
      <c r="B72" s="475">
        <v>759.80000000000064</v>
      </c>
      <c r="C72" s="475">
        <v>733.39999999999895</v>
      </c>
      <c r="D72" s="476">
        <v>1223.4999999999986</v>
      </c>
      <c r="E72" s="479">
        <f t="shared" si="1"/>
        <v>1080.3999999999996</v>
      </c>
      <c r="F72" s="478"/>
    </row>
    <row r="73" spans="1:6" ht="18" customHeight="1">
      <c r="A73" s="474">
        <v>68</v>
      </c>
      <c r="B73" s="475">
        <v>769.90000000000066</v>
      </c>
      <c r="C73" s="475">
        <v>743.19999999999891</v>
      </c>
      <c r="D73" s="476">
        <v>1239.7999999999986</v>
      </c>
      <c r="E73" s="479">
        <f t="shared" si="1"/>
        <v>1094.7999999999997</v>
      </c>
      <c r="F73" s="478"/>
    </row>
    <row r="74" spans="1:6" ht="18" customHeight="1">
      <c r="A74" s="474">
        <v>69</v>
      </c>
      <c r="B74" s="475">
        <v>780.00000000000068</v>
      </c>
      <c r="C74" s="475">
        <v>752.99999999999886</v>
      </c>
      <c r="D74" s="476">
        <v>1256.0999999999985</v>
      </c>
      <c r="E74" s="479">
        <f t="shared" si="1"/>
        <v>1109.1999999999998</v>
      </c>
      <c r="F74" s="478"/>
    </row>
    <row r="75" spans="1:6" ht="18" customHeight="1">
      <c r="A75" s="474">
        <v>70</v>
      </c>
      <c r="B75" s="475">
        <v>790.1000000000007</v>
      </c>
      <c r="C75" s="475">
        <v>762.79999999999882</v>
      </c>
      <c r="D75" s="476">
        <v>1272.3999999999985</v>
      </c>
      <c r="E75" s="479">
        <f t="shared" si="1"/>
        <v>1123.5999999999999</v>
      </c>
      <c r="F75" s="478"/>
    </row>
    <row r="76" spans="1:6" ht="18" customHeight="1">
      <c r="A76" s="474">
        <v>71</v>
      </c>
      <c r="B76" s="475">
        <v>800.20000000000073</v>
      </c>
      <c r="C76" s="475">
        <v>772.59999999999877</v>
      </c>
      <c r="D76" s="476">
        <v>1288.6999999999985</v>
      </c>
      <c r="E76" s="479">
        <f t="shared" si="1"/>
        <v>1138</v>
      </c>
      <c r="F76" s="478"/>
    </row>
    <row r="77" spans="1:6" ht="18" customHeight="1">
      <c r="A77" s="474">
        <v>72</v>
      </c>
      <c r="B77" s="475">
        <v>810.30000000000075</v>
      </c>
      <c r="C77" s="475">
        <v>782.39999999999873</v>
      </c>
      <c r="D77" s="476">
        <v>1304.9999999999984</v>
      </c>
      <c r="E77" s="479">
        <f t="shared" si="1"/>
        <v>1152.4000000000001</v>
      </c>
      <c r="F77" s="478"/>
    </row>
    <row r="78" spans="1:6" ht="18" customHeight="1">
      <c r="A78" s="474">
        <v>73</v>
      </c>
      <c r="B78" s="475">
        <v>820.40000000000077</v>
      </c>
      <c r="C78" s="475">
        <v>792.19999999999868</v>
      </c>
      <c r="D78" s="476">
        <v>1321.2999999999984</v>
      </c>
      <c r="E78" s="479">
        <f t="shared" si="1"/>
        <v>1166.8000000000002</v>
      </c>
      <c r="F78" s="478"/>
    </row>
    <row r="79" spans="1:6" ht="18" customHeight="1">
      <c r="A79" s="474">
        <v>74</v>
      </c>
      <c r="B79" s="475">
        <v>830.5000000000008</v>
      </c>
      <c r="C79" s="475">
        <v>801.99999999999864</v>
      </c>
      <c r="D79" s="476">
        <v>1337.5999999999983</v>
      </c>
      <c r="E79" s="479">
        <f t="shared" si="1"/>
        <v>1181.2000000000003</v>
      </c>
      <c r="F79" s="478"/>
    </row>
    <row r="80" spans="1:6" ht="18" customHeight="1">
      <c r="A80" s="474">
        <v>75</v>
      </c>
      <c r="B80" s="475">
        <v>840.60000000000082</v>
      </c>
      <c r="C80" s="475">
        <v>811.79999999999859</v>
      </c>
      <c r="D80" s="476">
        <v>1353.8999999999983</v>
      </c>
      <c r="E80" s="479">
        <f t="shared" si="1"/>
        <v>1195.6000000000004</v>
      </c>
      <c r="F80" s="478"/>
    </row>
    <row r="81" spans="1:6" ht="18" customHeight="1">
      <c r="A81" s="474">
        <v>76</v>
      </c>
      <c r="B81" s="475">
        <v>850.70000000000084</v>
      </c>
      <c r="C81" s="475">
        <v>821.59999999999854</v>
      </c>
      <c r="D81" s="476">
        <v>1370.1999999999982</v>
      </c>
      <c r="E81" s="479">
        <f t="shared" si="1"/>
        <v>1210.0000000000005</v>
      </c>
      <c r="F81" s="478"/>
    </row>
    <row r="82" spans="1:6" ht="18" customHeight="1">
      <c r="A82" s="474">
        <v>77</v>
      </c>
      <c r="B82" s="475">
        <v>860.80000000000086</v>
      </c>
      <c r="C82" s="475">
        <v>831.3999999999985</v>
      </c>
      <c r="D82" s="476">
        <v>1386.4999999999982</v>
      </c>
      <c r="E82" s="479">
        <f t="shared" si="1"/>
        <v>1224.4000000000005</v>
      </c>
      <c r="F82" s="478"/>
    </row>
    <row r="83" spans="1:6" ht="18" customHeight="1">
      <c r="A83" s="474">
        <v>78</v>
      </c>
      <c r="B83" s="475">
        <v>870.90000000000089</v>
      </c>
      <c r="C83" s="475">
        <v>841.19999999999845</v>
      </c>
      <c r="D83" s="476">
        <v>1402.7999999999981</v>
      </c>
      <c r="E83" s="479">
        <f t="shared" si="1"/>
        <v>1238.8000000000006</v>
      </c>
      <c r="F83" s="478"/>
    </row>
    <row r="84" spans="1:6" ht="18" customHeight="1">
      <c r="A84" s="474">
        <v>79</v>
      </c>
      <c r="B84" s="475">
        <v>881.00000000000091</v>
      </c>
      <c r="C84" s="475">
        <v>850.99999999999841</v>
      </c>
      <c r="D84" s="476">
        <v>1419.0999999999981</v>
      </c>
      <c r="E84" s="479">
        <f t="shared" si="1"/>
        <v>1253.2000000000007</v>
      </c>
      <c r="F84" s="478"/>
    </row>
    <row r="85" spans="1:6" ht="18" customHeight="1">
      <c r="A85" s="474">
        <v>80</v>
      </c>
      <c r="B85" s="475">
        <v>891.10000000000093</v>
      </c>
      <c r="C85" s="475">
        <v>860.79999999999836</v>
      </c>
      <c r="D85" s="476">
        <v>1435.399999999998</v>
      </c>
      <c r="E85" s="479">
        <f t="shared" si="1"/>
        <v>1267.6000000000008</v>
      </c>
      <c r="F85" s="478"/>
    </row>
    <row r="86" spans="1:6" ht="18" customHeight="1">
      <c r="A86" s="474">
        <v>81</v>
      </c>
      <c r="B86" s="475">
        <v>901.20000000000095</v>
      </c>
      <c r="C86" s="475">
        <v>870.59999999999832</v>
      </c>
      <c r="D86" s="476">
        <v>1451.699999999998</v>
      </c>
      <c r="E86" s="479">
        <f t="shared" si="1"/>
        <v>1282.0000000000009</v>
      </c>
      <c r="F86" s="478"/>
    </row>
    <row r="87" spans="1:6" ht="18" customHeight="1">
      <c r="A87" s="474">
        <v>82</v>
      </c>
      <c r="B87" s="475">
        <v>911.30000000000098</v>
      </c>
      <c r="C87" s="475">
        <v>880.39999999999827</v>
      </c>
      <c r="D87" s="476">
        <v>1467.999999999998</v>
      </c>
      <c r="E87" s="479">
        <f t="shared" si="1"/>
        <v>1296.400000000001</v>
      </c>
      <c r="F87" s="478"/>
    </row>
    <row r="88" spans="1:6" ht="18" customHeight="1">
      <c r="A88" s="474">
        <v>83</v>
      </c>
      <c r="B88" s="475">
        <v>921.400000000001</v>
      </c>
      <c r="C88" s="475">
        <v>890.19999999999823</v>
      </c>
      <c r="D88" s="476">
        <v>1484.2999999999979</v>
      </c>
      <c r="E88" s="479">
        <f t="shared" si="1"/>
        <v>1310.8000000000011</v>
      </c>
      <c r="F88" s="478"/>
    </row>
    <row r="89" spans="1:6" ht="18" customHeight="1">
      <c r="A89" s="474">
        <v>84</v>
      </c>
      <c r="B89" s="475">
        <v>931.50000000000102</v>
      </c>
      <c r="C89" s="475">
        <v>899.99999999999818</v>
      </c>
      <c r="D89" s="476">
        <v>1500.5999999999979</v>
      </c>
      <c r="E89" s="479">
        <f t="shared" si="1"/>
        <v>1325.2000000000012</v>
      </c>
      <c r="F89" s="478"/>
    </row>
    <row r="90" spans="1:6" ht="18" customHeight="1">
      <c r="A90" s="474">
        <v>85</v>
      </c>
      <c r="B90" s="475">
        <v>941.60000000000105</v>
      </c>
      <c r="C90" s="475">
        <v>909.79999999999814</v>
      </c>
      <c r="D90" s="476">
        <v>1516.8999999999978</v>
      </c>
      <c r="E90" s="479">
        <f t="shared" si="1"/>
        <v>1339.6000000000013</v>
      </c>
      <c r="F90" s="478"/>
    </row>
    <row r="91" spans="1:6" ht="18" customHeight="1">
      <c r="A91" s="474">
        <v>86</v>
      </c>
      <c r="B91" s="475">
        <v>951.70000000000107</v>
      </c>
      <c r="C91" s="475">
        <v>919.59999999999809</v>
      </c>
      <c r="D91" s="476">
        <v>1533.1999999999978</v>
      </c>
      <c r="E91" s="479">
        <f t="shared" si="1"/>
        <v>1354.0000000000014</v>
      </c>
      <c r="F91" s="478"/>
    </row>
    <row r="92" spans="1:6" ht="18" customHeight="1">
      <c r="A92" s="474">
        <v>87</v>
      </c>
      <c r="B92" s="475">
        <v>961.80000000000109</v>
      </c>
      <c r="C92" s="475">
        <v>929.39999999999804</v>
      </c>
      <c r="D92" s="476">
        <v>1549.4999999999977</v>
      </c>
      <c r="E92" s="479">
        <f t="shared" si="1"/>
        <v>1368.4000000000015</v>
      </c>
      <c r="F92" s="478"/>
    </row>
    <row r="93" spans="1:6" ht="18" customHeight="1">
      <c r="A93" s="474">
        <v>88</v>
      </c>
      <c r="B93" s="475">
        <v>971.90000000000111</v>
      </c>
      <c r="C93" s="475">
        <v>939.199999999998</v>
      </c>
      <c r="D93" s="476">
        <v>1565.7999999999977</v>
      </c>
      <c r="E93" s="479">
        <f t="shared" si="1"/>
        <v>1382.8000000000015</v>
      </c>
      <c r="F93" s="478"/>
    </row>
    <row r="94" spans="1:6" ht="18" customHeight="1">
      <c r="A94" s="474">
        <v>89</v>
      </c>
      <c r="B94" s="475">
        <v>982.00000000000114</v>
      </c>
      <c r="C94" s="475">
        <v>948.99999999999795</v>
      </c>
      <c r="D94" s="476">
        <v>1582.0999999999976</v>
      </c>
      <c r="E94" s="479">
        <f t="shared" si="1"/>
        <v>1397.2000000000016</v>
      </c>
      <c r="F94" s="478"/>
    </row>
    <row r="95" spans="1:6" ht="18" customHeight="1">
      <c r="A95" s="474">
        <v>90</v>
      </c>
      <c r="B95" s="475">
        <v>992.10000000000116</v>
      </c>
      <c r="C95" s="475">
        <v>958.79999999999791</v>
      </c>
      <c r="D95" s="476">
        <v>1598.3999999999976</v>
      </c>
      <c r="E95" s="479">
        <f t="shared" si="1"/>
        <v>1411.6000000000017</v>
      </c>
      <c r="F95" s="478"/>
    </row>
    <row r="96" spans="1:6" ht="18" customHeight="1">
      <c r="A96" s="474">
        <v>91</v>
      </c>
      <c r="B96" s="475">
        <v>1002.2000000000012</v>
      </c>
      <c r="C96" s="475">
        <v>968.59999999999786</v>
      </c>
      <c r="D96" s="476">
        <v>1614.6999999999975</v>
      </c>
      <c r="E96" s="479">
        <f t="shared" si="1"/>
        <v>1426.0000000000018</v>
      </c>
      <c r="F96" s="478"/>
    </row>
    <row r="97" spans="1:6" ht="18" customHeight="1">
      <c r="A97" s="474">
        <v>92</v>
      </c>
      <c r="B97" s="475">
        <v>1012.3000000000012</v>
      </c>
      <c r="C97" s="475">
        <v>978.39999999999782</v>
      </c>
      <c r="D97" s="476">
        <v>1630.9999999999975</v>
      </c>
      <c r="E97" s="479">
        <f t="shared" si="1"/>
        <v>1440.4000000000019</v>
      </c>
      <c r="F97" s="478"/>
    </row>
    <row r="98" spans="1:6" ht="18" customHeight="1">
      <c r="A98" s="474">
        <v>93</v>
      </c>
      <c r="B98" s="475">
        <v>1022.4000000000012</v>
      </c>
      <c r="C98" s="475">
        <v>988.19999999999777</v>
      </c>
      <c r="D98" s="476">
        <v>1647.2999999999975</v>
      </c>
      <c r="E98" s="479">
        <f t="shared" si="1"/>
        <v>1454.800000000002</v>
      </c>
      <c r="F98" s="478"/>
    </row>
    <row r="99" spans="1:6" ht="18" customHeight="1">
      <c r="A99" s="474">
        <v>94</v>
      </c>
      <c r="B99" s="475">
        <v>1032.5000000000011</v>
      </c>
      <c r="C99" s="475">
        <v>997.99999999999773</v>
      </c>
      <c r="D99" s="476">
        <v>1663.5999999999974</v>
      </c>
      <c r="E99" s="479">
        <f t="shared" si="1"/>
        <v>1469.2000000000021</v>
      </c>
      <c r="F99" s="478"/>
    </row>
    <row r="100" spans="1:6" ht="18" customHeight="1">
      <c r="A100" s="474">
        <v>95</v>
      </c>
      <c r="B100" s="475">
        <v>1042.600000000001</v>
      </c>
      <c r="C100" s="475">
        <v>1007.7999999999977</v>
      </c>
      <c r="D100" s="476">
        <v>1679.8999999999974</v>
      </c>
      <c r="E100" s="479">
        <f t="shared" si="1"/>
        <v>1483.6000000000022</v>
      </c>
      <c r="F100" s="478"/>
    </row>
    <row r="101" spans="1:6" ht="18" customHeight="1">
      <c r="A101" s="474">
        <v>96</v>
      </c>
      <c r="B101" s="475">
        <v>1052.700000000001</v>
      </c>
      <c r="C101" s="475">
        <v>1017.5999999999976</v>
      </c>
      <c r="D101" s="476">
        <v>1696.1999999999973</v>
      </c>
      <c r="E101" s="479">
        <f t="shared" ref="E101:E164" si="2">E100+14.4</f>
        <v>1498.0000000000023</v>
      </c>
      <c r="F101" s="478"/>
    </row>
    <row r="102" spans="1:6" ht="18" customHeight="1">
      <c r="A102" s="474">
        <v>97</v>
      </c>
      <c r="B102" s="475">
        <v>1062.8000000000009</v>
      </c>
      <c r="C102" s="475">
        <v>1027.3999999999976</v>
      </c>
      <c r="D102" s="476">
        <v>1712.4999999999973</v>
      </c>
      <c r="E102" s="479">
        <f t="shared" si="2"/>
        <v>1512.4000000000024</v>
      </c>
      <c r="F102" s="478"/>
    </row>
    <row r="103" spans="1:6" ht="18" customHeight="1">
      <c r="A103" s="474">
        <v>98</v>
      </c>
      <c r="B103" s="475">
        <v>1072.9000000000008</v>
      </c>
      <c r="C103" s="475">
        <v>1037.1999999999975</v>
      </c>
      <c r="D103" s="476">
        <v>1728.7999999999972</v>
      </c>
      <c r="E103" s="479">
        <f t="shared" si="2"/>
        <v>1526.8000000000025</v>
      </c>
      <c r="F103" s="478"/>
    </row>
    <row r="104" spans="1:6" ht="18" customHeight="1">
      <c r="A104" s="474">
        <v>99</v>
      </c>
      <c r="B104" s="475">
        <v>1083.0000000000007</v>
      </c>
      <c r="C104" s="475">
        <v>1046.9999999999975</v>
      </c>
      <c r="D104" s="476">
        <v>1745.0999999999972</v>
      </c>
      <c r="E104" s="479">
        <f t="shared" si="2"/>
        <v>1541.2000000000025</v>
      </c>
      <c r="F104" s="478"/>
    </row>
    <row r="105" spans="1:6" ht="18" customHeight="1">
      <c r="A105" s="474">
        <v>100</v>
      </c>
      <c r="B105" s="475">
        <v>1093.1000000000006</v>
      </c>
      <c r="C105" s="475">
        <v>1056.7999999999975</v>
      </c>
      <c r="D105" s="476">
        <v>1761.3999999999971</v>
      </c>
      <c r="E105" s="479">
        <f t="shared" si="2"/>
        <v>1555.6000000000026</v>
      </c>
      <c r="F105" s="478"/>
    </row>
    <row r="106" spans="1:6" ht="18" customHeight="1">
      <c r="A106" s="474">
        <v>101</v>
      </c>
      <c r="B106" s="475">
        <v>1103.2000000000005</v>
      </c>
      <c r="C106" s="475">
        <v>1066.5999999999974</v>
      </c>
      <c r="D106" s="476">
        <v>1777.6999999999971</v>
      </c>
      <c r="E106" s="479">
        <f t="shared" si="2"/>
        <v>1570.0000000000027</v>
      </c>
      <c r="F106" s="478"/>
    </row>
    <row r="107" spans="1:6" ht="18" customHeight="1">
      <c r="A107" s="474">
        <v>102</v>
      </c>
      <c r="B107" s="475">
        <v>1113.3000000000004</v>
      </c>
      <c r="C107" s="475">
        <v>1076.3999999999974</v>
      </c>
      <c r="D107" s="476">
        <v>1793.999999999997</v>
      </c>
      <c r="E107" s="479">
        <f t="shared" si="2"/>
        <v>1584.4000000000028</v>
      </c>
      <c r="F107" s="478"/>
    </row>
    <row r="108" spans="1:6" ht="18" customHeight="1">
      <c r="A108" s="474">
        <v>103</v>
      </c>
      <c r="B108" s="475">
        <v>1123.4000000000003</v>
      </c>
      <c r="C108" s="475">
        <v>1086.1999999999973</v>
      </c>
      <c r="D108" s="476">
        <v>1810.299999999997</v>
      </c>
      <c r="E108" s="479">
        <f t="shared" si="2"/>
        <v>1598.8000000000029</v>
      </c>
      <c r="F108" s="478"/>
    </row>
    <row r="109" spans="1:6" ht="18" customHeight="1">
      <c r="A109" s="474">
        <v>104</v>
      </c>
      <c r="B109" s="475">
        <v>1133.5000000000002</v>
      </c>
      <c r="C109" s="475">
        <v>1095.9999999999973</v>
      </c>
      <c r="D109" s="476">
        <v>1826.599999999997</v>
      </c>
      <c r="E109" s="479">
        <f t="shared" si="2"/>
        <v>1613.200000000003</v>
      </c>
      <c r="F109" s="478"/>
    </row>
    <row r="110" spans="1:6" ht="18" customHeight="1">
      <c r="A110" s="474">
        <v>105</v>
      </c>
      <c r="B110" s="475">
        <v>1143.6000000000001</v>
      </c>
      <c r="C110" s="475">
        <v>1105.7999999999972</v>
      </c>
      <c r="D110" s="476">
        <v>1842.8999999999969</v>
      </c>
      <c r="E110" s="479">
        <f t="shared" si="2"/>
        <v>1627.6000000000031</v>
      </c>
      <c r="F110" s="478"/>
    </row>
    <row r="111" spans="1:6" ht="18" customHeight="1">
      <c r="A111" s="474">
        <v>106</v>
      </c>
      <c r="B111" s="475">
        <v>1153.7</v>
      </c>
      <c r="C111" s="475">
        <v>1115.5999999999972</v>
      </c>
      <c r="D111" s="476">
        <v>1859.1999999999969</v>
      </c>
      <c r="E111" s="479">
        <f t="shared" si="2"/>
        <v>1642.0000000000032</v>
      </c>
      <c r="F111" s="478"/>
    </row>
    <row r="112" spans="1:6" ht="18" customHeight="1">
      <c r="A112" s="474">
        <v>107</v>
      </c>
      <c r="B112" s="475">
        <v>1163.8</v>
      </c>
      <c r="C112" s="475">
        <v>1125.3999999999971</v>
      </c>
      <c r="D112" s="476">
        <v>1875.4999999999968</v>
      </c>
      <c r="E112" s="479">
        <f t="shared" si="2"/>
        <v>1656.4000000000033</v>
      </c>
      <c r="F112" s="478"/>
    </row>
    <row r="113" spans="1:6" ht="18" customHeight="1">
      <c r="A113" s="474">
        <v>108</v>
      </c>
      <c r="B113" s="475">
        <v>1173.8999999999999</v>
      </c>
      <c r="C113" s="475">
        <v>1135.1999999999971</v>
      </c>
      <c r="D113" s="476">
        <v>1891.7999999999968</v>
      </c>
      <c r="E113" s="479">
        <f t="shared" si="2"/>
        <v>1670.8000000000034</v>
      </c>
      <c r="F113" s="478"/>
    </row>
    <row r="114" spans="1:6" ht="18" customHeight="1">
      <c r="A114" s="474">
        <v>109</v>
      </c>
      <c r="B114" s="475">
        <v>1183.9999999999998</v>
      </c>
      <c r="C114" s="475">
        <v>1144.999999999997</v>
      </c>
      <c r="D114" s="476">
        <v>1908.0999999999967</v>
      </c>
      <c r="E114" s="479">
        <f t="shared" si="2"/>
        <v>1685.2000000000035</v>
      </c>
      <c r="F114" s="478"/>
    </row>
    <row r="115" spans="1:6" ht="18" customHeight="1">
      <c r="A115" s="474">
        <v>110</v>
      </c>
      <c r="B115" s="475">
        <v>1194.0999999999997</v>
      </c>
      <c r="C115" s="475">
        <v>1154.799999999997</v>
      </c>
      <c r="D115" s="476">
        <v>1924.3999999999967</v>
      </c>
      <c r="E115" s="479">
        <f t="shared" si="2"/>
        <v>1699.6000000000035</v>
      </c>
      <c r="F115" s="478"/>
    </row>
    <row r="116" spans="1:6" ht="18" customHeight="1">
      <c r="A116" s="474">
        <v>111</v>
      </c>
      <c r="B116" s="475">
        <v>1204.1999999999996</v>
      </c>
      <c r="C116" s="475">
        <v>1164.599999999997</v>
      </c>
      <c r="D116" s="476">
        <v>1940.6999999999966</v>
      </c>
      <c r="E116" s="479">
        <f t="shared" si="2"/>
        <v>1714.0000000000036</v>
      </c>
      <c r="F116" s="478"/>
    </row>
    <row r="117" spans="1:6" ht="18" customHeight="1">
      <c r="A117" s="474">
        <v>112</v>
      </c>
      <c r="B117" s="475">
        <v>1214.2999999999995</v>
      </c>
      <c r="C117" s="475">
        <v>1174.3999999999969</v>
      </c>
      <c r="D117" s="476">
        <v>1956.9999999999966</v>
      </c>
      <c r="E117" s="479">
        <f t="shared" si="2"/>
        <v>1728.4000000000037</v>
      </c>
      <c r="F117" s="478"/>
    </row>
    <row r="118" spans="1:6" ht="18" customHeight="1">
      <c r="A118" s="474">
        <v>113</v>
      </c>
      <c r="B118" s="475">
        <v>1224.3999999999994</v>
      </c>
      <c r="C118" s="475">
        <v>1184.1999999999969</v>
      </c>
      <c r="D118" s="476">
        <v>1973.2999999999965</v>
      </c>
      <c r="E118" s="479">
        <f t="shared" si="2"/>
        <v>1742.8000000000038</v>
      </c>
      <c r="F118" s="478"/>
    </row>
    <row r="119" spans="1:6" ht="18" customHeight="1">
      <c r="A119" s="474">
        <v>114</v>
      </c>
      <c r="B119" s="475">
        <v>1234.4999999999993</v>
      </c>
      <c r="C119" s="475">
        <v>1193.9999999999968</v>
      </c>
      <c r="D119" s="476">
        <v>1989.5999999999965</v>
      </c>
      <c r="E119" s="479">
        <f t="shared" si="2"/>
        <v>1757.2000000000039</v>
      </c>
      <c r="F119" s="478"/>
    </row>
    <row r="120" spans="1:6" ht="18" customHeight="1">
      <c r="A120" s="474">
        <v>115</v>
      </c>
      <c r="B120" s="475">
        <v>1244.5999999999992</v>
      </c>
      <c r="C120" s="475">
        <v>1203.7999999999968</v>
      </c>
      <c r="D120" s="476">
        <v>2005.8999999999965</v>
      </c>
      <c r="E120" s="479">
        <f t="shared" si="2"/>
        <v>1771.600000000004</v>
      </c>
      <c r="F120" s="478"/>
    </row>
    <row r="121" spans="1:6" ht="18" customHeight="1">
      <c r="A121" s="474">
        <v>116</v>
      </c>
      <c r="B121" s="475">
        <v>1254.6999999999991</v>
      </c>
      <c r="C121" s="475">
        <v>1213.5999999999967</v>
      </c>
      <c r="D121" s="476">
        <v>2022.1999999999964</v>
      </c>
      <c r="E121" s="479">
        <f t="shared" si="2"/>
        <v>1786.0000000000041</v>
      </c>
      <c r="F121" s="478"/>
    </row>
    <row r="122" spans="1:6" ht="18" customHeight="1">
      <c r="A122" s="474">
        <v>117</v>
      </c>
      <c r="B122" s="475">
        <v>1264.799999999999</v>
      </c>
      <c r="C122" s="475">
        <v>1223.3999999999967</v>
      </c>
      <c r="D122" s="476">
        <v>2038.4999999999964</v>
      </c>
      <c r="E122" s="479">
        <f t="shared" si="2"/>
        <v>1800.4000000000042</v>
      </c>
      <c r="F122" s="478"/>
    </row>
    <row r="123" spans="1:6" ht="18" customHeight="1">
      <c r="A123" s="474">
        <v>118</v>
      </c>
      <c r="B123" s="475">
        <v>1274.899999999999</v>
      </c>
      <c r="C123" s="475">
        <v>1233.1999999999966</v>
      </c>
      <c r="D123" s="476">
        <v>2054.7999999999965</v>
      </c>
      <c r="E123" s="479">
        <f t="shared" si="2"/>
        <v>1814.8000000000043</v>
      </c>
      <c r="F123" s="478"/>
    </row>
    <row r="124" spans="1:6" ht="18" customHeight="1">
      <c r="A124" s="474">
        <v>119</v>
      </c>
      <c r="B124" s="475">
        <v>1284.9999999999989</v>
      </c>
      <c r="C124" s="475">
        <v>1242.9999999999966</v>
      </c>
      <c r="D124" s="476">
        <v>2071.0999999999967</v>
      </c>
      <c r="E124" s="479">
        <f t="shared" si="2"/>
        <v>1829.2000000000044</v>
      </c>
      <c r="F124" s="478"/>
    </row>
    <row r="125" spans="1:6" ht="18" customHeight="1">
      <c r="A125" s="474">
        <v>120</v>
      </c>
      <c r="B125" s="475">
        <v>1295.0999999999988</v>
      </c>
      <c r="C125" s="475">
        <v>1252.7999999999965</v>
      </c>
      <c r="D125" s="476">
        <v>2087.3999999999969</v>
      </c>
      <c r="E125" s="479">
        <f t="shared" si="2"/>
        <v>1843.6000000000045</v>
      </c>
      <c r="F125" s="478"/>
    </row>
    <row r="126" spans="1:6" ht="18" customHeight="1">
      <c r="A126" s="474">
        <v>121</v>
      </c>
      <c r="B126" s="475">
        <v>1305.1999999999987</v>
      </c>
      <c r="C126" s="475">
        <v>1262.5999999999965</v>
      </c>
      <c r="D126" s="476">
        <v>2103.6999999999971</v>
      </c>
      <c r="E126" s="479">
        <f t="shared" si="2"/>
        <v>1858.0000000000045</v>
      </c>
      <c r="F126" s="478"/>
    </row>
    <row r="127" spans="1:6" ht="18" customHeight="1">
      <c r="A127" s="474">
        <v>122</v>
      </c>
      <c r="B127" s="475">
        <v>1315.2999999999986</v>
      </c>
      <c r="C127" s="475">
        <v>1272.3999999999965</v>
      </c>
      <c r="D127" s="476">
        <v>2119.9999999999973</v>
      </c>
      <c r="E127" s="479">
        <f t="shared" si="2"/>
        <v>1872.4000000000046</v>
      </c>
      <c r="F127" s="478"/>
    </row>
    <row r="128" spans="1:6" ht="18" customHeight="1">
      <c r="A128" s="474">
        <v>123</v>
      </c>
      <c r="B128" s="475">
        <v>1325.3999999999985</v>
      </c>
      <c r="C128" s="475">
        <v>1282.1999999999964</v>
      </c>
      <c r="D128" s="476">
        <v>2136.2999999999975</v>
      </c>
      <c r="E128" s="479">
        <f t="shared" si="2"/>
        <v>1886.8000000000047</v>
      </c>
      <c r="F128" s="478"/>
    </row>
    <row r="129" spans="1:6" ht="18" customHeight="1">
      <c r="A129" s="474">
        <v>124</v>
      </c>
      <c r="B129" s="475">
        <v>1335.4999999999984</v>
      </c>
      <c r="C129" s="475">
        <v>1291.9999999999964</v>
      </c>
      <c r="D129" s="476">
        <v>2152.5999999999976</v>
      </c>
      <c r="E129" s="479">
        <f t="shared" si="2"/>
        <v>1901.2000000000048</v>
      </c>
      <c r="F129" s="478"/>
    </row>
    <row r="130" spans="1:6" ht="18" customHeight="1">
      <c r="A130" s="474">
        <v>125</v>
      </c>
      <c r="B130" s="475">
        <v>1345.5999999999983</v>
      </c>
      <c r="C130" s="475">
        <v>1301.7999999999963</v>
      </c>
      <c r="D130" s="476">
        <v>2168.8999999999978</v>
      </c>
      <c r="E130" s="479">
        <f t="shared" si="2"/>
        <v>1915.6000000000049</v>
      </c>
      <c r="F130" s="478"/>
    </row>
    <row r="131" spans="1:6" ht="18" customHeight="1">
      <c r="A131" s="474">
        <v>126</v>
      </c>
      <c r="B131" s="475">
        <v>1355.6999999999982</v>
      </c>
      <c r="C131" s="475">
        <v>1311.5999999999963</v>
      </c>
      <c r="D131" s="476">
        <v>2185.199999999998</v>
      </c>
      <c r="E131" s="479">
        <f t="shared" si="2"/>
        <v>1930.000000000005</v>
      </c>
      <c r="F131" s="478"/>
    </row>
    <row r="132" spans="1:6" ht="18" customHeight="1">
      <c r="A132" s="474">
        <v>127</v>
      </c>
      <c r="B132" s="475">
        <v>1365.7999999999981</v>
      </c>
      <c r="C132" s="475">
        <v>1321.3999999999962</v>
      </c>
      <c r="D132" s="476">
        <v>2201.4999999999982</v>
      </c>
      <c r="E132" s="479">
        <f t="shared" si="2"/>
        <v>1944.4000000000051</v>
      </c>
      <c r="F132" s="478"/>
    </row>
    <row r="133" spans="1:6" ht="18" customHeight="1">
      <c r="A133" s="474">
        <v>128</v>
      </c>
      <c r="B133" s="475">
        <v>1375.899999999998</v>
      </c>
      <c r="C133" s="475">
        <v>1331.1999999999962</v>
      </c>
      <c r="D133" s="476">
        <v>2217.7999999999984</v>
      </c>
      <c r="E133" s="479">
        <f t="shared" si="2"/>
        <v>1958.8000000000052</v>
      </c>
      <c r="F133" s="478"/>
    </row>
    <row r="134" spans="1:6" ht="18" customHeight="1">
      <c r="A134" s="474">
        <v>129</v>
      </c>
      <c r="B134" s="475">
        <v>1385.999999999998</v>
      </c>
      <c r="C134" s="475">
        <v>1340.9999999999961</v>
      </c>
      <c r="D134" s="476">
        <v>2234.0999999999985</v>
      </c>
      <c r="E134" s="479">
        <f t="shared" si="2"/>
        <v>1973.2000000000053</v>
      </c>
      <c r="F134" s="478"/>
    </row>
    <row r="135" spans="1:6" ht="18" customHeight="1">
      <c r="A135" s="474">
        <v>130</v>
      </c>
      <c r="B135" s="475">
        <v>1396.0999999999979</v>
      </c>
      <c r="C135" s="475">
        <v>1350.7999999999961</v>
      </c>
      <c r="D135" s="476">
        <v>2250.3999999999987</v>
      </c>
      <c r="E135" s="479">
        <f t="shared" si="2"/>
        <v>1987.6000000000054</v>
      </c>
      <c r="F135" s="478"/>
    </row>
    <row r="136" spans="1:6" ht="18" customHeight="1">
      <c r="A136" s="474">
        <v>131</v>
      </c>
      <c r="B136" s="475">
        <v>1406.1999999999978</v>
      </c>
      <c r="C136" s="475">
        <v>1360.599999999996</v>
      </c>
      <c r="D136" s="476">
        <v>2266.6999999999989</v>
      </c>
      <c r="E136" s="479">
        <f t="shared" si="2"/>
        <v>2002.0000000000055</v>
      </c>
      <c r="F136" s="478"/>
    </row>
    <row r="137" spans="1:6" ht="18" customHeight="1">
      <c r="A137" s="474">
        <v>132</v>
      </c>
      <c r="B137" s="475">
        <v>1416.2999999999977</v>
      </c>
      <c r="C137" s="475">
        <v>1370.399999999996</v>
      </c>
      <c r="D137" s="476">
        <v>2282.9999999999991</v>
      </c>
      <c r="E137" s="479">
        <f t="shared" si="2"/>
        <v>2016.4000000000055</v>
      </c>
      <c r="F137" s="478"/>
    </row>
    <row r="138" spans="1:6" ht="18" customHeight="1">
      <c r="A138" s="474">
        <v>133</v>
      </c>
      <c r="B138" s="475">
        <v>1426.3999999999976</v>
      </c>
      <c r="C138" s="475">
        <v>1380.199999999996</v>
      </c>
      <c r="D138" s="476">
        <v>2299.2999999999993</v>
      </c>
      <c r="E138" s="479">
        <f t="shared" si="2"/>
        <v>2030.8000000000056</v>
      </c>
      <c r="F138" s="478"/>
    </row>
    <row r="139" spans="1:6" ht="18" customHeight="1">
      <c r="A139" s="474">
        <v>134</v>
      </c>
      <c r="B139" s="475">
        <v>1436.4999999999975</v>
      </c>
      <c r="C139" s="475">
        <v>1389.9999999999959</v>
      </c>
      <c r="D139" s="476">
        <v>2315.5999999999995</v>
      </c>
      <c r="E139" s="479">
        <f t="shared" si="2"/>
        <v>2045.2000000000057</v>
      </c>
      <c r="F139" s="478"/>
    </row>
    <row r="140" spans="1:6" ht="18" customHeight="1">
      <c r="A140" s="474">
        <v>135</v>
      </c>
      <c r="B140" s="475">
        <v>1446.5999999999974</v>
      </c>
      <c r="C140" s="475">
        <v>1399.7999999999959</v>
      </c>
      <c r="D140" s="476">
        <v>2331.8999999999996</v>
      </c>
      <c r="E140" s="479">
        <f t="shared" si="2"/>
        <v>2059.6000000000058</v>
      </c>
      <c r="F140" s="478"/>
    </row>
    <row r="141" spans="1:6" ht="18" customHeight="1">
      <c r="A141" s="474">
        <v>136</v>
      </c>
      <c r="B141" s="475">
        <v>1456.6999999999973</v>
      </c>
      <c r="C141" s="475">
        <v>1409.5999999999958</v>
      </c>
      <c r="D141" s="476">
        <v>2348.1999999999998</v>
      </c>
      <c r="E141" s="479">
        <f t="shared" si="2"/>
        <v>2074.0000000000059</v>
      </c>
      <c r="F141" s="478"/>
    </row>
    <row r="142" spans="1:6" ht="18" customHeight="1">
      <c r="A142" s="474">
        <v>137</v>
      </c>
      <c r="B142" s="475">
        <v>1466.7999999999972</v>
      </c>
      <c r="C142" s="475">
        <v>1419.3999999999958</v>
      </c>
      <c r="D142" s="476">
        <v>2364.5</v>
      </c>
      <c r="E142" s="479">
        <f t="shared" si="2"/>
        <v>2088.400000000006</v>
      </c>
      <c r="F142" s="478"/>
    </row>
    <row r="143" spans="1:6" ht="18" customHeight="1">
      <c r="A143" s="474">
        <v>138</v>
      </c>
      <c r="B143" s="475">
        <v>1476.8999999999971</v>
      </c>
      <c r="C143" s="475">
        <v>1429.1999999999957</v>
      </c>
      <c r="D143" s="476">
        <v>2380.8000000000002</v>
      </c>
      <c r="E143" s="479">
        <f t="shared" si="2"/>
        <v>2102.8000000000061</v>
      </c>
      <c r="F143" s="478"/>
    </row>
    <row r="144" spans="1:6" ht="18" customHeight="1">
      <c r="A144" s="474">
        <v>139</v>
      </c>
      <c r="B144" s="475">
        <v>1486.999999999997</v>
      </c>
      <c r="C144" s="475">
        <v>1438.9999999999957</v>
      </c>
      <c r="D144" s="476">
        <v>2397.1000000000004</v>
      </c>
      <c r="E144" s="479">
        <f t="shared" si="2"/>
        <v>2117.2000000000062</v>
      </c>
      <c r="F144" s="478"/>
    </row>
    <row r="145" spans="1:6" ht="18" customHeight="1">
      <c r="A145" s="474">
        <v>140</v>
      </c>
      <c r="B145" s="475">
        <v>1497.099999999997</v>
      </c>
      <c r="C145" s="475">
        <v>1448.7999999999956</v>
      </c>
      <c r="D145" s="476">
        <v>2413.4000000000005</v>
      </c>
      <c r="E145" s="479">
        <f t="shared" si="2"/>
        <v>2131.6000000000063</v>
      </c>
      <c r="F145" s="478"/>
    </row>
    <row r="146" spans="1:6" ht="18" customHeight="1">
      <c r="A146" s="474">
        <v>141</v>
      </c>
      <c r="B146" s="475">
        <v>1507.1999999999969</v>
      </c>
      <c r="C146" s="475">
        <v>1458.5999999999956</v>
      </c>
      <c r="D146" s="476">
        <v>2429.7000000000007</v>
      </c>
      <c r="E146" s="479">
        <f t="shared" si="2"/>
        <v>2146.0000000000064</v>
      </c>
      <c r="F146" s="478"/>
    </row>
    <row r="147" spans="1:6" ht="18" customHeight="1">
      <c r="A147" s="474">
        <v>142</v>
      </c>
      <c r="B147" s="475">
        <v>1517.2999999999968</v>
      </c>
      <c r="C147" s="475">
        <v>1468.3999999999955</v>
      </c>
      <c r="D147" s="476">
        <v>2446.0000000000009</v>
      </c>
      <c r="E147" s="479">
        <f t="shared" si="2"/>
        <v>2160.4000000000065</v>
      </c>
      <c r="F147" s="478"/>
    </row>
    <row r="148" spans="1:6" ht="18" customHeight="1">
      <c r="A148" s="474">
        <v>143</v>
      </c>
      <c r="B148" s="475">
        <v>1527.3999999999967</v>
      </c>
      <c r="C148" s="475">
        <v>1478.1999999999955</v>
      </c>
      <c r="D148" s="476">
        <v>2462.3000000000011</v>
      </c>
      <c r="E148" s="479">
        <f t="shared" si="2"/>
        <v>2174.8000000000065</v>
      </c>
      <c r="F148" s="478"/>
    </row>
    <row r="149" spans="1:6" ht="18" customHeight="1">
      <c r="A149" s="474">
        <v>144</v>
      </c>
      <c r="B149" s="475">
        <v>1537.4999999999966</v>
      </c>
      <c r="C149" s="475">
        <v>1487.9999999999955</v>
      </c>
      <c r="D149" s="476">
        <v>2478.6000000000013</v>
      </c>
      <c r="E149" s="479">
        <f t="shared" si="2"/>
        <v>2189.2000000000066</v>
      </c>
      <c r="F149" s="478"/>
    </row>
    <row r="150" spans="1:6" ht="18" customHeight="1">
      <c r="A150" s="474">
        <v>145</v>
      </c>
      <c r="B150" s="475">
        <v>1547.5999999999965</v>
      </c>
      <c r="C150" s="475">
        <v>1497.7999999999954</v>
      </c>
      <c r="D150" s="476">
        <v>2494.9000000000015</v>
      </c>
      <c r="E150" s="479">
        <f t="shared" si="2"/>
        <v>2203.6000000000067</v>
      </c>
      <c r="F150" s="478"/>
    </row>
    <row r="151" spans="1:6" ht="18" customHeight="1">
      <c r="A151" s="474">
        <v>146</v>
      </c>
      <c r="B151" s="475">
        <v>1557.6999999999964</v>
      </c>
      <c r="C151" s="475">
        <v>1507.5999999999954</v>
      </c>
      <c r="D151" s="476">
        <v>2511.2000000000016</v>
      </c>
      <c r="E151" s="479">
        <f t="shared" si="2"/>
        <v>2218.0000000000068</v>
      </c>
      <c r="F151" s="478"/>
    </row>
    <row r="152" spans="1:6" ht="18" customHeight="1">
      <c r="A152" s="474">
        <v>147</v>
      </c>
      <c r="B152" s="475">
        <v>1567.7999999999963</v>
      </c>
      <c r="C152" s="475">
        <v>1517.3999999999953</v>
      </c>
      <c r="D152" s="476">
        <v>2527.5000000000018</v>
      </c>
      <c r="E152" s="479">
        <f t="shared" si="2"/>
        <v>2232.4000000000069</v>
      </c>
      <c r="F152" s="478"/>
    </row>
    <row r="153" spans="1:6" ht="18" customHeight="1">
      <c r="A153" s="474">
        <v>148</v>
      </c>
      <c r="B153" s="475">
        <v>1577.8999999999962</v>
      </c>
      <c r="C153" s="475">
        <v>1527.1999999999953</v>
      </c>
      <c r="D153" s="476">
        <v>2543.800000000002</v>
      </c>
      <c r="E153" s="479">
        <f t="shared" si="2"/>
        <v>2246.800000000007</v>
      </c>
      <c r="F153" s="478"/>
    </row>
    <row r="154" spans="1:6" ht="18" customHeight="1">
      <c r="A154" s="474">
        <v>149</v>
      </c>
      <c r="B154" s="475">
        <v>1587.9999999999961</v>
      </c>
      <c r="C154" s="475">
        <v>1536.9999999999952</v>
      </c>
      <c r="D154" s="476">
        <v>2560.1000000000022</v>
      </c>
      <c r="E154" s="479">
        <f t="shared" si="2"/>
        <v>2261.2000000000071</v>
      </c>
      <c r="F154" s="478"/>
    </row>
    <row r="155" spans="1:6" ht="18" customHeight="1">
      <c r="A155" s="474">
        <v>150</v>
      </c>
      <c r="B155" s="475">
        <v>1598.099999999996</v>
      </c>
      <c r="C155" s="475">
        <v>1546.7999999999952</v>
      </c>
      <c r="D155" s="476">
        <v>2576.4000000000024</v>
      </c>
      <c r="E155" s="479">
        <f t="shared" si="2"/>
        <v>2275.6000000000072</v>
      </c>
      <c r="F155" s="478"/>
    </row>
    <row r="156" spans="1:6" ht="18" customHeight="1">
      <c r="A156" s="474">
        <v>151</v>
      </c>
      <c r="B156" s="475">
        <v>1608.199999999996</v>
      </c>
      <c r="C156" s="475">
        <v>1556.5999999999951</v>
      </c>
      <c r="D156" s="476">
        <v>2592.7000000000025</v>
      </c>
      <c r="E156" s="479">
        <f t="shared" si="2"/>
        <v>2290.0000000000073</v>
      </c>
      <c r="F156" s="478"/>
    </row>
    <row r="157" spans="1:6" ht="18" customHeight="1">
      <c r="A157" s="474">
        <v>152</v>
      </c>
      <c r="B157" s="475">
        <v>1618.2999999999959</v>
      </c>
      <c r="C157" s="475">
        <v>1566.3999999999951</v>
      </c>
      <c r="D157" s="476">
        <v>2609.0000000000027</v>
      </c>
      <c r="E157" s="479">
        <f t="shared" si="2"/>
        <v>2304.4000000000074</v>
      </c>
      <c r="F157" s="478"/>
    </row>
    <row r="158" spans="1:6" ht="18" customHeight="1">
      <c r="A158" s="474">
        <v>153</v>
      </c>
      <c r="B158" s="475">
        <v>1628.3999999999958</v>
      </c>
      <c r="C158" s="475">
        <v>1576.199999999995</v>
      </c>
      <c r="D158" s="476">
        <v>2625.3000000000029</v>
      </c>
      <c r="E158" s="479">
        <f t="shared" si="2"/>
        <v>2318.8000000000075</v>
      </c>
      <c r="F158" s="478"/>
    </row>
    <row r="159" spans="1:6" ht="18" customHeight="1">
      <c r="A159" s="474">
        <v>154</v>
      </c>
      <c r="B159" s="475">
        <v>1638.4999999999957</v>
      </c>
      <c r="C159" s="475">
        <v>1585.999999999995</v>
      </c>
      <c r="D159" s="476">
        <v>2641.6000000000031</v>
      </c>
      <c r="E159" s="479">
        <f t="shared" si="2"/>
        <v>2333.2000000000075</v>
      </c>
      <c r="F159" s="478"/>
    </row>
    <row r="160" spans="1:6" ht="18" customHeight="1">
      <c r="A160" s="474">
        <v>155</v>
      </c>
      <c r="B160" s="475">
        <v>1648.5999999999956</v>
      </c>
      <c r="C160" s="475">
        <v>1595.799999999995</v>
      </c>
      <c r="D160" s="476">
        <v>2657.9000000000033</v>
      </c>
      <c r="E160" s="479">
        <f t="shared" si="2"/>
        <v>2347.6000000000076</v>
      </c>
      <c r="F160" s="478"/>
    </row>
    <row r="161" spans="1:6" ht="18" customHeight="1">
      <c r="A161" s="474">
        <v>156</v>
      </c>
      <c r="B161" s="475">
        <v>1658.6999999999955</v>
      </c>
      <c r="C161" s="475">
        <v>1605.5999999999949</v>
      </c>
      <c r="D161" s="476">
        <v>2674.2000000000035</v>
      </c>
      <c r="E161" s="479">
        <f t="shared" si="2"/>
        <v>2362.0000000000077</v>
      </c>
      <c r="F161" s="478"/>
    </row>
    <row r="162" spans="1:6" ht="18" customHeight="1">
      <c r="A162" s="474">
        <v>157</v>
      </c>
      <c r="B162" s="475">
        <v>1668.7999999999954</v>
      </c>
      <c r="C162" s="475">
        <v>1615.3999999999949</v>
      </c>
      <c r="D162" s="476">
        <v>2690.5000000000036</v>
      </c>
      <c r="E162" s="479">
        <f t="shared" si="2"/>
        <v>2376.4000000000078</v>
      </c>
      <c r="F162" s="478"/>
    </row>
    <row r="163" spans="1:6" ht="18" customHeight="1">
      <c r="A163" s="474">
        <v>158</v>
      </c>
      <c r="B163" s="475">
        <v>1678.8999999999953</v>
      </c>
      <c r="C163" s="475">
        <v>1625.1999999999948</v>
      </c>
      <c r="D163" s="476">
        <v>2706.8000000000038</v>
      </c>
      <c r="E163" s="479">
        <f t="shared" si="2"/>
        <v>2390.8000000000079</v>
      </c>
      <c r="F163" s="478"/>
    </row>
    <row r="164" spans="1:6" ht="18" customHeight="1">
      <c r="A164" s="474">
        <v>159</v>
      </c>
      <c r="B164" s="475">
        <v>1688.9999999999952</v>
      </c>
      <c r="C164" s="475">
        <v>1634.9999999999948</v>
      </c>
      <c r="D164" s="476">
        <v>2723.100000000004</v>
      </c>
      <c r="E164" s="479">
        <f t="shared" si="2"/>
        <v>2405.200000000008</v>
      </c>
      <c r="F164" s="478"/>
    </row>
    <row r="165" spans="1:6" ht="18" customHeight="1">
      <c r="A165" s="474">
        <v>160</v>
      </c>
      <c r="B165" s="475">
        <v>1699.0999999999951</v>
      </c>
      <c r="C165" s="475">
        <v>1644.7999999999947</v>
      </c>
      <c r="D165" s="476">
        <v>2739.4000000000042</v>
      </c>
      <c r="E165" s="479">
        <f t="shared" ref="E165:E228" si="3">E164+14.4</f>
        <v>2419.6000000000081</v>
      </c>
      <c r="F165" s="478"/>
    </row>
    <row r="166" spans="1:6" ht="18" customHeight="1">
      <c r="A166" s="474">
        <v>161</v>
      </c>
      <c r="B166" s="475">
        <v>1709.199999999995</v>
      </c>
      <c r="C166" s="475">
        <v>1654.5999999999947</v>
      </c>
      <c r="D166" s="476">
        <v>2755.7000000000044</v>
      </c>
      <c r="E166" s="479">
        <f t="shared" si="3"/>
        <v>2434.0000000000082</v>
      </c>
      <c r="F166" s="478"/>
    </row>
    <row r="167" spans="1:6" ht="18" customHeight="1">
      <c r="A167" s="474">
        <v>162</v>
      </c>
      <c r="B167" s="475">
        <v>1719.299999999995</v>
      </c>
      <c r="C167" s="475">
        <v>1664.3999999999946</v>
      </c>
      <c r="D167" s="476">
        <v>2772.0000000000045</v>
      </c>
      <c r="E167" s="479">
        <f t="shared" si="3"/>
        <v>2448.4000000000083</v>
      </c>
      <c r="F167" s="478"/>
    </row>
    <row r="168" spans="1:6" ht="18" customHeight="1">
      <c r="A168" s="474">
        <v>163</v>
      </c>
      <c r="B168" s="475">
        <v>1729.3999999999949</v>
      </c>
      <c r="C168" s="475">
        <v>1674.1999999999946</v>
      </c>
      <c r="D168" s="476">
        <v>2788.3000000000047</v>
      </c>
      <c r="E168" s="479">
        <f t="shared" si="3"/>
        <v>2462.8000000000084</v>
      </c>
      <c r="F168" s="478"/>
    </row>
    <row r="169" spans="1:6" ht="18" customHeight="1">
      <c r="A169" s="474">
        <v>164</v>
      </c>
      <c r="B169" s="475">
        <v>1739.4999999999948</v>
      </c>
      <c r="C169" s="475">
        <v>1683.9999999999945</v>
      </c>
      <c r="D169" s="476">
        <v>2804.6000000000049</v>
      </c>
      <c r="E169" s="479">
        <f t="shared" si="3"/>
        <v>2477.2000000000085</v>
      </c>
      <c r="F169" s="478"/>
    </row>
    <row r="170" spans="1:6" ht="18" customHeight="1">
      <c r="A170" s="474">
        <v>165</v>
      </c>
      <c r="B170" s="475">
        <v>1749.5999999999947</v>
      </c>
      <c r="C170" s="475">
        <v>1693.7999999999945</v>
      </c>
      <c r="D170" s="476">
        <v>2820.9000000000051</v>
      </c>
      <c r="E170" s="479">
        <f t="shared" si="3"/>
        <v>2491.6000000000085</v>
      </c>
      <c r="F170" s="478"/>
    </row>
    <row r="171" spans="1:6" ht="18" customHeight="1">
      <c r="A171" s="474">
        <v>166</v>
      </c>
      <c r="B171" s="475">
        <v>1759.6999999999946</v>
      </c>
      <c r="C171" s="475">
        <v>1703.5999999999945</v>
      </c>
      <c r="D171" s="476">
        <v>2837.2000000000053</v>
      </c>
      <c r="E171" s="479">
        <f t="shared" si="3"/>
        <v>2506.0000000000086</v>
      </c>
      <c r="F171" s="478"/>
    </row>
    <row r="172" spans="1:6" ht="18" customHeight="1">
      <c r="A172" s="474">
        <v>167</v>
      </c>
      <c r="B172" s="475">
        <v>1769.7999999999945</v>
      </c>
      <c r="C172" s="475">
        <v>1713.3999999999944</v>
      </c>
      <c r="D172" s="476">
        <v>2853.5000000000055</v>
      </c>
      <c r="E172" s="479">
        <f t="shared" si="3"/>
        <v>2520.4000000000087</v>
      </c>
      <c r="F172" s="478"/>
    </row>
    <row r="173" spans="1:6" ht="18" customHeight="1">
      <c r="A173" s="474">
        <v>168</v>
      </c>
      <c r="B173" s="475">
        <v>1779.8999999999944</v>
      </c>
      <c r="C173" s="475">
        <v>1723.1999999999944</v>
      </c>
      <c r="D173" s="476">
        <v>2869.8000000000056</v>
      </c>
      <c r="E173" s="479">
        <f t="shared" si="3"/>
        <v>2534.8000000000088</v>
      </c>
      <c r="F173" s="478"/>
    </row>
    <row r="174" spans="1:6" ht="18" customHeight="1">
      <c r="A174" s="474">
        <v>169</v>
      </c>
      <c r="B174" s="475">
        <v>1789.9999999999943</v>
      </c>
      <c r="C174" s="475">
        <v>1732.9999999999943</v>
      </c>
      <c r="D174" s="476">
        <v>2886.1000000000058</v>
      </c>
      <c r="E174" s="479">
        <f t="shared" si="3"/>
        <v>2549.2000000000089</v>
      </c>
      <c r="F174" s="478"/>
    </row>
    <row r="175" spans="1:6" ht="18" customHeight="1">
      <c r="A175" s="474">
        <v>170</v>
      </c>
      <c r="B175" s="475">
        <v>1800.0999999999942</v>
      </c>
      <c r="C175" s="475">
        <v>1742.7999999999943</v>
      </c>
      <c r="D175" s="476">
        <v>2902.400000000006</v>
      </c>
      <c r="E175" s="479">
        <f t="shared" si="3"/>
        <v>2563.600000000009</v>
      </c>
      <c r="F175" s="478"/>
    </row>
    <row r="176" spans="1:6" ht="18" customHeight="1">
      <c r="A176" s="474">
        <v>171</v>
      </c>
      <c r="B176" s="475">
        <v>1810.1999999999941</v>
      </c>
      <c r="C176" s="475">
        <v>1752.5999999999942</v>
      </c>
      <c r="D176" s="476">
        <v>2918.7000000000062</v>
      </c>
      <c r="E176" s="479">
        <f t="shared" si="3"/>
        <v>2578.0000000000091</v>
      </c>
      <c r="F176" s="478"/>
    </row>
    <row r="177" spans="1:6" ht="18" customHeight="1">
      <c r="A177" s="474">
        <v>172</v>
      </c>
      <c r="B177" s="475">
        <v>1820.299999999994</v>
      </c>
      <c r="C177" s="475">
        <v>1762.3999999999942</v>
      </c>
      <c r="D177" s="476">
        <v>2935.0000000000064</v>
      </c>
      <c r="E177" s="479">
        <f t="shared" si="3"/>
        <v>2592.4000000000092</v>
      </c>
      <c r="F177" s="478"/>
    </row>
    <row r="178" spans="1:6" ht="18" customHeight="1">
      <c r="A178" s="474">
        <v>173</v>
      </c>
      <c r="B178" s="475">
        <v>1830.399999999994</v>
      </c>
      <c r="C178" s="475">
        <v>1772.1999999999941</v>
      </c>
      <c r="D178" s="476">
        <v>2951.3000000000065</v>
      </c>
      <c r="E178" s="479">
        <f t="shared" si="3"/>
        <v>2606.8000000000093</v>
      </c>
      <c r="F178" s="478"/>
    </row>
    <row r="179" spans="1:6" ht="18" customHeight="1">
      <c r="A179" s="474">
        <v>174</v>
      </c>
      <c r="B179" s="475">
        <v>1840.4999999999939</v>
      </c>
      <c r="C179" s="475">
        <v>1781.9999999999941</v>
      </c>
      <c r="D179" s="476">
        <v>2967.6000000000067</v>
      </c>
      <c r="E179" s="479">
        <f t="shared" si="3"/>
        <v>2621.2000000000094</v>
      </c>
      <c r="F179" s="478"/>
    </row>
    <row r="180" spans="1:6" ht="18" customHeight="1">
      <c r="A180" s="474">
        <v>175</v>
      </c>
      <c r="B180" s="475">
        <v>1850.5999999999938</v>
      </c>
      <c r="C180" s="475">
        <v>1791.799999999994</v>
      </c>
      <c r="D180" s="476">
        <v>2983.9000000000069</v>
      </c>
      <c r="E180" s="479">
        <f t="shared" si="3"/>
        <v>2635.6000000000095</v>
      </c>
      <c r="F180" s="478"/>
    </row>
    <row r="181" spans="1:6" ht="18" customHeight="1">
      <c r="A181" s="474">
        <v>176</v>
      </c>
      <c r="B181" s="475">
        <v>1860.6999999999937</v>
      </c>
      <c r="C181" s="475">
        <v>1801.599999999994</v>
      </c>
      <c r="D181" s="476">
        <v>3000.2000000000071</v>
      </c>
      <c r="E181" s="479">
        <f t="shared" si="3"/>
        <v>2650.0000000000095</v>
      </c>
      <c r="F181" s="478"/>
    </row>
    <row r="182" spans="1:6" ht="18" customHeight="1">
      <c r="A182" s="474">
        <v>177</v>
      </c>
      <c r="B182" s="475">
        <v>1870.7999999999936</v>
      </c>
      <c r="C182" s="475">
        <v>1811.399999999994</v>
      </c>
      <c r="D182" s="476">
        <v>3016.5000000000073</v>
      </c>
      <c r="E182" s="479">
        <f t="shared" si="3"/>
        <v>2664.4000000000096</v>
      </c>
      <c r="F182" s="478"/>
    </row>
    <row r="183" spans="1:6" ht="18" customHeight="1">
      <c r="A183" s="474">
        <v>178</v>
      </c>
      <c r="B183" s="475">
        <v>1880.8999999999935</v>
      </c>
      <c r="C183" s="475">
        <v>1821.1999999999939</v>
      </c>
      <c r="D183" s="476">
        <v>3032.8000000000075</v>
      </c>
      <c r="E183" s="479">
        <f t="shared" si="3"/>
        <v>2678.8000000000097</v>
      </c>
      <c r="F183" s="478"/>
    </row>
    <row r="184" spans="1:6" ht="18" customHeight="1">
      <c r="A184" s="474">
        <v>179</v>
      </c>
      <c r="B184" s="475">
        <v>1890.9999999999934</v>
      </c>
      <c r="C184" s="475">
        <v>1830.9999999999939</v>
      </c>
      <c r="D184" s="476">
        <v>3049.1000000000076</v>
      </c>
      <c r="E184" s="479">
        <f t="shared" si="3"/>
        <v>2693.2000000000098</v>
      </c>
      <c r="F184" s="478"/>
    </row>
    <row r="185" spans="1:6" ht="18" customHeight="1">
      <c r="A185" s="474">
        <v>180</v>
      </c>
      <c r="B185" s="475">
        <v>1901.0999999999933</v>
      </c>
      <c r="C185" s="475">
        <v>1840.7999999999938</v>
      </c>
      <c r="D185" s="476">
        <v>3065.4000000000078</v>
      </c>
      <c r="E185" s="479">
        <f t="shared" si="3"/>
        <v>2707.6000000000099</v>
      </c>
      <c r="F185" s="478"/>
    </row>
    <row r="186" spans="1:6" ht="18" customHeight="1">
      <c r="A186" s="474">
        <v>181</v>
      </c>
      <c r="B186" s="475">
        <v>1911.1999999999932</v>
      </c>
      <c r="C186" s="475">
        <v>1850.5999999999938</v>
      </c>
      <c r="D186" s="476">
        <v>3081.700000000008</v>
      </c>
      <c r="E186" s="479">
        <f t="shared" si="3"/>
        <v>2722.00000000001</v>
      </c>
      <c r="F186" s="478"/>
    </row>
    <row r="187" spans="1:6" ht="18" customHeight="1">
      <c r="A187" s="474">
        <v>182</v>
      </c>
      <c r="B187" s="475">
        <v>1921.2999999999931</v>
      </c>
      <c r="C187" s="475">
        <v>1860.3999999999937</v>
      </c>
      <c r="D187" s="476">
        <v>3098.0000000000082</v>
      </c>
      <c r="E187" s="479">
        <f t="shared" si="3"/>
        <v>2736.4000000000101</v>
      </c>
      <c r="F187" s="478"/>
    </row>
    <row r="188" spans="1:6" ht="18" customHeight="1">
      <c r="A188" s="474">
        <v>183</v>
      </c>
      <c r="B188" s="475">
        <v>1931.399999999993</v>
      </c>
      <c r="C188" s="475">
        <v>1870.1999999999937</v>
      </c>
      <c r="D188" s="476">
        <v>3114.3000000000084</v>
      </c>
      <c r="E188" s="479">
        <f t="shared" si="3"/>
        <v>2750.8000000000102</v>
      </c>
      <c r="F188" s="478"/>
    </row>
    <row r="189" spans="1:6" ht="18" customHeight="1">
      <c r="A189" s="474">
        <v>184</v>
      </c>
      <c r="B189" s="475">
        <v>1941.499999999993</v>
      </c>
      <c r="C189" s="475">
        <v>1879.9999999999936</v>
      </c>
      <c r="D189" s="476">
        <v>3130.6000000000085</v>
      </c>
      <c r="E189" s="479">
        <f t="shared" si="3"/>
        <v>2765.2000000000103</v>
      </c>
      <c r="F189" s="478"/>
    </row>
    <row r="190" spans="1:6" ht="18" customHeight="1">
      <c r="A190" s="474">
        <v>185</v>
      </c>
      <c r="B190" s="475">
        <v>1951.5999999999929</v>
      </c>
      <c r="C190" s="475">
        <v>1889.7999999999936</v>
      </c>
      <c r="D190" s="476">
        <v>3146.9000000000087</v>
      </c>
      <c r="E190" s="479">
        <f t="shared" si="3"/>
        <v>2779.6000000000104</v>
      </c>
      <c r="F190" s="478"/>
    </row>
    <row r="191" spans="1:6" ht="18" customHeight="1">
      <c r="A191" s="474">
        <v>186</v>
      </c>
      <c r="B191" s="475">
        <v>1961.6999999999928</v>
      </c>
      <c r="C191" s="475">
        <v>1899.5999999999935</v>
      </c>
      <c r="D191" s="476">
        <v>3163.2000000000089</v>
      </c>
      <c r="E191" s="479">
        <f t="shared" si="3"/>
        <v>2794.0000000000105</v>
      </c>
      <c r="F191" s="478"/>
    </row>
    <row r="192" spans="1:6" ht="18" customHeight="1">
      <c r="A192" s="474">
        <v>187</v>
      </c>
      <c r="B192" s="475">
        <v>1971.7999999999927</v>
      </c>
      <c r="C192" s="475">
        <v>1909.3999999999935</v>
      </c>
      <c r="D192" s="476">
        <v>3179.5000000000091</v>
      </c>
      <c r="E192" s="479">
        <f t="shared" si="3"/>
        <v>2808.4000000000106</v>
      </c>
      <c r="F192" s="478"/>
    </row>
    <row r="193" spans="1:6" ht="18" customHeight="1">
      <c r="A193" s="474">
        <v>188</v>
      </c>
      <c r="B193" s="475">
        <v>1981.8999999999926</v>
      </c>
      <c r="C193" s="475">
        <v>1919.1999999999935</v>
      </c>
      <c r="D193" s="476">
        <v>3195.8000000000093</v>
      </c>
      <c r="E193" s="479">
        <f t="shared" si="3"/>
        <v>2822.8000000000106</v>
      </c>
      <c r="F193" s="478"/>
    </row>
    <row r="194" spans="1:6" ht="18" customHeight="1">
      <c r="A194" s="474">
        <v>189</v>
      </c>
      <c r="B194" s="475">
        <v>1991.9999999999925</v>
      </c>
      <c r="C194" s="475">
        <v>1928.9999999999934</v>
      </c>
      <c r="D194" s="476">
        <v>3212.1000000000095</v>
      </c>
      <c r="E194" s="479">
        <f t="shared" si="3"/>
        <v>2837.2000000000107</v>
      </c>
      <c r="F194" s="478"/>
    </row>
    <row r="195" spans="1:6" ht="18" customHeight="1">
      <c r="A195" s="474">
        <v>190</v>
      </c>
      <c r="B195" s="475">
        <v>2002.0999999999924</v>
      </c>
      <c r="C195" s="475">
        <v>1938.7999999999934</v>
      </c>
      <c r="D195" s="476">
        <v>3228.4000000000096</v>
      </c>
      <c r="E195" s="479">
        <f t="shared" si="3"/>
        <v>2851.6000000000108</v>
      </c>
      <c r="F195" s="478"/>
    </row>
    <row r="196" spans="1:6" ht="18" customHeight="1">
      <c r="A196" s="474">
        <v>191</v>
      </c>
      <c r="B196" s="475">
        <v>2012.1999999999923</v>
      </c>
      <c r="C196" s="475">
        <v>1948.5999999999933</v>
      </c>
      <c r="D196" s="476">
        <v>3244.7000000000098</v>
      </c>
      <c r="E196" s="479">
        <f t="shared" si="3"/>
        <v>2866.0000000000109</v>
      </c>
      <c r="F196" s="478"/>
    </row>
    <row r="197" spans="1:6" ht="18" customHeight="1">
      <c r="A197" s="474">
        <v>192</v>
      </c>
      <c r="B197" s="475">
        <v>2022.2999999999922</v>
      </c>
      <c r="C197" s="475">
        <v>1958.3999999999933</v>
      </c>
      <c r="D197" s="476">
        <v>3261.00000000001</v>
      </c>
      <c r="E197" s="479">
        <f t="shared" si="3"/>
        <v>2880.400000000011</v>
      </c>
      <c r="F197" s="478"/>
    </row>
    <row r="198" spans="1:6" ht="18" customHeight="1">
      <c r="A198" s="474">
        <v>193</v>
      </c>
      <c r="B198" s="475">
        <v>2032.3999999999921</v>
      </c>
      <c r="C198" s="475">
        <v>1968.1999999999932</v>
      </c>
      <c r="D198" s="476">
        <v>3277.3000000000102</v>
      </c>
      <c r="E198" s="479">
        <f t="shared" si="3"/>
        <v>2894.8000000000111</v>
      </c>
      <c r="F198" s="478"/>
    </row>
    <row r="199" spans="1:6" ht="18" customHeight="1">
      <c r="A199" s="474">
        <v>194</v>
      </c>
      <c r="B199" s="475">
        <v>2042.499999999992</v>
      </c>
      <c r="C199" s="475">
        <v>1977.9999999999932</v>
      </c>
      <c r="D199" s="476">
        <v>3293.6000000000104</v>
      </c>
      <c r="E199" s="479">
        <f t="shared" si="3"/>
        <v>2909.2000000000112</v>
      </c>
      <c r="F199" s="478"/>
    </row>
    <row r="200" spans="1:6" ht="18" customHeight="1">
      <c r="A200" s="474">
        <v>195</v>
      </c>
      <c r="B200" s="475">
        <v>2052.5999999999922</v>
      </c>
      <c r="C200" s="475">
        <v>1987.7999999999931</v>
      </c>
      <c r="D200" s="476">
        <v>3309.9000000000106</v>
      </c>
      <c r="E200" s="479">
        <f t="shared" si="3"/>
        <v>2923.6000000000113</v>
      </c>
      <c r="F200" s="478"/>
    </row>
    <row r="201" spans="1:6" ht="18" customHeight="1">
      <c r="A201" s="474">
        <v>196</v>
      </c>
      <c r="B201" s="475">
        <v>2062.6999999999921</v>
      </c>
      <c r="C201" s="475">
        <v>1997.5999999999931</v>
      </c>
      <c r="D201" s="476">
        <v>3326.2000000000107</v>
      </c>
      <c r="E201" s="479">
        <f t="shared" si="3"/>
        <v>2938.0000000000114</v>
      </c>
      <c r="F201" s="478"/>
    </row>
    <row r="202" spans="1:6" ht="18" customHeight="1">
      <c r="A202" s="474">
        <v>197</v>
      </c>
      <c r="B202" s="475">
        <v>2072.799999999992</v>
      </c>
      <c r="C202" s="475">
        <v>2007.399999999993</v>
      </c>
      <c r="D202" s="476">
        <v>3342.5000000000109</v>
      </c>
      <c r="E202" s="479">
        <f t="shared" si="3"/>
        <v>2952.4000000000115</v>
      </c>
      <c r="F202" s="478"/>
    </row>
    <row r="203" spans="1:6" ht="18" customHeight="1">
      <c r="A203" s="474">
        <v>198</v>
      </c>
      <c r="B203" s="475">
        <v>2082.8999999999919</v>
      </c>
      <c r="C203" s="475">
        <v>2017.199999999993</v>
      </c>
      <c r="D203" s="476">
        <v>3358.8000000000111</v>
      </c>
      <c r="E203" s="479">
        <f t="shared" si="3"/>
        <v>2966.8000000000116</v>
      </c>
      <c r="F203" s="478"/>
    </row>
    <row r="204" spans="1:6" ht="18" customHeight="1">
      <c r="A204" s="474">
        <v>199</v>
      </c>
      <c r="B204" s="475">
        <v>2092.9999999999918</v>
      </c>
      <c r="C204" s="475">
        <v>2026.999999999993</v>
      </c>
      <c r="D204" s="476">
        <v>3375.1000000000113</v>
      </c>
      <c r="E204" s="479">
        <f t="shared" si="3"/>
        <v>2981.2000000000116</v>
      </c>
      <c r="F204" s="478"/>
    </row>
    <row r="205" spans="1:6" ht="18" customHeight="1">
      <c r="A205" s="474">
        <v>200</v>
      </c>
      <c r="B205" s="475">
        <v>2103.0999999999917</v>
      </c>
      <c r="C205" s="475">
        <v>2036.7999999999929</v>
      </c>
      <c r="D205" s="476">
        <v>3391.4000000000115</v>
      </c>
      <c r="E205" s="479">
        <f t="shared" si="3"/>
        <v>2995.6000000000117</v>
      </c>
      <c r="F205" s="478"/>
    </row>
    <row r="206" spans="1:6">
      <c r="A206" s="474">
        <v>201</v>
      </c>
      <c r="B206" s="475">
        <v>2113.1999999999916</v>
      </c>
      <c r="C206" s="475">
        <v>2046.5999999999929</v>
      </c>
      <c r="D206" s="476">
        <v>3407.7000000000116</v>
      </c>
      <c r="E206" s="479">
        <f t="shared" si="3"/>
        <v>3010.0000000000118</v>
      </c>
      <c r="F206" s="478"/>
    </row>
    <row r="207" spans="1:6">
      <c r="A207" s="474">
        <v>202</v>
      </c>
      <c r="B207" s="475">
        <v>2123.2999999999915</v>
      </c>
      <c r="C207" s="475">
        <v>2056.3999999999928</v>
      </c>
      <c r="D207" s="476">
        <v>3424.0000000000118</v>
      </c>
      <c r="E207" s="479">
        <f t="shared" si="3"/>
        <v>3024.4000000000119</v>
      </c>
      <c r="F207" s="478"/>
    </row>
    <row r="208" spans="1:6">
      <c r="A208" s="474">
        <v>203</v>
      </c>
      <c r="B208" s="475">
        <v>2133.3999999999915</v>
      </c>
      <c r="C208" s="475">
        <v>2066.199999999993</v>
      </c>
      <c r="D208" s="476">
        <v>3440.300000000012</v>
      </c>
      <c r="E208" s="479">
        <f t="shared" si="3"/>
        <v>3038.800000000012</v>
      </c>
      <c r="F208" s="478"/>
    </row>
    <row r="209" spans="1:6">
      <c r="A209" s="474">
        <v>204</v>
      </c>
      <c r="B209" s="475">
        <v>2143.4999999999914</v>
      </c>
      <c r="C209" s="475">
        <v>2075.9999999999932</v>
      </c>
      <c r="D209" s="476">
        <v>3456.6000000000122</v>
      </c>
      <c r="E209" s="479">
        <f t="shared" si="3"/>
        <v>3053.2000000000121</v>
      </c>
      <c r="F209" s="478"/>
    </row>
    <row r="210" spans="1:6">
      <c r="A210" s="474">
        <v>205</v>
      </c>
      <c r="B210" s="475">
        <v>2153.5999999999913</v>
      </c>
      <c r="C210" s="475">
        <v>2085.7999999999934</v>
      </c>
      <c r="D210" s="476">
        <v>3472.9000000000124</v>
      </c>
      <c r="E210" s="479">
        <f t="shared" si="3"/>
        <v>3067.6000000000122</v>
      </c>
      <c r="F210" s="478"/>
    </row>
    <row r="211" spans="1:6">
      <c r="A211" s="474">
        <v>206</v>
      </c>
      <c r="B211" s="475">
        <v>2163.6999999999912</v>
      </c>
      <c r="C211" s="475">
        <v>2095.5999999999935</v>
      </c>
      <c r="D211" s="476">
        <v>3489.2000000000126</v>
      </c>
      <c r="E211" s="479">
        <f t="shared" si="3"/>
        <v>3082.0000000000123</v>
      </c>
      <c r="F211" s="478"/>
    </row>
    <row r="212" spans="1:6">
      <c r="A212" s="474">
        <v>207</v>
      </c>
      <c r="B212" s="475">
        <v>2173.7999999999911</v>
      </c>
      <c r="C212" s="475">
        <v>2105.3999999999937</v>
      </c>
      <c r="D212" s="476">
        <v>3505.5000000000127</v>
      </c>
      <c r="E212" s="479">
        <f t="shared" si="3"/>
        <v>3096.4000000000124</v>
      </c>
      <c r="F212" s="478"/>
    </row>
    <row r="213" spans="1:6">
      <c r="A213" s="474">
        <v>208</v>
      </c>
      <c r="B213" s="475">
        <v>2183.899999999991</v>
      </c>
      <c r="C213" s="475">
        <v>2115.1999999999939</v>
      </c>
      <c r="D213" s="476">
        <v>3521.8000000000129</v>
      </c>
      <c r="E213" s="479">
        <f t="shared" si="3"/>
        <v>3110.8000000000125</v>
      </c>
      <c r="F213" s="478"/>
    </row>
    <row r="214" spans="1:6">
      <c r="A214" s="474">
        <v>209</v>
      </c>
      <c r="B214" s="475">
        <v>2193.9999999999909</v>
      </c>
      <c r="C214" s="475">
        <v>2124.9999999999941</v>
      </c>
      <c r="D214" s="476">
        <v>3538.1000000000131</v>
      </c>
      <c r="E214" s="479">
        <f t="shared" si="3"/>
        <v>3125.2000000000126</v>
      </c>
      <c r="F214" s="478"/>
    </row>
    <row r="215" spans="1:6">
      <c r="A215" s="474">
        <v>210</v>
      </c>
      <c r="B215" s="475">
        <v>2204.0999999999908</v>
      </c>
      <c r="C215" s="475">
        <v>2134.7999999999943</v>
      </c>
      <c r="D215" s="476">
        <v>3554.4000000000133</v>
      </c>
      <c r="E215" s="479">
        <f t="shared" si="3"/>
        <v>3139.6000000000126</v>
      </c>
      <c r="F215" s="478"/>
    </row>
    <row r="216" spans="1:6">
      <c r="A216" s="474">
        <v>211</v>
      </c>
      <c r="B216" s="475">
        <v>2214.1999999999907</v>
      </c>
      <c r="C216" s="475">
        <v>2144.5999999999945</v>
      </c>
      <c r="D216" s="476">
        <v>3570.7000000000135</v>
      </c>
      <c r="E216" s="479">
        <f t="shared" si="3"/>
        <v>3154.0000000000127</v>
      </c>
      <c r="F216" s="478"/>
    </row>
    <row r="217" spans="1:6">
      <c r="A217" s="474">
        <v>212</v>
      </c>
      <c r="B217" s="475">
        <v>2224.2999999999906</v>
      </c>
      <c r="C217" s="475">
        <v>2154.3999999999946</v>
      </c>
      <c r="D217" s="476">
        <v>3587.0000000000136</v>
      </c>
      <c r="E217" s="479">
        <f t="shared" si="3"/>
        <v>3168.4000000000128</v>
      </c>
      <c r="F217" s="478"/>
    </row>
    <row r="218" spans="1:6">
      <c r="A218" s="474">
        <v>213</v>
      </c>
      <c r="B218" s="475">
        <v>2234.3999999999905</v>
      </c>
      <c r="C218" s="475">
        <v>2164.1999999999948</v>
      </c>
      <c r="D218" s="476">
        <v>3603.3000000000138</v>
      </c>
      <c r="E218" s="479">
        <f t="shared" si="3"/>
        <v>3182.8000000000129</v>
      </c>
      <c r="F218" s="478"/>
    </row>
    <row r="219" spans="1:6">
      <c r="A219" s="474">
        <v>214</v>
      </c>
      <c r="B219" s="475">
        <v>2244.4999999999905</v>
      </c>
      <c r="C219" s="475">
        <v>2173.999999999995</v>
      </c>
      <c r="D219" s="476">
        <v>3619.600000000014</v>
      </c>
      <c r="E219" s="479">
        <f t="shared" si="3"/>
        <v>3197.200000000013</v>
      </c>
      <c r="F219" s="478"/>
    </row>
    <row r="220" spans="1:6">
      <c r="A220" s="474">
        <v>215</v>
      </c>
      <c r="B220" s="475">
        <v>2254.5999999999904</v>
      </c>
      <c r="C220" s="475">
        <v>2183.7999999999952</v>
      </c>
      <c r="D220" s="476">
        <v>3635.9000000000142</v>
      </c>
      <c r="E220" s="479">
        <f t="shared" si="3"/>
        <v>3211.6000000000131</v>
      </c>
      <c r="F220" s="478"/>
    </row>
    <row r="221" spans="1:6">
      <c r="A221" s="474">
        <v>216</v>
      </c>
      <c r="B221" s="475">
        <v>2264.6999999999903</v>
      </c>
      <c r="C221" s="475">
        <v>2193.5999999999954</v>
      </c>
      <c r="D221" s="476">
        <v>3652.2000000000144</v>
      </c>
      <c r="E221" s="479">
        <f t="shared" si="3"/>
        <v>3226.0000000000132</v>
      </c>
    </row>
    <row r="222" spans="1:6">
      <c r="A222" s="474">
        <v>217</v>
      </c>
      <c r="B222" s="475">
        <v>2274.7999999999902</v>
      </c>
      <c r="C222" s="475">
        <v>2203.3999999999955</v>
      </c>
      <c r="D222" s="476">
        <v>3668.5000000000146</v>
      </c>
      <c r="E222" s="479">
        <f t="shared" si="3"/>
        <v>3240.4000000000133</v>
      </c>
    </row>
    <row r="223" spans="1:6">
      <c r="A223" s="474">
        <v>218</v>
      </c>
      <c r="B223" s="475">
        <v>2284.8999999999901</v>
      </c>
      <c r="C223" s="475">
        <v>2213.1999999999957</v>
      </c>
      <c r="D223" s="476">
        <v>3684.8000000000147</v>
      </c>
      <c r="E223" s="479">
        <f t="shared" si="3"/>
        <v>3254.8000000000134</v>
      </c>
    </row>
    <row r="224" spans="1:6">
      <c r="A224" s="474">
        <v>219</v>
      </c>
      <c r="B224" s="475">
        <v>2294.99999999999</v>
      </c>
      <c r="C224" s="475">
        <v>2222.9999999999959</v>
      </c>
      <c r="D224" s="476">
        <v>3701.1000000000149</v>
      </c>
      <c r="E224" s="479">
        <f t="shared" si="3"/>
        <v>3269.2000000000135</v>
      </c>
    </row>
    <row r="225" spans="1:5">
      <c r="A225" s="474">
        <v>220</v>
      </c>
      <c r="B225" s="475">
        <v>2305.0999999999899</v>
      </c>
      <c r="C225" s="475">
        <v>2232.7999999999961</v>
      </c>
      <c r="D225" s="476">
        <v>3717.4000000000151</v>
      </c>
      <c r="E225" s="479">
        <f t="shared" si="3"/>
        <v>3283.6000000000136</v>
      </c>
    </row>
    <row r="226" spans="1:5">
      <c r="A226" s="474">
        <v>221</v>
      </c>
      <c r="B226" s="475">
        <v>2315.1999999999898</v>
      </c>
      <c r="C226" s="475">
        <v>2242.5999999999963</v>
      </c>
      <c r="D226" s="476">
        <v>3733.7000000000153</v>
      </c>
      <c r="E226" s="479">
        <f t="shared" si="3"/>
        <v>3298.0000000000136</v>
      </c>
    </row>
    <row r="227" spans="1:5">
      <c r="A227" s="474">
        <v>222</v>
      </c>
      <c r="B227" s="475">
        <v>2325.2999999999897</v>
      </c>
      <c r="C227" s="475">
        <v>2252.3999999999965</v>
      </c>
      <c r="D227" s="476">
        <v>3750.0000000000155</v>
      </c>
      <c r="E227" s="479">
        <f t="shared" si="3"/>
        <v>3312.4000000000137</v>
      </c>
    </row>
    <row r="228" spans="1:5">
      <c r="A228" s="474">
        <v>223</v>
      </c>
      <c r="B228" s="475">
        <v>2335.3999999999896</v>
      </c>
      <c r="C228" s="475">
        <v>2262.1999999999966</v>
      </c>
      <c r="D228" s="476">
        <v>3766.3000000000156</v>
      </c>
      <c r="E228" s="479">
        <f t="shared" si="3"/>
        <v>3326.8000000000138</v>
      </c>
    </row>
    <row r="229" spans="1:5">
      <c r="A229" s="474">
        <v>224</v>
      </c>
      <c r="B229" s="475">
        <v>2345.4999999999895</v>
      </c>
      <c r="C229" s="475">
        <v>2271.9999999999968</v>
      </c>
      <c r="D229" s="476">
        <v>3782.6000000000158</v>
      </c>
      <c r="E229" s="479">
        <f t="shared" ref="E229:E292" si="4">E228+14.4</f>
        <v>3341.2000000000139</v>
      </c>
    </row>
    <row r="230" spans="1:5">
      <c r="A230" s="474">
        <v>225</v>
      </c>
      <c r="B230" s="475">
        <v>2355.5999999999894</v>
      </c>
      <c r="C230" s="475">
        <v>2281.799999999997</v>
      </c>
      <c r="D230" s="476">
        <v>3798.900000000016</v>
      </c>
      <c r="E230" s="479">
        <f t="shared" si="4"/>
        <v>3355.600000000014</v>
      </c>
    </row>
    <row r="231" spans="1:5">
      <c r="A231" s="474">
        <v>226</v>
      </c>
      <c r="B231" s="475">
        <v>2365.6999999999894</v>
      </c>
      <c r="C231" s="475">
        <v>2291.5999999999972</v>
      </c>
      <c r="D231" s="476">
        <v>3815.2000000000162</v>
      </c>
      <c r="E231" s="479">
        <f t="shared" si="4"/>
        <v>3370.0000000000141</v>
      </c>
    </row>
    <row r="232" spans="1:5">
      <c r="A232" s="474">
        <v>227</v>
      </c>
      <c r="B232" s="475">
        <v>2375.7999999999893</v>
      </c>
      <c r="C232" s="475">
        <v>2301.3999999999974</v>
      </c>
      <c r="D232" s="476">
        <v>3831.5000000000164</v>
      </c>
      <c r="E232" s="479">
        <f t="shared" si="4"/>
        <v>3384.4000000000142</v>
      </c>
    </row>
    <row r="233" spans="1:5">
      <c r="A233" s="474">
        <v>228</v>
      </c>
      <c r="B233" s="475">
        <v>2385.8999999999892</v>
      </c>
      <c r="C233" s="475">
        <v>2311.1999999999975</v>
      </c>
      <c r="D233" s="476">
        <v>3847.8000000000166</v>
      </c>
      <c r="E233" s="479">
        <f t="shared" si="4"/>
        <v>3398.8000000000143</v>
      </c>
    </row>
    <row r="234" spans="1:5">
      <c r="A234" s="474">
        <v>229</v>
      </c>
      <c r="B234" s="475">
        <v>2395.9999999999891</v>
      </c>
      <c r="C234" s="475">
        <v>2320.9999999999977</v>
      </c>
      <c r="D234" s="476">
        <v>3864.1000000000167</v>
      </c>
      <c r="E234" s="479">
        <f t="shared" si="4"/>
        <v>3413.2000000000144</v>
      </c>
    </row>
    <row r="235" spans="1:5">
      <c r="A235" s="474">
        <v>230</v>
      </c>
      <c r="B235" s="475">
        <v>2406.099999999989</v>
      </c>
      <c r="C235" s="475">
        <v>2330.7999999999979</v>
      </c>
      <c r="D235" s="476">
        <v>3880.4000000000169</v>
      </c>
      <c r="E235" s="479">
        <f t="shared" si="4"/>
        <v>3427.6000000000145</v>
      </c>
    </row>
    <row r="236" spans="1:5">
      <c r="A236" s="474">
        <v>231</v>
      </c>
      <c r="B236" s="475">
        <v>2416.1999999999889</v>
      </c>
      <c r="C236" s="475">
        <v>2340.5999999999981</v>
      </c>
      <c r="D236" s="476">
        <v>3896.7000000000171</v>
      </c>
      <c r="E236" s="479">
        <f t="shared" si="4"/>
        <v>3442.0000000000146</v>
      </c>
    </row>
    <row r="237" spans="1:5">
      <c r="A237" s="474">
        <v>232</v>
      </c>
      <c r="B237" s="475">
        <v>2426.2999999999888</v>
      </c>
      <c r="C237" s="475">
        <v>2350.3999999999983</v>
      </c>
      <c r="D237" s="476">
        <v>3913.0000000000173</v>
      </c>
      <c r="E237" s="479">
        <f t="shared" si="4"/>
        <v>3456.4000000000146</v>
      </c>
    </row>
    <row r="238" spans="1:5">
      <c r="A238" s="474">
        <v>233</v>
      </c>
      <c r="B238" s="475">
        <v>2436.3999999999887</v>
      </c>
      <c r="C238" s="475">
        <v>2360.1999999999985</v>
      </c>
      <c r="D238" s="476">
        <v>3929.3000000000175</v>
      </c>
      <c r="E238" s="479">
        <f t="shared" si="4"/>
        <v>3470.8000000000147</v>
      </c>
    </row>
    <row r="239" spans="1:5">
      <c r="A239" s="474">
        <v>234</v>
      </c>
      <c r="B239" s="475">
        <v>2446.4999999999886</v>
      </c>
      <c r="C239" s="475">
        <v>2369.9999999999986</v>
      </c>
      <c r="D239" s="476">
        <v>3945.6000000000176</v>
      </c>
      <c r="E239" s="479">
        <f t="shared" si="4"/>
        <v>3485.2000000000148</v>
      </c>
    </row>
    <row r="240" spans="1:5">
      <c r="A240" s="474">
        <v>235</v>
      </c>
      <c r="B240" s="475">
        <v>2456.5999999999885</v>
      </c>
      <c r="C240" s="475">
        <v>2379.7999999999988</v>
      </c>
      <c r="D240" s="476">
        <v>3961.9000000000178</v>
      </c>
      <c r="E240" s="479">
        <f t="shared" si="4"/>
        <v>3499.6000000000149</v>
      </c>
    </row>
    <row r="241" spans="1:5">
      <c r="A241" s="474">
        <v>236</v>
      </c>
      <c r="B241" s="475">
        <v>2466.6999999999884</v>
      </c>
      <c r="C241" s="475">
        <v>2389.599999999999</v>
      </c>
      <c r="D241" s="476">
        <v>3978.200000000018</v>
      </c>
      <c r="E241" s="479">
        <f t="shared" si="4"/>
        <v>3514.000000000015</v>
      </c>
    </row>
    <row r="242" spans="1:5">
      <c r="A242" s="474">
        <v>237</v>
      </c>
      <c r="B242" s="475">
        <v>2476.7999999999884</v>
      </c>
      <c r="C242" s="475">
        <v>2399.3999999999992</v>
      </c>
      <c r="D242" s="476">
        <v>3994.5000000000182</v>
      </c>
      <c r="E242" s="479">
        <f t="shared" si="4"/>
        <v>3528.4000000000151</v>
      </c>
    </row>
    <row r="243" spans="1:5">
      <c r="A243" s="474">
        <v>238</v>
      </c>
      <c r="B243" s="475">
        <v>2486.8999999999883</v>
      </c>
      <c r="C243" s="475">
        <v>2409.1999999999994</v>
      </c>
      <c r="D243" s="476">
        <v>4010.8000000000184</v>
      </c>
      <c r="E243" s="479">
        <f t="shared" si="4"/>
        <v>3542.8000000000152</v>
      </c>
    </row>
    <row r="244" spans="1:5">
      <c r="A244" s="474">
        <v>239</v>
      </c>
      <c r="B244" s="475">
        <v>2496.9999999999882</v>
      </c>
      <c r="C244" s="475">
        <v>2418.9999999999995</v>
      </c>
      <c r="D244" s="476">
        <v>4027.1000000000186</v>
      </c>
      <c r="E244" s="479">
        <f t="shared" si="4"/>
        <v>3557.2000000000153</v>
      </c>
    </row>
    <row r="245" spans="1:5">
      <c r="A245" s="474">
        <v>240</v>
      </c>
      <c r="B245" s="475">
        <v>2507.0999999999881</v>
      </c>
      <c r="C245" s="475">
        <v>2428.7999999999997</v>
      </c>
      <c r="D245" s="476">
        <v>4043.4000000000187</v>
      </c>
      <c r="E245" s="479">
        <f t="shared" si="4"/>
        <v>3571.6000000000154</v>
      </c>
    </row>
    <row r="246" spans="1:5">
      <c r="A246" s="474">
        <v>241</v>
      </c>
      <c r="B246" s="475">
        <v>2517.199999999988</v>
      </c>
      <c r="C246" s="475">
        <v>2438.6</v>
      </c>
      <c r="D246" s="476">
        <v>4059.7000000000189</v>
      </c>
      <c r="E246" s="479">
        <f t="shared" si="4"/>
        <v>3586.0000000000155</v>
      </c>
    </row>
    <row r="247" spans="1:5">
      <c r="A247" s="474">
        <v>242</v>
      </c>
      <c r="B247" s="475">
        <v>2527.2999999999879</v>
      </c>
      <c r="C247" s="475">
        <v>2448.4</v>
      </c>
      <c r="D247" s="476">
        <v>4076.0000000000191</v>
      </c>
      <c r="E247" s="479">
        <f t="shared" si="4"/>
        <v>3600.4000000000156</v>
      </c>
    </row>
    <row r="248" spans="1:5">
      <c r="A248" s="474">
        <v>243</v>
      </c>
      <c r="B248" s="475">
        <v>2537.3999999999878</v>
      </c>
      <c r="C248" s="475">
        <v>2458.2000000000003</v>
      </c>
      <c r="D248" s="476">
        <v>4092.3000000000193</v>
      </c>
      <c r="E248" s="479">
        <f t="shared" si="4"/>
        <v>3614.8000000000156</v>
      </c>
    </row>
    <row r="249" spans="1:5">
      <c r="A249" s="474">
        <v>244</v>
      </c>
      <c r="B249" s="475">
        <v>2547.4999999999877</v>
      </c>
      <c r="C249" s="475">
        <v>2468.0000000000005</v>
      </c>
      <c r="D249" s="476">
        <v>4108.6000000000195</v>
      </c>
      <c r="E249" s="479">
        <f t="shared" si="4"/>
        <v>3629.2000000000157</v>
      </c>
    </row>
    <row r="250" spans="1:5">
      <c r="A250" s="474">
        <v>245</v>
      </c>
      <c r="B250" s="475">
        <v>2557.5999999999876</v>
      </c>
      <c r="C250" s="475">
        <v>2477.8000000000006</v>
      </c>
      <c r="D250" s="476">
        <v>4124.9000000000196</v>
      </c>
      <c r="E250" s="479">
        <f t="shared" si="4"/>
        <v>3643.6000000000158</v>
      </c>
    </row>
    <row r="251" spans="1:5">
      <c r="A251" s="474">
        <v>246</v>
      </c>
      <c r="B251" s="475">
        <v>2567.6999999999875</v>
      </c>
      <c r="C251" s="475">
        <v>2487.6000000000008</v>
      </c>
      <c r="D251" s="476">
        <v>4141.2000000000198</v>
      </c>
      <c r="E251" s="479">
        <f t="shared" si="4"/>
        <v>3658.0000000000159</v>
      </c>
    </row>
    <row r="252" spans="1:5">
      <c r="A252" s="474">
        <v>247</v>
      </c>
      <c r="B252" s="475">
        <v>2577.7999999999874</v>
      </c>
      <c r="C252" s="475">
        <v>2497.400000000001</v>
      </c>
      <c r="D252" s="476">
        <v>4157.50000000002</v>
      </c>
      <c r="E252" s="479">
        <f t="shared" si="4"/>
        <v>3672.400000000016</v>
      </c>
    </row>
    <row r="253" spans="1:5">
      <c r="A253" s="474">
        <v>248</v>
      </c>
      <c r="B253" s="475">
        <v>2587.8999999999874</v>
      </c>
      <c r="C253" s="475">
        <v>2507.2000000000012</v>
      </c>
      <c r="D253" s="476">
        <v>4173.8000000000202</v>
      </c>
      <c r="E253" s="479">
        <f t="shared" si="4"/>
        <v>3686.8000000000161</v>
      </c>
    </row>
    <row r="254" spans="1:5">
      <c r="A254" s="474">
        <v>249</v>
      </c>
      <c r="B254" s="475">
        <v>2597.9999999999873</v>
      </c>
      <c r="C254" s="475">
        <v>2517.0000000000014</v>
      </c>
      <c r="D254" s="476">
        <v>4190.1000000000204</v>
      </c>
      <c r="E254" s="479">
        <f t="shared" si="4"/>
        <v>3701.2000000000162</v>
      </c>
    </row>
    <row r="255" spans="1:5">
      <c r="A255" s="474">
        <v>250</v>
      </c>
      <c r="B255" s="475">
        <v>2608.0999999999872</v>
      </c>
      <c r="C255" s="475">
        <v>2526.8000000000015</v>
      </c>
      <c r="D255" s="476">
        <v>4206.4000000000206</v>
      </c>
      <c r="E255" s="479">
        <f t="shared" si="4"/>
        <v>3715.6000000000163</v>
      </c>
    </row>
    <row r="256" spans="1:5">
      <c r="A256" s="474">
        <v>251</v>
      </c>
      <c r="B256" s="475">
        <v>2618.1999999999871</v>
      </c>
      <c r="C256" s="475">
        <v>2536.6000000000017</v>
      </c>
      <c r="D256" s="476">
        <v>4222.7000000000207</v>
      </c>
      <c r="E256" s="479">
        <f t="shared" si="4"/>
        <v>3730.0000000000164</v>
      </c>
    </row>
    <row r="257" spans="1:5">
      <c r="A257" s="474">
        <v>252</v>
      </c>
      <c r="B257" s="475">
        <v>2628.299999999987</v>
      </c>
      <c r="C257" s="475">
        <v>2546.4000000000019</v>
      </c>
      <c r="D257" s="476">
        <v>4239.0000000000209</v>
      </c>
      <c r="E257" s="479">
        <f t="shared" si="4"/>
        <v>3744.4000000000165</v>
      </c>
    </row>
    <row r="258" spans="1:5">
      <c r="A258" s="474">
        <v>253</v>
      </c>
      <c r="B258" s="475">
        <v>2638.3999999999869</v>
      </c>
      <c r="C258" s="475">
        <v>2556.2000000000021</v>
      </c>
      <c r="D258" s="476">
        <v>4255.3000000000211</v>
      </c>
      <c r="E258" s="479">
        <f t="shared" si="4"/>
        <v>3758.8000000000166</v>
      </c>
    </row>
    <row r="259" spans="1:5">
      <c r="A259" s="474">
        <v>254</v>
      </c>
      <c r="B259" s="475">
        <v>2648.4999999999868</v>
      </c>
      <c r="C259" s="475">
        <v>2566.0000000000023</v>
      </c>
      <c r="D259" s="476">
        <v>4271.6000000000213</v>
      </c>
      <c r="E259" s="479">
        <f t="shared" si="4"/>
        <v>3773.2000000000166</v>
      </c>
    </row>
    <row r="260" spans="1:5">
      <c r="A260" s="474">
        <v>255</v>
      </c>
      <c r="B260" s="475">
        <v>2658.5999999999867</v>
      </c>
      <c r="C260" s="475">
        <v>2575.8000000000025</v>
      </c>
      <c r="D260" s="476">
        <v>4287.9000000000215</v>
      </c>
      <c r="E260" s="479">
        <f t="shared" si="4"/>
        <v>3787.6000000000167</v>
      </c>
    </row>
    <row r="261" spans="1:5">
      <c r="A261" s="474">
        <v>256</v>
      </c>
      <c r="B261" s="475">
        <v>2668.6999999999866</v>
      </c>
      <c r="C261" s="475">
        <v>2585.6000000000026</v>
      </c>
      <c r="D261" s="476">
        <v>4304.2000000000216</v>
      </c>
      <c r="E261" s="479">
        <f t="shared" si="4"/>
        <v>3802.0000000000168</v>
      </c>
    </row>
    <row r="262" spans="1:5">
      <c r="A262" s="474">
        <v>257</v>
      </c>
      <c r="B262" s="475">
        <v>2678.7999999999865</v>
      </c>
      <c r="C262" s="475">
        <v>2595.4000000000028</v>
      </c>
      <c r="D262" s="476">
        <v>4320.5000000000218</v>
      </c>
      <c r="E262" s="479">
        <f t="shared" si="4"/>
        <v>3816.4000000000169</v>
      </c>
    </row>
    <row r="263" spans="1:5">
      <c r="A263" s="474">
        <v>258</v>
      </c>
      <c r="B263" s="475">
        <v>2688.8999999999864</v>
      </c>
      <c r="C263" s="475">
        <v>2605.200000000003</v>
      </c>
      <c r="D263" s="476">
        <v>4336.800000000022</v>
      </c>
      <c r="E263" s="479">
        <f t="shared" si="4"/>
        <v>3830.800000000017</v>
      </c>
    </row>
    <row r="264" spans="1:5">
      <c r="A264" s="474">
        <v>259</v>
      </c>
      <c r="B264" s="475">
        <v>2698.9999999999864</v>
      </c>
      <c r="C264" s="475">
        <v>2615.0000000000032</v>
      </c>
      <c r="D264" s="476">
        <v>4353.1000000000222</v>
      </c>
      <c r="E264" s="479">
        <f t="shared" si="4"/>
        <v>3845.2000000000171</v>
      </c>
    </row>
    <row r="265" spans="1:5">
      <c r="A265" s="474">
        <v>260</v>
      </c>
      <c r="B265" s="475">
        <v>2709.0999999999863</v>
      </c>
      <c r="C265" s="475">
        <v>2624.8000000000034</v>
      </c>
      <c r="D265" s="476">
        <v>4369.4000000000224</v>
      </c>
      <c r="E265" s="479">
        <f t="shared" si="4"/>
        <v>3859.6000000000172</v>
      </c>
    </row>
    <row r="266" spans="1:5">
      <c r="A266" s="474">
        <v>261</v>
      </c>
      <c r="B266" s="475">
        <v>2719.1999999999862</v>
      </c>
      <c r="C266" s="475">
        <v>2634.6000000000035</v>
      </c>
      <c r="D266" s="476">
        <v>4385.7000000000226</v>
      </c>
      <c r="E266" s="479">
        <f t="shared" si="4"/>
        <v>3874.0000000000173</v>
      </c>
    </row>
    <row r="267" spans="1:5">
      <c r="A267" s="474">
        <v>262</v>
      </c>
      <c r="B267" s="475">
        <v>2729.2999999999861</v>
      </c>
      <c r="C267" s="475">
        <v>2644.4000000000037</v>
      </c>
      <c r="D267" s="476">
        <v>4402.0000000000227</v>
      </c>
      <c r="E267" s="479">
        <f t="shared" si="4"/>
        <v>3888.4000000000174</v>
      </c>
    </row>
    <row r="268" spans="1:5">
      <c r="A268" s="474">
        <v>263</v>
      </c>
      <c r="B268" s="475">
        <v>2739.399999999986</v>
      </c>
      <c r="C268" s="475">
        <v>2654.2000000000039</v>
      </c>
      <c r="D268" s="476">
        <v>4418.3000000000229</v>
      </c>
      <c r="E268" s="479">
        <f t="shared" si="4"/>
        <v>3902.8000000000175</v>
      </c>
    </row>
    <row r="269" spans="1:5">
      <c r="A269" s="474">
        <v>264</v>
      </c>
      <c r="B269" s="475">
        <v>2749.4999999999859</v>
      </c>
      <c r="C269" s="475">
        <v>2664.0000000000041</v>
      </c>
      <c r="D269" s="476">
        <v>4434.6000000000231</v>
      </c>
      <c r="E269" s="479">
        <f t="shared" si="4"/>
        <v>3917.2000000000176</v>
      </c>
    </row>
    <row r="270" spans="1:5">
      <c r="A270" s="474">
        <v>265</v>
      </c>
      <c r="B270" s="475">
        <v>2759.5999999999858</v>
      </c>
      <c r="C270" s="475">
        <v>2673.8000000000043</v>
      </c>
      <c r="D270" s="476">
        <v>4450.9000000000233</v>
      </c>
      <c r="E270" s="479">
        <f t="shared" si="4"/>
        <v>3931.6000000000176</v>
      </c>
    </row>
    <row r="271" spans="1:5">
      <c r="A271" s="474">
        <v>266</v>
      </c>
      <c r="B271" s="475">
        <v>2769.6999999999857</v>
      </c>
      <c r="C271" s="475">
        <v>2683.6000000000045</v>
      </c>
      <c r="D271" s="476">
        <v>4467.2000000000235</v>
      </c>
      <c r="E271" s="479">
        <f t="shared" si="4"/>
        <v>3946.0000000000177</v>
      </c>
    </row>
    <row r="272" spans="1:5">
      <c r="A272" s="474">
        <v>267</v>
      </c>
      <c r="B272" s="475">
        <v>2779.7999999999856</v>
      </c>
      <c r="C272" s="475">
        <v>2693.4000000000046</v>
      </c>
      <c r="D272" s="476">
        <v>4483.5000000000236</v>
      </c>
      <c r="E272" s="479">
        <f t="shared" si="4"/>
        <v>3960.4000000000178</v>
      </c>
    </row>
    <row r="273" spans="1:5">
      <c r="A273" s="474">
        <v>268</v>
      </c>
      <c r="B273" s="475">
        <v>2789.8999999999855</v>
      </c>
      <c r="C273" s="475">
        <v>2703.2000000000048</v>
      </c>
      <c r="D273" s="476">
        <v>4499.8000000000238</v>
      </c>
      <c r="E273" s="479">
        <f t="shared" si="4"/>
        <v>3974.8000000000179</v>
      </c>
    </row>
    <row r="274" spans="1:5">
      <c r="A274" s="474">
        <v>269</v>
      </c>
      <c r="B274" s="475">
        <v>2799.9999999999854</v>
      </c>
      <c r="C274" s="475">
        <v>2713.000000000005</v>
      </c>
      <c r="D274" s="476">
        <v>4516.100000000024</v>
      </c>
      <c r="E274" s="479">
        <f t="shared" si="4"/>
        <v>3989.200000000018</v>
      </c>
    </row>
    <row r="275" spans="1:5">
      <c r="A275" s="474">
        <v>270</v>
      </c>
      <c r="B275" s="475">
        <v>2810.0999999999854</v>
      </c>
      <c r="C275" s="475">
        <v>2722.8000000000052</v>
      </c>
      <c r="D275" s="476">
        <v>4532.4000000000242</v>
      </c>
      <c r="E275" s="479">
        <f t="shared" si="4"/>
        <v>4003.6000000000181</v>
      </c>
    </row>
    <row r="276" spans="1:5">
      <c r="A276" s="474">
        <v>271</v>
      </c>
      <c r="B276" s="475">
        <v>2820.1999999999853</v>
      </c>
      <c r="C276" s="475">
        <v>2732.6000000000054</v>
      </c>
      <c r="D276" s="476">
        <v>4548.7000000000244</v>
      </c>
      <c r="E276" s="479">
        <f t="shared" si="4"/>
        <v>4018.0000000000182</v>
      </c>
    </row>
    <row r="277" spans="1:5">
      <c r="A277" s="474">
        <v>272</v>
      </c>
      <c r="B277" s="475">
        <v>2830.2999999999852</v>
      </c>
      <c r="C277" s="475">
        <v>2742.4000000000055</v>
      </c>
      <c r="D277" s="476">
        <v>4565.0000000000246</v>
      </c>
      <c r="E277" s="479">
        <f t="shared" si="4"/>
        <v>4032.4000000000183</v>
      </c>
    </row>
    <row r="278" spans="1:5">
      <c r="A278" s="474">
        <v>273</v>
      </c>
      <c r="B278" s="475">
        <v>2840.3999999999851</v>
      </c>
      <c r="C278" s="475">
        <v>2752.2000000000057</v>
      </c>
      <c r="D278" s="476">
        <v>4581.3000000000247</v>
      </c>
      <c r="E278" s="479">
        <f t="shared" si="4"/>
        <v>4046.8000000000184</v>
      </c>
    </row>
    <row r="279" spans="1:5">
      <c r="A279" s="474">
        <v>274</v>
      </c>
      <c r="B279" s="475">
        <v>2850.499999999985</v>
      </c>
      <c r="C279" s="475">
        <v>2762.0000000000059</v>
      </c>
      <c r="D279" s="476">
        <v>4597.6000000000249</v>
      </c>
      <c r="E279" s="479">
        <f t="shared" si="4"/>
        <v>4061.2000000000185</v>
      </c>
    </row>
    <row r="280" spans="1:5">
      <c r="A280" s="474">
        <v>275</v>
      </c>
      <c r="B280" s="475">
        <v>2860.5999999999849</v>
      </c>
      <c r="C280" s="475">
        <v>2771.8000000000061</v>
      </c>
      <c r="D280" s="476">
        <v>4613.9000000000251</v>
      </c>
      <c r="E280" s="479">
        <f t="shared" si="4"/>
        <v>4075.6000000000186</v>
      </c>
    </row>
    <row r="281" spans="1:5">
      <c r="A281" s="474">
        <v>276</v>
      </c>
      <c r="B281" s="475">
        <v>2870.6999999999848</v>
      </c>
      <c r="C281" s="475">
        <v>2781.6000000000063</v>
      </c>
      <c r="D281" s="476">
        <v>4630.2000000000253</v>
      </c>
      <c r="E281" s="479">
        <f t="shared" si="4"/>
        <v>4090.0000000000186</v>
      </c>
    </row>
    <row r="282" spans="1:5">
      <c r="A282" s="474">
        <v>277</v>
      </c>
      <c r="B282" s="475">
        <v>2880.7999999999847</v>
      </c>
      <c r="C282" s="475">
        <v>2791.4000000000065</v>
      </c>
      <c r="D282" s="476">
        <v>4646.5000000000255</v>
      </c>
      <c r="E282" s="479">
        <f t="shared" si="4"/>
        <v>4104.4000000000187</v>
      </c>
    </row>
    <row r="283" spans="1:5">
      <c r="A283" s="474">
        <v>278</v>
      </c>
      <c r="B283" s="475">
        <v>2890.8999999999846</v>
      </c>
      <c r="C283" s="475">
        <v>2801.2000000000066</v>
      </c>
      <c r="D283" s="476">
        <v>4662.8000000000256</v>
      </c>
      <c r="E283" s="479">
        <f t="shared" si="4"/>
        <v>4118.8000000000184</v>
      </c>
    </row>
    <row r="284" spans="1:5">
      <c r="A284" s="474">
        <v>279</v>
      </c>
      <c r="B284" s="475">
        <v>2900.9999999999845</v>
      </c>
      <c r="C284" s="475">
        <v>2811.0000000000068</v>
      </c>
      <c r="D284" s="476">
        <v>4679.1000000000258</v>
      </c>
      <c r="E284" s="479">
        <f t="shared" si="4"/>
        <v>4133.200000000018</v>
      </c>
    </row>
    <row r="285" spans="1:5">
      <c r="A285" s="474">
        <v>280</v>
      </c>
      <c r="B285" s="475">
        <v>2911.0999999999844</v>
      </c>
      <c r="C285" s="475">
        <v>2820.800000000007</v>
      </c>
      <c r="D285" s="476">
        <v>4695.400000000026</v>
      </c>
      <c r="E285" s="479">
        <f t="shared" si="4"/>
        <v>4147.6000000000176</v>
      </c>
    </row>
    <row r="286" spans="1:5">
      <c r="A286" s="474">
        <v>281</v>
      </c>
      <c r="B286" s="475">
        <v>2921.1999999999844</v>
      </c>
      <c r="C286" s="475">
        <v>2830.6000000000072</v>
      </c>
      <c r="D286" s="476">
        <v>4711.7000000000262</v>
      </c>
      <c r="E286" s="479">
        <f t="shared" si="4"/>
        <v>4162.0000000000173</v>
      </c>
    </row>
    <row r="287" spans="1:5">
      <c r="A287" s="474">
        <v>282</v>
      </c>
      <c r="B287" s="475">
        <v>2931.2999999999843</v>
      </c>
      <c r="C287" s="475">
        <v>2840.4000000000074</v>
      </c>
      <c r="D287" s="476">
        <v>4728.0000000000264</v>
      </c>
      <c r="E287" s="479">
        <f t="shared" si="4"/>
        <v>4176.4000000000169</v>
      </c>
    </row>
    <row r="288" spans="1:5">
      <c r="A288" s="474">
        <v>283</v>
      </c>
      <c r="B288" s="475">
        <v>2941.3999999999842</v>
      </c>
      <c r="C288" s="475">
        <v>2850.2000000000075</v>
      </c>
      <c r="D288" s="476">
        <v>4744.3000000000266</v>
      </c>
      <c r="E288" s="479">
        <f t="shared" si="4"/>
        <v>4190.8000000000166</v>
      </c>
    </row>
    <row r="289" spans="1:5">
      <c r="A289" s="474">
        <v>284</v>
      </c>
      <c r="B289" s="475">
        <v>2951.4999999999841</v>
      </c>
      <c r="C289" s="475">
        <v>2860.0000000000077</v>
      </c>
      <c r="D289" s="476">
        <v>4760.6000000000267</v>
      </c>
      <c r="E289" s="479">
        <f t="shared" si="4"/>
        <v>4205.2000000000162</v>
      </c>
    </row>
    <row r="290" spans="1:5">
      <c r="A290" s="474">
        <v>285</v>
      </c>
      <c r="B290" s="475">
        <v>2961.599999999984</v>
      </c>
      <c r="C290" s="475">
        <v>2869.8000000000079</v>
      </c>
      <c r="D290" s="476">
        <v>4776.9000000000269</v>
      </c>
      <c r="E290" s="479">
        <f t="shared" si="4"/>
        <v>4219.6000000000158</v>
      </c>
    </row>
    <row r="291" spans="1:5">
      <c r="A291" s="474">
        <v>286</v>
      </c>
      <c r="B291" s="475">
        <v>2971.6999999999839</v>
      </c>
      <c r="C291" s="475">
        <v>2879.6000000000081</v>
      </c>
      <c r="D291" s="476">
        <v>4793.2000000000271</v>
      </c>
      <c r="E291" s="479">
        <f t="shared" si="4"/>
        <v>4234.0000000000155</v>
      </c>
    </row>
    <row r="292" spans="1:5">
      <c r="A292" s="474">
        <v>287</v>
      </c>
      <c r="B292" s="475">
        <v>2981.7999999999838</v>
      </c>
      <c r="C292" s="475">
        <v>2889.4000000000083</v>
      </c>
      <c r="D292" s="476">
        <v>4809.5000000000273</v>
      </c>
      <c r="E292" s="479">
        <f t="shared" si="4"/>
        <v>4248.4000000000151</v>
      </c>
    </row>
    <row r="293" spans="1:5">
      <c r="A293" s="474">
        <v>288</v>
      </c>
      <c r="B293" s="475">
        <v>2991.8999999999837</v>
      </c>
      <c r="C293" s="475">
        <v>2899.2000000000085</v>
      </c>
      <c r="D293" s="476">
        <v>4825.8000000000275</v>
      </c>
      <c r="E293" s="479">
        <f t="shared" ref="E293:E305" si="5">E292+14.4</f>
        <v>4262.8000000000147</v>
      </c>
    </row>
    <row r="294" spans="1:5">
      <c r="A294" s="474">
        <v>289</v>
      </c>
      <c r="B294" s="475">
        <v>3001.9999999999836</v>
      </c>
      <c r="C294" s="475">
        <v>2909.0000000000086</v>
      </c>
      <c r="D294" s="476">
        <v>4842.1000000000276</v>
      </c>
      <c r="E294" s="479">
        <f t="shared" si="5"/>
        <v>4277.2000000000144</v>
      </c>
    </row>
    <row r="295" spans="1:5">
      <c r="A295" s="474">
        <v>290</v>
      </c>
      <c r="B295" s="475">
        <v>3012.0999999999835</v>
      </c>
      <c r="C295" s="475">
        <v>2918.8000000000088</v>
      </c>
      <c r="D295" s="476">
        <v>4858.4000000000278</v>
      </c>
      <c r="E295" s="479">
        <f t="shared" si="5"/>
        <v>4291.600000000014</v>
      </c>
    </row>
    <row r="296" spans="1:5">
      <c r="A296" s="474">
        <v>291</v>
      </c>
      <c r="B296" s="475">
        <v>3022.1999999999834</v>
      </c>
      <c r="C296" s="475">
        <v>2928.600000000009</v>
      </c>
      <c r="D296" s="476">
        <v>4874.700000000028</v>
      </c>
      <c r="E296" s="479">
        <f t="shared" si="5"/>
        <v>4306.0000000000136</v>
      </c>
    </row>
    <row r="297" spans="1:5">
      <c r="A297" s="474">
        <v>292</v>
      </c>
      <c r="B297" s="475">
        <v>3032.2999999999834</v>
      </c>
      <c r="C297" s="475">
        <v>2938.4000000000092</v>
      </c>
      <c r="D297" s="476">
        <v>4891.0000000000282</v>
      </c>
      <c r="E297" s="479">
        <f t="shared" si="5"/>
        <v>4320.4000000000133</v>
      </c>
    </row>
    <row r="298" spans="1:5">
      <c r="A298" s="474">
        <v>293</v>
      </c>
      <c r="B298" s="475">
        <v>3042.3999999999833</v>
      </c>
      <c r="C298" s="475">
        <v>2948.2000000000094</v>
      </c>
      <c r="D298" s="476">
        <v>4907.3000000000284</v>
      </c>
      <c r="E298" s="479">
        <f t="shared" si="5"/>
        <v>4334.8000000000129</v>
      </c>
    </row>
    <row r="299" spans="1:5">
      <c r="A299" s="474">
        <v>294</v>
      </c>
      <c r="B299" s="475">
        <v>3052.4999999999832</v>
      </c>
      <c r="C299" s="475">
        <v>2958.0000000000095</v>
      </c>
      <c r="D299" s="476">
        <v>4923.6000000000286</v>
      </c>
      <c r="E299" s="479">
        <f t="shared" si="5"/>
        <v>4349.2000000000126</v>
      </c>
    </row>
    <row r="300" spans="1:5">
      <c r="A300" s="474">
        <v>295</v>
      </c>
      <c r="B300" s="475">
        <v>3062.5999999999831</v>
      </c>
      <c r="C300" s="475">
        <v>2967.8000000000097</v>
      </c>
      <c r="D300" s="476">
        <v>4939.9000000000287</v>
      </c>
      <c r="E300" s="479">
        <f t="shared" si="5"/>
        <v>4363.6000000000122</v>
      </c>
    </row>
    <row r="301" spans="1:5">
      <c r="A301" s="474">
        <v>296</v>
      </c>
      <c r="B301" s="475">
        <v>3072.699999999983</v>
      </c>
      <c r="C301" s="475">
        <v>2977.6000000000099</v>
      </c>
      <c r="D301" s="476">
        <v>4956.2000000000289</v>
      </c>
      <c r="E301" s="479">
        <f t="shared" si="5"/>
        <v>4378.0000000000118</v>
      </c>
    </row>
    <row r="302" spans="1:5">
      <c r="A302" s="474">
        <v>297</v>
      </c>
      <c r="B302" s="475">
        <v>3082.7999999999829</v>
      </c>
      <c r="C302" s="475">
        <v>2987.4000000000101</v>
      </c>
      <c r="D302" s="476">
        <v>4972.5000000000291</v>
      </c>
      <c r="E302" s="479">
        <f t="shared" si="5"/>
        <v>4392.4000000000115</v>
      </c>
    </row>
    <row r="303" spans="1:5">
      <c r="A303" s="474">
        <v>298</v>
      </c>
      <c r="B303" s="475">
        <v>3092.8999999999828</v>
      </c>
      <c r="C303" s="475">
        <v>2997.2000000000103</v>
      </c>
      <c r="D303" s="476">
        <v>4988.8000000000293</v>
      </c>
      <c r="E303" s="479">
        <f t="shared" si="5"/>
        <v>4406.8000000000111</v>
      </c>
    </row>
    <row r="304" spans="1:5">
      <c r="A304" s="474">
        <v>299</v>
      </c>
      <c r="B304" s="475">
        <v>3102.9999999999827</v>
      </c>
      <c r="C304" s="475">
        <v>3007.0000000000105</v>
      </c>
      <c r="D304" s="476">
        <v>5005.1000000000295</v>
      </c>
      <c r="E304" s="479">
        <f t="shared" si="5"/>
        <v>4421.2000000000107</v>
      </c>
    </row>
    <row r="305" spans="1:5">
      <c r="A305" s="474">
        <v>300</v>
      </c>
      <c r="B305" s="475">
        <v>3113.0999999999826</v>
      </c>
      <c r="C305" s="475">
        <v>3016.8000000000106</v>
      </c>
      <c r="D305" s="476">
        <v>5021.4000000000296</v>
      </c>
      <c r="E305" s="479">
        <f t="shared" si="5"/>
        <v>4435.6000000000104</v>
      </c>
    </row>
    <row r="306" spans="1:5">
      <c r="A306" s="474">
        <v>301</v>
      </c>
    </row>
    <row r="307" spans="1:5">
      <c r="A307" s="474">
        <v>302</v>
      </c>
    </row>
    <row r="308" spans="1:5">
      <c r="A308" s="474">
        <v>303</v>
      </c>
    </row>
    <row r="309" spans="1:5">
      <c r="A309" s="474">
        <v>304</v>
      </c>
    </row>
    <row r="310" spans="1:5">
      <c r="A310" s="474">
        <v>305</v>
      </c>
    </row>
    <row r="311" spans="1:5">
      <c r="A311" s="474">
        <v>306</v>
      </c>
    </row>
    <row r="312" spans="1:5">
      <c r="A312" s="474">
        <v>307</v>
      </c>
    </row>
    <row r="313" spans="1:5">
      <c r="A313" s="474">
        <v>308</v>
      </c>
    </row>
  </sheetData>
  <mergeCells count="3">
    <mergeCell ref="A1:F1"/>
    <mergeCell ref="B2:D2"/>
    <mergeCell ref="A3:A4"/>
  </mergeCells>
  <pageMargins left="1.04" right="0.7" top="0.32" bottom="0.4" header="0.3" footer="0.3"/>
  <pageSetup paperSize="9" orientation="portrait" verticalDpi="0" r:id="rId1"/>
</worksheet>
</file>

<file path=xl/worksheets/sheet39.xml><?xml version="1.0" encoding="utf-8"?>
<worksheet xmlns="http://schemas.openxmlformats.org/spreadsheetml/2006/main" xmlns:r="http://schemas.openxmlformats.org/officeDocument/2006/relationships">
  <sheetPr filterMode="1">
    <tabColor rgb="FF00B050"/>
  </sheetPr>
  <dimension ref="A1:S618"/>
  <sheetViews>
    <sheetView showZeros="0" view="pageBreakPreview" zoomScale="115" zoomScaleSheetLayoutView="115" workbookViewId="0">
      <selection activeCell="H34" sqref="H34"/>
    </sheetView>
  </sheetViews>
  <sheetFormatPr defaultColWidth="9.140625" defaultRowHeight="12.75"/>
  <cols>
    <col min="1" max="1" width="3.28515625" style="60" customWidth="1"/>
    <col min="2" max="2" width="22.28515625" style="60" bestFit="1" customWidth="1"/>
    <col min="3" max="5" width="7.7109375" style="60" customWidth="1"/>
    <col min="6" max="6" width="7.7109375" style="60" bestFit="1" customWidth="1"/>
    <col min="7" max="7" width="3.42578125" style="60" customWidth="1"/>
    <col min="8" max="8" width="7.7109375" style="60" customWidth="1"/>
    <col min="9" max="9" width="9.140625" style="60" bestFit="1" customWidth="1"/>
    <col min="10" max="10" width="6.42578125" style="60" customWidth="1"/>
    <col min="11" max="11" width="6.28515625" style="60" customWidth="1"/>
    <col min="12" max="12" width="8.7109375" style="60" customWidth="1"/>
    <col min="13" max="13" width="8" style="60" customWidth="1"/>
    <col min="14" max="14" width="8.5703125" style="365" customWidth="1"/>
    <col min="15" max="15" width="7.140625" style="60" customWidth="1"/>
    <col min="16" max="16" width="6.42578125" style="60" customWidth="1"/>
    <col min="17" max="17" width="7.7109375" style="60" bestFit="1" customWidth="1"/>
    <col min="18" max="18" width="3.28515625" style="60" bestFit="1" customWidth="1"/>
    <col min="19" max="19" width="10.42578125" style="60" bestFit="1" customWidth="1"/>
    <col min="20" max="16384" width="9.140625" style="60"/>
  </cols>
  <sheetData>
    <row r="1" spans="1:19" ht="21">
      <c r="A1" s="1875" t="s">
        <v>983</v>
      </c>
      <c r="B1" s="1875"/>
      <c r="C1" s="1875"/>
      <c r="D1" s="1875"/>
      <c r="E1" s="1875"/>
      <c r="F1" s="1875"/>
      <c r="G1" s="1875"/>
      <c r="H1" s="1875"/>
      <c r="I1" s="1875"/>
      <c r="J1" s="1875"/>
      <c r="K1" s="1875"/>
      <c r="L1" s="1875"/>
      <c r="M1" s="1875"/>
      <c r="N1" s="1951"/>
      <c r="O1" s="1875"/>
      <c r="P1" s="1875"/>
      <c r="Q1" s="325"/>
      <c r="R1" s="325"/>
    </row>
    <row r="2" spans="1:19" ht="19.5" customHeight="1">
      <c r="A2" s="1952" t="str">
        <f>'lead 19-20'!B2&amp;'lead 19-20'!C2</f>
        <v>Name of the Work: Providing Additional Space for Agriculture Staff in  Baduguleru GP of Kanigiri Mandal</v>
      </c>
      <c r="B2" s="1952"/>
      <c r="C2" s="1952"/>
      <c r="D2" s="1952"/>
      <c r="E2" s="1952"/>
      <c r="F2" s="1952"/>
      <c r="G2" s="1952"/>
      <c r="H2" s="1952"/>
      <c r="I2" s="1952"/>
      <c r="J2" s="1952"/>
      <c r="K2" s="1952"/>
      <c r="L2" s="1952"/>
      <c r="M2" s="1952"/>
      <c r="N2" s="1953"/>
      <c r="O2" s="1952"/>
      <c r="P2" s="1952"/>
      <c r="Q2" s="666"/>
      <c r="R2" s="666"/>
    </row>
    <row r="3" spans="1:19" ht="25.5">
      <c r="A3" s="667" t="s">
        <v>23</v>
      </c>
      <c r="B3" s="667" t="s">
        <v>7</v>
      </c>
      <c r="C3" s="667" t="s">
        <v>220</v>
      </c>
      <c r="D3" s="667" t="s">
        <v>224</v>
      </c>
      <c r="E3" s="667" t="s">
        <v>905</v>
      </c>
      <c r="F3" s="1876" t="s">
        <v>227</v>
      </c>
      <c r="G3" s="1876"/>
      <c r="H3" s="667" t="s">
        <v>976</v>
      </c>
      <c r="I3" s="667" t="s">
        <v>977</v>
      </c>
      <c r="J3" s="219" t="s">
        <v>978</v>
      </c>
      <c r="K3" s="219" t="s">
        <v>1486</v>
      </c>
      <c r="L3" s="667" t="s">
        <v>1487</v>
      </c>
      <c r="M3" s="667" t="s">
        <v>1488</v>
      </c>
      <c r="N3" s="363" t="s">
        <v>979</v>
      </c>
      <c r="O3" s="219" t="s">
        <v>1489</v>
      </c>
      <c r="P3" s="219" t="s">
        <v>1490</v>
      </c>
      <c r="Q3" s="667" t="s">
        <v>136</v>
      </c>
      <c r="R3" s="207"/>
    </row>
    <row r="4" spans="1:19" hidden="1">
      <c r="A4" s="667"/>
      <c r="B4" s="455" t="s">
        <v>2287</v>
      </c>
      <c r="C4" s="667"/>
      <c r="D4" s="667"/>
      <c r="E4" s="667"/>
      <c r="F4" s="667"/>
      <c r="G4" s="667"/>
      <c r="H4" s="667"/>
      <c r="I4" s="667"/>
      <c r="J4" s="219"/>
      <c r="K4" s="219"/>
      <c r="L4" s="667"/>
      <c r="M4" s="667"/>
      <c r="N4" s="363"/>
      <c r="O4" s="219"/>
      <c r="P4" s="219"/>
      <c r="Q4" s="667"/>
      <c r="R4" s="207"/>
    </row>
    <row r="5" spans="1:19" hidden="1">
      <c r="A5" s="667"/>
      <c r="B5" s="455" t="s">
        <v>2288</v>
      </c>
      <c r="C5" s="667"/>
      <c r="D5" s="667"/>
      <c r="E5" s="667"/>
      <c r="F5" s="667"/>
      <c r="G5" s="667"/>
      <c r="H5" s="667"/>
      <c r="I5" s="667"/>
      <c r="J5" s="219"/>
      <c r="K5" s="219"/>
      <c r="L5" s="667"/>
      <c r="M5" s="667"/>
      <c r="N5" s="363"/>
      <c r="O5" s="219"/>
      <c r="P5" s="219"/>
      <c r="Q5" s="667"/>
      <c r="R5" s="207"/>
    </row>
    <row r="6" spans="1:19" ht="15" hidden="1">
      <c r="A6" s="283">
        <v>1</v>
      </c>
      <c r="B6" s="207" t="s">
        <v>1430</v>
      </c>
      <c r="C6" s="285">
        <f>'R-1'!I8</f>
        <v>0</v>
      </c>
      <c r="D6" s="207"/>
      <c r="E6" s="207"/>
      <c r="F6" s="285">
        <f t="shared" ref="F6:F13" si="0">C6+D6</f>
        <v>0</v>
      </c>
      <c r="G6" s="285" t="s">
        <v>421</v>
      </c>
      <c r="H6" s="284">
        <f>'R-1'!J8</f>
        <v>0</v>
      </c>
      <c r="I6" s="287">
        <v>0</v>
      </c>
      <c r="J6" s="286">
        <v>0</v>
      </c>
      <c r="K6" s="283">
        <v>0</v>
      </c>
      <c r="L6" s="283">
        <v>0</v>
      </c>
      <c r="M6" s="283">
        <v>0</v>
      </c>
      <c r="N6" s="283"/>
      <c r="O6" s="283">
        <v>0</v>
      </c>
      <c r="P6" s="286">
        <v>0</v>
      </c>
      <c r="Q6" s="207">
        <v>0</v>
      </c>
      <c r="R6" s="207"/>
      <c r="S6" s="60" t="s">
        <v>2226</v>
      </c>
    </row>
    <row r="7" spans="1:19" ht="15" hidden="1">
      <c r="A7" s="283">
        <v>1</v>
      </c>
      <c r="B7" s="207" t="s">
        <v>1430</v>
      </c>
      <c r="C7" s="285">
        <f>'R-1'!I9</f>
        <v>0</v>
      </c>
      <c r="D7" s="207"/>
      <c r="E7" s="207"/>
      <c r="F7" s="285">
        <f t="shared" si="0"/>
        <v>0</v>
      </c>
      <c r="G7" s="285" t="s">
        <v>421</v>
      </c>
      <c r="H7" s="284">
        <f>'R-1'!J9</f>
        <v>0</v>
      </c>
      <c r="I7" s="287">
        <v>0</v>
      </c>
      <c r="J7" s="286">
        <v>0</v>
      </c>
      <c r="K7" s="283">
        <v>0</v>
      </c>
      <c r="L7" s="283">
        <v>0</v>
      </c>
      <c r="M7" s="283">
        <v>0</v>
      </c>
      <c r="N7" s="283"/>
      <c r="O7" s="283">
        <v>0</v>
      </c>
      <c r="P7" s="286">
        <v>0</v>
      </c>
      <c r="Q7" s="207">
        <v>0</v>
      </c>
      <c r="R7" s="207"/>
      <c r="S7" s="60" t="s">
        <v>2308</v>
      </c>
    </row>
    <row r="8" spans="1:19" ht="15" hidden="1">
      <c r="A8" s="283">
        <v>1</v>
      </c>
      <c r="B8" s="207" t="s">
        <v>1430</v>
      </c>
      <c r="C8" s="285">
        <f>'R-1'!I10</f>
        <v>0</v>
      </c>
      <c r="D8" s="207"/>
      <c r="E8" s="207"/>
      <c r="F8" s="285">
        <f t="shared" si="0"/>
        <v>0</v>
      </c>
      <c r="G8" s="285" t="s">
        <v>421</v>
      </c>
      <c r="H8" s="284">
        <f>'R-1'!J10</f>
        <v>0</v>
      </c>
      <c r="I8" s="287">
        <v>0</v>
      </c>
      <c r="J8" s="286">
        <v>0</v>
      </c>
      <c r="K8" s="283">
        <v>0</v>
      </c>
      <c r="L8" s="283">
        <v>0</v>
      </c>
      <c r="M8" s="283">
        <v>0</v>
      </c>
      <c r="N8" s="283"/>
      <c r="O8" s="283">
        <v>0</v>
      </c>
      <c r="P8" s="286">
        <v>0</v>
      </c>
      <c r="Q8" s="207">
        <v>0</v>
      </c>
      <c r="R8" s="207"/>
      <c r="S8" s="60" t="s">
        <v>2321</v>
      </c>
    </row>
    <row r="9" spans="1:19" ht="15" hidden="1">
      <c r="A9" s="283">
        <v>1</v>
      </c>
      <c r="B9" s="207" t="s">
        <v>1430</v>
      </c>
      <c r="C9" s="285">
        <f>'R-1'!I11</f>
        <v>0</v>
      </c>
      <c r="D9" s="207"/>
      <c r="E9" s="207"/>
      <c r="F9" s="285">
        <f t="shared" si="0"/>
        <v>0</v>
      </c>
      <c r="G9" s="285" t="s">
        <v>421</v>
      </c>
      <c r="H9" s="284">
        <f>'R-1'!J11</f>
        <v>0</v>
      </c>
      <c r="I9" s="287">
        <v>0</v>
      </c>
      <c r="J9" s="286">
        <v>0</v>
      </c>
      <c r="K9" s="283">
        <v>0</v>
      </c>
      <c r="L9" s="283">
        <v>0</v>
      </c>
      <c r="M9" s="283">
        <v>0</v>
      </c>
      <c r="N9" s="283"/>
      <c r="O9" s="283">
        <v>0</v>
      </c>
      <c r="P9" s="286">
        <v>0</v>
      </c>
      <c r="Q9" s="207">
        <v>0</v>
      </c>
      <c r="R9" s="207"/>
      <c r="S9" s="60" t="s">
        <v>2322</v>
      </c>
    </row>
    <row r="10" spans="1:19" s="58" customFormat="1" ht="15">
      <c r="A10" s="16">
        <v>1</v>
      </c>
      <c r="B10" s="39" t="s">
        <v>2480</v>
      </c>
      <c r="C10" s="53">
        <f>'R-1'!I12</f>
        <v>82.240000000000009</v>
      </c>
      <c r="D10" s="39"/>
      <c r="E10" s="39"/>
      <c r="F10" s="53">
        <f t="shared" si="0"/>
        <v>82.240000000000009</v>
      </c>
      <c r="G10" s="53" t="s">
        <v>421</v>
      </c>
      <c r="H10" s="432">
        <f>'R-1'!J12</f>
        <v>10217</v>
      </c>
      <c r="I10" s="38">
        <v>0</v>
      </c>
      <c r="J10" s="208">
        <v>0</v>
      </c>
      <c r="K10" s="16">
        <v>0</v>
      </c>
      <c r="L10" s="16">
        <v>0</v>
      </c>
      <c r="M10" s="16">
        <v>0</v>
      </c>
      <c r="N10" s="208"/>
      <c r="O10" s="16">
        <v>0</v>
      </c>
      <c r="P10" s="208">
        <v>0</v>
      </c>
      <c r="Q10" s="39">
        <v>0</v>
      </c>
      <c r="R10" s="39"/>
      <c r="S10" s="60" t="s">
        <v>2226</v>
      </c>
    </row>
    <row r="11" spans="1:19" s="58" customFormat="1" ht="15" hidden="1">
      <c r="A11" s="16">
        <v>2</v>
      </c>
      <c r="B11" s="39" t="s">
        <v>2480</v>
      </c>
      <c r="C11" s="53">
        <f>'R-1'!I13</f>
        <v>0</v>
      </c>
      <c r="D11" s="39"/>
      <c r="E11" s="39"/>
      <c r="F11" s="53">
        <f t="shared" si="0"/>
        <v>0</v>
      </c>
      <c r="G11" s="53" t="s">
        <v>421</v>
      </c>
      <c r="H11" s="432">
        <f>'R-1'!J13</f>
        <v>0</v>
      </c>
      <c r="I11" s="38">
        <v>0</v>
      </c>
      <c r="J11" s="208">
        <v>0</v>
      </c>
      <c r="K11" s="16">
        <v>0</v>
      </c>
      <c r="L11" s="16">
        <v>0</v>
      </c>
      <c r="M11" s="16">
        <v>0</v>
      </c>
      <c r="N11" s="208"/>
      <c r="O11" s="16">
        <v>0</v>
      </c>
      <c r="P11" s="208">
        <v>0</v>
      </c>
      <c r="Q11" s="39">
        <v>0</v>
      </c>
      <c r="R11" s="39"/>
      <c r="S11" s="60" t="s">
        <v>2308</v>
      </c>
    </row>
    <row r="12" spans="1:19" s="58" customFormat="1" ht="15" hidden="1">
      <c r="A12" s="16">
        <v>2</v>
      </c>
      <c r="B12" s="39" t="s">
        <v>2480</v>
      </c>
      <c r="C12" s="53">
        <f>'R-1'!I14</f>
        <v>0</v>
      </c>
      <c r="D12" s="39"/>
      <c r="E12" s="39"/>
      <c r="F12" s="53">
        <f t="shared" si="0"/>
        <v>0</v>
      </c>
      <c r="G12" s="53" t="s">
        <v>421</v>
      </c>
      <c r="H12" s="432">
        <f>'R-1'!J14</f>
        <v>0</v>
      </c>
      <c r="I12" s="38">
        <v>0</v>
      </c>
      <c r="J12" s="208">
        <v>0</v>
      </c>
      <c r="K12" s="16">
        <v>0</v>
      </c>
      <c r="L12" s="16">
        <v>0</v>
      </c>
      <c r="M12" s="16">
        <v>0</v>
      </c>
      <c r="N12" s="208"/>
      <c r="O12" s="16">
        <v>0</v>
      </c>
      <c r="P12" s="208">
        <v>0</v>
      </c>
      <c r="Q12" s="39">
        <v>0</v>
      </c>
      <c r="R12" s="39"/>
      <c r="S12" s="60" t="s">
        <v>2321</v>
      </c>
    </row>
    <row r="13" spans="1:19" s="58" customFormat="1" ht="15" hidden="1">
      <c r="A13" s="16">
        <v>3</v>
      </c>
      <c r="B13" s="39" t="s">
        <v>2480</v>
      </c>
      <c r="C13" s="53">
        <f>'R-1'!I15</f>
        <v>0</v>
      </c>
      <c r="D13" s="39"/>
      <c r="E13" s="39"/>
      <c r="F13" s="53">
        <f t="shared" si="0"/>
        <v>0</v>
      </c>
      <c r="G13" s="53" t="s">
        <v>421</v>
      </c>
      <c r="H13" s="432">
        <f>'R-1'!J15</f>
        <v>0</v>
      </c>
      <c r="I13" s="38">
        <v>0</v>
      </c>
      <c r="J13" s="208">
        <v>0</v>
      </c>
      <c r="K13" s="16">
        <v>0</v>
      </c>
      <c r="L13" s="16">
        <v>0</v>
      </c>
      <c r="M13" s="16">
        <v>0</v>
      </c>
      <c r="N13" s="208"/>
      <c r="O13" s="16">
        <v>0</v>
      </c>
      <c r="P13" s="208">
        <v>0</v>
      </c>
      <c r="Q13" s="39">
        <v>0</v>
      </c>
      <c r="R13" s="39"/>
      <c r="S13" s="60" t="s">
        <v>2322</v>
      </c>
    </row>
    <row r="14" spans="1:19" s="58" customFormat="1" ht="15">
      <c r="A14" s="16">
        <v>2</v>
      </c>
      <c r="B14" s="39" t="s">
        <v>135</v>
      </c>
      <c r="C14" s="53">
        <f>'R-1'!I32</f>
        <v>99.320000000000007</v>
      </c>
      <c r="D14" s="39"/>
      <c r="E14" s="39"/>
      <c r="F14" s="53">
        <f t="shared" ref="F14:F126" si="1">SUM(C14:E14)</f>
        <v>99.320000000000007</v>
      </c>
      <c r="G14" s="53" t="s">
        <v>421</v>
      </c>
      <c r="H14" s="53"/>
      <c r="I14" s="38">
        <v>0</v>
      </c>
      <c r="J14" s="10">
        <f>F14</f>
        <v>99.320000000000007</v>
      </c>
      <c r="K14" s="16">
        <v>0</v>
      </c>
      <c r="L14" s="16">
        <v>0</v>
      </c>
      <c r="M14" s="16">
        <v>0</v>
      </c>
      <c r="N14" s="208"/>
      <c r="O14" s="16">
        <v>0</v>
      </c>
      <c r="P14" s="208">
        <v>0</v>
      </c>
      <c r="Q14" s="39">
        <v>0</v>
      </c>
      <c r="R14" s="39"/>
      <c r="S14" s="60" t="s">
        <v>2226</v>
      </c>
    </row>
    <row r="15" spans="1:19" s="58" customFormat="1" ht="15" hidden="1">
      <c r="A15" s="16">
        <v>2</v>
      </c>
      <c r="B15" s="39" t="s">
        <v>135</v>
      </c>
      <c r="C15" s="53">
        <f>'R-1'!I33</f>
        <v>0</v>
      </c>
      <c r="D15" s="39"/>
      <c r="E15" s="39"/>
      <c r="F15" s="53">
        <f>SUM(C15:E15)</f>
        <v>0</v>
      </c>
      <c r="G15" s="53" t="s">
        <v>421</v>
      </c>
      <c r="H15" s="53"/>
      <c r="I15" s="38">
        <v>0</v>
      </c>
      <c r="J15" s="10">
        <f>F15</f>
        <v>0</v>
      </c>
      <c r="K15" s="16">
        <v>0</v>
      </c>
      <c r="L15" s="16">
        <v>0</v>
      </c>
      <c r="M15" s="16">
        <v>0</v>
      </c>
      <c r="N15" s="208"/>
      <c r="O15" s="16">
        <v>0</v>
      </c>
      <c r="P15" s="208">
        <v>0</v>
      </c>
      <c r="Q15" s="39">
        <v>0</v>
      </c>
      <c r="R15" s="39"/>
      <c r="S15" s="60" t="s">
        <v>2308</v>
      </c>
    </row>
    <row r="16" spans="1:19" s="58" customFormat="1" ht="15" hidden="1">
      <c r="A16" s="16">
        <v>2</v>
      </c>
      <c r="B16" s="39" t="s">
        <v>135</v>
      </c>
      <c r="C16" s="53">
        <f>'R-1'!I34</f>
        <v>0</v>
      </c>
      <c r="D16" s="39"/>
      <c r="E16" s="39"/>
      <c r="F16" s="53">
        <f>SUM(C16:E16)</f>
        <v>0</v>
      </c>
      <c r="G16" s="53" t="s">
        <v>421</v>
      </c>
      <c r="H16" s="53"/>
      <c r="I16" s="38">
        <v>0</v>
      </c>
      <c r="J16" s="10">
        <f>F16</f>
        <v>0</v>
      </c>
      <c r="K16" s="16">
        <v>0</v>
      </c>
      <c r="L16" s="16">
        <v>0</v>
      </c>
      <c r="M16" s="16">
        <v>0</v>
      </c>
      <c r="N16" s="208"/>
      <c r="O16" s="16">
        <v>0</v>
      </c>
      <c r="P16" s="208">
        <v>0</v>
      </c>
      <c r="Q16" s="39">
        <v>0</v>
      </c>
      <c r="R16" s="39"/>
      <c r="S16" s="60" t="s">
        <v>2321</v>
      </c>
    </row>
    <row r="17" spans="1:19" s="58" customFormat="1" ht="15" hidden="1">
      <c r="A17" s="16">
        <v>2</v>
      </c>
      <c r="B17" s="39" t="s">
        <v>135</v>
      </c>
      <c r="C17" s="53">
        <f>'R-1'!I35</f>
        <v>0</v>
      </c>
      <c r="D17" s="39"/>
      <c r="E17" s="39"/>
      <c r="F17" s="53">
        <f>SUM(C17:E17)</f>
        <v>0</v>
      </c>
      <c r="G17" s="53" t="s">
        <v>421</v>
      </c>
      <c r="H17" s="53"/>
      <c r="I17" s="38">
        <v>0</v>
      </c>
      <c r="J17" s="10">
        <f>F17</f>
        <v>0</v>
      </c>
      <c r="K17" s="16">
        <v>0</v>
      </c>
      <c r="L17" s="16">
        <v>0</v>
      </c>
      <c r="M17" s="16">
        <v>0</v>
      </c>
      <c r="N17" s="208"/>
      <c r="O17" s="16">
        <v>0</v>
      </c>
      <c r="P17" s="208">
        <v>0</v>
      </c>
      <c r="Q17" s="39">
        <v>0</v>
      </c>
      <c r="R17" s="39"/>
      <c r="S17" s="60" t="s">
        <v>2322</v>
      </c>
    </row>
    <row r="18" spans="1:19" s="58" customFormat="1" ht="15">
      <c r="A18" s="16">
        <v>3</v>
      </c>
      <c r="B18" s="39" t="s">
        <v>235</v>
      </c>
      <c r="C18" s="53">
        <f>'R-1'!I16</f>
        <v>22.029999999999998</v>
      </c>
      <c r="D18" s="39"/>
      <c r="E18" s="39"/>
      <c r="F18" s="53">
        <f t="shared" si="1"/>
        <v>22.029999999999998</v>
      </c>
      <c r="G18" s="53" t="s">
        <v>421</v>
      </c>
      <c r="H18" s="53"/>
      <c r="I18" s="9">
        <f t="shared" ref="I18:I25" si="2">ROUND(F18*Q18/50,2)</f>
        <v>71.38</v>
      </c>
      <c r="J18" s="208">
        <v>0</v>
      </c>
      <c r="K18" s="16">
        <v>0</v>
      </c>
      <c r="L18" s="208">
        <v>0</v>
      </c>
      <c r="M18" s="10">
        <f t="shared" ref="M18:M25" si="3">ROUND(F18*0.9,2)</f>
        <v>19.829999999999998</v>
      </c>
      <c r="N18" s="208"/>
      <c r="O18" s="10">
        <f t="shared" ref="O18:O25" si="4">ROUND(F18*0.45,2)</f>
        <v>9.91</v>
      </c>
      <c r="P18" s="208"/>
      <c r="Q18" s="53">
        <v>162</v>
      </c>
      <c r="R18" s="10" t="s">
        <v>4</v>
      </c>
      <c r="S18" s="60" t="s">
        <v>2226</v>
      </c>
    </row>
    <row r="19" spans="1:19" s="58" customFormat="1" ht="15" hidden="1">
      <c r="A19" s="16">
        <v>5</v>
      </c>
      <c r="B19" s="39" t="s">
        <v>235</v>
      </c>
      <c r="C19" s="53">
        <f>'R-1'!I17</f>
        <v>0</v>
      </c>
      <c r="D19" s="39"/>
      <c r="E19" s="39"/>
      <c r="F19" s="53">
        <f>SUM(C19:E19)</f>
        <v>0</v>
      </c>
      <c r="G19" s="53" t="s">
        <v>421</v>
      </c>
      <c r="H19" s="53"/>
      <c r="I19" s="9">
        <f t="shared" si="2"/>
        <v>0</v>
      </c>
      <c r="J19" s="208">
        <v>0</v>
      </c>
      <c r="K19" s="16">
        <v>0</v>
      </c>
      <c r="L19" s="208">
        <v>0</v>
      </c>
      <c r="M19" s="10">
        <f t="shared" si="3"/>
        <v>0</v>
      </c>
      <c r="N19" s="208"/>
      <c r="O19" s="10">
        <f t="shared" si="4"/>
        <v>0</v>
      </c>
      <c r="P19" s="208"/>
      <c r="Q19" s="53">
        <v>162</v>
      </c>
      <c r="R19" s="10" t="s">
        <v>4</v>
      </c>
      <c r="S19" s="60" t="s">
        <v>2308</v>
      </c>
    </row>
    <row r="20" spans="1:19" s="58" customFormat="1" ht="15" hidden="1">
      <c r="A20" s="16">
        <v>5</v>
      </c>
      <c r="B20" s="39" t="s">
        <v>235</v>
      </c>
      <c r="C20" s="53">
        <f>'R-1'!I18</f>
        <v>0</v>
      </c>
      <c r="D20" s="39"/>
      <c r="E20" s="39"/>
      <c r="F20" s="53">
        <f>SUM(C20:E20)</f>
        <v>0</v>
      </c>
      <c r="G20" s="53" t="s">
        <v>421</v>
      </c>
      <c r="H20" s="53"/>
      <c r="I20" s="9">
        <f t="shared" si="2"/>
        <v>0</v>
      </c>
      <c r="J20" s="208">
        <v>0</v>
      </c>
      <c r="K20" s="16">
        <v>0</v>
      </c>
      <c r="L20" s="208">
        <v>0</v>
      </c>
      <c r="M20" s="10">
        <f t="shared" si="3"/>
        <v>0</v>
      </c>
      <c r="N20" s="208"/>
      <c r="O20" s="10">
        <f t="shared" si="4"/>
        <v>0</v>
      </c>
      <c r="P20" s="208"/>
      <c r="Q20" s="53">
        <v>162</v>
      </c>
      <c r="R20" s="10" t="s">
        <v>4</v>
      </c>
      <c r="S20" s="60" t="s">
        <v>2321</v>
      </c>
    </row>
    <row r="21" spans="1:19" s="58" customFormat="1" ht="15" hidden="1">
      <c r="A21" s="16">
        <v>6</v>
      </c>
      <c r="B21" s="39" t="s">
        <v>235</v>
      </c>
      <c r="C21" s="53">
        <f>'R-1'!I19</f>
        <v>0</v>
      </c>
      <c r="D21" s="39"/>
      <c r="E21" s="39"/>
      <c r="F21" s="53">
        <f>SUM(C21:E21)</f>
        <v>0</v>
      </c>
      <c r="G21" s="53" t="s">
        <v>421</v>
      </c>
      <c r="H21" s="53"/>
      <c r="I21" s="9">
        <f t="shared" si="2"/>
        <v>0</v>
      </c>
      <c r="J21" s="208">
        <v>0</v>
      </c>
      <c r="K21" s="16">
        <v>0</v>
      </c>
      <c r="L21" s="208">
        <v>0</v>
      </c>
      <c r="M21" s="10">
        <f t="shared" si="3"/>
        <v>0</v>
      </c>
      <c r="N21" s="208"/>
      <c r="O21" s="10">
        <f t="shared" si="4"/>
        <v>0</v>
      </c>
      <c r="P21" s="208"/>
      <c r="Q21" s="53">
        <v>162</v>
      </c>
      <c r="R21" s="10" t="s">
        <v>4</v>
      </c>
      <c r="S21" s="60" t="s">
        <v>2322</v>
      </c>
    </row>
    <row r="22" spans="1:19" ht="15" hidden="1">
      <c r="A22" s="283">
        <v>5</v>
      </c>
      <c r="B22" s="207" t="s">
        <v>446</v>
      </c>
      <c r="C22" s="285">
        <f>'R-1'!I20</f>
        <v>0</v>
      </c>
      <c r="D22" s="207"/>
      <c r="E22" s="207"/>
      <c r="F22" s="285">
        <f t="shared" si="1"/>
        <v>0</v>
      </c>
      <c r="G22" s="285" t="s">
        <v>421</v>
      </c>
      <c r="H22" s="285"/>
      <c r="I22" s="288">
        <f t="shared" si="2"/>
        <v>0</v>
      </c>
      <c r="J22" s="286">
        <v>0</v>
      </c>
      <c r="K22" s="283">
        <v>0</v>
      </c>
      <c r="L22" s="286">
        <v>0</v>
      </c>
      <c r="M22" s="15">
        <f t="shared" si="3"/>
        <v>0</v>
      </c>
      <c r="N22" s="15"/>
      <c r="O22" s="15">
        <f t="shared" si="4"/>
        <v>0</v>
      </c>
      <c r="P22" s="286"/>
      <c r="Q22" s="285">
        <v>129.6</v>
      </c>
      <c r="R22" s="15" t="s">
        <v>4</v>
      </c>
      <c r="S22" s="60" t="s">
        <v>2226</v>
      </c>
    </row>
    <row r="23" spans="1:19" ht="15" hidden="1">
      <c r="A23" s="283">
        <v>5</v>
      </c>
      <c r="B23" s="207" t="s">
        <v>446</v>
      </c>
      <c r="C23" s="285">
        <f>'R-1'!I21</f>
        <v>0</v>
      </c>
      <c r="D23" s="207"/>
      <c r="E23" s="207"/>
      <c r="F23" s="285">
        <f>SUM(C23:E23)</f>
        <v>0</v>
      </c>
      <c r="G23" s="285" t="s">
        <v>421</v>
      </c>
      <c r="H23" s="285"/>
      <c r="I23" s="288">
        <f t="shared" si="2"/>
        <v>0</v>
      </c>
      <c r="J23" s="286">
        <v>0</v>
      </c>
      <c r="K23" s="283">
        <v>0</v>
      </c>
      <c r="L23" s="286">
        <v>0</v>
      </c>
      <c r="M23" s="15">
        <f t="shared" si="3"/>
        <v>0</v>
      </c>
      <c r="N23" s="15"/>
      <c r="O23" s="15">
        <f t="shared" si="4"/>
        <v>0</v>
      </c>
      <c r="P23" s="286"/>
      <c r="Q23" s="285">
        <v>129.6</v>
      </c>
      <c r="R23" s="15" t="s">
        <v>4</v>
      </c>
      <c r="S23" s="60" t="s">
        <v>2308</v>
      </c>
    </row>
    <row r="24" spans="1:19" ht="15" hidden="1">
      <c r="A24" s="283">
        <v>5</v>
      </c>
      <c r="B24" s="207" t="s">
        <v>446</v>
      </c>
      <c r="C24" s="285">
        <f>'R-1'!I22</f>
        <v>0</v>
      </c>
      <c r="D24" s="207"/>
      <c r="E24" s="207"/>
      <c r="F24" s="285">
        <f>SUM(C24:E24)</f>
        <v>0</v>
      </c>
      <c r="G24" s="285" t="s">
        <v>421</v>
      </c>
      <c r="H24" s="285"/>
      <c r="I24" s="288">
        <f t="shared" si="2"/>
        <v>0</v>
      </c>
      <c r="J24" s="286">
        <v>0</v>
      </c>
      <c r="K24" s="283">
        <v>0</v>
      </c>
      <c r="L24" s="286">
        <v>0</v>
      </c>
      <c r="M24" s="15">
        <f t="shared" si="3"/>
        <v>0</v>
      </c>
      <c r="N24" s="15"/>
      <c r="O24" s="15">
        <f t="shared" si="4"/>
        <v>0</v>
      </c>
      <c r="P24" s="286"/>
      <c r="Q24" s="285">
        <v>129.6</v>
      </c>
      <c r="R24" s="15" t="s">
        <v>4</v>
      </c>
      <c r="S24" s="60" t="s">
        <v>2321</v>
      </c>
    </row>
    <row r="25" spans="1:19" ht="15" hidden="1">
      <c r="A25" s="283">
        <v>5</v>
      </c>
      <c r="B25" s="207" t="s">
        <v>446</v>
      </c>
      <c r="C25" s="285">
        <f>'R-1'!I23</f>
        <v>0</v>
      </c>
      <c r="D25" s="207"/>
      <c r="E25" s="207"/>
      <c r="F25" s="285">
        <f>SUM(C25:E25)</f>
        <v>0</v>
      </c>
      <c r="G25" s="285" t="s">
        <v>421</v>
      </c>
      <c r="H25" s="285"/>
      <c r="I25" s="288">
        <f t="shared" si="2"/>
        <v>0</v>
      </c>
      <c r="J25" s="286">
        <v>0</v>
      </c>
      <c r="K25" s="283">
        <v>0</v>
      </c>
      <c r="L25" s="286">
        <v>0</v>
      </c>
      <c r="M25" s="15">
        <f t="shared" si="3"/>
        <v>0</v>
      </c>
      <c r="N25" s="15"/>
      <c r="O25" s="15">
        <f t="shared" si="4"/>
        <v>0</v>
      </c>
      <c r="P25" s="286"/>
      <c r="Q25" s="285">
        <v>129.6</v>
      </c>
      <c r="R25" s="15" t="s">
        <v>4</v>
      </c>
      <c r="S25" s="60" t="s">
        <v>2322</v>
      </c>
    </row>
    <row r="26" spans="1:19" s="58" customFormat="1" ht="15">
      <c r="A26" s="16">
        <v>4</v>
      </c>
      <c r="B26" s="39" t="s">
        <v>132</v>
      </c>
      <c r="C26" s="53">
        <f>'R-1'!I40</f>
        <v>11.870000000000001</v>
      </c>
      <c r="D26" s="39"/>
      <c r="E26" s="39"/>
      <c r="F26" s="53">
        <f t="shared" si="1"/>
        <v>11.870000000000001</v>
      </c>
      <c r="G26" s="53" t="s">
        <v>421</v>
      </c>
      <c r="H26" s="53"/>
      <c r="I26" s="9">
        <f t="shared" ref="I26:I162" si="5">ROUND(F26*Q26/50,2)</f>
        <v>80.72</v>
      </c>
      <c r="J26" s="208">
        <v>0</v>
      </c>
      <c r="K26" s="16">
        <v>0</v>
      </c>
      <c r="L26" s="10">
        <f t="shared" ref="L26:L66" si="6">ROUND(F26*0.8,2)</f>
        <v>9.5</v>
      </c>
      <c r="M26" s="208">
        <v>0</v>
      </c>
      <c r="N26" s="208"/>
      <c r="O26" s="10">
        <f t="shared" ref="O26:O66" si="7">ROUND(F26*0.4,2)</f>
        <v>4.75</v>
      </c>
      <c r="P26" s="208"/>
      <c r="Q26" s="53">
        <f>'SEIG P-A '!T11</f>
        <v>340</v>
      </c>
      <c r="R26" s="10" t="s">
        <v>4</v>
      </c>
      <c r="S26" s="60" t="s">
        <v>2226</v>
      </c>
    </row>
    <row r="27" spans="1:19" s="58" customFormat="1" ht="15" hidden="1">
      <c r="A27" s="16">
        <v>8</v>
      </c>
      <c r="B27" s="39" t="s">
        <v>132</v>
      </c>
      <c r="C27" s="53">
        <f>'R-1'!I41</f>
        <v>0</v>
      </c>
      <c r="D27" s="39"/>
      <c r="E27" s="39"/>
      <c r="F27" s="53">
        <f>SUM(C27:E27)</f>
        <v>0</v>
      </c>
      <c r="G27" s="53" t="s">
        <v>421</v>
      </c>
      <c r="H27" s="53"/>
      <c r="I27" s="9">
        <f>ROUND(F27*Q27/50,2)</f>
        <v>0</v>
      </c>
      <c r="J27" s="208">
        <v>0</v>
      </c>
      <c r="K27" s="16">
        <v>0</v>
      </c>
      <c r="L27" s="10">
        <f>ROUND(F27*0.8,2)</f>
        <v>0</v>
      </c>
      <c r="M27" s="208">
        <v>0</v>
      </c>
      <c r="N27" s="208"/>
      <c r="O27" s="10">
        <f>ROUND(F27*0.4,2)</f>
        <v>0</v>
      </c>
      <c r="P27" s="208"/>
      <c r="Q27" s="53">
        <f>'SEIG P-A '!T56</f>
        <v>340</v>
      </c>
      <c r="R27" s="10" t="s">
        <v>4</v>
      </c>
      <c r="S27" s="60" t="s">
        <v>2308</v>
      </c>
    </row>
    <row r="28" spans="1:19" s="58" customFormat="1" ht="15" hidden="1">
      <c r="A28" s="16">
        <v>5</v>
      </c>
      <c r="B28" s="39" t="s">
        <v>132</v>
      </c>
      <c r="C28" s="53">
        <f>'R-1'!I42</f>
        <v>0</v>
      </c>
      <c r="D28" s="39"/>
      <c r="E28" s="39"/>
      <c r="F28" s="53">
        <f>SUM(C28:E28)</f>
        <v>0</v>
      </c>
      <c r="G28" s="53" t="s">
        <v>421</v>
      </c>
      <c r="H28" s="53"/>
      <c r="I28" s="9">
        <f>ROUND(F28*Q28/50,2)</f>
        <v>0</v>
      </c>
      <c r="J28" s="208">
        <v>0</v>
      </c>
      <c r="K28" s="16">
        <v>0</v>
      </c>
      <c r="L28" s="10">
        <f>ROUND(F28*0.8,2)</f>
        <v>0</v>
      </c>
      <c r="M28" s="208">
        <v>0</v>
      </c>
      <c r="N28" s="208"/>
      <c r="O28" s="10">
        <f>ROUND(F28*0.4,2)</f>
        <v>0</v>
      </c>
      <c r="P28" s="208"/>
      <c r="Q28" s="53">
        <f>'SEIG P-A '!T101</f>
        <v>340</v>
      </c>
      <c r="R28" s="10" t="s">
        <v>4</v>
      </c>
      <c r="S28" s="60" t="s">
        <v>2321</v>
      </c>
    </row>
    <row r="29" spans="1:19" s="58" customFormat="1" ht="15" hidden="1">
      <c r="A29" s="16">
        <v>5</v>
      </c>
      <c r="B29" s="39" t="s">
        <v>132</v>
      </c>
      <c r="C29" s="53">
        <f>'R-1'!I43</f>
        <v>0</v>
      </c>
      <c r="D29" s="39"/>
      <c r="E29" s="39"/>
      <c r="F29" s="53">
        <f>SUM(C29:E29)</f>
        <v>0</v>
      </c>
      <c r="G29" s="53" t="s">
        <v>421</v>
      </c>
      <c r="H29" s="53"/>
      <c r="I29" s="9">
        <f>ROUND(F29*Q29/50,2)</f>
        <v>0</v>
      </c>
      <c r="J29" s="208">
        <v>0</v>
      </c>
      <c r="K29" s="16">
        <v>0</v>
      </c>
      <c r="L29" s="10">
        <f>ROUND(F29*0.8,2)</f>
        <v>0</v>
      </c>
      <c r="M29" s="208">
        <v>0</v>
      </c>
      <c r="N29" s="208"/>
      <c r="O29" s="10">
        <f>ROUND(F29*0.4,2)</f>
        <v>0</v>
      </c>
      <c r="P29" s="208"/>
      <c r="Q29" s="53">
        <f>'SEIG P-A '!T146</f>
        <v>340</v>
      </c>
      <c r="R29" s="10" t="s">
        <v>4</v>
      </c>
      <c r="S29" s="60" t="s">
        <v>2322</v>
      </c>
    </row>
    <row r="30" spans="1:19" s="58" customFormat="1" ht="15">
      <c r="A30" s="16">
        <v>5</v>
      </c>
      <c r="B30" s="39" t="s">
        <v>133</v>
      </c>
      <c r="C30" s="53">
        <f>'R-1'!I44</f>
        <v>1.28</v>
      </c>
      <c r="D30" s="39"/>
      <c r="E30" s="39"/>
      <c r="F30" s="53">
        <f t="shared" si="1"/>
        <v>1.28</v>
      </c>
      <c r="G30" s="53" t="s">
        <v>421</v>
      </c>
      <c r="H30" s="53"/>
      <c r="I30" s="9">
        <f t="shared" si="5"/>
        <v>8.6999999999999993</v>
      </c>
      <c r="J30" s="208">
        <v>0</v>
      </c>
      <c r="K30" s="16">
        <v>0</v>
      </c>
      <c r="L30" s="10">
        <f t="shared" si="6"/>
        <v>1.02</v>
      </c>
      <c r="M30" s="208">
        <v>0</v>
      </c>
      <c r="N30" s="208"/>
      <c r="O30" s="10">
        <f t="shared" si="7"/>
        <v>0.51</v>
      </c>
      <c r="P30" s="208"/>
      <c r="Q30" s="53">
        <f>$Q$26</f>
        <v>340</v>
      </c>
      <c r="R30" s="10" t="s">
        <v>4</v>
      </c>
      <c r="S30" s="60" t="s">
        <v>2226</v>
      </c>
    </row>
    <row r="31" spans="1:19" s="58" customFormat="1" ht="15" hidden="1">
      <c r="A31" s="16">
        <v>5</v>
      </c>
      <c r="B31" s="39" t="s">
        <v>133</v>
      </c>
      <c r="C31" s="53">
        <f>'R-1'!I45</f>
        <v>0</v>
      </c>
      <c r="D31" s="39"/>
      <c r="E31" s="39"/>
      <c r="F31" s="53">
        <f>SUM(C31:E31)</f>
        <v>0</v>
      </c>
      <c r="G31" s="53" t="s">
        <v>421</v>
      </c>
      <c r="H31" s="53"/>
      <c r="I31" s="9">
        <f>ROUND(F31*Q31/50,2)</f>
        <v>0</v>
      </c>
      <c r="J31" s="208">
        <v>0</v>
      </c>
      <c r="K31" s="16">
        <v>0</v>
      </c>
      <c r="L31" s="10">
        <f>ROUND(F31*0.8,2)</f>
        <v>0</v>
      </c>
      <c r="M31" s="208">
        <v>0</v>
      </c>
      <c r="N31" s="208"/>
      <c r="O31" s="10">
        <f>ROUND(F31*0.4,2)</f>
        <v>0</v>
      </c>
      <c r="P31" s="208"/>
      <c r="Q31" s="53">
        <f>$Q$27</f>
        <v>340</v>
      </c>
      <c r="R31" s="10" t="s">
        <v>4</v>
      </c>
      <c r="S31" s="60" t="s">
        <v>2308</v>
      </c>
    </row>
    <row r="32" spans="1:19" s="58" customFormat="1" ht="15" hidden="1">
      <c r="A32" s="16">
        <v>6</v>
      </c>
      <c r="B32" s="39" t="s">
        <v>133</v>
      </c>
      <c r="C32" s="53">
        <f>'R-1'!I46</f>
        <v>0</v>
      </c>
      <c r="D32" s="39"/>
      <c r="E32" s="39"/>
      <c r="F32" s="53">
        <f>SUM(C32:E32)</f>
        <v>0</v>
      </c>
      <c r="G32" s="53" t="s">
        <v>421</v>
      </c>
      <c r="H32" s="53"/>
      <c r="I32" s="9">
        <f>ROUND(F32*Q32/50,2)</f>
        <v>0</v>
      </c>
      <c r="J32" s="208">
        <v>0</v>
      </c>
      <c r="K32" s="16">
        <v>0</v>
      </c>
      <c r="L32" s="10">
        <f>ROUND(F32*0.8,2)</f>
        <v>0</v>
      </c>
      <c r="M32" s="208">
        <v>0</v>
      </c>
      <c r="N32" s="208"/>
      <c r="O32" s="10">
        <f>ROUND(F32*0.4,2)</f>
        <v>0</v>
      </c>
      <c r="P32" s="208"/>
      <c r="Q32" s="53">
        <f>$Q$28</f>
        <v>340</v>
      </c>
      <c r="R32" s="10" t="s">
        <v>4</v>
      </c>
      <c r="S32" s="60" t="s">
        <v>2321</v>
      </c>
    </row>
    <row r="33" spans="1:19" s="58" customFormat="1" ht="15" hidden="1">
      <c r="A33" s="16">
        <v>6</v>
      </c>
      <c r="B33" s="39" t="s">
        <v>133</v>
      </c>
      <c r="C33" s="53">
        <f>'R-1'!I47</f>
        <v>0</v>
      </c>
      <c r="D33" s="39"/>
      <c r="E33" s="39"/>
      <c r="F33" s="53">
        <f>SUM(C33:E33)</f>
        <v>0</v>
      </c>
      <c r="G33" s="53" t="s">
        <v>421</v>
      </c>
      <c r="H33" s="53"/>
      <c r="I33" s="9">
        <f>ROUND(F33*Q33/50,2)</f>
        <v>0</v>
      </c>
      <c r="J33" s="208">
        <v>0</v>
      </c>
      <c r="K33" s="16">
        <v>0</v>
      </c>
      <c r="L33" s="10">
        <f>ROUND(F33*0.8,2)</f>
        <v>0</v>
      </c>
      <c r="M33" s="208">
        <v>0</v>
      </c>
      <c r="N33" s="208"/>
      <c r="O33" s="10">
        <f>ROUND(F33*0.4,2)</f>
        <v>0</v>
      </c>
      <c r="P33" s="208"/>
      <c r="Q33" s="53">
        <f>$Q$29</f>
        <v>340</v>
      </c>
      <c r="R33" s="10" t="s">
        <v>4</v>
      </c>
      <c r="S33" s="60" t="s">
        <v>2322</v>
      </c>
    </row>
    <row r="34" spans="1:19" s="58" customFormat="1" ht="15">
      <c r="A34" s="16">
        <v>6</v>
      </c>
      <c r="B34" s="39" t="s">
        <v>127</v>
      </c>
      <c r="C34" s="53">
        <f>'R-1'!I48</f>
        <v>5.7099999999999991</v>
      </c>
      <c r="D34" s="53">
        <f>'R-1'!I237</f>
        <v>0</v>
      </c>
      <c r="E34" s="53">
        <f>'R-1'!I382</f>
        <v>0</v>
      </c>
      <c r="F34" s="53">
        <f t="shared" si="1"/>
        <v>5.7099999999999991</v>
      </c>
      <c r="G34" s="53" t="s">
        <v>421</v>
      </c>
      <c r="H34" s="53"/>
      <c r="I34" s="9">
        <f t="shared" si="5"/>
        <v>38.83</v>
      </c>
      <c r="J34" s="208">
        <v>0</v>
      </c>
      <c r="K34" s="16">
        <v>0</v>
      </c>
      <c r="L34" s="10">
        <f t="shared" si="6"/>
        <v>4.57</v>
      </c>
      <c r="M34" s="208">
        <v>0</v>
      </c>
      <c r="N34" s="208"/>
      <c r="O34" s="10">
        <f t="shared" si="7"/>
        <v>2.2799999999999998</v>
      </c>
      <c r="P34" s="208"/>
      <c r="Q34" s="53">
        <f>$Q$26</f>
        <v>340</v>
      </c>
      <c r="R34" s="10" t="s">
        <v>4</v>
      </c>
      <c r="S34" s="60" t="s">
        <v>2226</v>
      </c>
    </row>
    <row r="35" spans="1:19" s="58" customFormat="1" ht="15" hidden="1">
      <c r="A35" s="16">
        <v>11</v>
      </c>
      <c r="B35" s="39" t="s">
        <v>127</v>
      </c>
      <c r="C35" s="53">
        <f>'R-1'!I49</f>
        <v>0</v>
      </c>
      <c r="D35" s="53">
        <f>'R-1'!I238</f>
        <v>0</v>
      </c>
      <c r="E35" s="53">
        <f>'R-1'!I383</f>
        <v>0</v>
      </c>
      <c r="F35" s="53">
        <f>SUM(C35:E35)</f>
        <v>0</v>
      </c>
      <c r="G35" s="53" t="s">
        <v>421</v>
      </c>
      <c r="H35" s="53"/>
      <c r="I35" s="9">
        <f>ROUND(F35*Q35/50,2)</f>
        <v>0</v>
      </c>
      <c r="J35" s="208">
        <v>0</v>
      </c>
      <c r="K35" s="16">
        <v>0</v>
      </c>
      <c r="L35" s="10">
        <f>ROUND(F35*0.8,2)</f>
        <v>0</v>
      </c>
      <c r="M35" s="208">
        <v>0</v>
      </c>
      <c r="N35" s="208"/>
      <c r="O35" s="10">
        <f>ROUND(F35*0.4,2)</f>
        <v>0</v>
      </c>
      <c r="P35" s="208"/>
      <c r="Q35" s="53">
        <f>$Q$27</f>
        <v>340</v>
      </c>
      <c r="R35" s="10" t="s">
        <v>4</v>
      </c>
      <c r="S35" s="60" t="s">
        <v>2308</v>
      </c>
    </row>
    <row r="36" spans="1:19" s="58" customFormat="1" ht="15" hidden="1">
      <c r="A36" s="16">
        <v>9</v>
      </c>
      <c r="B36" s="39" t="s">
        <v>127</v>
      </c>
      <c r="C36" s="53">
        <f>'R-1'!I50</f>
        <v>0</v>
      </c>
      <c r="D36" s="53">
        <f>'R-1'!I239</f>
        <v>0</v>
      </c>
      <c r="E36" s="53">
        <f>'R-1'!I384</f>
        <v>0</v>
      </c>
      <c r="F36" s="53">
        <f>SUM(C36:E36)</f>
        <v>0</v>
      </c>
      <c r="G36" s="53" t="s">
        <v>421</v>
      </c>
      <c r="H36" s="53"/>
      <c r="I36" s="9">
        <f>ROUND(F36*Q36/50,2)</f>
        <v>0</v>
      </c>
      <c r="J36" s="208">
        <v>0</v>
      </c>
      <c r="K36" s="16">
        <v>0</v>
      </c>
      <c r="L36" s="10">
        <f>ROUND(F36*0.8,2)</f>
        <v>0</v>
      </c>
      <c r="M36" s="208">
        <v>0</v>
      </c>
      <c r="N36" s="208"/>
      <c r="O36" s="10">
        <f>ROUND(F36*0.4,2)</f>
        <v>0</v>
      </c>
      <c r="P36" s="208"/>
      <c r="Q36" s="53">
        <f>$Q$28</f>
        <v>340</v>
      </c>
      <c r="R36" s="10" t="s">
        <v>4</v>
      </c>
      <c r="S36" s="60" t="s">
        <v>2321</v>
      </c>
    </row>
    <row r="37" spans="1:19" s="58" customFormat="1" ht="15" hidden="1">
      <c r="A37" s="16">
        <v>16</v>
      </c>
      <c r="B37" s="39" t="s">
        <v>127</v>
      </c>
      <c r="C37" s="53">
        <f>'R-1'!I51</f>
        <v>0</v>
      </c>
      <c r="D37" s="53">
        <f>'R-1'!I240</f>
        <v>0</v>
      </c>
      <c r="E37" s="53">
        <f>'R-1'!I385</f>
        <v>0</v>
      </c>
      <c r="F37" s="53">
        <f>SUM(C37:E37)</f>
        <v>0</v>
      </c>
      <c r="G37" s="53" t="s">
        <v>421</v>
      </c>
      <c r="H37" s="53"/>
      <c r="I37" s="9">
        <f>ROUND(F37*Q37/50,2)</f>
        <v>0</v>
      </c>
      <c r="J37" s="208">
        <v>0</v>
      </c>
      <c r="K37" s="16">
        <v>0</v>
      </c>
      <c r="L37" s="10">
        <f>ROUND(F37*0.8,2)</f>
        <v>0</v>
      </c>
      <c r="M37" s="208">
        <v>0</v>
      </c>
      <c r="N37" s="208"/>
      <c r="O37" s="10">
        <f>ROUND(F37*0.4,2)</f>
        <v>0</v>
      </c>
      <c r="P37" s="208"/>
      <c r="Q37" s="53">
        <f>$Q$29</f>
        <v>340</v>
      </c>
      <c r="R37" s="10" t="s">
        <v>4</v>
      </c>
      <c r="S37" s="60" t="s">
        <v>2322</v>
      </c>
    </row>
    <row r="38" spans="1:19" s="58" customFormat="1" ht="15">
      <c r="A38" s="16">
        <v>7</v>
      </c>
      <c r="B38" s="39" t="s">
        <v>128</v>
      </c>
      <c r="C38" s="53">
        <f>'R-1'!I52</f>
        <v>5.8000000000000007</v>
      </c>
      <c r="D38" s="39"/>
      <c r="E38" s="39"/>
      <c r="F38" s="53">
        <f t="shared" si="1"/>
        <v>5.8000000000000007</v>
      </c>
      <c r="G38" s="53" t="s">
        <v>421</v>
      </c>
      <c r="H38" s="53"/>
      <c r="I38" s="9">
        <f t="shared" si="5"/>
        <v>39.44</v>
      </c>
      <c r="J38" s="208">
        <v>0</v>
      </c>
      <c r="K38" s="16">
        <v>0</v>
      </c>
      <c r="L38" s="10">
        <f t="shared" si="6"/>
        <v>4.6399999999999997</v>
      </c>
      <c r="M38" s="208">
        <v>0</v>
      </c>
      <c r="N38" s="208"/>
      <c r="O38" s="10">
        <f t="shared" si="7"/>
        <v>2.3199999999999998</v>
      </c>
      <c r="P38" s="208"/>
      <c r="Q38" s="53">
        <f>$Q$26</f>
        <v>340</v>
      </c>
      <c r="R38" s="10" t="s">
        <v>4</v>
      </c>
      <c r="S38" s="60" t="s">
        <v>2226</v>
      </c>
    </row>
    <row r="39" spans="1:19" s="58" customFormat="1" ht="15" hidden="1">
      <c r="A39" s="16">
        <v>13</v>
      </c>
      <c r="B39" s="39" t="s">
        <v>128</v>
      </c>
      <c r="C39" s="53">
        <f>'R-1'!I53</f>
        <v>0</v>
      </c>
      <c r="D39" s="39"/>
      <c r="E39" s="39"/>
      <c r="F39" s="53">
        <f>SUM(C39:E39)</f>
        <v>0</v>
      </c>
      <c r="G39" s="53" t="s">
        <v>421</v>
      </c>
      <c r="H39" s="53"/>
      <c r="I39" s="9">
        <f>ROUND(F39*Q39/50,2)</f>
        <v>0</v>
      </c>
      <c r="J39" s="208">
        <v>0</v>
      </c>
      <c r="K39" s="16">
        <v>0</v>
      </c>
      <c r="L39" s="10">
        <f t="shared" ref="L39" si="8">ROUND(F39*0.8,2)</f>
        <v>0</v>
      </c>
      <c r="M39" s="208">
        <v>0</v>
      </c>
      <c r="N39" s="208"/>
      <c r="O39" s="10">
        <f t="shared" ref="O39" si="9">ROUND(F39*0.4,2)</f>
        <v>0</v>
      </c>
      <c r="P39" s="208"/>
      <c r="Q39" s="53">
        <f>$Q$27</f>
        <v>340</v>
      </c>
      <c r="R39" s="10" t="s">
        <v>4</v>
      </c>
      <c r="S39" s="60" t="s">
        <v>2308</v>
      </c>
    </row>
    <row r="40" spans="1:19" s="58" customFormat="1" ht="15" hidden="1">
      <c r="A40" s="16">
        <v>11</v>
      </c>
      <c r="B40" s="39" t="s">
        <v>128</v>
      </c>
      <c r="C40" s="53">
        <f>'R-1'!I54</f>
        <v>0</v>
      </c>
      <c r="D40" s="39"/>
      <c r="E40" s="39"/>
      <c r="F40" s="53">
        <f>SUM(C40:E40)</f>
        <v>0</v>
      </c>
      <c r="G40" s="53" t="s">
        <v>421</v>
      </c>
      <c r="H40" s="53"/>
      <c r="I40" s="9">
        <f>ROUND(F40*Q40/50,2)</f>
        <v>0</v>
      </c>
      <c r="J40" s="208">
        <v>0</v>
      </c>
      <c r="K40" s="16">
        <v>0</v>
      </c>
      <c r="L40" s="10">
        <f>ROUND(F40*0.8,2)</f>
        <v>0</v>
      </c>
      <c r="M40" s="208">
        <v>0</v>
      </c>
      <c r="N40" s="208"/>
      <c r="O40" s="10">
        <f>ROUND(F40*0.4,2)</f>
        <v>0</v>
      </c>
      <c r="P40" s="208"/>
      <c r="Q40" s="53">
        <f>$Q$28</f>
        <v>340</v>
      </c>
      <c r="R40" s="10" t="s">
        <v>4</v>
      </c>
      <c r="S40" s="60" t="s">
        <v>2321</v>
      </c>
    </row>
    <row r="41" spans="1:19" s="58" customFormat="1" ht="15" hidden="1">
      <c r="A41" s="16">
        <v>8</v>
      </c>
      <c r="B41" s="39" t="s">
        <v>128</v>
      </c>
      <c r="C41" s="53">
        <f>'R-1'!I55</f>
        <v>0</v>
      </c>
      <c r="D41" s="39"/>
      <c r="E41" s="39"/>
      <c r="F41" s="53">
        <f>SUM(C41:E41)</f>
        <v>0</v>
      </c>
      <c r="G41" s="53" t="s">
        <v>421</v>
      </c>
      <c r="H41" s="53"/>
      <c r="I41" s="9">
        <f>ROUND(F41*Q41/50,2)</f>
        <v>0</v>
      </c>
      <c r="J41" s="208">
        <v>0</v>
      </c>
      <c r="K41" s="16">
        <v>0</v>
      </c>
      <c r="L41" s="10">
        <f>ROUND(F41*0.8,2)</f>
        <v>0</v>
      </c>
      <c r="M41" s="208">
        <v>0</v>
      </c>
      <c r="N41" s="208"/>
      <c r="O41" s="10">
        <f>ROUND(F41*0.4,2)</f>
        <v>0</v>
      </c>
      <c r="P41" s="208"/>
      <c r="Q41" s="53">
        <f>$Q$29</f>
        <v>340</v>
      </c>
      <c r="R41" s="10" t="s">
        <v>4</v>
      </c>
      <c r="S41" s="60" t="s">
        <v>2322</v>
      </c>
    </row>
    <row r="42" spans="1:19" s="58" customFormat="1" ht="15">
      <c r="A42" s="16">
        <v>8</v>
      </c>
      <c r="B42" s="39" t="s">
        <v>131</v>
      </c>
      <c r="C42" s="53">
        <f>'R-1'!I56</f>
        <v>6.2000000000000011</v>
      </c>
      <c r="D42" s="53">
        <f>'R-1'!I241</f>
        <v>0</v>
      </c>
      <c r="E42" s="53">
        <f>'R-1'!I386</f>
        <v>0</v>
      </c>
      <c r="F42" s="53">
        <f t="shared" si="1"/>
        <v>6.2000000000000011</v>
      </c>
      <c r="G42" s="53" t="s">
        <v>421</v>
      </c>
      <c r="H42" s="53"/>
      <c r="I42" s="9">
        <f t="shared" si="5"/>
        <v>42.16</v>
      </c>
      <c r="J42" s="208">
        <v>0</v>
      </c>
      <c r="K42" s="16">
        <v>0</v>
      </c>
      <c r="L42" s="10">
        <f t="shared" si="6"/>
        <v>4.96</v>
      </c>
      <c r="M42" s="208">
        <v>0</v>
      </c>
      <c r="N42" s="208"/>
      <c r="O42" s="10">
        <f t="shared" si="7"/>
        <v>2.48</v>
      </c>
      <c r="P42" s="208"/>
      <c r="Q42" s="53">
        <f>$Q$26</f>
        <v>340</v>
      </c>
      <c r="R42" s="10" t="s">
        <v>4</v>
      </c>
      <c r="S42" s="60" t="s">
        <v>2226</v>
      </c>
    </row>
    <row r="43" spans="1:19" s="58" customFormat="1" ht="15" hidden="1">
      <c r="A43" s="16">
        <v>11</v>
      </c>
      <c r="B43" s="39" t="s">
        <v>131</v>
      </c>
      <c r="C43" s="53">
        <f>'R-1'!I57</f>
        <v>0</v>
      </c>
      <c r="D43" s="53">
        <f>'R-1'!I242</f>
        <v>0</v>
      </c>
      <c r="E43" s="53">
        <f>'R-1'!I387</f>
        <v>0</v>
      </c>
      <c r="F43" s="53">
        <f>SUM(C43:E43)</f>
        <v>0</v>
      </c>
      <c r="G43" s="53" t="s">
        <v>421</v>
      </c>
      <c r="H43" s="53"/>
      <c r="I43" s="9">
        <f>ROUND(F43*Q43/50,2)</f>
        <v>0</v>
      </c>
      <c r="J43" s="208">
        <v>0</v>
      </c>
      <c r="K43" s="16">
        <v>0</v>
      </c>
      <c r="L43" s="10">
        <f>ROUND(F43*0.8,2)</f>
        <v>0</v>
      </c>
      <c r="M43" s="208">
        <v>0</v>
      </c>
      <c r="N43" s="208"/>
      <c r="O43" s="10">
        <f>ROUND(F43*0.4,2)</f>
        <v>0</v>
      </c>
      <c r="P43" s="208"/>
      <c r="Q43" s="53">
        <f>$Q$27</f>
        <v>340</v>
      </c>
      <c r="R43" s="10" t="s">
        <v>4</v>
      </c>
      <c r="S43" s="60" t="s">
        <v>2308</v>
      </c>
    </row>
    <row r="44" spans="1:19" s="58" customFormat="1" ht="15" hidden="1">
      <c r="A44" s="16">
        <v>17</v>
      </c>
      <c r="B44" s="39" t="s">
        <v>131</v>
      </c>
      <c r="C44" s="53">
        <f>'R-1'!I58</f>
        <v>0</v>
      </c>
      <c r="D44" s="53">
        <f>'R-1'!I243</f>
        <v>0</v>
      </c>
      <c r="E44" s="53">
        <f>'R-1'!I388</f>
        <v>0</v>
      </c>
      <c r="F44" s="53">
        <f>SUM(C44:E44)</f>
        <v>0</v>
      </c>
      <c r="G44" s="53" t="s">
        <v>421</v>
      </c>
      <c r="H44" s="53"/>
      <c r="I44" s="9">
        <f>ROUND(F44*Q44/50,2)</f>
        <v>0</v>
      </c>
      <c r="J44" s="208">
        <v>0</v>
      </c>
      <c r="K44" s="16">
        <v>0</v>
      </c>
      <c r="L44" s="10">
        <f>ROUND(F44*0.8,2)</f>
        <v>0</v>
      </c>
      <c r="M44" s="208">
        <v>0</v>
      </c>
      <c r="N44" s="208"/>
      <c r="O44" s="10">
        <f>ROUND(F44*0.4,2)</f>
        <v>0</v>
      </c>
      <c r="P44" s="208"/>
      <c r="Q44" s="53">
        <f>$Q$28</f>
        <v>340</v>
      </c>
      <c r="R44" s="10" t="s">
        <v>4</v>
      </c>
      <c r="S44" s="60" t="s">
        <v>2321</v>
      </c>
    </row>
    <row r="45" spans="1:19" s="58" customFormat="1" ht="15" hidden="1">
      <c r="A45" s="16">
        <v>17</v>
      </c>
      <c r="B45" s="39" t="s">
        <v>131</v>
      </c>
      <c r="C45" s="53">
        <f>'R-1'!I59</f>
        <v>0</v>
      </c>
      <c r="D45" s="53">
        <f>'R-1'!I244</f>
        <v>0</v>
      </c>
      <c r="E45" s="53">
        <f>'R-1'!I389</f>
        <v>0</v>
      </c>
      <c r="F45" s="53">
        <f>SUM(C45:E45)</f>
        <v>0</v>
      </c>
      <c r="G45" s="53" t="s">
        <v>421</v>
      </c>
      <c r="H45" s="53"/>
      <c r="I45" s="9">
        <f>ROUND(F45*Q45/50,2)</f>
        <v>0</v>
      </c>
      <c r="J45" s="208">
        <v>0</v>
      </c>
      <c r="K45" s="16">
        <v>0</v>
      </c>
      <c r="L45" s="10">
        <f>ROUND(F45*0.8,2)</f>
        <v>0</v>
      </c>
      <c r="M45" s="208">
        <v>0</v>
      </c>
      <c r="N45" s="208"/>
      <c r="O45" s="10">
        <f>ROUND(F45*0.4,2)</f>
        <v>0</v>
      </c>
      <c r="P45" s="208"/>
      <c r="Q45" s="53">
        <f>$Q$29</f>
        <v>340</v>
      </c>
      <c r="R45" s="10" t="s">
        <v>4</v>
      </c>
      <c r="S45" s="60" t="s">
        <v>2322</v>
      </c>
    </row>
    <row r="46" spans="1:19" ht="15" hidden="1">
      <c r="A46" s="283">
        <v>9</v>
      </c>
      <c r="B46" s="289" t="s">
        <v>3215</v>
      </c>
      <c r="C46" s="285">
        <f>ROUND('R-1'!I64*0.15,2)</f>
        <v>0</v>
      </c>
      <c r="D46" s="285">
        <f>ROUND('R-1'!I253*0.15,2)</f>
        <v>0</v>
      </c>
      <c r="E46" s="285">
        <f>ROUND('R-1'!I398*0.15,2)</f>
        <v>0</v>
      </c>
      <c r="F46" s="285">
        <f t="shared" si="1"/>
        <v>0</v>
      </c>
      <c r="G46" s="285" t="s">
        <v>422</v>
      </c>
      <c r="H46" s="285"/>
      <c r="I46" s="288">
        <f t="shared" si="5"/>
        <v>0</v>
      </c>
      <c r="J46" s="286">
        <v>0</v>
      </c>
      <c r="K46" s="283">
        <v>0</v>
      </c>
      <c r="L46" s="15">
        <f t="shared" si="6"/>
        <v>0</v>
      </c>
      <c r="M46" s="286">
        <v>0</v>
      </c>
      <c r="N46" s="286"/>
      <c r="O46" s="15">
        <f t="shared" si="7"/>
        <v>0</v>
      </c>
      <c r="P46" s="286"/>
      <c r="Q46" s="285">
        <f>ROUND(Q42,2)</f>
        <v>340</v>
      </c>
      <c r="R46" s="15" t="s">
        <v>4</v>
      </c>
      <c r="S46" s="60" t="s">
        <v>2226</v>
      </c>
    </row>
    <row r="47" spans="1:19" ht="15" hidden="1">
      <c r="A47" s="283">
        <v>14</v>
      </c>
      <c r="B47" s="289" t="s">
        <v>236</v>
      </c>
      <c r="C47" s="285">
        <f>ROUND('R-1'!I65*0.15,2)</f>
        <v>0</v>
      </c>
      <c r="D47" s="285">
        <f>ROUND('R-1'!I254*0.15,2)</f>
        <v>0</v>
      </c>
      <c r="E47" s="285">
        <f>ROUND('R-1'!I399*0.15,2)</f>
        <v>0</v>
      </c>
      <c r="F47" s="285">
        <f>SUM(C47:E47)</f>
        <v>0</v>
      </c>
      <c r="G47" s="285" t="s">
        <v>422</v>
      </c>
      <c r="H47" s="285"/>
      <c r="I47" s="288">
        <f>ROUND(F47*Q47/50,2)</f>
        <v>0</v>
      </c>
      <c r="J47" s="286">
        <v>0</v>
      </c>
      <c r="K47" s="283">
        <v>0</v>
      </c>
      <c r="L47" s="15">
        <f>ROUND(F47*0.8,2)</f>
        <v>0</v>
      </c>
      <c r="M47" s="286">
        <v>0</v>
      </c>
      <c r="N47" s="286"/>
      <c r="O47" s="15">
        <f>ROUND(F47*0.4,2)</f>
        <v>0</v>
      </c>
      <c r="P47" s="286"/>
      <c r="Q47" s="285">
        <f>ROUND(Q43,2)</f>
        <v>340</v>
      </c>
      <c r="R47" s="15" t="s">
        <v>4</v>
      </c>
      <c r="S47" s="60" t="s">
        <v>2308</v>
      </c>
    </row>
    <row r="48" spans="1:19" ht="15" hidden="1">
      <c r="A48" s="283">
        <v>10</v>
      </c>
      <c r="B48" s="289" t="s">
        <v>236</v>
      </c>
      <c r="C48" s="285">
        <f>ROUND('R-1'!I66*0.15,2)</f>
        <v>0</v>
      </c>
      <c r="D48" s="285">
        <f>ROUND('R-1'!I255*0.15,2)</f>
        <v>0</v>
      </c>
      <c r="E48" s="285">
        <f>ROUND('R-1'!I400*0.15,2)</f>
        <v>0</v>
      </c>
      <c r="F48" s="285">
        <f>SUM(C48:E48)</f>
        <v>0</v>
      </c>
      <c r="G48" s="285" t="s">
        <v>422</v>
      </c>
      <c r="H48" s="285"/>
      <c r="I48" s="288">
        <f>ROUND(F48*Q48/50,2)</f>
        <v>0</v>
      </c>
      <c r="J48" s="286">
        <v>0</v>
      </c>
      <c r="K48" s="283">
        <v>0</v>
      </c>
      <c r="L48" s="15">
        <f>ROUND(F48*0.8,2)</f>
        <v>0</v>
      </c>
      <c r="M48" s="286">
        <v>0</v>
      </c>
      <c r="N48" s="286"/>
      <c r="O48" s="15">
        <f>ROUND(F48*0.4,2)</f>
        <v>0</v>
      </c>
      <c r="P48" s="286"/>
      <c r="Q48" s="285">
        <f>ROUND(Q44,2)</f>
        <v>340</v>
      </c>
      <c r="R48" s="15" t="s">
        <v>4</v>
      </c>
      <c r="S48" s="60" t="s">
        <v>2321</v>
      </c>
    </row>
    <row r="49" spans="1:19" ht="15" hidden="1">
      <c r="A49" s="283">
        <v>10</v>
      </c>
      <c r="B49" s="289" t="s">
        <v>236</v>
      </c>
      <c r="C49" s="285">
        <f>ROUND('R-1'!I67*0.15,2)</f>
        <v>0</v>
      </c>
      <c r="D49" s="285">
        <f>ROUND('R-1'!I256*0.15,2)</f>
        <v>0</v>
      </c>
      <c r="E49" s="285">
        <f>ROUND('R-1'!I401*0.15,2)</f>
        <v>0</v>
      </c>
      <c r="F49" s="285">
        <f>SUM(C49:E49)</f>
        <v>0</v>
      </c>
      <c r="G49" s="285" t="s">
        <v>422</v>
      </c>
      <c r="H49" s="285"/>
      <c r="I49" s="288">
        <f>ROUND(F49*Q49/50,2)</f>
        <v>0</v>
      </c>
      <c r="J49" s="286">
        <v>0</v>
      </c>
      <c r="K49" s="283">
        <v>0</v>
      </c>
      <c r="L49" s="15">
        <f>ROUND(F49*0.8,2)</f>
        <v>0</v>
      </c>
      <c r="M49" s="286">
        <v>0</v>
      </c>
      <c r="N49" s="286"/>
      <c r="O49" s="15">
        <f>ROUND(F49*0.4,2)</f>
        <v>0</v>
      </c>
      <c r="P49" s="286"/>
      <c r="Q49" s="285">
        <f>ROUND(Q45,2)</f>
        <v>340</v>
      </c>
      <c r="R49" s="15" t="s">
        <v>4</v>
      </c>
      <c r="S49" s="60" t="s">
        <v>2322</v>
      </c>
    </row>
    <row r="50" spans="1:19" s="58" customFormat="1" ht="15">
      <c r="A50" s="16">
        <v>9</v>
      </c>
      <c r="B50" s="289" t="s">
        <v>2156</v>
      </c>
      <c r="C50" s="53">
        <f>ROUND('R-1'!I60*0.125,2)</f>
        <v>16.02</v>
      </c>
      <c r="D50" s="53">
        <f>ROUND('R-1'!I245*0.125,2)</f>
        <v>0</v>
      </c>
      <c r="E50" s="53">
        <f>ROUND('R-1'!I390*0.125,2)</f>
        <v>0</v>
      </c>
      <c r="F50" s="53">
        <f t="shared" si="1"/>
        <v>16.02</v>
      </c>
      <c r="G50" s="53" t="s">
        <v>422</v>
      </c>
      <c r="H50" s="53"/>
      <c r="I50" s="9">
        <f t="shared" si="5"/>
        <v>108.94</v>
      </c>
      <c r="J50" s="208">
        <v>0</v>
      </c>
      <c r="K50" s="16">
        <v>0</v>
      </c>
      <c r="L50" s="10">
        <f t="shared" si="6"/>
        <v>12.82</v>
      </c>
      <c r="M50" s="208">
        <v>0</v>
      </c>
      <c r="N50" s="208"/>
      <c r="O50" s="10">
        <f t="shared" si="7"/>
        <v>6.41</v>
      </c>
      <c r="P50" s="208"/>
      <c r="Q50" s="53">
        <f>ROUND(Q42,2)</f>
        <v>340</v>
      </c>
      <c r="R50" s="10" t="s">
        <v>4</v>
      </c>
      <c r="S50" s="60" t="s">
        <v>2226</v>
      </c>
    </row>
    <row r="51" spans="1:19" s="58" customFormat="1" ht="15" hidden="1">
      <c r="A51" s="16">
        <v>12</v>
      </c>
      <c r="B51" s="289" t="s">
        <v>2156</v>
      </c>
      <c r="C51" s="53">
        <f>ROUND('R-1'!I61*0.125,2)</f>
        <v>0</v>
      </c>
      <c r="D51" s="53">
        <f>ROUND('R-1'!I246*0.125,2)</f>
        <v>0</v>
      </c>
      <c r="E51" s="53">
        <f>ROUND('R-1'!I391*0.125,2)</f>
        <v>0</v>
      </c>
      <c r="F51" s="53">
        <f>SUM(C51:E51)</f>
        <v>0</v>
      </c>
      <c r="G51" s="53" t="s">
        <v>422</v>
      </c>
      <c r="H51" s="53"/>
      <c r="I51" s="9">
        <f>ROUND(F51*Q51/50,2)</f>
        <v>0</v>
      </c>
      <c r="J51" s="208">
        <v>0</v>
      </c>
      <c r="K51" s="16">
        <v>0</v>
      </c>
      <c r="L51" s="10">
        <f>ROUND(F51*0.8,2)</f>
        <v>0</v>
      </c>
      <c r="M51" s="208">
        <v>0</v>
      </c>
      <c r="N51" s="208"/>
      <c r="O51" s="10">
        <f>ROUND(F51*0.4,2)</f>
        <v>0</v>
      </c>
      <c r="P51" s="208"/>
      <c r="Q51" s="53">
        <f>ROUND(Q43,2)</f>
        <v>340</v>
      </c>
      <c r="R51" s="10" t="s">
        <v>4</v>
      </c>
      <c r="S51" s="60" t="s">
        <v>2308</v>
      </c>
    </row>
    <row r="52" spans="1:19" s="58" customFormat="1" ht="15" hidden="1">
      <c r="A52" s="16">
        <v>18</v>
      </c>
      <c r="B52" s="289" t="s">
        <v>2156</v>
      </c>
      <c r="C52" s="53">
        <f>ROUND('R-1'!I62*0.125,2)</f>
        <v>0</v>
      </c>
      <c r="D52" s="53">
        <f>ROUND('R-1'!I247*0.125,2)</f>
        <v>0</v>
      </c>
      <c r="E52" s="53">
        <f>ROUND('R-1'!I392*0.125,2)</f>
        <v>0</v>
      </c>
      <c r="F52" s="53">
        <f>SUM(C52:E52)</f>
        <v>0</v>
      </c>
      <c r="G52" s="53" t="s">
        <v>422</v>
      </c>
      <c r="H52" s="53"/>
      <c r="I52" s="9">
        <f>ROUND(F52*Q52/50,2)</f>
        <v>0</v>
      </c>
      <c r="J52" s="208">
        <v>0</v>
      </c>
      <c r="K52" s="16">
        <v>0</v>
      </c>
      <c r="L52" s="10">
        <f>ROUND(F52*0.8,2)</f>
        <v>0</v>
      </c>
      <c r="M52" s="208">
        <v>0</v>
      </c>
      <c r="N52" s="208"/>
      <c r="O52" s="10">
        <f>ROUND(F52*0.4,2)</f>
        <v>0</v>
      </c>
      <c r="P52" s="208"/>
      <c r="Q52" s="53">
        <f>ROUND(Q44,2)</f>
        <v>340</v>
      </c>
      <c r="R52" s="10" t="s">
        <v>4</v>
      </c>
      <c r="S52" s="60" t="s">
        <v>2321</v>
      </c>
    </row>
    <row r="53" spans="1:19" s="58" customFormat="1" ht="15" hidden="1">
      <c r="A53" s="16">
        <v>18</v>
      </c>
      <c r="B53" s="289" t="s">
        <v>2156</v>
      </c>
      <c r="C53" s="53">
        <f>ROUND('R-1'!I63*0.125,2)</f>
        <v>0</v>
      </c>
      <c r="D53" s="53">
        <f>ROUND('R-1'!I248*0.125,2)</f>
        <v>0</v>
      </c>
      <c r="E53" s="53">
        <f>ROUND('R-1'!I393*0.125,2)</f>
        <v>0</v>
      </c>
      <c r="F53" s="53">
        <f>SUM(C53:E53)</f>
        <v>0</v>
      </c>
      <c r="G53" s="53" t="s">
        <v>422</v>
      </c>
      <c r="H53" s="53"/>
      <c r="I53" s="9">
        <f>ROUND(F53*Q53/50,2)</f>
        <v>0</v>
      </c>
      <c r="J53" s="208">
        <v>0</v>
      </c>
      <c r="K53" s="16">
        <v>0</v>
      </c>
      <c r="L53" s="10">
        <f>ROUND(F53*0.8,2)</f>
        <v>0</v>
      </c>
      <c r="M53" s="208">
        <v>0</v>
      </c>
      <c r="N53" s="208"/>
      <c r="O53" s="10">
        <f>ROUND(F53*0.4,2)</f>
        <v>0</v>
      </c>
      <c r="P53" s="208"/>
      <c r="Q53" s="53">
        <f>ROUND(Q45,2)</f>
        <v>340</v>
      </c>
      <c r="R53" s="10" t="s">
        <v>4</v>
      </c>
      <c r="S53" s="60" t="s">
        <v>2322</v>
      </c>
    </row>
    <row r="54" spans="1:19" s="58" customFormat="1" ht="15" hidden="1">
      <c r="A54" s="16">
        <v>11</v>
      </c>
      <c r="B54" s="289" t="s">
        <v>2481</v>
      </c>
      <c r="C54" s="53">
        <f>ROUND('R-1'!I68*0.1,2)</f>
        <v>0</v>
      </c>
      <c r="D54" s="53">
        <f>ROUND('R-1'!I249*0.1,2)</f>
        <v>0</v>
      </c>
      <c r="E54" s="53">
        <f>ROUND('R-1'!I394*0.1,2)</f>
        <v>0</v>
      </c>
      <c r="F54" s="53">
        <f t="shared" si="1"/>
        <v>0</v>
      </c>
      <c r="G54" s="53" t="s">
        <v>422</v>
      </c>
      <c r="H54" s="53"/>
      <c r="I54" s="9">
        <f t="shared" si="5"/>
        <v>0</v>
      </c>
      <c r="J54" s="208">
        <v>0</v>
      </c>
      <c r="K54" s="16">
        <v>0</v>
      </c>
      <c r="L54" s="10">
        <f t="shared" si="6"/>
        <v>0</v>
      </c>
      <c r="M54" s="208">
        <v>0</v>
      </c>
      <c r="N54" s="208"/>
      <c r="O54" s="10">
        <f t="shared" si="7"/>
        <v>0</v>
      </c>
      <c r="P54" s="208"/>
      <c r="Q54" s="53">
        <f t="shared" ref="Q54:Q61" si="10">Q50</f>
        <v>340</v>
      </c>
      <c r="R54" s="10" t="s">
        <v>4</v>
      </c>
      <c r="S54" s="60" t="s">
        <v>2226</v>
      </c>
    </row>
    <row r="55" spans="1:19" s="58" customFormat="1" ht="15" hidden="1">
      <c r="A55" s="16">
        <v>12</v>
      </c>
      <c r="B55" s="289" t="s">
        <v>2481</v>
      </c>
      <c r="C55" s="53">
        <f>ROUND('R-1'!I69*0.1,2)</f>
        <v>0</v>
      </c>
      <c r="D55" s="53">
        <f>ROUND('R-1'!I250*0.1,2)</f>
        <v>0</v>
      </c>
      <c r="E55" s="53">
        <f>ROUND('R-1'!I395*0.1,2)</f>
        <v>0</v>
      </c>
      <c r="F55" s="53">
        <f>SUM(C55:E55)</f>
        <v>0</v>
      </c>
      <c r="G55" s="53" t="s">
        <v>422</v>
      </c>
      <c r="H55" s="53"/>
      <c r="I55" s="9">
        <f>ROUND(F55*Q55/50,2)</f>
        <v>0</v>
      </c>
      <c r="J55" s="208">
        <v>0</v>
      </c>
      <c r="K55" s="16">
        <v>0</v>
      </c>
      <c r="L55" s="10">
        <f>ROUND(F55*0.8,2)</f>
        <v>0</v>
      </c>
      <c r="M55" s="208">
        <v>0</v>
      </c>
      <c r="N55" s="208"/>
      <c r="O55" s="10">
        <f>ROUND(F55*0.4,2)</f>
        <v>0</v>
      </c>
      <c r="P55" s="208"/>
      <c r="Q55" s="53">
        <f t="shared" si="10"/>
        <v>340</v>
      </c>
      <c r="R55" s="10" t="s">
        <v>4</v>
      </c>
      <c r="S55" s="60" t="s">
        <v>2308</v>
      </c>
    </row>
    <row r="56" spans="1:19" s="58" customFormat="1" ht="15" hidden="1">
      <c r="A56" s="16">
        <v>11</v>
      </c>
      <c r="B56" s="433" t="s">
        <v>605</v>
      </c>
      <c r="C56" s="53">
        <f>ROUND('R-1'!I70*0.1,2)</f>
        <v>0</v>
      </c>
      <c r="D56" s="53">
        <f>ROUND('R-1'!I251*0.1,2)</f>
        <v>0</v>
      </c>
      <c r="E56" s="53">
        <f>ROUND('R-1'!I396*0.1,2)</f>
        <v>0</v>
      </c>
      <c r="F56" s="53">
        <f>SUM(C56:E56)</f>
        <v>0</v>
      </c>
      <c r="G56" s="53" t="s">
        <v>422</v>
      </c>
      <c r="H56" s="53"/>
      <c r="I56" s="9">
        <f>ROUND(F56*Q56/50,2)</f>
        <v>0</v>
      </c>
      <c r="J56" s="208">
        <v>0</v>
      </c>
      <c r="K56" s="16">
        <v>0</v>
      </c>
      <c r="L56" s="10">
        <f>ROUND(F56*0.8,2)</f>
        <v>0</v>
      </c>
      <c r="M56" s="208">
        <v>0</v>
      </c>
      <c r="N56" s="208"/>
      <c r="O56" s="10">
        <f>ROUND(F56*0.4,2)</f>
        <v>0</v>
      </c>
      <c r="P56" s="208"/>
      <c r="Q56" s="53">
        <f t="shared" si="10"/>
        <v>340</v>
      </c>
      <c r="R56" s="10" t="s">
        <v>4</v>
      </c>
      <c r="S56" s="60" t="s">
        <v>2321</v>
      </c>
    </row>
    <row r="57" spans="1:19" s="58" customFormat="1" ht="15" hidden="1">
      <c r="A57" s="16">
        <v>11</v>
      </c>
      <c r="B57" s="433" t="s">
        <v>605</v>
      </c>
      <c r="C57" s="53">
        <f>ROUND('R-1'!I71*0.1,2)</f>
        <v>0</v>
      </c>
      <c r="D57" s="53">
        <f>ROUND('R-1'!I252*0.1,2)</f>
        <v>0</v>
      </c>
      <c r="E57" s="53">
        <f>ROUND('R-1'!I397*0.1,2)</f>
        <v>0</v>
      </c>
      <c r="F57" s="53">
        <f>SUM(C57:E57)</f>
        <v>0</v>
      </c>
      <c r="G57" s="53" t="s">
        <v>422</v>
      </c>
      <c r="H57" s="53"/>
      <c r="I57" s="9">
        <f>ROUND(F57*Q57/50,2)</f>
        <v>0</v>
      </c>
      <c r="J57" s="208">
        <v>0</v>
      </c>
      <c r="K57" s="16">
        <v>0</v>
      </c>
      <c r="L57" s="10">
        <f>ROUND(F57*0.8,2)</f>
        <v>0</v>
      </c>
      <c r="M57" s="208">
        <v>0</v>
      </c>
      <c r="N57" s="208"/>
      <c r="O57" s="10">
        <f>ROUND(F57*0.4,2)</f>
        <v>0</v>
      </c>
      <c r="P57" s="208"/>
      <c r="Q57" s="53">
        <f t="shared" si="10"/>
        <v>340</v>
      </c>
      <c r="R57" s="10" t="s">
        <v>4</v>
      </c>
      <c r="S57" s="60" t="s">
        <v>2322</v>
      </c>
    </row>
    <row r="58" spans="1:19" ht="15" hidden="1">
      <c r="A58" s="283">
        <v>17</v>
      </c>
      <c r="B58" s="289" t="s">
        <v>1231</v>
      </c>
      <c r="C58" s="285">
        <f>ROUND('R-1'!I72*0.05,2)</f>
        <v>0</v>
      </c>
      <c r="D58" s="285">
        <f>ROUND('R-1'!I257*0.05,2)</f>
        <v>0</v>
      </c>
      <c r="E58" s="285">
        <f>ROUND('R-1'!I402*0.05,2)</f>
        <v>0</v>
      </c>
      <c r="F58" s="285">
        <f t="shared" si="1"/>
        <v>0</v>
      </c>
      <c r="G58" s="285" t="s">
        <v>422</v>
      </c>
      <c r="H58" s="285"/>
      <c r="I58" s="288">
        <f t="shared" si="5"/>
        <v>0</v>
      </c>
      <c r="J58" s="286">
        <v>0</v>
      </c>
      <c r="K58" s="283">
        <v>0</v>
      </c>
      <c r="L58" s="15">
        <f t="shared" si="6"/>
        <v>0</v>
      </c>
      <c r="M58" s="286">
        <v>0</v>
      </c>
      <c r="N58" s="286"/>
      <c r="O58" s="15">
        <f t="shared" si="7"/>
        <v>0</v>
      </c>
      <c r="P58" s="286"/>
      <c r="Q58" s="285">
        <f t="shared" si="10"/>
        <v>340</v>
      </c>
      <c r="R58" s="15" t="s">
        <v>4</v>
      </c>
      <c r="S58" s="60" t="s">
        <v>2226</v>
      </c>
    </row>
    <row r="59" spans="1:19" ht="15" hidden="1">
      <c r="A59" s="283">
        <v>17</v>
      </c>
      <c r="B59" s="289" t="s">
        <v>1231</v>
      </c>
      <c r="C59" s="285">
        <f>ROUND('R-1'!I73*0.05,2)</f>
        <v>0</v>
      </c>
      <c r="D59" s="285">
        <f>ROUND('R-1'!I258*0.05,2)</f>
        <v>0</v>
      </c>
      <c r="E59" s="285">
        <f>ROUND('R-1'!I403*0.05,2)</f>
        <v>0</v>
      </c>
      <c r="F59" s="285">
        <f>SUM(C59:E59)</f>
        <v>0</v>
      </c>
      <c r="G59" s="285" t="s">
        <v>422</v>
      </c>
      <c r="H59" s="285"/>
      <c r="I59" s="288">
        <f>ROUND(F59*Q59/50,2)</f>
        <v>0</v>
      </c>
      <c r="J59" s="286">
        <v>0</v>
      </c>
      <c r="K59" s="283">
        <v>0</v>
      </c>
      <c r="L59" s="15">
        <f>ROUND(F59*0.8,2)</f>
        <v>0</v>
      </c>
      <c r="M59" s="286">
        <v>0</v>
      </c>
      <c r="N59" s="286"/>
      <c r="O59" s="15">
        <f>ROUND(F59*0.4,2)</f>
        <v>0</v>
      </c>
      <c r="P59" s="286"/>
      <c r="Q59" s="285">
        <f t="shared" si="10"/>
        <v>340</v>
      </c>
      <c r="R59" s="15" t="s">
        <v>4</v>
      </c>
      <c r="S59" s="60" t="s">
        <v>2308</v>
      </c>
    </row>
    <row r="60" spans="1:19" ht="15" hidden="1">
      <c r="A60" s="283">
        <v>17</v>
      </c>
      <c r="B60" s="289" t="s">
        <v>1231</v>
      </c>
      <c r="C60" s="285">
        <f>ROUND('R-1'!I74*0.05,2)</f>
        <v>0</v>
      </c>
      <c r="D60" s="285">
        <f>ROUND('R-1'!I259*0.05,2)</f>
        <v>0</v>
      </c>
      <c r="E60" s="285">
        <f>ROUND('R-1'!I404*0.05,2)</f>
        <v>0</v>
      </c>
      <c r="F60" s="285">
        <f>SUM(C60:E60)</f>
        <v>0</v>
      </c>
      <c r="G60" s="285" t="s">
        <v>422</v>
      </c>
      <c r="H60" s="285"/>
      <c r="I60" s="288">
        <f>ROUND(F60*Q60/50,2)</f>
        <v>0</v>
      </c>
      <c r="J60" s="286">
        <v>0</v>
      </c>
      <c r="K60" s="283">
        <v>0</v>
      </c>
      <c r="L60" s="15">
        <f>ROUND(F60*0.8,2)</f>
        <v>0</v>
      </c>
      <c r="M60" s="286">
        <v>0</v>
      </c>
      <c r="N60" s="286"/>
      <c r="O60" s="15">
        <f>ROUND(F60*0.4,2)</f>
        <v>0</v>
      </c>
      <c r="P60" s="286"/>
      <c r="Q60" s="285">
        <f t="shared" si="10"/>
        <v>340</v>
      </c>
      <c r="R60" s="15" t="s">
        <v>4</v>
      </c>
      <c r="S60" s="60" t="s">
        <v>2321</v>
      </c>
    </row>
    <row r="61" spans="1:19" ht="15" hidden="1">
      <c r="A61" s="283">
        <v>17</v>
      </c>
      <c r="B61" s="289" t="s">
        <v>1231</v>
      </c>
      <c r="C61" s="285">
        <f>ROUND('R-1'!I75*0.05,2)</f>
        <v>0</v>
      </c>
      <c r="D61" s="285">
        <f>ROUND('R-1'!I260*0.05,2)</f>
        <v>0</v>
      </c>
      <c r="E61" s="285">
        <f>ROUND('R-1'!I405*0.05,2)</f>
        <v>0</v>
      </c>
      <c r="F61" s="285">
        <f>SUM(C61:E61)</f>
        <v>0</v>
      </c>
      <c r="G61" s="285" t="s">
        <v>422</v>
      </c>
      <c r="H61" s="285"/>
      <c r="I61" s="288">
        <f>ROUND(F61*Q61/50,2)</f>
        <v>0</v>
      </c>
      <c r="J61" s="286">
        <v>0</v>
      </c>
      <c r="K61" s="283">
        <v>0</v>
      </c>
      <c r="L61" s="15">
        <f>ROUND(F61*0.8,2)</f>
        <v>0</v>
      </c>
      <c r="M61" s="286">
        <v>0</v>
      </c>
      <c r="N61" s="286"/>
      <c r="O61" s="15">
        <f>ROUND(F61*0.4,2)</f>
        <v>0</v>
      </c>
      <c r="P61" s="286"/>
      <c r="Q61" s="285">
        <f t="shared" si="10"/>
        <v>340</v>
      </c>
      <c r="R61" s="15" t="s">
        <v>4</v>
      </c>
      <c r="S61" s="60" t="s">
        <v>2322</v>
      </c>
    </row>
    <row r="62" spans="1:19" ht="15" hidden="1">
      <c r="A62" s="283">
        <v>18</v>
      </c>
      <c r="B62" s="289" t="s">
        <v>1440</v>
      </c>
      <c r="C62" s="285">
        <f>ROUND('R-1'!I76*0.025,2)</f>
        <v>0</v>
      </c>
      <c r="D62" s="285">
        <f>ROUND('R-1'!I257*0.025,2)</f>
        <v>0</v>
      </c>
      <c r="E62" s="285">
        <f>ROUND('R-1'!I406*0.025,2)</f>
        <v>0</v>
      </c>
      <c r="F62" s="285">
        <f t="shared" si="1"/>
        <v>0</v>
      </c>
      <c r="G62" s="285" t="s">
        <v>422</v>
      </c>
      <c r="H62" s="285"/>
      <c r="I62" s="288">
        <f t="shared" si="5"/>
        <v>0</v>
      </c>
      <c r="J62" s="286">
        <v>0</v>
      </c>
      <c r="K62" s="283">
        <v>0</v>
      </c>
      <c r="L62" s="15">
        <f t="shared" si="6"/>
        <v>0</v>
      </c>
      <c r="M62" s="286">
        <v>0</v>
      </c>
      <c r="N62" s="286"/>
      <c r="O62" s="15">
        <f t="shared" si="7"/>
        <v>0</v>
      </c>
      <c r="P62" s="286"/>
      <c r="Q62" s="285">
        <f t="shared" ref="Q62:Q63" si="11">Q58</f>
        <v>340</v>
      </c>
      <c r="R62" s="15" t="s">
        <v>4</v>
      </c>
      <c r="S62" s="60" t="s">
        <v>2226</v>
      </c>
    </row>
    <row r="63" spans="1:19" ht="15" hidden="1">
      <c r="A63" s="283">
        <v>18</v>
      </c>
      <c r="B63" s="289" t="s">
        <v>1440</v>
      </c>
      <c r="C63" s="285">
        <f>ROUND('R-1'!I77*0.025,2)</f>
        <v>0</v>
      </c>
      <c r="D63" s="285">
        <f>ROUND('R-1'!I258*0.025,2)</f>
        <v>0</v>
      </c>
      <c r="E63" s="285">
        <f>ROUND('R-1'!I407*0.025,2)</f>
        <v>0</v>
      </c>
      <c r="F63" s="285">
        <f>SUM(C63:E63)</f>
        <v>0</v>
      </c>
      <c r="G63" s="285" t="s">
        <v>422</v>
      </c>
      <c r="H63" s="285"/>
      <c r="I63" s="288">
        <f>ROUND(F63*Q63/50,2)</f>
        <v>0</v>
      </c>
      <c r="J63" s="286">
        <v>0</v>
      </c>
      <c r="K63" s="283">
        <v>0</v>
      </c>
      <c r="L63" s="15">
        <f>ROUND(F63*0.8,2)</f>
        <v>0</v>
      </c>
      <c r="M63" s="286">
        <v>0</v>
      </c>
      <c r="N63" s="286"/>
      <c r="O63" s="15">
        <f>ROUND(F63*0.4,2)</f>
        <v>0</v>
      </c>
      <c r="P63" s="286"/>
      <c r="Q63" s="285">
        <f t="shared" si="11"/>
        <v>340</v>
      </c>
      <c r="R63" s="15" t="s">
        <v>4</v>
      </c>
      <c r="S63" s="60" t="s">
        <v>2308</v>
      </c>
    </row>
    <row r="64" spans="1:19" ht="15" hidden="1">
      <c r="A64" s="283">
        <v>18</v>
      </c>
      <c r="B64" s="289" t="s">
        <v>1440</v>
      </c>
      <c r="C64" s="285">
        <f>ROUND('R-1'!I78*0.025,2)</f>
        <v>0</v>
      </c>
      <c r="D64" s="285">
        <f>ROUND('R-1'!I259*0.025,2)</f>
        <v>0</v>
      </c>
      <c r="E64" s="285">
        <f>ROUND('R-1'!I408*0.025,2)</f>
        <v>0</v>
      </c>
      <c r="F64" s="285">
        <f>SUM(C64:E64)</f>
        <v>0</v>
      </c>
      <c r="G64" s="285" t="s">
        <v>422</v>
      </c>
      <c r="H64" s="285"/>
      <c r="I64" s="288">
        <f>ROUND(F64*Q64/50,2)</f>
        <v>0</v>
      </c>
      <c r="J64" s="286">
        <v>0</v>
      </c>
      <c r="K64" s="283">
        <v>0</v>
      </c>
      <c r="L64" s="15">
        <f>ROUND(F64*0.8,2)</f>
        <v>0</v>
      </c>
      <c r="M64" s="286">
        <v>0</v>
      </c>
      <c r="N64" s="286"/>
      <c r="O64" s="15">
        <f>ROUND(F64*0.4,2)</f>
        <v>0</v>
      </c>
      <c r="P64" s="286"/>
      <c r="Q64" s="285">
        <f>Q60</f>
        <v>340</v>
      </c>
      <c r="R64" s="15" t="s">
        <v>4</v>
      </c>
      <c r="S64" s="60" t="s">
        <v>2321</v>
      </c>
    </row>
    <row r="65" spans="1:19" ht="15" hidden="1">
      <c r="A65" s="283">
        <v>18</v>
      </c>
      <c r="B65" s="289" t="s">
        <v>1440</v>
      </c>
      <c r="C65" s="285">
        <f>ROUND('R-1'!I79*0.025,2)</f>
        <v>0</v>
      </c>
      <c r="D65" s="285">
        <f>ROUND('R-1'!I260*0.025,2)</f>
        <v>0</v>
      </c>
      <c r="E65" s="285">
        <f>ROUND('R-1'!I409*0.025,2)</f>
        <v>0</v>
      </c>
      <c r="F65" s="285">
        <f>SUM(C65:E65)</f>
        <v>0</v>
      </c>
      <c r="G65" s="285" t="s">
        <v>422</v>
      </c>
      <c r="H65" s="285"/>
      <c r="I65" s="288">
        <f>ROUND(F65*Q65/50,2)</f>
        <v>0</v>
      </c>
      <c r="J65" s="286">
        <v>0</v>
      </c>
      <c r="K65" s="283">
        <v>0</v>
      </c>
      <c r="L65" s="15">
        <f>ROUND(F65*0.8,2)</f>
        <v>0</v>
      </c>
      <c r="M65" s="286">
        <v>0</v>
      </c>
      <c r="N65" s="286"/>
      <c r="O65" s="15">
        <f>ROUND(F65*0.4,2)</f>
        <v>0</v>
      </c>
      <c r="P65" s="286"/>
      <c r="Q65" s="285">
        <f>Q61</f>
        <v>340</v>
      </c>
      <c r="R65" s="15" t="s">
        <v>4</v>
      </c>
      <c r="S65" s="60" t="s">
        <v>2322</v>
      </c>
    </row>
    <row r="66" spans="1:19" s="58" customFormat="1" ht="15">
      <c r="A66" s="16">
        <v>10</v>
      </c>
      <c r="B66" s="39" t="s">
        <v>129</v>
      </c>
      <c r="C66" s="53">
        <f>'R-1'!I80</f>
        <v>1.53</v>
      </c>
      <c r="D66" s="53">
        <f>'R-1'!I265</f>
        <v>0</v>
      </c>
      <c r="E66" s="53">
        <f>'R-1'!I410</f>
        <v>0</v>
      </c>
      <c r="F66" s="53">
        <f t="shared" si="1"/>
        <v>1.53</v>
      </c>
      <c r="G66" s="53" t="s">
        <v>421</v>
      </c>
      <c r="H66" s="53"/>
      <c r="I66" s="9">
        <f t="shared" si="5"/>
        <v>10.4</v>
      </c>
      <c r="J66" s="208">
        <v>0</v>
      </c>
      <c r="K66" s="16">
        <v>0</v>
      </c>
      <c r="L66" s="10">
        <f t="shared" si="6"/>
        <v>1.22</v>
      </c>
      <c r="M66" s="208">
        <v>0</v>
      </c>
      <c r="N66" s="208"/>
      <c r="O66" s="10">
        <f t="shared" si="7"/>
        <v>0.61</v>
      </c>
      <c r="P66" s="208"/>
      <c r="Q66" s="53">
        <f>$Q$26</f>
        <v>340</v>
      </c>
      <c r="R66" s="10" t="s">
        <v>4</v>
      </c>
      <c r="S66" s="60" t="s">
        <v>2226</v>
      </c>
    </row>
    <row r="67" spans="1:19" s="58" customFormat="1" ht="15" hidden="1">
      <c r="A67" s="16">
        <v>14</v>
      </c>
      <c r="B67" s="39" t="s">
        <v>866</v>
      </c>
      <c r="C67" s="53">
        <f>'R-1'!I81</f>
        <v>0</v>
      </c>
      <c r="D67" s="53">
        <f>'R-1'!I266</f>
        <v>0</v>
      </c>
      <c r="E67" s="53">
        <f>'R-1'!I411</f>
        <v>0</v>
      </c>
      <c r="F67" s="53">
        <f>SUM(C67:E67)</f>
        <v>0</v>
      </c>
      <c r="G67" s="53" t="s">
        <v>421</v>
      </c>
      <c r="H67" s="53"/>
      <c r="I67" s="9">
        <f>ROUND(F67*Q67/50,2)</f>
        <v>0</v>
      </c>
      <c r="J67" s="208">
        <v>0</v>
      </c>
      <c r="K67" s="16">
        <v>0</v>
      </c>
      <c r="L67" s="10">
        <f>ROUND(F67*0.8,2)</f>
        <v>0</v>
      </c>
      <c r="M67" s="208">
        <v>0</v>
      </c>
      <c r="N67" s="208"/>
      <c r="O67" s="10">
        <f>ROUND(F67*0.4,2)</f>
        <v>0</v>
      </c>
      <c r="P67" s="208"/>
      <c r="Q67" s="53">
        <f>$Q$27</f>
        <v>340</v>
      </c>
      <c r="R67" s="10" t="s">
        <v>4</v>
      </c>
      <c r="S67" s="60" t="s">
        <v>2308</v>
      </c>
    </row>
    <row r="68" spans="1:19" s="58" customFormat="1" ht="15" hidden="1">
      <c r="A68" s="16">
        <v>19</v>
      </c>
      <c r="B68" s="39" t="s">
        <v>129</v>
      </c>
      <c r="C68" s="53">
        <f>'R-1'!I82</f>
        <v>0</v>
      </c>
      <c r="D68" s="53">
        <f>'R-1'!I267</f>
        <v>0</v>
      </c>
      <c r="E68" s="53">
        <f>'R-1'!I412</f>
        <v>0</v>
      </c>
      <c r="F68" s="53">
        <f>SUM(C68:E68)</f>
        <v>0</v>
      </c>
      <c r="G68" s="53" t="s">
        <v>421</v>
      </c>
      <c r="H68" s="53"/>
      <c r="I68" s="9">
        <f>ROUND(F68*Q68/50,2)</f>
        <v>0</v>
      </c>
      <c r="J68" s="208">
        <v>0</v>
      </c>
      <c r="K68" s="16">
        <v>0</v>
      </c>
      <c r="L68" s="10">
        <f t="shared" ref="L68:L69" si="12">ROUND(F68*0.8,2)</f>
        <v>0</v>
      </c>
      <c r="M68" s="208">
        <v>0</v>
      </c>
      <c r="N68" s="208"/>
      <c r="O68" s="10">
        <f t="shared" ref="O68:O69" si="13">ROUND(F68*0.4,2)</f>
        <v>0</v>
      </c>
      <c r="P68" s="208"/>
      <c r="Q68" s="53">
        <f>$Q$28</f>
        <v>340</v>
      </c>
      <c r="R68" s="10" t="s">
        <v>4</v>
      </c>
      <c r="S68" s="60" t="s">
        <v>2321</v>
      </c>
    </row>
    <row r="69" spans="1:19" s="58" customFormat="1" ht="15" hidden="1">
      <c r="A69" s="16">
        <v>10</v>
      </c>
      <c r="B69" s="39" t="s">
        <v>129</v>
      </c>
      <c r="C69" s="53">
        <f>'R-1'!I83</f>
        <v>0</v>
      </c>
      <c r="D69" s="53">
        <f>'R-1'!I268</f>
        <v>0</v>
      </c>
      <c r="E69" s="53">
        <f>'R-1'!I413</f>
        <v>0</v>
      </c>
      <c r="F69" s="53">
        <f>SUM(C69:E69)</f>
        <v>0</v>
      </c>
      <c r="G69" s="53" t="s">
        <v>421</v>
      </c>
      <c r="H69" s="53"/>
      <c r="I69" s="9">
        <f>ROUND(F69*Q69/50,2)</f>
        <v>0</v>
      </c>
      <c r="J69" s="208">
        <v>0</v>
      </c>
      <c r="K69" s="16">
        <v>0</v>
      </c>
      <c r="L69" s="10">
        <f t="shared" si="12"/>
        <v>0</v>
      </c>
      <c r="M69" s="208">
        <v>0</v>
      </c>
      <c r="N69" s="208"/>
      <c r="O69" s="10">
        <f t="shared" si="13"/>
        <v>0</v>
      </c>
      <c r="P69" s="208"/>
      <c r="Q69" s="53">
        <f>$Q$29</f>
        <v>340</v>
      </c>
      <c r="R69" s="10" t="s">
        <v>4</v>
      </c>
      <c r="S69" s="60" t="s">
        <v>2322</v>
      </c>
    </row>
    <row r="70" spans="1:19" s="58" customFormat="1">
      <c r="A70" s="16">
        <v>11</v>
      </c>
      <c r="B70" s="39" t="s">
        <v>130</v>
      </c>
      <c r="C70" s="53">
        <f>'R-1'!I84</f>
        <v>12</v>
      </c>
      <c r="D70" s="53">
        <f>'R-1'!I269</f>
        <v>0</v>
      </c>
      <c r="E70" s="53">
        <f>'R-1'!I414</f>
        <v>0</v>
      </c>
      <c r="F70" s="53">
        <f t="shared" si="1"/>
        <v>12</v>
      </c>
      <c r="G70" s="53" t="s">
        <v>82</v>
      </c>
      <c r="H70" s="53"/>
      <c r="I70" s="9">
        <f t="shared" si="5"/>
        <v>3.06</v>
      </c>
      <c r="J70" s="208">
        <v>0</v>
      </c>
      <c r="K70" s="16">
        <v>0</v>
      </c>
      <c r="L70" s="10">
        <f>ROUND(F70*0.0375*0.8,2)</f>
        <v>0.36</v>
      </c>
      <c r="M70" s="208">
        <v>0</v>
      </c>
      <c r="N70" s="208"/>
      <c r="O70" s="10">
        <f>ROUND(F70*0.0375*0.4,2)</f>
        <v>0.18</v>
      </c>
      <c r="P70" s="208"/>
      <c r="Q70" s="40">
        <f>Q66*0.0375</f>
        <v>12.75</v>
      </c>
      <c r="R70" s="10" t="s">
        <v>4</v>
      </c>
      <c r="S70" s="60" t="s">
        <v>2226</v>
      </c>
    </row>
    <row r="71" spans="1:19" s="58" customFormat="1" hidden="1">
      <c r="A71" s="16">
        <v>15</v>
      </c>
      <c r="B71" s="39" t="s">
        <v>2372</v>
      </c>
      <c r="C71" s="53">
        <f>'R-1'!I85</f>
        <v>0</v>
      </c>
      <c r="D71" s="53">
        <f>'R-1'!I270</f>
        <v>0</v>
      </c>
      <c r="E71" s="53">
        <f>'R-1'!I415</f>
        <v>0</v>
      </c>
      <c r="F71" s="53">
        <f>SUM(C71:E71)</f>
        <v>0</v>
      </c>
      <c r="G71" s="53" t="s">
        <v>82</v>
      </c>
      <c r="H71" s="53"/>
      <c r="I71" s="9">
        <f>ROUND(F71*Q71/50,2)</f>
        <v>0</v>
      </c>
      <c r="J71" s="208">
        <v>0</v>
      </c>
      <c r="K71" s="16">
        <v>0</v>
      </c>
      <c r="L71" s="10">
        <f>ROUND(F71*0.0375*0.8,2)</f>
        <v>0</v>
      </c>
      <c r="M71" s="208">
        <v>0</v>
      </c>
      <c r="N71" s="208"/>
      <c r="O71" s="10">
        <f>ROUND(F71*0.0375*0.4,2)</f>
        <v>0</v>
      </c>
      <c r="P71" s="208"/>
      <c r="Q71" s="40">
        <f>Q67*0.0375</f>
        <v>12.75</v>
      </c>
      <c r="R71" s="10" t="s">
        <v>4</v>
      </c>
      <c r="S71" s="60" t="s">
        <v>2308</v>
      </c>
    </row>
    <row r="72" spans="1:19" s="58" customFormat="1" hidden="1">
      <c r="A72" s="16">
        <v>20</v>
      </c>
      <c r="B72" s="39" t="s">
        <v>130</v>
      </c>
      <c r="C72" s="53">
        <f>'R-1'!I86</f>
        <v>0</v>
      </c>
      <c r="D72" s="53">
        <f>'R-1'!I271</f>
        <v>0</v>
      </c>
      <c r="E72" s="53">
        <f>'R-1'!I416</f>
        <v>0</v>
      </c>
      <c r="F72" s="53">
        <f t="shared" ref="F72:F73" si="14">SUM(C72:E72)</f>
        <v>0</v>
      </c>
      <c r="G72" s="53" t="s">
        <v>82</v>
      </c>
      <c r="H72" s="53"/>
      <c r="I72" s="9">
        <f t="shared" ref="I72:I73" si="15">ROUND(F72*Q72/50,2)</f>
        <v>0</v>
      </c>
      <c r="J72" s="208">
        <v>0</v>
      </c>
      <c r="K72" s="16">
        <v>0</v>
      </c>
      <c r="L72" s="10">
        <f>ROUND(F72*0.0375*0.8,2)</f>
        <v>0</v>
      </c>
      <c r="M72" s="208">
        <v>0</v>
      </c>
      <c r="N72" s="208"/>
      <c r="O72" s="10">
        <f>ROUND(F72*0.0375*0.4,2)</f>
        <v>0</v>
      </c>
      <c r="P72" s="208"/>
      <c r="Q72" s="40">
        <f>Q68*0.0375</f>
        <v>12.75</v>
      </c>
      <c r="R72" s="10" t="s">
        <v>4</v>
      </c>
      <c r="S72" s="60" t="s">
        <v>2321</v>
      </c>
    </row>
    <row r="73" spans="1:19" s="58" customFormat="1" hidden="1">
      <c r="A73" s="16">
        <v>11</v>
      </c>
      <c r="B73" s="39" t="s">
        <v>130</v>
      </c>
      <c r="C73" s="53">
        <f>'R-1'!I87</f>
        <v>0</v>
      </c>
      <c r="D73" s="53">
        <f>'R-1'!I272</f>
        <v>0</v>
      </c>
      <c r="E73" s="53">
        <f>'R-1'!I417</f>
        <v>0</v>
      </c>
      <c r="F73" s="53">
        <f t="shared" si="14"/>
        <v>0</v>
      </c>
      <c r="G73" s="53" t="s">
        <v>82</v>
      </c>
      <c r="H73" s="53"/>
      <c r="I73" s="9">
        <f t="shared" si="15"/>
        <v>0</v>
      </c>
      <c r="J73" s="208">
        <v>0</v>
      </c>
      <c r="K73" s="16">
        <v>0</v>
      </c>
      <c r="L73" s="10">
        <f>ROUND(F73*0.0375*0.8,2)</f>
        <v>0</v>
      </c>
      <c r="M73" s="208">
        <v>0</v>
      </c>
      <c r="N73" s="208"/>
      <c r="O73" s="10">
        <f>ROUND(F73*0.0375*0.4,2)</f>
        <v>0</v>
      </c>
      <c r="P73" s="208"/>
      <c r="Q73" s="40">
        <f>Q69*0.0375</f>
        <v>12.75</v>
      </c>
      <c r="R73" s="10" t="s">
        <v>4</v>
      </c>
      <c r="S73" s="60" t="s">
        <v>2322</v>
      </c>
    </row>
    <row r="74" spans="1:19" ht="15" hidden="1">
      <c r="A74" s="283">
        <v>14</v>
      </c>
      <c r="B74" s="207" t="s">
        <v>447</v>
      </c>
      <c r="C74" s="285">
        <f>'R-1'!I96</f>
        <v>0</v>
      </c>
      <c r="D74" s="285">
        <f>'R-1'!I321</f>
        <v>0</v>
      </c>
      <c r="E74" s="285">
        <f>'R-1'!I462</f>
        <v>0</v>
      </c>
      <c r="F74" s="285">
        <f t="shared" si="1"/>
        <v>0</v>
      </c>
      <c r="G74" s="285" t="s">
        <v>421</v>
      </c>
      <c r="H74" s="285"/>
      <c r="I74" s="288">
        <f t="shared" si="5"/>
        <v>0</v>
      </c>
      <c r="J74" s="286">
        <v>0</v>
      </c>
      <c r="K74" s="283">
        <v>0</v>
      </c>
      <c r="L74" s="15">
        <f>ROUND(F74*0.8,2)</f>
        <v>0</v>
      </c>
      <c r="M74" s="286">
        <v>0</v>
      </c>
      <c r="N74" s="286"/>
      <c r="O74" s="15">
        <f>ROUND(F74*0.4,2)</f>
        <v>0</v>
      </c>
      <c r="P74" s="286"/>
      <c r="Q74" s="285">
        <f>$Q$26</f>
        <v>340</v>
      </c>
      <c r="R74" s="15" t="s">
        <v>4</v>
      </c>
      <c r="S74" s="60" t="s">
        <v>2226</v>
      </c>
    </row>
    <row r="75" spans="1:19" ht="15" hidden="1">
      <c r="A75" s="283">
        <v>14</v>
      </c>
      <c r="B75" s="207" t="s">
        <v>447</v>
      </c>
      <c r="C75" s="285">
        <f>'R-1'!I97</f>
        <v>0</v>
      </c>
      <c r="D75" s="285">
        <f>'R-1'!I322</f>
        <v>0</v>
      </c>
      <c r="E75" s="285">
        <f>'R-1'!I463</f>
        <v>0</v>
      </c>
      <c r="F75" s="285">
        <f>SUM(C75:E75)</f>
        <v>0</v>
      </c>
      <c r="G75" s="285" t="s">
        <v>421</v>
      </c>
      <c r="H75" s="285"/>
      <c r="I75" s="288">
        <f>ROUND(F75*Q75/50,2)</f>
        <v>0</v>
      </c>
      <c r="J75" s="286">
        <v>0</v>
      </c>
      <c r="K75" s="283">
        <v>0</v>
      </c>
      <c r="L75" s="15">
        <f>ROUND(F75*0.8,2)</f>
        <v>0</v>
      </c>
      <c r="M75" s="286">
        <v>0</v>
      </c>
      <c r="N75" s="286"/>
      <c r="O75" s="15">
        <f>ROUND(F75*0.4,2)</f>
        <v>0</v>
      </c>
      <c r="P75" s="286"/>
      <c r="Q75" s="285">
        <f>$Q$27</f>
        <v>340</v>
      </c>
      <c r="R75" s="15" t="s">
        <v>4</v>
      </c>
      <c r="S75" s="60" t="s">
        <v>2308</v>
      </c>
    </row>
    <row r="76" spans="1:19" ht="15" hidden="1">
      <c r="A76" s="283">
        <v>14</v>
      </c>
      <c r="B76" s="207" t="s">
        <v>447</v>
      </c>
      <c r="C76" s="285">
        <f>'R-1'!I98</f>
        <v>0</v>
      </c>
      <c r="D76" s="285">
        <f>'R-1'!I323</f>
        <v>0</v>
      </c>
      <c r="E76" s="285">
        <f>'R-1'!I464</f>
        <v>0</v>
      </c>
      <c r="F76" s="285">
        <f>SUM(C76:E76)</f>
        <v>0</v>
      </c>
      <c r="G76" s="285" t="s">
        <v>421</v>
      </c>
      <c r="H76" s="285"/>
      <c r="I76" s="288">
        <f>ROUND(F76*Q76/50,2)</f>
        <v>0</v>
      </c>
      <c r="J76" s="286">
        <v>0</v>
      </c>
      <c r="K76" s="283">
        <v>0</v>
      </c>
      <c r="L76" s="15">
        <f>ROUND(F76*0.8,2)</f>
        <v>0</v>
      </c>
      <c r="M76" s="286">
        <v>0</v>
      </c>
      <c r="N76" s="286"/>
      <c r="O76" s="15">
        <f>ROUND(F76*0.4,2)</f>
        <v>0</v>
      </c>
      <c r="P76" s="286"/>
      <c r="Q76" s="285">
        <f>$Q$28</f>
        <v>340</v>
      </c>
      <c r="R76" s="15" t="s">
        <v>4</v>
      </c>
      <c r="S76" s="60" t="s">
        <v>2321</v>
      </c>
    </row>
    <row r="77" spans="1:19" ht="15" hidden="1">
      <c r="A77" s="283">
        <v>14</v>
      </c>
      <c r="B77" s="207" t="s">
        <v>447</v>
      </c>
      <c r="C77" s="285">
        <f>'R-1'!I99</f>
        <v>0</v>
      </c>
      <c r="D77" s="285">
        <f>'R-1'!I324</f>
        <v>0</v>
      </c>
      <c r="E77" s="285">
        <f>'R-1'!I465</f>
        <v>0</v>
      </c>
      <c r="F77" s="285">
        <f>SUM(C77:E77)</f>
        <v>0</v>
      </c>
      <c r="G77" s="285" t="s">
        <v>421</v>
      </c>
      <c r="H77" s="285"/>
      <c r="I77" s="288">
        <f>ROUND(F77*Q77/50,2)</f>
        <v>0</v>
      </c>
      <c r="J77" s="286">
        <v>0</v>
      </c>
      <c r="K77" s="283">
        <v>0</v>
      </c>
      <c r="L77" s="15">
        <f>ROUND(F77*0.8,2)</f>
        <v>0</v>
      </c>
      <c r="M77" s="286">
        <v>0</v>
      </c>
      <c r="N77" s="286"/>
      <c r="O77" s="15">
        <f>ROUND(F77*0.4,2)</f>
        <v>0</v>
      </c>
      <c r="P77" s="286"/>
      <c r="Q77" s="285">
        <f>$Q$29</f>
        <v>340</v>
      </c>
      <c r="R77" s="15" t="s">
        <v>4</v>
      </c>
      <c r="S77" s="60" t="s">
        <v>2322</v>
      </c>
    </row>
    <row r="78" spans="1:19" s="58" customFormat="1" ht="15">
      <c r="A78" s="16">
        <v>12</v>
      </c>
      <c r="B78" s="433" t="s">
        <v>2482</v>
      </c>
      <c r="C78" s="53">
        <f>'R-1'!I88</f>
        <v>108</v>
      </c>
      <c r="D78" s="53">
        <f>'R-1'!I273</f>
        <v>0</v>
      </c>
      <c r="E78" s="53">
        <f>'R-1'!I418</f>
        <v>0</v>
      </c>
      <c r="F78" s="53">
        <f t="shared" si="1"/>
        <v>108</v>
      </c>
      <c r="G78" s="53" t="s">
        <v>422</v>
      </c>
      <c r="H78" s="53"/>
      <c r="I78" s="9">
        <f t="shared" si="5"/>
        <v>15.55</v>
      </c>
      <c r="J78" s="208">
        <v>0</v>
      </c>
      <c r="K78" s="10">
        <f>ROUND(F78*0.015*1.05,2)</f>
        <v>1.7</v>
      </c>
      <c r="L78" s="208">
        <v>0</v>
      </c>
      <c r="M78" s="208">
        <v>0</v>
      </c>
      <c r="N78" s="208"/>
      <c r="O78" s="208">
        <v>0</v>
      </c>
      <c r="P78" s="208"/>
      <c r="Q78" s="53">
        <v>7.2</v>
      </c>
      <c r="R78" s="10" t="s">
        <v>4</v>
      </c>
      <c r="S78" s="60" t="s">
        <v>2226</v>
      </c>
    </row>
    <row r="79" spans="1:19" s="58" customFormat="1" ht="15" hidden="1">
      <c r="A79" s="16">
        <v>18</v>
      </c>
      <c r="B79" s="433" t="s">
        <v>2482</v>
      </c>
      <c r="C79" s="53">
        <f>'R-1'!I89</f>
        <v>0</v>
      </c>
      <c r="D79" s="53">
        <f>'R-1'!I274</f>
        <v>0</v>
      </c>
      <c r="E79" s="53">
        <f>'R-1'!I419</f>
        <v>0</v>
      </c>
      <c r="F79" s="53">
        <f>SUM(C79:E79)</f>
        <v>0</v>
      </c>
      <c r="G79" s="53" t="s">
        <v>422</v>
      </c>
      <c r="H79" s="53"/>
      <c r="I79" s="9">
        <f>ROUND(F79*Q79/50,2)</f>
        <v>0</v>
      </c>
      <c r="J79" s="208">
        <v>0</v>
      </c>
      <c r="K79" s="10">
        <f>ROUND(F79*0.015*1.05,2)</f>
        <v>0</v>
      </c>
      <c r="L79" s="208">
        <v>0</v>
      </c>
      <c r="M79" s="208">
        <v>0</v>
      </c>
      <c r="N79" s="208"/>
      <c r="O79" s="208">
        <v>0</v>
      </c>
      <c r="P79" s="208"/>
      <c r="Q79" s="53">
        <v>7.2</v>
      </c>
      <c r="R79" s="10" t="s">
        <v>4</v>
      </c>
      <c r="S79" s="60" t="s">
        <v>2308</v>
      </c>
    </row>
    <row r="80" spans="1:19" s="58" customFormat="1" ht="15" hidden="1">
      <c r="A80" s="16">
        <v>22</v>
      </c>
      <c r="B80" s="433" t="s">
        <v>1441</v>
      </c>
      <c r="C80" s="53">
        <f>'R-1'!I90</f>
        <v>0</v>
      </c>
      <c r="D80" s="53">
        <f>'R-1'!I275</f>
        <v>0</v>
      </c>
      <c r="E80" s="53">
        <f>'R-1'!I420</f>
        <v>0</v>
      </c>
      <c r="F80" s="53">
        <f>SUM(C80:E80)</f>
        <v>0</v>
      </c>
      <c r="G80" s="53" t="s">
        <v>422</v>
      </c>
      <c r="H80" s="53"/>
      <c r="I80" s="9">
        <f>ROUND(F80*Q80/50,2)</f>
        <v>0</v>
      </c>
      <c r="J80" s="208">
        <v>0</v>
      </c>
      <c r="K80" s="10">
        <f>ROUND(ROUND((0.015*1.05),3)*ROUND(F80,2),2)</f>
        <v>0</v>
      </c>
      <c r="L80" s="208">
        <v>0</v>
      </c>
      <c r="M80" s="208">
        <v>0</v>
      </c>
      <c r="N80" s="208"/>
      <c r="O80" s="208">
        <v>0</v>
      </c>
      <c r="P80" s="208"/>
      <c r="Q80" s="53">
        <v>7.2</v>
      </c>
      <c r="R80" s="10" t="s">
        <v>4</v>
      </c>
      <c r="S80" s="60" t="s">
        <v>2321</v>
      </c>
    </row>
    <row r="81" spans="1:19" s="58" customFormat="1" ht="15" hidden="1">
      <c r="A81" s="16">
        <v>16</v>
      </c>
      <c r="B81" s="433" t="s">
        <v>1441</v>
      </c>
      <c r="C81" s="53">
        <f>'R-1'!I91</f>
        <v>0</v>
      </c>
      <c r="D81" s="53">
        <f>'R-1'!I276</f>
        <v>0</v>
      </c>
      <c r="E81" s="53">
        <f>'R-1'!I421</f>
        <v>0</v>
      </c>
      <c r="F81" s="53">
        <f>SUM(C81:E81)</f>
        <v>0</v>
      </c>
      <c r="G81" s="53" t="s">
        <v>422</v>
      </c>
      <c r="H81" s="53"/>
      <c r="I81" s="9">
        <f>ROUND(F81*Q81/50,2)</f>
        <v>0</v>
      </c>
      <c r="J81" s="208">
        <v>0</v>
      </c>
      <c r="K81" s="10">
        <f>ROUND(F81*0.015*1.05,2)</f>
        <v>0</v>
      </c>
      <c r="L81" s="208">
        <v>0</v>
      </c>
      <c r="M81" s="208">
        <v>0</v>
      </c>
      <c r="N81" s="208"/>
      <c r="O81" s="208">
        <v>0</v>
      </c>
      <c r="P81" s="208"/>
      <c r="Q81" s="53">
        <v>7.2</v>
      </c>
      <c r="R81" s="10" t="s">
        <v>4</v>
      </c>
      <c r="S81" s="60" t="s">
        <v>2322</v>
      </c>
    </row>
    <row r="82" spans="1:19" ht="15" hidden="1">
      <c r="A82" s="283">
        <v>14</v>
      </c>
      <c r="B82" s="289" t="s">
        <v>2482</v>
      </c>
      <c r="C82" s="285">
        <f>'R-1'!I92</f>
        <v>0</v>
      </c>
      <c r="D82" s="285">
        <f>'R-1'!I277</f>
        <v>0</v>
      </c>
      <c r="E82" s="285">
        <f>'R-1'!I422</f>
        <v>0</v>
      </c>
      <c r="F82" s="285">
        <f t="shared" si="1"/>
        <v>0</v>
      </c>
      <c r="G82" s="285" t="s">
        <v>422</v>
      </c>
      <c r="H82" s="285"/>
      <c r="I82" s="288">
        <f t="shared" si="5"/>
        <v>0</v>
      </c>
      <c r="J82" s="286">
        <v>0</v>
      </c>
      <c r="K82" s="10">
        <f>ROUND(F82*0.021*1.05,2)</f>
        <v>0</v>
      </c>
      <c r="L82" s="286">
        <v>0</v>
      </c>
      <c r="M82" s="286">
        <v>0</v>
      </c>
      <c r="N82" s="286"/>
      <c r="O82" s="286">
        <v>0</v>
      </c>
      <c r="P82" s="286"/>
      <c r="Q82" s="285">
        <v>10.08</v>
      </c>
      <c r="R82" s="15" t="s">
        <v>4</v>
      </c>
      <c r="S82" s="60" t="s">
        <v>2226</v>
      </c>
    </row>
    <row r="83" spans="1:19" ht="15" hidden="1">
      <c r="A83" s="283">
        <v>15</v>
      </c>
      <c r="B83" s="289" t="s">
        <v>2482</v>
      </c>
      <c r="C83" s="285">
        <f>'R-1'!I93</f>
        <v>0</v>
      </c>
      <c r="D83" s="285">
        <f>'R-1'!I278</f>
        <v>0</v>
      </c>
      <c r="E83" s="285">
        <f>'R-1'!I423</f>
        <v>0</v>
      </c>
      <c r="F83" s="285">
        <f>SUM(C83:E83)</f>
        <v>0</v>
      </c>
      <c r="G83" s="285" t="s">
        <v>422</v>
      </c>
      <c r="H83" s="285"/>
      <c r="I83" s="288">
        <f>ROUND(F83*Q83/50,2)</f>
        <v>0</v>
      </c>
      <c r="J83" s="286">
        <v>0</v>
      </c>
      <c r="K83" s="10">
        <f>ROUND(F83*0.021*1.05,2)</f>
        <v>0</v>
      </c>
      <c r="L83" s="286">
        <v>0</v>
      </c>
      <c r="M83" s="286">
        <v>0</v>
      </c>
      <c r="N83" s="286"/>
      <c r="O83" s="286">
        <v>0</v>
      </c>
      <c r="P83" s="286"/>
      <c r="Q83" s="285">
        <v>10.08</v>
      </c>
      <c r="R83" s="15" t="s">
        <v>4</v>
      </c>
      <c r="S83" s="60" t="s">
        <v>2308</v>
      </c>
    </row>
    <row r="84" spans="1:19" ht="15" hidden="1">
      <c r="A84" s="283">
        <v>23</v>
      </c>
      <c r="B84" s="289" t="s">
        <v>1226</v>
      </c>
      <c r="C84" s="285">
        <f>'R-1'!I94</f>
        <v>0</v>
      </c>
      <c r="D84" s="285">
        <f>'R-1'!I279</f>
        <v>0</v>
      </c>
      <c r="E84" s="285">
        <f>'R-1'!I424</f>
        <v>0</v>
      </c>
      <c r="F84" s="285">
        <f>SUM(C84:E84)</f>
        <v>0</v>
      </c>
      <c r="G84" s="285" t="s">
        <v>422</v>
      </c>
      <c r="H84" s="285"/>
      <c r="I84" s="288">
        <f>ROUND(F84*Q84/50,2)</f>
        <v>0</v>
      </c>
      <c r="J84" s="286">
        <v>0</v>
      </c>
      <c r="K84" s="15">
        <f>ROUND(ROUND((0.021*1.05),3)*ROUND(F84,2),2)</f>
        <v>0</v>
      </c>
      <c r="L84" s="286">
        <v>0</v>
      </c>
      <c r="M84" s="286">
        <v>0</v>
      </c>
      <c r="N84" s="286"/>
      <c r="O84" s="286">
        <v>0</v>
      </c>
      <c r="P84" s="286"/>
      <c r="Q84" s="285">
        <v>10.08</v>
      </c>
      <c r="R84" s="15" t="s">
        <v>4</v>
      </c>
      <c r="S84" s="60" t="s">
        <v>2321</v>
      </c>
    </row>
    <row r="85" spans="1:19" ht="15" hidden="1">
      <c r="A85" s="283">
        <v>23</v>
      </c>
      <c r="B85" s="289" t="s">
        <v>1226</v>
      </c>
      <c r="C85" s="285">
        <f>'R-1'!I95</f>
        <v>0</v>
      </c>
      <c r="D85" s="285">
        <f>'R-1'!I280</f>
        <v>0</v>
      </c>
      <c r="E85" s="285">
        <f>'R-1'!I425</f>
        <v>0</v>
      </c>
      <c r="F85" s="285">
        <f>SUM(C85:E85)</f>
        <v>0</v>
      </c>
      <c r="G85" s="285" t="s">
        <v>422</v>
      </c>
      <c r="H85" s="285"/>
      <c r="I85" s="288">
        <f>ROUND(F85*Q85/50,2)</f>
        <v>0</v>
      </c>
      <c r="J85" s="286">
        <v>0</v>
      </c>
      <c r="K85" s="15">
        <f>ROUND(ROUND((0.021*1.05),3)*ROUND(F85,2),2)</f>
        <v>0</v>
      </c>
      <c r="L85" s="286">
        <v>0</v>
      </c>
      <c r="M85" s="286">
        <v>0</v>
      </c>
      <c r="N85" s="286"/>
      <c r="O85" s="286">
        <v>0</v>
      </c>
      <c r="P85" s="286"/>
      <c r="Q85" s="285">
        <v>10.08</v>
      </c>
      <c r="R85" s="15" t="s">
        <v>4</v>
      </c>
      <c r="S85" s="60" t="s">
        <v>2322</v>
      </c>
    </row>
    <row r="86" spans="1:19" ht="15" hidden="1">
      <c r="A86" s="283">
        <v>15</v>
      </c>
      <c r="B86" s="207" t="s">
        <v>1194</v>
      </c>
      <c r="C86" s="285">
        <f>'R-1'!I100</f>
        <v>0</v>
      </c>
      <c r="D86" s="285"/>
      <c r="E86" s="285"/>
      <c r="F86" s="285">
        <f t="shared" si="1"/>
        <v>0</v>
      </c>
      <c r="G86" s="285" t="s">
        <v>421</v>
      </c>
      <c r="H86" s="285"/>
      <c r="I86" s="288">
        <f t="shared" si="5"/>
        <v>0</v>
      </c>
      <c r="J86" s="286">
        <v>0</v>
      </c>
      <c r="K86" s="15">
        <f>ROUND(F86*0.33,2)</f>
        <v>0</v>
      </c>
      <c r="L86" s="286">
        <v>0</v>
      </c>
      <c r="M86" s="286">
        <v>0</v>
      </c>
      <c r="N86" s="286"/>
      <c r="O86" s="286">
        <v>0</v>
      </c>
      <c r="P86" s="286"/>
      <c r="Q86" s="285">
        <v>59.4</v>
      </c>
      <c r="R86" s="15" t="s">
        <v>4</v>
      </c>
      <c r="S86" s="60" t="s">
        <v>2226</v>
      </c>
    </row>
    <row r="87" spans="1:19" ht="15" hidden="1">
      <c r="A87" s="283">
        <v>15</v>
      </c>
      <c r="B87" s="207" t="s">
        <v>1194</v>
      </c>
      <c r="C87" s="285">
        <f>'R-1'!I101</f>
        <v>0</v>
      </c>
      <c r="D87" s="285"/>
      <c r="E87" s="285"/>
      <c r="F87" s="285">
        <f>SUM(C87:E87)</f>
        <v>0</v>
      </c>
      <c r="G87" s="285" t="s">
        <v>421</v>
      </c>
      <c r="H87" s="285"/>
      <c r="I87" s="288">
        <f>ROUND(F87*Q87/50,2)</f>
        <v>0</v>
      </c>
      <c r="J87" s="286">
        <v>0</v>
      </c>
      <c r="K87" s="15">
        <f>ROUND(F87*0.33,2)</f>
        <v>0</v>
      </c>
      <c r="L87" s="286">
        <v>0</v>
      </c>
      <c r="M87" s="286">
        <v>0</v>
      </c>
      <c r="N87" s="286"/>
      <c r="O87" s="286">
        <v>0</v>
      </c>
      <c r="P87" s="286"/>
      <c r="Q87" s="285">
        <v>59.4</v>
      </c>
      <c r="R87" s="15" t="s">
        <v>4</v>
      </c>
      <c r="S87" s="60" t="s">
        <v>2308</v>
      </c>
    </row>
    <row r="88" spans="1:19" ht="15" hidden="1">
      <c r="A88" s="283">
        <v>15</v>
      </c>
      <c r="B88" s="207" t="s">
        <v>1194</v>
      </c>
      <c r="C88" s="285">
        <f>'R-1'!I102</f>
        <v>0</v>
      </c>
      <c r="D88" s="285"/>
      <c r="E88" s="285"/>
      <c r="F88" s="285">
        <f>SUM(C88:E88)</f>
        <v>0</v>
      </c>
      <c r="G88" s="285" t="s">
        <v>421</v>
      </c>
      <c r="H88" s="285"/>
      <c r="I88" s="288">
        <f>ROUND(F88*Q88/50,2)</f>
        <v>0</v>
      </c>
      <c r="J88" s="286">
        <v>0</v>
      </c>
      <c r="K88" s="15">
        <f>ROUND(F88*0.33,2)</f>
        <v>0</v>
      </c>
      <c r="L88" s="286">
        <v>0</v>
      </c>
      <c r="M88" s="286">
        <v>0</v>
      </c>
      <c r="N88" s="286"/>
      <c r="O88" s="286">
        <v>0</v>
      </c>
      <c r="P88" s="286"/>
      <c r="Q88" s="285">
        <v>59.4</v>
      </c>
      <c r="R88" s="15" t="s">
        <v>4</v>
      </c>
      <c r="S88" s="60" t="s">
        <v>2321</v>
      </c>
    </row>
    <row r="89" spans="1:19" ht="15" hidden="1">
      <c r="A89" s="283">
        <v>15</v>
      </c>
      <c r="B89" s="207" t="s">
        <v>1194</v>
      </c>
      <c r="C89" s="285">
        <f>'R-1'!I103</f>
        <v>0</v>
      </c>
      <c r="D89" s="285"/>
      <c r="E89" s="285"/>
      <c r="F89" s="285">
        <f>SUM(C89:E89)</f>
        <v>0</v>
      </c>
      <c r="G89" s="285" t="s">
        <v>421</v>
      </c>
      <c r="H89" s="285"/>
      <c r="I89" s="288">
        <f>ROUND(F89*Q89/50,2)</f>
        <v>0</v>
      </c>
      <c r="J89" s="286">
        <v>0</v>
      </c>
      <c r="K89" s="15">
        <f>ROUND(F89*0.33,2)</f>
        <v>0</v>
      </c>
      <c r="L89" s="286">
        <v>0</v>
      </c>
      <c r="M89" s="286">
        <v>0</v>
      </c>
      <c r="N89" s="286"/>
      <c r="O89" s="286">
        <v>0</v>
      </c>
      <c r="P89" s="286"/>
      <c r="Q89" s="285">
        <v>59.4</v>
      </c>
      <c r="R89" s="15" t="s">
        <v>4</v>
      </c>
      <c r="S89" s="60" t="s">
        <v>2322</v>
      </c>
    </row>
    <row r="90" spans="1:19" s="58" customFormat="1" ht="15">
      <c r="A90" s="16">
        <v>13</v>
      </c>
      <c r="B90" s="39" t="s">
        <v>2157</v>
      </c>
      <c r="C90" s="53">
        <f>'R-1'!I104</f>
        <v>19.080000000000002</v>
      </c>
      <c r="D90" s="53">
        <f>'R-1'!I285</f>
        <v>0</v>
      </c>
      <c r="E90" s="53">
        <f>'R-1'!I430</f>
        <v>0</v>
      </c>
      <c r="F90" s="53">
        <f t="shared" si="1"/>
        <v>19.080000000000002</v>
      </c>
      <c r="G90" s="53" t="s">
        <v>421</v>
      </c>
      <c r="H90" s="53"/>
      <c r="I90" s="9">
        <f t="shared" si="5"/>
        <v>13.74</v>
      </c>
      <c r="J90" s="208">
        <v>0</v>
      </c>
      <c r="K90" s="10">
        <f t="shared" ref="K90:K97" si="16">ROUND(F90*0.2,2)</f>
        <v>3.82</v>
      </c>
      <c r="L90" s="208">
        <v>0</v>
      </c>
      <c r="M90" s="208">
        <v>0</v>
      </c>
      <c r="N90" s="208"/>
      <c r="O90" s="208">
        <v>0</v>
      </c>
      <c r="P90" s="208"/>
      <c r="Q90" s="53">
        <v>36</v>
      </c>
      <c r="R90" s="10" t="s">
        <v>4</v>
      </c>
      <c r="S90" s="60" t="s">
        <v>2226</v>
      </c>
    </row>
    <row r="91" spans="1:19" s="58" customFormat="1" ht="15" hidden="1">
      <c r="A91" s="16">
        <v>20</v>
      </c>
      <c r="B91" s="39" t="s">
        <v>2157</v>
      </c>
      <c r="C91" s="53">
        <f>'R-1'!I105</f>
        <v>0</v>
      </c>
      <c r="D91" s="53">
        <f>'R-1'!I286</f>
        <v>0</v>
      </c>
      <c r="E91" s="53">
        <f>'R-1'!I431</f>
        <v>0</v>
      </c>
      <c r="F91" s="53">
        <f>SUM(C91:E91)</f>
        <v>0</v>
      </c>
      <c r="G91" s="53" t="s">
        <v>421</v>
      </c>
      <c r="H91" s="53"/>
      <c r="I91" s="9">
        <f>ROUND(F91*Q91/50,2)</f>
        <v>0</v>
      </c>
      <c r="J91" s="208">
        <v>0</v>
      </c>
      <c r="K91" s="10">
        <f t="shared" si="16"/>
        <v>0</v>
      </c>
      <c r="L91" s="208">
        <v>0</v>
      </c>
      <c r="M91" s="208">
        <v>0</v>
      </c>
      <c r="N91" s="208"/>
      <c r="O91" s="208">
        <v>0</v>
      </c>
      <c r="P91" s="208"/>
      <c r="Q91" s="53">
        <v>36</v>
      </c>
      <c r="R91" s="10" t="s">
        <v>4</v>
      </c>
      <c r="S91" s="60" t="s">
        <v>2308</v>
      </c>
    </row>
    <row r="92" spans="1:19" s="58" customFormat="1" ht="15" hidden="1">
      <c r="A92" s="16">
        <v>18</v>
      </c>
      <c r="B92" s="39" t="s">
        <v>2157</v>
      </c>
      <c r="C92" s="53">
        <f>'R-1'!I106</f>
        <v>0</v>
      </c>
      <c r="D92" s="53">
        <f>'R-1'!I287</f>
        <v>0</v>
      </c>
      <c r="E92" s="53">
        <f>'R-1'!I432</f>
        <v>0</v>
      </c>
      <c r="F92" s="53">
        <f>SUM(C92:E92)</f>
        <v>0</v>
      </c>
      <c r="G92" s="53" t="s">
        <v>421</v>
      </c>
      <c r="H92" s="53"/>
      <c r="I92" s="9">
        <f>ROUND(F92*Q92/50,2)</f>
        <v>0</v>
      </c>
      <c r="J92" s="208">
        <v>0</v>
      </c>
      <c r="K92" s="10">
        <f t="shared" si="16"/>
        <v>0</v>
      </c>
      <c r="L92" s="208">
        <v>0</v>
      </c>
      <c r="M92" s="208">
        <v>0</v>
      </c>
      <c r="N92" s="208"/>
      <c r="O92" s="208">
        <v>0</v>
      </c>
      <c r="P92" s="208"/>
      <c r="Q92" s="53">
        <v>36</v>
      </c>
      <c r="R92" s="10" t="s">
        <v>4</v>
      </c>
      <c r="S92" s="60" t="s">
        <v>2321</v>
      </c>
    </row>
    <row r="93" spans="1:19" s="58" customFormat="1" ht="15" hidden="1">
      <c r="A93" s="16">
        <v>21</v>
      </c>
      <c r="B93" s="39" t="s">
        <v>2157</v>
      </c>
      <c r="C93" s="53">
        <f>'R-1'!I107</f>
        <v>0</v>
      </c>
      <c r="D93" s="53">
        <f>'R-1'!I288</f>
        <v>0</v>
      </c>
      <c r="E93" s="53">
        <f>'R-1'!I433</f>
        <v>0</v>
      </c>
      <c r="F93" s="53">
        <f>SUM(C93:E93)</f>
        <v>0</v>
      </c>
      <c r="G93" s="53" t="s">
        <v>421</v>
      </c>
      <c r="H93" s="53"/>
      <c r="I93" s="9">
        <f>ROUND(F93*Q93/50,2)</f>
        <v>0</v>
      </c>
      <c r="J93" s="208">
        <v>0</v>
      </c>
      <c r="K93" s="10">
        <f t="shared" si="16"/>
        <v>0</v>
      </c>
      <c r="L93" s="208">
        <v>0</v>
      </c>
      <c r="M93" s="208">
        <v>0</v>
      </c>
      <c r="N93" s="208"/>
      <c r="O93" s="208">
        <v>0</v>
      </c>
      <c r="P93" s="208"/>
      <c r="Q93" s="53">
        <v>36</v>
      </c>
      <c r="R93" s="10" t="s">
        <v>4</v>
      </c>
      <c r="S93" s="60" t="s">
        <v>2322</v>
      </c>
    </row>
    <row r="94" spans="1:19" s="58" customFormat="1" ht="15">
      <c r="A94" s="16">
        <v>14</v>
      </c>
      <c r="B94" s="39" t="s">
        <v>906</v>
      </c>
      <c r="C94" s="53">
        <f>'R-1'!I108</f>
        <v>21.8</v>
      </c>
      <c r="D94" s="53">
        <f>'R-1'!I281</f>
        <v>0</v>
      </c>
      <c r="E94" s="53">
        <f>'R-1'!I426</f>
        <v>0</v>
      </c>
      <c r="F94" s="53">
        <f t="shared" si="1"/>
        <v>21.8</v>
      </c>
      <c r="G94" s="53" t="s">
        <v>421</v>
      </c>
      <c r="H94" s="53"/>
      <c r="I94" s="9">
        <f t="shared" si="5"/>
        <v>20.93</v>
      </c>
      <c r="J94" s="208">
        <v>0</v>
      </c>
      <c r="K94" s="10">
        <f t="shared" si="16"/>
        <v>4.3600000000000003</v>
      </c>
      <c r="L94" s="208">
        <v>0</v>
      </c>
      <c r="M94" s="208">
        <v>0</v>
      </c>
      <c r="N94" s="208"/>
      <c r="O94" s="208">
        <v>0</v>
      </c>
      <c r="P94" s="208"/>
      <c r="Q94" s="53">
        <v>48</v>
      </c>
      <c r="R94" s="10" t="s">
        <v>4</v>
      </c>
      <c r="S94" s="60" t="s">
        <v>2226</v>
      </c>
    </row>
    <row r="95" spans="1:19" s="58" customFormat="1" ht="15" hidden="1">
      <c r="A95" s="16">
        <v>19</v>
      </c>
      <c r="B95" s="39" t="s">
        <v>906</v>
      </c>
      <c r="C95" s="53">
        <f>'R-1'!I109</f>
        <v>0</v>
      </c>
      <c r="D95" s="53">
        <f>'R-1'!I282</f>
        <v>0</v>
      </c>
      <c r="E95" s="53">
        <f>'R-1'!I427</f>
        <v>0</v>
      </c>
      <c r="F95" s="53">
        <f>SUM(C95:E95)</f>
        <v>0</v>
      </c>
      <c r="G95" s="53" t="s">
        <v>421</v>
      </c>
      <c r="H95" s="53"/>
      <c r="I95" s="9">
        <f>ROUND(F95*Q95/50,2)</f>
        <v>0</v>
      </c>
      <c r="J95" s="208">
        <v>0</v>
      </c>
      <c r="K95" s="10">
        <f t="shared" si="16"/>
        <v>0</v>
      </c>
      <c r="L95" s="208">
        <v>0</v>
      </c>
      <c r="M95" s="208">
        <v>0</v>
      </c>
      <c r="N95" s="208"/>
      <c r="O95" s="208">
        <v>0</v>
      </c>
      <c r="P95" s="208"/>
      <c r="Q95" s="53">
        <v>48</v>
      </c>
      <c r="R95" s="10" t="s">
        <v>4</v>
      </c>
      <c r="S95" s="60" t="s">
        <v>2308</v>
      </c>
    </row>
    <row r="96" spans="1:19" s="58" customFormat="1" ht="15" hidden="1">
      <c r="A96" s="16">
        <v>20</v>
      </c>
      <c r="B96" s="39" t="s">
        <v>906</v>
      </c>
      <c r="C96" s="53">
        <f>'R-1'!I110</f>
        <v>0</v>
      </c>
      <c r="D96" s="53">
        <f>'R-1'!I283</f>
        <v>0</v>
      </c>
      <c r="E96" s="53">
        <f>'R-1'!I428</f>
        <v>0</v>
      </c>
      <c r="F96" s="53">
        <f>SUM(C96:E96)</f>
        <v>0</v>
      </c>
      <c r="G96" s="53" t="s">
        <v>421</v>
      </c>
      <c r="H96" s="53"/>
      <c r="I96" s="9">
        <f>ROUND(F96*Q96/50,2)</f>
        <v>0</v>
      </c>
      <c r="J96" s="208">
        <v>0</v>
      </c>
      <c r="K96" s="10">
        <f t="shared" si="16"/>
        <v>0</v>
      </c>
      <c r="L96" s="208">
        <v>0</v>
      </c>
      <c r="M96" s="208">
        <v>0</v>
      </c>
      <c r="N96" s="208"/>
      <c r="O96" s="208">
        <v>0</v>
      </c>
      <c r="P96" s="208"/>
      <c r="Q96" s="53">
        <v>48</v>
      </c>
      <c r="R96" s="10" t="s">
        <v>4</v>
      </c>
      <c r="S96" s="60" t="s">
        <v>2321</v>
      </c>
    </row>
    <row r="97" spans="1:19" s="58" customFormat="1" ht="15" hidden="1">
      <c r="A97" s="16">
        <v>14</v>
      </c>
      <c r="B97" s="39" t="s">
        <v>906</v>
      </c>
      <c r="C97" s="53">
        <f>'R-1'!I111</f>
        <v>0</v>
      </c>
      <c r="D97" s="53">
        <f>'R-1'!I284</f>
        <v>0</v>
      </c>
      <c r="E97" s="53">
        <f>'R-1'!I429</f>
        <v>0</v>
      </c>
      <c r="F97" s="53">
        <f>SUM(C97:E97)</f>
        <v>0</v>
      </c>
      <c r="G97" s="53" t="s">
        <v>421</v>
      </c>
      <c r="H97" s="53"/>
      <c r="I97" s="9">
        <f>ROUND(F97*Q97/50,2)</f>
        <v>0</v>
      </c>
      <c r="J97" s="208">
        <v>0</v>
      </c>
      <c r="K97" s="10">
        <f t="shared" si="16"/>
        <v>0</v>
      </c>
      <c r="L97" s="208">
        <v>0</v>
      </c>
      <c r="M97" s="208">
        <v>0</v>
      </c>
      <c r="N97" s="208"/>
      <c r="O97" s="208">
        <v>0</v>
      </c>
      <c r="P97" s="208"/>
      <c r="Q97" s="53">
        <v>48</v>
      </c>
      <c r="R97" s="10" t="s">
        <v>4</v>
      </c>
      <c r="S97" s="60" t="s">
        <v>2322</v>
      </c>
    </row>
    <row r="98" spans="1:19" s="58" customFormat="1" ht="15">
      <c r="A98" s="16">
        <v>15</v>
      </c>
      <c r="B98" s="39" t="s">
        <v>3639</v>
      </c>
      <c r="C98" s="53">
        <f>'R-1'!I112</f>
        <v>40.4</v>
      </c>
      <c r="D98" s="53">
        <f>'R-1'!I289</f>
        <v>0</v>
      </c>
      <c r="E98" s="53">
        <f>'R-1'!I434</f>
        <v>0</v>
      </c>
      <c r="F98" s="53">
        <f t="shared" si="1"/>
        <v>40.4</v>
      </c>
      <c r="G98" s="53" t="s">
        <v>422</v>
      </c>
      <c r="H98" s="53"/>
      <c r="I98" s="9">
        <f t="shared" si="5"/>
        <v>5.82</v>
      </c>
      <c r="J98" s="208">
        <v>0</v>
      </c>
      <c r="K98" s="10">
        <f>ROUND(F98*0.022,2)</f>
        <v>0.89</v>
      </c>
      <c r="L98" s="208">
        <v>0</v>
      </c>
      <c r="M98" s="208">
        <v>0</v>
      </c>
      <c r="N98" s="208"/>
      <c r="O98" s="208">
        <v>0</v>
      </c>
      <c r="P98" s="208"/>
      <c r="Q98" s="53">
        <v>7.2</v>
      </c>
      <c r="R98" s="10" t="s">
        <v>4</v>
      </c>
      <c r="S98" s="60" t="s">
        <v>2226</v>
      </c>
    </row>
    <row r="99" spans="1:19" s="58" customFormat="1" ht="15" hidden="1">
      <c r="A99" s="16">
        <v>21</v>
      </c>
      <c r="B99" s="39" t="s">
        <v>3639</v>
      </c>
      <c r="C99" s="53">
        <f>'R-1'!I113</f>
        <v>0</v>
      </c>
      <c r="D99" s="53">
        <f>'R-1'!I290</f>
        <v>0</v>
      </c>
      <c r="E99" s="53">
        <f>'R-1'!I435</f>
        <v>0</v>
      </c>
      <c r="F99" s="53">
        <f>SUM(C99:E99)</f>
        <v>0</v>
      </c>
      <c r="G99" s="53" t="s">
        <v>422</v>
      </c>
      <c r="H99" s="53"/>
      <c r="I99" s="9">
        <f>ROUND(F99*Q99/50,2)</f>
        <v>0</v>
      </c>
      <c r="J99" s="208">
        <v>0</v>
      </c>
      <c r="K99" s="10">
        <f>ROUND(F99*0.022,2)</f>
        <v>0</v>
      </c>
      <c r="L99" s="208">
        <v>0</v>
      </c>
      <c r="M99" s="208">
        <v>0</v>
      </c>
      <c r="N99" s="208"/>
      <c r="O99" s="208">
        <v>0</v>
      </c>
      <c r="P99" s="208"/>
      <c r="Q99" s="53">
        <v>7.2</v>
      </c>
      <c r="R99" s="10" t="s">
        <v>4</v>
      </c>
      <c r="S99" s="60" t="s">
        <v>2308</v>
      </c>
    </row>
    <row r="100" spans="1:19" s="58" customFormat="1" ht="15" hidden="1">
      <c r="A100" s="16">
        <v>23</v>
      </c>
      <c r="B100" s="39" t="s">
        <v>2158</v>
      </c>
      <c r="C100" s="53">
        <f>'R-1'!I114</f>
        <v>0</v>
      </c>
      <c r="D100" s="53">
        <f>'R-1'!I291</f>
        <v>0</v>
      </c>
      <c r="E100" s="53">
        <f>'R-1'!I436</f>
        <v>0</v>
      </c>
      <c r="F100" s="53">
        <f>SUM(C100:E100)</f>
        <v>0</v>
      </c>
      <c r="G100" s="53" t="s">
        <v>422</v>
      </c>
      <c r="H100" s="53"/>
      <c r="I100" s="9">
        <f>ROUND(F100*Q100/50,2)</f>
        <v>0</v>
      </c>
      <c r="J100" s="208">
        <v>0</v>
      </c>
      <c r="K100" s="10">
        <f>ROUND(F100*0.022,2)</f>
        <v>0</v>
      </c>
      <c r="L100" s="208">
        <v>0</v>
      </c>
      <c r="M100" s="208">
        <v>0</v>
      </c>
      <c r="N100" s="208"/>
      <c r="O100" s="208">
        <v>0</v>
      </c>
      <c r="P100" s="208"/>
      <c r="Q100" s="53">
        <v>10.6</v>
      </c>
      <c r="R100" s="10" t="s">
        <v>4</v>
      </c>
      <c r="S100" s="60" t="s">
        <v>2321</v>
      </c>
    </row>
    <row r="101" spans="1:19" s="58" customFormat="1" ht="15" hidden="1">
      <c r="A101" s="16">
        <v>15</v>
      </c>
      <c r="B101" s="39" t="s">
        <v>2158</v>
      </c>
      <c r="C101" s="53">
        <f>'R-1'!I115</f>
        <v>0</v>
      </c>
      <c r="D101" s="53">
        <f>'R-1'!I292</f>
        <v>0</v>
      </c>
      <c r="E101" s="53">
        <f>'R-1'!I437</f>
        <v>0</v>
      </c>
      <c r="F101" s="53">
        <f>SUM(C101:E101)</f>
        <v>0</v>
      </c>
      <c r="G101" s="53" t="s">
        <v>422</v>
      </c>
      <c r="H101" s="53"/>
      <c r="I101" s="9">
        <f>ROUND(F101*Q101/50,2)</f>
        <v>0</v>
      </c>
      <c r="J101" s="208">
        <v>0</v>
      </c>
      <c r="K101" s="10">
        <f>ROUND(F101*0.022,2)</f>
        <v>0</v>
      </c>
      <c r="L101" s="208">
        <v>0</v>
      </c>
      <c r="M101" s="208">
        <v>0</v>
      </c>
      <c r="N101" s="208"/>
      <c r="O101" s="208">
        <v>0</v>
      </c>
      <c r="P101" s="208"/>
      <c r="Q101" s="53">
        <v>10.6</v>
      </c>
      <c r="R101" s="10" t="s">
        <v>4</v>
      </c>
      <c r="S101" s="60" t="s">
        <v>2322</v>
      </c>
    </row>
    <row r="102" spans="1:19" ht="15" hidden="1">
      <c r="A102" s="283">
        <v>28</v>
      </c>
      <c r="B102" s="207" t="s">
        <v>1214</v>
      </c>
      <c r="C102" s="285">
        <f>'R-1'!I116</f>
        <v>0</v>
      </c>
      <c r="D102" s="285">
        <f>'R-1'!I293</f>
        <v>0</v>
      </c>
      <c r="E102" s="285">
        <f>'R-1'!I438</f>
        <v>0</v>
      </c>
      <c r="F102" s="285">
        <f t="shared" si="1"/>
        <v>0</v>
      </c>
      <c r="G102" s="285" t="s">
        <v>421</v>
      </c>
      <c r="H102" s="285"/>
      <c r="I102" s="288">
        <f t="shared" si="5"/>
        <v>0</v>
      </c>
      <c r="J102" s="286">
        <v>0</v>
      </c>
      <c r="K102" s="15">
        <f>ROUND(F102*0.1*1.05,2)</f>
        <v>0</v>
      </c>
      <c r="L102" s="286">
        <v>0</v>
      </c>
      <c r="M102" s="286">
        <v>0</v>
      </c>
      <c r="N102" s="286"/>
      <c r="O102" s="286">
        <v>0</v>
      </c>
      <c r="P102" s="286"/>
      <c r="Q102" s="285">
        <v>24</v>
      </c>
      <c r="R102" s="15" t="s">
        <v>4</v>
      </c>
      <c r="S102" s="60" t="s">
        <v>2226</v>
      </c>
    </row>
    <row r="103" spans="1:19" ht="15" hidden="1">
      <c r="A103" s="283">
        <v>28</v>
      </c>
      <c r="B103" s="207" t="s">
        <v>1214</v>
      </c>
      <c r="C103" s="285">
        <f>'R-1'!I117</f>
        <v>0</v>
      </c>
      <c r="D103" s="285">
        <f>'R-1'!I294</f>
        <v>0</v>
      </c>
      <c r="E103" s="285">
        <f>'R-1'!I439</f>
        <v>0</v>
      </c>
      <c r="F103" s="285">
        <f>SUM(C103:E103)</f>
        <v>0</v>
      </c>
      <c r="G103" s="285" t="s">
        <v>421</v>
      </c>
      <c r="H103" s="285"/>
      <c r="I103" s="288">
        <f>ROUND(F103*Q103/50,2)</f>
        <v>0</v>
      </c>
      <c r="J103" s="286">
        <v>0</v>
      </c>
      <c r="K103" s="15">
        <f>ROUND(F103*0.1*1.05,2)</f>
        <v>0</v>
      </c>
      <c r="L103" s="286">
        <v>0</v>
      </c>
      <c r="M103" s="286">
        <v>0</v>
      </c>
      <c r="N103" s="286"/>
      <c r="O103" s="286">
        <v>0</v>
      </c>
      <c r="P103" s="286"/>
      <c r="Q103" s="285">
        <v>24</v>
      </c>
      <c r="R103" s="15" t="s">
        <v>4</v>
      </c>
      <c r="S103" s="60" t="s">
        <v>2308</v>
      </c>
    </row>
    <row r="104" spans="1:19" ht="15" hidden="1">
      <c r="A104" s="283">
        <v>28</v>
      </c>
      <c r="B104" s="207" t="s">
        <v>1214</v>
      </c>
      <c r="C104" s="285">
        <f>'R-1'!I118</f>
        <v>0</v>
      </c>
      <c r="D104" s="285">
        <f>'R-1'!I295</f>
        <v>0</v>
      </c>
      <c r="E104" s="285">
        <f>'R-1'!I440</f>
        <v>0</v>
      </c>
      <c r="F104" s="285">
        <f>SUM(C104:E104)</f>
        <v>0</v>
      </c>
      <c r="G104" s="285" t="s">
        <v>421</v>
      </c>
      <c r="H104" s="285"/>
      <c r="I104" s="288">
        <f>ROUND(F104*Q104/50,2)</f>
        <v>0</v>
      </c>
      <c r="J104" s="286">
        <v>0</v>
      </c>
      <c r="K104" s="15">
        <f>ROUND(F104*0.1*1.05,2)</f>
        <v>0</v>
      </c>
      <c r="L104" s="286">
        <v>0</v>
      </c>
      <c r="M104" s="286">
        <v>0</v>
      </c>
      <c r="N104" s="286"/>
      <c r="O104" s="286">
        <v>0</v>
      </c>
      <c r="P104" s="286"/>
      <c r="Q104" s="285">
        <v>24</v>
      </c>
      <c r="R104" s="15" t="s">
        <v>4</v>
      </c>
      <c r="S104" s="60" t="s">
        <v>2321</v>
      </c>
    </row>
    <row r="105" spans="1:19" ht="15" hidden="1">
      <c r="A105" s="283">
        <v>28</v>
      </c>
      <c r="B105" s="207" t="s">
        <v>1214</v>
      </c>
      <c r="C105" s="285">
        <f>'R-1'!I119</f>
        <v>0</v>
      </c>
      <c r="D105" s="285">
        <f>'R-1'!I296</f>
        <v>0</v>
      </c>
      <c r="E105" s="285">
        <f>'R-1'!I441</f>
        <v>0</v>
      </c>
      <c r="F105" s="285">
        <f>SUM(C105:E105)</f>
        <v>0</v>
      </c>
      <c r="G105" s="285" t="s">
        <v>421</v>
      </c>
      <c r="H105" s="285"/>
      <c r="I105" s="288">
        <f>ROUND(F105*Q105/50,2)</f>
        <v>0</v>
      </c>
      <c r="J105" s="286">
        <v>0</v>
      </c>
      <c r="K105" s="15">
        <f>ROUND(F105*0.1*1.05,2)</f>
        <v>0</v>
      </c>
      <c r="L105" s="286">
        <v>0</v>
      </c>
      <c r="M105" s="286">
        <v>0</v>
      </c>
      <c r="N105" s="286"/>
      <c r="O105" s="286">
        <v>0</v>
      </c>
      <c r="P105" s="286"/>
      <c r="Q105" s="285">
        <v>24</v>
      </c>
      <c r="R105" s="15" t="s">
        <v>4</v>
      </c>
      <c r="S105" s="60" t="s">
        <v>2322</v>
      </c>
    </row>
    <row r="106" spans="1:19" ht="15">
      <c r="A106" s="283">
        <v>16</v>
      </c>
      <c r="B106" s="289" t="s">
        <v>1215</v>
      </c>
      <c r="C106" s="285">
        <f>'R-1'!I120</f>
        <v>19.310000000000002</v>
      </c>
      <c r="D106" s="285">
        <f>'R-1'!I297</f>
        <v>0</v>
      </c>
      <c r="E106" s="285"/>
      <c r="F106" s="285">
        <f t="shared" si="1"/>
        <v>19.310000000000002</v>
      </c>
      <c r="G106" s="285" t="s">
        <v>422</v>
      </c>
      <c r="H106" s="285"/>
      <c r="I106" s="288">
        <f t="shared" si="5"/>
        <v>8.07</v>
      </c>
      <c r="J106" s="286">
        <v>0</v>
      </c>
      <c r="K106" s="15">
        <f>ROUND(F106*((0.015*1.05)+(0.025*1.05)),2)</f>
        <v>0.81</v>
      </c>
      <c r="L106" s="286">
        <v>0</v>
      </c>
      <c r="M106" s="286">
        <v>0</v>
      </c>
      <c r="N106" s="286"/>
      <c r="O106" s="286">
        <v>0</v>
      </c>
      <c r="P106" s="286"/>
      <c r="Q106" s="285">
        <v>20.89</v>
      </c>
      <c r="R106" s="15" t="s">
        <v>4</v>
      </c>
      <c r="S106" s="60" t="s">
        <v>2226</v>
      </c>
    </row>
    <row r="107" spans="1:19" ht="15" hidden="1">
      <c r="A107" s="283">
        <v>20</v>
      </c>
      <c r="B107" s="289" t="s">
        <v>1215</v>
      </c>
      <c r="C107" s="285">
        <f>'R-1'!I121</f>
        <v>0</v>
      </c>
      <c r="D107" s="285">
        <f>'R-1'!I298</f>
        <v>0</v>
      </c>
      <c r="E107" s="285"/>
      <c r="F107" s="285">
        <f>SUM(C107:E107)</f>
        <v>0</v>
      </c>
      <c r="G107" s="285" t="s">
        <v>422</v>
      </c>
      <c r="H107" s="285"/>
      <c r="I107" s="288">
        <f>ROUND(F107*Q107/50,2)</f>
        <v>0</v>
      </c>
      <c r="J107" s="286">
        <v>0</v>
      </c>
      <c r="K107" s="15">
        <f>ROUND(F107*((0.015*1.05)+(0.025*1.05)),2)</f>
        <v>0</v>
      </c>
      <c r="L107" s="286">
        <v>0</v>
      </c>
      <c r="M107" s="286">
        <v>0</v>
      </c>
      <c r="N107" s="286"/>
      <c r="O107" s="286">
        <v>0</v>
      </c>
      <c r="P107" s="286"/>
      <c r="Q107" s="285">
        <v>20.89</v>
      </c>
      <c r="R107" s="15" t="s">
        <v>4</v>
      </c>
      <c r="S107" s="60" t="s">
        <v>2308</v>
      </c>
    </row>
    <row r="108" spans="1:19" ht="15" hidden="1">
      <c r="A108" s="283">
        <v>22</v>
      </c>
      <c r="B108" s="289" t="s">
        <v>1215</v>
      </c>
      <c r="C108" s="285">
        <f>'R-1'!I122</f>
        <v>0</v>
      </c>
      <c r="D108" s="285">
        <f>'R-1'!I299</f>
        <v>0</v>
      </c>
      <c r="E108" s="285"/>
      <c r="F108" s="285">
        <f>SUM(C108:E108)</f>
        <v>0</v>
      </c>
      <c r="G108" s="285" t="s">
        <v>422</v>
      </c>
      <c r="H108" s="285"/>
      <c r="I108" s="288">
        <f>ROUND(F108*Q108/50,2)</f>
        <v>0</v>
      </c>
      <c r="J108" s="286">
        <v>0</v>
      </c>
      <c r="K108" s="15">
        <f>ROUND(F108*((0.015*1.05)+(0.025*1.05)),2)</f>
        <v>0</v>
      </c>
      <c r="L108" s="286">
        <v>0</v>
      </c>
      <c r="M108" s="286">
        <v>0</v>
      </c>
      <c r="N108" s="286"/>
      <c r="O108" s="286">
        <v>0</v>
      </c>
      <c r="P108" s="286"/>
      <c r="Q108" s="285">
        <v>20.89</v>
      </c>
      <c r="R108" s="15" t="s">
        <v>4</v>
      </c>
      <c r="S108" s="60" t="s">
        <v>2321</v>
      </c>
    </row>
    <row r="109" spans="1:19" ht="15" hidden="1">
      <c r="A109" s="283">
        <v>19</v>
      </c>
      <c r="B109" s="289" t="s">
        <v>1215</v>
      </c>
      <c r="C109" s="285">
        <f>'R-1'!I123</f>
        <v>0</v>
      </c>
      <c r="D109" s="285">
        <f>'R-1'!I300</f>
        <v>0</v>
      </c>
      <c r="E109" s="285"/>
      <c r="F109" s="285">
        <f>SUM(C109:E109)</f>
        <v>0</v>
      </c>
      <c r="G109" s="285" t="s">
        <v>422</v>
      </c>
      <c r="H109" s="285"/>
      <c r="I109" s="288">
        <f>ROUND(F109*Q109/50,2)</f>
        <v>0</v>
      </c>
      <c r="J109" s="286">
        <v>0</v>
      </c>
      <c r="K109" s="15">
        <f>ROUND(F109*((0.015*1.05)+(0.025*1.05)),2)</f>
        <v>0</v>
      </c>
      <c r="L109" s="286">
        <v>0</v>
      </c>
      <c r="M109" s="286">
        <v>0</v>
      </c>
      <c r="N109" s="286"/>
      <c r="O109" s="286">
        <v>0</v>
      </c>
      <c r="P109" s="286"/>
      <c r="Q109" s="285">
        <v>20.89</v>
      </c>
      <c r="R109" s="15" t="s">
        <v>4</v>
      </c>
      <c r="S109" s="60" t="s">
        <v>2322</v>
      </c>
    </row>
    <row r="110" spans="1:19" s="58" customFormat="1" ht="15">
      <c r="A110" s="16">
        <v>17</v>
      </c>
      <c r="B110" s="433" t="s">
        <v>2159</v>
      </c>
      <c r="C110" s="53">
        <f>'R-1'!I124</f>
        <v>135.33999999999997</v>
      </c>
      <c r="D110" s="53">
        <f>'R-1'!I301</f>
        <v>0</v>
      </c>
      <c r="E110" s="53">
        <f>'R-1'!I442</f>
        <v>0</v>
      </c>
      <c r="F110" s="53">
        <f t="shared" si="1"/>
        <v>135.33999999999997</v>
      </c>
      <c r="G110" s="53" t="s">
        <v>422</v>
      </c>
      <c r="H110" s="53"/>
      <c r="I110" s="9">
        <f t="shared" si="5"/>
        <v>19.489999999999998</v>
      </c>
      <c r="J110" s="208">
        <v>0</v>
      </c>
      <c r="K110" s="10">
        <f>ROUND(F110*0.015*1.05,2)</f>
        <v>2.13</v>
      </c>
      <c r="L110" s="208">
        <v>0</v>
      </c>
      <c r="M110" s="208">
        <v>0</v>
      </c>
      <c r="N110" s="208"/>
      <c r="O110" s="208">
        <v>0</v>
      </c>
      <c r="P110" s="208"/>
      <c r="Q110" s="53">
        <v>7.2</v>
      </c>
      <c r="R110" s="10" t="s">
        <v>4</v>
      </c>
      <c r="S110" s="60" t="s">
        <v>2226</v>
      </c>
    </row>
    <row r="111" spans="1:19" s="58" customFormat="1" ht="15" hidden="1">
      <c r="A111" s="16">
        <v>26</v>
      </c>
      <c r="B111" s="433" t="s">
        <v>2159</v>
      </c>
      <c r="C111" s="53">
        <f>'R-1'!I125</f>
        <v>0</v>
      </c>
      <c r="D111" s="53">
        <f>'R-1'!I302</f>
        <v>0</v>
      </c>
      <c r="E111" s="53">
        <f>'R-1'!I443</f>
        <v>0</v>
      </c>
      <c r="F111" s="53">
        <f>SUM(C111:E111)</f>
        <v>0</v>
      </c>
      <c r="G111" s="53" t="s">
        <v>422</v>
      </c>
      <c r="H111" s="53"/>
      <c r="I111" s="9">
        <f>ROUND(F111*Q111/50,2)</f>
        <v>0</v>
      </c>
      <c r="J111" s="208">
        <v>0</v>
      </c>
      <c r="K111" s="10">
        <f>ROUND(F111*0.015*1.05,2)</f>
        <v>0</v>
      </c>
      <c r="L111" s="208">
        <v>0</v>
      </c>
      <c r="M111" s="208">
        <v>0</v>
      </c>
      <c r="N111" s="208"/>
      <c r="O111" s="208">
        <v>0</v>
      </c>
      <c r="P111" s="208"/>
      <c r="Q111" s="53">
        <v>7.2</v>
      </c>
      <c r="R111" s="10" t="s">
        <v>4</v>
      </c>
      <c r="S111" s="60" t="s">
        <v>2308</v>
      </c>
    </row>
    <row r="112" spans="1:19" s="58" customFormat="1" ht="15" hidden="1">
      <c r="A112" s="16">
        <v>23</v>
      </c>
      <c r="B112" s="433" t="s">
        <v>2159</v>
      </c>
      <c r="C112" s="53">
        <f>'R-1'!I126</f>
        <v>0</v>
      </c>
      <c r="D112" s="53">
        <f>'R-1'!I303</f>
        <v>0</v>
      </c>
      <c r="E112" s="53">
        <f>'R-1'!I444</f>
        <v>0</v>
      </c>
      <c r="F112" s="53">
        <f>SUM(C112:E112)</f>
        <v>0</v>
      </c>
      <c r="G112" s="53" t="s">
        <v>422</v>
      </c>
      <c r="H112" s="53"/>
      <c r="I112" s="9">
        <f>ROUND(F112*Q112/50,2)</f>
        <v>0</v>
      </c>
      <c r="J112" s="208">
        <v>0</v>
      </c>
      <c r="K112" s="10">
        <f>ROUND(F112*0.015*1.05,2)</f>
        <v>0</v>
      </c>
      <c r="L112" s="208">
        <v>0</v>
      </c>
      <c r="M112" s="208">
        <v>0</v>
      </c>
      <c r="N112" s="208"/>
      <c r="O112" s="208">
        <v>0</v>
      </c>
      <c r="P112" s="208"/>
      <c r="Q112" s="53">
        <v>7.2</v>
      </c>
      <c r="R112" s="10" t="s">
        <v>4</v>
      </c>
      <c r="S112" s="60" t="s">
        <v>2321</v>
      </c>
    </row>
    <row r="113" spans="1:19" s="58" customFormat="1" ht="15" hidden="1">
      <c r="A113" s="16">
        <v>16</v>
      </c>
      <c r="B113" s="433" t="s">
        <v>2159</v>
      </c>
      <c r="C113" s="53">
        <f>'R-1'!I127</f>
        <v>0</v>
      </c>
      <c r="D113" s="53">
        <f>'R-1'!I304</f>
        <v>0</v>
      </c>
      <c r="E113" s="53">
        <f>'R-1'!I445</f>
        <v>0</v>
      </c>
      <c r="F113" s="53">
        <f>SUM(C113:E113)</f>
        <v>0</v>
      </c>
      <c r="G113" s="53" t="s">
        <v>422</v>
      </c>
      <c r="H113" s="53"/>
      <c r="I113" s="9">
        <f>ROUND(F113*Q113/50,2)</f>
        <v>0</v>
      </c>
      <c r="J113" s="208">
        <v>0</v>
      </c>
      <c r="K113" s="10">
        <f>ROUND(F113*0.015*1.05,2)</f>
        <v>0</v>
      </c>
      <c r="L113" s="208">
        <v>0</v>
      </c>
      <c r="M113" s="208">
        <v>0</v>
      </c>
      <c r="N113" s="208"/>
      <c r="O113" s="208">
        <v>0</v>
      </c>
      <c r="P113" s="208"/>
      <c r="Q113" s="53">
        <v>7.2</v>
      </c>
      <c r="R113" s="10" t="s">
        <v>4</v>
      </c>
      <c r="S113" s="60" t="s">
        <v>2322</v>
      </c>
    </row>
    <row r="114" spans="1:19" s="58" customFormat="1" ht="15" hidden="1">
      <c r="A114" s="16">
        <v>22</v>
      </c>
      <c r="B114" s="433" t="s">
        <v>2160</v>
      </c>
      <c r="C114" s="53">
        <f>'R-1'!I128</f>
        <v>0</v>
      </c>
      <c r="D114" s="53">
        <f>'R-1'!I305</f>
        <v>0</v>
      </c>
      <c r="E114" s="53">
        <f>'R-1'!I446</f>
        <v>0</v>
      </c>
      <c r="F114" s="53">
        <f t="shared" si="1"/>
        <v>0</v>
      </c>
      <c r="G114" s="53" t="s">
        <v>422</v>
      </c>
      <c r="H114" s="53"/>
      <c r="I114" s="9">
        <f t="shared" si="5"/>
        <v>0</v>
      </c>
      <c r="J114" s="208">
        <v>0</v>
      </c>
      <c r="K114" s="10">
        <f t="shared" ref="K114:K117" si="17">ROUND(ROUND((0.015*1.05),3)*ROUND(F114,2),2)</f>
        <v>0</v>
      </c>
      <c r="L114" s="208">
        <v>0</v>
      </c>
      <c r="M114" s="208">
        <v>0</v>
      </c>
      <c r="N114" s="208"/>
      <c r="O114" s="208">
        <v>0</v>
      </c>
      <c r="P114" s="208"/>
      <c r="Q114" s="53">
        <v>4.32</v>
      </c>
      <c r="R114" s="10" t="s">
        <v>4</v>
      </c>
      <c r="S114" s="60" t="s">
        <v>2226</v>
      </c>
    </row>
    <row r="115" spans="1:19" s="58" customFormat="1" ht="15" hidden="1">
      <c r="A115" s="16">
        <v>22</v>
      </c>
      <c r="B115" s="433" t="s">
        <v>2160</v>
      </c>
      <c r="C115" s="53">
        <f>'R-1'!I129</f>
        <v>0</v>
      </c>
      <c r="D115" s="53">
        <f>'R-1'!I306</f>
        <v>0</v>
      </c>
      <c r="E115" s="53">
        <f>'R-1'!I447</f>
        <v>0</v>
      </c>
      <c r="F115" s="53">
        <f>SUM(C115:E115)</f>
        <v>0</v>
      </c>
      <c r="G115" s="53" t="s">
        <v>422</v>
      </c>
      <c r="H115" s="53"/>
      <c r="I115" s="9">
        <f>ROUND(F115*Q115/50,2)</f>
        <v>0</v>
      </c>
      <c r="J115" s="208">
        <v>0</v>
      </c>
      <c r="K115" s="10">
        <f t="shared" si="17"/>
        <v>0</v>
      </c>
      <c r="L115" s="208">
        <v>0</v>
      </c>
      <c r="M115" s="208">
        <v>0</v>
      </c>
      <c r="N115" s="208"/>
      <c r="O115" s="208">
        <v>0</v>
      </c>
      <c r="P115" s="208"/>
      <c r="Q115" s="53">
        <v>4.32</v>
      </c>
      <c r="R115" s="10" t="s">
        <v>4</v>
      </c>
      <c r="S115" s="60" t="s">
        <v>2308</v>
      </c>
    </row>
    <row r="116" spans="1:19" s="58" customFormat="1" ht="15" hidden="1">
      <c r="A116" s="16">
        <v>22</v>
      </c>
      <c r="B116" s="433" t="s">
        <v>2160</v>
      </c>
      <c r="C116" s="53">
        <f>'R-1'!I130</f>
        <v>0</v>
      </c>
      <c r="D116" s="53">
        <f>'R-1'!I307</f>
        <v>0</v>
      </c>
      <c r="E116" s="53">
        <f>'R-1'!I448</f>
        <v>0</v>
      </c>
      <c r="F116" s="53">
        <f>SUM(C116:E116)</f>
        <v>0</v>
      </c>
      <c r="G116" s="53" t="s">
        <v>422</v>
      </c>
      <c r="H116" s="53"/>
      <c r="I116" s="9">
        <f>ROUND(F116*Q116/50,2)</f>
        <v>0</v>
      </c>
      <c r="J116" s="208">
        <v>0</v>
      </c>
      <c r="K116" s="10">
        <f t="shared" si="17"/>
        <v>0</v>
      </c>
      <c r="L116" s="208">
        <v>0</v>
      </c>
      <c r="M116" s="208">
        <v>0</v>
      </c>
      <c r="N116" s="208"/>
      <c r="O116" s="208">
        <v>0</v>
      </c>
      <c r="P116" s="208"/>
      <c r="Q116" s="53">
        <v>4.32</v>
      </c>
      <c r="R116" s="10" t="s">
        <v>4</v>
      </c>
      <c r="S116" s="60" t="s">
        <v>2321</v>
      </c>
    </row>
    <row r="117" spans="1:19" s="58" customFormat="1" ht="15" hidden="1">
      <c r="A117" s="16">
        <v>22</v>
      </c>
      <c r="B117" s="433" t="s">
        <v>2160</v>
      </c>
      <c r="C117" s="53">
        <f>'R-1'!I131</f>
        <v>0</v>
      </c>
      <c r="D117" s="53">
        <f>'R-1'!I308</f>
        <v>0</v>
      </c>
      <c r="E117" s="53">
        <f>'R-1'!I449</f>
        <v>0</v>
      </c>
      <c r="F117" s="53">
        <f>SUM(C117:E117)</f>
        <v>0</v>
      </c>
      <c r="G117" s="53" t="s">
        <v>422</v>
      </c>
      <c r="H117" s="53"/>
      <c r="I117" s="9">
        <f>ROUND(F117*Q117/50,2)</f>
        <v>0</v>
      </c>
      <c r="J117" s="208">
        <v>0</v>
      </c>
      <c r="K117" s="10">
        <f t="shared" si="17"/>
        <v>0</v>
      </c>
      <c r="L117" s="208">
        <v>0</v>
      </c>
      <c r="M117" s="208">
        <v>0</v>
      </c>
      <c r="N117" s="208"/>
      <c r="O117" s="208">
        <v>0</v>
      </c>
      <c r="P117" s="208"/>
      <c r="Q117" s="53">
        <v>4.32</v>
      </c>
      <c r="R117" s="10" t="s">
        <v>4</v>
      </c>
      <c r="S117" s="60" t="s">
        <v>2322</v>
      </c>
    </row>
    <row r="118" spans="1:19" ht="15" hidden="1">
      <c r="A118" s="283">
        <v>19</v>
      </c>
      <c r="B118" s="289" t="s">
        <v>3216</v>
      </c>
      <c r="C118" s="285">
        <f>'R-1'!I132</f>
        <v>0</v>
      </c>
      <c r="D118" s="285">
        <f>'R-1'!I309</f>
        <v>0</v>
      </c>
      <c r="E118" s="285">
        <f>'R-1'!I450</f>
        <v>0</v>
      </c>
      <c r="F118" s="285">
        <f t="shared" si="1"/>
        <v>0</v>
      </c>
      <c r="G118" s="285" t="s">
        <v>422</v>
      </c>
      <c r="H118" s="285"/>
      <c r="I118" s="288">
        <f t="shared" si="5"/>
        <v>0</v>
      </c>
      <c r="J118" s="286">
        <v>0</v>
      </c>
      <c r="K118" s="10">
        <f>ROUND(F118*0.021*1.05,2)</f>
        <v>0</v>
      </c>
      <c r="L118" s="286">
        <v>0</v>
      </c>
      <c r="M118" s="286">
        <v>0</v>
      </c>
      <c r="N118" s="286"/>
      <c r="O118" s="286">
        <v>0</v>
      </c>
      <c r="P118" s="286"/>
      <c r="Q118" s="285">
        <v>6.05</v>
      </c>
      <c r="R118" s="15" t="s">
        <v>4</v>
      </c>
      <c r="S118" s="60" t="s">
        <v>2226</v>
      </c>
    </row>
    <row r="119" spans="1:19" ht="15" hidden="1">
      <c r="A119" s="283">
        <v>23</v>
      </c>
      <c r="B119" s="289" t="s">
        <v>604</v>
      </c>
      <c r="C119" s="285">
        <f>'R-1'!I133</f>
        <v>0</v>
      </c>
      <c r="D119" s="285">
        <f>'R-1'!I310</f>
        <v>0</v>
      </c>
      <c r="E119" s="285">
        <f>'R-1'!I451</f>
        <v>0</v>
      </c>
      <c r="F119" s="285">
        <f>SUM(C119:E119)</f>
        <v>0</v>
      </c>
      <c r="G119" s="285" t="s">
        <v>422</v>
      </c>
      <c r="H119" s="285"/>
      <c r="I119" s="288">
        <f>ROUND(F119*Q119/50,2)</f>
        <v>0</v>
      </c>
      <c r="J119" s="286">
        <v>0</v>
      </c>
      <c r="K119" s="15">
        <f>ROUND(ROUND((0.021*1.05),3)*ROUND(F119,2),2)</f>
        <v>0</v>
      </c>
      <c r="L119" s="286">
        <v>0</v>
      </c>
      <c r="M119" s="286">
        <v>0</v>
      </c>
      <c r="N119" s="286"/>
      <c r="O119" s="286">
        <v>0</v>
      </c>
      <c r="P119" s="286"/>
      <c r="Q119" s="285">
        <v>6.05</v>
      </c>
      <c r="R119" s="15" t="s">
        <v>4</v>
      </c>
      <c r="S119" s="60" t="s">
        <v>2308</v>
      </c>
    </row>
    <row r="120" spans="1:19" ht="15" hidden="1">
      <c r="A120" s="283">
        <v>23</v>
      </c>
      <c r="B120" s="289" t="s">
        <v>604</v>
      </c>
      <c r="C120" s="285">
        <f>'R-1'!I134</f>
        <v>0</v>
      </c>
      <c r="D120" s="285">
        <f>'R-1'!I311</f>
        <v>0</v>
      </c>
      <c r="E120" s="285">
        <f>'R-1'!I452</f>
        <v>0</v>
      </c>
      <c r="F120" s="285">
        <f>SUM(C120:E120)</f>
        <v>0</v>
      </c>
      <c r="G120" s="285" t="s">
        <v>422</v>
      </c>
      <c r="H120" s="285"/>
      <c r="I120" s="288">
        <f>ROUND(F120*Q120/50,2)</f>
        <v>0</v>
      </c>
      <c r="J120" s="286">
        <v>0</v>
      </c>
      <c r="K120" s="15">
        <f>ROUND(ROUND((0.021*1.05),3)*ROUND(F120,2),2)</f>
        <v>0</v>
      </c>
      <c r="L120" s="286">
        <v>0</v>
      </c>
      <c r="M120" s="286">
        <v>0</v>
      </c>
      <c r="N120" s="286"/>
      <c r="O120" s="286">
        <v>0</v>
      </c>
      <c r="P120" s="286"/>
      <c r="Q120" s="285">
        <v>6.05</v>
      </c>
      <c r="R120" s="15" t="s">
        <v>4</v>
      </c>
      <c r="S120" s="60" t="s">
        <v>2321</v>
      </c>
    </row>
    <row r="121" spans="1:19" ht="15" hidden="1">
      <c r="A121" s="283">
        <v>23</v>
      </c>
      <c r="B121" s="289" t="s">
        <v>604</v>
      </c>
      <c r="C121" s="285">
        <f>'R-1'!I135</f>
        <v>0</v>
      </c>
      <c r="D121" s="285">
        <f>'R-1'!I312</f>
        <v>0</v>
      </c>
      <c r="E121" s="285">
        <f>'R-1'!I453</f>
        <v>0</v>
      </c>
      <c r="F121" s="285">
        <f>SUM(C121:E121)</f>
        <v>0</v>
      </c>
      <c r="G121" s="285" t="s">
        <v>422</v>
      </c>
      <c r="H121" s="285"/>
      <c r="I121" s="288">
        <f>ROUND(F121*Q121/50,2)</f>
        <v>0</v>
      </c>
      <c r="J121" s="286">
        <v>0</v>
      </c>
      <c r="K121" s="15">
        <f>ROUND(ROUND((0.021*1.05),3)*ROUND(F121,2),2)</f>
        <v>0</v>
      </c>
      <c r="L121" s="286">
        <v>0</v>
      </c>
      <c r="M121" s="286">
        <v>0</v>
      </c>
      <c r="N121" s="286"/>
      <c r="O121" s="286">
        <v>0</v>
      </c>
      <c r="P121" s="286"/>
      <c r="Q121" s="285">
        <v>6.05</v>
      </c>
      <c r="R121" s="15" t="s">
        <v>4</v>
      </c>
      <c r="S121" s="60" t="s">
        <v>2322</v>
      </c>
    </row>
    <row r="122" spans="1:19" s="58" customFormat="1" ht="15">
      <c r="A122" s="16">
        <v>18</v>
      </c>
      <c r="B122" s="433" t="s">
        <v>2160</v>
      </c>
      <c r="C122" s="53">
        <f>'R-1'!I136</f>
        <v>216.86</v>
      </c>
      <c r="D122" s="53">
        <f>'R-1'!I313</f>
        <v>0</v>
      </c>
      <c r="E122" s="53">
        <f>'R-1'!I454</f>
        <v>0</v>
      </c>
      <c r="F122" s="53">
        <f t="shared" si="1"/>
        <v>216.86</v>
      </c>
      <c r="G122" s="53" t="s">
        <v>422</v>
      </c>
      <c r="H122" s="53"/>
      <c r="I122" s="9">
        <f t="shared" si="5"/>
        <v>22.08</v>
      </c>
      <c r="J122" s="208">
        <v>0</v>
      </c>
      <c r="K122" s="10">
        <f>ROUND(F122*0.015*1,2)</f>
        <v>3.25</v>
      </c>
      <c r="L122" s="208">
        <v>0</v>
      </c>
      <c r="M122" s="208">
        <v>0</v>
      </c>
      <c r="N122" s="208"/>
      <c r="O122" s="208">
        <v>0</v>
      </c>
      <c r="P122" s="208"/>
      <c r="Q122" s="53">
        <v>5.09</v>
      </c>
      <c r="R122" s="10" t="s">
        <v>4</v>
      </c>
      <c r="S122" s="60" t="s">
        <v>2226</v>
      </c>
    </row>
    <row r="123" spans="1:19" s="58" customFormat="1" ht="15" hidden="1">
      <c r="A123" s="16">
        <v>27</v>
      </c>
      <c r="B123" s="433" t="s">
        <v>2160</v>
      </c>
      <c r="C123" s="53">
        <f>'R-1'!I137</f>
        <v>0</v>
      </c>
      <c r="D123" s="53">
        <f>'R-1'!I314</f>
        <v>0</v>
      </c>
      <c r="E123" s="53">
        <f>'R-1'!I455</f>
        <v>0</v>
      </c>
      <c r="F123" s="53">
        <f>SUM(C123:E123)</f>
        <v>0</v>
      </c>
      <c r="G123" s="53" t="s">
        <v>422</v>
      </c>
      <c r="H123" s="53"/>
      <c r="I123" s="9">
        <f>ROUND(F123*Q123/50,2)</f>
        <v>0</v>
      </c>
      <c r="J123" s="208">
        <v>0</v>
      </c>
      <c r="K123" s="10">
        <f>ROUND(F123*0.015*1,2)</f>
        <v>0</v>
      </c>
      <c r="L123" s="208">
        <v>0</v>
      </c>
      <c r="M123" s="208">
        <v>0</v>
      </c>
      <c r="N123" s="208"/>
      <c r="O123" s="208">
        <v>0</v>
      </c>
      <c r="P123" s="208"/>
      <c r="Q123" s="53">
        <v>5.09</v>
      </c>
      <c r="R123" s="10" t="s">
        <v>4</v>
      </c>
      <c r="S123" s="60" t="s">
        <v>2308</v>
      </c>
    </row>
    <row r="124" spans="1:19" s="58" customFormat="1" ht="15" hidden="1">
      <c r="A124" s="16">
        <v>24</v>
      </c>
      <c r="B124" s="433" t="s">
        <v>2160</v>
      </c>
      <c r="C124" s="53">
        <f>'R-1'!I138</f>
        <v>0</v>
      </c>
      <c r="D124" s="53">
        <f>'R-1'!I315</f>
        <v>0</v>
      </c>
      <c r="E124" s="53">
        <f>'R-1'!I456</f>
        <v>0</v>
      </c>
      <c r="F124" s="53">
        <f>SUM(C124:E124)</f>
        <v>0</v>
      </c>
      <c r="G124" s="53" t="s">
        <v>422</v>
      </c>
      <c r="H124" s="53"/>
      <c r="I124" s="9">
        <f>ROUND(F124*Q124/50,2)</f>
        <v>0</v>
      </c>
      <c r="J124" s="208">
        <v>0</v>
      </c>
      <c r="K124" s="10">
        <f>ROUND(F124*0.015*1,2)</f>
        <v>0</v>
      </c>
      <c r="L124" s="208">
        <v>0</v>
      </c>
      <c r="M124" s="208">
        <v>0</v>
      </c>
      <c r="N124" s="208"/>
      <c r="O124" s="208">
        <v>0</v>
      </c>
      <c r="P124" s="208"/>
      <c r="Q124" s="53">
        <v>5.09</v>
      </c>
      <c r="R124" s="10" t="s">
        <v>4</v>
      </c>
      <c r="S124" s="60" t="s">
        <v>2321</v>
      </c>
    </row>
    <row r="125" spans="1:19" s="58" customFormat="1" ht="15" hidden="1">
      <c r="A125" s="16">
        <v>18</v>
      </c>
      <c r="B125" s="433" t="s">
        <v>2160</v>
      </c>
      <c r="C125" s="53">
        <f>'R-1'!I139</f>
        <v>0</v>
      </c>
      <c r="D125" s="53">
        <f>'R-1'!I316</f>
        <v>0</v>
      </c>
      <c r="E125" s="53">
        <f>'R-1'!I457</f>
        <v>0</v>
      </c>
      <c r="F125" s="53">
        <f>SUM(C125:E125)</f>
        <v>0</v>
      </c>
      <c r="G125" s="53" t="s">
        <v>422</v>
      </c>
      <c r="H125" s="53"/>
      <c r="I125" s="9">
        <f>ROUND(F125*Q125/50,2)</f>
        <v>0</v>
      </c>
      <c r="J125" s="208">
        <v>0</v>
      </c>
      <c r="K125" s="10">
        <f>ROUND(F125*0.015*1,2)</f>
        <v>0</v>
      </c>
      <c r="L125" s="208">
        <v>0</v>
      </c>
      <c r="M125" s="208">
        <v>0</v>
      </c>
      <c r="N125" s="208"/>
      <c r="O125" s="208">
        <v>0</v>
      </c>
      <c r="P125" s="208"/>
      <c r="Q125" s="53">
        <v>5.09</v>
      </c>
      <c r="R125" s="10" t="s">
        <v>4</v>
      </c>
      <c r="S125" s="60" t="s">
        <v>2322</v>
      </c>
    </row>
    <row r="126" spans="1:19" s="58" customFormat="1" ht="15">
      <c r="A126" s="16">
        <v>19</v>
      </c>
      <c r="B126" s="433" t="s">
        <v>2161</v>
      </c>
      <c r="C126" s="53">
        <f>'R-1'!I140</f>
        <v>134.19000000000003</v>
      </c>
      <c r="D126" s="53">
        <f>'R-1'!I317</f>
        <v>0</v>
      </c>
      <c r="E126" s="53">
        <f>'R-1'!I458</f>
        <v>0</v>
      </c>
      <c r="F126" s="53">
        <f t="shared" si="1"/>
        <v>134.19000000000003</v>
      </c>
      <c r="G126" s="53" t="s">
        <v>422</v>
      </c>
      <c r="H126" s="53"/>
      <c r="I126" s="9">
        <f t="shared" si="5"/>
        <v>15.43</v>
      </c>
      <c r="J126" s="208">
        <v>0</v>
      </c>
      <c r="K126" s="10">
        <f>ROUND(F126*0.022*1,2)</f>
        <v>2.95</v>
      </c>
      <c r="L126" s="208">
        <v>0</v>
      </c>
      <c r="M126" s="208">
        <v>0</v>
      </c>
      <c r="N126" s="208"/>
      <c r="O126" s="208">
        <v>0</v>
      </c>
      <c r="P126" s="208"/>
      <c r="Q126" s="53">
        <v>5.75</v>
      </c>
      <c r="R126" s="10" t="s">
        <v>4</v>
      </c>
      <c r="S126" s="60" t="s">
        <v>2226</v>
      </c>
    </row>
    <row r="127" spans="1:19" s="58" customFormat="1" ht="15" hidden="1">
      <c r="A127" s="16">
        <v>28</v>
      </c>
      <c r="B127" s="433" t="s">
        <v>2161</v>
      </c>
      <c r="C127" s="53">
        <f>'R-1'!I141</f>
        <v>0</v>
      </c>
      <c r="D127" s="53">
        <f>'R-1'!I318</f>
        <v>0</v>
      </c>
      <c r="E127" s="53">
        <f>'R-1'!I459</f>
        <v>0</v>
      </c>
      <c r="F127" s="53">
        <f>SUM(C127:E127)</f>
        <v>0</v>
      </c>
      <c r="G127" s="53" t="s">
        <v>422</v>
      </c>
      <c r="H127" s="53"/>
      <c r="I127" s="9">
        <f>ROUND(F127*Q127/50,2)</f>
        <v>0</v>
      </c>
      <c r="J127" s="208">
        <v>0</v>
      </c>
      <c r="K127" s="10">
        <f>ROUND(F127*0.022*1,2)</f>
        <v>0</v>
      </c>
      <c r="L127" s="208">
        <v>0</v>
      </c>
      <c r="M127" s="208">
        <v>0</v>
      </c>
      <c r="N127" s="208"/>
      <c r="O127" s="208">
        <v>0</v>
      </c>
      <c r="P127" s="208"/>
      <c r="Q127" s="53">
        <v>5.75</v>
      </c>
      <c r="R127" s="10" t="s">
        <v>4</v>
      </c>
      <c r="S127" s="60" t="s">
        <v>2308</v>
      </c>
    </row>
    <row r="128" spans="1:19" s="58" customFormat="1" ht="15" hidden="1">
      <c r="A128" s="16">
        <v>25</v>
      </c>
      <c r="B128" s="433" t="s">
        <v>2161</v>
      </c>
      <c r="C128" s="53">
        <f>'R-1'!I142</f>
        <v>0</v>
      </c>
      <c r="D128" s="53">
        <f>'R-1'!I319</f>
        <v>0</v>
      </c>
      <c r="E128" s="53">
        <f>'R-1'!I460</f>
        <v>0</v>
      </c>
      <c r="F128" s="53">
        <f>SUM(C128:E128)</f>
        <v>0</v>
      </c>
      <c r="G128" s="53" t="s">
        <v>422</v>
      </c>
      <c r="H128" s="53"/>
      <c r="I128" s="9">
        <f>ROUND(F128*Q128/50,2)</f>
        <v>0</v>
      </c>
      <c r="J128" s="208">
        <v>0</v>
      </c>
      <c r="K128" s="10">
        <f>ROUND(F128*0.022*1,2)</f>
        <v>0</v>
      </c>
      <c r="L128" s="208">
        <v>0</v>
      </c>
      <c r="M128" s="208">
        <v>0</v>
      </c>
      <c r="N128" s="208"/>
      <c r="O128" s="208">
        <v>0</v>
      </c>
      <c r="P128" s="208"/>
      <c r="Q128" s="53">
        <v>5.75</v>
      </c>
      <c r="R128" s="10" t="s">
        <v>4</v>
      </c>
      <c r="S128" s="60" t="s">
        <v>2321</v>
      </c>
    </row>
    <row r="129" spans="1:19" s="58" customFormat="1" ht="15" hidden="1">
      <c r="A129" s="16">
        <v>19</v>
      </c>
      <c r="B129" s="433" t="s">
        <v>2161</v>
      </c>
      <c r="C129" s="53">
        <f>'R-1'!I143</f>
        <v>0</v>
      </c>
      <c r="D129" s="53">
        <f>'R-1'!I320</f>
        <v>0</v>
      </c>
      <c r="E129" s="53">
        <f>'R-1'!I461</f>
        <v>0</v>
      </c>
      <c r="F129" s="53">
        <f>SUM(C129:E129)</f>
        <v>0</v>
      </c>
      <c r="G129" s="53" t="s">
        <v>422</v>
      </c>
      <c r="H129" s="53"/>
      <c r="I129" s="9">
        <f>ROUND(F129*Q129/50,2)</f>
        <v>0</v>
      </c>
      <c r="J129" s="208">
        <v>0</v>
      </c>
      <c r="K129" s="10">
        <f>ROUND(F129*0.022*1,2)</f>
        <v>0</v>
      </c>
      <c r="L129" s="208">
        <v>0</v>
      </c>
      <c r="M129" s="208">
        <v>0</v>
      </c>
      <c r="N129" s="208"/>
      <c r="O129" s="208">
        <v>0</v>
      </c>
      <c r="P129" s="208"/>
      <c r="Q129" s="53">
        <v>5.75</v>
      </c>
      <c r="R129" s="10" t="s">
        <v>4</v>
      </c>
      <c r="S129" s="60" t="s">
        <v>2322</v>
      </c>
    </row>
    <row r="130" spans="1:19" s="58" customFormat="1" ht="15" hidden="1">
      <c r="A130" s="16">
        <v>26</v>
      </c>
      <c r="B130" s="433" t="s">
        <v>2184</v>
      </c>
      <c r="C130" s="53">
        <f>'R-1'!I144</f>
        <v>0</v>
      </c>
      <c r="D130" s="53">
        <f>'R-1'!I325</f>
        <v>0</v>
      </c>
      <c r="E130" s="53">
        <f>'R-1'!I466</f>
        <v>0</v>
      </c>
      <c r="F130" s="53">
        <f t="shared" ref="F130:F170" si="18">SUM(C130:E130)</f>
        <v>0</v>
      </c>
      <c r="G130" s="53" t="s">
        <v>422</v>
      </c>
      <c r="H130" s="53"/>
      <c r="I130" s="9">
        <f t="shared" si="5"/>
        <v>0</v>
      </c>
      <c r="J130" s="208">
        <v>0</v>
      </c>
      <c r="K130" s="10">
        <f>ROUND(F130*0.014,2)</f>
        <v>0</v>
      </c>
      <c r="L130" s="208">
        <v>0</v>
      </c>
      <c r="M130" s="208">
        <v>0</v>
      </c>
      <c r="N130" s="208"/>
      <c r="O130" s="208">
        <v>0</v>
      </c>
      <c r="P130" s="208"/>
      <c r="Q130" s="53">
        <v>6.06</v>
      </c>
      <c r="R130" s="10" t="s">
        <v>4</v>
      </c>
      <c r="S130" s="60" t="s">
        <v>2226</v>
      </c>
    </row>
    <row r="131" spans="1:19" s="58" customFormat="1" ht="15" hidden="1">
      <c r="A131" s="16">
        <v>27</v>
      </c>
      <c r="B131" s="433" t="s">
        <v>2184</v>
      </c>
      <c r="C131" s="53">
        <f>'R-1'!I145</f>
        <v>0</v>
      </c>
      <c r="D131" s="53">
        <f>'R-1'!I326</f>
        <v>0</v>
      </c>
      <c r="E131" s="53">
        <f>'R-1'!I467</f>
        <v>0</v>
      </c>
      <c r="F131" s="53">
        <f>SUM(C131:E131)</f>
        <v>0</v>
      </c>
      <c r="G131" s="53" t="s">
        <v>422</v>
      </c>
      <c r="H131" s="53"/>
      <c r="I131" s="9">
        <f>ROUND(F131*Q131/50,2)</f>
        <v>0</v>
      </c>
      <c r="J131" s="208">
        <v>0</v>
      </c>
      <c r="K131" s="10">
        <f>ROUND(F131*0.014,2)</f>
        <v>0</v>
      </c>
      <c r="L131" s="208">
        <v>0</v>
      </c>
      <c r="M131" s="208">
        <v>0</v>
      </c>
      <c r="N131" s="208"/>
      <c r="O131" s="208">
        <v>0</v>
      </c>
      <c r="P131" s="208"/>
      <c r="Q131" s="53">
        <v>6.06</v>
      </c>
      <c r="R131" s="10" t="s">
        <v>4</v>
      </c>
      <c r="S131" s="60" t="s">
        <v>2308</v>
      </c>
    </row>
    <row r="132" spans="1:19" s="58" customFormat="1" ht="15" hidden="1">
      <c r="A132" s="16">
        <v>26</v>
      </c>
      <c r="B132" s="433" t="s">
        <v>2184</v>
      </c>
      <c r="C132" s="53">
        <f>'R-1'!I146</f>
        <v>0</v>
      </c>
      <c r="D132" s="53">
        <f>'R-1'!I327</f>
        <v>0</v>
      </c>
      <c r="E132" s="53">
        <f>'R-1'!I468</f>
        <v>0</v>
      </c>
      <c r="F132" s="53">
        <f>SUM(C132:E132)</f>
        <v>0</v>
      </c>
      <c r="G132" s="53" t="s">
        <v>422</v>
      </c>
      <c r="H132" s="53"/>
      <c r="I132" s="9">
        <f>ROUND(F132*Q132/50,2)</f>
        <v>0</v>
      </c>
      <c r="J132" s="208">
        <v>0</v>
      </c>
      <c r="K132" s="10">
        <f>ROUND(F132*0.014,2)</f>
        <v>0</v>
      </c>
      <c r="L132" s="208">
        <v>0</v>
      </c>
      <c r="M132" s="208">
        <v>0</v>
      </c>
      <c r="N132" s="208"/>
      <c r="O132" s="208">
        <v>0</v>
      </c>
      <c r="P132" s="208"/>
      <c r="Q132" s="53">
        <v>6.06</v>
      </c>
      <c r="R132" s="10" t="s">
        <v>4</v>
      </c>
      <c r="S132" s="60" t="s">
        <v>2321</v>
      </c>
    </row>
    <row r="133" spans="1:19" s="58" customFormat="1" ht="15" hidden="1">
      <c r="A133" s="16">
        <v>20</v>
      </c>
      <c r="B133" s="433" t="s">
        <v>2184</v>
      </c>
      <c r="C133" s="53">
        <f>'R-1'!I147</f>
        <v>0</v>
      </c>
      <c r="D133" s="53">
        <f>'R-1'!I328</f>
        <v>0</v>
      </c>
      <c r="E133" s="53">
        <f>'R-1'!I469</f>
        <v>0</v>
      </c>
      <c r="F133" s="53">
        <f>SUM(C133:E133)</f>
        <v>0</v>
      </c>
      <c r="G133" s="53" t="s">
        <v>422</v>
      </c>
      <c r="H133" s="53"/>
      <c r="I133" s="9">
        <f>ROUND(F133*Q133/50,2)</f>
        <v>0</v>
      </c>
      <c r="J133" s="208">
        <v>0</v>
      </c>
      <c r="K133" s="10">
        <f>ROUND(F133*0.014,2)</f>
        <v>0</v>
      </c>
      <c r="L133" s="208">
        <v>0</v>
      </c>
      <c r="M133" s="208">
        <v>0</v>
      </c>
      <c r="N133" s="208"/>
      <c r="O133" s="208">
        <v>0</v>
      </c>
      <c r="P133" s="208"/>
      <c r="Q133" s="53">
        <v>6.06</v>
      </c>
      <c r="R133" s="10" t="s">
        <v>4</v>
      </c>
      <c r="S133" s="60" t="s">
        <v>2322</v>
      </c>
    </row>
    <row r="134" spans="1:19" s="58" customFormat="1" ht="15" hidden="1">
      <c r="A134" s="16">
        <v>27</v>
      </c>
      <c r="B134" s="433" t="s">
        <v>2162</v>
      </c>
      <c r="C134" s="53">
        <f>'R-1'!I148</f>
        <v>0</v>
      </c>
      <c r="D134" s="53">
        <f>'R-1'!I329</f>
        <v>0</v>
      </c>
      <c r="E134" s="53">
        <f>'R-1'!I470</f>
        <v>0</v>
      </c>
      <c r="F134" s="53">
        <f t="shared" si="18"/>
        <v>0</v>
      </c>
      <c r="G134" s="53" t="s">
        <v>422</v>
      </c>
      <c r="H134" s="53"/>
      <c r="I134" s="9">
        <f t="shared" si="5"/>
        <v>0</v>
      </c>
      <c r="J134" s="208">
        <v>0</v>
      </c>
      <c r="K134" s="10">
        <f>ROUND(F134*0.012,2)</f>
        <v>0</v>
      </c>
      <c r="L134" s="208">
        <v>0</v>
      </c>
      <c r="M134" s="208">
        <v>0</v>
      </c>
      <c r="N134" s="208"/>
      <c r="O134" s="208">
        <v>0</v>
      </c>
      <c r="P134" s="208"/>
      <c r="Q134" s="40">
        <v>6.7560000000000002</v>
      </c>
      <c r="R134" s="10" t="s">
        <v>4</v>
      </c>
      <c r="S134" s="60" t="s">
        <v>2226</v>
      </c>
    </row>
    <row r="135" spans="1:19" s="58" customFormat="1" ht="15" hidden="1">
      <c r="A135" s="16">
        <v>28</v>
      </c>
      <c r="B135" s="433" t="s">
        <v>2162</v>
      </c>
      <c r="C135" s="53">
        <f>'R-1'!I149</f>
        <v>0</v>
      </c>
      <c r="D135" s="53">
        <f>'R-1'!I330</f>
        <v>0</v>
      </c>
      <c r="E135" s="53">
        <f>'R-1'!I471</f>
        <v>0</v>
      </c>
      <c r="F135" s="53">
        <f>SUM(C135:E135)</f>
        <v>0</v>
      </c>
      <c r="G135" s="53" t="s">
        <v>422</v>
      </c>
      <c r="H135" s="53"/>
      <c r="I135" s="9">
        <f>ROUND(F135*Q135/50,2)</f>
        <v>0</v>
      </c>
      <c r="J135" s="208">
        <v>0</v>
      </c>
      <c r="K135" s="10">
        <f>ROUND(F135*0.012,2)</f>
        <v>0</v>
      </c>
      <c r="L135" s="208">
        <v>0</v>
      </c>
      <c r="M135" s="208">
        <v>0</v>
      </c>
      <c r="N135" s="208"/>
      <c r="O135" s="208">
        <v>0</v>
      </c>
      <c r="P135" s="208"/>
      <c r="Q135" s="40">
        <v>6.7560000000000002</v>
      </c>
      <c r="R135" s="10" t="s">
        <v>4</v>
      </c>
      <c r="S135" s="60" t="s">
        <v>2308</v>
      </c>
    </row>
    <row r="136" spans="1:19" s="58" customFormat="1" ht="15" hidden="1">
      <c r="A136" s="16">
        <v>27</v>
      </c>
      <c r="B136" s="433" t="s">
        <v>2162</v>
      </c>
      <c r="C136" s="53">
        <f>'R-1'!I150</f>
        <v>0</v>
      </c>
      <c r="D136" s="53">
        <f>'R-1'!I331</f>
        <v>0</v>
      </c>
      <c r="E136" s="53">
        <f>'R-1'!I472</f>
        <v>0</v>
      </c>
      <c r="F136" s="53">
        <f t="shared" ref="F136:F137" si="19">SUM(C136:E136)</f>
        <v>0</v>
      </c>
      <c r="G136" s="53" t="s">
        <v>422</v>
      </c>
      <c r="H136" s="53"/>
      <c r="I136" s="9">
        <f t="shared" ref="I136:I137" si="20">ROUND(F136*Q136/50,2)</f>
        <v>0</v>
      </c>
      <c r="J136" s="208">
        <v>0</v>
      </c>
      <c r="K136" s="10">
        <f>ROUND(F136*0.012,2)</f>
        <v>0</v>
      </c>
      <c r="L136" s="208">
        <v>0</v>
      </c>
      <c r="M136" s="208">
        <v>0</v>
      </c>
      <c r="N136" s="208"/>
      <c r="O136" s="208">
        <v>0</v>
      </c>
      <c r="P136" s="208"/>
      <c r="Q136" s="40">
        <v>6.7560000000000002</v>
      </c>
      <c r="R136" s="10" t="s">
        <v>4</v>
      </c>
      <c r="S136" s="60" t="s">
        <v>2321</v>
      </c>
    </row>
    <row r="137" spans="1:19" s="58" customFormat="1" ht="15" hidden="1">
      <c r="A137" s="16">
        <v>21</v>
      </c>
      <c r="B137" s="433" t="s">
        <v>2162</v>
      </c>
      <c r="C137" s="53">
        <f>'R-1'!I151</f>
        <v>0</v>
      </c>
      <c r="D137" s="53">
        <f>'R-1'!I332</f>
        <v>0</v>
      </c>
      <c r="E137" s="53">
        <f>'R-1'!I473</f>
        <v>0</v>
      </c>
      <c r="F137" s="53">
        <f t="shared" si="19"/>
        <v>0</v>
      </c>
      <c r="G137" s="53" t="s">
        <v>422</v>
      </c>
      <c r="H137" s="53"/>
      <c r="I137" s="9">
        <f t="shared" si="20"/>
        <v>0</v>
      </c>
      <c r="J137" s="208">
        <v>0</v>
      </c>
      <c r="K137" s="10">
        <f>ROUND(F137*0.012,2)</f>
        <v>0</v>
      </c>
      <c r="L137" s="208">
        <v>0</v>
      </c>
      <c r="M137" s="208">
        <v>0</v>
      </c>
      <c r="N137" s="208"/>
      <c r="O137" s="208">
        <v>0</v>
      </c>
      <c r="P137" s="208"/>
      <c r="Q137" s="40">
        <v>6.7560000000000002</v>
      </c>
      <c r="R137" s="10" t="s">
        <v>4</v>
      </c>
      <c r="S137" s="60" t="s">
        <v>2322</v>
      </c>
    </row>
    <row r="138" spans="1:19" ht="15">
      <c r="A138" s="283">
        <v>20</v>
      </c>
      <c r="B138" s="289" t="s">
        <v>2185</v>
      </c>
      <c r="C138" s="285">
        <f>'R-1'!I152</f>
        <v>111.85000000000002</v>
      </c>
      <c r="D138" s="285">
        <f>'R-1'!I333</f>
        <v>0</v>
      </c>
      <c r="E138" s="285">
        <f>'R-1'!I474</f>
        <v>0</v>
      </c>
      <c r="F138" s="285">
        <f t="shared" si="18"/>
        <v>111.85000000000002</v>
      </c>
      <c r="G138" s="285" t="s">
        <v>422</v>
      </c>
      <c r="H138" s="285"/>
      <c r="I138" s="288">
        <f t="shared" si="5"/>
        <v>16.78</v>
      </c>
      <c r="J138" s="286">
        <v>0</v>
      </c>
      <c r="K138" s="15">
        <f>ROUND(F138*0.014,2)</f>
        <v>1.57</v>
      </c>
      <c r="L138" s="286">
        <v>0</v>
      </c>
      <c r="M138" s="286">
        <v>0</v>
      </c>
      <c r="N138" s="286"/>
      <c r="O138" s="286">
        <v>0</v>
      </c>
      <c r="P138" s="286"/>
      <c r="Q138" s="285">
        <v>7.5</v>
      </c>
      <c r="R138" s="15" t="s">
        <v>4</v>
      </c>
      <c r="S138" s="60" t="s">
        <v>2226</v>
      </c>
    </row>
    <row r="139" spans="1:19" ht="15" hidden="1">
      <c r="A139" s="283">
        <v>25</v>
      </c>
      <c r="B139" s="289" t="s">
        <v>2185</v>
      </c>
      <c r="C139" s="285">
        <f>'R-1'!I153</f>
        <v>0</v>
      </c>
      <c r="D139" s="285">
        <f>'R-1'!I334</f>
        <v>0</v>
      </c>
      <c r="E139" s="285">
        <f>'R-1'!I475</f>
        <v>0</v>
      </c>
      <c r="F139" s="285">
        <f>SUM(C139:E139)</f>
        <v>0</v>
      </c>
      <c r="G139" s="285" t="s">
        <v>422</v>
      </c>
      <c r="H139" s="285"/>
      <c r="I139" s="288">
        <f>ROUND(F139*Q139/50,2)</f>
        <v>0</v>
      </c>
      <c r="J139" s="286">
        <v>0</v>
      </c>
      <c r="K139" s="15">
        <f>ROUND(F139*0.014,2)</f>
        <v>0</v>
      </c>
      <c r="L139" s="286">
        <v>0</v>
      </c>
      <c r="M139" s="286">
        <v>0</v>
      </c>
      <c r="N139" s="286"/>
      <c r="O139" s="286">
        <v>0</v>
      </c>
      <c r="P139" s="286"/>
      <c r="Q139" s="285">
        <v>7.5</v>
      </c>
      <c r="R139" s="15" t="s">
        <v>4</v>
      </c>
      <c r="S139" s="60" t="s">
        <v>2308</v>
      </c>
    </row>
    <row r="140" spans="1:19" ht="15" hidden="1">
      <c r="A140" s="283">
        <v>28</v>
      </c>
      <c r="B140" s="289" t="s">
        <v>2185</v>
      </c>
      <c r="C140" s="285">
        <f>'R-1'!I154</f>
        <v>0</v>
      </c>
      <c r="D140" s="285">
        <f>'R-1'!I335</f>
        <v>0</v>
      </c>
      <c r="E140" s="285">
        <f>'R-1'!I476</f>
        <v>0</v>
      </c>
      <c r="F140" s="285">
        <f>SUM(C140:E140)</f>
        <v>0</v>
      </c>
      <c r="G140" s="285" t="s">
        <v>422</v>
      </c>
      <c r="H140" s="285"/>
      <c r="I140" s="288">
        <f>ROUND(F140*Q140/50,2)</f>
        <v>0</v>
      </c>
      <c r="J140" s="286">
        <v>0</v>
      </c>
      <c r="K140" s="15">
        <f>ROUND(F140*0.014,2)</f>
        <v>0</v>
      </c>
      <c r="L140" s="286">
        <v>0</v>
      </c>
      <c r="M140" s="286">
        <v>0</v>
      </c>
      <c r="N140" s="286"/>
      <c r="O140" s="286">
        <v>0</v>
      </c>
      <c r="P140" s="286"/>
      <c r="Q140" s="285">
        <v>7.5</v>
      </c>
      <c r="R140" s="15" t="s">
        <v>4</v>
      </c>
      <c r="S140" s="60" t="s">
        <v>2321</v>
      </c>
    </row>
    <row r="141" spans="1:19" ht="15" hidden="1">
      <c r="A141" s="283">
        <v>22</v>
      </c>
      <c r="B141" s="289" t="s">
        <v>2185</v>
      </c>
      <c r="C141" s="285">
        <f>'R-1'!I155</f>
        <v>0</v>
      </c>
      <c r="D141" s="285">
        <f>'R-1'!I336</f>
        <v>0</v>
      </c>
      <c r="E141" s="285">
        <f>'R-1'!I477</f>
        <v>0</v>
      </c>
      <c r="F141" s="285">
        <f>SUM(C141:E141)</f>
        <v>0</v>
      </c>
      <c r="G141" s="285" t="s">
        <v>422</v>
      </c>
      <c r="H141" s="285"/>
      <c r="I141" s="288">
        <f>ROUND(F141*Q141/50,2)</f>
        <v>0</v>
      </c>
      <c r="J141" s="286">
        <v>0</v>
      </c>
      <c r="K141" s="15">
        <f>ROUND(F141*0.014,2)</f>
        <v>0</v>
      </c>
      <c r="L141" s="286">
        <v>0</v>
      </c>
      <c r="M141" s="286">
        <v>0</v>
      </c>
      <c r="N141" s="286"/>
      <c r="O141" s="286">
        <v>0</v>
      </c>
      <c r="P141" s="286"/>
      <c r="Q141" s="285">
        <v>7.5</v>
      </c>
      <c r="R141" s="15" t="s">
        <v>4</v>
      </c>
      <c r="S141" s="60" t="s">
        <v>2322</v>
      </c>
    </row>
    <row r="142" spans="1:19" ht="15">
      <c r="A142" s="283">
        <v>21</v>
      </c>
      <c r="B142" s="433" t="s">
        <v>2162</v>
      </c>
      <c r="C142" s="285">
        <f>'R-1'!I156</f>
        <v>9.15</v>
      </c>
      <c r="D142" s="285">
        <f>'R-1'!I337</f>
        <v>0</v>
      </c>
      <c r="E142" s="285">
        <f>'R-1'!I478</f>
        <v>0</v>
      </c>
      <c r="F142" s="285">
        <f t="shared" si="18"/>
        <v>9.15</v>
      </c>
      <c r="G142" s="285" t="s">
        <v>422</v>
      </c>
      <c r="H142" s="285"/>
      <c r="I142" s="288">
        <f t="shared" si="5"/>
        <v>1.66</v>
      </c>
      <c r="J142" s="286">
        <v>0</v>
      </c>
      <c r="K142" s="15">
        <f>ROUND(F142*0.012,2)</f>
        <v>0.11</v>
      </c>
      <c r="L142" s="286">
        <v>0</v>
      </c>
      <c r="M142" s="286">
        <v>0</v>
      </c>
      <c r="N142" s="286"/>
      <c r="O142" s="286">
        <v>0</v>
      </c>
      <c r="P142" s="286"/>
      <c r="Q142" s="290">
        <v>9.06</v>
      </c>
      <c r="R142" s="15" t="s">
        <v>4</v>
      </c>
      <c r="S142" s="60" t="s">
        <v>2226</v>
      </c>
    </row>
    <row r="143" spans="1:19" ht="15" hidden="1">
      <c r="A143" s="283">
        <v>26</v>
      </c>
      <c r="B143" s="433" t="s">
        <v>2162</v>
      </c>
      <c r="C143" s="285">
        <f>'R-1'!I157</f>
        <v>0</v>
      </c>
      <c r="D143" s="285">
        <f>'R-1'!I338</f>
        <v>0</v>
      </c>
      <c r="E143" s="285">
        <f>'R-1'!I479</f>
        <v>0</v>
      </c>
      <c r="F143" s="285">
        <f>SUM(C143:E143)</f>
        <v>0</v>
      </c>
      <c r="G143" s="285" t="s">
        <v>422</v>
      </c>
      <c r="H143" s="285"/>
      <c r="I143" s="288">
        <f>ROUND(F143*Q143/50,2)</f>
        <v>0</v>
      </c>
      <c r="J143" s="286">
        <v>0</v>
      </c>
      <c r="K143" s="15">
        <f>ROUND(F143*0.012,2)</f>
        <v>0</v>
      </c>
      <c r="L143" s="286">
        <v>0</v>
      </c>
      <c r="M143" s="286">
        <v>0</v>
      </c>
      <c r="N143" s="286"/>
      <c r="O143" s="286">
        <v>0</v>
      </c>
      <c r="P143" s="286"/>
      <c r="Q143" s="290">
        <v>9.06</v>
      </c>
      <c r="R143" s="15" t="s">
        <v>4</v>
      </c>
      <c r="S143" s="60" t="s">
        <v>2308</v>
      </c>
    </row>
    <row r="144" spans="1:19" ht="15" hidden="1">
      <c r="A144" s="283">
        <v>29</v>
      </c>
      <c r="B144" s="433" t="s">
        <v>2162</v>
      </c>
      <c r="C144" s="285">
        <f>'R-1'!I158</f>
        <v>0</v>
      </c>
      <c r="D144" s="285">
        <f>'R-1'!I339</f>
        <v>0</v>
      </c>
      <c r="E144" s="285">
        <f>'R-1'!I480</f>
        <v>0</v>
      </c>
      <c r="F144" s="285">
        <f>SUM(C144:E144)</f>
        <v>0</v>
      </c>
      <c r="G144" s="285" t="s">
        <v>422</v>
      </c>
      <c r="H144" s="285"/>
      <c r="I144" s="288">
        <f>ROUND(F144*Q144/50,2)</f>
        <v>0</v>
      </c>
      <c r="J144" s="286">
        <v>0</v>
      </c>
      <c r="K144" s="15">
        <f>ROUND(F144*0.012,2)</f>
        <v>0</v>
      </c>
      <c r="L144" s="286">
        <v>0</v>
      </c>
      <c r="M144" s="286">
        <v>0</v>
      </c>
      <c r="N144" s="286"/>
      <c r="O144" s="286">
        <v>0</v>
      </c>
      <c r="P144" s="286"/>
      <c r="Q144" s="290">
        <v>9.06</v>
      </c>
      <c r="R144" s="15" t="s">
        <v>4</v>
      </c>
      <c r="S144" s="60" t="s">
        <v>2321</v>
      </c>
    </row>
    <row r="145" spans="1:19" ht="15" hidden="1">
      <c r="A145" s="283">
        <v>23</v>
      </c>
      <c r="B145" s="433" t="s">
        <v>2162</v>
      </c>
      <c r="C145" s="285">
        <f>'R-1'!I159</f>
        <v>0</v>
      </c>
      <c r="D145" s="285">
        <f>'R-1'!I340</f>
        <v>0</v>
      </c>
      <c r="E145" s="285">
        <f>'R-1'!I481</f>
        <v>0</v>
      </c>
      <c r="F145" s="285">
        <f>SUM(C145:E145)</f>
        <v>0</v>
      </c>
      <c r="G145" s="285" t="s">
        <v>422</v>
      </c>
      <c r="H145" s="285"/>
      <c r="I145" s="288">
        <f>ROUND(F145*Q145/50,2)</f>
        <v>0</v>
      </c>
      <c r="J145" s="286">
        <v>0</v>
      </c>
      <c r="K145" s="15">
        <f>ROUND(F145*0.012,2)</f>
        <v>0</v>
      </c>
      <c r="L145" s="286">
        <v>0</v>
      </c>
      <c r="M145" s="286">
        <v>0</v>
      </c>
      <c r="N145" s="286"/>
      <c r="O145" s="286">
        <v>0</v>
      </c>
      <c r="P145" s="286"/>
      <c r="Q145" s="290">
        <v>9.06</v>
      </c>
      <c r="R145" s="15" t="s">
        <v>4</v>
      </c>
      <c r="S145" s="60" t="s">
        <v>2322</v>
      </c>
    </row>
    <row r="146" spans="1:19" ht="15" hidden="1">
      <c r="A146" s="283">
        <v>39</v>
      </c>
      <c r="B146" s="289" t="s">
        <v>683</v>
      </c>
      <c r="C146" s="285">
        <f>'R-1'!I160</f>
        <v>0</v>
      </c>
      <c r="D146" s="285">
        <f>'R-1'!I341</f>
        <v>0</v>
      </c>
      <c r="E146" s="285">
        <f>'R-1'!I482</f>
        <v>0</v>
      </c>
      <c r="F146" s="285">
        <f t="shared" si="18"/>
        <v>0</v>
      </c>
      <c r="G146" s="285" t="s">
        <v>422</v>
      </c>
      <c r="H146" s="285"/>
      <c r="I146" s="288">
        <f t="shared" si="5"/>
        <v>0</v>
      </c>
      <c r="J146" s="286">
        <v>0</v>
      </c>
      <c r="K146" s="15">
        <f>ROUND(F146*0.014,2)</f>
        <v>0</v>
      </c>
      <c r="L146" s="286">
        <v>0</v>
      </c>
      <c r="M146" s="286">
        <v>0</v>
      </c>
      <c r="N146" s="286"/>
      <c r="O146" s="286">
        <v>0</v>
      </c>
      <c r="P146" s="286"/>
      <c r="Q146" s="285">
        <v>7.5</v>
      </c>
      <c r="R146" s="15" t="s">
        <v>4</v>
      </c>
      <c r="S146" s="60" t="s">
        <v>2226</v>
      </c>
    </row>
    <row r="147" spans="1:19" ht="15" hidden="1">
      <c r="A147" s="283">
        <v>39</v>
      </c>
      <c r="B147" s="289" t="s">
        <v>683</v>
      </c>
      <c r="C147" s="285">
        <f>'R-1'!I161</f>
        <v>0</v>
      </c>
      <c r="D147" s="285">
        <f>'R-1'!I342</f>
        <v>0</v>
      </c>
      <c r="E147" s="285">
        <f>'R-1'!I483</f>
        <v>0</v>
      </c>
      <c r="F147" s="285">
        <f>SUM(C147:E147)</f>
        <v>0</v>
      </c>
      <c r="G147" s="285" t="s">
        <v>422</v>
      </c>
      <c r="H147" s="285"/>
      <c r="I147" s="288">
        <f>ROUND(F147*Q147/50,2)</f>
        <v>0</v>
      </c>
      <c r="J147" s="286">
        <v>0</v>
      </c>
      <c r="K147" s="15">
        <f>ROUND(F147*0.014,2)</f>
        <v>0</v>
      </c>
      <c r="L147" s="286">
        <v>0</v>
      </c>
      <c r="M147" s="286">
        <v>0</v>
      </c>
      <c r="N147" s="286"/>
      <c r="O147" s="286">
        <v>0</v>
      </c>
      <c r="P147" s="286"/>
      <c r="Q147" s="285">
        <v>7.5</v>
      </c>
      <c r="R147" s="15" t="s">
        <v>4</v>
      </c>
      <c r="S147" s="60" t="s">
        <v>2308</v>
      </c>
    </row>
    <row r="148" spans="1:19" ht="15" hidden="1">
      <c r="A148" s="283">
        <v>39</v>
      </c>
      <c r="B148" s="289" t="s">
        <v>683</v>
      </c>
      <c r="C148" s="285">
        <f>'R-1'!I162</f>
        <v>0</v>
      </c>
      <c r="D148" s="285">
        <f>'R-1'!I343</f>
        <v>0</v>
      </c>
      <c r="E148" s="285">
        <f>'R-1'!I484</f>
        <v>0</v>
      </c>
      <c r="F148" s="285">
        <f>SUM(C148:E148)</f>
        <v>0</v>
      </c>
      <c r="G148" s="285" t="s">
        <v>422</v>
      </c>
      <c r="H148" s="285"/>
      <c r="I148" s="288">
        <f>ROUND(F148*Q148/50,2)</f>
        <v>0</v>
      </c>
      <c r="J148" s="286">
        <v>0</v>
      </c>
      <c r="K148" s="15">
        <f>ROUND(F148*0.014,2)</f>
        <v>0</v>
      </c>
      <c r="L148" s="286">
        <v>0</v>
      </c>
      <c r="M148" s="286">
        <v>0</v>
      </c>
      <c r="N148" s="286"/>
      <c r="O148" s="286">
        <v>0</v>
      </c>
      <c r="P148" s="286"/>
      <c r="Q148" s="285">
        <v>7.5</v>
      </c>
      <c r="R148" s="15" t="s">
        <v>4</v>
      </c>
      <c r="S148" s="60" t="s">
        <v>2321</v>
      </c>
    </row>
    <row r="149" spans="1:19" ht="15" hidden="1">
      <c r="A149" s="283">
        <v>39</v>
      </c>
      <c r="B149" s="289" t="s">
        <v>683</v>
      </c>
      <c r="C149" s="285">
        <f>'R-1'!I163</f>
        <v>0</v>
      </c>
      <c r="D149" s="285">
        <f>'R-1'!I344</f>
        <v>0</v>
      </c>
      <c r="E149" s="285">
        <f>'R-1'!I485</f>
        <v>0</v>
      </c>
      <c r="F149" s="285">
        <f>SUM(C149:E149)</f>
        <v>0</v>
      </c>
      <c r="G149" s="285" t="s">
        <v>422</v>
      </c>
      <c r="H149" s="285"/>
      <c r="I149" s="288">
        <f>ROUND(F149*Q149/50,2)</f>
        <v>0</v>
      </c>
      <c r="J149" s="286">
        <v>0</v>
      </c>
      <c r="K149" s="15">
        <f>ROUND(F149*0.014,2)</f>
        <v>0</v>
      </c>
      <c r="L149" s="286">
        <v>0</v>
      </c>
      <c r="M149" s="286">
        <v>0</v>
      </c>
      <c r="N149" s="286"/>
      <c r="O149" s="286">
        <v>0</v>
      </c>
      <c r="P149" s="286"/>
      <c r="Q149" s="285">
        <v>7.5</v>
      </c>
      <c r="R149" s="15" t="s">
        <v>4</v>
      </c>
      <c r="S149" s="60" t="s">
        <v>2322</v>
      </c>
    </row>
    <row r="150" spans="1:19" ht="15" hidden="1">
      <c r="A150" s="283">
        <v>40</v>
      </c>
      <c r="B150" s="289" t="s">
        <v>684</v>
      </c>
      <c r="C150" s="285">
        <f>'R-1'!I164</f>
        <v>0</v>
      </c>
      <c r="D150" s="285">
        <f>'R-1'!I345</f>
        <v>0</v>
      </c>
      <c r="E150" s="285">
        <f>'R-1'!I486</f>
        <v>0</v>
      </c>
      <c r="F150" s="285">
        <f t="shared" si="18"/>
        <v>0</v>
      </c>
      <c r="G150" s="285" t="s">
        <v>422</v>
      </c>
      <c r="H150" s="285"/>
      <c r="I150" s="288">
        <f t="shared" si="5"/>
        <v>0</v>
      </c>
      <c r="J150" s="286">
        <v>0</v>
      </c>
      <c r="K150" s="15">
        <f t="shared" ref="K150:K159" si="21">ROUND(F150*0.012,2)</f>
        <v>0</v>
      </c>
      <c r="L150" s="286">
        <v>0</v>
      </c>
      <c r="M150" s="286">
        <v>0</v>
      </c>
      <c r="N150" s="286"/>
      <c r="O150" s="286">
        <v>0</v>
      </c>
      <c r="P150" s="286"/>
      <c r="Q150" s="290">
        <v>6.7560000000000002</v>
      </c>
      <c r="R150" s="15" t="s">
        <v>4</v>
      </c>
      <c r="S150" s="60" t="s">
        <v>2226</v>
      </c>
    </row>
    <row r="151" spans="1:19" ht="15" hidden="1">
      <c r="A151" s="283">
        <v>40</v>
      </c>
      <c r="B151" s="289" t="s">
        <v>684</v>
      </c>
      <c r="C151" s="285">
        <f>'R-1'!I165</f>
        <v>0</v>
      </c>
      <c r="D151" s="285">
        <f>'R-1'!I346</f>
        <v>0</v>
      </c>
      <c r="E151" s="285">
        <f>'R-1'!I487</f>
        <v>0</v>
      </c>
      <c r="F151" s="285">
        <f>SUM(C151:E151)</f>
        <v>0</v>
      </c>
      <c r="G151" s="285" t="s">
        <v>422</v>
      </c>
      <c r="H151" s="285"/>
      <c r="I151" s="288">
        <f>ROUND(F151*Q151/50,2)</f>
        <v>0</v>
      </c>
      <c r="J151" s="286">
        <v>0</v>
      </c>
      <c r="K151" s="15">
        <f t="shared" si="21"/>
        <v>0</v>
      </c>
      <c r="L151" s="286">
        <v>0</v>
      </c>
      <c r="M151" s="286">
        <v>0</v>
      </c>
      <c r="N151" s="286"/>
      <c r="O151" s="286">
        <v>0</v>
      </c>
      <c r="P151" s="286"/>
      <c r="Q151" s="290">
        <v>6.7560000000000002</v>
      </c>
      <c r="R151" s="15" t="s">
        <v>4</v>
      </c>
      <c r="S151" s="60" t="s">
        <v>2308</v>
      </c>
    </row>
    <row r="152" spans="1:19" ht="15" hidden="1">
      <c r="A152" s="283">
        <v>40</v>
      </c>
      <c r="B152" s="289" t="s">
        <v>684</v>
      </c>
      <c r="C152" s="285">
        <f>'R-1'!I166</f>
        <v>0</v>
      </c>
      <c r="D152" s="285">
        <f>'R-1'!I347</f>
        <v>0</v>
      </c>
      <c r="E152" s="285">
        <f>'R-1'!I488</f>
        <v>0</v>
      </c>
      <c r="F152" s="285">
        <f>SUM(C152:E152)</f>
        <v>0</v>
      </c>
      <c r="G152" s="285" t="s">
        <v>422</v>
      </c>
      <c r="H152" s="285"/>
      <c r="I152" s="288">
        <f>ROUND(F152*Q152/50,2)</f>
        <v>0</v>
      </c>
      <c r="J152" s="286">
        <v>0</v>
      </c>
      <c r="K152" s="15">
        <f>ROUND(F152*0.012,2)</f>
        <v>0</v>
      </c>
      <c r="L152" s="286">
        <v>0</v>
      </c>
      <c r="M152" s="286">
        <v>0</v>
      </c>
      <c r="N152" s="286"/>
      <c r="O152" s="286">
        <v>0</v>
      </c>
      <c r="P152" s="286"/>
      <c r="Q152" s="290">
        <v>6.7560000000000002</v>
      </c>
      <c r="R152" s="15" t="s">
        <v>4</v>
      </c>
      <c r="S152" s="60" t="s">
        <v>2321</v>
      </c>
    </row>
    <row r="153" spans="1:19" ht="15" hidden="1">
      <c r="A153" s="283">
        <v>40</v>
      </c>
      <c r="B153" s="289" t="s">
        <v>684</v>
      </c>
      <c r="C153" s="285">
        <f>'R-1'!I167</f>
        <v>0</v>
      </c>
      <c r="D153" s="285">
        <f>'R-1'!I348</f>
        <v>0</v>
      </c>
      <c r="E153" s="285">
        <f>'R-1'!I489</f>
        <v>0</v>
      </c>
      <c r="F153" s="285">
        <f>SUM(C153:E153)</f>
        <v>0</v>
      </c>
      <c r="G153" s="285" t="s">
        <v>422</v>
      </c>
      <c r="H153" s="285"/>
      <c r="I153" s="288">
        <f>ROUND(F153*Q153/50,2)</f>
        <v>0</v>
      </c>
      <c r="J153" s="286">
        <v>0</v>
      </c>
      <c r="K153" s="15">
        <f>ROUND(F153*0.012,2)</f>
        <v>0</v>
      </c>
      <c r="L153" s="286">
        <v>0</v>
      </c>
      <c r="M153" s="286">
        <v>0</v>
      </c>
      <c r="N153" s="286"/>
      <c r="O153" s="286">
        <v>0</v>
      </c>
      <c r="P153" s="286"/>
      <c r="Q153" s="290">
        <v>6.7560000000000002</v>
      </c>
      <c r="R153" s="15" t="s">
        <v>4</v>
      </c>
      <c r="S153" s="60" t="s">
        <v>2322</v>
      </c>
    </row>
    <row r="154" spans="1:19" s="58" customFormat="1" ht="15" hidden="1">
      <c r="A154" s="16">
        <v>30</v>
      </c>
      <c r="B154" s="433" t="s">
        <v>239</v>
      </c>
      <c r="C154" s="53">
        <f>'R-1'!I168</f>
        <v>0</v>
      </c>
      <c r="D154" s="53">
        <f>'R-1'!I349</f>
        <v>0</v>
      </c>
      <c r="E154" s="53">
        <f>'R-1'!I490</f>
        <v>0</v>
      </c>
      <c r="F154" s="53">
        <f t="shared" si="18"/>
        <v>0</v>
      </c>
      <c r="G154" s="53" t="s">
        <v>422</v>
      </c>
      <c r="H154" s="53"/>
      <c r="I154" s="9">
        <f t="shared" si="5"/>
        <v>0</v>
      </c>
      <c r="J154" s="208">
        <v>0</v>
      </c>
      <c r="K154" s="10">
        <f t="shared" si="21"/>
        <v>0</v>
      </c>
      <c r="L154" s="208">
        <v>0</v>
      </c>
      <c r="M154" s="208">
        <v>0</v>
      </c>
      <c r="N154" s="208"/>
      <c r="O154" s="208">
        <v>0</v>
      </c>
      <c r="P154" s="208"/>
      <c r="Q154" s="53">
        <v>5.46</v>
      </c>
      <c r="R154" s="10" t="s">
        <v>4</v>
      </c>
      <c r="S154" s="60" t="s">
        <v>2226</v>
      </c>
    </row>
    <row r="155" spans="1:19" s="58" customFormat="1" ht="15" hidden="1">
      <c r="A155" s="16">
        <v>30</v>
      </c>
      <c r="B155" s="433" t="s">
        <v>239</v>
      </c>
      <c r="C155" s="53">
        <f>'R-1'!I169</f>
        <v>0</v>
      </c>
      <c r="D155" s="53">
        <f>'R-1'!I350</f>
        <v>0</v>
      </c>
      <c r="E155" s="53">
        <f>'R-1'!I491</f>
        <v>0</v>
      </c>
      <c r="F155" s="53">
        <f>SUM(C155:E155)</f>
        <v>0</v>
      </c>
      <c r="G155" s="53" t="s">
        <v>422</v>
      </c>
      <c r="H155" s="53"/>
      <c r="I155" s="9">
        <f>ROUND(F155*Q155/50,2)</f>
        <v>0</v>
      </c>
      <c r="J155" s="208">
        <v>0</v>
      </c>
      <c r="K155" s="10">
        <f t="shared" si="21"/>
        <v>0</v>
      </c>
      <c r="L155" s="208">
        <v>0</v>
      </c>
      <c r="M155" s="208">
        <v>0</v>
      </c>
      <c r="N155" s="208"/>
      <c r="O155" s="208">
        <v>0</v>
      </c>
      <c r="P155" s="208"/>
      <c r="Q155" s="53">
        <v>5.46</v>
      </c>
      <c r="R155" s="10" t="s">
        <v>4</v>
      </c>
      <c r="S155" s="60" t="s">
        <v>2308</v>
      </c>
    </row>
    <row r="156" spans="1:19" s="58" customFormat="1" ht="15" hidden="1">
      <c r="A156" s="16">
        <v>30</v>
      </c>
      <c r="B156" s="433" t="s">
        <v>239</v>
      </c>
      <c r="C156" s="53">
        <f>'R-1'!I170</f>
        <v>0</v>
      </c>
      <c r="D156" s="53">
        <f>'R-1'!I351</f>
        <v>0</v>
      </c>
      <c r="E156" s="53">
        <f>'R-1'!I492</f>
        <v>0</v>
      </c>
      <c r="F156" s="53">
        <f>SUM(C156:E156)</f>
        <v>0</v>
      </c>
      <c r="G156" s="53" t="s">
        <v>422</v>
      </c>
      <c r="H156" s="53"/>
      <c r="I156" s="9">
        <f>ROUND(F156*Q156/50,2)</f>
        <v>0</v>
      </c>
      <c r="J156" s="208">
        <v>0</v>
      </c>
      <c r="K156" s="10">
        <f>ROUND(F156*0.012,2)</f>
        <v>0</v>
      </c>
      <c r="L156" s="208">
        <v>0</v>
      </c>
      <c r="M156" s="208">
        <v>0</v>
      </c>
      <c r="N156" s="208"/>
      <c r="O156" s="208">
        <v>0</v>
      </c>
      <c r="P156" s="208"/>
      <c r="Q156" s="53">
        <v>5.46</v>
      </c>
      <c r="R156" s="10" t="s">
        <v>4</v>
      </c>
      <c r="S156" s="60" t="s">
        <v>2321</v>
      </c>
    </row>
    <row r="157" spans="1:19" s="58" customFormat="1" ht="15" hidden="1">
      <c r="A157" s="16">
        <v>26</v>
      </c>
      <c r="B157" s="433" t="s">
        <v>3410</v>
      </c>
      <c r="C157" s="53">
        <f>'R-1'!I171</f>
        <v>0</v>
      </c>
      <c r="D157" s="53">
        <f>'R-1'!I352</f>
        <v>0</v>
      </c>
      <c r="E157" s="53">
        <f>'R-1'!I493</f>
        <v>0</v>
      </c>
      <c r="F157" s="53">
        <f>SUM(C157:E157)</f>
        <v>0</v>
      </c>
      <c r="G157" s="53" t="s">
        <v>422</v>
      </c>
      <c r="H157" s="53"/>
      <c r="I157" s="9">
        <f>ROUND(F157*Q157/50,2)</f>
        <v>0</v>
      </c>
      <c r="J157" s="208">
        <v>0</v>
      </c>
      <c r="K157" s="10">
        <f>ROUND(F157*0.012,2)</f>
        <v>0</v>
      </c>
      <c r="L157" s="208">
        <v>0</v>
      </c>
      <c r="M157" s="208">
        <v>0</v>
      </c>
      <c r="N157" s="208"/>
      <c r="O157" s="208">
        <v>0</v>
      </c>
      <c r="P157" s="208"/>
      <c r="Q157" s="53">
        <v>5.46</v>
      </c>
      <c r="R157" s="10" t="s">
        <v>4</v>
      </c>
      <c r="S157" s="60" t="s">
        <v>2322</v>
      </c>
    </row>
    <row r="158" spans="1:19" s="58" customFormat="1" ht="15" hidden="1">
      <c r="A158" s="16">
        <v>31</v>
      </c>
      <c r="B158" s="433" t="s">
        <v>240</v>
      </c>
      <c r="C158" s="53">
        <f>'R-1'!I172</f>
        <v>0</v>
      </c>
      <c r="D158" s="53">
        <f>'R-1'!I353</f>
        <v>0</v>
      </c>
      <c r="E158" s="53">
        <f>'R-1'!I494</f>
        <v>0</v>
      </c>
      <c r="F158" s="53">
        <f t="shared" si="18"/>
        <v>0</v>
      </c>
      <c r="G158" s="53" t="s">
        <v>422</v>
      </c>
      <c r="H158" s="53"/>
      <c r="I158" s="9">
        <f t="shared" si="5"/>
        <v>0</v>
      </c>
      <c r="J158" s="208">
        <v>0</v>
      </c>
      <c r="K158" s="10">
        <f t="shared" si="21"/>
        <v>0</v>
      </c>
      <c r="L158" s="208">
        <v>0</v>
      </c>
      <c r="M158" s="208">
        <v>0</v>
      </c>
      <c r="N158" s="208"/>
      <c r="O158" s="208">
        <v>0</v>
      </c>
      <c r="P158" s="208"/>
      <c r="Q158" s="53">
        <v>9.06</v>
      </c>
      <c r="R158" s="10" t="s">
        <v>4</v>
      </c>
      <c r="S158" s="60" t="s">
        <v>2226</v>
      </c>
    </row>
    <row r="159" spans="1:19" s="58" customFormat="1" ht="15" hidden="1">
      <c r="A159" s="16">
        <v>31</v>
      </c>
      <c r="B159" s="433" t="s">
        <v>240</v>
      </c>
      <c r="C159" s="53">
        <f>'R-1'!I173</f>
        <v>0</v>
      </c>
      <c r="D159" s="53">
        <f>'R-1'!I354</f>
        <v>0</v>
      </c>
      <c r="E159" s="53">
        <f>'R-1'!I495</f>
        <v>0</v>
      </c>
      <c r="F159" s="53">
        <f>SUM(C159:E159)</f>
        <v>0</v>
      </c>
      <c r="G159" s="53" t="s">
        <v>422</v>
      </c>
      <c r="H159" s="53"/>
      <c r="I159" s="9">
        <f>ROUND(F159*Q159/50,2)</f>
        <v>0</v>
      </c>
      <c r="J159" s="208">
        <v>0</v>
      </c>
      <c r="K159" s="10">
        <f t="shared" si="21"/>
        <v>0</v>
      </c>
      <c r="L159" s="208">
        <v>0</v>
      </c>
      <c r="M159" s="208">
        <v>0</v>
      </c>
      <c r="N159" s="208"/>
      <c r="O159" s="208">
        <v>0</v>
      </c>
      <c r="P159" s="208"/>
      <c r="Q159" s="53">
        <v>9.06</v>
      </c>
      <c r="R159" s="10" t="s">
        <v>4</v>
      </c>
      <c r="S159" s="60" t="s">
        <v>2308</v>
      </c>
    </row>
    <row r="160" spans="1:19" s="58" customFormat="1" ht="15" hidden="1">
      <c r="A160" s="16">
        <v>31</v>
      </c>
      <c r="B160" s="433" t="s">
        <v>240</v>
      </c>
      <c r="C160" s="53">
        <f>'R-1'!I174</f>
        <v>0</v>
      </c>
      <c r="D160" s="53">
        <f>'R-1'!I355</f>
        <v>0</v>
      </c>
      <c r="E160" s="53">
        <f>'R-1'!I496</f>
        <v>0</v>
      </c>
      <c r="F160" s="53">
        <f>SUM(C160:E160)</f>
        <v>0</v>
      </c>
      <c r="G160" s="53" t="s">
        <v>422</v>
      </c>
      <c r="H160" s="53"/>
      <c r="I160" s="9">
        <f>ROUND(F160*Q160/50,2)</f>
        <v>0</v>
      </c>
      <c r="J160" s="208">
        <v>0</v>
      </c>
      <c r="K160" s="10">
        <f t="shared" ref="K160:K161" si="22">ROUND(F160*0.012,2)</f>
        <v>0</v>
      </c>
      <c r="L160" s="208">
        <v>0</v>
      </c>
      <c r="M160" s="208">
        <v>0</v>
      </c>
      <c r="N160" s="208"/>
      <c r="O160" s="208">
        <v>0</v>
      </c>
      <c r="P160" s="208"/>
      <c r="Q160" s="53">
        <v>9.06</v>
      </c>
      <c r="R160" s="10" t="s">
        <v>4</v>
      </c>
      <c r="S160" s="60" t="s">
        <v>2321</v>
      </c>
    </row>
    <row r="161" spans="1:19" s="58" customFormat="1" ht="15" hidden="1">
      <c r="A161" s="16">
        <v>31</v>
      </c>
      <c r="B161" s="433" t="s">
        <v>240</v>
      </c>
      <c r="C161" s="53">
        <f>'R-1'!I175</f>
        <v>0</v>
      </c>
      <c r="D161" s="53">
        <f>'R-1'!I356</f>
        <v>0</v>
      </c>
      <c r="E161" s="53">
        <f>'R-1'!I497</f>
        <v>0</v>
      </c>
      <c r="F161" s="53">
        <f>SUM(C161:E161)</f>
        <v>0</v>
      </c>
      <c r="G161" s="53" t="s">
        <v>422</v>
      </c>
      <c r="H161" s="53"/>
      <c r="I161" s="9">
        <f>ROUND(F161*Q161/50,2)</f>
        <v>0</v>
      </c>
      <c r="J161" s="208">
        <v>0</v>
      </c>
      <c r="K161" s="10">
        <f t="shared" si="22"/>
        <v>0</v>
      </c>
      <c r="L161" s="208">
        <v>0</v>
      </c>
      <c r="M161" s="208">
        <v>0</v>
      </c>
      <c r="N161" s="208"/>
      <c r="O161" s="208">
        <v>0</v>
      </c>
      <c r="P161" s="208"/>
      <c r="Q161" s="53">
        <v>9.06</v>
      </c>
      <c r="R161" s="10" t="s">
        <v>4</v>
      </c>
      <c r="S161" s="60" t="s">
        <v>2322</v>
      </c>
    </row>
    <row r="162" spans="1:19" s="58" customFormat="1" ht="15">
      <c r="A162" s="16">
        <v>22</v>
      </c>
      <c r="B162" s="433" t="s">
        <v>1216</v>
      </c>
      <c r="C162" s="53">
        <f>'R-1'!I176</f>
        <v>19.310000000000002</v>
      </c>
      <c r="D162" s="53">
        <f>'R-1'!I357</f>
        <v>0</v>
      </c>
      <c r="E162" s="53">
        <f>'R-1'!I498</f>
        <v>0</v>
      </c>
      <c r="F162" s="53">
        <f t="shared" si="18"/>
        <v>19.310000000000002</v>
      </c>
      <c r="G162" s="53" t="s">
        <v>422</v>
      </c>
      <c r="H162" s="53"/>
      <c r="I162" s="9">
        <f t="shared" si="5"/>
        <v>1.07</v>
      </c>
      <c r="J162" s="208">
        <v>0</v>
      </c>
      <c r="K162" s="10">
        <f>ROUND(F162*0.008*1,2)</f>
        <v>0.15</v>
      </c>
      <c r="L162" s="208">
        <v>0</v>
      </c>
      <c r="M162" s="208">
        <v>0</v>
      </c>
      <c r="N162" s="208"/>
      <c r="O162" s="208">
        <v>0</v>
      </c>
      <c r="P162" s="208"/>
      <c r="Q162" s="53">
        <v>2.76</v>
      </c>
      <c r="R162" s="10" t="s">
        <v>4</v>
      </c>
      <c r="S162" s="60" t="s">
        <v>2226</v>
      </c>
    </row>
    <row r="163" spans="1:19" s="58" customFormat="1" ht="15" hidden="1">
      <c r="A163" s="16">
        <v>27</v>
      </c>
      <c r="B163" s="433" t="s">
        <v>1216</v>
      </c>
      <c r="C163" s="53">
        <f>'R-1'!I177</f>
        <v>0</v>
      </c>
      <c r="D163" s="53">
        <f>'R-1'!I358</f>
        <v>0</v>
      </c>
      <c r="E163" s="53">
        <f>'R-1'!I499</f>
        <v>0</v>
      </c>
      <c r="F163" s="53">
        <f>SUM(C163:E163)</f>
        <v>0</v>
      </c>
      <c r="G163" s="53" t="s">
        <v>422</v>
      </c>
      <c r="H163" s="53"/>
      <c r="I163" s="9">
        <f>ROUND(F163*Q163/50,2)</f>
        <v>0</v>
      </c>
      <c r="J163" s="208">
        <v>0</v>
      </c>
      <c r="K163" s="10">
        <f>ROUND(F163*0.008*1,2)</f>
        <v>0</v>
      </c>
      <c r="L163" s="208">
        <v>0</v>
      </c>
      <c r="M163" s="208">
        <v>0</v>
      </c>
      <c r="N163" s="208"/>
      <c r="O163" s="208">
        <v>0</v>
      </c>
      <c r="P163" s="208"/>
      <c r="Q163" s="53">
        <v>2.76</v>
      </c>
      <c r="R163" s="10" t="s">
        <v>4</v>
      </c>
      <c r="S163" s="60" t="s">
        <v>2308</v>
      </c>
    </row>
    <row r="164" spans="1:19" s="58" customFormat="1" ht="15" hidden="1">
      <c r="A164" s="16">
        <v>32</v>
      </c>
      <c r="B164" s="433" t="s">
        <v>1216</v>
      </c>
      <c r="C164" s="53">
        <f>'R-1'!I178</f>
        <v>0</v>
      </c>
      <c r="D164" s="53">
        <f>'R-1'!I359</f>
        <v>0</v>
      </c>
      <c r="E164" s="53">
        <f>'R-1'!I500</f>
        <v>0</v>
      </c>
      <c r="F164" s="53">
        <f>SUM(C164:E164)</f>
        <v>0</v>
      </c>
      <c r="G164" s="53" t="s">
        <v>422</v>
      </c>
      <c r="H164" s="53"/>
      <c r="I164" s="9">
        <f>ROUND(F164*Q164/50,2)</f>
        <v>0</v>
      </c>
      <c r="J164" s="208">
        <v>0</v>
      </c>
      <c r="K164" s="10">
        <f>ROUND(F164*0.008*1,2)</f>
        <v>0</v>
      </c>
      <c r="L164" s="208">
        <v>0</v>
      </c>
      <c r="M164" s="208">
        <v>0</v>
      </c>
      <c r="N164" s="208"/>
      <c r="O164" s="208">
        <v>0</v>
      </c>
      <c r="P164" s="208"/>
      <c r="Q164" s="53">
        <v>2.76</v>
      </c>
      <c r="R164" s="10" t="s">
        <v>4</v>
      </c>
      <c r="S164" s="60" t="s">
        <v>2321</v>
      </c>
    </row>
    <row r="165" spans="1:19" s="58" customFormat="1" ht="15" hidden="1">
      <c r="A165" s="16">
        <v>27</v>
      </c>
      <c r="B165" s="433" t="s">
        <v>1216</v>
      </c>
      <c r="C165" s="53">
        <f>'R-1'!I179</f>
        <v>0</v>
      </c>
      <c r="D165" s="53">
        <f>'R-1'!I360</f>
        <v>0</v>
      </c>
      <c r="E165" s="53">
        <f>'R-1'!I501</f>
        <v>0</v>
      </c>
      <c r="F165" s="53">
        <f>SUM(C165:E165)</f>
        <v>0</v>
      </c>
      <c r="G165" s="53" t="s">
        <v>422</v>
      </c>
      <c r="H165" s="53"/>
      <c r="I165" s="9">
        <f>ROUND(F165*Q165/50,2)</f>
        <v>0</v>
      </c>
      <c r="J165" s="208">
        <v>0</v>
      </c>
      <c r="K165" s="10">
        <f>ROUND(F165*0.008*1,2)</f>
        <v>0</v>
      </c>
      <c r="L165" s="208">
        <v>0</v>
      </c>
      <c r="M165" s="208">
        <v>0</v>
      </c>
      <c r="N165" s="208"/>
      <c r="O165" s="208">
        <v>0</v>
      </c>
      <c r="P165" s="208"/>
      <c r="Q165" s="53">
        <v>2.76</v>
      </c>
      <c r="R165" s="10" t="s">
        <v>4</v>
      </c>
      <c r="S165" s="60" t="s">
        <v>2322</v>
      </c>
    </row>
    <row r="166" spans="1:19" s="58" customFormat="1" ht="15" hidden="1">
      <c r="A166" s="16">
        <v>24</v>
      </c>
      <c r="B166" s="433" t="s">
        <v>2286</v>
      </c>
      <c r="C166" s="53">
        <f>'R-1'!I212</f>
        <v>0</v>
      </c>
      <c r="D166" s="53"/>
      <c r="E166" s="53"/>
      <c r="F166" s="53">
        <f t="shared" ref="F166" si="23">SUM(C166:E166)</f>
        <v>0</v>
      </c>
      <c r="G166" s="53" t="s">
        <v>422</v>
      </c>
      <c r="H166" s="53"/>
      <c r="I166" s="9">
        <f t="shared" ref="I166" si="24">ROUND(F166*Q166/50,2)</f>
        <v>0</v>
      </c>
      <c r="J166" s="208">
        <v>0</v>
      </c>
      <c r="K166" s="10">
        <f>ROUND(F166*0.009*1,2)</f>
        <v>0</v>
      </c>
      <c r="L166" s="15">
        <f>ROUND(F166*0.017,2)</f>
        <v>0</v>
      </c>
      <c r="M166" s="208">
        <v>0</v>
      </c>
      <c r="N166" s="208"/>
      <c r="O166" s="208">
        <v>0</v>
      </c>
      <c r="P166" s="208"/>
      <c r="Q166" s="53">
        <v>12</v>
      </c>
      <c r="R166" s="10" t="s">
        <v>4</v>
      </c>
      <c r="S166" s="60" t="s">
        <v>2226</v>
      </c>
    </row>
    <row r="167" spans="1:19" s="58" customFormat="1" ht="15" hidden="1">
      <c r="A167" s="16">
        <v>24</v>
      </c>
      <c r="B167" s="433" t="s">
        <v>2286</v>
      </c>
      <c r="C167" s="53">
        <f>'R-1'!I213</f>
        <v>0</v>
      </c>
      <c r="D167" s="53"/>
      <c r="E167" s="53"/>
      <c r="F167" s="53">
        <f>SUM(C167:E167)</f>
        <v>0</v>
      </c>
      <c r="G167" s="53" t="s">
        <v>422</v>
      </c>
      <c r="H167" s="53"/>
      <c r="I167" s="9">
        <f>ROUND(F167*Q167/50,2)</f>
        <v>0</v>
      </c>
      <c r="J167" s="208">
        <v>0</v>
      </c>
      <c r="K167" s="10">
        <f>ROUND(F167*0.009*1,2)</f>
        <v>0</v>
      </c>
      <c r="L167" s="15">
        <f>ROUND(F167*0.017,2)</f>
        <v>0</v>
      </c>
      <c r="M167" s="208">
        <v>0</v>
      </c>
      <c r="N167" s="208"/>
      <c r="O167" s="208">
        <v>0</v>
      </c>
      <c r="P167" s="208"/>
      <c r="Q167" s="53">
        <v>12</v>
      </c>
      <c r="R167" s="10" t="s">
        <v>4</v>
      </c>
      <c r="S167" s="60" t="s">
        <v>2308</v>
      </c>
    </row>
    <row r="168" spans="1:19" s="58" customFormat="1" ht="15" hidden="1">
      <c r="A168" s="16">
        <v>24</v>
      </c>
      <c r="B168" s="433" t="s">
        <v>2286</v>
      </c>
      <c r="C168" s="53">
        <f>'R-1'!I214</f>
        <v>0</v>
      </c>
      <c r="D168" s="53"/>
      <c r="E168" s="53"/>
      <c r="F168" s="53">
        <f>SUM(C168:E168)</f>
        <v>0</v>
      </c>
      <c r="G168" s="53" t="s">
        <v>422</v>
      </c>
      <c r="H168" s="53"/>
      <c r="I168" s="9">
        <f>ROUND(F168*Q168/50,2)</f>
        <v>0</v>
      </c>
      <c r="J168" s="208">
        <v>0</v>
      </c>
      <c r="K168" s="10">
        <f>ROUND(F168*0.009*1,2)</f>
        <v>0</v>
      </c>
      <c r="L168" s="15">
        <f>ROUND(F168*0.017,2)</f>
        <v>0</v>
      </c>
      <c r="M168" s="208">
        <v>0</v>
      </c>
      <c r="N168" s="208"/>
      <c r="O168" s="208">
        <v>0</v>
      </c>
      <c r="P168" s="208"/>
      <c r="Q168" s="53">
        <v>12</v>
      </c>
      <c r="R168" s="10" t="s">
        <v>4</v>
      </c>
      <c r="S168" s="60" t="s">
        <v>2321</v>
      </c>
    </row>
    <row r="169" spans="1:19" s="58" customFormat="1" ht="15" hidden="1">
      <c r="A169" s="16">
        <v>24</v>
      </c>
      <c r="B169" s="433" t="s">
        <v>2286</v>
      </c>
      <c r="C169" s="53">
        <f>'R-1'!I215</f>
        <v>0</v>
      </c>
      <c r="D169" s="53"/>
      <c r="E169" s="53"/>
      <c r="F169" s="53">
        <f>SUM(C169:E169)</f>
        <v>0</v>
      </c>
      <c r="G169" s="53" t="s">
        <v>422</v>
      </c>
      <c r="H169" s="53"/>
      <c r="I169" s="9">
        <f>ROUND(F169*Q169/50,2)</f>
        <v>0</v>
      </c>
      <c r="J169" s="208">
        <v>0</v>
      </c>
      <c r="K169" s="10">
        <f>ROUND(F169*0.009*1,2)</f>
        <v>0</v>
      </c>
      <c r="L169" s="15">
        <f>ROUND(F169*0.017,2)</f>
        <v>0</v>
      </c>
      <c r="M169" s="208">
        <v>0</v>
      </c>
      <c r="N169" s="208"/>
      <c r="O169" s="208">
        <v>0</v>
      </c>
      <c r="P169" s="208"/>
      <c r="Q169" s="53">
        <v>12</v>
      </c>
      <c r="R169" s="10" t="s">
        <v>4</v>
      </c>
      <c r="S169" s="60" t="s">
        <v>2322</v>
      </c>
    </row>
    <row r="170" spans="1:19" s="58" customFormat="1">
      <c r="A170" s="16">
        <v>23</v>
      </c>
      <c r="B170" s="39" t="s">
        <v>982</v>
      </c>
      <c r="C170" s="53">
        <f>'R-1'!I232</f>
        <v>4.88</v>
      </c>
      <c r="D170" s="53">
        <f>'R-1'!I377</f>
        <v>0</v>
      </c>
      <c r="E170" s="53">
        <f>'R-1'!I518</f>
        <v>0</v>
      </c>
      <c r="F170" s="53">
        <f t="shared" si="18"/>
        <v>4.88</v>
      </c>
      <c r="G170" s="53" t="s">
        <v>29</v>
      </c>
      <c r="H170" s="53"/>
      <c r="I170" s="9">
        <f>ROUND(F170*Q170/50,2)</f>
        <v>0</v>
      </c>
      <c r="J170" s="208">
        <v>0</v>
      </c>
      <c r="K170" s="10"/>
      <c r="L170" s="208">
        <v>0</v>
      </c>
      <c r="M170" s="208">
        <v>0</v>
      </c>
      <c r="N170" s="208"/>
      <c r="O170" s="208">
        <v>0</v>
      </c>
      <c r="P170" s="10">
        <f>F170</f>
        <v>4.88</v>
      </c>
      <c r="Q170" s="53"/>
      <c r="R170" s="10"/>
      <c r="S170" s="60" t="s">
        <v>2226</v>
      </c>
    </row>
    <row r="171" spans="1:19" s="58" customFormat="1" hidden="1">
      <c r="A171" s="16">
        <v>34</v>
      </c>
      <c r="B171" s="39" t="s">
        <v>982</v>
      </c>
      <c r="C171" s="53">
        <f>'R-1'!I233</f>
        <v>0</v>
      </c>
      <c r="D171" s="53">
        <f>'R-1'!I378</f>
        <v>0</v>
      </c>
      <c r="E171" s="53">
        <f>'R-1'!I519</f>
        <v>0</v>
      </c>
      <c r="F171" s="53">
        <f t="shared" ref="F171" si="25">SUM(C171:E171)</f>
        <v>0</v>
      </c>
      <c r="G171" s="53" t="s">
        <v>29</v>
      </c>
      <c r="H171" s="53"/>
      <c r="I171" s="9">
        <f t="shared" ref="I171" si="26">ROUND(F171*Q171/50,2)</f>
        <v>0</v>
      </c>
      <c r="J171" s="208">
        <v>0</v>
      </c>
      <c r="K171" s="10"/>
      <c r="L171" s="208">
        <v>0</v>
      </c>
      <c r="M171" s="208">
        <v>0</v>
      </c>
      <c r="N171" s="208"/>
      <c r="O171" s="208">
        <v>0</v>
      </c>
      <c r="P171" s="10">
        <f>F171</f>
        <v>0</v>
      </c>
      <c r="Q171" s="53"/>
      <c r="R171" s="10"/>
      <c r="S171" s="60" t="s">
        <v>2308</v>
      </c>
    </row>
    <row r="172" spans="1:19" s="58" customFormat="1" hidden="1">
      <c r="A172" s="16">
        <v>35</v>
      </c>
      <c r="B172" s="39" t="s">
        <v>982</v>
      </c>
      <c r="C172" s="53">
        <f>'R-1'!I234</f>
        <v>0</v>
      </c>
      <c r="D172" s="53">
        <f>'R-1'!I379</f>
        <v>0</v>
      </c>
      <c r="E172" s="53">
        <f>'R-1'!I520</f>
        <v>0</v>
      </c>
      <c r="F172" s="53">
        <f t="shared" ref="F172:F173" si="27">SUM(C172:E172)</f>
        <v>0</v>
      </c>
      <c r="G172" s="53" t="s">
        <v>29</v>
      </c>
      <c r="H172" s="53"/>
      <c r="I172" s="9">
        <f t="shared" ref="I172:I173" si="28">ROUND(F172*Q172/50,2)</f>
        <v>0</v>
      </c>
      <c r="J172" s="208">
        <v>0</v>
      </c>
      <c r="K172" s="10"/>
      <c r="L172" s="208">
        <v>0</v>
      </c>
      <c r="M172" s="208">
        <v>0</v>
      </c>
      <c r="N172" s="208"/>
      <c r="O172" s="208">
        <v>0</v>
      </c>
      <c r="P172" s="10">
        <f>F172</f>
        <v>0</v>
      </c>
      <c r="Q172" s="53"/>
      <c r="R172" s="10"/>
      <c r="S172" s="60" t="s">
        <v>2321</v>
      </c>
    </row>
    <row r="173" spans="1:19" s="58" customFormat="1" hidden="1">
      <c r="A173" s="16">
        <v>23</v>
      </c>
      <c r="B173" s="39" t="s">
        <v>982</v>
      </c>
      <c r="C173" s="53">
        <f>'R-1'!I235</f>
        <v>0</v>
      </c>
      <c r="D173" s="53">
        <f>'R-1'!I380</f>
        <v>0</v>
      </c>
      <c r="E173" s="53">
        <f>'R-1'!I521</f>
        <v>0</v>
      </c>
      <c r="F173" s="53">
        <f t="shared" si="27"/>
        <v>0</v>
      </c>
      <c r="G173" s="53" t="s">
        <v>29</v>
      </c>
      <c r="H173" s="53"/>
      <c r="I173" s="9">
        <f t="shared" si="28"/>
        <v>0</v>
      </c>
      <c r="J173" s="208">
        <v>0</v>
      </c>
      <c r="K173" s="10"/>
      <c r="L173" s="208">
        <v>0</v>
      </c>
      <c r="M173" s="208">
        <v>0</v>
      </c>
      <c r="N173" s="208"/>
      <c r="O173" s="208">
        <v>0</v>
      </c>
      <c r="P173" s="10">
        <f>F173</f>
        <v>0</v>
      </c>
      <c r="Q173" s="53"/>
      <c r="R173" s="10"/>
      <c r="S173" s="60" t="s">
        <v>2322</v>
      </c>
    </row>
    <row r="174" spans="1:19">
      <c r="A174" s="283">
        <v>24</v>
      </c>
      <c r="B174" s="289" t="s">
        <v>2254</v>
      </c>
      <c r="C174" s="289"/>
      <c r="D174" s="289"/>
      <c r="E174" s="289"/>
      <c r="F174" s="285">
        <v>1</v>
      </c>
      <c r="G174" s="285" t="s">
        <v>115</v>
      </c>
      <c r="H174" s="285"/>
      <c r="I174" s="15"/>
      <c r="J174" s="15"/>
      <c r="K174" s="15"/>
      <c r="L174" s="15"/>
      <c r="M174" s="15"/>
      <c r="N174" s="286">
        <f>INPUT!H108</f>
        <v>1461312</v>
      </c>
      <c r="O174" s="15"/>
      <c r="P174" s="15"/>
      <c r="Q174" s="285"/>
      <c r="R174" s="15"/>
      <c r="S174" s="213"/>
    </row>
    <row r="175" spans="1:19" hidden="1">
      <c r="A175" s="283"/>
      <c r="B175" s="289"/>
      <c r="C175" s="289"/>
      <c r="D175" s="289"/>
      <c r="E175" s="289"/>
      <c r="F175" s="285"/>
      <c r="G175" s="285"/>
      <c r="H175" s="285"/>
      <c r="I175" s="15"/>
      <c r="J175" s="15"/>
      <c r="K175" s="15"/>
      <c r="L175" s="15"/>
      <c r="M175" s="15"/>
      <c r="N175" s="15"/>
      <c r="O175" s="15"/>
      <c r="P175" s="15"/>
      <c r="Q175" s="285"/>
      <c r="R175" s="15"/>
      <c r="S175" s="213"/>
    </row>
    <row r="176" spans="1:19" ht="25.5">
      <c r="A176" s="207"/>
      <c r="B176" s="207"/>
      <c r="C176" s="207"/>
      <c r="D176" s="207"/>
      <c r="E176" s="207"/>
      <c r="F176" s="82" t="s">
        <v>103</v>
      </c>
      <c r="G176" s="207"/>
      <c r="H176" s="209">
        <f t="shared" ref="H176:P176" si="29">SUM(H4:H175)</f>
        <v>10217</v>
      </c>
      <c r="I176" s="210">
        <f t="shared" si="29"/>
        <v>544.25</v>
      </c>
      <c r="J176" s="210">
        <f t="shared" si="29"/>
        <v>99.320000000000007</v>
      </c>
      <c r="K176" s="210">
        <f t="shared" si="29"/>
        <v>21.74</v>
      </c>
      <c r="L176" s="210">
        <f t="shared" si="29"/>
        <v>39.090000000000003</v>
      </c>
      <c r="M176" s="210">
        <f t="shared" si="29"/>
        <v>19.829999999999998</v>
      </c>
      <c r="N176" s="209">
        <f t="shared" si="29"/>
        <v>1461312</v>
      </c>
      <c r="O176" s="210">
        <f t="shared" si="29"/>
        <v>29.45</v>
      </c>
      <c r="P176" s="210">
        <f t="shared" si="29"/>
        <v>4.88</v>
      </c>
      <c r="Q176" s="291" t="s">
        <v>142</v>
      </c>
      <c r="R176" s="207"/>
    </row>
    <row r="177" spans="1:18">
      <c r="A177" s="207"/>
      <c r="B177" s="207"/>
      <c r="C177" s="207"/>
      <c r="D177" s="207"/>
      <c r="E177" s="207"/>
      <c r="F177" s="82"/>
      <c r="G177" s="207"/>
      <c r="H177" s="210"/>
      <c r="I177" s="210"/>
      <c r="J177" s="210"/>
      <c r="K177" s="210"/>
      <c r="L177" s="210"/>
      <c r="M177" s="210"/>
      <c r="N177" s="209"/>
      <c r="O177" s="210"/>
      <c r="P177" s="210"/>
      <c r="Q177" s="211"/>
      <c r="R177" s="207"/>
    </row>
    <row r="178" spans="1:18">
      <c r="A178" s="207"/>
      <c r="B178" s="207"/>
      <c r="C178" s="207"/>
      <c r="D178" s="207"/>
      <c r="E178" s="207"/>
      <c r="F178" s="82"/>
      <c r="G178" s="207"/>
      <c r="H178" s="209">
        <f>INPUT!G18</f>
        <v>10217</v>
      </c>
      <c r="I178" s="210">
        <f>INPUT!E24</f>
        <v>544.25</v>
      </c>
      <c r="J178" s="210">
        <f>INPUT!E40</f>
        <v>99.320000000000007</v>
      </c>
      <c r="K178" s="210">
        <f>INPUT!E50</f>
        <v>21.740000000000002</v>
      </c>
      <c r="L178" s="210">
        <f>INPUT!E72</f>
        <v>39.090000000000003</v>
      </c>
      <c r="M178" s="210">
        <f>INPUT!E81</f>
        <v>19.829999999999998</v>
      </c>
      <c r="N178" s="209">
        <f>INPUT!G108</f>
        <v>1461312</v>
      </c>
      <c r="O178" s="210">
        <f>INPUT!E61</f>
        <v>29.45</v>
      </c>
      <c r="P178" s="210">
        <f>INPUT!E99</f>
        <v>4.88</v>
      </c>
      <c r="Q178" s="211"/>
      <c r="R178" s="207"/>
    </row>
    <row r="179" spans="1:18">
      <c r="A179" s="207"/>
      <c r="B179" s="207"/>
      <c r="C179" s="207"/>
      <c r="D179" s="207"/>
      <c r="E179" s="207"/>
      <c r="F179" s="82"/>
      <c r="G179" s="207"/>
      <c r="H179" s="209">
        <f>H178-H176</f>
        <v>0</v>
      </c>
      <c r="I179" s="210">
        <f>I178-I176</f>
        <v>0</v>
      </c>
      <c r="J179" s="210">
        <f t="shared" ref="J179:P179" si="30">J178-J176</f>
        <v>0</v>
      </c>
      <c r="K179" s="210">
        <f t="shared" si="30"/>
        <v>0</v>
      </c>
      <c r="L179" s="210">
        <f t="shared" si="30"/>
        <v>0</v>
      </c>
      <c r="M179" s="210">
        <f t="shared" si="30"/>
        <v>0</v>
      </c>
      <c r="N179" s="209">
        <f t="shared" si="30"/>
        <v>0</v>
      </c>
      <c r="O179" s="210">
        <f t="shared" si="30"/>
        <v>0</v>
      </c>
      <c r="P179" s="210">
        <f t="shared" si="30"/>
        <v>0</v>
      </c>
      <c r="Q179" s="211"/>
      <c r="R179" s="207"/>
    </row>
    <row r="181" spans="1:18">
      <c r="B181" s="60" t="s">
        <v>1164</v>
      </c>
      <c r="N181" s="364"/>
      <c r="P181" s="55"/>
      <c r="Q181" s="212"/>
      <c r="R181" s="212"/>
    </row>
    <row r="182" spans="1:18">
      <c r="B182" s="60" t="s">
        <v>980</v>
      </c>
      <c r="C182" s="213">
        <f>'SEIG P-A '!H229+'SEIG P-A '!I229+'SEIG P-A '!J229+'SEIG P-A '!K229</f>
        <v>58.92</v>
      </c>
      <c r="D182" s="60" t="s">
        <v>273</v>
      </c>
      <c r="E182" s="60">
        <v>90</v>
      </c>
      <c r="F182" s="60">
        <f>ROUND(C182*E182,0)</f>
        <v>5303</v>
      </c>
      <c r="N182" s="364"/>
      <c r="P182" s="55"/>
      <c r="Q182" s="212"/>
      <c r="R182" s="212"/>
    </row>
    <row r="183" spans="1:18">
      <c r="B183" s="60" t="s">
        <v>981</v>
      </c>
      <c r="C183" s="213">
        <f>'SEIG P-A '!L229+'SEIG P-A '!M229+'SEIG P-A '!N229+'SEIG P-A '!O229</f>
        <v>150.51</v>
      </c>
      <c r="D183" s="60" t="s">
        <v>273</v>
      </c>
      <c r="E183" s="60">
        <v>100</v>
      </c>
      <c r="F183" s="60">
        <f>ROUND(C183*E183,0)</f>
        <v>15051</v>
      </c>
      <c r="N183" s="364"/>
    </row>
    <row r="184" spans="1:18">
      <c r="B184" s="60" t="s">
        <v>846</v>
      </c>
      <c r="C184" s="213">
        <f>'SEIG P-A '!Q229</f>
        <v>23</v>
      </c>
      <c r="D184" s="60" t="s">
        <v>273</v>
      </c>
      <c r="E184" s="60">
        <v>80</v>
      </c>
      <c r="F184" s="60">
        <f>ROUND(C184*E184,0)</f>
        <v>1840</v>
      </c>
      <c r="N184" s="364"/>
    </row>
    <row r="185" spans="1:18" ht="12.6" customHeight="1">
      <c r="B185" s="60" t="s">
        <v>2548</v>
      </c>
      <c r="C185" s="213">
        <f>'SEIG P-A '!P229+'SEIG P-A '!R229</f>
        <v>13.280000000000001</v>
      </c>
      <c r="D185" s="60" t="s">
        <v>273</v>
      </c>
      <c r="E185" s="60">
        <v>45</v>
      </c>
      <c r="F185" s="60">
        <f>ROUND(C185*E185,0)</f>
        <v>598</v>
      </c>
      <c r="N185" s="364"/>
    </row>
    <row r="186" spans="1:18">
      <c r="F186" s="212">
        <f>SUM(F182:F185)</f>
        <v>22792</v>
      </c>
      <c r="N186" s="364"/>
    </row>
    <row r="618" spans="16:16">
      <c r="P618" s="60" t="s">
        <v>0</v>
      </c>
    </row>
  </sheetData>
  <autoFilter ref="A3:R176">
    <filterColumn colId="5" showButton="0">
      <customFilters>
        <customFilter operator="notEqual" val=" "/>
      </customFilters>
    </filterColumn>
  </autoFilter>
  <mergeCells count="3">
    <mergeCell ref="F3:G3"/>
    <mergeCell ref="A1:P1"/>
    <mergeCell ref="A2:P2"/>
  </mergeCells>
  <printOptions horizontalCentered="1"/>
  <pageMargins left="0.5" right="0.21" top="0.22" bottom="0.23" header="0.22" footer="0.16"/>
  <pageSetup paperSize="9" orientation="landscape" r:id="rId1"/>
</worksheet>
</file>

<file path=xl/worksheets/sheet40.xml><?xml version="1.0" encoding="utf-8"?>
<worksheet xmlns="http://schemas.openxmlformats.org/spreadsheetml/2006/main" xmlns:r="http://schemas.openxmlformats.org/officeDocument/2006/relationships">
  <sheetPr>
    <tabColor rgb="FFFF0000"/>
  </sheetPr>
  <dimension ref="A1:H57"/>
  <sheetViews>
    <sheetView view="pageBreakPreview" zoomScale="130" zoomScaleNormal="115" zoomScaleSheetLayoutView="130" workbookViewId="0">
      <selection activeCell="E6" sqref="E6:G6"/>
    </sheetView>
  </sheetViews>
  <sheetFormatPr defaultColWidth="9.140625" defaultRowHeight="12.75"/>
  <cols>
    <col min="1" max="1" width="3.28515625" style="315" customWidth="1"/>
    <col min="2" max="2" width="17.7109375" style="316" customWidth="1"/>
    <col min="3" max="3" width="17.85546875" style="316" customWidth="1"/>
    <col min="4" max="4" width="6" style="316" customWidth="1"/>
    <col min="5" max="5" width="24.140625" style="316" customWidth="1"/>
    <col min="6" max="6" width="17.140625" style="316" customWidth="1"/>
    <col min="7" max="7" width="11.85546875" style="316" customWidth="1"/>
    <col min="8" max="8" width="9.7109375" style="316" bestFit="1" customWidth="1"/>
    <col min="9" max="16384" width="9.140625" style="316"/>
  </cols>
  <sheetData>
    <row r="1" spans="1:8">
      <c r="E1" s="316" t="s">
        <v>984</v>
      </c>
    </row>
    <row r="2" spans="1:8" ht="21.75" customHeight="1">
      <c r="A2" s="1954" t="s">
        <v>985</v>
      </c>
      <c r="B2" s="1954"/>
      <c r="C2" s="1954"/>
      <c r="D2" s="1954"/>
      <c r="E2" s="1954"/>
      <c r="F2" s="1954"/>
      <c r="G2" s="1954"/>
    </row>
    <row r="3" spans="1:8" s="320" customFormat="1" ht="19.5" customHeight="1">
      <c r="A3" s="317"/>
      <c r="B3" s="318" t="s">
        <v>986</v>
      </c>
      <c r="C3" s="885" t="str">
        <f>[3]COVER!H25&amp;[3]COVER!H26</f>
        <v>(MGNREGS + Ag Dept Grant)</v>
      </c>
      <c r="D3" s="317"/>
      <c r="E3" s="319"/>
      <c r="F3" s="83" t="s">
        <v>3731</v>
      </c>
      <c r="G3" s="317"/>
    </row>
    <row r="4" spans="1:8" s="320" customFormat="1" ht="19.5" customHeight="1">
      <c r="A4" s="317"/>
      <c r="B4" s="1955" t="s">
        <v>3844</v>
      </c>
      <c r="C4" s="1955"/>
      <c r="D4" s="1955"/>
      <c r="E4" s="1955"/>
      <c r="F4" s="1955"/>
      <c r="G4" s="1955"/>
      <c r="H4" s="320">
        <f>[4]WORK!B39</f>
        <v>0</v>
      </c>
    </row>
    <row r="5" spans="1:8" s="320" customFormat="1" ht="16.5" customHeight="1">
      <c r="A5" s="321">
        <v>1</v>
      </c>
      <c r="B5" s="1956" t="s">
        <v>987</v>
      </c>
      <c r="C5" s="1957"/>
      <c r="D5" s="322" t="s">
        <v>259</v>
      </c>
      <c r="E5" s="1958" t="s">
        <v>1525</v>
      </c>
      <c r="F5" s="1959"/>
      <c r="G5" s="1960"/>
    </row>
    <row r="6" spans="1:8" s="320" customFormat="1" ht="19.5" customHeight="1">
      <c r="A6" s="321">
        <v>2</v>
      </c>
      <c r="B6" s="1956" t="s">
        <v>988</v>
      </c>
      <c r="C6" s="1957"/>
      <c r="D6" s="322" t="s">
        <v>259</v>
      </c>
      <c r="E6" s="1958" t="s">
        <v>1525</v>
      </c>
      <c r="F6" s="1959"/>
      <c r="G6" s="1960"/>
    </row>
    <row r="7" spans="1:8" s="320" customFormat="1" ht="71.25" customHeight="1">
      <c r="A7" s="321">
        <v>3</v>
      </c>
      <c r="B7" s="1956" t="s">
        <v>989</v>
      </c>
      <c r="C7" s="1957"/>
      <c r="D7" s="322" t="s">
        <v>259</v>
      </c>
      <c r="E7" s="1958" t="str">
        <f>'lead 19-20'!C2</f>
        <v>Providing Additional Space for Agriculture Staff in  Baduguleru GP of Kanigiri Mandal</v>
      </c>
      <c r="F7" s="1959"/>
      <c r="G7" s="1960"/>
    </row>
    <row r="8" spans="1:8" s="320" customFormat="1" ht="18.75" customHeight="1">
      <c r="A8" s="321">
        <v>4</v>
      </c>
      <c r="B8" s="1956" t="s">
        <v>990</v>
      </c>
      <c r="C8" s="1957"/>
      <c r="D8" s="322" t="s">
        <v>259</v>
      </c>
      <c r="E8" s="1961" t="str">
        <f>COVER!G27</f>
        <v>No: 087043102002090039</v>
      </c>
      <c r="F8" s="1959"/>
      <c r="G8" s="1960"/>
    </row>
    <row r="9" spans="1:8" s="320" customFormat="1" ht="18.75" customHeight="1">
      <c r="A9" s="321">
        <v>5</v>
      </c>
      <c r="B9" s="1962" t="s">
        <v>991</v>
      </c>
      <c r="C9" s="1962"/>
      <c r="D9" s="322" t="s">
        <v>259</v>
      </c>
      <c r="E9" s="1963" t="str">
        <f>'lead 19-20'!K4</f>
        <v>21.80 Lakhs</v>
      </c>
      <c r="F9" s="1964"/>
      <c r="G9" s="1964"/>
    </row>
    <row r="10" spans="1:8" s="320" customFormat="1" ht="38.25" customHeight="1">
      <c r="A10" s="321">
        <v>6</v>
      </c>
      <c r="B10" s="1962" t="s">
        <v>992</v>
      </c>
      <c r="C10" s="1962"/>
      <c r="D10" s="322" t="s">
        <v>259</v>
      </c>
      <c r="E10" s="1962" t="s">
        <v>993</v>
      </c>
      <c r="F10" s="1962"/>
      <c r="G10" s="1962"/>
    </row>
    <row r="11" spans="1:8" s="320" customFormat="1" ht="28.5" customHeight="1">
      <c r="A11" s="321">
        <v>7</v>
      </c>
      <c r="B11" s="1962" t="s">
        <v>994</v>
      </c>
      <c r="C11" s="1962"/>
      <c r="D11" s="322" t="s">
        <v>259</v>
      </c>
      <c r="E11" s="1962" t="s">
        <v>995</v>
      </c>
      <c r="F11" s="1962"/>
      <c r="G11" s="1962"/>
    </row>
    <row r="12" spans="1:8" s="320" customFormat="1" ht="30" customHeight="1">
      <c r="A12" s="321">
        <v>8</v>
      </c>
      <c r="B12" s="1962" t="s">
        <v>996</v>
      </c>
      <c r="C12" s="1962"/>
      <c r="D12" s="322" t="s">
        <v>259</v>
      </c>
      <c r="E12" s="1965" t="s">
        <v>3845</v>
      </c>
      <c r="F12" s="1965"/>
      <c r="G12" s="1965"/>
    </row>
    <row r="13" spans="1:8" s="320" customFormat="1" ht="28.5" customHeight="1">
      <c r="A13" s="321">
        <v>9</v>
      </c>
      <c r="B13" s="1962" t="s">
        <v>997</v>
      </c>
      <c r="C13" s="1962"/>
      <c r="D13" s="322" t="s">
        <v>259</v>
      </c>
      <c r="E13" s="1966" t="s">
        <v>3846</v>
      </c>
      <c r="F13" s="1967"/>
      <c r="G13" s="1968"/>
    </row>
    <row r="14" spans="1:8" s="320" customFormat="1" ht="16.5" customHeight="1">
      <c r="A14" s="321">
        <v>10</v>
      </c>
      <c r="B14" s="1962" t="s">
        <v>998</v>
      </c>
      <c r="C14" s="1962"/>
      <c r="D14" s="322" t="s">
        <v>259</v>
      </c>
      <c r="E14" s="1962"/>
      <c r="F14" s="1962"/>
      <c r="G14" s="1962"/>
    </row>
    <row r="15" spans="1:8" s="320" customFormat="1" ht="27.75" customHeight="1">
      <c r="A15" s="321">
        <v>11</v>
      </c>
      <c r="B15" s="1962" t="s">
        <v>999</v>
      </c>
      <c r="C15" s="1962"/>
      <c r="D15" s="322" t="s">
        <v>259</v>
      </c>
      <c r="E15" s="1962" t="s">
        <v>1000</v>
      </c>
      <c r="F15" s="1962"/>
      <c r="G15" s="1962"/>
    </row>
    <row r="16" spans="1:8" s="320" customFormat="1" ht="18.75" customHeight="1">
      <c r="A16" s="321">
        <v>12</v>
      </c>
      <c r="B16" s="1962" t="s">
        <v>1001</v>
      </c>
      <c r="C16" s="1962"/>
      <c r="D16" s="322" t="s">
        <v>259</v>
      </c>
      <c r="E16" s="1963" t="str">
        <f>E9</f>
        <v>21.80 Lakhs</v>
      </c>
      <c r="F16" s="1964"/>
      <c r="G16" s="1964"/>
    </row>
    <row r="17" spans="1:7" s="320" customFormat="1" ht="15.75" customHeight="1">
      <c r="A17" s="321">
        <v>13</v>
      </c>
      <c r="B17" s="1962" t="s">
        <v>1002</v>
      </c>
      <c r="C17" s="1962"/>
      <c r="D17" s="322" t="s">
        <v>259</v>
      </c>
      <c r="E17" s="1964"/>
      <c r="F17" s="1964"/>
      <c r="G17" s="1964"/>
    </row>
    <row r="18" spans="1:7" s="320" customFormat="1" ht="18.75" customHeight="1">
      <c r="A18" s="321">
        <v>14</v>
      </c>
      <c r="B18" s="1962" t="s">
        <v>1003</v>
      </c>
      <c r="C18" s="1962"/>
      <c r="D18" s="322" t="s">
        <v>259</v>
      </c>
      <c r="E18" s="1964" t="s">
        <v>1004</v>
      </c>
      <c r="F18" s="1964"/>
      <c r="G18" s="1964"/>
    </row>
    <row r="19" spans="1:7" s="320" customFormat="1" ht="13.5" customHeight="1">
      <c r="A19" s="321">
        <v>15</v>
      </c>
      <c r="B19" s="1962" t="s">
        <v>1005</v>
      </c>
      <c r="C19" s="1962"/>
      <c r="D19" s="322" t="s">
        <v>259</v>
      </c>
      <c r="E19" s="1964"/>
      <c r="F19" s="1964"/>
      <c r="G19" s="1964"/>
    </row>
    <row r="20" spans="1:7" s="320" customFormat="1" ht="15.75" customHeight="1">
      <c r="A20" s="321">
        <v>16</v>
      </c>
      <c r="B20" s="1962" t="s">
        <v>1006</v>
      </c>
      <c r="C20" s="1962"/>
      <c r="D20" s="322" t="s">
        <v>259</v>
      </c>
      <c r="E20" s="1964"/>
      <c r="F20" s="1964"/>
      <c r="G20" s="1964"/>
    </row>
    <row r="21" spans="1:7" s="320" customFormat="1" ht="15.75" customHeight="1">
      <c r="A21" s="321">
        <v>17</v>
      </c>
      <c r="B21" s="1962" t="s">
        <v>1007</v>
      </c>
      <c r="C21" s="1962"/>
      <c r="D21" s="322" t="s">
        <v>259</v>
      </c>
      <c r="E21" s="1964"/>
      <c r="F21" s="1964"/>
      <c r="G21" s="1964"/>
    </row>
    <row r="22" spans="1:7" s="320" customFormat="1" ht="49.5" customHeight="1">
      <c r="A22" s="321">
        <v>18</v>
      </c>
      <c r="B22" s="1962" t="s">
        <v>1008</v>
      </c>
      <c r="C22" s="1962"/>
      <c r="D22" s="322" t="s">
        <v>259</v>
      </c>
      <c r="E22" s="1964" t="s">
        <v>1009</v>
      </c>
      <c r="F22" s="1964"/>
      <c r="G22" s="1964"/>
    </row>
    <row r="23" spans="1:7" s="320" customFormat="1" ht="36" customHeight="1">
      <c r="A23" s="321">
        <v>19</v>
      </c>
      <c r="B23" s="1969" t="s">
        <v>1010</v>
      </c>
      <c r="C23" s="1969"/>
      <c r="D23" s="322" t="s">
        <v>259</v>
      </c>
      <c r="E23" s="323" t="s">
        <v>1011</v>
      </c>
      <c r="F23" s="1969" t="s">
        <v>1012</v>
      </c>
      <c r="G23" s="1969"/>
    </row>
    <row r="24" spans="1:7" s="320" customFormat="1" ht="17.25" customHeight="1">
      <c r="A24" s="321"/>
      <c r="B24" s="323" t="s">
        <v>975</v>
      </c>
      <c r="C24" s="323" t="s">
        <v>1013</v>
      </c>
      <c r="D24" s="322"/>
      <c r="E24" s="322" t="s">
        <v>1013</v>
      </c>
      <c r="F24" s="323" t="s">
        <v>975</v>
      </c>
      <c r="G24" s="323" t="s">
        <v>1013</v>
      </c>
    </row>
    <row r="25" spans="1:7" s="320" customFormat="1" ht="13.5" customHeight="1">
      <c r="A25" s="321"/>
      <c r="B25" s="323"/>
      <c r="C25" s="323"/>
      <c r="D25" s="322"/>
      <c r="E25" s="322"/>
      <c r="F25" s="323"/>
      <c r="G25" s="323"/>
    </row>
    <row r="26" spans="1:7" s="320" customFormat="1" ht="13.5" customHeight="1">
      <c r="A26" s="321"/>
      <c r="B26" s="323"/>
      <c r="C26" s="323"/>
      <c r="D26" s="322"/>
      <c r="E26" s="323"/>
      <c r="F26" s="323"/>
      <c r="G26" s="323"/>
    </row>
    <row r="27" spans="1:7" s="320" customFormat="1" ht="13.5" customHeight="1">
      <c r="A27" s="321"/>
      <c r="B27" s="323"/>
      <c r="C27" s="323"/>
      <c r="D27" s="322"/>
      <c r="E27" s="322"/>
      <c r="F27" s="323"/>
      <c r="G27" s="323"/>
    </row>
    <row r="28" spans="1:7" s="320" customFormat="1" ht="13.5" customHeight="1">
      <c r="A28" s="321"/>
      <c r="B28" s="323"/>
      <c r="C28" s="323"/>
      <c r="D28" s="322"/>
      <c r="E28" s="322"/>
      <c r="F28" s="323"/>
      <c r="G28" s="323"/>
    </row>
    <row r="29" spans="1:7" s="320" customFormat="1" ht="21" customHeight="1">
      <c r="A29" s="321">
        <v>20</v>
      </c>
      <c r="B29" s="1970" t="s">
        <v>1014</v>
      </c>
      <c r="C29" s="1971"/>
      <c r="D29" s="1971"/>
      <c r="E29" s="1971"/>
      <c r="F29" s="1971"/>
      <c r="G29" s="1972"/>
    </row>
    <row r="30" spans="1:7" s="320" customFormat="1" ht="15.75" customHeight="1">
      <c r="A30" s="321"/>
      <c r="B30" s="1962" t="s">
        <v>1015</v>
      </c>
      <c r="C30" s="1962"/>
      <c r="D30" s="322" t="s">
        <v>259</v>
      </c>
      <c r="E30" s="1964"/>
      <c r="F30" s="1964"/>
      <c r="G30" s="1964"/>
    </row>
    <row r="31" spans="1:7" s="320" customFormat="1" ht="12.75" customHeight="1">
      <c r="A31" s="321"/>
      <c r="B31" s="1962" t="s">
        <v>1016</v>
      </c>
      <c r="C31" s="1962"/>
      <c r="D31" s="322" t="s">
        <v>259</v>
      </c>
      <c r="E31" s="1964"/>
      <c r="F31" s="1964"/>
      <c r="G31" s="1964"/>
    </row>
    <row r="32" spans="1:7" s="320" customFormat="1" ht="26.25" customHeight="1">
      <c r="A32" s="321">
        <v>21</v>
      </c>
      <c r="B32" s="1962" t="s">
        <v>1017</v>
      </c>
      <c r="C32" s="1962"/>
      <c r="D32" s="322" t="s">
        <v>259</v>
      </c>
      <c r="E32" s="1964"/>
      <c r="F32" s="1964"/>
      <c r="G32" s="1964"/>
    </row>
    <row r="33" spans="1:7" s="320" customFormat="1" ht="25.5" customHeight="1">
      <c r="A33" s="321">
        <v>22</v>
      </c>
      <c r="B33" s="1962" t="s">
        <v>1018</v>
      </c>
      <c r="C33" s="1962"/>
      <c r="D33" s="322" t="s">
        <v>259</v>
      </c>
      <c r="E33" s="1964" t="s">
        <v>1009</v>
      </c>
      <c r="F33" s="1964"/>
      <c r="G33" s="1964"/>
    </row>
    <row r="34" spans="1:7" s="320" customFormat="1" ht="15.75" customHeight="1">
      <c r="A34" s="321">
        <v>23</v>
      </c>
      <c r="B34" s="1962" t="s">
        <v>1019</v>
      </c>
      <c r="C34" s="1962"/>
      <c r="D34" s="322" t="s">
        <v>259</v>
      </c>
      <c r="E34" s="1964" t="s">
        <v>1009</v>
      </c>
      <c r="F34" s="1964"/>
      <c r="G34" s="1964"/>
    </row>
    <row r="35" spans="1:7" s="320" customFormat="1" ht="26.25" customHeight="1">
      <c r="A35" s="321">
        <v>24</v>
      </c>
      <c r="B35" s="1962" t="s">
        <v>1020</v>
      </c>
      <c r="C35" s="1962"/>
      <c r="D35" s="322" t="s">
        <v>259</v>
      </c>
      <c r="E35" s="1964" t="s">
        <v>1009</v>
      </c>
      <c r="F35" s="1964"/>
      <c r="G35" s="1964"/>
    </row>
    <row r="36" spans="1:7" s="320" customFormat="1" ht="24.75" customHeight="1">
      <c r="A36" s="321">
        <v>25</v>
      </c>
      <c r="B36" s="1962" t="s">
        <v>1021</v>
      </c>
      <c r="C36" s="1962"/>
      <c r="D36" s="322" t="s">
        <v>259</v>
      </c>
      <c r="E36" s="1964" t="s">
        <v>115</v>
      </c>
      <c r="F36" s="1964"/>
      <c r="G36" s="1964"/>
    </row>
    <row r="37" spans="1:7" s="320" customFormat="1" ht="15.75" customHeight="1">
      <c r="A37" s="321">
        <v>26</v>
      </c>
      <c r="B37" s="1962" t="s">
        <v>1022</v>
      </c>
      <c r="C37" s="1962"/>
      <c r="D37" s="322" t="s">
        <v>259</v>
      </c>
      <c r="E37" s="1964" t="s">
        <v>115</v>
      </c>
      <c r="F37" s="1964"/>
      <c r="G37" s="1964"/>
    </row>
    <row r="40" spans="1:7">
      <c r="F40" s="324" t="s">
        <v>149</v>
      </c>
    </row>
    <row r="41" spans="1:7">
      <c r="F41" s="324" t="s">
        <v>2427</v>
      </c>
    </row>
    <row r="42" spans="1:7" s="320" customFormat="1" ht="21" customHeight="1">
      <c r="A42" s="321"/>
      <c r="B42" s="1970" t="s">
        <v>1023</v>
      </c>
      <c r="C42" s="1971"/>
      <c r="D42" s="1971"/>
      <c r="E42" s="1971"/>
      <c r="F42" s="1971"/>
      <c r="G42" s="1972"/>
    </row>
    <row r="43" spans="1:7" s="320" customFormat="1" ht="29.25" customHeight="1">
      <c r="A43" s="321">
        <v>27</v>
      </c>
      <c r="B43" s="1973" t="s">
        <v>1024</v>
      </c>
      <c r="C43" s="1973"/>
      <c r="D43" s="322" t="s">
        <v>259</v>
      </c>
      <c r="E43" s="1964"/>
      <c r="F43" s="1964"/>
      <c r="G43" s="1964"/>
    </row>
    <row r="44" spans="1:7" s="320" customFormat="1" ht="45" customHeight="1">
      <c r="A44" s="321">
        <v>28</v>
      </c>
      <c r="B44" s="1973" t="s">
        <v>1025</v>
      </c>
      <c r="C44" s="1973"/>
      <c r="D44" s="322" t="s">
        <v>259</v>
      </c>
      <c r="E44" s="1964"/>
      <c r="F44" s="1964"/>
      <c r="G44" s="1964"/>
    </row>
    <row r="45" spans="1:7" s="320" customFormat="1" ht="42.75" customHeight="1">
      <c r="A45" s="321">
        <v>29</v>
      </c>
      <c r="B45" s="1973" t="s">
        <v>1026</v>
      </c>
      <c r="C45" s="1973"/>
      <c r="D45" s="322" t="s">
        <v>259</v>
      </c>
      <c r="E45" s="1964"/>
      <c r="F45" s="1964"/>
      <c r="G45" s="1964"/>
    </row>
    <row r="46" spans="1:7" s="320" customFormat="1" ht="53.25" customHeight="1">
      <c r="A46" s="321">
        <v>30</v>
      </c>
      <c r="B46" s="1973" t="s">
        <v>1027</v>
      </c>
      <c r="C46" s="1973"/>
      <c r="D46" s="322" t="s">
        <v>259</v>
      </c>
      <c r="E46" s="1964"/>
      <c r="F46" s="1964"/>
      <c r="G46" s="1964"/>
    </row>
    <row r="47" spans="1:7" s="320" customFormat="1" ht="57" customHeight="1">
      <c r="A47" s="321">
        <v>31</v>
      </c>
      <c r="B47" s="1973" t="s">
        <v>1028</v>
      </c>
      <c r="C47" s="1973"/>
      <c r="D47" s="322" t="s">
        <v>259</v>
      </c>
      <c r="E47" s="1964"/>
      <c r="F47" s="1964"/>
      <c r="G47" s="1964"/>
    </row>
    <row r="48" spans="1:7" s="320" customFormat="1" ht="54.75" customHeight="1">
      <c r="A48" s="321">
        <v>32</v>
      </c>
      <c r="B48" s="1973" t="s">
        <v>1029</v>
      </c>
      <c r="C48" s="1973"/>
      <c r="D48" s="322" t="s">
        <v>259</v>
      </c>
      <c r="E48" s="1964"/>
      <c r="F48" s="1964"/>
      <c r="G48" s="1964"/>
    </row>
    <row r="49" spans="1:7" s="320" customFormat="1" ht="43.5" customHeight="1">
      <c r="A49" s="321">
        <v>33</v>
      </c>
      <c r="B49" s="1973" t="s">
        <v>1030</v>
      </c>
      <c r="C49" s="1973"/>
      <c r="D49" s="322" t="s">
        <v>259</v>
      </c>
      <c r="E49" s="1964"/>
      <c r="F49" s="1964"/>
      <c r="G49" s="1964"/>
    </row>
    <row r="50" spans="1:7" s="320" customFormat="1" ht="39.75" customHeight="1">
      <c r="A50" s="321">
        <v>34</v>
      </c>
      <c r="B50" s="1973" t="s">
        <v>1031</v>
      </c>
      <c r="C50" s="1973"/>
      <c r="D50" s="322" t="s">
        <v>259</v>
      </c>
      <c r="E50" s="1964"/>
      <c r="F50" s="1964"/>
      <c r="G50" s="1964"/>
    </row>
    <row r="51" spans="1:7" s="320" customFormat="1" ht="21" customHeight="1">
      <c r="A51" s="321">
        <v>35</v>
      </c>
      <c r="B51" s="1970" t="s">
        <v>1014</v>
      </c>
      <c r="C51" s="1971"/>
      <c r="D51" s="1971"/>
      <c r="E51" s="1971"/>
      <c r="F51" s="1971"/>
      <c r="G51" s="1972"/>
    </row>
    <row r="52" spans="1:7" s="320" customFormat="1" ht="29.25" customHeight="1">
      <c r="A52" s="321"/>
      <c r="B52" s="1962" t="s">
        <v>1032</v>
      </c>
      <c r="C52" s="1962"/>
      <c r="D52" s="322" t="s">
        <v>259</v>
      </c>
      <c r="E52" s="1964"/>
      <c r="F52" s="1964"/>
      <c r="G52" s="1964"/>
    </row>
    <row r="53" spans="1:7" s="320" customFormat="1" ht="29.25" customHeight="1">
      <c r="A53" s="321"/>
      <c r="B53" s="1962" t="s">
        <v>1016</v>
      </c>
      <c r="C53" s="1962"/>
      <c r="D53" s="322" t="s">
        <v>259</v>
      </c>
      <c r="E53" s="1964"/>
      <c r="F53" s="1964"/>
      <c r="G53" s="1964"/>
    </row>
    <row r="54" spans="1:7" s="320" customFormat="1" ht="29.25" customHeight="1">
      <c r="A54" s="321">
        <v>36</v>
      </c>
      <c r="B54" s="1962" t="s">
        <v>1017</v>
      </c>
      <c r="C54" s="1962"/>
      <c r="D54" s="322" t="s">
        <v>259</v>
      </c>
      <c r="E54" s="1964"/>
      <c r="F54" s="1964"/>
      <c r="G54" s="1964"/>
    </row>
    <row r="55" spans="1:7" s="320" customFormat="1" ht="69" customHeight="1">
      <c r="A55" s="321">
        <v>37</v>
      </c>
      <c r="B55" s="1962" t="s">
        <v>1033</v>
      </c>
      <c r="C55" s="1962"/>
      <c r="D55" s="322" t="s">
        <v>259</v>
      </c>
      <c r="E55" s="1974" t="s">
        <v>1034</v>
      </c>
      <c r="F55" s="1975"/>
      <c r="G55" s="1976"/>
    </row>
    <row r="56" spans="1:7" s="320" customFormat="1" ht="29.25" customHeight="1">
      <c r="A56" s="321">
        <v>38</v>
      </c>
      <c r="B56" s="1962" t="s">
        <v>1035</v>
      </c>
      <c r="C56" s="1962"/>
      <c r="D56" s="322" t="s">
        <v>259</v>
      </c>
      <c r="E56" s="1964"/>
      <c r="F56" s="1964"/>
      <c r="G56" s="1964"/>
    </row>
    <row r="57" spans="1:7" s="320" customFormat="1" ht="29.25" customHeight="1">
      <c r="A57" s="321">
        <v>39</v>
      </c>
      <c r="B57" s="1962" t="s">
        <v>1036</v>
      </c>
      <c r="C57" s="1962"/>
      <c r="D57" s="322" t="s">
        <v>259</v>
      </c>
      <c r="E57" s="1964"/>
      <c r="F57" s="1964"/>
      <c r="G57" s="1964"/>
    </row>
  </sheetData>
  <mergeCells count="87">
    <mergeCell ref="B55:C55"/>
    <mergeCell ref="E55:G55"/>
    <mergeCell ref="B56:C56"/>
    <mergeCell ref="E56:G56"/>
    <mergeCell ref="B57:C57"/>
    <mergeCell ref="E57:G57"/>
    <mergeCell ref="B54:C54"/>
    <mergeCell ref="E54:G54"/>
    <mergeCell ref="B48:C48"/>
    <mergeCell ref="E48:G48"/>
    <mergeCell ref="B49:C49"/>
    <mergeCell ref="E49:G49"/>
    <mergeCell ref="B50:C50"/>
    <mergeCell ref="E50:G50"/>
    <mergeCell ref="B51:G51"/>
    <mergeCell ref="B52:C52"/>
    <mergeCell ref="E52:G52"/>
    <mergeCell ref="B53:C53"/>
    <mergeCell ref="E53:G53"/>
    <mergeCell ref="B45:C45"/>
    <mergeCell ref="E45:G45"/>
    <mergeCell ref="B46:C46"/>
    <mergeCell ref="E46:G46"/>
    <mergeCell ref="B47:C47"/>
    <mergeCell ref="E47:G47"/>
    <mergeCell ref="B44:C44"/>
    <mergeCell ref="E44:G44"/>
    <mergeCell ref="B34:C34"/>
    <mergeCell ref="E34:G34"/>
    <mergeCell ref="B35:C35"/>
    <mergeCell ref="E35:G35"/>
    <mergeCell ref="B36:C36"/>
    <mergeCell ref="E36:G36"/>
    <mergeCell ref="B37:C37"/>
    <mergeCell ref="E37:G37"/>
    <mergeCell ref="B42:G42"/>
    <mergeCell ref="B43:C43"/>
    <mergeCell ref="E43:G43"/>
    <mergeCell ref="B31:C31"/>
    <mergeCell ref="E31:G31"/>
    <mergeCell ref="B32:C32"/>
    <mergeCell ref="E32:G32"/>
    <mergeCell ref="B33:C33"/>
    <mergeCell ref="E33:G33"/>
    <mergeCell ref="B30:C30"/>
    <mergeCell ref="E30:G30"/>
    <mergeCell ref="B19:C19"/>
    <mergeCell ref="E19:G19"/>
    <mergeCell ref="B20:C20"/>
    <mergeCell ref="E20:G20"/>
    <mergeCell ref="B21:C21"/>
    <mergeCell ref="E21:G21"/>
    <mergeCell ref="B22:C22"/>
    <mergeCell ref="E22:G22"/>
    <mergeCell ref="B23:C23"/>
    <mergeCell ref="F23:G23"/>
    <mergeCell ref="B29:G29"/>
    <mergeCell ref="B16:C16"/>
    <mergeCell ref="E16:G16"/>
    <mergeCell ref="B17:C17"/>
    <mergeCell ref="E17:G17"/>
    <mergeCell ref="B18:C18"/>
    <mergeCell ref="E18:G18"/>
    <mergeCell ref="B13:C13"/>
    <mergeCell ref="E13:G13"/>
    <mergeCell ref="B14:C14"/>
    <mergeCell ref="E14:G14"/>
    <mergeCell ref="B15:C15"/>
    <mergeCell ref="E15:G15"/>
    <mergeCell ref="B10:C10"/>
    <mergeCell ref="E10:G10"/>
    <mergeCell ref="B11:C11"/>
    <mergeCell ref="E11:G11"/>
    <mergeCell ref="B12:C12"/>
    <mergeCell ref="E12:G12"/>
    <mergeCell ref="B7:C7"/>
    <mergeCell ref="E7:G7"/>
    <mergeCell ref="B8:C8"/>
    <mergeCell ref="E8:G8"/>
    <mergeCell ref="B9:C9"/>
    <mergeCell ref="E9:G9"/>
    <mergeCell ref="A2:G2"/>
    <mergeCell ref="B4:G4"/>
    <mergeCell ref="B5:C5"/>
    <mergeCell ref="E5:G5"/>
    <mergeCell ref="B6:C6"/>
    <mergeCell ref="E6:G6"/>
  </mergeCells>
  <printOptions horizontalCentered="1"/>
  <pageMargins left="0.23622047244094499" right="0.15748031496063" top="0.35433070866141703" bottom="0.69" header="0.38" footer="0.23622047244094499"/>
  <pageSetup paperSize="9" scale="90" orientation="portrait" errors="blank" r:id="rId1"/>
  <headerFooter alignWithMargins="0"/>
  <rowBreaks count="1" manualBreakCount="1">
    <brk id="41" max="6" man="1"/>
  </rowBreaks>
</worksheet>
</file>

<file path=xl/worksheets/sheet41.xml><?xml version="1.0" encoding="utf-8"?>
<worksheet xmlns="http://schemas.openxmlformats.org/spreadsheetml/2006/main" xmlns:r="http://schemas.openxmlformats.org/officeDocument/2006/relationships">
  <sheetPr filterMode="1">
    <tabColor rgb="FFFF0000"/>
  </sheetPr>
  <dimension ref="A1:P313"/>
  <sheetViews>
    <sheetView showZeros="0" view="pageBreakPreview" topLeftCell="A14" zoomScale="115" zoomScaleSheetLayoutView="115" workbookViewId="0">
      <selection activeCell="I26" sqref="I26"/>
    </sheetView>
  </sheetViews>
  <sheetFormatPr defaultColWidth="9.140625" defaultRowHeight="12.75"/>
  <cols>
    <col min="1" max="1" width="2.85546875" style="85" customWidth="1"/>
    <col min="2" max="2" width="9.42578125" style="148" customWidth="1"/>
    <col min="3" max="3" width="4.7109375" style="85" customWidth="1"/>
    <col min="4" max="4" width="8.85546875" style="149" customWidth="1"/>
    <col min="5" max="5" width="33.42578125" style="85" customWidth="1"/>
    <col min="6" max="6" width="8.85546875" style="87" customWidth="1"/>
    <col min="7" max="7" width="6" style="85" customWidth="1"/>
    <col min="8" max="8" width="10.28515625" style="85" customWidth="1"/>
    <col min="9" max="9" width="9.7109375" style="85" customWidth="1"/>
    <col min="10" max="10" width="6.85546875" style="85" customWidth="1"/>
    <col min="11" max="11" width="9.140625" style="84"/>
    <col min="12" max="13" width="12.5703125" style="84" customWidth="1"/>
    <col min="14" max="16384" width="9.140625" style="85"/>
  </cols>
  <sheetData>
    <row r="1" spans="1:16" ht="23.25" customHeight="1">
      <c r="A1" s="1983" t="s">
        <v>1037</v>
      </c>
      <c r="B1" s="1984"/>
      <c r="C1" s="1984"/>
      <c r="D1" s="1984"/>
      <c r="E1" s="1984"/>
      <c r="F1" s="1984"/>
      <c r="G1" s="1984"/>
      <c r="H1" s="1984"/>
      <c r="I1" s="1984"/>
      <c r="J1" s="1984"/>
    </row>
    <row r="2" spans="1:16" ht="12" customHeight="1">
      <c r="B2" s="1985" t="s">
        <v>1038</v>
      </c>
      <c r="C2" s="1985"/>
      <c r="D2" s="1985"/>
      <c r="E2" s="86" t="str">
        <f>'C-1'!E8:G8</f>
        <v>No: 087043102002090039</v>
      </c>
      <c r="G2" s="1986" t="str">
        <f>'C-1'!C3</f>
        <v>(MGNREGS + Ag Dept Grant)</v>
      </c>
      <c r="H2" s="1986"/>
      <c r="I2" s="1986"/>
      <c r="J2" s="1986"/>
    </row>
    <row r="3" spans="1:16">
      <c r="B3" s="1980"/>
      <c r="C3" s="1980"/>
      <c r="D3" s="1980"/>
      <c r="G3" s="1979"/>
      <c r="H3" s="1979"/>
      <c r="I3" s="1979"/>
      <c r="J3" s="1979"/>
    </row>
    <row r="4" spans="1:16" ht="21" customHeight="1">
      <c r="B4" s="1987" t="str">
        <f>'lead 19-20'!B2&amp;'lead 19-20'!C2</f>
        <v>Name of the Work: Providing Additional Space for Agriculture Staff in  Baduguleru GP of Kanigiri Mandal</v>
      </c>
      <c r="C4" s="1987"/>
      <c r="D4" s="1987"/>
      <c r="E4" s="1987"/>
      <c r="F4" s="1987"/>
      <c r="G4" s="1987"/>
      <c r="H4" s="1987"/>
      <c r="I4" s="1987"/>
      <c r="J4" s="1987"/>
    </row>
    <row r="5" spans="1:16" ht="16.5" customHeight="1">
      <c r="B5" s="1988" t="str">
        <f>"Name of the Contractor : "&amp;'C-1'!E13&amp;""</f>
        <v>Name of the Contractor : Grama Panchayat, Baduguleru</v>
      </c>
      <c r="C5" s="1988"/>
      <c r="D5" s="1988"/>
      <c r="E5" s="1988"/>
      <c r="F5" s="1988"/>
      <c r="G5" s="1988"/>
      <c r="H5" s="1988"/>
      <c r="I5" s="1988"/>
      <c r="J5" s="1988"/>
    </row>
    <row r="6" spans="1:16" ht="13.5" customHeight="1">
      <c r="B6" s="1977" t="s">
        <v>3847</v>
      </c>
      <c r="C6" s="1977"/>
      <c r="D6" s="1978"/>
      <c r="E6" s="1978"/>
      <c r="F6" s="1978"/>
      <c r="G6" s="1978"/>
      <c r="H6" s="1978"/>
      <c r="I6" s="1978"/>
      <c r="J6" s="1978"/>
    </row>
    <row r="7" spans="1:16" ht="15" customHeight="1">
      <c r="B7" s="1977" t="s">
        <v>1039</v>
      </c>
      <c r="C7" s="1977"/>
      <c r="D7" s="1978"/>
      <c r="E7" s="1978"/>
      <c r="F7" s="1978"/>
      <c r="G7" s="1978"/>
      <c r="H7" s="1978"/>
      <c r="I7" s="1978"/>
      <c r="J7" s="1978"/>
    </row>
    <row r="8" spans="1:16" ht="12.75" customHeight="1">
      <c r="B8" s="1977" t="s">
        <v>1040</v>
      </c>
      <c r="C8" s="1977"/>
      <c r="D8" s="1977"/>
      <c r="E8" s="1977"/>
      <c r="F8" s="1977"/>
      <c r="G8" s="1977"/>
      <c r="H8" s="1977"/>
      <c r="I8" s="1977"/>
      <c r="J8" s="1977"/>
    </row>
    <row r="9" spans="1:16" ht="19.5" customHeight="1">
      <c r="B9" s="1977" t="s">
        <v>1041</v>
      </c>
      <c r="C9" s="1977"/>
      <c r="D9" s="1978"/>
      <c r="E9" s="1978"/>
      <c r="F9" s="1978"/>
      <c r="G9" s="1978"/>
      <c r="H9" s="1978"/>
      <c r="I9" s="1978"/>
      <c r="J9" s="1978"/>
    </row>
    <row r="10" spans="1:16" ht="13.5" customHeight="1">
      <c r="B10" s="1977" t="s">
        <v>3633</v>
      </c>
      <c r="C10" s="1977"/>
      <c r="D10" s="1978"/>
      <c r="E10" s="1979" t="s">
        <v>3732</v>
      </c>
      <c r="F10" s="1980"/>
      <c r="G10" s="240"/>
      <c r="H10" s="1981" t="s">
        <v>1042</v>
      </c>
      <c r="I10" s="1982"/>
    </row>
    <row r="11" spans="1:16" ht="13.5" customHeight="1">
      <c r="B11" s="1977" t="s">
        <v>1043</v>
      </c>
      <c r="C11" s="1977"/>
      <c r="D11" s="1977"/>
      <c r="E11" s="1979" t="s">
        <v>1044</v>
      </c>
      <c r="F11" s="1980"/>
      <c r="G11" s="238"/>
      <c r="H11" s="1977" t="s">
        <v>1045</v>
      </c>
      <c r="I11" s="1978"/>
    </row>
    <row r="12" spans="1:16" ht="7.5" customHeight="1">
      <c r="B12" s="88"/>
      <c r="C12" s="89"/>
      <c r="D12" s="90"/>
      <c r="E12" s="89"/>
      <c r="F12" s="239"/>
      <c r="G12" s="238"/>
      <c r="H12" s="238"/>
      <c r="I12" s="238"/>
      <c r="J12" s="89"/>
    </row>
    <row r="13" spans="1:16" s="92" customFormat="1" ht="24.75" customHeight="1">
      <c r="A13" s="1989" t="s">
        <v>271</v>
      </c>
      <c r="B13" s="1990" t="s">
        <v>1046</v>
      </c>
      <c r="C13" s="1990"/>
      <c r="D13" s="1990"/>
      <c r="E13" s="1990" t="s">
        <v>1047</v>
      </c>
      <c r="F13" s="1990" t="s">
        <v>1048</v>
      </c>
      <c r="G13" s="1990" t="s">
        <v>9</v>
      </c>
      <c r="H13" s="1990" t="s">
        <v>10</v>
      </c>
      <c r="I13" s="1990"/>
      <c r="J13" s="1993" t="s">
        <v>455</v>
      </c>
      <c r="K13" s="91"/>
      <c r="L13" s="91"/>
      <c r="M13" s="91"/>
    </row>
    <row r="14" spans="1:16" s="92" customFormat="1" ht="45" customHeight="1">
      <c r="A14" s="1989"/>
      <c r="B14" s="1993" t="s">
        <v>1049</v>
      </c>
      <c r="C14" s="1994"/>
      <c r="D14" s="93" t="s">
        <v>1050</v>
      </c>
      <c r="E14" s="1990"/>
      <c r="F14" s="1990"/>
      <c r="G14" s="1990"/>
      <c r="H14" s="241" t="s">
        <v>1051</v>
      </c>
      <c r="I14" s="241" t="s">
        <v>1052</v>
      </c>
      <c r="J14" s="1993"/>
      <c r="K14" s="94" t="s">
        <v>1053</v>
      </c>
      <c r="L14" s="94" t="s">
        <v>1054</v>
      </c>
      <c r="M14" s="94" t="s">
        <v>1055</v>
      </c>
    </row>
    <row r="15" spans="1:16" s="92" customFormat="1" ht="12">
      <c r="A15" s="243" t="s">
        <v>460</v>
      </c>
      <c r="B15" s="1993" t="s">
        <v>461</v>
      </c>
      <c r="C15" s="1994"/>
      <c r="D15" s="93" t="s">
        <v>462</v>
      </c>
      <c r="E15" s="241" t="s">
        <v>463</v>
      </c>
      <c r="F15" s="241" t="s">
        <v>464</v>
      </c>
      <c r="G15" s="241" t="s">
        <v>465</v>
      </c>
      <c r="H15" s="95" t="s">
        <v>466</v>
      </c>
      <c r="I15" s="241" t="s">
        <v>467</v>
      </c>
      <c r="J15" s="242" t="s">
        <v>468</v>
      </c>
      <c r="K15" s="91"/>
      <c r="L15" s="91"/>
      <c r="M15" s="91"/>
    </row>
    <row r="16" spans="1:16" s="105" customFormat="1" ht="15" hidden="1">
      <c r="A16" s="96"/>
      <c r="B16" s="97"/>
      <c r="C16" s="98"/>
      <c r="D16" s="99"/>
      <c r="E16" s="100"/>
      <c r="F16" s="99"/>
      <c r="G16" s="101"/>
      <c r="H16" s="102"/>
      <c r="I16" s="102"/>
      <c r="J16" s="103"/>
      <c r="K16" s="104">
        <f>INPUT!G18</f>
        <v>10217</v>
      </c>
      <c r="L16" s="105">
        <f>K16/205</f>
        <v>49.8390243902439</v>
      </c>
      <c r="N16" s="106"/>
      <c r="O16" s="106"/>
      <c r="P16" s="106"/>
    </row>
    <row r="17" spans="1:16" s="105" customFormat="1">
      <c r="A17" s="96">
        <v>1</v>
      </c>
      <c r="B17" s="105">
        <v>28.681999999999999</v>
      </c>
      <c r="C17" s="107" t="s">
        <v>146</v>
      </c>
      <c r="D17" s="99">
        <f t="shared" ref="D17:D33" si="0">B17-K17</f>
        <v>1.9999999999988916E-3</v>
      </c>
      <c r="E17" s="100" t="s">
        <v>1056</v>
      </c>
      <c r="F17" s="99">
        <v>205</v>
      </c>
      <c r="G17" s="101" t="s">
        <v>1057</v>
      </c>
      <c r="H17" s="102">
        <f t="shared" ref="H17:H33" si="1">ROUND(B17*F17,0)</f>
        <v>5880</v>
      </c>
      <c r="I17" s="102">
        <f t="shared" ref="I17:I33" si="2">H17-L17</f>
        <v>0</v>
      </c>
      <c r="J17" s="103"/>
      <c r="K17" s="105">
        <v>28.68</v>
      </c>
      <c r="L17" s="105">
        <v>5880</v>
      </c>
      <c r="N17" s="106" t="s">
        <v>1058</v>
      </c>
      <c r="O17" s="106"/>
      <c r="P17" s="106"/>
    </row>
    <row r="18" spans="1:16" s="105" customFormat="1">
      <c r="A18" s="96">
        <v>2</v>
      </c>
      <c r="B18" s="97">
        <f>INPUT!E26</f>
        <v>544.25</v>
      </c>
      <c r="C18" s="107" t="s">
        <v>1059</v>
      </c>
      <c r="D18" s="99">
        <f t="shared" si="0"/>
        <v>100.25</v>
      </c>
      <c r="E18" s="100" t="s">
        <v>1060</v>
      </c>
      <c r="F18" s="99">
        <f>INPUT!F26</f>
        <v>235</v>
      </c>
      <c r="G18" s="101" t="s">
        <v>1061</v>
      </c>
      <c r="H18" s="102">
        <f t="shared" si="1"/>
        <v>127899</v>
      </c>
      <c r="I18" s="102">
        <f t="shared" si="2"/>
        <v>23559</v>
      </c>
      <c r="J18" s="103"/>
      <c r="K18" s="105">
        <f>270+174</f>
        <v>444</v>
      </c>
      <c r="L18" s="105">
        <f>40890+63450</f>
        <v>104340</v>
      </c>
      <c r="N18" s="106">
        <v>87.5</v>
      </c>
      <c r="O18" s="106"/>
      <c r="P18" s="106"/>
    </row>
    <row r="19" spans="1:16" s="105" customFormat="1" hidden="1">
      <c r="A19" s="96">
        <v>3</v>
      </c>
      <c r="B19" s="97">
        <f>INPUT!E27</f>
        <v>0</v>
      </c>
      <c r="C19" s="107" t="s">
        <v>1059</v>
      </c>
      <c r="D19" s="99">
        <f t="shared" si="0"/>
        <v>0</v>
      </c>
      <c r="E19" s="100" t="s">
        <v>1060</v>
      </c>
      <c r="F19" s="99">
        <f>INPUT!F27</f>
        <v>260</v>
      </c>
      <c r="G19" s="101" t="s">
        <v>1061</v>
      </c>
      <c r="H19" s="102">
        <f t="shared" si="1"/>
        <v>0</v>
      </c>
      <c r="I19" s="102">
        <f t="shared" si="2"/>
        <v>0</v>
      </c>
      <c r="J19" s="103"/>
      <c r="N19" s="106"/>
      <c r="O19" s="106"/>
      <c r="P19" s="106"/>
    </row>
    <row r="20" spans="1:16" s="105" customFormat="1">
      <c r="A20" s="96">
        <v>3</v>
      </c>
      <c r="B20" s="97">
        <f>INPUT!E31</f>
        <v>36</v>
      </c>
      <c r="C20" s="107" t="s">
        <v>5</v>
      </c>
      <c r="D20" s="99">
        <f t="shared" ref="D20:D21" si="3">B20-K20</f>
        <v>0</v>
      </c>
      <c r="E20" s="100" t="s">
        <v>1566</v>
      </c>
      <c r="F20" s="99">
        <f>INPUT!F31</f>
        <v>375</v>
      </c>
      <c r="G20" s="101" t="s">
        <v>274</v>
      </c>
      <c r="H20" s="102">
        <f t="shared" ref="H20:H21" si="4">ROUND(B20*F20,0)</f>
        <v>13500</v>
      </c>
      <c r="I20" s="102">
        <f t="shared" ref="I20:I21" si="5">H20-L20</f>
        <v>0</v>
      </c>
      <c r="J20" s="103"/>
      <c r="K20" s="105">
        <v>36</v>
      </c>
      <c r="L20" s="105">
        <v>13500</v>
      </c>
      <c r="N20" s="106"/>
      <c r="O20" s="106"/>
      <c r="P20" s="106"/>
    </row>
    <row r="21" spans="1:16" s="105" customFormat="1">
      <c r="A21" s="96">
        <v>4</v>
      </c>
      <c r="B21" s="97">
        <f>INPUT!E32</f>
        <v>22.5</v>
      </c>
      <c r="C21" s="107" t="s">
        <v>5</v>
      </c>
      <c r="D21" s="99">
        <f t="shared" si="3"/>
        <v>0</v>
      </c>
      <c r="E21" s="100" t="s">
        <v>1567</v>
      </c>
      <c r="F21" s="99">
        <f>INPUT!F32</f>
        <v>809</v>
      </c>
      <c r="G21" s="101" t="s">
        <v>274</v>
      </c>
      <c r="H21" s="102">
        <f t="shared" si="4"/>
        <v>18203</v>
      </c>
      <c r="I21" s="102">
        <f t="shared" si="5"/>
        <v>0</v>
      </c>
      <c r="J21" s="103"/>
      <c r="K21" s="105">
        <v>22.5</v>
      </c>
      <c r="L21" s="105">
        <v>18203</v>
      </c>
      <c r="N21" s="106"/>
      <c r="O21" s="106"/>
      <c r="P21" s="106"/>
    </row>
    <row r="22" spans="1:16" s="105" customFormat="1">
      <c r="A22" s="96">
        <v>5</v>
      </c>
      <c r="B22" s="97">
        <f>INPUT!E42</f>
        <v>36.17</v>
      </c>
      <c r="C22" s="107" t="s">
        <v>5</v>
      </c>
      <c r="D22" s="99">
        <f t="shared" si="0"/>
        <v>0</v>
      </c>
      <c r="E22" s="100" t="s">
        <v>1062</v>
      </c>
      <c r="F22" s="99">
        <f>INPUT!F42</f>
        <v>1915.93</v>
      </c>
      <c r="G22" s="101" t="s">
        <v>274</v>
      </c>
      <c r="H22" s="102">
        <f t="shared" si="1"/>
        <v>69299</v>
      </c>
      <c r="I22" s="102">
        <f t="shared" si="2"/>
        <v>0</v>
      </c>
      <c r="J22" s="103"/>
      <c r="K22" s="105">
        <v>36.17</v>
      </c>
      <c r="L22" s="105">
        <v>69299</v>
      </c>
      <c r="N22" s="106"/>
      <c r="O22" s="106"/>
      <c r="P22" s="106"/>
    </row>
    <row r="23" spans="1:16" s="105" customFormat="1">
      <c r="A23" s="96">
        <v>6</v>
      </c>
      <c r="B23" s="97">
        <f>INPUT!E43</f>
        <v>40.669999999999987</v>
      </c>
      <c r="C23" s="107" t="s">
        <v>5</v>
      </c>
      <c r="D23" s="99">
        <f t="shared" ref="D23" si="6">B23-K23</f>
        <v>1.9999999999988916E-2</v>
      </c>
      <c r="E23" s="100" t="s">
        <v>1062</v>
      </c>
      <c r="F23" s="99">
        <f>INPUT!F43</f>
        <v>304.7</v>
      </c>
      <c r="G23" s="101" t="s">
        <v>274</v>
      </c>
      <c r="H23" s="102">
        <f t="shared" ref="H23" si="7">ROUND(B23*F23,0)</f>
        <v>12392</v>
      </c>
      <c r="I23" s="102">
        <f t="shared" ref="I23" si="8">H23-L23</f>
        <v>6</v>
      </c>
      <c r="J23" s="103"/>
      <c r="K23" s="105">
        <f>35.1+5.55</f>
        <v>40.65</v>
      </c>
      <c r="L23" s="105">
        <f>10695+1691</f>
        <v>12386</v>
      </c>
      <c r="N23" s="106"/>
      <c r="O23" s="106"/>
      <c r="P23" s="106"/>
    </row>
    <row r="24" spans="1:16" s="105" customFormat="1">
      <c r="A24" s="96">
        <v>7</v>
      </c>
      <c r="B24" s="97">
        <f>INPUT!E52</f>
        <v>21.72</v>
      </c>
      <c r="C24" s="107" t="s">
        <v>5</v>
      </c>
      <c r="D24" s="99">
        <f t="shared" si="0"/>
        <v>0</v>
      </c>
      <c r="E24" s="100" t="s">
        <v>1063</v>
      </c>
      <c r="F24" s="99">
        <f>INPUT!F52</f>
        <v>2059.9299999999998</v>
      </c>
      <c r="G24" s="101" t="s">
        <v>274</v>
      </c>
      <c r="H24" s="102">
        <f t="shared" si="1"/>
        <v>44742</v>
      </c>
      <c r="I24" s="102">
        <f t="shared" si="2"/>
        <v>0</v>
      </c>
      <c r="J24" s="103"/>
      <c r="K24" s="105">
        <v>21.72</v>
      </c>
      <c r="L24" s="105">
        <v>44742</v>
      </c>
      <c r="N24" s="106"/>
      <c r="O24" s="106"/>
      <c r="P24" s="106"/>
    </row>
    <row r="25" spans="1:16" s="105" customFormat="1" hidden="1">
      <c r="A25" s="96">
        <v>5</v>
      </c>
      <c r="B25" s="97">
        <f>INPUT!E53</f>
        <v>0</v>
      </c>
      <c r="C25" s="107" t="s">
        <v>5</v>
      </c>
      <c r="D25" s="99">
        <f t="shared" ref="D25" si="9">B25-K25</f>
        <v>0</v>
      </c>
      <c r="E25" s="100" t="s">
        <v>2549</v>
      </c>
      <c r="F25" s="99">
        <f>INPUT!F53</f>
        <v>304.7</v>
      </c>
      <c r="G25" s="101" t="s">
        <v>274</v>
      </c>
      <c r="H25" s="102">
        <f t="shared" ref="H25" si="10">ROUND(B25*F25,0)</f>
        <v>0</v>
      </c>
      <c r="I25" s="102">
        <f t="shared" ref="I25" si="11">H25-L25</f>
        <v>0</v>
      </c>
      <c r="J25" s="103"/>
      <c r="N25" s="106"/>
      <c r="O25" s="106"/>
      <c r="P25" s="106"/>
    </row>
    <row r="26" spans="1:16" s="105" customFormat="1">
      <c r="A26" s="96">
        <v>8</v>
      </c>
      <c r="B26" s="97">
        <f>INPUT!E73</f>
        <v>39.090000000000003</v>
      </c>
      <c r="C26" s="107" t="s">
        <v>5</v>
      </c>
      <c r="D26" s="99">
        <f t="shared" si="0"/>
        <v>1.0000000000005116E-2</v>
      </c>
      <c r="E26" s="100" t="s">
        <v>1064</v>
      </c>
      <c r="F26" s="99">
        <f>INPUT!F73</f>
        <v>1377.84</v>
      </c>
      <c r="G26" s="101" t="s">
        <v>274</v>
      </c>
      <c r="H26" s="102">
        <f t="shared" si="1"/>
        <v>53860</v>
      </c>
      <c r="I26" s="102">
        <f t="shared" si="2"/>
        <v>14</v>
      </c>
      <c r="J26" s="103"/>
      <c r="K26" s="105">
        <v>39.08</v>
      </c>
      <c r="L26" s="105">
        <v>53846</v>
      </c>
      <c r="N26" s="106"/>
      <c r="O26" s="106"/>
      <c r="P26" s="106"/>
    </row>
    <row r="27" spans="1:16" s="105" customFormat="1" hidden="1">
      <c r="A27" s="96">
        <v>7</v>
      </c>
      <c r="B27" s="97">
        <f>INPUT!E74</f>
        <v>0</v>
      </c>
      <c r="C27" s="107" t="s">
        <v>5</v>
      </c>
      <c r="D27" s="99">
        <f t="shared" ref="D27" si="12">B27-K27</f>
        <v>0</v>
      </c>
      <c r="E27" s="100" t="s">
        <v>1064</v>
      </c>
      <c r="F27" s="99">
        <f>INPUT!F74</f>
        <v>2046.91</v>
      </c>
      <c r="G27" s="101" t="s">
        <v>274</v>
      </c>
      <c r="H27" s="102">
        <f t="shared" ref="H27" si="13">ROUND(B27*F27,0)</f>
        <v>0</v>
      </c>
      <c r="I27" s="102">
        <f t="shared" ref="I27" si="14">H27-L27</f>
        <v>0</v>
      </c>
      <c r="J27" s="103"/>
      <c r="N27" s="106"/>
      <c r="O27" s="106"/>
      <c r="P27" s="106"/>
    </row>
    <row r="28" spans="1:16" s="105" customFormat="1">
      <c r="A28" s="96">
        <v>9</v>
      </c>
      <c r="B28" s="97">
        <f>INPUT!E83</f>
        <v>19.829999999999998</v>
      </c>
      <c r="C28" s="107" t="s">
        <v>5</v>
      </c>
      <c r="D28" s="99">
        <f t="shared" si="0"/>
        <v>0</v>
      </c>
      <c r="E28" s="100" t="s">
        <v>1065</v>
      </c>
      <c r="F28" s="99">
        <f>INPUT!F83</f>
        <v>1375.8</v>
      </c>
      <c r="G28" s="101" t="s">
        <v>274</v>
      </c>
      <c r="H28" s="102">
        <f t="shared" si="1"/>
        <v>27282</v>
      </c>
      <c r="I28" s="102">
        <f t="shared" si="2"/>
        <v>0</v>
      </c>
      <c r="J28" s="103"/>
      <c r="K28" s="105">
        <v>19.829999999999998</v>
      </c>
      <c r="L28" s="105">
        <v>27282</v>
      </c>
      <c r="N28" s="106"/>
      <c r="O28" s="106"/>
      <c r="P28" s="106"/>
    </row>
    <row r="29" spans="1:16" s="105" customFormat="1" hidden="1">
      <c r="A29" s="96">
        <v>7</v>
      </c>
      <c r="B29" s="97">
        <f>INPUT!E84</f>
        <v>0</v>
      </c>
      <c r="C29" s="107" t="s">
        <v>5</v>
      </c>
      <c r="D29" s="99">
        <f t="shared" ref="D29" si="15">B29-K29</f>
        <v>0</v>
      </c>
      <c r="E29" s="100" t="s">
        <v>1065</v>
      </c>
      <c r="F29" s="99">
        <f>INPUT!F84</f>
        <v>1730.8</v>
      </c>
      <c r="G29" s="101" t="s">
        <v>274</v>
      </c>
      <c r="H29" s="102">
        <f t="shared" ref="H29" si="16">ROUND(B29*F29,0)</f>
        <v>0</v>
      </c>
      <c r="I29" s="102">
        <f t="shared" ref="I29" si="17">H29-L29</f>
        <v>0</v>
      </c>
      <c r="J29" s="103"/>
      <c r="N29" s="106"/>
      <c r="O29" s="106"/>
      <c r="P29" s="106"/>
    </row>
    <row r="30" spans="1:16" s="105" customFormat="1">
      <c r="A30" s="96">
        <v>10</v>
      </c>
      <c r="B30" s="97">
        <f>K44</f>
        <v>1</v>
      </c>
      <c r="C30" s="107" t="s">
        <v>115</v>
      </c>
      <c r="D30" s="99">
        <f t="shared" si="0"/>
        <v>2.3142901721193043E-2</v>
      </c>
      <c r="E30" s="100" t="s">
        <v>1066</v>
      </c>
      <c r="F30" s="108">
        <f>K42</f>
        <v>1461312</v>
      </c>
      <c r="G30" s="101" t="s">
        <v>275</v>
      </c>
      <c r="H30" s="102">
        <f t="shared" si="1"/>
        <v>1461312</v>
      </c>
      <c r="I30" s="102">
        <f t="shared" si="2"/>
        <v>33819</v>
      </c>
      <c r="J30" s="103"/>
      <c r="K30" s="105">
        <f>L30/K43</f>
        <v>0.97685709827880696</v>
      </c>
      <c r="L30" s="105">
        <v>1427493</v>
      </c>
      <c r="N30" s="106"/>
      <c r="O30" s="106"/>
      <c r="P30" s="106"/>
    </row>
    <row r="31" spans="1:16" s="105" customFormat="1">
      <c r="A31" s="96">
        <v>11</v>
      </c>
      <c r="B31" s="97">
        <f>INPUT!E63</f>
        <v>29.45</v>
      </c>
      <c r="C31" s="107" t="s">
        <v>5</v>
      </c>
      <c r="D31" s="99">
        <f t="shared" si="0"/>
        <v>0</v>
      </c>
      <c r="E31" s="100" t="s">
        <v>1067</v>
      </c>
      <c r="F31" s="99">
        <f>INPUT!F63</f>
        <v>2059.9299999999998</v>
      </c>
      <c r="G31" s="101" t="s">
        <v>274</v>
      </c>
      <c r="H31" s="102">
        <f t="shared" si="1"/>
        <v>60665</v>
      </c>
      <c r="I31" s="102">
        <f t="shared" si="2"/>
        <v>0</v>
      </c>
      <c r="J31" s="103"/>
      <c r="K31" s="105">
        <v>29.45</v>
      </c>
      <c r="L31" s="105">
        <v>60665</v>
      </c>
      <c r="N31" s="106"/>
      <c r="O31" s="106"/>
      <c r="P31" s="106"/>
    </row>
    <row r="32" spans="1:16" s="105" customFormat="1" hidden="1">
      <c r="A32" s="96">
        <v>11</v>
      </c>
      <c r="B32" s="97">
        <f>INPUT!E64</f>
        <v>0</v>
      </c>
      <c r="C32" s="107" t="s">
        <v>5</v>
      </c>
      <c r="D32" s="99">
        <f t="shared" ref="D32" si="18">B32-K32</f>
        <v>0</v>
      </c>
      <c r="E32" s="100" t="s">
        <v>1237</v>
      </c>
      <c r="F32" s="99">
        <f>INPUT!F64</f>
        <v>1720.9999999999998</v>
      </c>
      <c r="G32" s="101" t="s">
        <v>274</v>
      </c>
      <c r="H32" s="102">
        <f t="shared" ref="H32" si="19">ROUND(B32*F32,0)</f>
        <v>0</v>
      </c>
      <c r="I32" s="102">
        <f t="shared" ref="I32" si="20">H32-L32</f>
        <v>0</v>
      </c>
      <c r="J32" s="103"/>
      <c r="N32" s="106"/>
      <c r="O32" s="106"/>
      <c r="P32" s="106"/>
    </row>
    <row r="33" spans="1:16" s="105" customFormat="1">
      <c r="A33" s="96">
        <v>12</v>
      </c>
      <c r="B33" s="222">
        <f>INPUT!E101</f>
        <v>2.2799999999999998</v>
      </c>
      <c r="C33" s="107" t="s">
        <v>29</v>
      </c>
      <c r="D33" s="99">
        <f t="shared" si="0"/>
        <v>0</v>
      </c>
      <c r="E33" s="100" t="s">
        <v>1068</v>
      </c>
      <c r="F33" s="99">
        <f>INPUT!F101</f>
        <v>48970</v>
      </c>
      <c r="G33" s="101" t="s">
        <v>280</v>
      </c>
      <c r="H33" s="102">
        <f t="shared" si="1"/>
        <v>111652</v>
      </c>
      <c r="I33" s="102">
        <f t="shared" si="2"/>
        <v>0</v>
      </c>
      <c r="J33" s="103"/>
      <c r="K33" s="105">
        <v>2.2799999999999998</v>
      </c>
      <c r="L33" s="105">
        <v>111652</v>
      </c>
      <c r="N33" s="106"/>
      <c r="O33" s="106"/>
      <c r="P33" s="106"/>
    </row>
    <row r="34" spans="1:16" s="105" customFormat="1">
      <c r="A34" s="96">
        <v>13</v>
      </c>
      <c r="B34" s="222">
        <f>INPUT!E102</f>
        <v>2.08</v>
      </c>
      <c r="C34" s="107" t="s">
        <v>29</v>
      </c>
      <c r="D34" s="99">
        <f t="shared" ref="D34:D38" si="21">B34-K34</f>
        <v>0</v>
      </c>
      <c r="E34" s="100" t="s">
        <v>1068</v>
      </c>
      <c r="F34" s="99">
        <f>INPUT!F102</f>
        <v>48380</v>
      </c>
      <c r="G34" s="101" t="s">
        <v>280</v>
      </c>
      <c r="H34" s="102">
        <f t="shared" ref="H34:H38" si="22">ROUND(B34*F34,0)</f>
        <v>100630</v>
      </c>
      <c r="I34" s="102">
        <f t="shared" ref="I34:I38" si="23">H34-L34</f>
        <v>0</v>
      </c>
      <c r="J34" s="103"/>
      <c r="K34" s="105">
        <v>2.08</v>
      </c>
      <c r="L34" s="105">
        <v>100630</v>
      </c>
      <c r="N34" s="106"/>
      <c r="O34" s="106"/>
      <c r="P34" s="106"/>
    </row>
    <row r="35" spans="1:16" s="105" customFormat="1">
      <c r="A35" s="96">
        <v>14</v>
      </c>
      <c r="B35" s="222">
        <f>INPUT!E103</f>
        <v>0.3</v>
      </c>
      <c r="C35" s="107" t="s">
        <v>29</v>
      </c>
      <c r="D35" s="99">
        <f t="shared" si="21"/>
        <v>0</v>
      </c>
      <c r="E35" s="100" t="s">
        <v>1068</v>
      </c>
      <c r="F35" s="99">
        <f>INPUT!F103</f>
        <v>62540</v>
      </c>
      <c r="G35" s="101" t="s">
        <v>280</v>
      </c>
      <c r="H35" s="102">
        <f t="shared" si="22"/>
        <v>18762</v>
      </c>
      <c r="I35" s="102">
        <f t="shared" si="23"/>
        <v>0</v>
      </c>
      <c r="J35" s="103"/>
      <c r="K35" s="105">
        <v>0.3</v>
      </c>
      <c r="L35" s="105">
        <v>18762</v>
      </c>
      <c r="N35" s="106"/>
      <c r="O35" s="106"/>
      <c r="P35" s="106"/>
    </row>
    <row r="36" spans="1:16" s="105" customFormat="1">
      <c r="A36" s="96">
        <v>15</v>
      </c>
      <c r="B36" s="222">
        <f>INPUT!E104</f>
        <v>0.22</v>
      </c>
      <c r="C36" s="107" t="s">
        <v>29</v>
      </c>
      <c r="D36" s="99">
        <f t="shared" si="21"/>
        <v>0</v>
      </c>
      <c r="E36" s="100" t="s">
        <v>1068</v>
      </c>
      <c r="F36" s="99">
        <f>INPUT!F104</f>
        <v>71980</v>
      </c>
      <c r="G36" s="101" t="s">
        <v>280</v>
      </c>
      <c r="H36" s="102">
        <f t="shared" si="22"/>
        <v>15836</v>
      </c>
      <c r="I36" s="102">
        <f t="shared" si="23"/>
        <v>0</v>
      </c>
      <c r="J36" s="103"/>
      <c r="K36" s="105">
        <v>0.22</v>
      </c>
      <c r="L36" s="105">
        <v>15836</v>
      </c>
      <c r="N36" s="106"/>
      <c r="O36" s="106"/>
      <c r="P36" s="106"/>
    </row>
    <row r="37" spans="1:16" s="105" customFormat="1" hidden="1">
      <c r="A37" s="96">
        <v>16</v>
      </c>
      <c r="B37" s="222">
        <f>INPUT!E105</f>
        <v>0</v>
      </c>
      <c r="C37" s="107" t="s">
        <v>29</v>
      </c>
      <c r="D37" s="99">
        <f t="shared" si="21"/>
        <v>0</v>
      </c>
      <c r="E37" s="100" t="s">
        <v>1068</v>
      </c>
      <c r="F37" s="99">
        <f>INPUT!F105</f>
        <v>75520</v>
      </c>
      <c r="G37" s="101" t="s">
        <v>280</v>
      </c>
      <c r="H37" s="102">
        <f t="shared" si="22"/>
        <v>0</v>
      </c>
      <c r="I37" s="102">
        <f t="shared" si="23"/>
        <v>0</v>
      </c>
      <c r="J37" s="103"/>
      <c r="N37" s="106"/>
      <c r="O37" s="106"/>
      <c r="P37" s="106"/>
    </row>
    <row r="38" spans="1:16" s="105" customFormat="1" hidden="1">
      <c r="A38" s="96">
        <v>10</v>
      </c>
      <c r="B38" s="222">
        <f>INPUT!E106</f>
        <v>0</v>
      </c>
      <c r="C38" s="107" t="s">
        <v>29</v>
      </c>
      <c r="D38" s="99">
        <f t="shared" si="21"/>
        <v>0</v>
      </c>
      <c r="E38" s="100" t="s">
        <v>1068</v>
      </c>
      <c r="F38" s="99">
        <f>INPUT!F106</f>
        <v>35000</v>
      </c>
      <c r="G38" s="101" t="s">
        <v>280</v>
      </c>
      <c r="H38" s="102">
        <f t="shared" si="22"/>
        <v>0</v>
      </c>
      <c r="I38" s="102">
        <f t="shared" si="23"/>
        <v>0</v>
      </c>
      <c r="J38" s="103"/>
      <c r="N38" s="106"/>
      <c r="O38" s="106"/>
      <c r="P38" s="106"/>
    </row>
    <row r="39" spans="1:16" s="105" customFormat="1" hidden="1">
      <c r="A39" s="96">
        <v>14</v>
      </c>
      <c r="B39" s="97">
        <v>1</v>
      </c>
      <c r="C39" s="109" t="s">
        <v>115</v>
      </c>
      <c r="D39" s="110"/>
      <c r="E39" s="100" t="s">
        <v>1601</v>
      </c>
      <c r="F39" s="99">
        <f>abstract!G17</f>
        <v>0</v>
      </c>
      <c r="G39" s="101" t="s">
        <v>275</v>
      </c>
      <c r="H39" s="102">
        <f t="shared" ref="H39" si="24">ROUND(B39*F39,0)</f>
        <v>0</v>
      </c>
      <c r="I39" s="102">
        <f t="shared" ref="I39" si="25">H39-L39</f>
        <v>0</v>
      </c>
      <c r="J39" s="103"/>
      <c r="N39" s="106"/>
      <c r="O39" s="106"/>
      <c r="P39" s="106"/>
    </row>
    <row r="40" spans="1:16" s="105" customFormat="1" hidden="1">
      <c r="A40" s="96">
        <v>13</v>
      </c>
      <c r="B40" s="97"/>
      <c r="C40" s="109" t="s">
        <v>115</v>
      </c>
      <c r="D40" s="110"/>
      <c r="E40" s="100" t="s">
        <v>2444</v>
      </c>
      <c r="F40" s="99">
        <v>20000</v>
      </c>
      <c r="G40" s="101" t="s">
        <v>275</v>
      </c>
      <c r="H40" s="102">
        <f t="shared" ref="H40" si="26">ROUND(B40*F40,0)</f>
        <v>0</v>
      </c>
      <c r="I40" s="102">
        <f t="shared" ref="I40" si="27">H40-L40</f>
        <v>0</v>
      </c>
      <c r="J40" s="103"/>
      <c r="N40" s="106"/>
      <c r="O40" s="106"/>
      <c r="P40" s="106"/>
    </row>
    <row r="41" spans="1:16" s="105" customFormat="1" hidden="1">
      <c r="A41" s="96">
        <v>14</v>
      </c>
      <c r="B41" s="97"/>
      <c r="C41" s="109" t="s">
        <v>115</v>
      </c>
      <c r="D41" s="110"/>
      <c r="E41" s="100" t="s">
        <v>2445</v>
      </c>
      <c r="F41" s="99">
        <f>'3.60 lakhs'!M1465-30000</f>
        <v>-30000</v>
      </c>
      <c r="G41" s="101" t="s">
        <v>275</v>
      </c>
      <c r="H41" s="102">
        <f t="shared" ref="H41" si="28">ROUND(B41*F41,0)</f>
        <v>0</v>
      </c>
      <c r="I41" s="102">
        <f t="shared" ref="I41" si="29">H41-L41</f>
        <v>0</v>
      </c>
      <c r="J41" s="103"/>
      <c r="N41" s="106"/>
      <c r="O41" s="106"/>
      <c r="P41" s="106"/>
    </row>
    <row r="42" spans="1:16" s="105" customFormat="1" hidden="1">
      <c r="A42" s="96">
        <v>17</v>
      </c>
      <c r="B42" s="97"/>
      <c r="C42" s="109"/>
      <c r="D42" s="110"/>
      <c r="E42" s="100"/>
      <c r="F42" s="99"/>
      <c r="G42" s="101"/>
      <c r="H42" s="102"/>
      <c r="I42" s="102"/>
      <c r="J42" s="103"/>
      <c r="K42" s="111">
        <f>K43</f>
        <v>1461312</v>
      </c>
      <c r="N42" s="106"/>
      <c r="O42" s="106"/>
      <c r="P42" s="106"/>
    </row>
    <row r="43" spans="1:16" s="105" customFormat="1">
      <c r="A43" s="96"/>
      <c r="B43" s="97"/>
      <c r="C43" s="109"/>
      <c r="D43" s="110"/>
      <c r="E43" s="100"/>
      <c r="F43" s="99"/>
      <c r="G43" s="101"/>
      <c r="H43" s="102"/>
      <c r="I43" s="102"/>
      <c r="J43" s="103"/>
      <c r="K43" s="111">
        <f>INPUT!H108</f>
        <v>1461312</v>
      </c>
      <c r="N43" s="106"/>
      <c r="O43" s="106"/>
      <c r="P43" s="106"/>
    </row>
    <row r="44" spans="1:16" s="122" customFormat="1" ht="12">
      <c r="A44" s="112"/>
      <c r="B44" s="113"/>
      <c r="C44" s="114"/>
      <c r="D44" s="115"/>
      <c r="E44" s="116"/>
      <c r="F44" s="117"/>
      <c r="G44" s="118"/>
      <c r="H44" s="119"/>
      <c r="I44" s="120"/>
      <c r="J44" s="121"/>
      <c r="K44" s="104">
        <f>K43/K42</f>
        <v>1</v>
      </c>
    </row>
    <row r="45" spans="1:16" s="130" customFormat="1" ht="18" customHeight="1">
      <c r="A45" s="123"/>
      <c r="B45" s="124"/>
      <c r="C45" s="125"/>
      <c r="D45" s="126"/>
      <c r="E45" s="1995" t="s">
        <v>1069</v>
      </c>
      <c r="F45" s="1995"/>
      <c r="G45" s="127" t="s">
        <v>1070</v>
      </c>
      <c r="H45" s="128">
        <f>SUM(H16:H44)</f>
        <v>2141914</v>
      </c>
      <c r="I45" s="128">
        <f>SUM(I16:I44)</f>
        <v>57398</v>
      </c>
      <c r="J45" s="129"/>
      <c r="L45" s="128">
        <f>SUM(L17:L44)</f>
        <v>2084516</v>
      </c>
      <c r="M45" s="128"/>
    </row>
    <row r="46" spans="1:16" s="130" customFormat="1" ht="12" customHeight="1">
      <c r="A46" s="123"/>
      <c r="B46" s="124"/>
      <c r="C46" s="125"/>
      <c r="D46" s="126"/>
      <c r="E46" s="1995" t="s">
        <v>1071</v>
      </c>
      <c r="F46" s="1995"/>
      <c r="G46" s="127" t="s">
        <v>1070</v>
      </c>
      <c r="H46" s="128">
        <f>L45</f>
        <v>2084516</v>
      </c>
      <c r="I46" s="131"/>
      <c r="J46" s="129"/>
    </row>
    <row r="47" spans="1:16" s="130" customFormat="1" ht="15" customHeight="1">
      <c r="A47" s="132"/>
      <c r="B47" s="133"/>
      <c r="C47" s="134"/>
      <c r="D47" s="135"/>
      <c r="E47" s="1996" t="s">
        <v>1072</v>
      </c>
      <c r="F47" s="1996"/>
      <c r="G47" s="136" t="s">
        <v>1070</v>
      </c>
      <c r="H47" s="137">
        <f>H45-H46</f>
        <v>57398</v>
      </c>
      <c r="I47" s="1997"/>
      <c r="J47" s="1998"/>
    </row>
    <row r="48" spans="1:16" s="92" customFormat="1" ht="30.75" customHeight="1">
      <c r="B48" s="1999" t="s">
        <v>1073</v>
      </c>
      <c r="C48" s="1999"/>
      <c r="D48" s="1999"/>
      <c r="E48" s="1999"/>
      <c r="F48" s="244"/>
      <c r="G48" s="244"/>
      <c r="H48" s="2000" t="s">
        <v>1074</v>
      </c>
      <c r="I48" s="2000"/>
      <c r="J48" s="2000"/>
      <c r="K48" s="91"/>
      <c r="L48" s="91"/>
      <c r="M48" s="91"/>
    </row>
    <row r="49" spans="1:16" s="92" customFormat="1" ht="81.75" customHeight="1">
      <c r="B49" s="138"/>
      <c r="C49" s="139"/>
      <c r="D49" s="2001" t="s">
        <v>3848</v>
      </c>
      <c r="E49" s="2001"/>
      <c r="F49" s="1992" t="s">
        <v>1075</v>
      </c>
      <c r="G49" s="1992"/>
      <c r="H49" s="1992"/>
      <c r="I49" s="1992"/>
      <c r="J49" s="1992"/>
      <c r="K49" s="91">
        <f>[4]WORK!B60</f>
        <v>0</v>
      </c>
      <c r="L49" s="91"/>
      <c r="M49" s="91"/>
    </row>
    <row r="50" spans="1:16" s="92" customFormat="1" ht="3" customHeight="1">
      <c r="B50" s="138"/>
      <c r="C50" s="139"/>
      <c r="D50" s="1991"/>
      <c r="E50" s="1991"/>
      <c r="F50" s="139"/>
      <c r="G50" s="139"/>
      <c r="H50" s="139"/>
      <c r="I50" s="139"/>
      <c r="J50" s="139"/>
      <c r="K50" s="91"/>
      <c r="L50" s="91"/>
      <c r="M50" s="91"/>
    </row>
    <row r="51" spans="1:16" s="92" customFormat="1" ht="37.5" customHeight="1">
      <c r="B51" s="138"/>
      <c r="C51" s="139"/>
      <c r="D51" s="1991" t="s">
        <v>1076</v>
      </c>
      <c r="E51" s="1991"/>
      <c r="F51" s="1992" t="s">
        <v>1077</v>
      </c>
      <c r="G51" s="1992"/>
      <c r="H51" s="1992"/>
      <c r="I51" s="1992"/>
      <c r="J51" s="1992"/>
      <c r="K51" s="91"/>
      <c r="L51" s="91"/>
      <c r="M51" s="91"/>
    </row>
    <row r="52" spans="1:16" s="92" customFormat="1" ht="21.75" customHeight="1">
      <c r="B52" s="138"/>
      <c r="C52" s="139"/>
      <c r="D52" s="1991" t="s">
        <v>1078</v>
      </c>
      <c r="E52" s="1991"/>
      <c r="F52" s="1992" t="s">
        <v>1079</v>
      </c>
      <c r="G52" s="1992"/>
      <c r="H52" s="1992"/>
      <c r="I52" s="1992" t="s">
        <v>1080</v>
      </c>
      <c r="J52" s="1992"/>
      <c r="K52" s="91"/>
      <c r="L52" s="91"/>
      <c r="M52" s="91"/>
    </row>
    <row r="53" spans="1:16" ht="12.75" customHeight="1">
      <c r="B53" s="140"/>
      <c r="C53" s="141"/>
      <c r="D53" s="2002"/>
      <c r="E53" s="2002"/>
      <c r="F53" s="2003"/>
      <c r="G53" s="2003"/>
      <c r="H53" s="2003"/>
      <c r="I53" s="2004"/>
      <c r="J53" s="2004"/>
    </row>
    <row r="54" spans="1:16" ht="15" customHeight="1">
      <c r="B54" s="140"/>
      <c r="C54" s="141"/>
      <c r="D54" s="142"/>
      <c r="E54" s="143" t="str">
        <f>'lead 19-20'!K31</f>
        <v>Assistant  Engineer</v>
      </c>
      <c r="F54" s="141"/>
      <c r="G54" s="141"/>
      <c r="H54" s="141"/>
      <c r="I54" s="246"/>
      <c r="J54" s="246"/>
    </row>
    <row r="55" spans="1:16" ht="12.75" customHeight="1">
      <c r="B55" s="140"/>
      <c r="C55" s="141"/>
      <c r="D55" s="142"/>
      <c r="E55" s="143" t="str">
        <f>'lead 19-20'!K32</f>
        <v>Mandal Praja parishad</v>
      </c>
      <c r="F55" s="141"/>
      <c r="G55" s="141"/>
      <c r="H55" s="141"/>
      <c r="I55" s="246"/>
      <c r="J55" s="246"/>
    </row>
    <row r="56" spans="1:16" ht="12.75" customHeight="1">
      <c r="B56" s="140"/>
      <c r="C56" s="141"/>
      <c r="D56" s="142"/>
      <c r="E56" s="143" t="str">
        <f>'lead 19-20'!K33</f>
        <v>Kanigiri</v>
      </c>
      <c r="F56" s="141"/>
      <c r="G56" s="141"/>
      <c r="H56" s="141"/>
      <c r="I56" s="246"/>
      <c r="J56" s="246"/>
    </row>
    <row r="57" spans="1:16" s="84" customFormat="1" ht="12.75" customHeight="1">
      <c r="A57" s="85"/>
      <c r="B57" s="140"/>
      <c r="C57" s="141"/>
      <c r="D57" s="142"/>
      <c r="E57" s="245"/>
      <c r="F57" s="141"/>
      <c r="G57" s="141"/>
      <c r="H57" s="141"/>
      <c r="I57" s="246"/>
      <c r="J57" s="246"/>
      <c r="N57" s="85"/>
      <c r="O57" s="85"/>
      <c r="P57" s="85"/>
    </row>
    <row r="58" spans="1:16" s="84" customFormat="1">
      <c r="A58" s="85"/>
      <c r="B58" s="144"/>
      <c r="C58" s="145"/>
      <c r="D58" s="146"/>
      <c r="E58" s="145"/>
      <c r="F58" s="145"/>
      <c r="G58" s="145"/>
      <c r="H58" s="145"/>
      <c r="I58" s="145"/>
      <c r="J58" s="145"/>
      <c r="N58" s="85"/>
      <c r="O58" s="85"/>
      <c r="P58" s="85"/>
    </row>
    <row r="59" spans="1:16" s="84" customFormat="1">
      <c r="A59" s="85"/>
      <c r="B59" s="144"/>
      <c r="C59" s="145"/>
      <c r="D59" s="146"/>
      <c r="E59" s="145"/>
      <c r="F59" s="145"/>
      <c r="G59" s="145"/>
      <c r="H59" s="145"/>
      <c r="I59" s="145"/>
      <c r="J59" s="145"/>
      <c r="N59" s="85"/>
      <c r="O59" s="85"/>
      <c r="P59" s="85"/>
    </row>
    <row r="60" spans="1:16" s="84" customFormat="1">
      <c r="A60" s="85"/>
      <c r="B60" s="144"/>
      <c r="C60" s="145"/>
      <c r="D60" s="146"/>
      <c r="E60" s="145"/>
      <c r="F60" s="145"/>
      <c r="G60" s="145"/>
      <c r="H60" s="145"/>
      <c r="I60" s="145"/>
      <c r="J60" s="145"/>
      <c r="N60" s="85"/>
      <c r="O60" s="85"/>
      <c r="P60" s="85"/>
    </row>
    <row r="61" spans="1:16" s="84" customFormat="1">
      <c r="A61" s="85"/>
      <c r="B61" s="144"/>
      <c r="C61" s="145"/>
      <c r="D61" s="146"/>
      <c r="E61" s="145"/>
      <c r="F61" s="145"/>
      <c r="G61" s="145"/>
      <c r="H61" s="145"/>
      <c r="I61" s="145"/>
      <c r="J61" s="145"/>
      <c r="N61" s="85"/>
      <c r="O61" s="85"/>
      <c r="P61" s="85"/>
    </row>
    <row r="62" spans="1:16" s="84" customFormat="1">
      <c r="A62" s="85"/>
      <c r="B62" s="144"/>
      <c r="C62" s="145"/>
      <c r="D62" s="146"/>
      <c r="E62" s="145"/>
      <c r="F62" s="145"/>
      <c r="G62" s="145"/>
      <c r="H62" s="145"/>
      <c r="I62" s="145"/>
      <c r="J62" s="145"/>
      <c r="N62" s="85"/>
      <c r="O62" s="85"/>
      <c r="P62" s="85"/>
    </row>
    <row r="63" spans="1:16" s="84" customFormat="1">
      <c r="A63" s="85"/>
      <c r="B63" s="144"/>
      <c r="C63" s="145"/>
      <c r="D63" s="146"/>
      <c r="E63" s="145"/>
      <c r="F63" s="145"/>
      <c r="G63" s="145"/>
      <c r="H63" s="145"/>
      <c r="I63" s="145"/>
      <c r="J63" s="145"/>
      <c r="N63" s="85"/>
      <c r="O63" s="85"/>
      <c r="P63" s="85"/>
    </row>
    <row r="64" spans="1:16" s="84" customFormat="1">
      <c r="A64" s="85"/>
      <c r="B64" s="144"/>
      <c r="C64" s="145"/>
      <c r="D64" s="146"/>
      <c r="E64" s="145"/>
      <c r="F64" s="145"/>
      <c r="G64" s="145"/>
      <c r="H64" s="145"/>
      <c r="I64" s="145"/>
      <c r="J64" s="145"/>
      <c r="N64" s="85"/>
      <c r="O64" s="85"/>
      <c r="P64" s="85"/>
    </row>
    <row r="65" spans="1:16" s="84" customFormat="1">
      <c r="A65" s="85"/>
      <c r="B65" s="144"/>
      <c r="C65" s="145"/>
      <c r="D65" s="146"/>
      <c r="E65" s="145"/>
      <c r="F65" s="145"/>
      <c r="G65" s="145"/>
      <c r="H65" s="145"/>
      <c r="I65" s="145"/>
      <c r="J65" s="145"/>
      <c r="N65" s="85"/>
      <c r="O65" s="85"/>
      <c r="P65" s="85"/>
    </row>
    <row r="66" spans="1:16" s="84" customFormat="1">
      <c r="A66" s="85"/>
      <c r="B66" s="144"/>
      <c r="C66" s="145"/>
      <c r="D66" s="146"/>
      <c r="E66" s="145"/>
      <c r="F66" s="145"/>
      <c r="G66" s="145"/>
      <c r="H66" s="145"/>
      <c r="I66" s="145"/>
      <c r="J66" s="145"/>
      <c r="N66" s="85"/>
      <c r="O66" s="85"/>
      <c r="P66" s="85"/>
    </row>
    <row r="67" spans="1:16" s="84" customFormat="1">
      <c r="A67" s="85"/>
      <c r="B67" s="144"/>
      <c r="C67" s="145"/>
      <c r="D67" s="146"/>
      <c r="E67" s="145"/>
      <c r="F67" s="145"/>
      <c r="G67" s="145"/>
      <c r="H67" s="145"/>
      <c r="I67" s="145"/>
      <c r="J67" s="145"/>
      <c r="N67" s="85"/>
      <c r="O67" s="85"/>
      <c r="P67" s="85"/>
    </row>
    <row r="68" spans="1:16" s="84" customFormat="1">
      <c r="A68" s="85"/>
      <c r="B68" s="144"/>
      <c r="C68" s="145"/>
      <c r="D68" s="146"/>
      <c r="E68" s="145"/>
      <c r="F68" s="145"/>
      <c r="G68" s="145"/>
      <c r="H68" s="145"/>
      <c r="I68" s="145"/>
      <c r="J68" s="145"/>
      <c r="N68" s="85"/>
      <c r="O68" s="85"/>
      <c r="P68" s="85"/>
    </row>
    <row r="69" spans="1:16" s="84" customFormat="1">
      <c r="A69" s="85"/>
      <c r="B69" s="144"/>
      <c r="C69" s="145"/>
      <c r="D69" s="146"/>
      <c r="E69" s="145"/>
      <c r="F69" s="145"/>
      <c r="G69" s="145"/>
      <c r="H69" s="145"/>
      <c r="I69" s="145"/>
      <c r="J69" s="145"/>
      <c r="N69" s="85"/>
      <c r="O69" s="85"/>
      <c r="P69" s="85"/>
    </row>
    <row r="70" spans="1:16" s="84" customFormat="1">
      <c r="A70" s="85"/>
      <c r="B70" s="144"/>
      <c r="C70" s="145"/>
      <c r="D70" s="146"/>
      <c r="E70" s="145"/>
      <c r="F70" s="145"/>
      <c r="G70" s="145"/>
      <c r="H70" s="145"/>
      <c r="I70" s="145"/>
      <c r="J70" s="145"/>
      <c r="N70" s="85"/>
      <c r="O70" s="85"/>
      <c r="P70" s="85"/>
    </row>
    <row r="71" spans="1:16" s="84" customFormat="1">
      <c r="A71" s="85"/>
      <c r="B71" s="144"/>
      <c r="C71" s="145"/>
      <c r="D71" s="146"/>
      <c r="E71" s="145"/>
      <c r="F71" s="145"/>
      <c r="G71" s="145"/>
      <c r="H71" s="145"/>
      <c r="I71" s="145"/>
      <c r="J71" s="145"/>
      <c r="N71" s="85"/>
      <c r="O71" s="85"/>
      <c r="P71" s="85"/>
    </row>
    <row r="72" spans="1:16" s="84" customFormat="1">
      <c r="A72" s="85"/>
      <c r="B72" s="144"/>
      <c r="C72" s="145"/>
      <c r="D72" s="146"/>
      <c r="E72" s="145"/>
      <c r="F72" s="145"/>
      <c r="G72" s="145"/>
      <c r="H72" s="145"/>
      <c r="I72" s="145"/>
      <c r="J72" s="145"/>
      <c r="N72" s="85"/>
      <c r="O72" s="85"/>
      <c r="P72" s="85"/>
    </row>
    <row r="73" spans="1:16" s="84" customFormat="1">
      <c r="A73" s="85"/>
      <c r="B73" s="144"/>
      <c r="C73" s="145"/>
      <c r="D73" s="146"/>
      <c r="E73" s="145"/>
      <c r="F73" s="145"/>
      <c r="G73" s="145"/>
      <c r="H73" s="145"/>
      <c r="I73" s="145"/>
      <c r="J73" s="145"/>
      <c r="N73" s="85"/>
      <c r="O73" s="85"/>
      <c r="P73" s="85"/>
    </row>
    <row r="74" spans="1:16" s="84" customFormat="1">
      <c r="A74" s="85"/>
      <c r="B74" s="144"/>
      <c r="C74" s="145"/>
      <c r="D74" s="146"/>
      <c r="E74" s="145"/>
      <c r="F74" s="145"/>
      <c r="G74" s="145"/>
      <c r="H74" s="145"/>
      <c r="I74" s="145"/>
      <c r="J74" s="145"/>
      <c r="N74" s="85"/>
      <c r="O74" s="85"/>
      <c r="P74" s="85"/>
    </row>
    <row r="75" spans="1:16" s="84" customFormat="1">
      <c r="A75" s="85"/>
      <c r="B75" s="144"/>
      <c r="C75" s="145"/>
      <c r="D75" s="146"/>
      <c r="E75" s="145"/>
      <c r="F75" s="145"/>
      <c r="G75" s="145"/>
      <c r="H75" s="145"/>
      <c r="I75" s="145"/>
      <c r="J75" s="145"/>
      <c r="N75" s="85"/>
      <c r="O75" s="85"/>
      <c r="P75" s="85"/>
    </row>
    <row r="76" spans="1:16" s="84" customFormat="1">
      <c r="A76" s="85"/>
      <c r="B76" s="144"/>
      <c r="C76" s="145"/>
      <c r="D76" s="146"/>
      <c r="E76" s="145"/>
      <c r="F76" s="145"/>
      <c r="G76" s="145"/>
      <c r="H76" s="145"/>
      <c r="I76" s="145"/>
      <c r="J76" s="145"/>
      <c r="N76" s="85"/>
      <c r="O76" s="85"/>
      <c r="P76" s="85"/>
    </row>
    <row r="77" spans="1:16" s="84" customFormat="1">
      <c r="A77" s="85"/>
      <c r="B77" s="144"/>
      <c r="C77" s="145"/>
      <c r="D77" s="146"/>
      <c r="E77" s="145"/>
      <c r="F77" s="145"/>
      <c r="G77" s="145"/>
      <c r="H77" s="145"/>
      <c r="I77" s="145"/>
      <c r="J77" s="145"/>
      <c r="N77" s="85"/>
      <c r="O77" s="85"/>
      <c r="P77" s="85"/>
    </row>
    <row r="78" spans="1:16" s="84" customFormat="1">
      <c r="A78" s="85"/>
      <c r="B78" s="144"/>
      <c r="C78" s="145"/>
      <c r="D78" s="146"/>
      <c r="E78" s="145"/>
      <c r="F78" s="145"/>
      <c r="G78" s="145"/>
      <c r="H78" s="145"/>
      <c r="I78" s="145"/>
      <c r="J78" s="145"/>
      <c r="N78" s="85"/>
      <c r="O78" s="85"/>
      <c r="P78" s="85"/>
    </row>
    <row r="79" spans="1:16" s="84" customFormat="1">
      <c r="A79" s="85"/>
      <c r="B79" s="144"/>
      <c r="C79" s="145"/>
      <c r="D79" s="146"/>
      <c r="E79" s="145"/>
      <c r="F79" s="145"/>
      <c r="G79" s="145"/>
      <c r="H79" s="145"/>
      <c r="I79" s="145"/>
      <c r="J79" s="145"/>
      <c r="N79" s="85"/>
      <c r="O79" s="85"/>
      <c r="P79" s="85"/>
    </row>
    <row r="80" spans="1:16" s="84" customFormat="1">
      <c r="A80" s="85"/>
      <c r="B80" s="144"/>
      <c r="C80" s="145"/>
      <c r="D80" s="146"/>
      <c r="E80" s="145"/>
      <c r="F80" s="145"/>
      <c r="G80" s="145"/>
      <c r="H80" s="145"/>
      <c r="I80" s="145"/>
      <c r="J80" s="145"/>
      <c r="N80" s="85"/>
      <c r="O80" s="85"/>
      <c r="P80" s="85"/>
    </row>
    <row r="81" spans="1:16" s="84" customFormat="1">
      <c r="A81" s="85"/>
      <c r="B81" s="144"/>
      <c r="C81" s="145"/>
      <c r="D81" s="146"/>
      <c r="E81" s="145"/>
      <c r="F81" s="145"/>
      <c r="G81" s="145"/>
      <c r="H81" s="145"/>
      <c r="I81" s="145"/>
      <c r="J81" s="145"/>
      <c r="N81" s="85"/>
      <c r="O81" s="85"/>
      <c r="P81" s="85"/>
    </row>
    <row r="82" spans="1:16" s="84" customFormat="1">
      <c r="A82" s="85"/>
      <c r="B82" s="144"/>
      <c r="C82" s="145"/>
      <c r="D82" s="146"/>
      <c r="E82" s="145"/>
      <c r="F82" s="145"/>
      <c r="G82" s="145"/>
      <c r="H82" s="145"/>
      <c r="I82" s="145"/>
      <c r="J82" s="145"/>
      <c r="N82" s="85"/>
      <c r="O82" s="85"/>
      <c r="P82" s="85"/>
    </row>
    <row r="83" spans="1:16" s="84" customFormat="1">
      <c r="A83" s="85"/>
      <c r="B83" s="144"/>
      <c r="C83" s="145"/>
      <c r="D83" s="146"/>
      <c r="E83" s="145"/>
      <c r="F83" s="145"/>
      <c r="G83" s="145"/>
      <c r="H83" s="145"/>
      <c r="I83" s="145"/>
      <c r="J83" s="145"/>
      <c r="N83" s="85"/>
      <c r="O83" s="85"/>
      <c r="P83" s="85"/>
    </row>
    <row r="84" spans="1:16" s="84" customFormat="1">
      <c r="A84" s="85"/>
      <c r="B84" s="144"/>
      <c r="C84" s="145"/>
      <c r="D84" s="146"/>
      <c r="E84" s="145"/>
      <c r="F84" s="145"/>
      <c r="G84" s="145"/>
      <c r="H84" s="145"/>
      <c r="I84" s="145"/>
      <c r="J84" s="145"/>
      <c r="N84" s="85"/>
      <c r="O84" s="85"/>
      <c r="P84" s="85"/>
    </row>
    <row r="85" spans="1:16" s="84" customFormat="1">
      <c r="A85" s="85"/>
      <c r="B85" s="144"/>
      <c r="C85" s="145"/>
      <c r="D85" s="146"/>
      <c r="E85" s="145"/>
      <c r="F85" s="145"/>
      <c r="G85" s="145"/>
      <c r="H85" s="145"/>
      <c r="I85" s="145"/>
      <c r="J85" s="145"/>
      <c r="N85" s="85"/>
      <c r="O85" s="85"/>
      <c r="P85" s="85"/>
    </row>
    <row r="86" spans="1:16" s="84" customFormat="1">
      <c r="A86" s="85"/>
      <c r="B86" s="144"/>
      <c r="C86" s="145"/>
      <c r="D86" s="146"/>
      <c r="E86" s="145"/>
      <c r="F86" s="145"/>
      <c r="G86" s="145"/>
      <c r="H86" s="145"/>
      <c r="I86" s="145"/>
      <c r="J86" s="145"/>
      <c r="N86" s="85"/>
      <c r="O86" s="85"/>
      <c r="P86" s="85"/>
    </row>
    <row r="87" spans="1:16" s="84" customFormat="1">
      <c r="A87" s="85"/>
      <c r="B87" s="144"/>
      <c r="C87" s="145"/>
      <c r="D87" s="146"/>
      <c r="E87" s="145"/>
      <c r="F87" s="145"/>
      <c r="G87" s="145"/>
      <c r="H87" s="145"/>
      <c r="I87" s="145"/>
      <c r="J87" s="145"/>
      <c r="N87" s="85"/>
      <c r="O87" s="85"/>
      <c r="P87" s="85"/>
    </row>
    <row r="88" spans="1:16" s="84" customFormat="1">
      <c r="A88" s="85"/>
      <c r="B88" s="144"/>
      <c r="C88" s="145"/>
      <c r="D88" s="146"/>
      <c r="E88" s="145"/>
      <c r="F88" s="145"/>
      <c r="G88" s="145"/>
      <c r="H88" s="145"/>
      <c r="I88" s="145"/>
      <c r="J88" s="145"/>
      <c r="N88" s="85"/>
      <c r="O88" s="85"/>
      <c r="P88" s="85"/>
    </row>
    <row r="89" spans="1:16" s="84" customFormat="1">
      <c r="A89" s="85"/>
      <c r="B89" s="144"/>
      <c r="C89" s="145"/>
      <c r="D89" s="146"/>
      <c r="E89" s="145"/>
      <c r="F89" s="145"/>
      <c r="G89" s="145"/>
      <c r="H89" s="145"/>
      <c r="I89" s="145"/>
      <c r="J89" s="145"/>
      <c r="N89" s="85"/>
      <c r="O89" s="85"/>
      <c r="P89" s="85"/>
    </row>
    <row r="90" spans="1:16" s="84" customFormat="1">
      <c r="A90" s="85"/>
      <c r="B90" s="144"/>
      <c r="C90" s="145"/>
      <c r="D90" s="146"/>
      <c r="E90" s="145"/>
      <c r="F90" s="145"/>
      <c r="G90" s="145"/>
      <c r="H90" s="145"/>
      <c r="I90" s="145"/>
      <c r="J90" s="145"/>
      <c r="N90" s="85"/>
      <c r="O90" s="85"/>
      <c r="P90" s="85"/>
    </row>
    <row r="91" spans="1:16" s="84" customFormat="1">
      <c r="A91" s="85"/>
      <c r="B91" s="144"/>
      <c r="C91" s="145"/>
      <c r="D91" s="146"/>
      <c r="E91" s="145"/>
      <c r="F91" s="145"/>
      <c r="G91" s="145"/>
      <c r="H91" s="145"/>
      <c r="I91" s="145"/>
      <c r="J91" s="145"/>
      <c r="N91" s="85"/>
      <c r="O91" s="85"/>
      <c r="P91" s="85"/>
    </row>
    <row r="92" spans="1:16" s="84" customFormat="1">
      <c r="A92" s="85"/>
      <c r="B92" s="144"/>
      <c r="C92" s="145"/>
      <c r="D92" s="146"/>
      <c r="E92" s="145"/>
      <c r="F92" s="145"/>
      <c r="G92" s="145"/>
      <c r="H92" s="145"/>
      <c r="I92" s="145"/>
      <c r="J92" s="145"/>
      <c r="N92" s="85"/>
      <c r="O92" s="85"/>
      <c r="P92" s="85"/>
    </row>
    <row r="93" spans="1:16" s="84" customFormat="1">
      <c r="A93" s="85"/>
      <c r="B93" s="144"/>
      <c r="C93" s="145"/>
      <c r="D93" s="146"/>
      <c r="E93" s="145"/>
      <c r="F93" s="145"/>
      <c r="G93" s="145"/>
      <c r="H93" s="145"/>
      <c r="I93" s="145"/>
      <c r="J93" s="145"/>
      <c r="N93" s="85"/>
      <c r="O93" s="85"/>
      <c r="P93" s="85"/>
    </row>
    <row r="94" spans="1:16" s="84" customFormat="1">
      <c r="A94" s="85"/>
      <c r="B94" s="144"/>
      <c r="C94" s="145"/>
      <c r="D94" s="146"/>
      <c r="E94" s="145"/>
      <c r="F94" s="145"/>
      <c r="G94" s="145"/>
      <c r="H94" s="145"/>
      <c r="I94" s="145"/>
      <c r="J94" s="145"/>
      <c r="N94" s="85"/>
      <c r="O94" s="85"/>
      <c r="P94" s="85"/>
    </row>
    <row r="95" spans="1:16" s="84" customFormat="1">
      <c r="A95" s="85"/>
      <c r="B95" s="144"/>
      <c r="C95" s="145"/>
      <c r="D95" s="146"/>
      <c r="E95" s="145"/>
      <c r="F95" s="145"/>
      <c r="G95" s="145"/>
      <c r="H95" s="145"/>
      <c r="I95" s="145"/>
      <c r="J95" s="145"/>
      <c r="N95" s="85"/>
      <c r="O95" s="85"/>
      <c r="P95" s="85"/>
    </row>
    <row r="96" spans="1:16" s="84" customFormat="1">
      <c r="A96" s="85"/>
      <c r="B96" s="144"/>
      <c r="C96" s="145"/>
      <c r="D96" s="146"/>
      <c r="E96" s="145"/>
      <c r="F96" s="145"/>
      <c r="G96" s="145"/>
      <c r="H96" s="145"/>
      <c r="I96" s="145"/>
      <c r="J96" s="145"/>
      <c r="N96" s="85"/>
      <c r="O96" s="85"/>
      <c r="P96" s="85"/>
    </row>
    <row r="97" spans="1:16" s="84" customFormat="1">
      <c r="A97" s="85"/>
      <c r="B97" s="144"/>
      <c r="C97" s="145"/>
      <c r="D97" s="146"/>
      <c r="E97" s="145"/>
      <c r="F97" s="145"/>
      <c r="G97" s="145"/>
      <c r="H97" s="145"/>
      <c r="I97" s="145"/>
      <c r="J97" s="145"/>
      <c r="N97" s="85"/>
      <c r="O97" s="85"/>
      <c r="P97" s="85"/>
    </row>
    <row r="98" spans="1:16" s="84" customFormat="1">
      <c r="A98" s="85"/>
      <c r="B98" s="144"/>
      <c r="C98" s="145"/>
      <c r="D98" s="146"/>
      <c r="E98" s="145"/>
      <c r="F98" s="145"/>
      <c r="G98" s="145"/>
      <c r="H98" s="145"/>
      <c r="I98" s="145"/>
      <c r="J98" s="145"/>
      <c r="N98" s="85"/>
      <c r="O98" s="85"/>
      <c r="P98" s="85"/>
    </row>
    <row r="99" spans="1:16" s="84" customFormat="1">
      <c r="A99" s="85"/>
      <c r="B99" s="144"/>
      <c r="C99" s="145"/>
      <c r="D99" s="146"/>
      <c r="E99" s="145"/>
      <c r="F99" s="145"/>
      <c r="G99" s="145"/>
      <c r="H99" s="145"/>
      <c r="I99" s="145"/>
      <c r="J99" s="145"/>
      <c r="N99" s="85"/>
      <c r="O99" s="85"/>
      <c r="P99" s="85"/>
    </row>
    <row r="100" spans="1:16" s="84" customFormat="1">
      <c r="A100" s="85"/>
      <c r="B100" s="144"/>
      <c r="C100" s="145"/>
      <c r="D100" s="146"/>
      <c r="E100" s="145"/>
      <c r="F100" s="145"/>
      <c r="G100" s="145"/>
      <c r="H100" s="145"/>
      <c r="I100" s="145"/>
      <c r="J100" s="145"/>
      <c r="N100" s="85"/>
      <c r="O100" s="85"/>
      <c r="P100" s="85"/>
    </row>
    <row r="101" spans="1:16" s="84" customFormat="1">
      <c r="A101" s="85"/>
      <c r="B101" s="144"/>
      <c r="C101" s="145"/>
      <c r="D101" s="146"/>
      <c r="E101" s="145"/>
      <c r="F101" s="145"/>
      <c r="G101" s="145"/>
      <c r="H101" s="145"/>
      <c r="I101" s="145"/>
      <c r="J101" s="145"/>
      <c r="N101" s="85"/>
      <c r="O101" s="85"/>
      <c r="P101" s="85"/>
    </row>
    <row r="102" spans="1:16" s="84" customFormat="1">
      <c r="A102" s="85"/>
      <c r="B102" s="144"/>
      <c r="C102" s="145"/>
      <c r="D102" s="146"/>
      <c r="E102" s="145"/>
      <c r="F102" s="145"/>
      <c r="G102" s="145"/>
      <c r="H102" s="145"/>
      <c r="I102" s="145"/>
      <c r="J102" s="145"/>
      <c r="N102" s="85"/>
      <c r="O102" s="85"/>
      <c r="P102" s="85"/>
    </row>
    <row r="103" spans="1:16" s="84" customFormat="1">
      <c r="A103" s="85"/>
      <c r="B103" s="144"/>
      <c r="C103" s="145"/>
      <c r="D103" s="146"/>
      <c r="E103" s="145"/>
      <c r="F103" s="145"/>
      <c r="G103" s="145"/>
      <c r="H103" s="145"/>
      <c r="I103" s="145"/>
      <c r="J103" s="145"/>
      <c r="N103" s="85"/>
      <c r="O103" s="85"/>
      <c r="P103" s="85"/>
    </row>
    <row r="104" spans="1:16" s="84" customFormat="1">
      <c r="A104" s="85"/>
      <c r="B104" s="144"/>
      <c r="C104" s="145"/>
      <c r="D104" s="146"/>
      <c r="E104" s="145"/>
      <c r="F104" s="145"/>
      <c r="G104" s="145"/>
      <c r="H104" s="145"/>
      <c r="I104" s="145"/>
      <c r="J104" s="145"/>
      <c r="N104" s="85"/>
      <c r="O104" s="85"/>
      <c r="P104" s="85"/>
    </row>
    <row r="105" spans="1:16" s="84" customFormat="1">
      <c r="A105" s="85"/>
      <c r="B105" s="144"/>
      <c r="C105" s="145"/>
      <c r="D105" s="146"/>
      <c r="E105" s="145"/>
      <c r="F105" s="145"/>
      <c r="G105" s="145"/>
      <c r="H105" s="145"/>
      <c r="I105" s="145"/>
      <c r="J105" s="145"/>
      <c r="N105" s="85"/>
      <c r="O105" s="85"/>
      <c r="P105" s="85"/>
    </row>
    <row r="106" spans="1:16" s="84" customFormat="1">
      <c r="A106" s="85"/>
      <c r="B106" s="144"/>
      <c r="C106" s="145"/>
      <c r="D106" s="146"/>
      <c r="E106" s="145"/>
      <c r="F106" s="145"/>
      <c r="G106" s="145"/>
      <c r="H106" s="145"/>
      <c r="I106" s="145"/>
      <c r="J106" s="145"/>
      <c r="N106" s="85"/>
      <c r="O106" s="85"/>
      <c r="P106" s="85"/>
    </row>
    <row r="107" spans="1:16" s="84" customFormat="1">
      <c r="A107" s="85"/>
      <c r="B107" s="144"/>
      <c r="C107" s="145"/>
      <c r="D107" s="146"/>
      <c r="E107" s="145"/>
      <c r="F107" s="145"/>
      <c r="G107" s="145"/>
      <c r="H107" s="145"/>
      <c r="I107" s="145"/>
      <c r="J107" s="145"/>
      <c r="N107" s="85"/>
      <c r="O107" s="85"/>
      <c r="P107" s="85"/>
    </row>
    <row r="108" spans="1:16" s="84" customFormat="1">
      <c r="A108" s="85"/>
      <c r="B108" s="144"/>
      <c r="C108" s="145"/>
      <c r="D108" s="146"/>
      <c r="E108" s="145"/>
      <c r="F108" s="145"/>
      <c r="G108" s="145"/>
      <c r="H108" s="145"/>
      <c r="I108" s="145"/>
      <c r="J108" s="145"/>
      <c r="N108" s="85"/>
      <c r="O108" s="85"/>
      <c r="P108" s="85"/>
    </row>
    <row r="109" spans="1:16" s="84" customFormat="1">
      <c r="A109" s="85"/>
      <c r="B109" s="144"/>
      <c r="C109" s="145"/>
      <c r="D109" s="146"/>
      <c r="E109" s="145"/>
      <c r="F109" s="145"/>
      <c r="G109" s="145"/>
      <c r="H109" s="145"/>
      <c r="I109" s="145"/>
      <c r="J109" s="145"/>
      <c r="N109" s="85"/>
      <c r="O109" s="85"/>
      <c r="P109" s="85"/>
    </row>
    <row r="110" spans="1:16" s="84" customFormat="1">
      <c r="A110" s="85"/>
      <c r="B110" s="144"/>
      <c r="C110" s="145"/>
      <c r="D110" s="146"/>
      <c r="E110" s="145"/>
      <c r="F110" s="145"/>
      <c r="G110" s="145"/>
      <c r="H110" s="145"/>
      <c r="I110" s="145"/>
      <c r="J110" s="145"/>
      <c r="N110" s="85"/>
      <c r="O110" s="85"/>
      <c r="P110" s="85"/>
    </row>
    <row r="111" spans="1:16" s="84" customFormat="1">
      <c r="A111" s="85"/>
      <c r="B111" s="144"/>
      <c r="C111" s="145"/>
      <c r="D111" s="146"/>
      <c r="E111" s="145"/>
      <c r="F111" s="145"/>
      <c r="G111" s="145"/>
      <c r="H111" s="145"/>
      <c r="I111" s="145"/>
      <c r="J111" s="145"/>
      <c r="N111" s="85"/>
      <c r="O111" s="85"/>
      <c r="P111" s="85"/>
    </row>
    <row r="112" spans="1:16" s="84" customFormat="1">
      <c r="A112" s="85"/>
      <c r="B112" s="144"/>
      <c r="C112" s="145"/>
      <c r="D112" s="146"/>
      <c r="E112" s="145"/>
      <c r="F112" s="145"/>
      <c r="G112" s="145"/>
      <c r="H112" s="145"/>
      <c r="I112" s="145"/>
      <c r="J112" s="145"/>
      <c r="N112" s="85"/>
      <c r="O112" s="85"/>
      <c r="P112" s="85"/>
    </row>
    <row r="113" spans="1:16" s="84" customFormat="1">
      <c r="A113" s="85"/>
      <c r="B113" s="144"/>
      <c r="C113" s="145"/>
      <c r="D113" s="146"/>
      <c r="E113" s="145"/>
      <c r="F113" s="145"/>
      <c r="G113" s="145"/>
      <c r="H113" s="145"/>
      <c r="I113" s="145"/>
      <c r="J113" s="145"/>
      <c r="N113" s="85"/>
      <c r="O113" s="85"/>
      <c r="P113" s="85"/>
    </row>
    <row r="114" spans="1:16" s="84" customFormat="1">
      <c r="A114" s="85"/>
      <c r="B114" s="144"/>
      <c r="C114" s="145"/>
      <c r="D114" s="146"/>
      <c r="E114" s="145"/>
      <c r="F114" s="145"/>
      <c r="G114" s="145"/>
      <c r="H114" s="145"/>
      <c r="I114" s="145"/>
      <c r="J114" s="145"/>
      <c r="N114" s="85"/>
      <c r="O114" s="85"/>
      <c r="P114" s="85"/>
    </row>
    <row r="115" spans="1:16" s="84" customFormat="1">
      <c r="A115" s="85"/>
      <c r="B115" s="144"/>
      <c r="C115" s="145"/>
      <c r="D115" s="146"/>
      <c r="E115" s="145"/>
      <c r="F115" s="145"/>
      <c r="G115" s="145"/>
      <c r="H115" s="145"/>
      <c r="I115" s="145"/>
      <c r="J115" s="145"/>
      <c r="N115" s="85"/>
      <c r="O115" s="85"/>
      <c r="P115" s="85"/>
    </row>
    <row r="116" spans="1:16" s="84" customFormat="1">
      <c r="A116" s="85"/>
      <c r="B116" s="144"/>
      <c r="C116" s="145"/>
      <c r="D116" s="146"/>
      <c r="E116" s="145"/>
      <c r="F116" s="145"/>
      <c r="G116" s="145"/>
      <c r="H116" s="145"/>
      <c r="I116" s="145"/>
      <c r="J116" s="145"/>
      <c r="N116" s="85"/>
      <c r="O116" s="85"/>
      <c r="P116" s="85"/>
    </row>
    <row r="117" spans="1:16" s="84" customFormat="1">
      <c r="A117" s="85"/>
      <c r="B117" s="144"/>
      <c r="C117" s="145"/>
      <c r="D117" s="146"/>
      <c r="E117" s="145"/>
      <c r="F117" s="145"/>
      <c r="G117" s="145"/>
      <c r="H117" s="145"/>
      <c r="I117" s="145"/>
      <c r="J117" s="145"/>
      <c r="N117" s="85"/>
      <c r="O117" s="85"/>
      <c r="P117" s="85"/>
    </row>
    <row r="118" spans="1:16" s="84" customFormat="1">
      <c r="A118" s="85"/>
      <c r="B118" s="144"/>
      <c r="C118" s="145"/>
      <c r="D118" s="146"/>
      <c r="E118" s="145"/>
      <c r="F118" s="145"/>
      <c r="G118" s="145"/>
      <c r="H118" s="145"/>
      <c r="I118" s="145"/>
      <c r="J118" s="145"/>
      <c r="N118" s="85"/>
      <c r="O118" s="85"/>
      <c r="P118" s="85"/>
    </row>
    <row r="119" spans="1:16" s="84" customFormat="1">
      <c r="A119" s="85"/>
      <c r="B119" s="144"/>
      <c r="C119" s="145"/>
      <c r="D119" s="146"/>
      <c r="E119" s="145"/>
      <c r="F119" s="145"/>
      <c r="G119" s="145"/>
      <c r="H119" s="145"/>
      <c r="I119" s="145"/>
      <c r="J119" s="145"/>
      <c r="N119" s="85"/>
      <c r="O119" s="85"/>
      <c r="P119" s="85"/>
    </row>
    <row r="120" spans="1:16" s="84" customFormat="1">
      <c r="A120" s="85"/>
      <c r="B120" s="144"/>
      <c r="C120" s="145"/>
      <c r="D120" s="146"/>
      <c r="E120" s="145"/>
      <c r="F120" s="145"/>
      <c r="G120" s="145"/>
      <c r="H120" s="145"/>
      <c r="I120" s="145"/>
      <c r="J120" s="145"/>
      <c r="N120" s="85"/>
      <c r="O120" s="85"/>
      <c r="P120" s="85"/>
    </row>
    <row r="121" spans="1:16" s="84" customFormat="1">
      <c r="A121" s="85"/>
      <c r="B121" s="144"/>
      <c r="C121" s="145"/>
      <c r="D121" s="146"/>
      <c r="E121" s="145"/>
      <c r="F121" s="145"/>
      <c r="G121" s="145"/>
      <c r="H121" s="145"/>
      <c r="I121" s="145"/>
      <c r="J121" s="145"/>
      <c r="N121" s="85"/>
      <c r="O121" s="85"/>
      <c r="P121" s="85"/>
    </row>
    <row r="122" spans="1:16" s="84" customFormat="1">
      <c r="A122" s="85"/>
      <c r="B122" s="144"/>
      <c r="C122" s="145"/>
      <c r="D122" s="146"/>
      <c r="E122" s="145"/>
      <c r="F122" s="145"/>
      <c r="G122" s="145"/>
      <c r="H122" s="145"/>
      <c r="I122" s="145"/>
      <c r="J122" s="145"/>
      <c r="N122" s="85"/>
      <c r="O122" s="85"/>
      <c r="P122" s="85"/>
    </row>
    <row r="123" spans="1:16" s="84" customFormat="1">
      <c r="A123" s="85"/>
      <c r="B123" s="144"/>
      <c r="C123" s="145"/>
      <c r="D123" s="146"/>
      <c r="E123" s="145"/>
      <c r="F123" s="145"/>
      <c r="G123" s="145"/>
      <c r="H123" s="145"/>
      <c r="I123" s="145"/>
      <c r="J123" s="145"/>
      <c r="N123" s="85"/>
      <c r="O123" s="85"/>
      <c r="P123" s="85"/>
    </row>
    <row r="124" spans="1:16" s="84" customFormat="1">
      <c r="A124" s="85"/>
      <c r="B124" s="144"/>
      <c r="C124" s="145"/>
      <c r="D124" s="146"/>
      <c r="E124" s="145"/>
      <c r="F124" s="145"/>
      <c r="G124" s="145"/>
      <c r="H124" s="145"/>
      <c r="I124" s="145"/>
      <c r="J124" s="145"/>
      <c r="N124" s="85"/>
      <c r="O124" s="85"/>
      <c r="P124" s="85"/>
    </row>
    <row r="125" spans="1:16" s="84" customFormat="1">
      <c r="A125" s="85"/>
      <c r="B125" s="144"/>
      <c r="C125" s="145"/>
      <c r="D125" s="146"/>
      <c r="E125" s="145"/>
      <c r="F125" s="145"/>
      <c r="G125" s="145"/>
      <c r="H125" s="145"/>
      <c r="I125" s="145"/>
      <c r="J125" s="145"/>
      <c r="N125" s="85"/>
      <c r="O125" s="85"/>
      <c r="P125" s="85"/>
    </row>
    <row r="126" spans="1:16" s="84" customFormat="1">
      <c r="A126" s="85"/>
      <c r="B126" s="144"/>
      <c r="C126" s="145"/>
      <c r="D126" s="146"/>
      <c r="E126" s="145"/>
      <c r="F126" s="145"/>
      <c r="G126" s="145"/>
      <c r="H126" s="145"/>
      <c r="I126" s="145"/>
      <c r="J126" s="145"/>
      <c r="N126" s="85"/>
      <c r="O126" s="85"/>
      <c r="P126" s="85"/>
    </row>
    <row r="127" spans="1:16" s="84" customFormat="1">
      <c r="A127" s="85"/>
      <c r="B127" s="144"/>
      <c r="C127" s="145"/>
      <c r="D127" s="146"/>
      <c r="E127" s="145"/>
      <c r="F127" s="145"/>
      <c r="G127" s="145"/>
      <c r="H127" s="145"/>
      <c r="I127" s="145"/>
      <c r="J127" s="145"/>
      <c r="N127" s="85"/>
      <c r="O127" s="85"/>
      <c r="P127" s="85"/>
    </row>
    <row r="128" spans="1:16" s="84" customFormat="1">
      <c r="A128" s="85"/>
      <c r="B128" s="144"/>
      <c r="C128" s="145"/>
      <c r="D128" s="146"/>
      <c r="E128" s="145"/>
      <c r="F128" s="145"/>
      <c r="G128" s="145"/>
      <c r="H128" s="145"/>
      <c r="I128" s="145"/>
      <c r="J128" s="145"/>
      <c r="N128" s="85"/>
      <c r="O128" s="85"/>
      <c r="P128" s="85"/>
    </row>
    <row r="129" spans="1:16" s="84" customFormat="1">
      <c r="A129" s="85"/>
      <c r="B129" s="144"/>
      <c r="C129" s="145"/>
      <c r="D129" s="146"/>
      <c r="E129" s="145"/>
      <c r="F129" s="145"/>
      <c r="G129" s="145"/>
      <c r="H129" s="145"/>
      <c r="I129" s="145"/>
      <c r="J129" s="145"/>
      <c r="N129" s="85"/>
      <c r="O129" s="85"/>
      <c r="P129" s="85"/>
    </row>
    <row r="130" spans="1:16" s="84" customFormat="1">
      <c r="A130" s="85"/>
      <c r="B130" s="144"/>
      <c r="C130" s="145"/>
      <c r="D130" s="146"/>
      <c r="E130" s="145"/>
      <c r="F130" s="145"/>
      <c r="G130" s="145"/>
      <c r="H130" s="145"/>
      <c r="I130" s="145"/>
      <c r="J130" s="145"/>
      <c r="N130" s="85"/>
      <c r="O130" s="85"/>
      <c r="P130" s="85"/>
    </row>
    <row r="131" spans="1:16" s="84" customFormat="1">
      <c r="A131" s="85"/>
      <c r="B131" s="144"/>
      <c r="C131" s="145"/>
      <c r="D131" s="146"/>
      <c r="E131" s="145"/>
      <c r="F131" s="145"/>
      <c r="G131" s="145"/>
      <c r="H131" s="145"/>
      <c r="I131" s="145"/>
      <c r="J131" s="145"/>
      <c r="N131" s="85"/>
      <c r="O131" s="85"/>
      <c r="P131" s="85"/>
    </row>
    <row r="132" spans="1:16" s="84" customFormat="1">
      <c r="A132" s="85"/>
      <c r="B132" s="144"/>
      <c r="C132" s="145"/>
      <c r="D132" s="146"/>
      <c r="E132" s="145"/>
      <c r="F132" s="145"/>
      <c r="G132" s="145"/>
      <c r="H132" s="145"/>
      <c r="I132" s="145"/>
      <c r="J132" s="145"/>
      <c r="N132" s="85"/>
      <c r="O132" s="85"/>
      <c r="P132" s="85"/>
    </row>
    <row r="133" spans="1:16" s="84" customFormat="1">
      <c r="A133" s="85"/>
      <c r="B133" s="144"/>
      <c r="C133" s="145"/>
      <c r="D133" s="146"/>
      <c r="E133" s="145"/>
      <c r="F133" s="145"/>
      <c r="G133" s="145"/>
      <c r="H133" s="145"/>
      <c r="I133" s="145"/>
      <c r="J133" s="145"/>
      <c r="N133" s="85"/>
      <c r="O133" s="85"/>
      <c r="P133" s="85"/>
    </row>
    <row r="134" spans="1:16" s="84" customFormat="1">
      <c r="A134" s="85"/>
      <c r="B134" s="144"/>
      <c r="C134" s="145"/>
      <c r="D134" s="146"/>
      <c r="E134" s="145"/>
      <c r="F134" s="145"/>
      <c r="G134" s="145"/>
      <c r="H134" s="145"/>
      <c r="I134" s="145"/>
      <c r="J134" s="145"/>
      <c r="N134" s="85"/>
      <c r="O134" s="85"/>
      <c r="P134" s="85"/>
    </row>
    <row r="135" spans="1:16" s="84" customFormat="1">
      <c r="A135" s="85"/>
      <c r="B135" s="144"/>
      <c r="C135" s="145"/>
      <c r="D135" s="146"/>
      <c r="E135" s="145"/>
      <c r="F135" s="145"/>
      <c r="G135" s="145"/>
      <c r="H135" s="145"/>
      <c r="I135" s="145"/>
      <c r="J135" s="145"/>
      <c r="N135" s="85"/>
      <c r="O135" s="85"/>
      <c r="P135" s="85"/>
    </row>
    <row r="136" spans="1:16" s="84" customFormat="1">
      <c r="A136" s="85"/>
      <c r="B136" s="144"/>
      <c r="C136" s="145"/>
      <c r="D136" s="146"/>
      <c r="E136" s="145"/>
      <c r="F136" s="145"/>
      <c r="G136" s="145"/>
      <c r="H136" s="145"/>
      <c r="I136" s="145"/>
      <c r="J136" s="145"/>
      <c r="N136" s="85"/>
      <c r="O136" s="85"/>
      <c r="P136" s="85"/>
    </row>
    <row r="137" spans="1:16" s="84" customFormat="1">
      <c r="A137" s="85"/>
      <c r="B137" s="144"/>
      <c r="C137" s="145"/>
      <c r="D137" s="146"/>
      <c r="E137" s="145"/>
      <c r="F137" s="145"/>
      <c r="G137" s="145"/>
      <c r="H137" s="145"/>
      <c r="I137" s="145"/>
      <c r="J137" s="145"/>
      <c r="N137" s="85"/>
      <c r="O137" s="85"/>
      <c r="P137" s="85"/>
    </row>
    <row r="138" spans="1:16" s="84" customFormat="1">
      <c r="A138" s="85"/>
      <c r="B138" s="144"/>
      <c r="C138" s="145"/>
      <c r="D138" s="146"/>
      <c r="E138" s="145"/>
      <c r="F138" s="145"/>
      <c r="G138" s="145"/>
      <c r="H138" s="145"/>
      <c r="I138" s="145"/>
      <c r="J138" s="145"/>
      <c r="N138" s="85"/>
      <c r="O138" s="85"/>
      <c r="P138" s="85"/>
    </row>
    <row r="139" spans="1:16" s="84" customFormat="1">
      <c r="A139" s="85"/>
      <c r="B139" s="144"/>
      <c r="C139" s="145"/>
      <c r="D139" s="146"/>
      <c r="E139" s="145"/>
      <c r="F139" s="145"/>
      <c r="G139" s="145"/>
      <c r="H139" s="145"/>
      <c r="I139" s="145"/>
      <c r="J139" s="145"/>
      <c r="N139" s="85"/>
      <c r="O139" s="85"/>
      <c r="P139" s="85"/>
    </row>
    <row r="140" spans="1:16" s="84" customFormat="1">
      <c r="A140" s="85"/>
      <c r="B140" s="144"/>
      <c r="C140" s="145"/>
      <c r="D140" s="146"/>
      <c r="E140" s="145"/>
      <c r="F140" s="145"/>
      <c r="G140" s="145"/>
      <c r="H140" s="145"/>
      <c r="I140" s="145"/>
      <c r="J140" s="145"/>
      <c r="N140" s="85"/>
      <c r="O140" s="85"/>
      <c r="P140" s="85"/>
    </row>
    <row r="141" spans="1:16" s="84" customFormat="1">
      <c r="A141" s="85"/>
      <c r="B141" s="144"/>
      <c r="C141" s="145"/>
      <c r="D141" s="146"/>
      <c r="E141" s="145"/>
      <c r="F141" s="145"/>
      <c r="G141" s="145"/>
      <c r="H141" s="145"/>
      <c r="I141" s="145"/>
      <c r="J141" s="145"/>
      <c r="N141" s="85"/>
      <c r="O141" s="85"/>
      <c r="P141" s="85"/>
    </row>
    <row r="142" spans="1:16" s="84" customFormat="1">
      <c r="A142" s="85"/>
      <c r="B142" s="144"/>
      <c r="C142" s="145"/>
      <c r="D142" s="146"/>
      <c r="E142" s="145"/>
      <c r="F142" s="145"/>
      <c r="G142" s="145"/>
      <c r="H142" s="145"/>
      <c r="I142" s="145"/>
      <c r="J142" s="145"/>
      <c r="N142" s="85"/>
      <c r="O142" s="85"/>
      <c r="P142" s="85"/>
    </row>
    <row r="143" spans="1:16" s="84" customFormat="1">
      <c r="A143" s="85"/>
      <c r="B143" s="144"/>
      <c r="C143" s="145"/>
      <c r="D143" s="146"/>
      <c r="E143" s="145"/>
      <c r="F143" s="145"/>
      <c r="G143" s="145"/>
      <c r="H143" s="145"/>
      <c r="I143" s="145"/>
      <c r="J143" s="145"/>
      <c r="N143" s="85"/>
      <c r="O143" s="85"/>
      <c r="P143" s="85"/>
    </row>
    <row r="144" spans="1:16" s="84" customFormat="1">
      <c r="A144" s="85"/>
      <c r="B144" s="144"/>
      <c r="C144" s="145"/>
      <c r="D144" s="146"/>
      <c r="E144" s="145"/>
      <c r="F144" s="145"/>
      <c r="G144" s="145"/>
      <c r="H144" s="145"/>
      <c r="I144" s="145"/>
      <c r="J144" s="145"/>
      <c r="N144" s="85"/>
      <c r="O144" s="85"/>
      <c r="P144" s="85"/>
    </row>
    <row r="145" spans="1:16" s="84" customFormat="1">
      <c r="A145" s="85"/>
      <c r="B145" s="144"/>
      <c r="C145" s="145"/>
      <c r="D145" s="146"/>
      <c r="E145" s="145"/>
      <c r="F145" s="145"/>
      <c r="G145" s="145"/>
      <c r="H145" s="145"/>
      <c r="I145" s="145"/>
      <c r="J145" s="145"/>
      <c r="N145" s="85"/>
      <c r="O145" s="85"/>
      <c r="P145" s="85"/>
    </row>
    <row r="146" spans="1:16" s="84" customFormat="1">
      <c r="A146" s="85"/>
      <c r="B146" s="144"/>
      <c r="C146" s="145"/>
      <c r="D146" s="146"/>
      <c r="E146" s="145"/>
      <c r="F146" s="145"/>
      <c r="G146" s="145"/>
      <c r="H146" s="145"/>
      <c r="I146" s="145"/>
      <c r="J146" s="145"/>
      <c r="N146" s="85"/>
      <c r="O146" s="85"/>
      <c r="P146" s="85"/>
    </row>
    <row r="147" spans="1:16" s="84" customFormat="1">
      <c r="A147" s="85"/>
      <c r="B147" s="144"/>
      <c r="C147" s="145"/>
      <c r="D147" s="146"/>
      <c r="E147" s="145"/>
      <c r="F147" s="145"/>
      <c r="G147" s="145"/>
      <c r="H147" s="145"/>
      <c r="I147" s="145"/>
      <c r="J147" s="145"/>
      <c r="N147" s="85"/>
      <c r="O147" s="85"/>
      <c r="P147" s="85"/>
    </row>
    <row r="148" spans="1:16" s="84" customFormat="1">
      <c r="A148" s="85"/>
      <c r="B148" s="144"/>
      <c r="C148" s="145"/>
      <c r="D148" s="146"/>
      <c r="E148" s="145"/>
      <c r="F148" s="145"/>
      <c r="G148" s="145"/>
      <c r="H148" s="145"/>
      <c r="I148" s="145"/>
      <c r="J148" s="145"/>
      <c r="N148" s="85"/>
      <c r="O148" s="85"/>
      <c r="P148" s="85"/>
    </row>
    <row r="149" spans="1:16" s="84" customFormat="1">
      <c r="A149" s="85"/>
      <c r="B149" s="144"/>
      <c r="C149" s="145"/>
      <c r="D149" s="146"/>
      <c r="E149" s="145"/>
      <c r="F149" s="145"/>
      <c r="G149" s="145"/>
      <c r="H149" s="145"/>
      <c r="I149" s="145"/>
      <c r="J149" s="145"/>
      <c r="N149" s="85"/>
      <c r="O149" s="85"/>
      <c r="P149" s="85"/>
    </row>
    <row r="150" spans="1:16" s="84" customFormat="1">
      <c r="A150" s="85"/>
      <c r="B150" s="144"/>
      <c r="C150" s="145"/>
      <c r="D150" s="146"/>
      <c r="E150" s="145"/>
      <c r="F150" s="145"/>
      <c r="G150" s="145"/>
      <c r="H150" s="145"/>
      <c r="I150" s="145"/>
      <c r="J150" s="145"/>
      <c r="N150" s="85"/>
      <c r="O150" s="85"/>
      <c r="P150" s="85"/>
    </row>
    <row r="151" spans="1:16" s="84" customFormat="1">
      <c r="A151" s="85"/>
      <c r="B151" s="144"/>
      <c r="C151" s="145"/>
      <c r="D151" s="146"/>
      <c r="E151" s="145"/>
      <c r="F151" s="145"/>
      <c r="G151" s="145"/>
      <c r="H151" s="145"/>
      <c r="I151" s="145"/>
      <c r="J151" s="145"/>
      <c r="N151" s="85"/>
      <c r="O151" s="85"/>
      <c r="P151" s="85"/>
    </row>
    <row r="152" spans="1:16" s="84" customFormat="1">
      <c r="A152" s="85"/>
      <c r="B152" s="144"/>
      <c r="C152" s="145"/>
      <c r="D152" s="146"/>
      <c r="E152" s="145"/>
      <c r="F152" s="145"/>
      <c r="G152" s="145"/>
      <c r="H152" s="145"/>
      <c r="I152" s="145"/>
      <c r="J152" s="145"/>
      <c r="N152" s="85"/>
      <c r="O152" s="85"/>
      <c r="P152" s="85"/>
    </row>
    <row r="153" spans="1:16" s="84" customFormat="1">
      <c r="A153" s="85"/>
      <c r="B153" s="144"/>
      <c r="C153" s="145"/>
      <c r="D153" s="146"/>
      <c r="E153" s="145"/>
      <c r="F153" s="145"/>
      <c r="G153" s="145"/>
      <c r="H153" s="145"/>
      <c r="I153" s="145"/>
      <c r="J153" s="145"/>
      <c r="N153" s="85"/>
      <c r="O153" s="85"/>
      <c r="P153" s="85"/>
    </row>
    <row r="154" spans="1:16" s="84" customFormat="1">
      <c r="A154" s="85"/>
      <c r="B154" s="144"/>
      <c r="C154" s="145"/>
      <c r="D154" s="146"/>
      <c r="E154" s="145"/>
      <c r="F154" s="145"/>
      <c r="G154" s="145"/>
      <c r="H154" s="145"/>
      <c r="I154" s="145"/>
      <c r="J154" s="145"/>
      <c r="N154" s="85"/>
      <c r="O154" s="85"/>
      <c r="P154" s="85"/>
    </row>
    <row r="155" spans="1:16" s="84" customFormat="1">
      <c r="A155" s="85"/>
      <c r="B155" s="144"/>
      <c r="C155" s="145"/>
      <c r="D155" s="146"/>
      <c r="E155" s="145"/>
      <c r="F155" s="145"/>
      <c r="G155" s="145"/>
      <c r="H155" s="145"/>
      <c r="I155" s="145"/>
      <c r="J155" s="145"/>
      <c r="N155" s="85"/>
      <c r="O155" s="85"/>
      <c r="P155" s="85"/>
    </row>
    <row r="156" spans="1:16" s="84" customFormat="1">
      <c r="A156" s="85"/>
      <c r="B156" s="144"/>
      <c r="C156" s="145"/>
      <c r="D156" s="146"/>
      <c r="E156" s="145"/>
      <c r="F156" s="145"/>
      <c r="G156" s="145"/>
      <c r="H156" s="145"/>
      <c r="I156" s="145"/>
      <c r="J156" s="145"/>
      <c r="N156" s="85"/>
      <c r="O156" s="85"/>
      <c r="P156" s="85"/>
    </row>
    <row r="157" spans="1:16" s="84" customFormat="1">
      <c r="A157" s="85"/>
      <c r="B157" s="144"/>
      <c r="C157" s="145"/>
      <c r="D157" s="146"/>
      <c r="E157" s="145"/>
      <c r="F157" s="145"/>
      <c r="G157" s="145"/>
      <c r="H157" s="145"/>
      <c r="I157" s="145"/>
      <c r="J157" s="145"/>
      <c r="N157" s="85"/>
      <c r="O157" s="85"/>
      <c r="P157" s="85"/>
    </row>
    <row r="158" spans="1:16" s="84" customFormat="1">
      <c r="A158" s="85"/>
      <c r="B158" s="144"/>
      <c r="C158" s="145"/>
      <c r="D158" s="146"/>
      <c r="E158" s="145"/>
      <c r="F158" s="145"/>
      <c r="G158" s="145"/>
      <c r="H158" s="145"/>
      <c r="I158" s="145"/>
      <c r="J158" s="145"/>
      <c r="N158" s="85"/>
      <c r="O158" s="85"/>
      <c r="P158" s="85"/>
    </row>
    <row r="159" spans="1:16" s="84" customFormat="1">
      <c r="A159" s="85"/>
      <c r="B159" s="144"/>
      <c r="C159" s="145"/>
      <c r="D159" s="146"/>
      <c r="E159" s="145"/>
      <c r="F159" s="145"/>
      <c r="G159" s="145"/>
      <c r="H159" s="145"/>
      <c r="I159" s="145"/>
      <c r="J159" s="145"/>
      <c r="N159" s="85"/>
      <c r="O159" s="85"/>
      <c r="P159" s="85"/>
    </row>
    <row r="160" spans="1:16" s="84" customFormat="1">
      <c r="A160" s="85"/>
      <c r="B160" s="144"/>
      <c r="C160" s="145"/>
      <c r="D160" s="146"/>
      <c r="E160" s="145"/>
      <c r="F160" s="145"/>
      <c r="G160" s="145"/>
      <c r="H160" s="145"/>
      <c r="I160" s="145"/>
      <c r="J160" s="145"/>
      <c r="N160" s="85"/>
      <c r="O160" s="85"/>
      <c r="P160" s="85"/>
    </row>
    <row r="161" spans="1:16" s="84" customFormat="1">
      <c r="A161" s="85"/>
      <c r="B161" s="144"/>
      <c r="C161" s="145"/>
      <c r="D161" s="146"/>
      <c r="E161" s="145"/>
      <c r="F161" s="145"/>
      <c r="G161" s="145"/>
      <c r="H161" s="145"/>
      <c r="I161" s="145"/>
      <c r="J161" s="145"/>
      <c r="N161" s="85"/>
      <c r="O161" s="85"/>
      <c r="P161" s="85"/>
    </row>
    <row r="162" spans="1:16" s="84" customFormat="1">
      <c r="A162" s="85"/>
      <c r="B162" s="144"/>
      <c r="C162" s="145"/>
      <c r="D162" s="146"/>
      <c r="E162" s="145"/>
      <c r="F162" s="145"/>
      <c r="G162" s="145"/>
      <c r="H162" s="145"/>
      <c r="I162" s="145"/>
      <c r="J162" s="145"/>
      <c r="N162" s="85"/>
      <c r="O162" s="85"/>
      <c r="P162" s="85"/>
    </row>
    <row r="163" spans="1:16" s="84" customFormat="1">
      <c r="A163" s="85"/>
      <c r="B163" s="144"/>
      <c r="C163" s="145"/>
      <c r="D163" s="146"/>
      <c r="E163" s="145"/>
      <c r="F163" s="145"/>
      <c r="G163" s="145"/>
      <c r="H163" s="145"/>
      <c r="I163" s="145"/>
      <c r="J163" s="145"/>
      <c r="N163" s="85"/>
      <c r="O163" s="85"/>
      <c r="P163" s="85"/>
    </row>
    <row r="164" spans="1:16" s="84" customFormat="1">
      <c r="A164" s="85"/>
      <c r="B164" s="144"/>
      <c r="C164" s="145"/>
      <c r="D164" s="146"/>
      <c r="E164" s="145"/>
      <c r="F164" s="145"/>
      <c r="G164" s="145"/>
      <c r="H164" s="145"/>
      <c r="I164" s="145"/>
      <c r="J164" s="145"/>
      <c r="N164" s="85"/>
      <c r="O164" s="85"/>
      <c r="P164" s="85"/>
    </row>
    <row r="165" spans="1:16" s="84" customFormat="1">
      <c r="A165" s="85"/>
      <c r="B165" s="144"/>
      <c r="C165" s="145"/>
      <c r="D165" s="146"/>
      <c r="E165" s="145"/>
      <c r="F165" s="145"/>
      <c r="G165" s="145"/>
      <c r="H165" s="145"/>
      <c r="I165" s="145"/>
      <c r="J165" s="145"/>
      <c r="N165" s="85"/>
      <c r="O165" s="85"/>
      <c r="P165" s="85"/>
    </row>
    <row r="166" spans="1:16" s="84" customFormat="1">
      <c r="A166" s="85"/>
      <c r="B166" s="144"/>
      <c r="C166" s="145"/>
      <c r="D166" s="146"/>
      <c r="E166" s="145"/>
      <c r="F166" s="145"/>
      <c r="G166" s="145"/>
      <c r="H166" s="145"/>
      <c r="I166" s="145"/>
      <c r="J166" s="145"/>
      <c r="N166" s="85"/>
      <c r="O166" s="85"/>
      <c r="P166" s="85"/>
    </row>
    <row r="167" spans="1:16" s="84" customFormat="1">
      <c r="A167" s="85"/>
      <c r="B167" s="144"/>
      <c r="C167" s="145"/>
      <c r="D167" s="146"/>
      <c r="E167" s="145"/>
      <c r="F167" s="145"/>
      <c r="G167" s="145"/>
      <c r="H167" s="145"/>
      <c r="I167" s="145"/>
      <c r="J167" s="145"/>
      <c r="N167" s="85"/>
      <c r="O167" s="85"/>
      <c r="P167" s="85"/>
    </row>
    <row r="168" spans="1:16" s="84" customFormat="1">
      <c r="A168" s="85"/>
      <c r="B168" s="144"/>
      <c r="C168" s="145"/>
      <c r="D168" s="146"/>
      <c r="E168" s="145"/>
      <c r="F168" s="145"/>
      <c r="G168" s="145"/>
      <c r="H168" s="145"/>
      <c r="I168" s="145"/>
      <c r="J168" s="145"/>
      <c r="N168" s="85"/>
      <c r="O168" s="85"/>
      <c r="P168" s="85"/>
    </row>
    <row r="169" spans="1:16" s="84" customFormat="1">
      <c r="A169" s="85"/>
      <c r="B169" s="144"/>
      <c r="C169" s="145"/>
      <c r="D169" s="146"/>
      <c r="E169" s="145"/>
      <c r="F169" s="145"/>
      <c r="G169" s="145"/>
      <c r="H169" s="145"/>
      <c r="I169" s="145"/>
      <c r="J169" s="145"/>
      <c r="N169" s="85"/>
      <c r="O169" s="85"/>
      <c r="P169" s="85"/>
    </row>
    <row r="170" spans="1:16" s="84" customFormat="1">
      <c r="A170" s="85"/>
      <c r="B170" s="144"/>
      <c r="C170" s="145"/>
      <c r="D170" s="146"/>
      <c r="E170" s="145"/>
      <c r="F170" s="145"/>
      <c r="G170" s="145"/>
      <c r="H170" s="145"/>
      <c r="I170" s="145"/>
      <c r="J170" s="145"/>
      <c r="N170" s="85"/>
      <c r="O170" s="85"/>
      <c r="P170" s="85"/>
    </row>
    <row r="171" spans="1:16" s="84" customFormat="1">
      <c r="A171" s="85"/>
      <c r="B171" s="144"/>
      <c r="C171" s="145"/>
      <c r="D171" s="146"/>
      <c r="E171" s="145"/>
      <c r="F171" s="145"/>
      <c r="G171" s="145"/>
      <c r="H171" s="145"/>
      <c r="I171" s="145"/>
      <c r="J171" s="145"/>
      <c r="N171" s="85"/>
      <c r="O171" s="85"/>
      <c r="P171" s="85"/>
    </row>
    <row r="172" spans="1:16" s="84" customFormat="1">
      <c r="A172" s="85"/>
      <c r="B172" s="144"/>
      <c r="C172" s="145"/>
      <c r="D172" s="146"/>
      <c r="E172" s="145"/>
      <c r="F172" s="145"/>
      <c r="G172" s="145"/>
      <c r="H172" s="145"/>
      <c r="I172" s="145"/>
      <c r="J172" s="145"/>
      <c r="N172" s="85"/>
      <c r="O172" s="85"/>
      <c r="P172" s="85"/>
    </row>
    <row r="173" spans="1:16" s="84" customFormat="1">
      <c r="A173" s="85"/>
      <c r="B173" s="144"/>
      <c r="C173" s="145"/>
      <c r="D173" s="146"/>
      <c r="E173" s="145"/>
      <c r="F173" s="145"/>
      <c r="G173" s="145"/>
      <c r="H173" s="145"/>
      <c r="I173" s="145"/>
      <c r="J173" s="145"/>
      <c r="N173" s="85"/>
      <c r="O173" s="85"/>
      <c r="P173" s="85"/>
    </row>
    <row r="174" spans="1:16" s="84" customFormat="1">
      <c r="A174" s="85"/>
      <c r="B174" s="144"/>
      <c r="C174" s="145"/>
      <c r="D174" s="146"/>
      <c r="E174" s="145"/>
      <c r="F174" s="145"/>
      <c r="G174" s="145"/>
      <c r="H174" s="145"/>
      <c r="I174" s="145"/>
      <c r="J174" s="145"/>
      <c r="N174" s="85"/>
      <c r="O174" s="85"/>
      <c r="P174" s="85"/>
    </row>
    <row r="175" spans="1:16" s="84" customFormat="1">
      <c r="A175" s="85"/>
      <c r="B175" s="144"/>
      <c r="C175" s="145"/>
      <c r="D175" s="146"/>
      <c r="E175" s="145"/>
      <c r="F175" s="145"/>
      <c r="G175" s="145"/>
      <c r="H175" s="145"/>
      <c r="I175" s="145"/>
      <c r="J175" s="145"/>
      <c r="N175" s="85"/>
      <c r="O175" s="85"/>
      <c r="P175" s="85"/>
    </row>
    <row r="176" spans="1:16" s="84" customFormat="1">
      <c r="A176" s="85"/>
      <c r="B176" s="144"/>
      <c r="C176" s="145"/>
      <c r="D176" s="146"/>
      <c r="E176" s="145"/>
      <c r="F176" s="145"/>
      <c r="G176" s="145"/>
      <c r="H176" s="145"/>
      <c r="I176" s="145"/>
      <c r="J176" s="145"/>
      <c r="N176" s="85"/>
      <c r="O176" s="85"/>
      <c r="P176" s="85"/>
    </row>
    <row r="177" spans="1:16" s="84" customFormat="1">
      <c r="A177" s="85"/>
      <c r="B177" s="144"/>
      <c r="C177" s="145"/>
      <c r="D177" s="146"/>
      <c r="E177" s="145"/>
      <c r="F177" s="145"/>
      <c r="G177" s="145"/>
      <c r="H177" s="145"/>
      <c r="I177" s="145"/>
      <c r="J177" s="145"/>
      <c r="N177" s="85"/>
      <c r="O177" s="85"/>
      <c r="P177" s="85"/>
    </row>
    <row r="178" spans="1:16" s="84" customFormat="1">
      <c r="A178" s="85"/>
      <c r="B178" s="144"/>
      <c r="C178" s="145"/>
      <c r="D178" s="146"/>
      <c r="E178" s="145"/>
      <c r="F178" s="145"/>
      <c r="G178" s="145"/>
      <c r="H178" s="145"/>
      <c r="I178" s="145"/>
      <c r="J178" s="145"/>
      <c r="N178" s="85"/>
      <c r="O178" s="85"/>
      <c r="P178" s="85"/>
    </row>
    <row r="179" spans="1:16" s="84" customFormat="1">
      <c r="A179" s="85"/>
      <c r="B179" s="144"/>
      <c r="C179" s="145"/>
      <c r="D179" s="146"/>
      <c r="E179" s="145"/>
      <c r="F179" s="145"/>
      <c r="G179" s="145"/>
      <c r="H179" s="145"/>
      <c r="I179" s="145"/>
      <c r="J179" s="145"/>
      <c r="N179" s="85"/>
      <c r="O179" s="85"/>
      <c r="P179" s="85"/>
    </row>
    <row r="180" spans="1:16" s="84" customFormat="1">
      <c r="A180" s="85"/>
      <c r="B180" s="144"/>
      <c r="C180" s="145"/>
      <c r="D180" s="146"/>
      <c r="E180" s="145"/>
      <c r="F180" s="145"/>
      <c r="G180" s="145"/>
      <c r="H180" s="145"/>
      <c r="I180" s="145"/>
      <c r="J180" s="145"/>
      <c r="N180" s="85"/>
      <c r="O180" s="85"/>
      <c r="P180" s="85"/>
    </row>
    <row r="181" spans="1:16" s="84" customFormat="1">
      <c r="A181" s="85"/>
      <c r="B181" s="144"/>
      <c r="C181" s="145"/>
      <c r="D181" s="146"/>
      <c r="E181" s="145"/>
      <c r="F181" s="145"/>
      <c r="G181" s="145"/>
      <c r="H181" s="145"/>
      <c r="I181" s="145"/>
      <c r="J181" s="145"/>
      <c r="N181" s="85"/>
      <c r="O181" s="85"/>
      <c r="P181" s="85"/>
    </row>
    <row r="182" spans="1:16" s="84" customFormat="1">
      <c r="A182" s="85"/>
      <c r="B182" s="144"/>
      <c r="C182" s="145"/>
      <c r="D182" s="146"/>
      <c r="E182" s="145"/>
      <c r="F182" s="145"/>
      <c r="G182" s="145"/>
      <c r="H182" s="145"/>
      <c r="I182" s="145"/>
      <c r="J182" s="145"/>
      <c r="N182" s="85"/>
      <c r="O182" s="85"/>
      <c r="P182" s="85"/>
    </row>
    <row r="183" spans="1:16" s="84" customFormat="1">
      <c r="A183" s="85"/>
      <c r="B183" s="144"/>
      <c r="C183" s="145"/>
      <c r="D183" s="146"/>
      <c r="E183" s="145"/>
      <c r="F183" s="145"/>
      <c r="G183" s="145"/>
      <c r="H183" s="145"/>
      <c r="I183" s="145"/>
      <c r="J183" s="145"/>
      <c r="N183" s="85"/>
      <c r="O183" s="85"/>
      <c r="P183" s="85"/>
    </row>
    <row r="184" spans="1:16" s="84" customFormat="1">
      <c r="A184" s="85"/>
      <c r="B184" s="144"/>
      <c r="C184" s="145"/>
      <c r="D184" s="146"/>
      <c r="E184" s="145"/>
      <c r="F184" s="145"/>
      <c r="G184" s="145"/>
      <c r="H184" s="145"/>
      <c r="I184" s="145"/>
      <c r="J184" s="145"/>
      <c r="N184" s="85"/>
      <c r="O184" s="85"/>
      <c r="P184" s="85"/>
    </row>
    <row r="185" spans="1:16" s="84" customFormat="1">
      <c r="A185" s="85"/>
      <c r="B185" s="144"/>
      <c r="C185" s="145"/>
      <c r="D185" s="146"/>
      <c r="E185" s="145"/>
      <c r="F185" s="145"/>
      <c r="G185" s="145"/>
      <c r="H185" s="145"/>
      <c r="I185" s="145"/>
      <c r="J185" s="145"/>
      <c r="N185" s="85"/>
      <c r="O185" s="85"/>
      <c r="P185" s="85"/>
    </row>
    <row r="186" spans="1:16" s="84" customFormat="1">
      <c r="A186" s="85"/>
      <c r="B186" s="144"/>
      <c r="C186" s="145"/>
      <c r="D186" s="146"/>
      <c r="E186" s="145"/>
      <c r="F186" s="145"/>
      <c r="G186" s="145"/>
      <c r="H186" s="145"/>
      <c r="I186" s="145"/>
      <c r="J186" s="145"/>
      <c r="N186" s="85"/>
      <c r="O186" s="85"/>
      <c r="P186" s="85"/>
    </row>
    <row r="187" spans="1:16" s="84" customFormat="1">
      <c r="A187" s="85"/>
      <c r="B187" s="144"/>
      <c r="C187" s="145"/>
      <c r="D187" s="146"/>
      <c r="E187" s="145"/>
      <c r="F187" s="145"/>
      <c r="G187" s="145"/>
      <c r="H187" s="145"/>
      <c r="I187" s="145"/>
      <c r="J187" s="145"/>
      <c r="N187" s="85"/>
      <c r="O187" s="85"/>
      <c r="P187" s="85"/>
    </row>
    <row r="188" spans="1:16" s="84" customFormat="1">
      <c r="A188" s="85"/>
      <c r="B188" s="144"/>
      <c r="C188" s="145"/>
      <c r="D188" s="146"/>
      <c r="E188" s="145"/>
      <c r="F188" s="145"/>
      <c r="G188" s="145"/>
      <c r="H188" s="145"/>
      <c r="I188" s="145"/>
      <c r="J188" s="145"/>
      <c r="N188" s="85"/>
      <c r="O188" s="85"/>
      <c r="P188" s="85"/>
    </row>
    <row r="189" spans="1:16" s="84" customFormat="1">
      <c r="A189" s="85"/>
      <c r="B189" s="144"/>
      <c r="C189" s="145"/>
      <c r="D189" s="146"/>
      <c r="E189" s="145"/>
      <c r="F189" s="145"/>
      <c r="G189" s="145"/>
      <c r="H189" s="145"/>
      <c r="I189" s="145"/>
      <c r="J189" s="145"/>
      <c r="N189" s="85"/>
      <c r="O189" s="85"/>
      <c r="P189" s="85"/>
    </row>
    <row r="190" spans="1:16" s="84" customFormat="1">
      <c r="A190" s="85"/>
      <c r="B190" s="144"/>
      <c r="C190" s="145"/>
      <c r="D190" s="146"/>
      <c r="E190" s="145"/>
      <c r="F190" s="145"/>
      <c r="G190" s="145"/>
      <c r="H190" s="145"/>
      <c r="I190" s="145"/>
      <c r="J190" s="145"/>
      <c r="N190" s="85"/>
      <c r="O190" s="85"/>
      <c r="P190" s="85"/>
    </row>
    <row r="191" spans="1:16" s="84" customFormat="1">
      <c r="A191" s="85"/>
      <c r="B191" s="144"/>
      <c r="C191" s="145"/>
      <c r="D191" s="146"/>
      <c r="E191" s="145"/>
      <c r="F191" s="145"/>
      <c r="G191" s="145"/>
      <c r="H191" s="145"/>
      <c r="I191" s="145"/>
      <c r="J191" s="145"/>
      <c r="N191" s="85"/>
      <c r="O191" s="85"/>
      <c r="P191" s="85"/>
    </row>
    <row r="192" spans="1:16" s="84" customFormat="1">
      <c r="A192" s="85"/>
      <c r="B192" s="144"/>
      <c r="C192" s="145"/>
      <c r="D192" s="146"/>
      <c r="E192" s="145"/>
      <c r="F192" s="145"/>
      <c r="G192" s="145"/>
      <c r="H192" s="145"/>
      <c r="I192" s="145"/>
      <c r="J192" s="145"/>
      <c r="N192" s="85"/>
      <c r="O192" s="85"/>
      <c r="P192" s="85"/>
    </row>
    <row r="193" spans="1:16" s="84" customFormat="1">
      <c r="A193" s="85"/>
      <c r="B193" s="144"/>
      <c r="C193" s="145"/>
      <c r="D193" s="146"/>
      <c r="E193" s="145"/>
      <c r="F193" s="145"/>
      <c r="G193" s="145"/>
      <c r="H193" s="145"/>
      <c r="I193" s="145"/>
      <c r="J193" s="145"/>
      <c r="N193" s="85"/>
      <c r="O193" s="85"/>
      <c r="P193" s="85"/>
    </row>
    <row r="194" spans="1:16" s="84" customFormat="1">
      <c r="A194" s="85"/>
      <c r="B194" s="144"/>
      <c r="C194" s="145"/>
      <c r="D194" s="146"/>
      <c r="E194" s="145"/>
      <c r="F194" s="145"/>
      <c r="G194" s="145"/>
      <c r="H194" s="145"/>
      <c r="I194" s="145"/>
      <c r="J194" s="145"/>
      <c r="N194" s="85"/>
      <c r="O194" s="85"/>
      <c r="P194" s="85"/>
    </row>
    <row r="195" spans="1:16" s="84" customFormat="1">
      <c r="A195" s="85"/>
      <c r="B195" s="144"/>
      <c r="C195" s="145"/>
      <c r="D195" s="146"/>
      <c r="E195" s="145"/>
      <c r="F195" s="145"/>
      <c r="G195" s="145"/>
      <c r="H195" s="145"/>
      <c r="I195" s="145"/>
      <c r="J195" s="145"/>
      <c r="N195" s="85"/>
      <c r="O195" s="85"/>
      <c r="P195" s="85"/>
    </row>
    <row r="196" spans="1:16" s="84" customFormat="1">
      <c r="A196" s="85"/>
      <c r="B196" s="144"/>
      <c r="C196" s="145"/>
      <c r="D196" s="146"/>
      <c r="E196" s="145"/>
      <c r="F196" s="145"/>
      <c r="G196" s="145"/>
      <c r="H196" s="145"/>
      <c r="I196" s="145"/>
      <c r="J196" s="145"/>
      <c r="N196" s="85"/>
      <c r="O196" s="85"/>
      <c r="P196" s="85"/>
    </row>
    <row r="197" spans="1:16" s="84" customFormat="1">
      <c r="A197" s="85"/>
      <c r="B197" s="144"/>
      <c r="C197" s="145"/>
      <c r="D197" s="146"/>
      <c r="E197" s="145"/>
      <c r="F197" s="145"/>
      <c r="G197" s="145"/>
      <c r="H197" s="145"/>
      <c r="I197" s="145"/>
      <c r="J197" s="145"/>
      <c r="N197" s="85"/>
      <c r="O197" s="85"/>
      <c r="P197" s="85"/>
    </row>
    <row r="198" spans="1:16" s="84" customFormat="1">
      <c r="A198" s="85"/>
      <c r="B198" s="144"/>
      <c r="C198" s="145"/>
      <c r="D198" s="146"/>
      <c r="E198" s="145"/>
      <c r="F198" s="145"/>
      <c r="G198" s="145"/>
      <c r="H198" s="145"/>
      <c r="I198" s="145"/>
      <c r="J198" s="145"/>
      <c r="N198" s="85"/>
      <c r="O198" s="85"/>
      <c r="P198" s="85"/>
    </row>
    <row r="199" spans="1:16" s="84" customFormat="1">
      <c r="A199" s="85"/>
      <c r="B199" s="144"/>
      <c r="C199" s="145"/>
      <c r="D199" s="146"/>
      <c r="E199" s="145"/>
      <c r="F199" s="145"/>
      <c r="G199" s="145"/>
      <c r="H199" s="145"/>
      <c r="I199" s="145"/>
      <c r="J199" s="145"/>
      <c r="N199" s="85"/>
      <c r="O199" s="85"/>
      <c r="P199" s="85"/>
    </row>
    <row r="200" spans="1:16" s="84" customFormat="1">
      <c r="A200" s="85"/>
      <c r="B200" s="144"/>
      <c r="C200" s="145"/>
      <c r="D200" s="146"/>
      <c r="E200" s="145"/>
      <c r="F200" s="145"/>
      <c r="G200" s="145"/>
      <c r="H200" s="145"/>
      <c r="I200" s="145"/>
      <c r="J200" s="145"/>
      <c r="N200" s="85"/>
      <c r="O200" s="85"/>
      <c r="P200" s="85"/>
    </row>
    <row r="201" spans="1:16" s="84" customFormat="1">
      <c r="A201" s="85"/>
      <c r="B201" s="144"/>
      <c r="C201" s="145"/>
      <c r="D201" s="146"/>
      <c r="E201" s="145"/>
      <c r="F201" s="145"/>
      <c r="G201" s="145"/>
      <c r="H201" s="145"/>
      <c r="I201" s="145"/>
      <c r="J201" s="145"/>
      <c r="N201" s="85"/>
      <c r="O201" s="85"/>
      <c r="P201" s="85"/>
    </row>
    <row r="202" spans="1:16" s="84" customFormat="1">
      <c r="A202" s="85"/>
      <c r="B202" s="144"/>
      <c r="C202" s="145"/>
      <c r="D202" s="146"/>
      <c r="E202" s="145"/>
      <c r="F202" s="145"/>
      <c r="G202" s="145"/>
      <c r="H202" s="145"/>
      <c r="I202" s="145"/>
      <c r="J202" s="145"/>
      <c r="N202" s="85"/>
      <c r="O202" s="85"/>
      <c r="P202" s="85"/>
    </row>
    <row r="203" spans="1:16" s="84" customFormat="1">
      <c r="A203" s="85"/>
      <c r="B203" s="144"/>
      <c r="C203" s="145"/>
      <c r="D203" s="146"/>
      <c r="E203" s="145"/>
      <c r="F203" s="145"/>
      <c r="G203" s="145"/>
      <c r="H203" s="145"/>
      <c r="I203" s="145"/>
      <c r="J203" s="145"/>
      <c r="N203" s="85"/>
      <c r="O203" s="85"/>
      <c r="P203" s="85"/>
    </row>
    <row r="204" spans="1:16" s="84" customFormat="1">
      <c r="A204" s="85"/>
      <c r="B204" s="144"/>
      <c r="C204" s="145"/>
      <c r="D204" s="146"/>
      <c r="E204" s="145"/>
      <c r="F204" s="145"/>
      <c r="G204" s="145"/>
      <c r="H204" s="145"/>
      <c r="I204" s="145"/>
      <c r="J204" s="145"/>
      <c r="N204" s="85"/>
      <c r="O204" s="85"/>
      <c r="P204" s="85"/>
    </row>
    <row r="205" spans="1:16" s="84" customFormat="1">
      <c r="A205" s="85"/>
      <c r="B205" s="144"/>
      <c r="C205" s="145"/>
      <c r="D205" s="146"/>
      <c r="E205" s="145"/>
      <c r="F205" s="145"/>
      <c r="G205" s="145"/>
      <c r="H205" s="145"/>
      <c r="I205" s="145"/>
      <c r="J205" s="145"/>
      <c r="N205" s="85"/>
      <c r="O205" s="85"/>
      <c r="P205" s="85"/>
    </row>
    <row r="206" spans="1:16" s="84" customFormat="1">
      <c r="A206" s="85"/>
      <c r="B206" s="144"/>
      <c r="C206" s="145"/>
      <c r="D206" s="146"/>
      <c r="E206" s="145"/>
      <c r="F206" s="145"/>
      <c r="G206" s="145"/>
      <c r="H206" s="145"/>
      <c r="I206" s="145"/>
      <c r="J206" s="145"/>
      <c r="N206" s="85"/>
      <c r="O206" s="85"/>
      <c r="P206" s="85"/>
    </row>
    <row r="207" spans="1:16" s="84" customFormat="1">
      <c r="A207" s="85"/>
      <c r="B207" s="144"/>
      <c r="C207" s="145"/>
      <c r="D207" s="146"/>
      <c r="E207" s="145"/>
      <c r="F207" s="145"/>
      <c r="G207" s="145"/>
      <c r="H207" s="145"/>
      <c r="I207" s="145"/>
      <c r="J207" s="145"/>
      <c r="N207" s="85"/>
      <c r="O207" s="85"/>
      <c r="P207" s="85"/>
    </row>
    <row r="208" spans="1:16" s="84" customFormat="1">
      <c r="A208" s="85"/>
      <c r="B208" s="144"/>
      <c r="C208" s="145"/>
      <c r="D208" s="146"/>
      <c r="E208" s="145"/>
      <c r="F208" s="145"/>
      <c r="G208" s="145"/>
      <c r="H208" s="145"/>
      <c r="I208" s="145"/>
      <c r="J208" s="145"/>
      <c r="N208" s="85"/>
      <c r="O208" s="85"/>
      <c r="P208" s="85"/>
    </row>
    <row r="209" spans="1:16" s="84" customFormat="1">
      <c r="A209" s="85"/>
      <c r="B209" s="144"/>
      <c r="C209" s="145"/>
      <c r="D209" s="146"/>
      <c r="E209" s="145"/>
      <c r="F209" s="145"/>
      <c r="G209" s="145"/>
      <c r="H209" s="145"/>
      <c r="I209" s="145"/>
      <c r="J209" s="145"/>
      <c r="N209" s="85"/>
      <c r="O209" s="85"/>
      <c r="P209" s="85"/>
    </row>
    <row r="210" spans="1:16" s="84" customFormat="1">
      <c r="A210" s="85"/>
      <c r="B210" s="144"/>
      <c r="C210" s="145"/>
      <c r="D210" s="146"/>
      <c r="E210" s="145"/>
      <c r="F210" s="145"/>
      <c r="G210" s="145"/>
      <c r="H210" s="145"/>
      <c r="I210" s="145"/>
      <c r="J210" s="145"/>
      <c r="N210" s="85"/>
      <c r="O210" s="85"/>
      <c r="P210" s="85"/>
    </row>
    <row r="211" spans="1:16" s="84" customFormat="1">
      <c r="A211" s="85"/>
      <c r="B211" s="144"/>
      <c r="C211" s="145"/>
      <c r="D211" s="146"/>
      <c r="E211" s="145"/>
      <c r="F211" s="145"/>
      <c r="G211" s="145"/>
      <c r="H211" s="145"/>
      <c r="I211" s="145"/>
      <c r="J211" s="145"/>
      <c r="N211" s="85"/>
      <c r="O211" s="85"/>
      <c r="P211" s="85"/>
    </row>
    <row r="212" spans="1:16" s="84" customFormat="1">
      <c r="A212" s="85"/>
      <c r="B212" s="144"/>
      <c r="C212" s="145"/>
      <c r="D212" s="146"/>
      <c r="E212" s="145"/>
      <c r="F212" s="145"/>
      <c r="G212" s="145"/>
      <c r="H212" s="145"/>
      <c r="I212" s="145"/>
      <c r="J212" s="145"/>
      <c r="N212" s="85"/>
      <c r="O212" s="85"/>
      <c r="P212" s="85"/>
    </row>
    <row r="213" spans="1:16" s="84" customFormat="1">
      <c r="A213" s="85"/>
      <c r="B213" s="144"/>
      <c r="C213" s="145"/>
      <c r="D213" s="146"/>
      <c r="E213" s="145"/>
      <c r="F213" s="145"/>
      <c r="G213" s="145"/>
      <c r="H213" s="145"/>
      <c r="I213" s="145"/>
      <c r="J213" s="145"/>
      <c r="N213" s="85"/>
      <c r="O213" s="85"/>
      <c r="P213" s="85"/>
    </row>
    <row r="214" spans="1:16" s="84" customFormat="1">
      <c r="A214" s="85"/>
      <c r="B214" s="144"/>
      <c r="C214" s="145"/>
      <c r="D214" s="146"/>
      <c r="E214" s="145"/>
      <c r="F214" s="145"/>
      <c r="G214" s="145"/>
      <c r="H214" s="145"/>
      <c r="I214" s="145"/>
      <c r="J214" s="145"/>
      <c r="N214" s="85"/>
      <c r="O214" s="85"/>
      <c r="P214" s="85"/>
    </row>
    <row r="215" spans="1:16" s="84" customFormat="1">
      <c r="A215" s="85"/>
      <c r="B215" s="144"/>
      <c r="C215" s="145"/>
      <c r="D215" s="146"/>
      <c r="E215" s="145"/>
      <c r="F215" s="145"/>
      <c r="G215" s="145"/>
      <c r="H215" s="145"/>
      <c r="I215" s="145"/>
      <c r="J215" s="145"/>
      <c r="N215" s="85"/>
      <c r="O215" s="85"/>
      <c r="P215" s="85"/>
    </row>
    <row r="216" spans="1:16" s="84" customFormat="1">
      <c r="A216" s="85"/>
      <c r="B216" s="144"/>
      <c r="C216" s="145"/>
      <c r="D216" s="146"/>
      <c r="E216" s="145"/>
      <c r="F216" s="145"/>
      <c r="G216" s="145"/>
      <c r="H216" s="145"/>
      <c r="I216" s="145"/>
      <c r="J216" s="145"/>
      <c r="N216" s="85"/>
      <c r="O216" s="85"/>
      <c r="P216" s="85"/>
    </row>
    <row r="217" spans="1:16" s="84" customFormat="1">
      <c r="A217" s="85"/>
      <c r="B217" s="144"/>
      <c r="C217" s="145"/>
      <c r="D217" s="146"/>
      <c r="E217" s="145"/>
      <c r="F217" s="145"/>
      <c r="G217" s="145"/>
      <c r="H217" s="145"/>
      <c r="I217" s="145"/>
      <c r="J217" s="145"/>
      <c r="N217" s="85"/>
      <c r="O217" s="85"/>
      <c r="P217" s="85"/>
    </row>
    <row r="218" spans="1:16" s="84" customFormat="1">
      <c r="A218" s="85"/>
      <c r="B218" s="144"/>
      <c r="C218" s="145"/>
      <c r="D218" s="146"/>
      <c r="E218" s="145"/>
      <c r="F218" s="145"/>
      <c r="G218" s="145"/>
      <c r="H218" s="145"/>
      <c r="I218" s="145"/>
      <c r="J218" s="145"/>
      <c r="N218" s="85"/>
      <c r="O218" s="85"/>
      <c r="P218" s="85"/>
    </row>
    <row r="219" spans="1:16" s="84" customFormat="1">
      <c r="A219" s="85"/>
      <c r="B219" s="144"/>
      <c r="C219" s="145"/>
      <c r="D219" s="146"/>
      <c r="E219" s="145"/>
      <c r="F219" s="145"/>
      <c r="G219" s="145"/>
      <c r="H219" s="145"/>
      <c r="I219" s="145"/>
      <c r="J219" s="145"/>
      <c r="N219" s="85"/>
      <c r="O219" s="85"/>
      <c r="P219" s="85"/>
    </row>
    <row r="220" spans="1:16" s="84" customFormat="1">
      <c r="A220" s="85"/>
      <c r="B220" s="144"/>
      <c r="C220" s="145"/>
      <c r="D220" s="146"/>
      <c r="E220" s="145"/>
      <c r="F220" s="145"/>
      <c r="G220" s="145"/>
      <c r="H220" s="145"/>
      <c r="I220" s="145"/>
      <c r="J220" s="145"/>
      <c r="N220" s="85"/>
      <c r="O220" s="85"/>
      <c r="P220" s="85"/>
    </row>
    <row r="221" spans="1:16" s="84" customFormat="1">
      <c r="A221" s="85"/>
      <c r="B221" s="144"/>
      <c r="C221" s="145"/>
      <c r="D221" s="146"/>
      <c r="E221" s="145"/>
      <c r="F221" s="145"/>
      <c r="G221" s="145"/>
      <c r="H221" s="145"/>
      <c r="I221" s="145"/>
      <c r="J221" s="145"/>
      <c r="N221" s="85"/>
      <c r="O221" s="85"/>
      <c r="P221" s="85"/>
    </row>
    <row r="222" spans="1:16" s="84" customFormat="1">
      <c r="A222" s="85"/>
      <c r="B222" s="144"/>
      <c r="C222" s="145"/>
      <c r="D222" s="146"/>
      <c r="E222" s="145"/>
      <c r="F222" s="145"/>
      <c r="G222" s="145"/>
      <c r="H222" s="145"/>
      <c r="I222" s="145"/>
      <c r="J222" s="145"/>
      <c r="N222" s="85"/>
      <c r="O222" s="85"/>
      <c r="P222" s="85"/>
    </row>
    <row r="223" spans="1:16" s="84" customFormat="1">
      <c r="A223" s="85"/>
      <c r="B223" s="144"/>
      <c r="C223" s="145"/>
      <c r="D223" s="146"/>
      <c r="E223" s="145"/>
      <c r="F223" s="145"/>
      <c r="G223" s="145"/>
      <c r="H223" s="145"/>
      <c r="I223" s="145"/>
      <c r="J223" s="145"/>
      <c r="N223" s="85"/>
      <c r="O223" s="85"/>
      <c r="P223" s="85"/>
    </row>
    <row r="224" spans="1:16" s="84" customFormat="1">
      <c r="A224" s="85"/>
      <c r="B224" s="144"/>
      <c r="C224" s="145"/>
      <c r="D224" s="146"/>
      <c r="E224" s="145"/>
      <c r="F224" s="145"/>
      <c r="G224" s="145"/>
      <c r="H224" s="145"/>
      <c r="I224" s="145"/>
      <c r="J224" s="145"/>
      <c r="N224" s="85"/>
      <c r="O224" s="85"/>
      <c r="P224" s="85"/>
    </row>
    <row r="225" spans="1:16" s="84" customFormat="1">
      <c r="A225" s="85"/>
      <c r="B225" s="144"/>
      <c r="C225" s="145"/>
      <c r="D225" s="146"/>
      <c r="E225" s="145"/>
      <c r="F225" s="145"/>
      <c r="G225" s="145"/>
      <c r="H225" s="145"/>
      <c r="I225" s="145"/>
      <c r="J225" s="145"/>
      <c r="N225" s="85"/>
      <c r="O225" s="85"/>
      <c r="P225" s="85"/>
    </row>
    <row r="226" spans="1:16" s="84" customFormat="1">
      <c r="A226" s="85"/>
      <c r="B226" s="144"/>
      <c r="C226" s="145"/>
      <c r="D226" s="146"/>
      <c r="E226" s="145"/>
      <c r="F226" s="145"/>
      <c r="G226" s="145"/>
      <c r="H226" s="145"/>
      <c r="I226" s="145"/>
      <c r="J226" s="145"/>
      <c r="N226" s="85"/>
      <c r="O226" s="85"/>
      <c r="P226" s="85"/>
    </row>
    <row r="227" spans="1:16" s="84" customFormat="1">
      <c r="A227" s="85"/>
      <c r="B227" s="144"/>
      <c r="C227" s="145"/>
      <c r="D227" s="146"/>
      <c r="E227" s="145"/>
      <c r="F227" s="145"/>
      <c r="G227" s="145"/>
      <c r="H227" s="145"/>
      <c r="I227" s="145"/>
      <c r="J227" s="145"/>
      <c r="N227" s="85"/>
      <c r="O227" s="85"/>
      <c r="P227" s="85"/>
    </row>
    <row r="228" spans="1:16" s="84" customFormat="1">
      <c r="A228" s="85"/>
      <c r="B228" s="144"/>
      <c r="C228" s="145"/>
      <c r="D228" s="146"/>
      <c r="E228" s="145"/>
      <c r="F228" s="145"/>
      <c r="G228" s="145"/>
      <c r="H228" s="145"/>
      <c r="I228" s="145"/>
      <c r="J228" s="145"/>
      <c r="N228" s="85"/>
      <c r="O228" s="85"/>
      <c r="P228" s="85"/>
    </row>
    <row r="229" spans="1:16" s="84" customFormat="1">
      <c r="A229" s="85"/>
      <c r="B229" s="144"/>
      <c r="C229" s="145"/>
      <c r="D229" s="146"/>
      <c r="E229" s="145"/>
      <c r="F229" s="145"/>
      <c r="G229" s="145"/>
      <c r="H229" s="145"/>
      <c r="I229" s="145"/>
      <c r="J229" s="145"/>
      <c r="N229" s="85"/>
      <c r="O229" s="85"/>
      <c r="P229" s="85"/>
    </row>
    <row r="230" spans="1:16" s="84" customFormat="1">
      <c r="A230" s="85"/>
      <c r="B230" s="144"/>
      <c r="C230" s="145"/>
      <c r="D230" s="146"/>
      <c r="E230" s="145"/>
      <c r="F230" s="145"/>
      <c r="G230" s="145"/>
      <c r="H230" s="145"/>
      <c r="I230" s="145"/>
      <c r="J230" s="145"/>
      <c r="N230" s="85"/>
      <c r="O230" s="85"/>
      <c r="P230" s="85"/>
    </row>
    <row r="231" spans="1:16" s="84" customFormat="1">
      <c r="A231" s="85"/>
      <c r="B231" s="144"/>
      <c r="C231" s="145"/>
      <c r="D231" s="146"/>
      <c r="E231" s="145"/>
      <c r="F231" s="145"/>
      <c r="G231" s="145"/>
      <c r="H231" s="145"/>
      <c r="I231" s="145"/>
      <c r="J231" s="145"/>
      <c r="N231" s="85"/>
      <c r="O231" s="85"/>
      <c r="P231" s="85"/>
    </row>
    <row r="232" spans="1:16" s="84" customFormat="1">
      <c r="A232" s="85"/>
      <c r="B232" s="144"/>
      <c r="C232" s="145"/>
      <c r="D232" s="146"/>
      <c r="E232" s="145"/>
      <c r="F232" s="145"/>
      <c r="G232" s="145"/>
      <c r="H232" s="145"/>
      <c r="I232" s="145"/>
      <c r="J232" s="145"/>
      <c r="N232" s="85"/>
      <c r="O232" s="85"/>
      <c r="P232" s="85"/>
    </row>
    <row r="233" spans="1:16" s="84" customFormat="1">
      <c r="A233" s="85"/>
      <c r="B233" s="144"/>
      <c r="C233" s="145"/>
      <c r="D233" s="146"/>
      <c r="E233" s="145"/>
      <c r="F233" s="145"/>
      <c r="G233" s="145"/>
      <c r="H233" s="145"/>
      <c r="I233" s="145"/>
      <c r="J233" s="145"/>
      <c r="N233" s="85"/>
      <c r="O233" s="85"/>
      <c r="P233" s="85"/>
    </row>
    <row r="234" spans="1:16" s="84" customFormat="1">
      <c r="A234" s="85"/>
      <c r="B234" s="144"/>
      <c r="C234" s="145"/>
      <c r="D234" s="146"/>
      <c r="E234" s="145"/>
      <c r="F234" s="145"/>
      <c r="G234" s="145"/>
      <c r="H234" s="145"/>
      <c r="I234" s="145"/>
      <c r="J234" s="145"/>
      <c r="N234" s="85"/>
      <c r="O234" s="85"/>
      <c r="P234" s="85"/>
    </row>
    <row r="235" spans="1:16" s="84" customFormat="1">
      <c r="A235" s="85"/>
      <c r="B235" s="144"/>
      <c r="C235" s="145"/>
      <c r="D235" s="146"/>
      <c r="E235" s="145"/>
      <c r="F235" s="145"/>
      <c r="G235" s="145"/>
      <c r="H235" s="145"/>
      <c r="I235" s="145"/>
      <c r="J235" s="145"/>
      <c r="N235" s="85"/>
      <c r="O235" s="85"/>
      <c r="P235" s="85"/>
    </row>
    <row r="236" spans="1:16" s="84" customFormat="1">
      <c r="A236" s="85"/>
      <c r="B236" s="144"/>
      <c r="C236" s="145"/>
      <c r="D236" s="146"/>
      <c r="E236" s="145"/>
      <c r="F236" s="145"/>
      <c r="G236" s="145"/>
      <c r="H236" s="145"/>
      <c r="I236" s="145"/>
      <c r="J236" s="145"/>
      <c r="N236" s="85"/>
      <c r="O236" s="85"/>
      <c r="P236" s="85"/>
    </row>
    <row r="237" spans="1:16" s="84" customFormat="1">
      <c r="A237" s="85"/>
      <c r="B237" s="144"/>
      <c r="C237" s="145"/>
      <c r="D237" s="146"/>
      <c r="E237" s="145"/>
      <c r="F237" s="145"/>
      <c r="G237" s="145"/>
      <c r="H237" s="145"/>
      <c r="I237" s="145"/>
      <c r="J237" s="145"/>
      <c r="N237" s="85"/>
      <c r="O237" s="85"/>
      <c r="P237" s="85"/>
    </row>
    <row r="238" spans="1:16" s="84" customFormat="1">
      <c r="A238" s="85"/>
      <c r="B238" s="144"/>
      <c r="C238" s="145"/>
      <c r="D238" s="146"/>
      <c r="E238" s="145"/>
      <c r="F238" s="145"/>
      <c r="G238" s="145"/>
      <c r="H238" s="145"/>
      <c r="I238" s="145"/>
      <c r="J238" s="145"/>
      <c r="N238" s="85"/>
      <c r="O238" s="85"/>
      <c r="P238" s="85"/>
    </row>
    <row r="239" spans="1:16" s="84" customFormat="1">
      <c r="A239" s="85"/>
      <c r="B239" s="144"/>
      <c r="C239" s="145"/>
      <c r="D239" s="146"/>
      <c r="E239" s="145"/>
      <c r="F239" s="145"/>
      <c r="G239" s="145"/>
      <c r="H239" s="145"/>
      <c r="I239" s="145"/>
      <c r="J239" s="145"/>
      <c r="N239" s="85"/>
      <c r="O239" s="85"/>
      <c r="P239" s="85"/>
    </row>
    <row r="240" spans="1:16" s="84" customFormat="1">
      <c r="A240" s="85"/>
      <c r="B240" s="144"/>
      <c r="C240" s="145"/>
      <c r="D240" s="146"/>
      <c r="E240" s="145"/>
      <c r="F240" s="145"/>
      <c r="G240" s="145"/>
      <c r="H240" s="145"/>
      <c r="I240" s="145"/>
      <c r="J240" s="145"/>
      <c r="N240" s="85"/>
      <c r="O240" s="85"/>
      <c r="P240" s="85"/>
    </row>
    <row r="241" spans="1:16" s="84" customFormat="1">
      <c r="A241" s="85"/>
      <c r="B241" s="144"/>
      <c r="C241" s="145"/>
      <c r="D241" s="146"/>
      <c r="E241" s="145"/>
      <c r="F241" s="145"/>
      <c r="G241" s="145"/>
      <c r="H241" s="145"/>
      <c r="I241" s="145"/>
      <c r="J241" s="145"/>
      <c r="N241" s="85"/>
      <c r="O241" s="85"/>
      <c r="P241" s="85"/>
    </row>
    <row r="242" spans="1:16" s="84" customFormat="1">
      <c r="A242" s="85"/>
      <c r="B242" s="144"/>
      <c r="C242" s="145"/>
      <c r="D242" s="146"/>
      <c r="E242" s="145"/>
      <c r="F242" s="145"/>
      <c r="G242" s="145"/>
      <c r="H242" s="145"/>
      <c r="I242" s="145"/>
      <c r="J242" s="145"/>
      <c r="N242" s="85"/>
      <c r="O242" s="85"/>
      <c r="P242" s="85"/>
    </row>
    <row r="243" spans="1:16" s="84" customFormat="1">
      <c r="A243" s="85"/>
      <c r="B243" s="144"/>
      <c r="C243" s="145"/>
      <c r="D243" s="146"/>
      <c r="E243" s="145"/>
      <c r="F243" s="145"/>
      <c r="G243" s="145"/>
      <c r="H243" s="145"/>
      <c r="I243" s="145"/>
      <c r="J243" s="145"/>
      <c r="N243" s="85"/>
      <c r="O243" s="85"/>
      <c r="P243" s="85"/>
    </row>
    <row r="244" spans="1:16" s="84" customFormat="1">
      <c r="A244" s="85"/>
      <c r="B244" s="144"/>
      <c r="C244" s="145"/>
      <c r="D244" s="146"/>
      <c r="E244" s="145"/>
      <c r="F244" s="145"/>
      <c r="G244" s="145"/>
      <c r="H244" s="145"/>
      <c r="I244" s="145"/>
      <c r="J244" s="145"/>
      <c r="N244" s="85"/>
      <c r="O244" s="85"/>
      <c r="P244" s="85"/>
    </row>
    <row r="245" spans="1:16" s="84" customFormat="1">
      <c r="A245" s="85"/>
      <c r="B245" s="144"/>
      <c r="C245" s="145"/>
      <c r="D245" s="146"/>
      <c r="E245" s="145"/>
      <c r="F245" s="145"/>
      <c r="G245" s="145"/>
      <c r="H245" s="145"/>
      <c r="I245" s="145"/>
      <c r="J245" s="145"/>
      <c r="N245" s="85"/>
      <c r="O245" s="85"/>
      <c r="P245" s="85"/>
    </row>
    <row r="246" spans="1:16" s="84" customFormat="1">
      <c r="A246" s="85"/>
      <c r="B246" s="144"/>
      <c r="C246" s="145"/>
      <c r="D246" s="146"/>
      <c r="E246" s="145"/>
      <c r="F246" s="145"/>
      <c r="G246" s="145"/>
      <c r="H246" s="145"/>
      <c r="I246" s="145"/>
      <c r="J246" s="145"/>
      <c r="N246" s="85"/>
      <c r="O246" s="85"/>
      <c r="P246" s="85"/>
    </row>
    <row r="247" spans="1:16" s="84" customFormat="1">
      <c r="A247" s="85"/>
      <c r="B247" s="144"/>
      <c r="C247" s="145"/>
      <c r="D247" s="146"/>
      <c r="E247" s="145"/>
      <c r="F247" s="145"/>
      <c r="G247" s="145"/>
      <c r="H247" s="145"/>
      <c r="I247" s="145"/>
      <c r="J247" s="145"/>
      <c r="N247" s="85"/>
      <c r="O247" s="85"/>
      <c r="P247" s="85"/>
    </row>
    <row r="248" spans="1:16" s="84" customFormat="1">
      <c r="A248" s="85"/>
      <c r="B248" s="144"/>
      <c r="C248" s="145"/>
      <c r="D248" s="146"/>
      <c r="E248" s="145"/>
      <c r="F248" s="145"/>
      <c r="G248" s="145"/>
      <c r="H248" s="145"/>
      <c r="I248" s="145"/>
      <c r="J248" s="145"/>
      <c r="N248" s="85"/>
      <c r="O248" s="85"/>
      <c r="P248" s="85"/>
    </row>
    <row r="249" spans="1:16" s="84" customFormat="1">
      <c r="A249" s="85"/>
      <c r="B249" s="144"/>
      <c r="C249" s="145"/>
      <c r="D249" s="146"/>
      <c r="E249" s="145"/>
      <c r="F249" s="145"/>
      <c r="G249" s="145"/>
      <c r="H249" s="145"/>
      <c r="I249" s="145"/>
      <c r="J249" s="145"/>
      <c r="N249" s="85"/>
      <c r="O249" s="85"/>
      <c r="P249" s="85"/>
    </row>
    <row r="250" spans="1:16" s="84" customFormat="1">
      <c r="A250" s="85"/>
      <c r="B250" s="144"/>
      <c r="C250" s="145"/>
      <c r="D250" s="146"/>
      <c r="E250" s="145"/>
      <c r="F250" s="145"/>
      <c r="G250" s="145"/>
      <c r="H250" s="145"/>
      <c r="I250" s="145"/>
      <c r="J250" s="145"/>
      <c r="N250" s="85"/>
      <c r="O250" s="85"/>
      <c r="P250" s="85"/>
    </row>
    <row r="251" spans="1:16" s="84" customFormat="1">
      <c r="A251" s="85"/>
      <c r="B251" s="144"/>
      <c r="C251" s="145"/>
      <c r="D251" s="146"/>
      <c r="E251" s="145"/>
      <c r="F251" s="145"/>
      <c r="G251" s="145"/>
      <c r="H251" s="145"/>
      <c r="I251" s="145"/>
      <c r="J251" s="145"/>
      <c r="N251" s="85"/>
      <c r="O251" s="85"/>
      <c r="P251" s="85"/>
    </row>
    <row r="252" spans="1:16" s="84" customFormat="1">
      <c r="A252" s="85"/>
      <c r="B252" s="144"/>
      <c r="C252" s="145"/>
      <c r="D252" s="146"/>
      <c r="E252" s="145"/>
      <c r="F252" s="145"/>
      <c r="G252" s="145"/>
      <c r="H252" s="145"/>
      <c r="I252" s="145"/>
      <c r="J252" s="145"/>
      <c r="N252" s="85"/>
      <c r="O252" s="85"/>
      <c r="P252" s="85"/>
    </row>
    <row r="253" spans="1:16" s="84" customFormat="1">
      <c r="A253" s="85"/>
      <c r="B253" s="144"/>
      <c r="C253" s="145"/>
      <c r="D253" s="146"/>
      <c r="E253" s="145"/>
      <c r="F253" s="145"/>
      <c r="G253" s="145"/>
      <c r="H253" s="145"/>
      <c r="I253" s="145"/>
      <c r="J253" s="145"/>
      <c r="N253" s="85"/>
      <c r="O253" s="85"/>
      <c r="P253" s="85"/>
    </row>
    <row r="254" spans="1:16" s="84" customFormat="1">
      <c r="A254" s="85"/>
      <c r="B254" s="144"/>
      <c r="C254" s="145"/>
      <c r="D254" s="146"/>
      <c r="E254" s="145"/>
      <c r="F254" s="145"/>
      <c r="G254" s="145"/>
      <c r="H254" s="145"/>
      <c r="I254" s="145"/>
      <c r="J254" s="145"/>
      <c r="N254" s="85"/>
      <c r="O254" s="85"/>
      <c r="P254" s="85"/>
    </row>
    <row r="255" spans="1:16" s="84" customFormat="1">
      <c r="A255" s="85"/>
      <c r="B255" s="144"/>
      <c r="C255" s="145"/>
      <c r="D255" s="146"/>
      <c r="E255" s="145"/>
      <c r="F255" s="145"/>
      <c r="G255" s="145"/>
      <c r="H255" s="145"/>
      <c r="I255" s="145"/>
      <c r="J255" s="145"/>
      <c r="N255" s="85"/>
      <c r="O255" s="85"/>
      <c r="P255" s="85"/>
    </row>
    <row r="256" spans="1:16" s="84" customFormat="1">
      <c r="A256" s="85"/>
      <c r="B256" s="144"/>
      <c r="C256" s="145"/>
      <c r="D256" s="146"/>
      <c r="E256" s="145"/>
      <c r="F256" s="145"/>
      <c r="G256" s="145"/>
      <c r="H256" s="145"/>
      <c r="I256" s="145"/>
      <c r="J256" s="145"/>
      <c r="N256" s="85"/>
      <c r="O256" s="85"/>
      <c r="P256" s="85"/>
    </row>
    <row r="257" spans="1:16" s="84" customFormat="1">
      <c r="A257" s="85"/>
      <c r="B257" s="144"/>
      <c r="C257" s="145"/>
      <c r="D257" s="146"/>
      <c r="E257" s="145"/>
      <c r="F257" s="145"/>
      <c r="G257" s="145"/>
      <c r="H257" s="145"/>
      <c r="I257" s="145"/>
      <c r="J257" s="145"/>
      <c r="N257" s="85"/>
      <c r="O257" s="85"/>
      <c r="P257" s="85"/>
    </row>
    <row r="258" spans="1:16" s="84" customFormat="1">
      <c r="A258" s="85"/>
      <c r="B258" s="144"/>
      <c r="C258" s="145"/>
      <c r="D258" s="146"/>
      <c r="E258" s="145"/>
      <c r="F258" s="145"/>
      <c r="G258" s="145"/>
      <c r="H258" s="145"/>
      <c r="I258" s="145"/>
      <c r="J258" s="145"/>
      <c r="N258" s="85"/>
      <c r="O258" s="85"/>
      <c r="P258" s="85"/>
    </row>
    <row r="259" spans="1:16" s="84" customFormat="1">
      <c r="A259" s="85"/>
      <c r="B259" s="144"/>
      <c r="C259" s="145"/>
      <c r="D259" s="146"/>
      <c r="E259" s="145"/>
      <c r="F259" s="145"/>
      <c r="G259" s="145"/>
      <c r="H259" s="145"/>
      <c r="I259" s="145"/>
      <c r="J259" s="145"/>
      <c r="N259" s="85"/>
      <c r="O259" s="85"/>
      <c r="P259" s="85"/>
    </row>
    <row r="260" spans="1:16" s="84" customFormat="1">
      <c r="A260" s="85"/>
      <c r="B260" s="144"/>
      <c r="C260" s="145"/>
      <c r="D260" s="146"/>
      <c r="E260" s="145"/>
      <c r="F260" s="145"/>
      <c r="G260" s="145"/>
      <c r="H260" s="145"/>
      <c r="I260" s="145"/>
      <c r="J260" s="145"/>
      <c r="N260" s="85"/>
      <c r="O260" s="85"/>
      <c r="P260" s="85"/>
    </row>
    <row r="261" spans="1:16" s="84" customFormat="1">
      <c r="A261" s="85"/>
      <c r="B261" s="144"/>
      <c r="C261" s="145"/>
      <c r="D261" s="146"/>
      <c r="E261" s="145"/>
      <c r="F261" s="145"/>
      <c r="G261" s="145"/>
      <c r="H261" s="145"/>
      <c r="I261" s="145"/>
      <c r="J261" s="145"/>
      <c r="N261" s="85"/>
      <c r="O261" s="85"/>
      <c r="P261" s="85"/>
    </row>
    <row r="262" spans="1:16" s="84" customFormat="1">
      <c r="A262" s="85"/>
      <c r="B262" s="144"/>
      <c r="C262" s="145"/>
      <c r="D262" s="146"/>
      <c r="E262" s="145"/>
      <c r="F262" s="145"/>
      <c r="G262" s="145"/>
      <c r="H262" s="145"/>
      <c r="I262" s="145"/>
      <c r="J262" s="145"/>
      <c r="N262" s="85"/>
      <c r="O262" s="85"/>
      <c r="P262" s="85"/>
    </row>
    <row r="263" spans="1:16" s="84" customFormat="1">
      <c r="A263" s="85"/>
      <c r="B263" s="144"/>
      <c r="C263" s="145"/>
      <c r="D263" s="146"/>
      <c r="E263" s="145"/>
      <c r="F263" s="145"/>
      <c r="G263" s="145"/>
      <c r="H263" s="145"/>
      <c r="I263" s="145"/>
      <c r="J263" s="145"/>
      <c r="N263" s="85"/>
      <c r="O263" s="85"/>
      <c r="P263" s="85"/>
    </row>
    <row r="264" spans="1:16" s="84" customFormat="1">
      <c r="A264" s="85"/>
      <c r="B264" s="144"/>
      <c r="C264" s="145"/>
      <c r="D264" s="146"/>
      <c r="E264" s="145"/>
      <c r="F264" s="145"/>
      <c r="G264" s="145"/>
      <c r="H264" s="145"/>
      <c r="I264" s="145"/>
      <c r="J264" s="145"/>
      <c r="N264" s="85"/>
      <c r="O264" s="85"/>
      <c r="P264" s="85"/>
    </row>
    <row r="265" spans="1:16" s="84" customFormat="1">
      <c r="A265" s="85"/>
      <c r="B265" s="144"/>
      <c r="C265" s="145"/>
      <c r="D265" s="146"/>
      <c r="E265" s="145"/>
      <c r="F265" s="145"/>
      <c r="G265" s="145"/>
      <c r="H265" s="145"/>
      <c r="I265" s="145"/>
      <c r="J265" s="145"/>
      <c r="N265" s="85"/>
      <c r="O265" s="85"/>
      <c r="P265" s="85"/>
    </row>
    <row r="266" spans="1:16" s="84" customFormat="1">
      <c r="A266" s="85"/>
      <c r="B266" s="144"/>
      <c r="C266" s="145"/>
      <c r="D266" s="146"/>
      <c r="E266" s="145"/>
      <c r="F266" s="145"/>
      <c r="G266" s="145"/>
      <c r="H266" s="145"/>
      <c r="I266" s="145"/>
      <c r="J266" s="145"/>
      <c r="N266" s="85"/>
      <c r="O266" s="85"/>
      <c r="P266" s="85"/>
    </row>
    <row r="267" spans="1:16" s="84" customFormat="1">
      <c r="A267" s="85"/>
      <c r="B267" s="144"/>
      <c r="C267" s="145"/>
      <c r="D267" s="146"/>
      <c r="E267" s="145"/>
      <c r="F267" s="145"/>
      <c r="G267" s="145"/>
      <c r="H267" s="145"/>
      <c r="I267" s="145"/>
      <c r="J267" s="145"/>
      <c r="N267" s="85"/>
      <c r="O267" s="85"/>
      <c r="P267" s="85"/>
    </row>
    <row r="268" spans="1:16" s="84" customFormat="1">
      <c r="A268" s="85"/>
      <c r="B268" s="144"/>
      <c r="C268" s="145"/>
      <c r="D268" s="146"/>
      <c r="E268" s="145"/>
      <c r="F268" s="145"/>
      <c r="G268" s="145"/>
      <c r="H268" s="145"/>
      <c r="I268" s="145"/>
      <c r="J268" s="145"/>
      <c r="N268" s="85"/>
      <c r="O268" s="85"/>
      <c r="P268" s="85"/>
    </row>
    <row r="269" spans="1:16" s="84" customFormat="1">
      <c r="A269" s="85"/>
      <c r="B269" s="144"/>
      <c r="C269" s="145"/>
      <c r="D269" s="146"/>
      <c r="E269" s="145"/>
      <c r="F269" s="145"/>
      <c r="G269" s="145"/>
      <c r="H269" s="145"/>
      <c r="I269" s="145"/>
      <c r="J269" s="145"/>
      <c r="N269" s="85"/>
      <c r="O269" s="85"/>
      <c r="P269" s="85"/>
    </row>
    <row r="270" spans="1:16" s="84" customFormat="1">
      <c r="A270" s="85"/>
      <c r="B270" s="144"/>
      <c r="C270" s="145"/>
      <c r="D270" s="146"/>
      <c r="E270" s="145"/>
      <c r="F270" s="145"/>
      <c r="G270" s="145"/>
      <c r="H270" s="145"/>
      <c r="I270" s="145"/>
      <c r="J270" s="145"/>
      <c r="N270" s="85"/>
      <c r="O270" s="85"/>
      <c r="P270" s="85"/>
    </row>
    <row r="271" spans="1:16" s="84" customFormat="1">
      <c r="A271" s="85"/>
      <c r="B271" s="144"/>
      <c r="C271" s="145"/>
      <c r="D271" s="146"/>
      <c r="E271" s="145"/>
      <c r="F271" s="145"/>
      <c r="G271" s="145"/>
      <c r="H271" s="145"/>
      <c r="I271" s="145"/>
      <c r="J271" s="145"/>
      <c r="N271" s="85"/>
      <c r="O271" s="85"/>
      <c r="P271" s="85"/>
    </row>
    <row r="272" spans="1:16" s="84" customFormat="1">
      <c r="A272" s="85"/>
      <c r="B272" s="144"/>
      <c r="C272" s="145"/>
      <c r="D272" s="146"/>
      <c r="E272" s="145"/>
      <c r="F272" s="145"/>
      <c r="G272" s="145"/>
      <c r="H272" s="145"/>
      <c r="I272" s="145"/>
      <c r="J272" s="145"/>
      <c r="N272" s="85"/>
      <c r="O272" s="85"/>
      <c r="P272" s="85"/>
    </row>
    <row r="273" spans="1:16" s="84" customFormat="1">
      <c r="A273" s="85"/>
      <c r="B273" s="144"/>
      <c r="C273" s="145"/>
      <c r="D273" s="146"/>
      <c r="E273" s="145"/>
      <c r="F273" s="145"/>
      <c r="G273" s="145"/>
      <c r="H273" s="145"/>
      <c r="I273" s="145"/>
      <c r="J273" s="145"/>
      <c r="N273" s="85"/>
      <c r="O273" s="85"/>
      <c r="P273" s="85"/>
    </row>
    <row r="274" spans="1:16" s="84" customFormat="1">
      <c r="A274" s="85"/>
      <c r="B274" s="140"/>
      <c r="C274" s="141"/>
      <c r="D274" s="147"/>
      <c r="E274" s="141"/>
      <c r="F274" s="141"/>
      <c r="G274" s="141"/>
      <c r="H274" s="141"/>
      <c r="I274" s="141"/>
      <c r="J274" s="141"/>
      <c r="N274" s="85"/>
      <c r="O274" s="85"/>
      <c r="P274" s="85"/>
    </row>
    <row r="275" spans="1:16" s="84" customFormat="1">
      <c r="A275" s="85"/>
      <c r="B275" s="140"/>
      <c r="C275" s="141"/>
      <c r="D275" s="147"/>
      <c r="E275" s="141"/>
      <c r="F275" s="141"/>
      <c r="G275" s="141"/>
      <c r="H275" s="141"/>
      <c r="I275" s="141"/>
      <c r="J275" s="141"/>
      <c r="N275" s="85"/>
      <c r="O275" s="85"/>
      <c r="P275" s="85"/>
    </row>
    <row r="276" spans="1:16" s="84" customFormat="1">
      <c r="A276" s="85"/>
      <c r="B276" s="140"/>
      <c r="C276" s="141"/>
      <c r="D276" s="147"/>
      <c r="E276" s="141"/>
      <c r="F276" s="141"/>
      <c r="G276" s="141"/>
      <c r="H276" s="141"/>
      <c r="I276" s="141"/>
      <c r="J276" s="141"/>
      <c r="N276" s="85"/>
      <c r="O276" s="85"/>
      <c r="P276" s="85"/>
    </row>
    <row r="277" spans="1:16" s="84" customFormat="1">
      <c r="A277" s="85"/>
      <c r="B277" s="140"/>
      <c r="C277" s="141"/>
      <c r="D277" s="147"/>
      <c r="E277" s="141"/>
      <c r="F277" s="141"/>
      <c r="G277" s="141"/>
      <c r="H277" s="141"/>
      <c r="I277" s="141"/>
      <c r="J277" s="141"/>
      <c r="N277" s="85"/>
      <c r="O277" s="85"/>
      <c r="P277" s="85"/>
    </row>
    <row r="278" spans="1:16" s="84" customFormat="1">
      <c r="A278" s="85"/>
      <c r="B278" s="140"/>
      <c r="C278" s="141"/>
      <c r="D278" s="147"/>
      <c r="E278" s="141"/>
      <c r="F278" s="141"/>
      <c r="G278" s="141"/>
      <c r="H278" s="141"/>
      <c r="I278" s="141"/>
      <c r="J278" s="141"/>
      <c r="N278" s="85"/>
      <c r="O278" s="85"/>
      <c r="P278" s="85"/>
    </row>
    <row r="279" spans="1:16" s="84" customFormat="1">
      <c r="A279" s="85"/>
      <c r="B279" s="140"/>
      <c r="C279" s="141"/>
      <c r="D279" s="147"/>
      <c r="E279" s="141"/>
      <c r="F279" s="141"/>
      <c r="G279" s="141"/>
      <c r="H279" s="141"/>
      <c r="I279" s="141"/>
      <c r="J279" s="141"/>
      <c r="N279" s="85"/>
      <c r="O279" s="85"/>
      <c r="P279" s="85"/>
    </row>
    <row r="280" spans="1:16" s="84" customFormat="1">
      <c r="A280" s="85"/>
      <c r="B280" s="140"/>
      <c r="C280" s="141"/>
      <c r="D280" s="147"/>
      <c r="E280" s="141"/>
      <c r="F280" s="141"/>
      <c r="G280" s="141"/>
      <c r="H280" s="141"/>
      <c r="I280" s="141"/>
      <c r="J280" s="141"/>
      <c r="N280" s="85"/>
      <c r="O280" s="85"/>
      <c r="P280" s="85"/>
    </row>
    <row r="281" spans="1:16" s="84" customFormat="1">
      <c r="A281" s="85"/>
      <c r="B281" s="140"/>
      <c r="C281" s="141"/>
      <c r="D281" s="147"/>
      <c r="E281" s="141"/>
      <c r="F281" s="141"/>
      <c r="G281" s="141"/>
      <c r="H281" s="141"/>
      <c r="I281" s="141"/>
      <c r="J281" s="141"/>
      <c r="N281" s="85"/>
      <c r="O281" s="85"/>
      <c r="P281" s="85"/>
    </row>
    <row r="282" spans="1:16" s="84" customFormat="1">
      <c r="A282" s="85"/>
      <c r="B282" s="140"/>
      <c r="C282" s="141"/>
      <c r="D282" s="147"/>
      <c r="E282" s="141"/>
      <c r="F282" s="141"/>
      <c r="G282" s="141"/>
      <c r="H282" s="141"/>
      <c r="I282" s="141"/>
      <c r="J282" s="141"/>
      <c r="N282" s="85"/>
      <c r="O282" s="85"/>
      <c r="P282" s="85"/>
    </row>
    <row r="283" spans="1:16" s="84" customFormat="1">
      <c r="A283" s="85"/>
      <c r="B283" s="140"/>
      <c r="C283" s="141"/>
      <c r="D283" s="147"/>
      <c r="E283" s="141"/>
      <c r="F283" s="141"/>
      <c r="G283" s="141"/>
      <c r="H283" s="141"/>
      <c r="I283" s="141"/>
      <c r="J283" s="141"/>
      <c r="N283" s="85"/>
      <c r="O283" s="85"/>
      <c r="P283" s="85"/>
    </row>
    <row r="284" spans="1:16" s="84" customFormat="1">
      <c r="A284" s="85"/>
      <c r="B284" s="140"/>
      <c r="C284" s="141"/>
      <c r="D284" s="147"/>
      <c r="E284" s="141"/>
      <c r="F284" s="141"/>
      <c r="G284" s="141"/>
      <c r="H284" s="141"/>
      <c r="I284" s="141"/>
      <c r="J284" s="141"/>
      <c r="N284" s="85"/>
      <c r="O284" s="85"/>
      <c r="P284" s="85"/>
    </row>
    <row r="285" spans="1:16" s="84" customFormat="1">
      <c r="A285" s="85"/>
      <c r="B285" s="140"/>
      <c r="C285" s="141"/>
      <c r="D285" s="147"/>
      <c r="E285" s="141"/>
      <c r="F285" s="141"/>
      <c r="G285" s="141"/>
      <c r="H285" s="141"/>
      <c r="I285" s="141"/>
      <c r="J285" s="141"/>
      <c r="N285" s="85"/>
      <c r="O285" s="85"/>
      <c r="P285" s="85"/>
    </row>
    <row r="286" spans="1:16" s="84" customFormat="1">
      <c r="A286" s="85"/>
      <c r="B286" s="140"/>
      <c r="C286" s="141"/>
      <c r="D286" s="147"/>
      <c r="E286" s="141"/>
      <c r="F286" s="141"/>
      <c r="G286" s="141"/>
      <c r="H286" s="141"/>
      <c r="I286" s="141"/>
      <c r="J286" s="141"/>
      <c r="N286" s="85"/>
      <c r="O286" s="85"/>
      <c r="P286" s="85"/>
    </row>
    <row r="287" spans="1:16" s="84" customFormat="1">
      <c r="A287" s="85"/>
      <c r="B287" s="140"/>
      <c r="C287" s="141"/>
      <c r="D287" s="147"/>
      <c r="E287" s="141"/>
      <c r="F287" s="141"/>
      <c r="G287" s="141"/>
      <c r="H287" s="141"/>
      <c r="I287" s="141"/>
      <c r="J287" s="141"/>
      <c r="N287" s="85"/>
      <c r="O287" s="85"/>
      <c r="P287" s="85"/>
    </row>
    <row r="288" spans="1:16" s="84" customFormat="1">
      <c r="A288" s="85"/>
      <c r="B288" s="140"/>
      <c r="C288" s="141"/>
      <c r="D288" s="147"/>
      <c r="E288" s="141"/>
      <c r="F288" s="141"/>
      <c r="G288" s="141"/>
      <c r="H288" s="141"/>
      <c r="I288" s="141"/>
      <c r="J288" s="141"/>
      <c r="N288" s="85"/>
      <c r="O288" s="85"/>
      <c r="P288" s="85"/>
    </row>
    <row r="289" spans="1:16" s="84" customFormat="1">
      <c r="A289" s="85"/>
      <c r="B289" s="140"/>
      <c r="C289" s="141"/>
      <c r="D289" s="147"/>
      <c r="E289" s="141"/>
      <c r="F289" s="141"/>
      <c r="G289" s="141"/>
      <c r="H289" s="141"/>
      <c r="I289" s="141"/>
      <c r="J289" s="141"/>
      <c r="N289" s="85"/>
      <c r="O289" s="85"/>
      <c r="P289" s="85"/>
    </row>
    <row r="290" spans="1:16" s="84" customFormat="1">
      <c r="A290" s="85"/>
      <c r="B290" s="140"/>
      <c r="C290" s="141"/>
      <c r="D290" s="147"/>
      <c r="E290" s="141"/>
      <c r="F290" s="141"/>
      <c r="G290" s="141"/>
      <c r="H290" s="141"/>
      <c r="I290" s="141"/>
      <c r="J290" s="141"/>
      <c r="N290" s="85"/>
      <c r="O290" s="85"/>
      <c r="P290" s="85"/>
    </row>
    <row r="291" spans="1:16" s="84" customFormat="1">
      <c r="A291" s="85"/>
      <c r="B291" s="140"/>
      <c r="C291" s="141"/>
      <c r="D291" s="147"/>
      <c r="E291" s="141"/>
      <c r="F291" s="141"/>
      <c r="G291" s="141"/>
      <c r="H291" s="141"/>
      <c r="I291" s="141"/>
      <c r="J291" s="141"/>
      <c r="N291" s="85"/>
      <c r="O291" s="85"/>
      <c r="P291" s="85"/>
    </row>
    <row r="292" spans="1:16" s="84" customFormat="1">
      <c r="A292" s="85"/>
      <c r="B292" s="140"/>
      <c r="C292" s="141"/>
      <c r="D292" s="147"/>
      <c r="E292" s="141"/>
      <c r="F292" s="141"/>
      <c r="G292" s="141"/>
      <c r="H292" s="141"/>
      <c r="I292" s="141"/>
      <c r="J292" s="141"/>
      <c r="N292" s="85"/>
      <c r="O292" s="85"/>
      <c r="P292" s="85"/>
    </row>
    <row r="293" spans="1:16" s="84" customFormat="1">
      <c r="A293" s="85"/>
      <c r="B293" s="140"/>
      <c r="C293" s="141"/>
      <c r="D293" s="147"/>
      <c r="E293" s="141"/>
      <c r="F293" s="141"/>
      <c r="G293" s="141"/>
      <c r="H293" s="141"/>
      <c r="I293" s="141"/>
      <c r="J293" s="141"/>
      <c r="N293" s="85"/>
      <c r="O293" s="85"/>
      <c r="P293" s="85"/>
    </row>
    <row r="294" spans="1:16" s="84" customFormat="1">
      <c r="A294" s="85"/>
      <c r="B294" s="140"/>
      <c r="C294" s="141"/>
      <c r="D294" s="147"/>
      <c r="E294" s="141"/>
      <c r="F294" s="141"/>
      <c r="G294" s="141"/>
      <c r="H294" s="141"/>
      <c r="I294" s="141"/>
      <c r="J294" s="141"/>
      <c r="N294" s="85"/>
      <c r="O294" s="85"/>
      <c r="P294" s="85"/>
    </row>
    <row r="295" spans="1:16" s="84" customFormat="1">
      <c r="A295" s="85"/>
      <c r="B295" s="140"/>
      <c r="C295" s="141"/>
      <c r="D295" s="147"/>
      <c r="E295" s="141"/>
      <c r="F295" s="141"/>
      <c r="G295" s="141"/>
      <c r="H295" s="141"/>
      <c r="I295" s="141"/>
      <c r="J295" s="141"/>
      <c r="N295" s="85"/>
      <c r="O295" s="85"/>
      <c r="P295" s="85"/>
    </row>
    <row r="296" spans="1:16" s="84" customFormat="1">
      <c r="A296" s="85"/>
      <c r="B296" s="140"/>
      <c r="C296" s="141"/>
      <c r="D296" s="147"/>
      <c r="E296" s="141"/>
      <c r="F296" s="141"/>
      <c r="G296" s="141"/>
      <c r="H296" s="141"/>
      <c r="I296" s="141"/>
      <c r="J296" s="141"/>
      <c r="N296" s="85"/>
      <c r="O296" s="85"/>
      <c r="P296" s="85"/>
    </row>
    <row r="297" spans="1:16" s="84" customFormat="1">
      <c r="A297" s="85"/>
      <c r="B297" s="140"/>
      <c r="C297" s="141"/>
      <c r="D297" s="147"/>
      <c r="E297" s="141"/>
      <c r="F297" s="141"/>
      <c r="G297" s="141"/>
      <c r="H297" s="141"/>
      <c r="I297" s="141"/>
      <c r="J297" s="141"/>
      <c r="N297" s="85"/>
      <c r="O297" s="85"/>
      <c r="P297" s="85"/>
    </row>
    <row r="298" spans="1:16" s="84" customFormat="1">
      <c r="A298" s="85"/>
      <c r="B298" s="140"/>
      <c r="C298" s="141"/>
      <c r="D298" s="147"/>
      <c r="E298" s="141"/>
      <c r="F298" s="141"/>
      <c r="G298" s="141"/>
      <c r="H298" s="141"/>
      <c r="I298" s="141"/>
      <c r="J298" s="141"/>
      <c r="N298" s="85"/>
      <c r="O298" s="85"/>
      <c r="P298" s="85"/>
    </row>
    <row r="299" spans="1:16" s="84" customFormat="1">
      <c r="A299" s="85"/>
      <c r="B299" s="140"/>
      <c r="C299" s="141"/>
      <c r="D299" s="147"/>
      <c r="E299" s="141"/>
      <c r="F299" s="141"/>
      <c r="G299" s="141"/>
      <c r="H299" s="141"/>
      <c r="I299" s="141"/>
      <c r="J299" s="141"/>
      <c r="N299" s="85"/>
      <c r="O299" s="85"/>
      <c r="P299" s="85"/>
    </row>
    <row r="300" spans="1:16" s="84" customFormat="1">
      <c r="A300" s="85"/>
      <c r="B300" s="140"/>
      <c r="C300" s="141"/>
      <c r="D300" s="147"/>
      <c r="E300" s="141"/>
      <c r="F300" s="141"/>
      <c r="G300" s="141"/>
      <c r="H300" s="141"/>
      <c r="I300" s="141"/>
      <c r="J300" s="141"/>
      <c r="N300" s="85"/>
      <c r="O300" s="85"/>
      <c r="P300" s="85"/>
    </row>
    <row r="301" spans="1:16" s="84" customFormat="1">
      <c r="A301" s="85"/>
      <c r="B301" s="140"/>
      <c r="C301" s="141"/>
      <c r="D301" s="147"/>
      <c r="E301" s="141"/>
      <c r="F301" s="141"/>
      <c r="G301" s="141"/>
      <c r="H301" s="141"/>
      <c r="I301" s="141"/>
      <c r="J301" s="141"/>
      <c r="N301" s="85"/>
      <c r="O301" s="85"/>
      <c r="P301" s="85"/>
    </row>
    <row r="302" spans="1:16" s="84" customFormat="1">
      <c r="A302" s="85"/>
      <c r="B302" s="140"/>
      <c r="C302" s="141"/>
      <c r="D302" s="147"/>
      <c r="E302" s="141"/>
      <c r="F302" s="141"/>
      <c r="G302" s="141"/>
      <c r="H302" s="141"/>
      <c r="I302" s="141"/>
      <c r="J302" s="141"/>
      <c r="N302" s="85"/>
      <c r="O302" s="85"/>
      <c r="P302" s="85"/>
    </row>
    <row r="303" spans="1:16" s="84" customFormat="1">
      <c r="A303" s="85"/>
      <c r="B303" s="140"/>
      <c r="C303" s="141"/>
      <c r="D303" s="147"/>
      <c r="E303" s="141"/>
      <c r="F303" s="141"/>
      <c r="G303" s="141"/>
      <c r="H303" s="141"/>
      <c r="I303" s="141"/>
      <c r="J303" s="141"/>
      <c r="N303" s="85"/>
      <c r="O303" s="85"/>
      <c r="P303" s="85"/>
    </row>
    <row r="304" spans="1:16" s="84" customFormat="1">
      <c r="A304" s="85"/>
      <c r="B304" s="140"/>
      <c r="C304" s="141"/>
      <c r="D304" s="147"/>
      <c r="E304" s="141"/>
      <c r="F304" s="141"/>
      <c r="G304" s="141"/>
      <c r="H304" s="141"/>
      <c r="I304" s="141"/>
      <c r="J304" s="141"/>
      <c r="N304" s="85"/>
      <c r="O304" s="85"/>
      <c r="P304" s="85"/>
    </row>
    <row r="305" spans="1:16" s="84" customFormat="1">
      <c r="A305" s="85"/>
      <c r="B305" s="140"/>
      <c r="C305" s="141"/>
      <c r="D305" s="147"/>
      <c r="E305" s="141"/>
      <c r="F305" s="141"/>
      <c r="G305" s="141"/>
      <c r="H305" s="141"/>
      <c r="I305" s="141"/>
      <c r="J305" s="141"/>
      <c r="N305" s="85"/>
      <c r="O305" s="85"/>
      <c r="P305" s="85"/>
    </row>
    <row r="306" spans="1:16" s="84" customFormat="1">
      <c r="A306" s="85"/>
      <c r="B306" s="140"/>
      <c r="C306" s="141"/>
      <c r="D306" s="147"/>
      <c r="E306" s="141"/>
      <c r="F306" s="141"/>
      <c r="G306" s="141"/>
      <c r="H306" s="141"/>
      <c r="I306" s="141"/>
      <c r="J306" s="141"/>
      <c r="N306" s="85"/>
      <c r="O306" s="85"/>
      <c r="P306" s="85"/>
    </row>
    <row r="307" spans="1:16" s="84" customFormat="1">
      <c r="A307" s="85"/>
      <c r="B307" s="140"/>
      <c r="C307" s="141"/>
      <c r="D307" s="147"/>
      <c r="E307" s="141"/>
      <c r="F307" s="141"/>
      <c r="G307" s="141"/>
      <c r="H307" s="141"/>
      <c r="I307" s="141"/>
      <c r="J307" s="141"/>
      <c r="N307" s="85"/>
      <c r="O307" s="85"/>
      <c r="P307" s="85"/>
    </row>
    <row r="308" spans="1:16" s="84" customFormat="1">
      <c r="A308" s="85"/>
      <c r="B308" s="140"/>
      <c r="C308" s="141"/>
      <c r="D308" s="147"/>
      <c r="E308" s="141"/>
      <c r="F308" s="141"/>
      <c r="G308" s="141"/>
      <c r="H308" s="141"/>
      <c r="I308" s="141"/>
      <c r="J308" s="141"/>
      <c r="N308" s="85"/>
      <c r="O308" s="85"/>
      <c r="P308" s="85"/>
    </row>
    <row r="309" spans="1:16" s="84" customFormat="1">
      <c r="A309" s="85"/>
      <c r="B309" s="140"/>
      <c r="C309" s="141"/>
      <c r="D309" s="147"/>
      <c r="E309" s="141"/>
      <c r="F309" s="141"/>
      <c r="G309" s="141"/>
      <c r="H309" s="141"/>
      <c r="I309" s="141"/>
      <c r="J309" s="141"/>
      <c r="N309" s="85"/>
      <c r="O309" s="85"/>
      <c r="P309" s="85"/>
    </row>
    <row r="310" spans="1:16" s="84" customFormat="1">
      <c r="A310" s="85"/>
      <c r="B310" s="140"/>
      <c r="C310" s="141"/>
      <c r="D310" s="147"/>
      <c r="E310" s="141"/>
      <c r="F310" s="141"/>
      <c r="G310" s="141"/>
      <c r="H310" s="141"/>
      <c r="I310" s="141"/>
      <c r="J310" s="141"/>
      <c r="N310" s="85"/>
      <c r="O310" s="85"/>
      <c r="P310" s="85"/>
    </row>
    <row r="311" spans="1:16" s="84" customFormat="1">
      <c r="A311" s="85"/>
      <c r="B311" s="140"/>
      <c r="C311" s="141"/>
      <c r="D311" s="147"/>
      <c r="E311" s="141"/>
      <c r="F311" s="141"/>
      <c r="G311" s="141"/>
      <c r="H311" s="141"/>
      <c r="I311" s="141"/>
      <c r="J311" s="141"/>
      <c r="N311" s="85"/>
      <c r="O311" s="85"/>
      <c r="P311" s="85"/>
    </row>
    <row r="312" spans="1:16" s="84" customFormat="1">
      <c r="A312" s="85"/>
      <c r="B312" s="140"/>
      <c r="C312" s="141"/>
      <c r="D312" s="147"/>
      <c r="E312" s="141"/>
      <c r="F312" s="141"/>
      <c r="G312" s="141"/>
      <c r="H312" s="141"/>
      <c r="I312" s="141"/>
      <c r="J312" s="141"/>
      <c r="N312" s="85"/>
      <c r="O312" s="85"/>
      <c r="P312" s="85"/>
    </row>
    <row r="313" spans="1:16" s="84" customFormat="1">
      <c r="A313" s="85"/>
      <c r="B313" s="140"/>
      <c r="C313" s="141"/>
      <c r="D313" s="147"/>
      <c r="E313" s="141"/>
      <c r="F313" s="141"/>
      <c r="G313" s="141"/>
      <c r="H313" s="141"/>
      <c r="I313" s="141"/>
      <c r="J313" s="141"/>
      <c r="N313" s="85"/>
      <c r="O313" s="85"/>
      <c r="P313" s="85"/>
    </row>
  </sheetData>
  <autoFilter ref="A15:J42">
    <filterColumn colId="1" showButton="0"/>
    <filterColumn colId="7">
      <customFilters>
        <customFilter operator="notEqual" val=" "/>
      </customFilters>
    </filterColumn>
  </autoFilter>
  <mergeCells count="43">
    <mergeCell ref="D52:E52"/>
    <mergeCell ref="F52:H52"/>
    <mergeCell ref="I52:J52"/>
    <mergeCell ref="D53:E53"/>
    <mergeCell ref="F53:G53"/>
    <mergeCell ref="H53:J53"/>
    <mergeCell ref="D51:E51"/>
    <mergeCell ref="F51:J51"/>
    <mergeCell ref="J13:J14"/>
    <mergeCell ref="B14:C14"/>
    <mergeCell ref="B15:C15"/>
    <mergeCell ref="E45:F45"/>
    <mergeCell ref="E46:F46"/>
    <mergeCell ref="E47:F47"/>
    <mergeCell ref="I47:J47"/>
    <mergeCell ref="B48:E48"/>
    <mergeCell ref="H48:J48"/>
    <mergeCell ref="D49:E49"/>
    <mergeCell ref="F49:J49"/>
    <mergeCell ref="D50:E50"/>
    <mergeCell ref="B11:D11"/>
    <mergeCell ref="E11:F11"/>
    <mergeCell ref="H11:I11"/>
    <mergeCell ref="A13:A14"/>
    <mergeCell ref="B13:D13"/>
    <mergeCell ref="E13:E14"/>
    <mergeCell ref="F13:F14"/>
    <mergeCell ref="G13:G14"/>
    <mergeCell ref="H13:I13"/>
    <mergeCell ref="B10:D10"/>
    <mergeCell ref="E10:F10"/>
    <mergeCell ref="H10:I10"/>
    <mergeCell ref="A1:J1"/>
    <mergeCell ref="B2:D2"/>
    <mergeCell ref="G2:J2"/>
    <mergeCell ref="B3:D3"/>
    <mergeCell ref="G3:J3"/>
    <mergeCell ref="B4:J4"/>
    <mergeCell ref="B5:J5"/>
    <mergeCell ref="B6:J6"/>
    <mergeCell ref="B7:J7"/>
    <mergeCell ref="B8:J8"/>
    <mergeCell ref="B9:J9"/>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42.xml><?xml version="1.0" encoding="utf-8"?>
<worksheet xmlns="http://schemas.openxmlformats.org/spreadsheetml/2006/main" xmlns:r="http://schemas.openxmlformats.org/officeDocument/2006/relationships">
  <sheetPr>
    <tabColor rgb="FFFF0000"/>
  </sheetPr>
  <dimension ref="A1:K315"/>
  <sheetViews>
    <sheetView workbookViewId="0">
      <selection activeCell="A230" sqref="A230"/>
    </sheetView>
  </sheetViews>
  <sheetFormatPr defaultColWidth="9.140625" defaultRowHeight="12.75"/>
  <cols>
    <col min="1" max="1" width="2.85546875" style="302" customWidth="1"/>
    <col min="2" max="2" width="9.7109375" style="302" customWidth="1"/>
    <col min="3" max="3" width="9.5703125" style="302" customWidth="1"/>
    <col min="4" max="4" width="25.5703125" style="302" customWidth="1"/>
    <col min="5" max="5" width="4.42578125" style="302" hidden="1" customWidth="1"/>
    <col min="6" max="6" width="5.5703125" style="302" hidden="1" customWidth="1"/>
    <col min="7" max="7" width="7.42578125" style="302" customWidth="1"/>
    <col min="8" max="8" width="4.85546875" style="302" customWidth="1"/>
    <col min="9" max="9" width="8.5703125" style="302" customWidth="1"/>
    <col min="10" max="10" width="10.140625" style="302" customWidth="1"/>
    <col min="11" max="11" width="7.5703125" style="302" customWidth="1"/>
    <col min="12" max="16384" width="9.140625" style="302"/>
  </cols>
  <sheetData>
    <row r="1" spans="1:11" ht="18" customHeight="1">
      <c r="A1" s="2006" t="s">
        <v>1081</v>
      </c>
      <c r="B1" s="2006"/>
      <c r="C1" s="2006"/>
      <c r="D1" s="2006"/>
      <c r="E1" s="297"/>
      <c r="F1" s="297"/>
      <c r="G1" s="298" t="s">
        <v>1082</v>
      </c>
      <c r="H1" s="299" t="s">
        <v>1083</v>
      </c>
      <c r="I1" s="300" t="s">
        <v>1082</v>
      </c>
      <c r="J1" s="301" t="s">
        <v>1083</v>
      </c>
      <c r="K1" s="301"/>
    </row>
    <row r="2" spans="1:11">
      <c r="B2" s="2005" t="s">
        <v>1084</v>
      </c>
      <c r="C2" s="2005"/>
      <c r="D2" s="2005"/>
      <c r="E2" s="303"/>
      <c r="F2" s="303"/>
      <c r="G2" s="298"/>
      <c r="H2" s="304"/>
      <c r="I2" s="301"/>
      <c r="J2" s="301"/>
      <c r="K2" s="301"/>
    </row>
    <row r="3" spans="1:11" ht="21" customHeight="1">
      <c r="B3" s="2005" t="s">
        <v>1085</v>
      </c>
      <c r="C3" s="2005"/>
      <c r="D3" s="2005"/>
      <c r="E3" s="2005"/>
      <c r="F3" s="2005"/>
      <c r="G3" s="2007"/>
      <c r="H3" s="304"/>
      <c r="I3" s="301"/>
      <c r="J3" s="301"/>
      <c r="K3" s="301"/>
    </row>
    <row r="4" spans="1:11">
      <c r="B4" s="301"/>
      <c r="C4" s="301" t="s">
        <v>1086</v>
      </c>
      <c r="D4" s="301" t="s">
        <v>1087</v>
      </c>
      <c r="E4" s="301"/>
      <c r="F4" s="301"/>
      <c r="G4" s="298"/>
      <c r="H4" s="304"/>
      <c r="I4" s="301"/>
      <c r="J4" s="301"/>
      <c r="K4" s="301"/>
    </row>
    <row r="5" spans="1:11" ht="15" customHeight="1">
      <c r="B5" s="301"/>
      <c r="C5" s="2005" t="s">
        <v>1088</v>
      </c>
      <c r="D5" s="2005"/>
      <c r="E5" s="303"/>
      <c r="F5" s="303"/>
      <c r="G5" s="298"/>
      <c r="H5" s="304"/>
      <c r="I5" s="301"/>
      <c r="J5" s="301"/>
      <c r="K5" s="301"/>
    </row>
    <row r="6" spans="1:11" ht="15.75" customHeight="1">
      <c r="B6" s="301"/>
      <c r="C6" s="2005" t="s">
        <v>1089</v>
      </c>
      <c r="D6" s="2005"/>
      <c r="E6" s="303"/>
      <c r="F6" s="303"/>
      <c r="G6" s="298"/>
      <c r="H6" s="304"/>
      <c r="I6" s="301"/>
      <c r="J6" s="301"/>
      <c r="K6" s="301"/>
    </row>
    <row r="7" spans="1:11">
      <c r="B7" s="301"/>
      <c r="C7" s="301"/>
      <c r="D7" s="301"/>
      <c r="E7" s="301"/>
      <c r="F7" s="301"/>
      <c r="G7" s="298"/>
      <c r="H7" s="304"/>
      <c r="I7" s="301"/>
      <c r="J7" s="301"/>
      <c r="K7" s="301"/>
    </row>
    <row r="8" spans="1:11" ht="18" customHeight="1">
      <c r="A8" s="2008" t="s">
        <v>1090</v>
      </c>
      <c r="B8" s="2008"/>
      <c r="C8" s="305" t="s">
        <v>1091</v>
      </c>
      <c r="D8" s="305"/>
      <c r="E8" s="301"/>
      <c r="F8" s="301"/>
      <c r="G8" s="301"/>
      <c r="H8" s="304"/>
      <c r="I8" s="301"/>
      <c r="J8" s="301"/>
      <c r="K8" s="301"/>
    </row>
    <row r="9" spans="1:11" ht="13.5" customHeight="1">
      <c r="A9" s="2008"/>
      <c r="B9" s="2008"/>
      <c r="C9" s="2009" t="s">
        <v>1092</v>
      </c>
      <c r="D9" s="2009"/>
      <c r="E9" s="303"/>
      <c r="F9" s="303"/>
      <c r="G9" s="301"/>
      <c r="H9" s="304"/>
      <c r="I9" s="301"/>
      <c r="J9" s="301"/>
      <c r="K9" s="301"/>
    </row>
    <row r="10" spans="1:11" ht="12.75" customHeight="1">
      <c r="A10" s="2008"/>
      <c r="B10" s="2008"/>
      <c r="C10" s="2009" t="s">
        <v>1093</v>
      </c>
      <c r="D10" s="2009"/>
      <c r="E10" s="303"/>
      <c r="F10" s="303"/>
      <c r="G10" s="301"/>
      <c r="H10" s="304"/>
      <c r="I10" s="301"/>
      <c r="J10" s="301"/>
      <c r="K10" s="301"/>
    </row>
    <row r="11" spans="1:11">
      <c r="A11" s="306"/>
      <c r="B11" s="307"/>
      <c r="C11" s="308" t="s">
        <v>1094</v>
      </c>
      <c r="D11" s="308"/>
      <c r="E11" s="300"/>
      <c r="F11" s="300"/>
      <c r="G11" s="300"/>
      <c r="H11" s="299"/>
      <c r="I11" s="300"/>
      <c r="J11" s="300"/>
      <c r="K11" s="300"/>
    </row>
    <row r="12" spans="1:11" ht="14.25" customHeight="1">
      <c r="A12" s="309" t="s">
        <v>1095</v>
      </c>
      <c r="B12" s="301"/>
      <c r="C12" s="301"/>
      <c r="D12" s="301" t="s">
        <v>1096</v>
      </c>
      <c r="E12" s="301"/>
      <c r="F12" s="301"/>
      <c r="G12" s="301"/>
      <c r="H12" s="301"/>
      <c r="I12" s="301"/>
      <c r="J12" s="301"/>
      <c r="K12" s="301"/>
    </row>
    <row r="13" spans="1:11" ht="12" customHeight="1">
      <c r="A13" s="309" t="s">
        <v>1097</v>
      </c>
      <c r="B13" s="301"/>
      <c r="C13" s="301"/>
      <c r="D13" s="301"/>
      <c r="E13" s="301"/>
      <c r="F13" s="301"/>
      <c r="G13" s="301"/>
      <c r="H13" s="301"/>
      <c r="I13" s="301"/>
      <c r="J13" s="301"/>
      <c r="K13" s="301"/>
    </row>
    <row r="14" spans="1:11">
      <c r="B14" s="301"/>
      <c r="C14" s="301"/>
      <c r="D14" s="301"/>
      <c r="E14" s="301"/>
      <c r="F14" s="301"/>
      <c r="G14" s="301"/>
      <c r="H14" s="301"/>
      <c r="I14" s="301"/>
      <c r="J14" s="301"/>
      <c r="K14" s="301"/>
    </row>
    <row r="15" spans="1:11" ht="22.5" customHeight="1">
      <c r="B15" s="301"/>
      <c r="C15" s="2005" t="s">
        <v>1098</v>
      </c>
      <c r="D15" s="2005"/>
      <c r="E15" s="303"/>
      <c r="F15" s="303"/>
      <c r="G15" s="301"/>
      <c r="H15" s="301"/>
      <c r="I15" s="301"/>
      <c r="J15" s="301"/>
      <c r="K15" s="301"/>
    </row>
    <row r="16" spans="1:11">
      <c r="B16" s="301"/>
      <c r="C16" s="301"/>
      <c r="D16" s="301"/>
      <c r="E16" s="301"/>
      <c r="F16" s="301"/>
      <c r="G16" s="301"/>
      <c r="H16" s="301"/>
      <c r="I16" s="301"/>
      <c r="J16" s="301"/>
      <c r="K16" s="301"/>
    </row>
    <row r="17" spans="1:11">
      <c r="A17" s="302" t="s">
        <v>1099</v>
      </c>
      <c r="B17" s="301"/>
      <c r="C17" s="301"/>
      <c r="D17" s="301"/>
      <c r="E17" s="301"/>
      <c r="F17" s="301"/>
      <c r="G17" s="301"/>
      <c r="H17" s="301"/>
      <c r="I17" s="301"/>
      <c r="J17" s="301"/>
      <c r="K17" s="301"/>
    </row>
    <row r="18" spans="1:11" ht="27" customHeight="1">
      <c r="B18" s="301"/>
      <c r="C18" s="301"/>
      <c r="E18" s="2005" t="s">
        <v>1100</v>
      </c>
      <c r="F18" s="2005"/>
      <c r="G18" s="2005"/>
      <c r="H18" s="2005"/>
      <c r="I18" s="2005"/>
      <c r="J18" s="2005"/>
      <c r="K18" s="301"/>
    </row>
    <row r="19" spans="1:11" ht="12" customHeight="1">
      <c r="B19" s="301"/>
      <c r="C19" s="301"/>
      <c r="D19" s="301"/>
      <c r="E19" s="2005" t="s">
        <v>1101</v>
      </c>
      <c r="F19" s="2005"/>
      <c r="G19" s="2005"/>
      <c r="H19" s="2005"/>
      <c r="I19" s="2005"/>
      <c r="J19" s="2005"/>
      <c r="K19" s="2005"/>
    </row>
    <row r="20" spans="1:11" ht="6.75" customHeight="1">
      <c r="B20" s="301"/>
      <c r="C20" s="301"/>
      <c r="E20" s="310"/>
      <c r="F20" s="310"/>
      <c r="G20" s="310"/>
      <c r="H20" s="310"/>
      <c r="I20" s="310"/>
      <c r="J20" s="310"/>
      <c r="K20" s="303"/>
    </row>
    <row r="21" spans="1:11" ht="16.5" customHeight="1">
      <c r="B21" s="301"/>
      <c r="C21" s="301"/>
      <c r="D21" s="303"/>
      <c r="E21" s="2005" t="s">
        <v>1101</v>
      </c>
      <c r="F21" s="2005"/>
      <c r="G21" s="2005"/>
      <c r="H21" s="2005"/>
      <c r="I21" s="2005"/>
      <c r="J21" s="2005"/>
      <c r="K21" s="2005"/>
    </row>
    <row r="22" spans="1:11">
      <c r="A22" s="2010"/>
      <c r="B22" s="2010"/>
      <c r="C22" s="301"/>
      <c r="D22" s="301"/>
      <c r="E22" s="301"/>
      <c r="F22" s="301"/>
      <c r="G22" s="301"/>
      <c r="H22" s="301"/>
      <c r="I22" s="301"/>
      <c r="J22" s="301"/>
      <c r="K22" s="301"/>
    </row>
    <row r="23" spans="1:11" ht="15" customHeight="1">
      <c r="A23" s="311"/>
      <c r="B23" s="311"/>
      <c r="C23" s="301"/>
      <c r="D23" s="301"/>
      <c r="E23" s="2005" t="s">
        <v>1102</v>
      </c>
      <c r="F23" s="2005"/>
      <c r="G23" s="301"/>
      <c r="H23" s="301"/>
      <c r="I23" s="301"/>
      <c r="J23" s="301"/>
      <c r="K23" s="301"/>
    </row>
    <row r="24" spans="1:11">
      <c r="A24" s="311"/>
      <c r="B24" s="311"/>
      <c r="C24" s="301"/>
      <c r="D24" s="301"/>
      <c r="E24" s="301"/>
      <c r="F24" s="301"/>
      <c r="G24" s="301"/>
      <c r="H24" s="301"/>
      <c r="I24" s="301"/>
      <c r="J24" s="301"/>
      <c r="K24" s="301"/>
    </row>
    <row r="25" spans="1:11">
      <c r="A25" s="2011" t="s">
        <v>1103</v>
      </c>
      <c r="B25" s="2011"/>
      <c r="C25" s="301"/>
      <c r="D25" s="303" t="s">
        <v>1104</v>
      </c>
      <c r="E25" s="2005" t="s">
        <v>1101</v>
      </c>
      <c r="F25" s="2005"/>
      <c r="G25" s="2005"/>
      <c r="H25" s="2005"/>
      <c r="I25" s="2005"/>
      <c r="J25" s="2005"/>
      <c r="K25" s="2005"/>
    </row>
    <row r="26" spans="1:11" ht="8.25" customHeight="1">
      <c r="A26" s="311"/>
      <c r="B26" s="311"/>
      <c r="C26" s="301"/>
      <c r="D26" s="301"/>
      <c r="E26" s="301"/>
      <c r="F26" s="301"/>
      <c r="G26" s="301"/>
      <c r="H26" s="301"/>
      <c r="I26" s="301"/>
      <c r="J26" s="301"/>
      <c r="K26" s="301"/>
    </row>
    <row r="27" spans="1:11">
      <c r="A27" s="311"/>
      <c r="B27" s="311"/>
      <c r="C27" s="301"/>
      <c r="D27" s="301"/>
      <c r="E27" s="2005" t="s">
        <v>1101</v>
      </c>
      <c r="F27" s="2005"/>
      <c r="G27" s="2005"/>
      <c r="H27" s="2005"/>
      <c r="I27" s="2005"/>
      <c r="J27" s="2005"/>
      <c r="K27" s="2005"/>
    </row>
    <row r="28" spans="1:11">
      <c r="A28" s="311"/>
      <c r="B28" s="311"/>
      <c r="C28" s="301"/>
      <c r="D28" s="301"/>
      <c r="E28" s="301"/>
      <c r="F28" s="301"/>
      <c r="G28" s="301"/>
      <c r="H28" s="301"/>
      <c r="I28" s="301"/>
      <c r="J28" s="301"/>
      <c r="K28" s="301"/>
    </row>
    <row r="29" spans="1:11">
      <c r="A29" s="2011" t="s">
        <v>1105</v>
      </c>
      <c r="B29" s="2011"/>
      <c r="C29" s="301"/>
      <c r="D29" s="303" t="s">
        <v>1106</v>
      </c>
      <c r="E29" s="2005" t="s">
        <v>1101</v>
      </c>
      <c r="F29" s="2005"/>
      <c r="G29" s="2005"/>
      <c r="H29" s="2005"/>
      <c r="I29" s="2005"/>
      <c r="J29" s="2005"/>
      <c r="K29" s="2005"/>
    </row>
    <row r="30" spans="1:11" ht="6.75" customHeight="1">
      <c r="B30" s="301"/>
      <c r="C30" s="301"/>
      <c r="D30" s="301"/>
      <c r="E30" s="301"/>
      <c r="F30" s="301"/>
      <c r="G30" s="301"/>
      <c r="H30" s="301"/>
      <c r="I30" s="301"/>
      <c r="J30" s="301"/>
      <c r="K30" s="301"/>
    </row>
    <row r="31" spans="1:11">
      <c r="B31" s="301"/>
      <c r="C31" s="301"/>
      <c r="D31" s="303"/>
      <c r="E31" s="2005" t="s">
        <v>1101</v>
      </c>
      <c r="F31" s="2005"/>
      <c r="G31" s="2005"/>
      <c r="H31" s="2005"/>
      <c r="I31" s="2005"/>
      <c r="J31" s="2005"/>
      <c r="K31" s="2005"/>
    </row>
    <row r="32" spans="1:11" ht="23.25" customHeight="1">
      <c r="B32" s="301"/>
      <c r="C32" s="301"/>
      <c r="D32" s="301"/>
      <c r="E32" s="303"/>
      <c r="F32" s="303"/>
      <c r="G32" s="2005" t="s">
        <v>1107</v>
      </c>
      <c r="H32" s="2005"/>
      <c r="I32" s="2005"/>
      <c r="J32" s="2005" t="s">
        <v>1108</v>
      </c>
      <c r="K32" s="2005"/>
    </row>
    <row r="33" spans="1:11" ht="11.25" customHeight="1">
      <c r="A33" s="306"/>
      <c r="B33" s="2012"/>
      <c r="C33" s="2013"/>
      <c r="D33" s="2013"/>
      <c r="E33" s="2013"/>
      <c r="F33" s="2013"/>
      <c r="G33" s="2013"/>
      <c r="H33" s="2013"/>
      <c r="I33" s="2013"/>
      <c r="J33" s="2013"/>
      <c r="K33" s="300"/>
    </row>
    <row r="34" spans="1:11" ht="17.25" customHeight="1">
      <c r="B34" s="301"/>
      <c r="C34" s="301"/>
      <c r="D34" s="301"/>
      <c r="E34" s="301"/>
      <c r="F34" s="301"/>
      <c r="G34" s="301"/>
      <c r="H34" s="301"/>
      <c r="I34" s="2005" t="s">
        <v>1109</v>
      </c>
      <c r="J34" s="2005"/>
      <c r="K34" s="303"/>
    </row>
    <row r="35" spans="1:11">
      <c r="B35" s="301"/>
      <c r="C35" s="301"/>
      <c r="D35" s="301"/>
      <c r="E35" s="301"/>
      <c r="F35" s="301"/>
      <c r="G35" s="301"/>
      <c r="H35" s="301"/>
      <c r="I35" s="2005" t="s">
        <v>1110</v>
      </c>
      <c r="J35" s="2005"/>
      <c r="K35" s="2005"/>
    </row>
    <row r="36" spans="1:11">
      <c r="B36" s="301"/>
      <c r="C36" s="301"/>
      <c r="D36" s="301"/>
      <c r="E36" s="301"/>
      <c r="F36" s="301"/>
      <c r="G36" s="301"/>
      <c r="H36" s="301"/>
      <c r="I36" s="2005" t="s">
        <v>1111</v>
      </c>
      <c r="J36" s="2005"/>
      <c r="K36" s="2005"/>
    </row>
    <row r="37" spans="1:11">
      <c r="B37" s="301"/>
      <c r="C37" s="301"/>
      <c r="D37" s="301"/>
      <c r="E37" s="301"/>
      <c r="F37" s="301"/>
      <c r="G37" s="301"/>
      <c r="H37" s="301"/>
      <c r="I37" s="2005" t="s">
        <v>1112</v>
      </c>
      <c r="J37" s="2005"/>
      <c r="K37" s="2005"/>
    </row>
    <row r="38" spans="1:11" ht="23.25" customHeight="1">
      <c r="B38" s="301"/>
      <c r="C38" s="301"/>
      <c r="D38" s="2005" t="s">
        <v>1113</v>
      </c>
      <c r="E38" s="2005"/>
      <c r="F38" s="305"/>
      <c r="G38" s="303" t="s">
        <v>1114</v>
      </c>
      <c r="H38" s="301"/>
      <c r="I38" s="301"/>
      <c r="J38" s="2014" t="s">
        <v>1115</v>
      </c>
      <c r="K38" s="2014"/>
    </row>
    <row r="39" spans="1:11" ht="13.5" customHeight="1">
      <c r="A39" s="306"/>
      <c r="B39" s="300"/>
      <c r="C39" s="300"/>
      <c r="D39" s="2015" t="s">
        <v>1116</v>
      </c>
      <c r="E39" s="2015"/>
      <c r="F39" s="2015"/>
      <c r="G39" s="2015"/>
      <c r="H39" s="2015"/>
      <c r="I39" s="2015"/>
      <c r="J39" s="300"/>
      <c r="K39" s="300"/>
    </row>
    <row r="40" spans="1:11" ht="22.5" customHeight="1">
      <c r="A40" s="312"/>
      <c r="B40" s="2016" t="s">
        <v>1117</v>
      </c>
      <c r="C40" s="2016"/>
      <c r="D40" s="2016"/>
      <c r="E40" s="2016"/>
      <c r="F40" s="2016"/>
      <c r="G40" s="2016"/>
      <c r="H40" s="2016"/>
      <c r="I40" s="2016"/>
      <c r="J40" s="2016"/>
      <c r="K40" s="313"/>
    </row>
    <row r="41" spans="1:11" ht="18" customHeight="1">
      <c r="B41" s="301"/>
      <c r="C41" s="2017" t="s">
        <v>1118</v>
      </c>
      <c r="D41" s="2017"/>
      <c r="E41" s="2017"/>
      <c r="F41" s="2017"/>
      <c r="G41" s="2017"/>
      <c r="H41" s="301"/>
      <c r="I41" s="301"/>
      <c r="J41" s="301"/>
      <c r="K41" s="301"/>
    </row>
    <row r="42" spans="1:11" ht="14.25" customHeight="1">
      <c r="B42" s="303"/>
      <c r="C42" s="2005" t="s">
        <v>1119</v>
      </c>
      <c r="D42" s="2005"/>
      <c r="E42" s="2005"/>
      <c r="F42" s="2005"/>
      <c r="G42" s="2005"/>
      <c r="H42" s="2005"/>
      <c r="I42" s="2005"/>
      <c r="J42" s="2005"/>
      <c r="K42" s="301"/>
    </row>
    <row r="43" spans="1:11" ht="12.75" customHeight="1">
      <c r="B43" s="2005" t="s">
        <v>1120</v>
      </c>
      <c r="C43" s="2005"/>
      <c r="D43" s="2005"/>
      <c r="E43" s="2005"/>
      <c r="F43" s="2005"/>
      <c r="G43" s="2005"/>
      <c r="H43" s="2005"/>
      <c r="I43" s="2005"/>
      <c r="J43" s="2005"/>
      <c r="K43" s="301"/>
    </row>
    <row r="44" spans="1:11" ht="20.25" customHeight="1">
      <c r="B44" s="303"/>
      <c r="C44" s="2005" t="s">
        <v>1121</v>
      </c>
      <c r="D44" s="2005"/>
      <c r="E44" s="2005"/>
      <c r="F44" s="2005"/>
      <c r="G44" s="2005"/>
      <c r="H44" s="2005"/>
      <c r="I44" s="2005"/>
      <c r="J44" s="2005"/>
      <c r="K44" s="301"/>
    </row>
    <row r="45" spans="1:11" ht="23.25" customHeight="1">
      <c r="B45" s="2018" t="s">
        <v>1122</v>
      </c>
      <c r="C45" s="2018"/>
      <c r="D45" s="2018"/>
      <c r="E45" s="2018"/>
      <c r="F45" s="2018"/>
      <c r="G45" s="2018"/>
      <c r="H45" s="2018"/>
      <c r="I45" s="2018"/>
      <c r="J45" s="2018"/>
      <c r="K45" s="301"/>
    </row>
    <row r="46" spans="1:11" ht="12.75" customHeight="1">
      <c r="B46" s="2005" t="s">
        <v>1123</v>
      </c>
      <c r="C46" s="2005"/>
      <c r="D46" s="2005"/>
      <c r="E46" s="2005"/>
      <c r="F46" s="2005"/>
      <c r="G46" s="2005"/>
      <c r="H46" s="2005"/>
      <c r="I46" s="2005"/>
      <c r="J46" s="2005"/>
      <c r="K46" s="301"/>
    </row>
    <row r="47" spans="1:11" ht="18" customHeight="1">
      <c r="B47" s="303"/>
      <c r="C47" s="2005" t="s">
        <v>1124</v>
      </c>
      <c r="D47" s="2005"/>
      <c r="E47" s="2005"/>
      <c r="F47" s="2005"/>
      <c r="G47" s="2005"/>
      <c r="H47" s="2005"/>
      <c r="I47" s="2005"/>
      <c r="J47" s="2005"/>
      <c r="K47" s="301"/>
    </row>
    <row r="48" spans="1:11">
      <c r="B48" s="2005" t="s">
        <v>1125</v>
      </c>
      <c r="C48" s="2005"/>
      <c r="D48" s="2005"/>
      <c r="E48" s="2005"/>
      <c r="F48" s="2005"/>
      <c r="G48" s="2005"/>
      <c r="H48" s="2005"/>
      <c r="I48" s="2005"/>
      <c r="J48" s="2005"/>
      <c r="K48" s="301"/>
    </row>
    <row r="49" spans="2:11" ht="18.75" customHeight="1">
      <c r="B49" s="303"/>
      <c r="C49" s="2005" t="s">
        <v>1126</v>
      </c>
      <c r="D49" s="2005"/>
      <c r="E49" s="2005"/>
      <c r="F49" s="2005"/>
      <c r="G49" s="2005"/>
      <c r="H49" s="2005"/>
      <c r="I49" s="2005"/>
      <c r="J49" s="2005"/>
      <c r="K49" s="301"/>
    </row>
    <row r="50" spans="2:11">
      <c r="B50" s="2005" t="s">
        <v>1127</v>
      </c>
      <c r="C50" s="2005"/>
      <c r="D50" s="2005"/>
      <c r="E50" s="2005"/>
      <c r="F50" s="2005"/>
      <c r="G50" s="2005"/>
      <c r="H50" s="2005"/>
      <c r="I50" s="2005"/>
      <c r="J50" s="2005"/>
      <c r="K50" s="301"/>
    </row>
    <row r="51" spans="2:11" ht="19.5" customHeight="1">
      <c r="B51" s="303"/>
      <c r="C51" s="2005" t="s">
        <v>1128</v>
      </c>
      <c r="D51" s="2005"/>
      <c r="E51" s="2005"/>
      <c r="F51" s="2005"/>
      <c r="G51" s="2005"/>
      <c r="H51" s="2005"/>
      <c r="I51" s="2005"/>
      <c r="J51" s="2005"/>
      <c r="K51" s="301"/>
    </row>
    <row r="52" spans="2:11">
      <c r="B52" s="2005" t="s">
        <v>1129</v>
      </c>
      <c r="C52" s="2005"/>
      <c r="D52" s="2005"/>
      <c r="E52" s="2005"/>
      <c r="F52" s="2005"/>
      <c r="G52" s="2005"/>
      <c r="H52" s="2005"/>
      <c r="I52" s="2005"/>
      <c r="J52" s="2005"/>
      <c r="K52" s="301"/>
    </row>
    <row r="53" spans="2:11" ht="19.5" customHeight="1">
      <c r="B53" s="303"/>
      <c r="C53" s="2005" t="s">
        <v>1130</v>
      </c>
      <c r="D53" s="2005"/>
      <c r="E53" s="2005"/>
      <c r="F53" s="2005"/>
      <c r="G53" s="2005"/>
      <c r="H53" s="2005"/>
      <c r="I53" s="2005"/>
      <c r="J53" s="2005"/>
      <c r="K53" s="301"/>
    </row>
    <row r="54" spans="2:11" ht="19.5" customHeight="1">
      <c r="B54" s="2005" t="s">
        <v>1131</v>
      </c>
      <c r="C54" s="2005"/>
      <c r="D54" s="2005"/>
      <c r="E54" s="2005"/>
      <c r="F54" s="2005"/>
      <c r="G54" s="2005"/>
      <c r="H54" s="2005"/>
      <c r="I54" s="2005"/>
      <c r="J54" s="2005"/>
      <c r="K54" s="301"/>
    </row>
    <row r="55" spans="2:11" ht="14.25" customHeight="1">
      <c r="B55" s="303"/>
      <c r="C55" s="2005" t="s">
        <v>1132</v>
      </c>
      <c r="D55" s="2005"/>
      <c r="E55" s="2005"/>
      <c r="F55" s="2005"/>
      <c r="G55" s="2005"/>
      <c r="H55" s="2005"/>
      <c r="I55" s="2005"/>
      <c r="J55" s="2005"/>
      <c r="K55" s="301"/>
    </row>
    <row r="56" spans="2:11" ht="21" customHeight="1">
      <c r="B56" s="2009" t="s">
        <v>1133</v>
      </c>
      <c r="C56" s="2009"/>
      <c r="D56" s="2009"/>
      <c r="E56" s="2009"/>
      <c r="F56" s="2009"/>
      <c r="G56" s="2009"/>
      <c r="H56" s="2009"/>
      <c r="I56" s="2009"/>
      <c r="J56" s="2009"/>
      <c r="K56" s="301"/>
    </row>
    <row r="57" spans="2:11" ht="21.75" customHeight="1">
      <c r="B57" s="2005" t="s">
        <v>1134</v>
      </c>
      <c r="C57" s="2005"/>
      <c r="D57" s="2005"/>
      <c r="E57" s="2005"/>
      <c r="F57" s="2005"/>
      <c r="G57" s="2005"/>
      <c r="H57" s="2005"/>
      <c r="I57" s="2005"/>
      <c r="J57" s="2005"/>
      <c r="K57" s="301"/>
    </row>
    <row r="58" spans="2:11">
      <c r="B58" s="303"/>
      <c r="C58" s="2005" t="s">
        <v>1135</v>
      </c>
      <c r="D58" s="2005"/>
      <c r="E58" s="2005"/>
      <c r="F58" s="2005"/>
      <c r="G58" s="2005"/>
      <c r="H58" s="2005"/>
      <c r="I58" s="2005"/>
      <c r="J58" s="2005"/>
      <c r="K58" s="301"/>
    </row>
    <row r="59" spans="2:11" ht="21.75" customHeight="1">
      <c r="B59" s="2009" t="s">
        <v>1136</v>
      </c>
      <c r="C59" s="2009"/>
      <c r="D59" s="2009"/>
      <c r="E59" s="2009"/>
      <c r="F59" s="2009"/>
      <c r="G59" s="2009"/>
      <c r="H59" s="2009"/>
      <c r="I59" s="2009"/>
      <c r="J59" s="2009"/>
      <c r="K59" s="301"/>
    </row>
    <row r="60" spans="2:11">
      <c r="B60" s="301"/>
      <c r="C60" s="301"/>
      <c r="D60" s="301"/>
      <c r="E60" s="301"/>
      <c r="F60" s="301"/>
      <c r="G60" s="301"/>
      <c r="H60" s="301"/>
      <c r="I60" s="301"/>
      <c r="J60" s="301"/>
      <c r="K60" s="301"/>
    </row>
    <row r="61" spans="2:11">
      <c r="B61" s="301"/>
      <c r="C61" s="301"/>
      <c r="D61" s="301"/>
      <c r="E61" s="301"/>
      <c r="F61" s="301"/>
      <c r="G61" s="301"/>
      <c r="H61" s="301"/>
      <c r="I61" s="301"/>
      <c r="J61" s="301"/>
      <c r="K61" s="301"/>
    </row>
    <row r="62" spans="2:11">
      <c r="B62" s="301"/>
      <c r="C62" s="301"/>
      <c r="D62" s="301"/>
      <c r="E62" s="301"/>
      <c r="F62" s="301"/>
      <c r="G62" s="301"/>
      <c r="H62" s="301"/>
      <c r="I62" s="301"/>
      <c r="J62" s="301"/>
      <c r="K62" s="301"/>
    </row>
    <row r="63" spans="2:11">
      <c r="B63" s="301"/>
      <c r="C63" s="301"/>
      <c r="D63" s="301"/>
      <c r="E63" s="301"/>
      <c r="F63" s="301"/>
      <c r="G63" s="301"/>
      <c r="H63" s="301"/>
      <c r="I63" s="301"/>
      <c r="J63" s="301"/>
      <c r="K63" s="301"/>
    </row>
    <row r="64" spans="2:11">
      <c r="B64" s="301"/>
      <c r="C64" s="301"/>
      <c r="D64" s="301"/>
      <c r="E64" s="301"/>
      <c r="F64" s="301"/>
      <c r="G64" s="301"/>
      <c r="H64" s="301"/>
      <c r="I64" s="301"/>
      <c r="J64" s="301"/>
      <c r="K64" s="301"/>
    </row>
    <row r="65" spans="2:11">
      <c r="B65" s="301"/>
      <c r="C65" s="301"/>
      <c r="D65" s="301"/>
      <c r="E65" s="301"/>
      <c r="F65" s="301"/>
      <c r="G65" s="301"/>
      <c r="H65" s="301"/>
      <c r="I65" s="301"/>
      <c r="J65" s="301"/>
      <c r="K65" s="301"/>
    </row>
    <row r="66" spans="2:11">
      <c r="B66" s="301"/>
      <c r="C66" s="301"/>
      <c r="D66" s="301"/>
      <c r="E66" s="301"/>
      <c r="F66" s="301"/>
      <c r="G66" s="301"/>
      <c r="H66" s="301"/>
      <c r="I66" s="301"/>
      <c r="J66" s="301"/>
      <c r="K66" s="301"/>
    </row>
    <row r="67" spans="2:11">
      <c r="B67" s="301"/>
      <c r="C67" s="301"/>
      <c r="D67" s="301"/>
      <c r="E67" s="301"/>
      <c r="F67" s="301"/>
      <c r="G67" s="301"/>
      <c r="H67" s="301"/>
      <c r="I67" s="301"/>
      <c r="J67" s="301"/>
      <c r="K67" s="301"/>
    </row>
    <row r="68" spans="2:11">
      <c r="B68" s="301"/>
      <c r="C68" s="301"/>
      <c r="D68" s="301"/>
      <c r="E68" s="301"/>
      <c r="F68" s="301"/>
      <c r="G68" s="301"/>
      <c r="H68" s="301"/>
      <c r="I68" s="301"/>
      <c r="J68" s="301"/>
      <c r="K68" s="301"/>
    </row>
    <row r="69" spans="2:11">
      <c r="B69" s="301"/>
      <c r="C69" s="301"/>
      <c r="D69" s="301"/>
      <c r="E69" s="301"/>
      <c r="F69" s="301"/>
      <c r="G69" s="301"/>
      <c r="H69" s="301"/>
      <c r="I69" s="301"/>
      <c r="J69" s="301"/>
      <c r="K69" s="301"/>
    </row>
    <row r="70" spans="2:11">
      <c r="B70" s="301"/>
      <c r="C70" s="301"/>
      <c r="D70" s="301"/>
      <c r="E70" s="301"/>
      <c r="F70" s="301"/>
      <c r="G70" s="301"/>
      <c r="H70" s="301"/>
      <c r="I70" s="301"/>
      <c r="J70" s="301"/>
      <c r="K70" s="301"/>
    </row>
    <row r="71" spans="2:11">
      <c r="B71" s="301"/>
      <c r="C71" s="301"/>
      <c r="D71" s="301"/>
      <c r="E71" s="301"/>
      <c r="F71" s="301"/>
      <c r="G71" s="301"/>
      <c r="H71" s="301"/>
      <c r="I71" s="301"/>
      <c r="J71" s="301"/>
      <c r="K71" s="301"/>
    </row>
    <row r="72" spans="2:11">
      <c r="B72" s="301"/>
      <c r="C72" s="301"/>
      <c r="D72" s="301"/>
      <c r="E72" s="301"/>
      <c r="F72" s="301"/>
      <c r="G72" s="301"/>
      <c r="H72" s="301"/>
      <c r="I72" s="301"/>
      <c r="J72" s="301"/>
      <c r="K72" s="301"/>
    </row>
    <row r="73" spans="2:11">
      <c r="B73" s="301"/>
      <c r="C73" s="301"/>
      <c r="D73" s="301"/>
      <c r="E73" s="301"/>
      <c r="F73" s="301"/>
      <c r="G73" s="301"/>
      <c r="H73" s="301"/>
      <c r="I73" s="301"/>
      <c r="J73" s="301"/>
      <c r="K73" s="301"/>
    </row>
    <row r="74" spans="2:11">
      <c r="B74" s="301"/>
      <c r="C74" s="301"/>
      <c r="D74" s="301"/>
      <c r="E74" s="301"/>
      <c r="F74" s="301"/>
      <c r="G74" s="301"/>
      <c r="H74" s="301"/>
      <c r="I74" s="301"/>
      <c r="J74" s="301"/>
      <c r="K74" s="301"/>
    </row>
    <row r="75" spans="2:11">
      <c r="B75" s="301"/>
      <c r="C75" s="301"/>
      <c r="D75" s="301"/>
      <c r="E75" s="301"/>
      <c r="F75" s="301"/>
      <c r="G75" s="301"/>
      <c r="H75" s="301"/>
      <c r="I75" s="301"/>
      <c r="J75" s="301"/>
      <c r="K75" s="301"/>
    </row>
    <row r="76" spans="2:11">
      <c r="B76" s="301"/>
      <c r="C76" s="301"/>
      <c r="D76" s="301"/>
      <c r="E76" s="301"/>
      <c r="F76" s="301"/>
      <c r="G76" s="301"/>
      <c r="H76" s="301"/>
      <c r="I76" s="301"/>
      <c r="J76" s="301"/>
      <c r="K76" s="301"/>
    </row>
    <row r="77" spans="2:11">
      <c r="B77" s="301"/>
      <c r="C77" s="301"/>
      <c r="D77" s="301"/>
      <c r="E77" s="301"/>
      <c r="F77" s="301"/>
      <c r="G77" s="301"/>
      <c r="H77" s="301"/>
      <c r="I77" s="301"/>
      <c r="J77" s="301"/>
      <c r="K77" s="301"/>
    </row>
    <row r="78" spans="2:11">
      <c r="B78" s="301"/>
      <c r="C78" s="301"/>
      <c r="D78" s="301"/>
      <c r="E78" s="301"/>
      <c r="F78" s="301"/>
      <c r="G78" s="301"/>
      <c r="H78" s="301"/>
      <c r="I78" s="301"/>
      <c r="J78" s="301"/>
      <c r="K78" s="301"/>
    </row>
    <row r="79" spans="2:11">
      <c r="B79" s="301"/>
      <c r="C79" s="301"/>
      <c r="D79" s="301"/>
      <c r="E79" s="301"/>
      <c r="F79" s="301"/>
      <c r="G79" s="301"/>
      <c r="H79" s="301"/>
      <c r="I79" s="301"/>
      <c r="J79" s="301"/>
      <c r="K79" s="301"/>
    </row>
    <row r="80" spans="2:11">
      <c r="B80" s="301"/>
      <c r="C80" s="301"/>
      <c r="D80" s="301"/>
      <c r="E80" s="301"/>
      <c r="F80" s="301"/>
      <c r="G80" s="301"/>
      <c r="H80" s="301"/>
      <c r="I80" s="301"/>
      <c r="J80" s="301"/>
      <c r="K80" s="301"/>
    </row>
    <row r="81" spans="2:11">
      <c r="B81" s="301"/>
      <c r="C81" s="301"/>
      <c r="D81" s="301"/>
      <c r="E81" s="301"/>
      <c r="F81" s="301"/>
      <c r="G81" s="301"/>
      <c r="H81" s="301"/>
      <c r="I81" s="301"/>
      <c r="J81" s="301"/>
      <c r="K81" s="301"/>
    </row>
    <row r="82" spans="2:11">
      <c r="B82" s="301"/>
      <c r="C82" s="301"/>
      <c r="D82" s="301"/>
      <c r="E82" s="301"/>
      <c r="F82" s="301"/>
      <c r="G82" s="301"/>
      <c r="H82" s="301"/>
      <c r="I82" s="301"/>
      <c r="J82" s="301"/>
      <c r="K82" s="301"/>
    </row>
    <row r="83" spans="2:11">
      <c r="B83" s="301"/>
      <c r="C83" s="301"/>
      <c r="D83" s="301"/>
      <c r="E83" s="301"/>
      <c r="F83" s="301"/>
      <c r="G83" s="301"/>
      <c r="H83" s="301"/>
      <c r="I83" s="301"/>
      <c r="J83" s="301"/>
      <c r="K83" s="301"/>
    </row>
    <row r="84" spans="2:11">
      <c r="B84" s="301"/>
      <c r="C84" s="301"/>
      <c r="D84" s="301"/>
      <c r="E84" s="301"/>
      <c r="F84" s="301"/>
      <c r="G84" s="301"/>
      <c r="H84" s="301"/>
      <c r="I84" s="301"/>
      <c r="J84" s="301"/>
      <c r="K84" s="301"/>
    </row>
    <row r="85" spans="2:11">
      <c r="B85" s="301"/>
      <c r="C85" s="301"/>
      <c r="D85" s="301"/>
      <c r="E85" s="301"/>
      <c r="F85" s="301"/>
      <c r="G85" s="301"/>
      <c r="H85" s="301"/>
      <c r="I85" s="301"/>
      <c r="J85" s="301"/>
      <c r="K85" s="301"/>
    </row>
    <row r="86" spans="2:11">
      <c r="B86" s="301"/>
      <c r="C86" s="301"/>
      <c r="D86" s="301"/>
      <c r="E86" s="301"/>
      <c r="F86" s="301"/>
      <c r="G86" s="301"/>
      <c r="H86" s="301"/>
      <c r="I86" s="301"/>
      <c r="J86" s="301"/>
      <c r="K86" s="301"/>
    </row>
    <row r="87" spans="2:11">
      <c r="B87" s="301"/>
      <c r="C87" s="301"/>
      <c r="D87" s="301"/>
      <c r="E87" s="301"/>
      <c r="F87" s="301"/>
      <c r="G87" s="301"/>
      <c r="H87" s="301"/>
      <c r="I87" s="301"/>
      <c r="J87" s="301"/>
      <c r="K87" s="301"/>
    </row>
    <row r="88" spans="2:11">
      <c r="B88" s="301"/>
      <c r="C88" s="301"/>
      <c r="D88" s="301"/>
      <c r="E88" s="301"/>
      <c r="F88" s="301"/>
      <c r="G88" s="301"/>
      <c r="H88" s="301"/>
      <c r="I88" s="301"/>
      <c r="J88" s="301"/>
      <c r="K88" s="301"/>
    </row>
    <row r="89" spans="2:11">
      <c r="B89" s="301"/>
      <c r="C89" s="301"/>
      <c r="D89" s="301"/>
      <c r="E89" s="301"/>
      <c r="F89" s="301"/>
      <c r="G89" s="301"/>
      <c r="H89" s="301"/>
      <c r="I89" s="301"/>
      <c r="J89" s="301"/>
      <c r="K89" s="301"/>
    </row>
    <row r="90" spans="2:11">
      <c r="B90" s="301"/>
      <c r="C90" s="301"/>
      <c r="D90" s="301"/>
      <c r="E90" s="301"/>
      <c r="F90" s="301"/>
      <c r="G90" s="301"/>
      <c r="H90" s="301"/>
      <c r="I90" s="301"/>
      <c r="J90" s="301"/>
      <c r="K90" s="301"/>
    </row>
    <row r="91" spans="2:11">
      <c r="B91" s="301"/>
      <c r="C91" s="301"/>
      <c r="D91" s="301"/>
      <c r="E91" s="301"/>
      <c r="F91" s="301"/>
      <c r="G91" s="301"/>
      <c r="H91" s="301"/>
      <c r="I91" s="301"/>
      <c r="J91" s="301"/>
      <c r="K91" s="301"/>
    </row>
    <row r="92" spans="2:11">
      <c r="B92" s="301"/>
      <c r="C92" s="301"/>
      <c r="D92" s="301"/>
      <c r="E92" s="301"/>
      <c r="F92" s="301"/>
      <c r="G92" s="301"/>
      <c r="H92" s="301"/>
      <c r="I92" s="301"/>
      <c r="J92" s="301"/>
      <c r="K92" s="301"/>
    </row>
    <row r="93" spans="2:11">
      <c r="B93" s="301"/>
      <c r="C93" s="301"/>
      <c r="D93" s="301"/>
      <c r="E93" s="301"/>
      <c r="F93" s="301"/>
      <c r="G93" s="301"/>
      <c r="H93" s="301"/>
      <c r="I93" s="301"/>
      <c r="J93" s="301"/>
      <c r="K93" s="301"/>
    </row>
    <row r="94" spans="2:11">
      <c r="B94" s="301"/>
      <c r="C94" s="301"/>
      <c r="D94" s="301"/>
      <c r="E94" s="301"/>
      <c r="F94" s="301"/>
      <c r="G94" s="301"/>
      <c r="H94" s="301"/>
      <c r="I94" s="301"/>
      <c r="J94" s="301"/>
      <c r="K94" s="301"/>
    </row>
    <row r="95" spans="2:11">
      <c r="B95" s="301"/>
      <c r="C95" s="301"/>
      <c r="D95" s="301"/>
      <c r="E95" s="301"/>
      <c r="F95" s="301"/>
      <c r="G95" s="301"/>
      <c r="H95" s="301"/>
      <c r="I95" s="301"/>
      <c r="J95" s="301"/>
      <c r="K95" s="301"/>
    </row>
    <row r="96" spans="2:11">
      <c r="B96" s="301"/>
      <c r="C96" s="301"/>
      <c r="D96" s="301"/>
      <c r="E96" s="301"/>
      <c r="F96" s="301"/>
      <c r="G96" s="301"/>
      <c r="H96" s="301"/>
      <c r="I96" s="301"/>
      <c r="J96" s="301"/>
      <c r="K96" s="301"/>
    </row>
    <row r="97" spans="2:11">
      <c r="B97" s="301"/>
      <c r="C97" s="301"/>
      <c r="D97" s="301"/>
      <c r="E97" s="301"/>
      <c r="F97" s="301"/>
      <c r="G97" s="301"/>
      <c r="H97" s="301"/>
      <c r="I97" s="301"/>
      <c r="J97" s="301"/>
      <c r="K97" s="301"/>
    </row>
    <row r="98" spans="2:11">
      <c r="B98" s="301"/>
      <c r="C98" s="301"/>
      <c r="D98" s="301"/>
      <c r="E98" s="301"/>
      <c r="F98" s="301"/>
      <c r="G98" s="301"/>
      <c r="H98" s="301"/>
      <c r="I98" s="301"/>
      <c r="J98" s="301"/>
      <c r="K98" s="301"/>
    </row>
    <row r="99" spans="2:11">
      <c r="B99" s="301"/>
      <c r="C99" s="301"/>
      <c r="D99" s="301"/>
      <c r="E99" s="301"/>
      <c r="F99" s="301"/>
      <c r="G99" s="301"/>
      <c r="H99" s="301"/>
      <c r="I99" s="301"/>
      <c r="J99" s="301"/>
      <c r="K99" s="301"/>
    </row>
    <row r="100" spans="2:11">
      <c r="B100" s="301"/>
      <c r="C100" s="301"/>
      <c r="D100" s="301"/>
      <c r="E100" s="301"/>
      <c r="F100" s="301"/>
      <c r="G100" s="301"/>
      <c r="H100" s="301"/>
      <c r="I100" s="301"/>
      <c r="J100" s="301"/>
      <c r="K100" s="301"/>
    </row>
    <row r="101" spans="2:11">
      <c r="B101" s="301"/>
      <c r="C101" s="301"/>
      <c r="D101" s="301"/>
      <c r="E101" s="301"/>
      <c r="F101" s="301"/>
      <c r="G101" s="301"/>
      <c r="H101" s="301"/>
      <c r="I101" s="301"/>
      <c r="J101" s="301"/>
      <c r="K101" s="301"/>
    </row>
    <row r="102" spans="2:11">
      <c r="B102" s="301"/>
      <c r="C102" s="301"/>
      <c r="D102" s="301"/>
      <c r="E102" s="301"/>
      <c r="F102" s="301"/>
      <c r="G102" s="301"/>
      <c r="H102" s="301"/>
      <c r="I102" s="301"/>
      <c r="J102" s="301"/>
      <c r="K102" s="301"/>
    </row>
    <row r="103" spans="2:11">
      <c r="B103" s="301"/>
      <c r="C103" s="301"/>
      <c r="D103" s="301"/>
      <c r="E103" s="301"/>
      <c r="F103" s="301"/>
      <c r="G103" s="301"/>
      <c r="H103" s="301"/>
      <c r="I103" s="301"/>
      <c r="J103" s="301"/>
      <c r="K103" s="301"/>
    </row>
    <row r="104" spans="2:11">
      <c r="B104" s="301"/>
      <c r="C104" s="301"/>
      <c r="D104" s="301"/>
      <c r="E104" s="301"/>
      <c r="F104" s="301"/>
      <c r="G104" s="301"/>
      <c r="H104" s="301"/>
      <c r="I104" s="301"/>
      <c r="J104" s="301"/>
      <c r="K104" s="301"/>
    </row>
    <row r="105" spans="2:11">
      <c r="B105" s="301"/>
      <c r="C105" s="301"/>
      <c r="D105" s="301"/>
      <c r="E105" s="301"/>
      <c r="F105" s="301"/>
      <c r="G105" s="301"/>
      <c r="H105" s="301"/>
      <c r="I105" s="301"/>
      <c r="J105" s="301"/>
      <c r="K105" s="301"/>
    </row>
    <row r="106" spans="2:11">
      <c r="B106" s="301"/>
      <c r="C106" s="301"/>
      <c r="D106" s="301"/>
      <c r="E106" s="301"/>
      <c r="F106" s="301"/>
      <c r="G106" s="301"/>
      <c r="H106" s="301"/>
      <c r="I106" s="301"/>
      <c r="J106" s="301"/>
      <c r="K106" s="301"/>
    </row>
    <row r="107" spans="2:11">
      <c r="B107" s="301"/>
      <c r="C107" s="301"/>
      <c r="D107" s="301"/>
      <c r="E107" s="301"/>
      <c r="F107" s="301"/>
      <c r="G107" s="301"/>
      <c r="H107" s="301"/>
      <c r="I107" s="301"/>
      <c r="J107" s="301"/>
      <c r="K107" s="301"/>
    </row>
    <row r="108" spans="2:11">
      <c r="B108" s="301"/>
      <c r="C108" s="301"/>
      <c r="D108" s="301"/>
      <c r="E108" s="301"/>
      <c r="F108" s="301"/>
      <c r="G108" s="301"/>
      <c r="H108" s="301"/>
      <c r="I108" s="301"/>
      <c r="J108" s="301"/>
      <c r="K108" s="301"/>
    </row>
    <row r="109" spans="2:11">
      <c r="B109" s="301"/>
      <c r="C109" s="301"/>
      <c r="D109" s="301"/>
      <c r="E109" s="301"/>
      <c r="F109" s="301"/>
      <c r="G109" s="301"/>
      <c r="H109" s="301"/>
      <c r="I109" s="301"/>
      <c r="J109" s="301"/>
      <c r="K109" s="301"/>
    </row>
    <row r="110" spans="2:11">
      <c r="B110" s="301"/>
      <c r="C110" s="301"/>
      <c r="D110" s="301"/>
      <c r="E110" s="301"/>
      <c r="F110" s="301"/>
      <c r="G110" s="301"/>
      <c r="H110" s="301"/>
      <c r="I110" s="301"/>
      <c r="J110" s="301"/>
      <c r="K110" s="301"/>
    </row>
    <row r="111" spans="2:11">
      <c r="B111" s="301"/>
      <c r="C111" s="301"/>
      <c r="D111" s="301"/>
      <c r="E111" s="301"/>
      <c r="F111" s="301"/>
      <c r="G111" s="301"/>
      <c r="H111" s="301"/>
      <c r="I111" s="301"/>
      <c r="J111" s="301"/>
      <c r="K111" s="301"/>
    </row>
    <row r="112" spans="2:11">
      <c r="B112" s="301"/>
      <c r="C112" s="301"/>
      <c r="D112" s="301"/>
      <c r="E112" s="301"/>
      <c r="F112" s="301"/>
      <c r="G112" s="301"/>
      <c r="H112" s="301"/>
      <c r="I112" s="301"/>
      <c r="J112" s="301"/>
      <c r="K112" s="301"/>
    </row>
    <row r="113" spans="2:11">
      <c r="B113" s="301"/>
      <c r="C113" s="301"/>
      <c r="D113" s="301"/>
      <c r="E113" s="301"/>
      <c r="F113" s="301"/>
      <c r="G113" s="301"/>
      <c r="H113" s="301"/>
      <c r="I113" s="301"/>
      <c r="J113" s="301"/>
      <c r="K113" s="301"/>
    </row>
    <row r="114" spans="2:11">
      <c r="B114" s="301"/>
      <c r="C114" s="301"/>
      <c r="D114" s="301"/>
      <c r="E114" s="301"/>
      <c r="F114" s="301"/>
      <c r="G114" s="301"/>
      <c r="H114" s="301"/>
      <c r="I114" s="301"/>
      <c r="J114" s="301"/>
      <c r="K114" s="301"/>
    </row>
    <row r="115" spans="2:11">
      <c r="B115" s="301"/>
      <c r="C115" s="301"/>
      <c r="D115" s="301"/>
      <c r="E115" s="301"/>
      <c r="F115" s="301"/>
      <c r="G115" s="301"/>
      <c r="H115" s="301"/>
      <c r="I115" s="301"/>
      <c r="J115" s="301"/>
      <c r="K115" s="301"/>
    </row>
    <row r="116" spans="2:11">
      <c r="B116" s="301"/>
      <c r="C116" s="301"/>
      <c r="D116" s="301"/>
      <c r="E116" s="301"/>
      <c r="F116" s="301"/>
      <c r="G116" s="301"/>
      <c r="H116" s="301"/>
      <c r="I116" s="301"/>
      <c r="J116" s="301"/>
      <c r="K116" s="301"/>
    </row>
    <row r="117" spans="2:11">
      <c r="B117" s="301"/>
      <c r="C117" s="301"/>
      <c r="D117" s="301"/>
      <c r="E117" s="301"/>
      <c r="F117" s="301"/>
      <c r="G117" s="301"/>
      <c r="H117" s="301"/>
      <c r="I117" s="301"/>
      <c r="J117" s="301"/>
      <c r="K117" s="301"/>
    </row>
    <row r="118" spans="2:11">
      <c r="B118" s="301"/>
      <c r="C118" s="301"/>
      <c r="D118" s="301"/>
      <c r="E118" s="301"/>
      <c r="F118" s="301"/>
      <c r="G118" s="301"/>
      <c r="H118" s="301"/>
      <c r="I118" s="301"/>
      <c r="J118" s="301"/>
      <c r="K118" s="301"/>
    </row>
    <row r="119" spans="2:11">
      <c r="B119" s="301"/>
      <c r="C119" s="301"/>
      <c r="D119" s="301"/>
      <c r="E119" s="301"/>
      <c r="F119" s="301"/>
      <c r="G119" s="301"/>
      <c r="H119" s="301"/>
      <c r="I119" s="301"/>
      <c r="J119" s="301"/>
      <c r="K119" s="301"/>
    </row>
    <row r="120" spans="2:11">
      <c r="B120" s="301"/>
      <c r="C120" s="301"/>
      <c r="D120" s="301"/>
      <c r="E120" s="301"/>
      <c r="F120" s="301"/>
      <c r="G120" s="301"/>
      <c r="H120" s="301"/>
      <c r="I120" s="301"/>
      <c r="J120" s="301"/>
      <c r="K120" s="301"/>
    </row>
    <row r="121" spans="2:11">
      <c r="B121" s="301"/>
      <c r="C121" s="301"/>
      <c r="D121" s="301"/>
      <c r="E121" s="301"/>
      <c r="F121" s="301"/>
      <c r="G121" s="301"/>
      <c r="H121" s="301"/>
      <c r="I121" s="301"/>
      <c r="J121" s="301"/>
      <c r="K121" s="301"/>
    </row>
    <row r="122" spans="2:11">
      <c r="B122" s="301"/>
      <c r="C122" s="301"/>
      <c r="D122" s="301"/>
      <c r="E122" s="301"/>
      <c r="F122" s="301"/>
      <c r="G122" s="301"/>
      <c r="H122" s="301"/>
      <c r="I122" s="301"/>
      <c r="J122" s="301"/>
      <c r="K122" s="301"/>
    </row>
    <row r="123" spans="2:11">
      <c r="B123" s="301"/>
      <c r="C123" s="301"/>
      <c r="D123" s="301"/>
      <c r="E123" s="301"/>
      <c r="F123" s="301"/>
      <c r="G123" s="301"/>
      <c r="H123" s="301"/>
      <c r="I123" s="301"/>
      <c r="J123" s="301"/>
      <c r="K123" s="301"/>
    </row>
    <row r="124" spans="2:11">
      <c r="B124" s="301"/>
      <c r="C124" s="301"/>
      <c r="D124" s="301"/>
      <c r="E124" s="301"/>
      <c r="F124" s="301"/>
      <c r="G124" s="301"/>
      <c r="H124" s="301"/>
      <c r="I124" s="301"/>
      <c r="J124" s="301"/>
      <c r="K124" s="301"/>
    </row>
    <row r="125" spans="2:11">
      <c r="B125" s="301"/>
      <c r="C125" s="301"/>
      <c r="D125" s="301"/>
      <c r="E125" s="301"/>
      <c r="F125" s="301"/>
      <c r="G125" s="301"/>
      <c r="H125" s="301"/>
      <c r="I125" s="301"/>
      <c r="J125" s="301"/>
      <c r="K125" s="301"/>
    </row>
    <row r="126" spans="2:11">
      <c r="B126" s="301"/>
      <c r="C126" s="301"/>
      <c r="D126" s="301"/>
      <c r="E126" s="301"/>
      <c r="F126" s="301"/>
      <c r="G126" s="301"/>
      <c r="H126" s="301"/>
      <c r="I126" s="301"/>
      <c r="J126" s="301"/>
      <c r="K126" s="301"/>
    </row>
    <row r="127" spans="2:11">
      <c r="B127" s="301"/>
      <c r="C127" s="301"/>
      <c r="D127" s="301"/>
      <c r="E127" s="301"/>
      <c r="F127" s="301"/>
      <c r="G127" s="301"/>
      <c r="H127" s="301"/>
      <c r="I127" s="301"/>
      <c r="J127" s="301"/>
      <c r="K127" s="301"/>
    </row>
    <row r="128" spans="2:11">
      <c r="B128" s="301"/>
      <c r="C128" s="301"/>
      <c r="D128" s="301"/>
      <c r="E128" s="301"/>
      <c r="F128" s="301"/>
      <c r="G128" s="301"/>
      <c r="H128" s="301"/>
      <c r="I128" s="301"/>
      <c r="J128" s="301"/>
      <c r="K128" s="301"/>
    </row>
    <row r="129" spans="2:11">
      <c r="B129" s="301"/>
      <c r="C129" s="301"/>
      <c r="D129" s="301"/>
      <c r="E129" s="301"/>
      <c r="F129" s="301"/>
      <c r="G129" s="301"/>
      <c r="H129" s="301"/>
      <c r="I129" s="301"/>
      <c r="J129" s="301"/>
      <c r="K129" s="301"/>
    </row>
    <row r="130" spans="2:11">
      <c r="B130" s="301"/>
      <c r="C130" s="301"/>
      <c r="D130" s="301"/>
      <c r="E130" s="301"/>
      <c r="F130" s="301"/>
      <c r="G130" s="301"/>
      <c r="H130" s="301"/>
      <c r="I130" s="301"/>
      <c r="J130" s="301"/>
      <c r="K130" s="301"/>
    </row>
    <row r="131" spans="2:11">
      <c r="B131" s="301"/>
      <c r="C131" s="301"/>
      <c r="D131" s="301"/>
      <c r="E131" s="301"/>
      <c r="F131" s="301"/>
      <c r="G131" s="301"/>
      <c r="H131" s="301"/>
      <c r="I131" s="301"/>
      <c r="J131" s="301"/>
      <c r="K131" s="301"/>
    </row>
    <row r="132" spans="2:11">
      <c r="B132" s="301"/>
      <c r="C132" s="301"/>
      <c r="D132" s="301"/>
      <c r="E132" s="301"/>
      <c r="F132" s="301"/>
      <c r="G132" s="301"/>
      <c r="H132" s="301"/>
      <c r="I132" s="301"/>
      <c r="J132" s="301"/>
      <c r="K132" s="301"/>
    </row>
    <row r="133" spans="2:11">
      <c r="B133" s="301"/>
      <c r="C133" s="301"/>
      <c r="D133" s="301"/>
      <c r="E133" s="301"/>
      <c r="F133" s="301"/>
      <c r="G133" s="301"/>
      <c r="H133" s="301"/>
      <c r="I133" s="301"/>
      <c r="J133" s="301"/>
      <c r="K133" s="301"/>
    </row>
    <row r="134" spans="2:11">
      <c r="B134" s="301"/>
      <c r="C134" s="301"/>
      <c r="D134" s="301"/>
      <c r="E134" s="301"/>
      <c r="F134" s="301"/>
      <c r="G134" s="301"/>
      <c r="H134" s="301"/>
      <c r="I134" s="301"/>
      <c r="J134" s="301"/>
      <c r="K134" s="301"/>
    </row>
    <row r="135" spans="2:11">
      <c r="B135" s="301"/>
      <c r="C135" s="301"/>
      <c r="D135" s="301"/>
      <c r="E135" s="301"/>
      <c r="F135" s="301"/>
      <c r="G135" s="301"/>
      <c r="H135" s="301"/>
      <c r="I135" s="301"/>
      <c r="J135" s="301"/>
      <c r="K135" s="301"/>
    </row>
    <row r="136" spans="2:11">
      <c r="B136" s="301"/>
      <c r="C136" s="301"/>
      <c r="D136" s="301"/>
      <c r="E136" s="301"/>
      <c r="F136" s="301"/>
      <c r="G136" s="301"/>
      <c r="H136" s="301"/>
      <c r="I136" s="301"/>
      <c r="J136" s="301"/>
      <c r="K136" s="301"/>
    </row>
    <row r="137" spans="2:11">
      <c r="B137" s="301"/>
      <c r="C137" s="301"/>
      <c r="D137" s="301"/>
      <c r="E137" s="301"/>
      <c r="F137" s="301"/>
      <c r="G137" s="301"/>
      <c r="H137" s="301"/>
      <c r="I137" s="301"/>
      <c r="J137" s="301"/>
      <c r="K137" s="301"/>
    </row>
    <row r="138" spans="2:11">
      <c r="B138" s="301"/>
      <c r="C138" s="301"/>
      <c r="D138" s="301"/>
      <c r="E138" s="301"/>
      <c r="F138" s="301"/>
      <c r="G138" s="301"/>
      <c r="H138" s="301"/>
      <c r="I138" s="301"/>
      <c r="J138" s="301"/>
      <c r="K138" s="301"/>
    </row>
    <row r="139" spans="2:11">
      <c r="B139" s="301"/>
      <c r="C139" s="301"/>
      <c r="D139" s="301"/>
      <c r="E139" s="301"/>
      <c r="F139" s="301"/>
      <c r="G139" s="301"/>
      <c r="H139" s="301"/>
      <c r="I139" s="301"/>
      <c r="J139" s="301"/>
      <c r="K139" s="301"/>
    </row>
    <row r="140" spans="2:11">
      <c r="B140" s="301"/>
      <c r="C140" s="301"/>
      <c r="D140" s="301"/>
      <c r="E140" s="301"/>
      <c r="F140" s="301"/>
      <c r="G140" s="301"/>
      <c r="H140" s="301"/>
      <c r="I140" s="301"/>
      <c r="J140" s="301"/>
      <c r="K140" s="301"/>
    </row>
    <row r="141" spans="2:11">
      <c r="B141" s="301"/>
      <c r="C141" s="301"/>
      <c r="D141" s="301"/>
      <c r="E141" s="301"/>
      <c r="F141" s="301"/>
      <c r="G141" s="301"/>
      <c r="H141" s="301"/>
      <c r="I141" s="301"/>
      <c r="J141" s="301"/>
      <c r="K141" s="301"/>
    </row>
    <row r="142" spans="2:11">
      <c r="B142" s="301"/>
      <c r="C142" s="301"/>
      <c r="D142" s="301"/>
      <c r="E142" s="301"/>
      <c r="F142" s="301"/>
      <c r="G142" s="301"/>
      <c r="H142" s="301"/>
      <c r="I142" s="301"/>
      <c r="J142" s="301"/>
      <c r="K142" s="301"/>
    </row>
    <row r="143" spans="2:11">
      <c r="B143" s="301"/>
      <c r="C143" s="301"/>
      <c r="D143" s="301"/>
      <c r="E143" s="301"/>
      <c r="F143" s="301"/>
      <c r="G143" s="301"/>
      <c r="H143" s="301"/>
      <c r="I143" s="301"/>
      <c r="J143" s="301"/>
      <c r="K143" s="301"/>
    </row>
    <row r="144" spans="2:11">
      <c r="B144" s="301"/>
      <c r="C144" s="301"/>
      <c r="D144" s="301"/>
      <c r="E144" s="301"/>
      <c r="F144" s="301"/>
      <c r="G144" s="301"/>
      <c r="H144" s="301"/>
      <c r="I144" s="301"/>
      <c r="J144" s="301"/>
      <c r="K144" s="301"/>
    </row>
    <row r="145" spans="2:11">
      <c r="B145" s="301"/>
      <c r="C145" s="301"/>
      <c r="D145" s="301"/>
      <c r="E145" s="301"/>
      <c r="F145" s="301"/>
      <c r="G145" s="301"/>
      <c r="H145" s="301"/>
      <c r="I145" s="301"/>
      <c r="J145" s="301"/>
      <c r="K145" s="301"/>
    </row>
    <row r="146" spans="2:11">
      <c r="B146" s="301"/>
      <c r="C146" s="301"/>
      <c r="D146" s="301"/>
      <c r="E146" s="301"/>
      <c r="F146" s="301"/>
      <c r="G146" s="301"/>
      <c r="H146" s="301"/>
      <c r="I146" s="301"/>
      <c r="J146" s="301"/>
      <c r="K146" s="301"/>
    </row>
    <row r="147" spans="2:11">
      <c r="B147" s="301"/>
      <c r="C147" s="301"/>
      <c r="D147" s="301"/>
      <c r="E147" s="301"/>
      <c r="F147" s="301"/>
      <c r="G147" s="301"/>
      <c r="H147" s="301"/>
      <c r="I147" s="301"/>
      <c r="J147" s="301"/>
      <c r="K147" s="301"/>
    </row>
    <row r="148" spans="2:11">
      <c r="B148" s="301"/>
      <c r="C148" s="301"/>
      <c r="D148" s="301"/>
      <c r="E148" s="301"/>
      <c r="F148" s="301"/>
      <c r="G148" s="301"/>
      <c r="H148" s="301"/>
      <c r="I148" s="301"/>
      <c r="J148" s="301"/>
      <c r="K148" s="301"/>
    </row>
    <row r="149" spans="2:11">
      <c r="B149" s="301"/>
      <c r="C149" s="301"/>
      <c r="D149" s="301"/>
      <c r="E149" s="301"/>
      <c r="F149" s="301"/>
      <c r="G149" s="301"/>
      <c r="H149" s="301"/>
      <c r="I149" s="301"/>
      <c r="J149" s="301"/>
      <c r="K149" s="301"/>
    </row>
    <row r="150" spans="2:11">
      <c r="B150" s="301"/>
      <c r="C150" s="301"/>
      <c r="D150" s="301"/>
      <c r="E150" s="301"/>
      <c r="F150" s="301"/>
      <c r="G150" s="301"/>
      <c r="H150" s="301"/>
      <c r="I150" s="301"/>
      <c r="J150" s="301"/>
      <c r="K150" s="301"/>
    </row>
    <row r="151" spans="2:11">
      <c r="B151" s="301"/>
      <c r="C151" s="301"/>
      <c r="D151" s="301"/>
      <c r="E151" s="301"/>
      <c r="F151" s="301"/>
      <c r="G151" s="301"/>
      <c r="H151" s="301"/>
      <c r="I151" s="301"/>
      <c r="J151" s="301"/>
      <c r="K151" s="301"/>
    </row>
    <row r="152" spans="2:11">
      <c r="B152" s="301"/>
      <c r="C152" s="301"/>
      <c r="D152" s="301"/>
      <c r="E152" s="301"/>
      <c r="F152" s="301"/>
      <c r="G152" s="301"/>
      <c r="H152" s="301"/>
      <c r="I152" s="301"/>
      <c r="J152" s="301"/>
      <c r="K152" s="301"/>
    </row>
    <row r="153" spans="2:11">
      <c r="B153" s="301"/>
      <c r="C153" s="301"/>
      <c r="D153" s="301"/>
      <c r="E153" s="301"/>
      <c r="F153" s="301"/>
      <c r="G153" s="301"/>
      <c r="H153" s="301"/>
      <c r="I153" s="301"/>
      <c r="J153" s="301"/>
      <c r="K153" s="301"/>
    </row>
    <row r="154" spans="2:11">
      <c r="B154" s="301"/>
      <c r="C154" s="301"/>
      <c r="D154" s="301"/>
      <c r="E154" s="301"/>
      <c r="F154" s="301"/>
      <c r="G154" s="301"/>
      <c r="H154" s="301"/>
      <c r="I154" s="301"/>
      <c r="J154" s="301"/>
      <c r="K154" s="301"/>
    </row>
    <row r="155" spans="2:11">
      <c r="B155" s="301"/>
      <c r="C155" s="301"/>
      <c r="D155" s="301"/>
      <c r="E155" s="301"/>
      <c r="F155" s="301"/>
      <c r="G155" s="301"/>
      <c r="H155" s="301"/>
      <c r="I155" s="301"/>
      <c r="J155" s="301"/>
      <c r="K155" s="301"/>
    </row>
    <row r="156" spans="2:11">
      <c r="B156" s="301"/>
      <c r="C156" s="301"/>
      <c r="D156" s="301"/>
      <c r="E156" s="301"/>
      <c r="F156" s="301"/>
      <c r="G156" s="301"/>
      <c r="H156" s="301"/>
      <c r="I156" s="301"/>
      <c r="J156" s="301"/>
      <c r="K156" s="301"/>
    </row>
    <row r="157" spans="2:11">
      <c r="B157" s="301"/>
      <c r="C157" s="301"/>
      <c r="D157" s="301"/>
      <c r="E157" s="301"/>
      <c r="F157" s="301"/>
      <c r="G157" s="301"/>
      <c r="H157" s="301"/>
      <c r="I157" s="301"/>
      <c r="J157" s="301"/>
      <c r="K157" s="301"/>
    </row>
    <row r="158" spans="2:11">
      <c r="B158" s="301"/>
      <c r="C158" s="301"/>
      <c r="D158" s="301"/>
      <c r="E158" s="301"/>
      <c r="F158" s="301"/>
      <c r="G158" s="301"/>
      <c r="H158" s="301"/>
      <c r="I158" s="301"/>
      <c r="J158" s="301"/>
      <c r="K158" s="301"/>
    </row>
    <row r="159" spans="2:11">
      <c r="B159" s="301"/>
      <c r="C159" s="301"/>
      <c r="D159" s="301"/>
      <c r="E159" s="301"/>
      <c r="F159" s="301"/>
      <c r="G159" s="301"/>
      <c r="H159" s="301"/>
      <c r="I159" s="301"/>
      <c r="J159" s="301"/>
      <c r="K159" s="301"/>
    </row>
    <row r="160" spans="2:11">
      <c r="B160" s="301"/>
      <c r="C160" s="301"/>
      <c r="D160" s="301"/>
      <c r="E160" s="301"/>
      <c r="F160" s="301"/>
      <c r="G160" s="301"/>
      <c r="H160" s="301"/>
      <c r="I160" s="301"/>
      <c r="J160" s="301"/>
      <c r="K160" s="301"/>
    </row>
    <row r="161" spans="2:11">
      <c r="B161" s="301"/>
      <c r="C161" s="301"/>
      <c r="D161" s="301"/>
      <c r="E161" s="301"/>
      <c r="F161" s="301"/>
      <c r="G161" s="301"/>
      <c r="H161" s="301"/>
      <c r="I161" s="301"/>
      <c r="J161" s="301"/>
      <c r="K161" s="301"/>
    </row>
    <row r="162" spans="2:11">
      <c r="B162" s="301"/>
      <c r="C162" s="301"/>
      <c r="D162" s="301"/>
      <c r="E162" s="301"/>
      <c r="F162" s="301"/>
      <c r="G162" s="301"/>
      <c r="H162" s="301"/>
      <c r="I162" s="301"/>
      <c r="J162" s="301"/>
      <c r="K162" s="301"/>
    </row>
    <row r="163" spans="2:11">
      <c r="B163" s="301"/>
      <c r="C163" s="301"/>
      <c r="D163" s="301"/>
      <c r="E163" s="301"/>
      <c r="F163" s="301"/>
      <c r="G163" s="301"/>
      <c r="H163" s="301"/>
      <c r="I163" s="301"/>
      <c r="J163" s="301"/>
      <c r="K163" s="301"/>
    </row>
    <row r="164" spans="2:11">
      <c r="B164" s="301"/>
      <c r="C164" s="301"/>
      <c r="D164" s="301"/>
      <c r="E164" s="301"/>
      <c r="F164" s="301"/>
      <c r="G164" s="301"/>
      <c r="H164" s="301"/>
      <c r="I164" s="301"/>
      <c r="J164" s="301"/>
      <c r="K164" s="301"/>
    </row>
    <row r="165" spans="2:11">
      <c r="B165" s="301"/>
      <c r="C165" s="301"/>
      <c r="D165" s="301"/>
      <c r="E165" s="301"/>
      <c r="F165" s="301"/>
      <c r="G165" s="301"/>
      <c r="H165" s="301"/>
      <c r="I165" s="301"/>
      <c r="J165" s="301"/>
      <c r="K165" s="301"/>
    </row>
    <row r="166" spans="2:11">
      <c r="B166" s="301"/>
      <c r="C166" s="301"/>
      <c r="D166" s="301"/>
      <c r="E166" s="301"/>
      <c r="F166" s="301"/>
      <c r="G166" s="301"/>
      <c r="H166" s="301"/>
      <c r="I166" s="301"/>
      <c r="J166" s="301"/>
      <c r="K166" s="301"/>
    </row>
    <row r="167" spans="2:11">
      <c r="B167" s="301"/>
      <c r="C167" s="301"/>
      <c r="D167" s="301"/>
      <c r="E167" s="301"/>
      <c r="F167" s="301"/>
      <c r="G167" s="301"/>
      <c r="H167" s="301"/>
      <c r="I167" s="301"/>
      <c r="J167" s="301"/>
      <c r="K167" s="301"/>
    </row>
    <row r="168" spans="2:11">
      <c r="B168" s="301"/>
      <c r="C168" s="301"/>
      <c r="D168" s="301"/>
      <c r="E168" s="301"/>
      <c r="F168" s="301"/>
      <c r="G168" s="301"/>
      <c r="H168" s="301"/>
      <c r="I168" s="301"/>
      <c r="J168" s="301"/>
      <c r="K168" s="301"/>
    </row>
    <row r="169" spans="2:11">
      <c r="B169" s="301"/>
      <c r="C169" s="301"/>
      <c r="D169" s="301"/>
      <c r="E169" s="301"/>
      <c r="F169" s="301"/>
      <c r="G169" s="301"/>
      <c r="H169" s="301"/>
      <c r="I169" s="301"/>
      <c r="J169" s="301"/>
      <c r="K169" s="301"/>
    </row>
    <row r="170" spans="2:11">
      <c r="B170" s="301"/>
      <c r="C170" s="301"/>
      <c r="D170" s="301"/>
      <c r="E170" s="301"/>
      <c r="F170" s="301"/>
      <c r="G170" s="301"/>
      <c r="H170" s="301"/>
      <c r="I170" s="301"/>
      <c r="J170" s="301"/>
      <c r="K170" s="301"/>
    </row>
    <row r="171" spans="2:11">
      <c r="B171" s="301"/>
      <c r="C171" s="301"/>
      <c r="D171" s="301"/>
      <c r="E171" s="301"/>
      <c r="F171" s="301"/>
      <c r="G171" s="301"/>
      <c r="H171" s="301"/>
      <c r="I171" s="301"/>
      <c r="J171" s="301"/>
      <c r="K171" s="301"/>
    </row>
    <row r="172" spans="2:11">
      <c r="B172" s="301"/>
      <c r="C172" s="301"/>
      <c r="D172" s="301"/>
      <c r="E172" s="301"/>
      <c r="F172" s="301"/>
      <c r="G172" s="301"/>
      <c r="H172" s="301"/>
      <c r="I172" s="301"/>
      <c r="J172" s="301"/>
      <c r="K172" s="301"/>
    </row>
    <row r="173" spans="2:11">
      <c r="B173" s="301"/>
      <c r="C173" s="301"/>
      <c r="D173" s="301"/>
      <c r="E173" s="301"/>
      <c r="F173" s="301"/>
      <c r="G173" s="301"/>
      <c r="H173" s="301"/>
      <c r="I173" s="301"/>
      <c r="J173" s="301"/>
      <c r="K173" s="301"/>
    </row>
    <row r="174" spans="2:11">
      <c r="B174" s="301"/>
      <c r="C174" s="301"/>
      <c r="D174" s="301"/>
      <c r="E174" s="301"/>
      <c r="F174" s="301"/>
      <c r="G174" s="301"/>
      <c r="H174" s="301"/>
      <c r="I174" s="301"/>
      <c r="J174" s="301"/>
      <c r="K174" s="301"/>
    </row>
    <row r="175" spans="2:11">
      <c r="B175" s="301"/>
      <c r="C175" s="301"/>
      <c r="D175" s="301"/>
      <c r="E175" s="301"/>
      <c r="F175" s="301"/>
      <c r="G175" s="301"/>
      <c r="H175" s="301"/>
      <c r="I175" s="301"/>
      <c r="J175" s="301"/>
      <c r="K175" s="301"/>
    </row>
    <row r="176" spans="2:11">
      <c r="B176" s="301"/>
      <c r="C176" s="301"/>
      <c r="D176" s="301"/>
      <c r="E176" s="301"/>
      <c r="F176" s="301"/>
      <c r="G176" s="301"/>
      <c r="H176" s="301"/>
      <c r="I176" s="301"/>
      <c r="J176" s="301"/>
      <c r="K176" s="301"/>
    </row>
    <row r="177" spans="2:11">
      <c r="B177" s="301"/>
      <c r="C177" s="301"/>
      <c r="D177" s="301"/>
      <c r="E177" s="301"/>
      <c r="F177" s="301"/>
      <c r="G177" s="301"/>
      <c r="H177" s="301"/>
      <c r="I177" s="301"/>
      <c r="J177" s="301"/>
      <c r="K177" s="301"/>
    </row>
    <row r="178" spans="2:11">
      <c r="B178" s="301"/>
      <c r="C178" s="301"/>
      <c r="D178" s="301"/>
      <c r="E178" s="301"/>
      <c r="F178" s="301"/>
      <c r="G178" s="301"/>
      <c r="H178" s="301"/>
      <c r="I178" s="301"/>
      <c r="J178" s="301"/>
      <c r="K178" s="301"/>
    </row>
    <row r="179" spans="2:11">
      <c r="B179" s="301"/>
      <c r="C179" s="301"/>
      <c r="D179" s="301"/>
      <c r="E179" s="301"/>
      <c r="F179" s="301"/>
      <c r="G179" s="301"/>
      <c r="H179" s="301"/>
      <c r="I179" s="301"/>
      <c r="J179" s="301"/>
      <c r="K179" s="301"/>
    </row>
    <row r="180" spans="2:11">
      <c r="B180" s="301"/>
      <c r="C180" s="301"/>
      <c r="D180" s="301"/>
      <c r="E180" s="301"/>
      <c r="F180" s="301"/>
      <c r="G180" s="301"/>
      <c r="H180" s="301"/>
      <c r="I180" s="301"/>
      <c r="J180" s="301"/>
      <c r="K180" s="301"/>
    </row>
    <row r="181" spans="2:11">
      <c r="B181" s="301"/>
      <c r="C181" s="301"/>
      <c r="D181" s="301"/>
      <c r="E181" s="301"/>
      <c r="F181" s="301"/>
      <c r="G181" s="301"/>
      <c r="H181" s="301"/>
      <c r="I181" s="301"/>
      <c r="J181" s="301"/>
      <c r="K181" s="301"/>
    </row>
    <row r="182" spans="2:11">
      <c r="B182" s="301"/>
      <c r="C182" s="301"/>
      <c r="D182" s="301"/>
      <c r="E182" s="301"/>
      <c r="F182" s="301"/>
      <c r="G182" s="301"/>
      <c r="H182" s="301"/>
      <c r="I182" s="301"/>
      <c r="J182" s="301"/>
      <c r="K182" s="301"/>
    </row>
    <row r="183" spans="2:11">
      <c r="B183" s="301"/>
      <c r="C183" s="301"/>
      <c r="D183" s="301"/>
      <c r="E183" s="301"/>
      <c r="F183" s="301"/>
      <c r="G183" s="301"/>
      <c r="H183" s="301"/>
      <c r="I183" s="301"/>
      <c r="J183" s="301"/>
      <c r="K183" s="301"/>
    </row>
    <row r="184" spans="2:11">
      <c r="B184" s="301"/>
      <c r="C184" s="301"/>
      <c r="D184" s="301"/>
      <c r="E184" s="301"/>
      <c r="F184" s="301"/>
      <c r="G184" s="301"/>
      <c r="H184" s="301"/>
      <c r="I184" s="301"/>
      <c r="J184" s="301"/>
      <c r="K184" s="301"/>
    </row>
    <row r="185" spans="2:11">
      <c r="B185" s="301"/>
      <c r="C185" s="301"/>
      <c r="D185" s="301"/>
      <c r="E185" s="301"/>
      <c r="F185" s="301"/>
      <c r="G185" s="301"/>
      <c r="H185" s="301"/>
      <c r="I185" s="301"/>
      <c r="J185" s="301"/>
      <c r="K185" s="301"/>
    </row>
    <row r="186" spans="2:11">
      <c r="B186" s="301"/>
      <c r="C186" s="301"/>
      <c r="D186" s="301"/>
      <c r="E186" s="301"/>
      <c r="F186" s="301"/>
      <c r="G186" s="301"/>
      <c r="H186" s="301"/>
      <c r="I186" s="301"/>
      <c r="J186" s="301"/>
      <c r="K186" s="301"/>
    </row>
    <row r="187" spans="2:11">
      <c r="B187" s="301"/>
      <c r="C187" s="301"/>
      <c r="D187" s="301"/>
      <c r="E187" s="301"/>
      <c r="F187" s="301"/>
      <c r="G187" s="301"/>
      <c r="H187" s="301"/>
      <c r="I187" s="301"/>
      <c r="J187" s="301"/>
      <c r="K187" s="301"/>
    </row>
    <row r="188" spans="2:11">
      <c r="B188" s="301"/>
      <c r="C188" s="301"/>
      <c r="D188" s="301"/>
      <c r="E188" s="301"/>
      <c r="F188" s="301"/>
      <c r="G188" s="301"/>
      <c r="H188" s="301"/>
      <c r="I188" s="301"/>
      <c r="J188" s="301"/>
      <c r="K188" s="301"/>
    </row>
    <row r="189" spans="2:11">
      <c r="B189" s="301"/>
      <c r="C189" s="301"/>
      <c r="D189" s="301"/>
      <c r="E189" s="301"/>
      <c r="F189" s="301"/>
      <c r="G189" s="301"/>
      <c r="H189" s="301"/>
      <c r="I189" s="301"/>
      <c r="J189" s="301"/>
      <c r="K189" s="301"/>
    </row>
    <row r="190" spans="2:11">
      <c r="B190" s="301"/>
      <c r="C190" s="301"/>
      <c r="D190" s="301"/>
      <c r="E190" s="301"/>
      <c r="F190" s="301"/>
      <c r="G190" s="301"/>
      <c r="H190" s="301"/>
      <c r="I190" s="301"/>
      <c r="J190" s="301"/>
      <c r="K190" s="301"/>
    </row>
    <row r="191" spans="2:11">
      <c r="B191" s="301"/>
      <c r="C191" s="301"/>
      <c r="D191" s="301"/>
      <c r="E191" s="301"/>
      <c r="F191" s="301"/>
      <c r="G191" s="301"/>
      <c r="H191" s="301"/>
      <c r="I191" s="301"/>
      <c r="J191" s="301"/>
      <c r="K191" s="301"/>
    </row>
    <row r="192" spans="2:11">
      <c r="B192" s="301"/>
      <c r="C192" s="301"/>
      <c r="D192" s="301"/>
      <c r="E192" s="301"/>
      <c r="F192" s="301"/>
      <c r="G192" s="301"/>
      <c r="H192" s="301"/>
      <c r="I192" s="301"/>
      <c r="J192" s="301"/>
      <c r="K192" s="301"/>
    </row>
    <row r="193" spans="2:11">
      <c r="B193" s="301"/>
      <c r="C193" s="301"/>
      <c r="D193" s="301"/>
      <c r="E193" s="301"/>
      <c r="F193" s="301"/>
      <c r="G193" s="301"/>
      <c r="H193" s="301"/>
      <c r="I193" s="301"/>
      <c r="J193" s="301"/>
      <c r="K193" s="301"/>
    </row>
    <row r="194" spans="2:11">
      <c r="B194" s="301"/>
      <c r="C194" s="301"/>
      <c r="D194" s="301"/>
      <c r="E194" s="301"/>
      <c r="F194" s="301"/>
      <c r="G194" s="301"/>
      <c r="H194" s="301"/>
      <c r="I194" s="301"/>
      <c r="J194" s="301"/>
      <c r="K194" s="301"/>
    </row>
    <row r="195" spans="2:11">
      <c r="B195" s="301"/>
      <c r="C195" s="301"/>
      <c r="D195" s="301"/>
      <c r="E195" s="301"/>
      <c r="F195" s="301"/>
      <c r="G195" s="301"/>
      <c r="H195" s="301"/>
      <c r="I195" s="301"/>
      <c r="J195" s="301"/>
      <c r="K195" s="301"/>
    </row>
    <row r="196" spans="2:11">
      <c r="B196" s="301"/>
      <c r="C196" s="301"/>
      <c r="D196" s="301"/>
      <c r="E196" s="301"/>
      <c r="F196" s="301"/>
      <c r="G196" s="301"/>
      <c r="H196" s="301"/>
      <c r="I196" s="301"/>
      <c r="J196" s="301"/>
      <c r="K196" s="301"/>
    </row>
    <row r="197" spans="2:11">
      <c r="B197" s="301"/>
      <c r="C197" s="301"/>
      <c r="D197" s="301"/>
      <c r="E197" s="301"/>
      <c r="F197" s="301"/>
      <c r="G197" s="301"/>
      <c r="H197" s="301"/>
      <c r="I197" s="301"/>
      <c r="J197" s="301"/>
      <c r="K197" s="301"/>
    </row>
    <row r="198" spans="2:11">
      <c r="B198" s="301"/>
      <c r="C198" s="301"/>
      <c r="D198" s="301"/>
      <c r="E198" s="301"/>
      <c r="F198" s="301"/>
      <c r="G198" s="301"/>
      <c r="H198" s="301"/>
      <c r="I198" s="301"/>
      <c r="J198" s="301"/>
      <c r="K198" s="301"/>
    </row>
    <row r="199" spans="2:11">
      <c r="B199" s="301"/>
      <c r="C199" s="301"/>
      <c r="D199" s="301"/>
      <c r="E199" s="301"/>
      <c r="F199" s="301"/>
      <c r="G199" s="301"/>
      <c r="H199" s="301"/>
      <c r="I199" s="301"/>
      <c r="J199" s="301"/>
      <c r="K199" s="301"/>
    </row>
    <row r="200" spans="2:11">
      <c r="B200" s="301"/>
      <c r="C200" s="301"/>
      <c r="D200" s="301"/>
      <c r="E200" s="301"/>
      <c r="F200" s="301"/>
      <c r="G200" s="301"/>
      <c r="H200" s="301"/>
      <c r="I200" s="301"/>
      <c r="J200" s="301"/>
      <c r="K200" s="301"/>
    </row>
    <row r="201" spans="2:11">
      <c r="B201" s="301"/>
      <c r="C201" s="301"/>
      <c r="D201" s="301"/>
      <c r="E201" s="301"/>
      <c r="F201" s="301"/>
      <c r="G201" s="301"/>
      <c r="H201" s="301"/>
      <c r="I201" s="301"/>
      <c r="J201" s="301"/>
      <c r="K201" s="301"/>
    </row>
    <row r="202" spans="2:11">
      <c r="B202" s="301"/>
      <c r="C202" s="301"/>
      <c r="D202" s="301"/>
      <c r="E202" s="301"/>
      <c r="F202" s="301"/>
      <c r="G202" s="301"/>
      <c r="H202" s="301"/>
      <c r="I202" s="301"/>
      <c r="J202" s="301"/>
      <c r="K202" s="301"/>
    </row>
    <row r="203" spans="2:11">
      <c r="B203" s="301"/>
      <c r="C203" s="301"/>
      <c r="D203" s="301"/>
      <c r="E203" s="301"/>
      <c r="F203" s="301"/>
      <c r="G203" s="301"/>
      <c r="H203" s="301"/>
      <c r="I203" s="301"/>
      <c r="J203" s="301"/>
      <c r="K203" s="301"/>
    </row>
    <row r="204" spans="2:11">
      <c r="B204" s="301"/>
      <c r="C204" s="301"/>
      <c r="D204" s="301"/>
      <c r="E204" s="301"/>
      <c r="F204" s="301"/>
      <c r="G204" s="301"/>
      <c r="H204" s="301"/>
      <c r="I204" s="301"/>
      <c r="J204" s="301"/>
      <c r="K204" s="301"/>
    </row>
    <row r="205" spans="2:11">
      <c r="B205" s="301"/>
      <c r="C205" s="301"/>
      <c r="D205" s="301"/>
      <c r="E205" s="301"/>
      <c r="F205" s="301"/>
      <c r="G205" s="301"/>
      <c r="H205" s="301"/>
      <c r="I205" s="301"/>
      <c r="J205" s="301"/>
      <c r="K205" s="301"/>
    </row>
    <row r="206" spans="2:11">
      <c r="B206" s="301"/>
      <c r="C206" s="301"/>
      <c r="D206" s="301"/>
      <c r="E206" s="301"/>
      <c r="F206" s="301"/>
      <c r="G206" s="301"/>
      <c r="H206" s="301"/>
      <c r="I206" s="301"/>
      <c r="J206" s="301"/>
      <c r="K206" s="301"/>
    </row>
    <row r="207" spans="2:11">
      <c r="B207" s="301"/>
      <c r="C207" s="301"/>
      <c r="D207" s="301"/>
      <c r="E207" s="301"/>
      <c r="F207" s="301"/>
      <c r="G207" s="301"/>
      <c r="H207" s="301"/>
      <c r="I207" s="301"/>
      <c r="J207" s="301"/>
      <c r="K207" s="301"/>
    </row>
    <row r="208" spans="2:11">
      <c r="B208" s="301"/>
      <c r="C208" s="301"/>
      <c r="D208" s="301"/>
      <c r="E208" s="301"/>
      <c r="F208" s="301"/>
      <c r="G208" s="301"/>
      <c r="H208" s="301"/>
      <c r="I208" s="301"/>
      <c r="J208" s="301"/>
      <c r="K208" s="301"/>
    </row>
    <row r="209" spans="2:11">
      <c r="B209" s="301"/>
      <c r="C209" s="301"/>
      <c r="D209" s="301"/>
      <c r="E209" s="301"/>
      <c r="F209" s="301"/>
      <c r="G209" s="301"/>
      <c r="H209" s="301"/>
      <c r="I209" s="301"/>
      <c r="J209" s="301"/>
      <c r="K209" s="301"/>
    </row>
    <row r="210" spans="2:11">
      <c r="B210" s="301"/>
      <c r="C210" s="301"/>
      <c r="D210" s="301"/>
      <c r="E210" s="301"/>
      <c r="F210" s="301"/>
      <c r="G210" s="301"/>
      <c r="H210" s="301"/>
      <c r="I210" s="301"/>
      <c r="J210" s="301"/>
      <c r="K210" s="301"/>
    </row>
    <row r="211" spans="2:11">
      <c r="B211" s="301"/>
      <c r="C211" s="301"/>
      <c r="D211" s="301"/>
      <c r="E211" s="301"/>
      <c r="F211" s="301"/>
      <c r="G211" s="301"/>
      <c r="H211" s="301"/>
      <c r="I211" s="301"/>
      <c r="J211" s="301"/>
      <c r="K211" s="301"/>
    </row>
    <row r="212" spans="2:11">
      <c r="B212" s="301"/>
      <c r="C212" s="301"/>
      <c r="D212" s="301"/>
      <c r="E212" s="301"/>
      <c r="F212" s="301"/>
      <c r="G212" s="301"/>
      <c r="H212" s="301"/>
      <c r="I212" s="301"/>
      <c r="J212" s="301"/>
      <c r="K212" s="301"/>
    </row>
    <row r="213" spans="2:11">
      <c r="B213" s="301"/>
      <c r="C213" s="301"/>
      <c r="D213" s="301"/>
      <c r="E213" s="301"/>
      <c r="F213" s="301"/>
      <c r="G213" s="301"/>
      <c r="H213" s="301"/>
      <c r="I213" s="301"/>
      <c r="J213" s="301"/>
      <c r="K213" s="301"/>
    </row>
    <row r="214" spans="2:11">
      <c r="B214" s="301"/>
      <c r="C214" s="301"/>
      <c r="D214" s="301"/>
      <c r="E214" s="301"/>
      <c r="F214" s="301"/>
      <c r="G214" s="301"/>
      <c r="H214" s="301"/>
      <c r="I214" s="301"/>
      <c r="J214" s="301"/>
      <c r="K214" s="301"/>
    </row>
    <row r="215" spans="2:11">
      <c r="B215" s="301"/>
      <c r="C215" s="301"/>
      <c r="D215" s="301"/>
      <c r="E215" s="301"/>
      <c r="F215" s="301"/>
      <c r="G215" s="301"/>
      <c r="H215" s="301"/>
      <c r="I215" s="301"/>
      <c r="J215" s="301"/>
      <c r="K215" s="301"/>
    </row>
    <row r="216" spans="2:11">
      <c r="B216" s="301"/>
      <c r="C216" s="301"/>
      <c r="D216" s="301"/>
      <c r="E216" s="301"/>
      <c r="F216" s="301"/>
      <c r="G216" s="301"/>
      <c r="H216" s="301"/>
      <c r="I216" s="301"/>
      <c r="J216" s="301"/>
      <c r="K216" s="301"/>
    </row>
    <row r="217" spans="2:11">
      <c r="B217" s="301"/>
      <c r="C217" s="301"/>
      <c r="D217" s="301"/>
      <c r="E217" s="301"/>
      <c r="F217" s="301"/>
      <c r="G217" s="301"/>
      <c r="H217" s="301"/>
      <c r="I217" s="301"/>
      <c r="J217" s="301"/>
      <c r="K217" s="301"/>
    </row>
    <row r="218" spans="2:11">
      <c r="B218" s="301"/>
      <c r="C218" s="301"/>
      <c r="D218" s="301"/>
      <c r="E218" s="301"/>
      <c r="F218" s="301"/>
      <c r="G218" s="301"/>
      <c r="H218" s="301"/>
      <c r="I218" s="301"/>
      <c r="J218" s="301"/>
      <c r="K218" s="301"/>
    </row>
    <row r="219" spans="2:11">
      <c r="B219" s="301"/>
      <c r="C219" s="301"/>
      <c r="D219" s="301"/>
      <c r="E219" s="301"/>
      <c r="F219" s="301"/>
      <c r="G219" s="301"/>
      <c r="H219" s="301"/>
      <c r="I219" s="301"/>
      <c r="J219" s="301"/>
      <c r="K219" s="301"/>
    </row>
    <row r="220" spans="2:11">
      <c r="B220" s="301"/>
      <c r="C220" s="301"/>
      <c r="D220" s="301"/>
      <c r="E220" s="301"/>
      <c r="F220" s="301"/>
      <c r="G220" s="301"/>
      <c r="H220" s="301"/>
      <c r="I220" s="301"/>
      <c r="J220" s="301"/>
      <c r="K220" s="301"/>
    </row>
    <row r="221" spans="2:11">
      <c r="B221" s="301"/>
      <c r="C221" s="301"/>
      <c r="D221" s="301"/>
      <c r="E221" s="301"/>
      <c r="F221" s="301"/>
      <c r="G221" s="301"/>
      <c r="H221" s="301"/>
      <c r="I221" s="301"/>
      <c r="J221" s="301"/>
      <c r="K221" s="301"/>
    </row>
    <row r="222" spans="2:11">
      <c r="B222" s="301"/>
      <c r="C222" s="301"/>
      <c r="D222" s="301"/>
      <c r="E222" s="301"/>
      <c r="F222" s="301"/>
      <c r="G222" s="301"/>
      <c r="H222" s="301"/>
      <c r="I222" s="301"/>
      <c r="J222" s="301"/>
      <c r="K222" s="301"/>
    </row>
    <row r="223" spans="2:11">
      <c r="B223" s="301"/>
      <c r="C223" s="301"/>
      <c r="D223" s="301"/>
      <c r="E223" s="301"/>
      <c r="F223" s="301"/>
      <c r="G223" s="301"/>
      <c r="H223" s="301"/>
      <c r="I223" s="301"/>
      <c r="J223" s="301"/>
      <c r="K223" s="301"/>
    </row>
    <row r="224" spans="2:11">
      <c r="B224" s="301"/>
      <c r="C224" s="301"/>
      <c r="D224" s="301"/>
      <c r="E224" s="301"/>
      <c r="F224" s="301"/>
      <c r="G224" s="301"/>
      <c r="H224" s="301"/>
      <c r="I224" s="301"/>
      <c r="J224" s="301"/>
      <c r="K224" s="301"/>
    </row>
    <row r="225" spans="2:11">
      <c r="B225" s="301"/>
      <c r="C225" s="301"/>
      <c r="D225" s="301"/>
      <c r="E225" s="301"/>
      <c r="F225" s="301"/>
      <c r="G225" s="301"/>
      <c r="H225" s="301"/>
      <c r="I225" s="301"/>
      <c r="J225" s="301"/>
      <c r="K225" s="301"/>
    </row>
    <row r="226" spans="2:11">
      <c r="B226" s="301"/>
      <c r="C226" s="301"/>
      <c r="D226" s="301"/>
      <c r="E226" s="301"/>
      <c r="F226" s="301"/>
      <c r="G226" s="301"/>
      <c r="H226" s="301"/>
      <c r="I226" s="301"/>
      <c r="J226" s="301"/>
      <c r="K226" s="301"/>
    </row>
    <row r="227" spans="2:11">
      <c r="B227" s="301"/>
      <c r="C227" s="301"/>
      <c r="D227" s="301"/>
      <c r="E227" s="301"/>
      <c r="F227" s="301"/>
      <c r="G227" s="301"/>
      <c r="H227" s="301"/>
      <c r="I227" s="301"/>
      <c r="J227" s="301"/>
      <c r="K227" s="301"/>
    </row>
    <row r="228" spans="2:11">
      <c r="B228" s="301"/>
      <c r="C228" s="301"/>
      <c r="D228" s="301"/>
      <c r="E228" s="301"/>
      <c r="F228" s="301"/>
      <c r="G228" s="301"/>
      <c r="H228" s="301"/>
      <c r="I228" s="301"/>
      <c r="J228" s="301"/>
      <c r="K228" s="301"/>
    </row>
    <row r="229" spans="2:11">
      <c r="B229" s="301"/>
      <c r="C229" s="301"/>
      <c r="D229" s="301"/>
      <c r="E229" s="301"/>
      <c r="F229" s="301"/>
      <c r="G229" s="301"/>
      <c r="H229" s="301"/>
      <c r="I229" s="301"/>
      <c r="J229" s="301"/>
      <c r="K229" s="301"/>
    </row>
    <row r="230" spans="2:11">
      <c r="B230" s="301"/>
      <c r="C230" s="301"/>
      <c r="D230" s="301"/>
      <c r="E230" s="301"/>
      <c r="F230" s="301"/>
      <c r="G230" s="301"/>
      <c r="H230" s="301"/>
      <c r="I230" s="301"/>
      <c r="J230" s="301"/>
      <c r="K230" s="301"/>
    </row>
    <row r="231" spans="2:11">
      <c r="B231" s="301"/>
      <c r="C231" s="301"/>
      <c r="D231" s="301"/>
      <c r="E231" s="301"/>
      <c r="F231" s="301"/>
      <c r="G231" s="301"/>
      <c r="H231" s="301"/>
      <c r="I231" s="301"/>
      <c r="J231" s="301"/>
      <c r="K231" s="301"/>
    </row>
    <row r="232" spans="2:11">
      <c r="B232" s="301"/>
      <c r="C232" s="301"/>
      <c r="D232" s="301"/>
      <c r="E232" s="301"/>
      <c r="F232" s="301"/>
      <c r="G232" s="301"/>
      <c r="H232" s="301"/>
      <c r="I232" s="301"/>
      <c r="J232" s="301"/>
      <c r="K232" s="301"/>
    </row>
    <row r="233" spans="2:11">
      <c r="B233" s="301"/>
      <c r="C233" s="301"/>
      <c r="D233" s="301"/>
      <c r="E233" s="301"/>
      <c r="F233" s="301"/>
      <c r="G233" s="301"/>
      <c r="H233" s="301"/>
      <c r="I233" s="301"/>
      <c r="J233" s="301"/>
      <c r="K233" s="301"/>
    </row>
    <row r="234" spans="2:11">
      <c r="B234" s="301"/>
      <c r="C234" s="301"/>
      <c r="D234" s="301"/>
      <c r="E234" s="301"/>
      <c r="F234" s="301"/>
      <c r="G234" s="301"/>
      <c r="H234" s="301"/>
      <c r="I234" s="301"/>
      <c r="J234" s="301"/>
      <c r="K234" s="301"/>
    </row>
    <row r="235" spans="2:11">
      <c r="B235" s="301"/>
      <c r="C235" s="301"/>
      <c r="D235" s="301"/>
      <c r="E235" s="301"/>
      <c r="F235" s="301"/>
      <c r="G235" s="301"/>
      <c r="H235" s="301"/>
      <c r="I235" s="301"/>
      <c r="J235" s="301"/>
      <c r="K235" s="301"/>
    </row>
    <row r="236" spans="2:11">
      <c r="B236" s="301"/>
      <c r="C236" s="301"/>
      <c r="D236" s="301"/>
      <c r="E236" s="301"/>
      <c r="F236" s="301"/>
      <c r="G236" s="301"/>
      <c r="H236" s="301"/>
      <c r="I236" s="301"/>
      <c r="J236" s="301"/>
      <c r="K236" s="301"/>
    </row>
    <row r="237" spans="2:11">
      <c r="B237" s="301"/>
      <c r="C237" s="301"/>
      <c r="D237" s="301"/>
      <c r="E237" s="301"/>
      <c r="F237" s="301"/>
      <c r="G237" s="301"/>
      <c r="H237" s="301"/>
      <c r="I237" s="301"/>
      <c r="J237" s="301"/>
      <c r="K237" s="301"/>
    </row>
    <row r="238" spans="2:11">
      <c r="B238" s="301"/>
      <c r="C238" s="301"/>
      <c r="D238" s="301"/>
      <c r="E238" s="301"/>
      <c r="F238" s="301"/>
      <c r="G238" s="301"/>
      <c r="H238" s="301"/>
      <c r="I238" s="301"/>
      <c r="J238" s="301"/>
      <c r="K238" s="301"/>
    </row>
    <row r="239" spans="2:11">
      <c r="B239" s="301"/>
      <c r="C239" s="301"/>
      <c r="D239" s="301"/>
      <c r="E239" s="301"/>
      <c r="F239" s="301"/>
      <c r="G239" s="301"/>
      <c r="H239" s="301"/>
      <c r="I239" s="301"/>
      <c r="J239" s="301"/>
      <c r="K239" s="301"/>
    </row>
    <row r="240" spans="2:11">
      <c r="B240" s="301"/>
      <c r="C240" s="301"/>
      <c r="D240" s="301"/>
      <c r="E240" s="301"/>
      <c r="F240" s="301"/>
      <c r="G240" s="301"/>
      <c r="H240" s="301"/>
      <c r="I240" s="301"/>
      <c r="J240" s="301"/>
      <c r="K240" s="301"/>
    </row>
    <row r="241" spans="2:11">
      <c r="B241" s="301"/>
      <c r="C241" s="301"/>
      <c r="D241" s="301"/>
      <c r="E241" s="301"/>
      <c r="F241" s="301"/>
      <c r="G241" s="301"/>
      <c r="H241" s="301"/>
      <c r="I241" s="301"/>
      <c r="J241" s="301"/>
      <c r="K241" s="301"/>
    </row>
    <row r="242" spans="2:11">
      <c r="B242" s="301"/>
      <c r="C242" s="301"/>
      <c r="D242" s="301"/>
      <c r="E242" s="301"/>
      <c r="F242" s="301"/>
      <c r="G242" s="301"/>
      <c r="H242" s="301"/>
      <c r="I242" s="301"/>
      <c r="J242" s="301"/>
      <c r="K242" s="301"/>
    </row>
    <row r="243" spans="2:11">
      <c r="B243" s="301"/>
      <c r="C243" s="301"/>
      <c r="D243" s="301"/>
      <c r="E243" s="301"/>
      <c r="F243" s="301"/>
      <c r="G243" s="301"/>
      <c r="H243" s="301"/>
      <c r="I243" s="301"/>
      <c r="J243" s="301"/>
      <c r="K243" s="301"/>
    </row>
    <row r="244" spans="2:11">
      <c r="B244" s="301"/>
      <c r="C244" s="301"/>
      <c r="D244" s="301"/>
      <c r="E244" s="301"/>
      <c r="F244" s="301"/>
      <c r="G244" s="301"/>
      <c r="H244" s="301"/>
      <c r="I244" s="301"/>
      <c r="J244" s="301"/>
      <c r="K244" s="301"/>
    </row>
    <row r="245" spans="2:11">
      <c r="B245" s="301"/>
      <c r="C245" s="301"/>
      <c r="D245" s="301"/>
      <c r="E245" s="301"/>
      <c r="F245" s="301"/>
      <c r="G245" s="301"/>
      <c r="H245" s="301"/>
      <c r="I245" s="301"/>
      <c r="J245" s="301"/>
      <c r="K245" s="301"/>
    </row>
    <row r="246" spans="2:11">
      <c r="B246" s="301"/>
      <c r="C246" s="301"/>
      <c r="D246" s="301"/>
      <c r="E246" s="301"/>
      <c r="F246" s="301"/>
      <c r="G246" s="301"/>
      <c r="H246" s="301"/>
      <c r="I246" s="301"/>
      <c r="J246" s="301"/>
      <c r="K246" s="301"/>
    </row>
    <row r="247" spans="2:11">
      <c r="B247" s="301"/>
      <c r="C247" s="301"/>
      <c r="D247" s="301"/>
      <c r="E247" s="301"/>
      <c r="F247" s="301"/>
      <c r="G247" s="301"/>
      <c r="H247" s="301"/>
      <c r="I247" s="301"/>
      <c r="J247" s="301"/>
      <c r="K247" s="301"/>
    </row>
    <row r="248" spans="2:11">
      <c r="B248" s="301"/>
      <c r="C248" s="301"/>
      <c r="D248" s="301"/>
      <c r="E248" s="301"/>
      <c r="F248" s="301"/>
      <c r="G248" s="301"/>
      <c r="H248" s="301"/>
      <c r="I248" s="301"/>
      <c r="J248" s="301"/>
      <c r="K248" s="301"/>
    </row>
    <row r="249" spans="2:11">
      <c r="B249" s="301"/>
      <c r="C249" s="301"/>
      <c r="D249" s="301"/>
      <c r="E249" s="301"/>
      <c r="F249" s="301"/>
      <c r="G249" s="301"/>
      <c r="H249" s="301"/>
      <c r="I249" s="301"/>
      <c r="J249" s="301"/>
      <c r="K249" s="301"/>
    </row>
    <row r="250" spans="2:11">
      <c r="B250" s="301"/>
      <c r="C250" s="301"/>
      <c r="D250" s="301"/>
      <c r="E250" s="301"/>
      <c r="F250" s="301"/>
      <c r="G250" s="301"/>
      <c r="H250" s="301"/>
      <c r="I250" s="301"/>
      <c r="J250" s="301"/>
      <c r="K250" s="301"/>
    </row>
    <row r="251" spans="2:11">
      <c r="B251" s="301"/>
      <c r="C251" s="301"/>
      <c r="D251" s="301"/>
      <c r="E251" s="301"/>
      <c r="F251" s="301"/>
      <c r="G251" s="301"/>
      <c r="H251" s="301"/>
      <c r="I251" s="301"/>
      <c r="J251" s="301"/>
      <c r="K251" s="301"/>
    </row>
    <row r="252" spans="2:11">
      <c r="B252" s="301"/>
      <c r="C252" s="301"/>
      <c r="D252" s="301"/>
      <c r="E252" s="301"/>
      <c r="F252" s="301"/>
      <c r="G252" s="301"/>
      <c r="H252" s="301"/>
      <c r="I252" s="301"/>
      <c r="J252" s="301"/>
      <c r="K252" s="301"/>
    </row>
    <row r="253" spans="2:11">
      <c r="B253" s="301"/>
      <c r="C253" s="301"/>
      <c r="D253" s="301"/>
      <c r="E253" s="301"/>
      <c r="F253" s="301"/>
      <c r="G253" s="301"/>
      <c r="H253" s="301"/>
      <c r="I253" s="301"/>
      <c r="J253" s="301"/>
      <c r="K253" s="301"/>
    </row>
    <row r="254" spans="2:11">
      <c r="B254" s="301"/>
      <c r="C254" s="301"/>
      <c r="D254" s="301"/>
      <c r="E254" s="301"/>
      <c r="F254" s="301"/>
      <c r="G254" s="301"/>
      <c r="H254" s="301"/>
      <c r="I254" s="301"/>
      <c r="J254" s="301"/>
      <c r="K254" s="301"/>
    </row>
    <row r="255" spans="2:11">
      <c r="B255" s="301"/>
      <c r="C255" s="301"/>
      <c r="D255" s="301"/>
      <c r="E255" s="301"/>
      <c r="F255" s="301"/>
      <c r="G255" s="301"/>
      <c r="H255" s="301"/>
      <c r="I255" s="301"/>
      <c r="J255" s="301"/>
      <c r="K255" s="301"/>
    </row>
    <row r="256" spans="2:11">
      <c r="B256" s="301"/>
      <c r="C256" s="301"/>
      <c r="D256" s="301"/>
      <c r="E256" s="301"/>
      <c r="F256" s="301"/>
      <c r="G256" s="301"/>
      <c r="H256" s="301"/>
      <c r="I256" s="301"/>
      <c r="J256" s="301"/>
      <c r="K256" s="301"/>
    </row>
    <row r="257" spans="2:11">
      <c r="B257" s="301"/>
      <c r="C257" s="301"/>
      <c r="D257" s="301"/>
      <c r="E257" s="301"/>
      <c r="F257" s="301"/>
      <c r="G257" s="301"/>
      <c r="H257" s="301"/>
      <c r="I257" s="301"/>
      <c r="J257" s="301"/>
      <c r="K257" s="301"/>
    </row>
    <row r="258" spans="2:11">
      <c r="B258" s="301"/>
      <c r="C258" s="301"/>
      <c r="D258" s="301"/>
      <c r="E258" s="301"/>
      <c r="F258" s="301"/>
      <c r="G258" s="301"/>
      <c r="H258" s="301"/>
      <c r="I258" s="301"/>
      <c r="J258" s="301"/>
      <c r="K258" s="301"/>
    </row>
    <row r="259" spans="2:11">
      <c r="B259" s="301"/>
      <c r="C259" s="301"/>
      <c r="D259" s="301"/>
      <c r="E259" s="301"/>
      <c r="F259" s="301"/>
      <c r="G259" s="301"/>
      <c r="H259" s="301"/>
      <c r="I259" s="301"/>
      <c r="J259" s="301"/>
      <c r="K259" s="301"/>
    </row>
    <row r="260" spans="2:11">
      <c r="B260" s="301"/>
      <c r="C260" s="301"/>
      <c r="D260" s="301"/>
      <c r="E260" s="301"/>
      <c r="F260" s="301"/>
      <c r="G260" s="301"/>
      <c r="H260" s="301"/>
      <c r="I260" s="301"/>
      <c r="J260" s="301"/>
      <c r="K260" s="301"/>
    </row>
    <row r="261" spans="2:11">
      <c r="B261" s="301"/>
      <c r="C261" s="301"/>
      <c r="D261" s="301"/>
      <c r="E261" s="301"/>
      <c r="F261" s="301"/>
      <c r="G261" s="301"/>
      <c r="H261" s="301"/>
      <c r="I261" s="301"/>
      <c r="J261" s="301"/>
      <c r="K261" s="301"/>
    </row>
    <row r="262" spans="2:11">
      <c r="B262" s="301"/>
      <c r="C262" s="301"/>
      <c r="D262" s="301"/>
      <c r="E262" s="301"/>
      <c r="F262" s="301"/>
      <c r="G262" s="301"/>
      <c r="H262" s="301"/>
      <c r="I262" s="301"/>
      <c r="J262" s="301"/>
      <c r="K262" s="301"/>
    </row>
    <row r="263" spans="2:11">
      <c r="B263" s="301"/>
      <c r="C263" s="301"/>
      <c r="D263" s="301"/>
      <c r="E263" s="301"/>
      <c r="F263" s="301"/>
      <c r="G263" s="301"/>
      <c r="H263" s="301"/>
      <c r="I263" s="301"/>
      <c r="J263" s="301"/>
      <c r="K263" s="301"/>
    </row>
    <row r="264" spans="2:11">
      <c r="B264" s="301"/>
      <c r="C264" s="301"/>
      <c r="D264" s="301"/>
      <c r="E264" s="301"/>
      <c r="F264" s="301"/>
      <c r="G264" s="301"/>
      <c r="H264" s="301"/>
      <c r="I264" s="301"/>
      <c r="J264" s="301"/>
      <c r="K264" s="301"/>
    </row>
    <row r="265" spans="2:11">
      <c r="B265" s="301"/>
      <c r="C265" s="301"/>
      <c r="D265" s="301"/>
      <c r="E265" s="301"/>
      <c r="F265" s="301"/>
      <c r="G265" s="301"/>
      <c r="H265" s="301"/>
      <c r="I265" s="301"/>
      <c r="J265" s="301"/>
      <c r="K265" s="301"/>
    </row>
    <row r="266" spans="2:11">
      <c r="B266" s="301"/>
      <c r="C266" s="301"/>
      <c r="D266" s="301"/>
      <c r="E266" s="301"/>
      <c r="F266" s="301"/>
      <c r="G266" s="301"/>
      <c r="H266" s="301"/>
      <c r="I266" s="301"/>
      <c r="J266" s="301"/>
      <c r="K266" s="301"/>
    </row>
    <row r="267" spans="2:11">
      <c r="B267" s="301"/>
      <c r="C267" s="301"/>
      <c r="D267" s="301"/>
      <c r="E267" s="301"/>
      <c r="F267" s="301"/>
      <c r="G267" s="301"/>
      <c r="H267" s="301"/>
      <c r="I267" s="301"/>
      <c r="J267" s="301"/>
      <c r="K267" s="301"/>
    </row>
    <row r="268" spans="2:11">
      <c r="B268" s="301"/>
      <c r="C268" s="301"/>
      <c r="D268" s="301"/>
      <c r="E268" s="301"/>
      <c r="F268" s="301"/>
      <c r="G268" s="301"/>
      <c r="H268" s="301"/>
      <c r="I268" s="301"/>
      <c r="J268" s="301"/>
      <c r="K268" s="301"/>
    </row>
    <row r="269" spans="2:11">
      <c r="B269" s="301"/>
      <c r="C269" s="301"/>
      <c r="D269" s="301"/>
      <c r="E269" s="301"/>
      <c r="F269" s="301"/>
      <c r="G269" s="301"/>
      <c r="H269" s="301"/>
      <c r="I269" s="301"/>
      <c r="J269" s="301"/>
      <c r="K269" s="301"/>
    </row>
    <row r="270" spans="2:11">
      <c r="B270" s="301"/>
      <c r="C270" s="301"/>
      <c r="D270" s="301"/>
      <c r="E270" s="301"/>
      <c r="F270" s="301"/>
      <c r="G270" s="301"/>
      <c r="H270" s="301"/>
      <c r="I270" s="301"/>
      <c r="J270" s="301"/>
      <c r="K270" s="301"/>
    </row>
    <row r="271" spans="2:11">
      <c r="B271" s="301"/>
      <c r="C271" s="301"/>
      <c r="D271" s="301"/>
      <c r="E271" s="301"/>
      <c r="F271" s="301"/>
      <c r="G271" s="301"/>
      <c r="H271" s="301"/>
      <c r="I271" s="301"/>
      <c r="J271" s="301"/>
      <c r="K271" s="301"/>
    </row>
    <row r="272" spans="2:11">
      <c r="B272" s="301"/>
      <c r="C272" s="301"/>
      <c r="D272" s="301"/>
      <c r="E272" s="301"/>
      <c r="F272" s="301"/>
      <c r="G272" s="301"/>
      <c r="H272" s="301"/>
      <c r="I272" s="301"/>
      <c r="J272" s="301"/>
      <c r="K272" s="301"/>
    </row>
    <row r="273" spans="2:11">
      <c r="B273" s="301"/>
      <c r="C273" s="301"/>
      <c r="D273" s="301"/>
      <c r="E273" s="301"/>
      <c r="F273" s="301"/>
      <c r="G273" s="301"/>
      <c r="H273" s="301"/>
      <c r="I273" s="301"/>
      <c r="J273" s="301"/>
      <c r="K273" s="301"/>
    </row>
    <row r="274" spans="2:11">
      <c r="B274" s="301"/>
      <c r="C274" s="301"/>
      <c r="D274" s="301"/>
      <c r="E274" s="301"/>
      <c r="F274" s="301"/>
      <c r="G274" s="301"/>
      <c r="H274" s="301"/>
      <c r="I274" s="301"/>
      <c r="J274" s="301"/>
      <c r="K274" s="301"/>
    </row>
    <row r="275" spans="2:11">
      <c r="B275" s="301"/>
      <c r="C275" s="301"/>
      <c r="D275" s="301"/>
      <c r="E275" s="301"/>
      <c r="F275" s="301"/>
      <c r="G275" s="301"/>
      <c r="H275" s="301"/>
      <c r="I275" s="301"/>
      <c r="J275" s="301"/>
      <c r="K275" s="301"/>
    </row>
    <row r="276" spans="2:11">
      <c r="B276" s="314"/>
      <c r="C276" s="314"/>
      <c r="D276" s="314"/>
      <c r="E276" s="314"/>
      <c r="F276" s="314"/>
      <c r="G276" s="314"/>
      <c r="H276" s="314"/>
      <c r="I276" s="314"/>
      <c r="J276" s="314"/>
      <c r="K276" s="314"/>
    </row>
    <row r="277" spans="2:11">
      <c r="B277" s="314"/>
      <c r="C277" s="314"/>
      <c r="D277" s="314"/>
      <c r="E277" s="314"/>
      <c r="F277" s="314"/>
      <c r="G277" s="314"/>
      <c r="H277" s="314"/>
      <c r="I277" s="314"/>
      <c r="J277" s="314"/>
      <c r="K277" s="314"/>
    </row>
    <row r="278" spans="2:11">
      <c r="B278" s="314"/>
      <c r="C278" s="314"/>
      <c r="D278" s="314"/>
      <c r="E278" s="314"/>
      <c r="F278" s="314"/>
      <c r="G278" s="314"/>
      <c r="H278" s="314"/>
      <c r="I278" s="314"/>
      <c r="J278" s="314"/>
      <c r="K278" s="314"/>
    </row>
    <row r="279" spans="2:11">
      <c r="B279" s="314"/>
      <c r="C279" s="314"/>
      <c r="D279" s="314"/>
      <c r="E279" s="314"/>
      <c r="F279" s="314"/>
      <c r="G279" s="314"/>
      <c r="H279" s="314"/>
      <c r="I279" s="314"/>
      <c r="J279" s="314"/>
      <c r="K279" s="314"/>
    </row>
    <row r="280" spans="2:11">
      <c r="B280" s="314"/>
      <c r="C280" s="314"/>
      <c r="D280" s="314"/>
      <c r="E280" s="314"/>
      <c r="F280" s="314"/>
      <c r="G280" s="314"/>
      <c r="H280" s="314"/>
      <c r="I280" s="314"/>
      <c r="J280" s="314"/>
      <c r="K280" s="314"/>
    </row>
    <row r="281" spans="2:11">
      <c r="B281" s="314"/>
      <c r="C281" s="314"/>
      <c r="D281" s="314"/>
      <c r="E281" s="314"/>
      <c r="F281" s="314"/>
      <c r="G281" s="314"/>
      <c r="H281" s="314"/>
      <c r="I281" s="314"/>
      <c r="J281" s="314"/>
      <c r="K281" s="314"/>
    </row>
    <row r="282" spans="2:11">
      <c r="B282" s="314"/>
      <c r="C282" s="314"/>
      <c r="D282" s="314"/>
      <c r="E282" s="314"/>
      <c r="F282" s="314"/>
      <c r="G282" s="314"/>
      <c r="H282" s="314"/>
      <c r="I282" s="314"/>
      <c r="J282" s="314"/>
      <c r="K282" s="314"/>
    </row>
    <row r="283" spans="2:11">
      <c r="B283" s="314"/>
      <c r="C283" s="314"/>
      <c r="D283" s="314"/>
      <c r="E283" s="314"/>
      <c r="F283" s="314"/>
      <c r="G283" s="314"/>
      <c r="H283" s="314"/>
      <c r="I283" s="314"/>
      <c r="J283" s="314"/>
      <c r="K283" s="314"/>
    </row>
    <row r="284" spans="2:11">
      <c r="B284" s="314"/>
      <c r="C284" s="314"/>
      <c r="D284" s="314"/>
      <c r="E284" s="314"/>
      <c r="F284" s="314"/>
      <c r="G284" s="314"/>
      <c r="H284" s="314"/>
      <c r="I284" s="314"/>
      <c r="J284" s="314"/>
      <c r="K284" s="314"/>
    </row>
    <row r="285" spans="2:11">
      <c r="B285" s="314"/>
      <c r="C285" s="314"/>
      <c r="D285" s="314"/>
      <c r="E285" s="314"/>
      <c r="F285" s="314"/>
      <c r="G285" s="314"/>
      <c r="H285" s="314"/>
      <c r="I285" s="314"/>
      <c r="J285" s="314"/>
      <c r="K285" s="314"/>
    </row>
    <row r="286" spans="2:11">
      <c r="B286" s="314"/>
      <c r="C286" s="314"/>
      <c r="D286" s="314"/>
      <c r="E286" s="314"/>
      <c r="F286" s="314"/>
      <c r="G286" s="314"/>
      <c r="H286" s="314"/>
      <c r="I286" s="314"/>
      <c r="J286" s="314"/>
      <c r="K286" s="314"/>
    </row>
    <row r="287" spans="2:11">
      <c r="B287" s="314"/>
      <c r="C287" s="314"/>
      <c r="D287" s="314"/>
      <c r="E287" s="314"/>
      <c r="F287" s="314"/>
      <c r="G287" s="314"/>
      <c r="H287" s="314"/>
      <c r="I287" s="314"/>
      <c r="J287" s="314"/>
      <c r="K287" s="314"/>
    </row>
    <row r="288" spans="2:11">
      <c r="B288" s="314"/>
      <c r="C288" s="314"/>
      <c r="D288" s="314"/>
      <c r="E288" s="314"/>
      <c r="F288" s="314"/>
      <c r="G288" s="314"/>
      <c r="H288" s="314"/>
      <c r="I288" s="314"/>
      <c r="J288" s="314"/>
      <c r="K288" s="314"/>
    </row>
    <row r="289" spans="2:11">
      <c r="B289" s="314"/>
      <c r="C289" s="314"/>
      <c r="D289" s="314"/>
      <c r="E289" s="314"/>
      <c r="F289" s="314"/>
      <c r="G289" s="314"/>
      <c r="H289" s="314"/>
      <c r="I289" s="314"/>
      <c r="J289" s="314"/>
      <c r="K289" s="314"/>
    </row>
    <row r="290" spans="2:11">
      <c r="B290" s="314"/>
      <c r="C290" s="314"/>
      <c r="D290" s="314"/>
      <c r="E290" s="314"/>
      <c r="F290" s="314"/>
      <c r="G290" s="314"/>
      <c r="H290" s="314"/>
      <c r="I290" s="314"/>
      <c r="J290" s="314"/>
      <c r="K290" s="314"/>
    </row>
    <row r="291" spans="2:11">
      <c r="B291" s="314"/>
      <c r="C291" s="314"/>
      <c r="D291" s="314"/>
      <c r="E291" s="314"/>
      <c r="F291" s="314"/>
      <c r="G291" s="314"/>
      <c r="H291" s="314"/>
      <c r="I291" s="314"/>
      <c r="J291" s="314"/>
      <c r="K291" s="314"/>
    </row>
    <row r="292" spans="2:11">
      <c r="B292" s="314"/>
      <c r="C292" s="314"/>
      <c r="D292" s="314"/>
      <c r="E292" s="314"/>
      <c r="F292" s="314"/>
      <c r="G292" s="314"/>
      <c r="H292" s="314"/>
      <c r="I292" s="314"/>
      <c r="J292" s="314"/>
      <c r="K292" s="314"/>
    </row>
    <row r="293" spans="2:11">
      <c r="B293" s="314"/>
      <c r="C293" s="314"/>
      <c r="D293" s="314"/>
      <c r="E293" s="314"/>
      <c r="F293" s="314"/>
      <c r="G293" s="314"/>
      <c r="H293" s="314"/>
      <c r="I293" s="314"/>
      <c r="J293" s="314"/>
      <c r="K293" s="314"/>
    </row>
    <row r="294" spans="2:11">
      <c r="B294" s="314"/>
      <c r="C294" s="314"/>
      <c r="D294" s="314"/>
      <c r="E294" s="314"/>
      <c r="F294" s="314"/>
      <c r="G294" s="314"/>
      <c r="H294" s="314"/>
      <c r="I294" s="314"/>
      <c r="J294" s="314"/>
      <c r="K294" s="314"/>
    </row>
    <row r="295" spans="2:11">
      <c r="B295" s="314"/>
      <c r="C295" s="314"/>
      <c r="D295" s="314"/>
      <c r="E295" s="314"/>
      <c r="F295" s="314"/>
      <c r="G295" s="314"/>
      <c r="H295" s="314"/>
      <c r="I295" s="314"/>
      <c r="J295" s="314"/>
      <c r="K295" s="314"/>
    </row>
    <row r="296" spans="2:11">
      <c r="B296" s="314"/>
      <c r="C296" s="314"/>
      <c r="D296" s="314"/>
      <c r="E296" s="314"/>
      <c r="F296" s="314"/>
      <c r="G296" s="314"/>
      <c r="H296" s="314"/>
      <c r="I296" s="314"/>
      <c r="J296" s="314"/>
      <c r="K296" s="314"/>
    </row>
    <row r="297" spans="2:11">
      <c r="B297" s="314"/>
      <c r="C297" s="314"/>
      <c r="D297" s="314"/>
      <c r="E297" s="314"/>
      <c r="F297" s="314"/>
      <c r="G297" s="314"/>
      <c r="H297" s="314"/>
      <c r="I297" s="314"/>
      <c r="J297" s="314"/>
      <c r="K297" s="314"/>
    </row>
    <row r="298" spans="2:11">
      <c r="B298" s="314"/>
      <c r="C298" s="314"/>
      <c r="D298" s="314"/>
      <c r="E298" s="314"/>
      <c r="F298" s="314"/>
      <c r="G298" s="314"/>
      <c r="H298" s="314"/>
      <c r="I298" s="314"/>
      <c r="J298" s="314"/>
      <c r="K298" s="314"/>
    </row>
    <row r="299" spans="2:11">
      <c r="B299" s="314"/>
      <c r="C299" s="314"/>
      <c r="D299" s="314"/>
      <c r="E299" s="314"/>
      <c r="F299" s="314"/>
      <c r="G299" s="314"/>
      <c r="H299" s="314"/>
      <c r="I299" s="314"/>
      <c r="J299" s="314"/>
      <c r="K299" s="314"/>
    </row>
    <row r="300" spans="2:11">
      <c r="B300" s="314"/>
      <c r="C300" s="314"/>
      <c r="D300" s="314"/>
      <c r="E300" s="314"/>
      <c r="F300" s="314"/>
      <c r="G300" s="314"/>
      <c r="H300" s="314"/>
      <c r="I300" s="314"/>
      <c r="J300" s="314"/>
      <c r="K300" s="314"/>
    </row>
    <row r="301" spans="2:11">
      <c r="B301" s="314"/>
      <c r="C301" s="314"/>
      <c r="D301" s="314"/>
      <c r="E301" s="314"/>
      <c r="F301" s="314"/>
      <c r="G301" s="314"/>
      <c r="H301" s="314"/>
      <c r="I301" s="314"/>
      <c r="J301" s="314"/>
      <c r="K301" s="314"/>
    </row>
    <row r="302" spans="2:11">
      <c r="B302" s="314"/>
      <c r="C302" s="314"/>
      <c r="D302" s="314"/>
      <c r="E302" s="314"/>
      <c r="F302" s="314"/>
      <c r="G302" s="314"/>
      <c r="H302" s="314"/>
      <c r="I302" s="314"/>
      <c r="J302" s="314"/>
      <c r="K302" s="314"/>
    </row>
    <row r="303" spans="2:11">
      <c r="B303" s="314"/>
      <c r="C303" s="314"/>
      <c r="D303" s="314"/>
      <c r="E303" s="314"/>
      <c r="F303" s="314"/>
      <c r="G303" s="314"/>
      <c r="H303" s="314"/>
      <c r="I303" s="314"/>
      <c r="J303" s="314"/>
      <c r="K303" s="314"/>
    </row>
    <row r="304" spans="2:11">
      <c r="B304" s="314"/>
      <c r="C304" s="314"/>
      <c r="D304" s="314"/>
      <c r="E304" s="314"/>
      <c r="F304" s="314"/>
      <c r="G304" s="314"/>
      <c r="H304" s="314"/>
      <c r="I304" s="314"/>
      <c r="J304" s="314"/>
      <c r="K304" s="314"/>
    </row>
    <row r="305" spans="2:11">
      <c r="B305" s="314"/>
      <c r="C305" s="314"/>
      <c r="D305" s="314"/>
      <c r="E305" s="314"/>
      <c r="F305" s="314"/>
      <c r="G305" s="314"/>
      <c r="H305" s="314"/>
      <c r="I305" s="314"/>
      <c r="J305" s="314"/>
      <c r="K305" s="314"/>
    </row>
    <row r="306" spans="2:11">
      <c r="B306" s="314"/>
      <c r="C306" s="314"/>
      <c r="D306" s="314"/>
      <c r="E306" s="314"/>
      <c r="F306" s="314"/>
      <c r="G306" s="314"/>
      <c r="H306" s="314"/>
      <c r="I306" s="314"/>
      <c r="J306" s="314"/>
      <c r="K306" s="314"/>
    </row>
    <row r="307" spans="2:11">
      <c r="B307" s="314"/>
      <c r="C307" s="314"/>
      <c r="D307" s="314"/>
      <c r="E307" s="314"/>
      <c r="F307" s="314"/>
      <c r="G307" s="314"/>
      <c r="H307" s="314"/>
      <c r="I307" s="314"/>
      <c r="J307" s="314"/>
      <c r="K307" s="314"/>
    </row>
    <row r="308" spans="2:11">
      <c r="B308" s="314"/>
      <c r="C308" s="314"/>
      <c r="D308" s="314"/>
      <c r="E308" s="314"/>
      <c r="F308" s="314"/>
      <c r="G308" s="314"/>
      <c r="H308" s="314"/>
      <c r="I308" s="314"/>
      <c r="J308" s="314"/>
      <c r="K308" s="314"/>
    </row>
    <row r="309" spans="2:11">
      <c r="B309" s="314"/>
      <c r="C309" s="314"/>
      <c r="D309" s="314"/>
      <c r="E309" s="314"/>
      <c r="F309" s="314"/>
      <c r="G309" s="314"/>
      <c r="H309" s="314"/>
      <c r="I309" s="314"/>
      <c r="J309" s="314"/>
      <c r="K309" s="314"/>
    </row>
    <row r="310" spans="2:11">
      <c r="B310" s="314"/>
      <c r="C310" s="314"/>
      <c r="D310" s="314"/>
      <c r="E310" s="314"/>
      <c r="F310" s="314"/>
      <c r="G310" s="314"/>
      <c r="H310" s="314"/>
      <c r="I310" s="314"/>
      <c r="J310" s="314"/>
      <c r="K310" s="314"/>
    </row>
    <row r="311" spans="2:11">
      <c r="B311" s="314"/>
      <c r="C311" s="314"/>
      <c r="D311" s="314"/>
      <c r="E311" s="314"/>
      <c r="F311" s="314"/>
      <c r="G311" s="314"/>
      <c r="H311" s="314"/>
      <c r="I311" s="314"/>
      <c r="J311" s="314"/>
      <c r="K311" s="314"/>
    </row>
    <row r="312" spans="2:11">
      <c r="B312" s="314"/>
      <c r="C312" s="314"/>
      <c r="D312" s="314"/>
      <c r="E312" s="314"/>
      <c r="F312" s="314"/>
      <c r="G312" s="314"/>
      <c r="H312" s="314"/>
      <c r="I312" s="314"/>
      <c r="J312" s="314"/>
      <c r="K312" s="314"/>
    </row>
    <row r="313" spans="2:11">
      <c r="B313" s="314"/>
      <c r="C313" s="314"/>
      <c r="D313" s="314"/>
      <c r="E313" s="314"/>
      <c r="F313" s="314"/>
      <c r="G313" s="314"/>
      <c r="H313" s="314"/>
      <c r="I313" s="314"/>
      <c r="J313" s="314"/>
      <c r="K313" s="314"/>
    </row>
    <row r="314" spans="2:11">
      <c r="B314" s="314"/>
      <c r="C314" s="314"/>
      <c r="D314" s="314"/>
      <c r="E314" s="314"/>
      <c r="F314" s="314"/>
      <c r="G314" s="314"/>
      <c r="H314" s="314"/>
      <c r="I314" s="314"/>
      <c r="J314" s="314"/>
      <c r="K314" s="314"/>
    </row>
    <row r="315" spans="2:11">
      <c r="B315" s="314"/>
      <c r="C315" s="314"/>
      <c r="D315" s="314"/>
      <c r="E315" s="314"/>
      <c r="F315" s="314"/>
      <c r="G315" s="314"/>
      <c r="H315" s="314"/>
      <c r="I315" s="314"/>
      <c r="J315" s="314"/>
      <c r="K315" s="314"/>
    </row>
  </sheetData>
  <mergeCells count="50">
    <mergeCell ref="B59:J59"/>
    <mergeCell ref="B48:J48"/>
    <mergeCell ref="C49:J49"/>
    <mergeCell ref="B50:J50"/>
    <mergeCell ref="C51:J51"/>
    <mergeCell ref="B52:J52"/>
    <mergeCell ref="C53:J53"/>
    <mergeCell ref="B54:J54"/>
    <mergeCell ref="C55:J55"/>
    <mergeCell ref="B56:J56"/>
    <mergeCell ref="B57:J57"/>
    <mergeCell ref="C58:J58"/>
    <mergeCell ref="C47:J47"/>
    <mergeCell ref="I37:K37"/>
    <mergeCell ref="D38:E38"/>
    <mergeCell ref="J38:K38"/>
    <mergeCell ref="D39:I39"/>
    <mergeCell ref="B40:J40"/>
    <mergeCell ref="C41:G41"/>
    <mergeCell ref="C42:J42"/>
    <mergeCell ref="B43:J43"/>
    <mergeCell ref="C44:J44"/>
    <mergeCell ref="B45:J45"/>
    <mergeCell ref="B46:J46"/>
    <mergeCell ref="I36:K36"/>
    <mergeCell ref="A25:B25"/>
    <mergeCell ref="E25:K25"/>
    <mergeCell ref="E27:K27"/>
    <mergeCell ref="A29:B29"/>
    <mergeCell ref="E29:K29"/>
    <mergeCell ref="E31:K31"/>
    <mergeCell ref="G32:I32"/>
    <mergeCell ref="J32:K32"/>
    <mergeCell ref="B33:J33"/>
    <mergeCell ref="I34:J34"/>
    <mergeCell ref="I35:K35"/>
    <mergeCell ref="E23:F23"/>
    <mergeCell ref="A1:D1"/>
    <mergeCell ref="B2:D2"/>
    <mergeCell ref="B3:G3"/>
    <mergeCell ref="C5:D5"/>
    <mergeCell ref="C6:D6"/>
    <mergeCell ref="A8:B10"/>
    <mergeCell ref="C9:D9"/>
    <mergeCell ref="C10:D10"/>
    <mergeCell ref="C15:D15"/>
    <mergeCell ref="E18:J18"/>
    <mergeCell ref="E19:K19"/>
    <mergeCell ref="E21:K21"/>
    <mergeCell ref="A22:B22"/>
  </mergeCells>
  <printOptions horizontalCentered="1"/>
  <pageMargins left="0.23622047244094499" right="0.15748031496063" top="0.35433070866141703" bottom="0.69" header="0.38" footer="0.23622047244094499"/>
  <pageSetup paperSize="9" scale="85" orientation="portrait" errors="blank" r:id="rId1"/>
  <headerFooter alignWithMargins="0"/>
  <drawing r:id="rId2"/>
</worksheet>
</file>

<file path=xl/worksheets/sheet43.xml><?xml version="1.0" encoding="utf-8"?>
<worksheet xmlns="http://schemas.openxmlformats.org/spreadsheetml/2006/main" xmlns:r="http://schemas.openxmlformats.org/officeDocument/2006/relationships">
  <sheetPr filterMode="1">
    <tabColor rgb="FF00B050"/>
  </sheetPr>
  <dimension ref="A1:U675"/>
  <sheetViews>
    <sheetView showZeros="0" view="pageBreakPreview" zoomScaleSheetLayoutView="100" workbookViewId="0">
      <pane ySplit="3" topLeftCell="A34" activePane="bottomLeft" state="frozen"/>
      <selection activeCell="A230" sqref="A230"/>
      <selection pane="bottomLeft" activeCell="A48" sqref="A48"/>
    </sheetView>
  </sheetViews>
  <sheetFormatPr defaultColWidth="9.140625" defaultRowHeight="12.75"/>
  <cols>
    <col min="1" max="1" width="3.28515625" style="1173" customWidth="1"/>
    <col min="2" max="2" width="22.28515625" style="1173" bestFit="1" customWidth="1"/>
    <col min="3" max="5" width="7.7109375" style="1173" customWidth="1"/>
    <col min="6" max="6" width="7.7109375" style="1173" bestFit="1" customWidth="1"/>
    <col min="7" max="7" width="3.42578125" style="1173" customWidth="1"/>
    <col min="8" max="8" width="8" style="1173" customWidth="1"/>
    <col min="9" max="10" width="8.7109375" style="1173" customWidth="1"/>
    <col min="11" max="11" width="6.42578125" style="1173" bestFit="1" customWidth="1"/>
    <col min="12" max="12" width="7.140625" style="1173" customWidth="1"/>
    <col min="13" max="13" width="6.28515625" style="1173" customWidth="1"/>
    <col min="14" max="14" width="7.7109375" style="1173" customWidth="1"/>
    <col min="15" max="16" width="6.42578125" style="1173" customWidth="1"/>
    <col min="17" max="17" width="6" style="1173" customWidth="1"/>
    <col min="18" max="18" width="5.42578125" style="1173" customWidth="1"/>
    <col min="19" max="19" width="9.140625" style="1173" bestFit="1" customWidth="1"/>
    <col min="20" max="20" width="7.7109375" style="1173" bestFit="1" customWidth="1"/>
    <col min="21" max="21" width="3.28515625" style="1173" bestFit="1" customWidth="1"/>
    <col min="22" max="16384" width="9.140625" style="1173"/>
  </cols>
  <sheetData>
    <row r="1" spans="1:21" ht="21">
      <c r="A1" s="1878" t="s">
        <v>2278</v>
      </c>
      <c r="B1" s="1878"/>
      <c r="C1" s="1878"/>
      <c r="D1" s="1878"/>
      <c r="E1" s="1878"/>
      <c r="F1" s="1878"/>
      <c r="G1" s="1878"/>
      <c r="H1" s="1878"/>
      <c r="I1" s="1878"/>
      <c r="J1" s="1878"/>
      <c r="K1" s="1878"/>
      <c r="L1" s="1878"/>
      <c r="M1" s="1878"/>
      <c r="N1" s="1878"/>
      <c r="O1" s="1878"/>
      <c r="P1" s="1878"/>
      <c r="Q1" s="1878"/>
      <c r="R1" s="1878"/>
      <c r="S1" s="1878"/>
      <c r="T1" s="1878"/>
      <c r="U1" s="1878"/>
    </row>
    <row r="2" spans="1:21" ht="15.75" customHeight="1">
      <c r="A2" s="1174" t="str">
        <f>'lead 19-20'!B2&amp;'lead 19-20'!C2</f>
        <v>Name of the Work: Providing Additional Space for Agriculture Staff in  Baduguleru GP of Kanigiri Mandal</v>
      </c>
      <c r="B2" s="1416"/>
      <c r="C2" s="1416"/>
      <c r="D2" s="1416"/>
      <c r="E2" s="1416"/>
      <c r="F2" s="1416"/>
      <c r="G2" s="1416"/>
      <c r="H2" s="1416"/>
      <c r="I2" s="1416"/>
      <c r="J2" s="1416"/>
      <c r="K2" s="1416"/>
      <c r="L2" s="1416"/>
      <c r="M2" s="1416"/>
      <c r="N2" s="1416"/>
      <c r="O2" s="1416"/>
      <c r="P2" s="1416"/>
      <c r="Q2" s="1416"/>
      <c r="R2" s="1416"/>
      <c r="S2" s="1416"/>
      <c r="T2" s="1416"/>
      <c r="U2" s="1416"/>
    </row>
    <row r="3" spans="1:21" ht="38.25">
      <c r="A3" s="1417" t="s">
        <v>23</v>
      </c>
      <c r="B3" s="1417" t="s">
        <v>7</v>
      </c>
      <c r="C3" s="1417" t="s">
        <v>220</v>
      </c>
      <c r="D3" s="1417" t="s">
        <v>224</v>
      </c>
      <c r="E3" s="1417" t="s">
        <v>905</v>
      </c>
      <c r="F3" s="1879" t="s">
        <v>227</v>
      </c>
      <c r="G3" s="1879"/>
      <c r="H3" s="1417" t="s">
        <v>228</v>
      </c>
      <c r="I3" s="1417" t="s">
        <v>229</v>
      </c>
      <c r="J3" s="1417" t="s">
        <v>230</v>
      </c>
      <c r="K3" s="1417" t="s">
        <v>234</v>
      </c>
      <c r="L3" s="1175" t="s">
        <v>232</v>
      </c>
      <c r="M3" s="1175" t="s">
        <v>231</v>
      </c>
      <c r="N3" s="1175" t="s">
        <v>233</v>
      </c>
      <c r="O3" s="1175" t="s">
        <v>135</v>
      </c>
      <c r="P3" s="1175" t="s">
        <v>1191</v>
      </c>
      <c r="Q3" s="1417" t="s">
        <v>41</v>
      </c>
      <c r="R3" s="1417" t="s">
        <v>664</v>
      </c>
      <c r="S3" s="1417" t="s">
        <v>420</v>
      </c>
      <c r="T3" s="1417" t="s">
        <v>136</v>
      </c>
      <c r="U3" s="1163"/>
    </row>
    <row r="4" spans="1:21" s="1161" customFormat="1" ht="15.75">
      <c r="A4" s="1176"/>
      <c r="B4" s="1177" t="s">
        <v>2021</v>
      </c>
      <c r="C4" s="1178"/>
      <c r="D4" s="1179"/>
      <c r="E4" s="1180"/>
      <c r="F4" s="1181">
        <v>1</v>
      </c>
      <c r="G4" s="1182"/>
      <c r="H4" s="1176"/>
      <c r="I4" s="1183"/>
      <c r="J4" s="1184"/>
      <c r="K4" s="1176"/>
      <c r="L4" s="1182"/>
      <c r="M4" s="1176"/>
    </row>
    <row r="5" spans="1:21" ht="18" hidden="1" customHeight="1">
      <c r="A5" s="1185">
        <v>1</v>
      </c>
      <c r="B5" s="1163" t="s">
        <v>101</v>
      </c>
      <c r="C5" s="1543"/>
      <c r="D5" s="1163"/>
      <c r="E5" s="1163"/>
      <c r="F5" s="1186">
        <f>C5+D5</f>
        <v>0</v>
      </c>
      <c r="G5" s="1186" t="s">
        <v>421</v>
      </c>
      <c r="H5" s="1185">
        <v>0</v>
      </c>
      <c r="I5" s="1185">
        <v>0</v>
      </c>
      <c r="J5" s="1185">
        <v>0</v>
      </c>
      <c r="K5" s="1185">
        <v>0</v>
      </c>
      <c r="L5" s="1185">
        <v>0</v>
      </c>
      <c r="M5" s="1185">
        <v>0</v>
      </c>
      <c r="N5" s="1185">
        <v>0</v>
      </c>
      <c r="O5" s="1187">
        <v>0</v>
      </c>
      <c r="P5" s="1187">
        <v>0</v>
      </c>
      <c r="Q5" s="1185">
        <v>0</v>
      </c>
      <c r="R5" s="1188">
        <f>F5</f>
        <v>0</v>
      </c>
      <c r="S5" s="1189">
        <v>0</v>
      </c>
      <c r="T5" s="1163">
        <v>0</v>
      </c>
      <c r="U5" s="1163"/>
    </row>
    <row r="6" spans="1:21" ht="20.100000000000001" customHeight="1">
      <c r="A6" s="1185">
        <v>1</v>
      </c>
      <c r="B6" s="1163" t="s">
        <v>135</v>
      </c>
      <c r="C6" s="1186">
        <f>WORK!I223</f>
        <v>99.320000000000007</v>
      </c>
      <c r="D6" s="1163"/>
      <c r="E6" s="1163"/>
      <c r="F6" s="1186">
        <f t="shared" ref="F6:F45" si="0">SUM(C6:E6)</f>
        <v>99.320000000000007</v>
      </c>
      <c r="G6" s="1186" t="s">
        <v>421</v>
      </c>
      <c r="H6" s="1185">
        <v>0</v>
      </c>
      <c r="I6" s="1185">
        <v>0</v>
      </c>
      <c r="J6" s="1185">
        <v>0</v>
      </c>
      <c r="K6" s="1185">
        <v>0</v>
      </c>
      <c r="L6" s="1185">
        <v>0</v>
      </c>
      <c r="M6" s="1185">
        <v>0</v>
      </c>
      <c r="N6" s="1185">
        <v>0</v>
      </c>
      <c r="O6" s="1188">
        <f>F6</f>
        <v>99.320000000000007</v>
      </c>
      <c r="P6" s="1187">
        <v>0</v>
      </c>
      <c r="Q6" s="1185">
        <v>0</v>
      </c>
      <c r="R6" s="1187">
        <v>0</v>
      </c>
      <c r="S6" s="1189">
        <v>0</v>
      </c>
      <c r="T6" s="1163">
        <v>0</v>
      </c>
      <c r="U6" s="1163"/>
    </row>
    <row r="7" spans="1:21" ht="20.100000000000001" customHeight="1">
      <c r="A7" s="1185">
        <v>2</v>
      </c>
      <c r="B7" s="1163" t="s">
        <v>1192</v>
      </c>
      <c r="C7" s="1186">
        <f>WORK!I170</f>
        <v>13.280000000000001</v>
      </c>
      <c r="D7" s="1163"/>
      <c r="E7" s="1163"/>
      <c r="F7" s="1186">
        <f t="shared" si="0"/>
        <v>13.280000000000001</v>
      </c>
      <c r="G7" s="1186" t="s">
        <v>421</v>
      </c>
      <c r="H7" s="1185">
        <v>0</v>
      </c>
      <c r="I7" s="1185">
        <v>0</v>
      </c>
      <c r="J7" s="1185">
        <v>0</v>
      </c>
      <c r="K7" s="1185">
        <v>0</v>
      </c>
      <c r="L7" s="1185">
        <v>0</v>
      </c>
      <c r="M7" s="1185">
        <v>0</v>
      </c>
      <c r="N7" s="1185">
        <v>0</v>
      </c>
      <c r="O7" s="1187">
        <v>0</v>
      </c>
      <c r="P7" s="1188">
        <f>F7</f>
        <v>13.280000000000001</v>
      </c>
      <c r="Q7" s="1185">
        <v>0</v>
      </c>
      <c r="R7" s="1187">
        <v>0</v>
      </c>
      <c r="S7" s="1189">
        <v>0</v>
      </c>
      <c r="T7" s="1163">
        <v>0</v>
      </c>
      <c r="U7" s="1163"/>
    </row>
    <row r="8" spans="1:21" ht="20.100000000000001" hidden="1" customHeight="1">
      <c r="A8" s="1185">
        <v>4</v>
      </c>
      <c r="B8" s="1163" t="s">
        <v>663</v>
      </c>
      <c r="C8" s="1186">
        <f>WORK!I194</f>
        <v>0</v>
      </c>
      <c r="D8" s="1163"/>
      <c r="E8" s="1163"/>
      <c r="F8" s="1186">
        <f t="shared" si="0"/>
        <v>0</v>
      </c>
      <c r="G8" s="1186" t="s">
        <v>421</v>
      </c>
      <c r="H8" s="1185">
        <v>0</v>
      </c>
      <c r="I8" s="1185">
        <v>0</v>
      </c>
      <c r="J8" s="1185">
        <v>0</v>
      </c>
      <c r="K8" s="1185">
        <v>0</v>
      </c>
      <c r="L8" s="1185">
        <v>0</v>
      </c>
      <c r="M8" s="1185">
        <v>0</v>
      </c>
      <c r="N8" s="1185">
        <v>0</v>
      </c>
      <c r="O8" s="1187">
        <v>0</v>
      </c>
      <c r="P8" s="1188"/>
      <c r="Q8" s="1185">
        <v>0</v>
      </c>
      <c r="R8" s="1188">
        <f>F8</f>
        <v>0</v>
      </c>
      <c r="S8" s="1189">
        <v>0</v>
      </c>
      <c r="T8" s="1163">
        <v>0</v>
      </c>
      <c r="U8" s="1163"/>
    </row>
    <row r="9" spans="1:21" ht="20.100000000000001" customHeight="1">
      <c r="A9" s="1185">
        <v>3</v>
      </c>
      <c r="B9" s="1163" t="s">
        <v>235</v>
      </c>
      <c r="C9" s="1186">
        <f>WORK!I96</f>
        <v>22.029999999999998</v>
      </c>
      <c r="D9" s="1163"/>
      <c r="E9" s="1163"/>
      <c r="F9" s="1186">
        <f t="shared" si="0"/>
        <v>22.029999999999998</v>
      </c>
      <c r="G9" s="1186" t="s">
        <v>421</v>
      </c>
      <c r="H9" s="1188">
        <f>ROUND(F9*0.9,2)</f>
        <v>19.829999999999998</v>
      </c>
      <c r="I9" s="1187">
        <v>0</v>
      </c>
      <c r="J9" s="1187">
        <v>0</v>
      </c>
      <c r="K9" s="1185">
        <v>0</v>
      </c>
      <c r="L9" s="1188">
        <f>ROUND(F9*0.45,2)</f>
        <v>9.91</v>
      </c>
      <c r="M9" s="1185">
        <v>0</v>
      </c>
      <c r="N9" s="1185">
        <v>0</v>
      </c>
      <c r="O9" s="1187">
        <v>0</v>
      </c>
      <c r="P9" s="1187">
        <v>0</v>
      </c>
      <c r="Q9" s="1187">
        <v>0</v>
      </c>
      <c r="R9" s="1187">
        <v>0</v>
      </c>
      <c r="S9" s="1190">
        <f t="shared" ref="S9:S46" si="1">ROUND(F9*T9/50,2)</f>
        <v>71.38</v>
      </c>
      <c r="T9" s="1186">
        <v>162</v>
      </c>
      <c r="U9" s="1188" t="s">
        <v>4</v>
      </c>
    </row>
    <row r="10" spans="1:21" ht="20.100000000000001" hidden="1" customHeight="1">
      <c r="A10" s="1185">
        <v>6</v>
      </c>
      <c r="B10" s="1163" t="s">
        <v>446</v>
      </c>
      <c r="C10" s="1186">
        <f>WORK!I137</f>
        <v>0</v>
      </c>
      <c r="D10" s="1163"/>
      <c r="E10" s="1163"/>
      <c r="F10" s="1186">
        <f t="shared" si="0"/>
        <v>0</v>
      </c>
      <c r="G10" s="1186" t="s">
        <v>421</v>
      </c>
      <c r="H10" s="1188">
        <f>ROUND(F10*0.9,2)</f>
        <v>0</v>
      </c>
      <c r="I10" s="1187">
        <v>0</v>
      </c>
      <c r="J10" s="1187">
        <v>0</v>
      </c>
      <c r="K10" s="1185">
        <v>0</v>
      </c>
      <c r="L10" s="1188">
        <f>ROUND(F10*0.45,2)</f>
        <v>0</v>
      </c>
      <c r="M10" s="1185">
        <v>0</v>
      </c>
      <c r="N10" s="1185">
        <v>0</v>
      </c>
      <c r="O10" s="1187">
        <v>0</v>
      </c>
      <c r="P10" s="1187">
        <v>0</v>
      </c>
      <c r="Q10" s="1187">
        <v>0</v>
      </c>
      <c r="R10" s="1187">
        <v>0</v>
      </c>
      <c r="S10" s="1190">
        <f t="shared" si="1"/>
        <v>0</v>
      </c>
      <c r="T10" s="1186">
        <v>129.6</v>
      </c>
      <c r="U10" s="1188" t="s">
        <v>4</v>
      </c>
    </row>
    <row r="11" spans="1:21" ht="20.100000000000001" customHeight="1">
      <c r="A11" s="1185">
        <v>4</v>
      </c>
      <c r="B11" s="1163" t="s">
        <v>132</v>
      </c>
      <c r="C11" s="1186">
        <f>WORK!I291</f>
        <v>11.870000000000001</v>
      </c>
      <c r="D11" s="1163"/>
      <c r="E11" s="1163"/>
      <c r="F11" s="1186">
        <f t="shared" si="0"/>
        <v>11.870000000000001</v>
      </c>
      <c r="G11" s="1186" t="s">
        <v>421</v>
      </c>
      <c r="H11" s="1187">
        <v>0</v>
      </c>
      <c r="I11" s="1188">
        <f t="shared" ref="I11:I21" si="2">ROUND(F11*0.8,2)</f>
        <v>9.5</v>
      </c>
      <c r="J11" s="1187">
        <v>0</v>
      </c>
      <c r="K11" s="1185">
        <v>0</v>
      </c>
      <c r="L11" s="1188">
        <f t="shared" ref="L11:L21" si="3">ROUND(F11*0.4,2)</f>
        <v>4.75</v>
      </c>
      <c r="M11" s="1185">
        <v>0</v>
      </c>
      <c r="N11" s="1185">
        <v>0</v>
      </c>
      <c r="O11" s="1187">
        <v>0</v>
      </c>
      <c r="P11" s="1187">
        <v>0</v>
      </c>
      <c r="Q11" s="1187">
        <v>0</v>
      </c>
      <c r="R11" s="1187">
        <v>0</v>
      </c>
      <c r="S11" s="1190">
        <f t="shared" si="1"/>
        <v>80.72</v>
      </c>
      <c r="T11" s="1186">
        <f>data!E110</f>
        <v>340</v>
      </c>
      <c r="U11" s="1188" t="s">
        <v>4</v>
      </c>
    </row>
    <row r="12" spans="1:21" ht="20.100000000000001" customHeight="1">
      <c r="A12" s="1185">
        <v>5</v>
      </c>
      <c r="B12" s="1163" t="s">
        <v>133</v>
      </c>
      <c r="C12" s="1186">
        <f>WORK!I311</f>
        <v>1.28</v>
      </c>
      <c r="D12" s="1163"/>
      <c r="E12" s="1163"/>
      <c r="F12" s="1186">
        <f t="shared" si="0"/>
        <v>1.28</v>
      </c>
      <c r="G12" s="1186" t="s">
        <v>421</v>
      </c>
      <c r="H12" s="1187">
        <v>0</v>
      </c>
      <c r="I12" s="1188">
        <f t="shared" si="2"/>
        <v>1.02</v>
      </c>
      <c r="J12" s="1187">
        <v>0</v>
      </c>
      <c r="K12" s="1185">
        <v>0</v>
      </c>
      <c r="L12" s="1188">
        <f t="shared" si="3"/>
        <v>0.51</v>
      </c>
      <c r="M12" s="1185">
        <v>0</v>
      </c>
      <c r="N12" s="1185">
        <v>0</v>
      </c>
      <c r="O12" s="1187">
        <v>0</v>
      </c>
      <c r="P12" s="1187">
        <v>0</v>
      </c>
      <c r="Q12" s="1187">
        <v>0</v>
      </c>
      <c r="R12" s="1187">
        <v>0</v>
      </c>
      <c r="S12" s="1190">
        <f t="shared" si="1"/>
        <v>8.6999999999999993</v>
      </c>
      <c r="T12" s="1186">
        <f>$T$11</f>
        <v>340</v>
      </c>
      <c r="U12" s="1188" t="s">
        <v>4</v>
      </c>
    </row>
    <row r="13" spans="1:21" ht="20.100000000000001" customHeight="1">
      <c r="A13" s="1185">
        <v>6</v>
      </c>
      <c r="B13" s="1163" t="s">
        <v>127</v>
      </c>
      <c r="C13" s="1186">
        <f>WORK!I342</f>
        <v>5.7099999999999991</v>
      </c>
      <c r="D13" s="1186">
        <f>FF!I16</f>
        <v>0</v>
      </c>
      <c r="E13" s="1186">
        <f>SF!I14</f>
        <v>0</v>
      </c>
      <c r="F13" s="1186">
        <f t="shared" si="0"/>
        <v>5.7099999999999991</v>
      </c>
      <c r="G13" s="1186" t="s">
        <v>421</v>
      </c>
      <c r="H13" s="1187">
        <v>0</v>
      </c>
      <c r="I13" s="1188">
        <f t="shared" si="2"/>
        <v>4.57</v>
      </c>
      <c r="J13" s="1187">
        <v>0</v>
      </c>
      <c r="K13" s="1185">
        <v>0</v>
      </c>
      <c r="L13" s="1188">
        <f t="shared" si="3"/>
        <v>2.2799999999999998</v>
      </c>
      <c r="M13" s="1185">
        <v>0</v>
      </c>
      <c r="N13" s="1185">
        <v>0</v>
      </c>
      <c r="O13" s="1187">
        <v>0</v>
      </c>
      <c r="P13" s="1187">
        <v>0</v>
      </c>
      <c r="Q13" s="1187">
        <v>0</v>
      </c>
      <c r="R13" s="1187">
        <v>0</v>
      </c>
      <c r="S13" s="1190">
        <f t="shared" si="1"/>
        <v>38.83</v>
      </c>
      <c r="T13" s="1186">
        <f>$T$11</f>
        <v>340</v>
      </c>
      <c r="U13" s="1188" t="s">
        <v>4</v>
      </c>
    </row>
    <row r="14" spans="1:21" ht="20.100000000000001" customHeight="1">
      <c r="A14" s="1185">
        <v>7</v>
      </c>
      <c r="B14" s="1163" t="s">
        <v>128</v>
      </c>
      <c r="C14" s="1186">
        <f>WORK!I384</f>
        <v>5.8000000000000007</v>
      </c>
      <c r="D14" s="1163"/>
      <c r="E14" s="1163"/>
      <c r="F14" s="1186">
        <f t="shared" si="0"/>
        <v>5.8000000000000007</v>
      </c>
      <c r="G14" s="1186" t="s">
        <v>421</v>
      </c>
      <c r="H14" s="1187">
        <v>0</v>
      </c>
      <c r="I14" s="1188">
        <f t="shared" si="2"/>
        <v>4.6399999999999997</v>
      </c>
      <c r="J14" s="1187">
        <v>0</v>
      </c>
      <c r="K14" s="1185">
        <v>0</v>
      </c>
      <c r="L14" s="1188">
        <f t="shared" si="3"/>
        <v>2.3199999999999998</v>
      </c>
      <c r="M14" s="1185">
        <v>0</v>
      </c>
      <c r="N14" s="1185">
        <v>0</v>
      </c>
      <c r="O14" s="1187">
        <v>0</v>
      </c>
      <c r="P14" s="1187">
        <v>0</v>
      </c>
      <c r="Q14" s="1187">
        <v>0</v>
      </c>
      <c r="R14" s="1187">
        <v>0</v>
      </c>
      <c r="S14" s="1190">
        <f t="shared" si="1"/>
        <v>39.44</v>
      </c>
      <c r="T14" s="1186">
        <f>$T$11</f>
        <v>340</v>
      </c>
      <c r="U14" s="1188" t="s">
        <v>4</v>
      </c>
    </row>
    <row r="15" spans="1:21" ht="20.100000000000001" customHeight="1">
      <c r="A15" s="1185">
        <v>8</v>
      </c>
      <c r="B15" s="1163" t="s">
        <v>131</v>
      </c>
      <c r="C15" s="1186">
        <f>WORK!I428</f>
        <v>6.2000000000000011</v>
      </c>
      <c r="D15" s="1186">
        <f>FF!I59</f>
        <v>0</v>
      </c>
      <c r="E15" s="1186">
        <f>SF!I39</f>
        <v>0</v>
      </c>
      <c r="F15" s="1186">
        <f t="shared" si="0"/>
        <v>6.2000000000000011</v>
      </c>
      <c r="G15" s="1186" t="s">
        <v>421</v>
      </c>
      <c r="H15" s="1187">
        <v>0</v>
      </c>
      <c r="I15" s="1188">
        <f t="shared" si="2"/>
        <v>4.96</v>
      </c>
      <c r="J15" s="1187">
        <v>0</v>
      </c>
      <c r="K15" s="1185">
        <v>0</v>
      </c>
      <c r="L15" s="1188">
        <f t="shared" si="3"/>
        <v>2.48</v>
      </c>
      <c r="M15" s="1185">
        <v>0</v>
      </c>
      <c r="N15" s="1185">
        <v>0</v>
      </c>
      <c r="O15" s="1187">
        <v>0</v>
      </c>
      <c r="P15" s="1187">
        <v>0</v>
      </c>
      <c r="Q15" s="1187">
        <v>0</v>
      </c>
      <c r="R15" s="1187">
        <v>0</v>
      </c>
      <c r="S15" s="1190">
        <f t="shared" si="1"/>
        <v>42.16</v>
      </c>
      <c r="T15" s="1186">
        <f>$T$11</f>
        <v>340</v>
      </c>
      <c r="U15" s="1188" t="s">
        <v>4</v>
      </c>
    </row>
    <row r="16" spans="1:21" ht="20.100000000000001" hidden="1" customHeight="1">
      <c r="A16" s="1185">
        <v>9</v>
      </c>
      <c r="B16" s="1191" t="s">
        <v>236</v>
      </c>
      <c r="C16" s="1186">
        <f>ROUND(WORK!I483*0.15,2)</f>
        <v>0</v>
      </c>
      <c r="D16" s="1186">
        <f>ROUND(FF!I112*0.15,2)</f>
        <v>0</v>
      </c>
      <c r="E16" s="1186">
        <f>ROUND(SF!I63*0.15,2)</f>
        <v>0</v>
      </c>
      <c r="F16" s="1186">
        <f t="shared" si="0"/>
        <v>0</v>
      </c>
      <c r="G16" s="1186" t="s">
        <v>422</v>
      </c>
      <c r="H16" s="1187">
        <v>0</v>
      </c>
      <c r="I16" s="1188">
        <f t="shared" si="2"/>
        <v>0</v>
      </c>
      <c r="J16" s="1187">
        <v>0</v>
      </c>
      <c r="K16" s="1185">
        <v>0</v>
      </c>
      <c r="L16" s="1188">
        <f t="shared" si="3"/>
        <v>0</v>
      </c>
      <c r="M16" s="1185">
        <v>0</v>
      </c>
      <c r="N16" s="1185">
        <v>0</v>
      </c>
      <c r="O16" s="1187">
        <v>0</v>
      </c>
      <c r="P16" s="1187">
        <v>0</v>
      </c>
      <c r="Q16" s="1187">
        <v>0</v>
      </c>
      <c r="R16" s="1187">
        <v>0</v>
      </c>
      <c r="S16" s="1190">
        <f t="shared" si="1"/>
        <v>0</v>
      </c>
      <c r="T16" s="1186">
        <f>ROUND(T15,2)</f>
        <v>340</v>
      </c>
      <c r="U16" s="1188" t="s">
        <v>4</v>
      </c>
    </row>
    <row r="17" spans="1:21" ht="20.100000000000001" customHeight="1">
      <c r="A17" s="1185">
        <v>9</v>
      </c>
      <c r="B17" s="1191" t="s">
        <v>237</v>
      </c>
      <c r="C17" s="1186">
        <f>ROUND(WORK!I506*0.125,2)</f>
        <v>16.02</v>
      </c>
      <c r="D17" s="1186">
        <f>ROUND(FF!I140*0.125,2)</f>
        <v>0</v>
      </c>
      <c r="E17" s="1186">
        <f>ROUND(SF!I86*0.125,2)</f>
        <v>0</v>
      </c>
      <c r="F17" s="1186">
        <f t="shared" si="0"/>
        <v>16.02</v>
      </c>
      <c r="G17" s="1186" t="s">
        <v>422</v>
      </c>
      <c r="H17" s="1187">
        <v>0</v>
      </c>
      <c r="I17" s="1188">
        <f t="shared" si="2"/>
        <v>12.82</v>
      </c>
      <c r="J17" s="1187">
        <v>0</v>
      </c>
      <c r="K17" s="1185">
        <v>0</v>
      </c>
      <c r="L17" s="1188">
        <f t="shared" si="3"/>
        <v>6.41</v>
      </c>
      <c r="M17" s="1185">
        <v>0</v>
      </c>
      <c r="N17" s="1185">
        <v>0</v>
      </c>
      <c r="O17" s="1187">
        <v>0</v>
      </c>
      <c r="P17" s="1187">
        <v>0</v>
      </c>
      <c r="Q17" s="1187">
        <v>0</v>
      </c>
      <c r="R17" s="1187">
        <v>0</v>
      </c>
      <c r="S17" s="1190">
        <f t="shared" si="1"/>
        <v>108.94</v>
      </c>
      <c r="T17" s="1186">
        <f>ROUND(T15,2)</f>
        <v>340</v>
      </c>
      <c r="U17" s="1188" t="s">
        <v>4</v>
      </c>
    </row>
    <row r="18" spans="1:21" ht="20.100000000000001" hidden="1" customHeight="1">
      <c r="A18" s="1185">
        <v>11</v>
      </c>
      <c r="B18" s="1191" t="s">
        <v>605</v>
      </c>
      <c r="C18" s="1186">
        <f>ROUND(WORK!I531*0.1,2)</f>
        <v>0</v>
      </c>
      <c r="D18" s="1186">
        <f>ROUND(FF!I164*0.1,2)</f>
        <v>0</v>
      </c>
      <c r="E18" s="1186">
        <f>ROUND(SF!I106*0.1,2)</f>
        <v>0</v>
      </c>
      <c r="F18" s="1186">
        <f t="shared" si="0"/>
        <v>0</v>
      </c>
      <c r="G18" s="1186" t="s">
        <v>422</v>
      </c>
      <c r="H18" s="1187">
        <v>0</v>
      </c>
      <c r="I18" s="1188">
        <f t="shared" si="2"/>
        <v>0</v>
      </c>
      <c r="J18" s="1187">
        <v>0</v>
      </c>
      <c r="K18" s="1185">
        <v>0</v>
      </c>
      <c r="L18" s="1188">
        <f t="shared" si="3"/>
        <v>0</v>
      </c>
      <c r="M18" s="1185">
        <v>0</v>
      </c>
      <c r="N18" s="1185">
        <v>0</v>
      </c>
      <c r="O18" s="1187">
        <v>0</v>
      </c>
      <c r="P18" s="1187">
        <v>0</v>
      </c>
      <c r="Q18" s="1187">
        <v>0</v>
      </c>
      <c r="R18" s="1187">
        <v>0</v>
      </c>
      <c r="S18" s="1190">
        <f t="shared" si="1"/>
        <v>0</v>
      </c>
      <c r="T18" s="1186">
        <f>T17</f>
        <v>340</v>
      </c>
      <c r="U18" s="1188" t="s">
        <v>4</v>
      </c>
    </row>
    <row r="19" spans="1:21" ht="20.100000000000001" hidden="1" customHeight="1">
      <c r="A19" s="1185">
        <v>9</v>
      </c>
      <c r="B19" s="1191" t="s">
        <v>1231</v>
      </c>
      <c r="C19" s="1186">
        <f>ROUND(WORK!I553*0.05,2)</f>
        <v>0</v>
      </c>
      <c r="D19" s="1186">
        <f>ROUND(FF!I185*0.05,2)</f>
        <v>0</v>
      </c>
      <c r="E19" s="1186">
        <f>ROUND(SF!I127*0.05,2)</f>
        <v>0</v>
      </c>
      <c r="F19" s="1186">
        <f t="shared" si="0"/>
        <v>0</v>
      </c>
      <c r="G19" s="1186" t="s">
        <v>422</v>
      </c>
      <c r="H19" s="1187">
        <v>0</v>
      </c>
      <c r="I19" s="1188">
        <f t="shared" si="2"/>
        <v>0</v>
      </c>
      <c r="J19" s="1187">
        <v>0</v>
      </c>
      <c r="K19" s="1185">
        <v>0</v>
      </c>
      <c r="L19" s="1188">
        <f t="shared" si="3"/>
        <v>0</v>
      </c>
      <c r="M19" s="1185">
        <v>0</v>
      </c>
      <c r="N19" s="1185">
        <v>0</v>
      </c>
      <c r="O19" s="1187">
        <v>0</v>
      </c>
      <c r="P19" s="1187">
        <v>0</v>
      </c>
      <c r="Q19" s="1187">
        <v>0</v>
      </c>
      <c r="R19" s="1187">
        <v>0</v>
      </c>
      <c r="S19" s="1190">
        <f t="shared" si="1"/>
        <v>0</v>
      </c>
      <c r="T19" s="1186">
        <f>T18</f>
        <v>340</v>
      </c>
      <c r="U19" s="1188" t="s">
        <v>4</v>
      </c>
    </row>
    <row r="20" spans="1:21" ht="20.100000000000001" hidden="1" customHeight="1">
      <c r="A20" s="1185">
        <v>16</v>
      </c>
      <c r="B20" s="1191" t="s">
        <v>1440</v>
      </c>
      <c r="C20" s="1186">
        <f>ROUND(WORK!I578*0.025,2)</f>
        <v>0</v>
      </c>
      <c r="D20" s="1186">
        <f>ROUND(FF!I209*0.025,2)</f>
        <v>0</v>
      </c>
      <c r="E20" s="1186">
        <f>ROUND(SF!I151*0.025,2)</f>
        <v>0</v>
      </c>
      <c r="F20" s="1186">
        <f t="shared" si="0"/>
        <v>0</v>
      </c>
      <c r="G20" s="1186" t="s">
        <v>422</v>
      </c>
      <c r="H20" s="1187">
        <v>0</v>
      </c>
      <c r="I20" s="1188">
        <f t="shared" si="2"/>
        <v>0</v>
      </c>
      <c r="J20" s="1187">
        <v>0</v>
      </c>
      <c r="K20" s="1185">
        <v>0</v>
      </c>
      <c r="L20" s="1188">
        <f t="shared" si="3"/>
        <v>0</v>
      </c>
      <c r="M20" s="1185">
        <v>0</v>
      </c>
      <c r="N20" s="1185">
        <v>0</v>
      </c>
      <c r="O20" s="1187">
        <v>0</v>
      </c>
      <c r="P20" s="1187">
        <v>0</v>
      </c>
      <c r="Q20" s="1187">
        <v>0</v>
      </c>
      <c r="R20" s="1187">
        <v>0</v>
      </c>
      <c r="S20" s="1190">
        <f t="shared" si="1"/>
        <v>0</v>
      </c>
      <c r="T20" s="1186">
        <f>T19</f>
        <v>340</v>
      </c>
      <c r="U20" s="1188" t="s">
        <v>4</v>
      </c>
    </row>
    <row r="21" spans="1:21" ht="20.100000000000001" customHeight="1">
      <c r="A21" s="1185">
        <v>10</v>
      </c>
      <c r="B21" s="1163" t="s">
        <v>129</v>
      </c>
      <c r="C21" s="1186">
        <f>WORK!I609</f>
        <v>1.53</v>
      </c>
      <c r="D21" s="1186">
        <f>FF!I238</f>
        <v>0</v>
      </c>
      <c r="E21" s="1186">
        <f>SF!I176</f>
        <v>0</v>
      </c>
      <c r="F21" s="1186">
        <f t="shared" si="0"/>
        <v>1.53</v>
      </c>
      <c r="G21" s="1186" t="s">
        <v>421</v>
      </c>
      <c r="H21" s="1187">
        <v>0</v>
      </c>
      <c r="I21" s="1188">
        <f t="shared" si="2"/>
        <v>1.22</v>
      </c>
      <c r="J21" s="1187">
        <v>0</v>
      </c>
      <c r="K21" s="1185">
        <v>0</v>
      </c>
      <c r="L21" s="1188">
        <f t="shared" si="3"/>
        <v>0.61</v>
      </c>
      <c r="M21" s="1185">
        <v>0</v>
      </c>
      <c r="N21" s="1185">
        <v>0</v>
      </c>
      <c r="O21" s="1187">
        <v>0</v>
      </c>
      <c r="P21" s="1187">
        <v>0</v>
      </c>
      <c r="Q21" s="1187">
        <v>0</v>
      </c>
      <c r="R21" s="1187">
        <v>0</v>
      </c>
      <c r="S21" s="1190">
        <f t="shared" si="1"/>
        <v>10.4</v>
      </c>
      <c r="T21" s="1186">
        <f>$T$11</f>
        <v>340</v>
      </c>
      <c r="U21" s="1188" t="s">
        <v>4</v>
      </c>
    </row>
    <row r="22" spans="1:21" ht="20.100000000000001" customHeight="1">
      <c r="A22" s="1185">
        <v>11</v>
      </c>
      <c r="B22" s="1163" t="s">
        <v>130</v>
      </c>
      <c r="C22" s="1186">
        <f>WORK!I644</f>
        <v>12</v>
      </c>
      <c r="D22" s="1186">
        <f>FF!I282</f>
        <v>0</v>
      </c>
      <c r="E22" s="1186">
        <f>SF!I202</f>
        <v>0</v>
      </c>
      <c r="F22" s="1186">
        <f t="shared" si="0"/>
        <v>12</v>
      </c>
      <c r="G22" s="1186" t="s">
        <v>82</v>
      </c>
      <c r="H22" s="1187">
        <v>0</v>
      </c>
      <c r="I22" s="1188">
        <f>ROUND(F22*0.0375*0.8,2)</f>
        <v>0.36</v>
      </c>
      <c r="J22" s="1187">
        <v>0</v>
      </c>
      <c r="K22" s="1185">
        <v>0</v>
      </c>
      <c r="L22" s="1188">
        <f>ROUND(F22*0.0375*0.4,2)</f>
        <v>0.18</v>
      </c>
      <c r="M22" s="1185">
        <v>0</v>
      </c>
      <c r="N22" s="1185">
        <v>0</v>
      </c>
      <c r="O22" s="1187">
        <v>0</v>
      </c>
      <c r="P22" s="1187">
        <v>0</v>
      </c>
      <c r="Q22" s="1187">
        <v>0</v>
      </c>
      <c r="R22" s="1187">
        <v>0</v>
      </c>
      <c r="S22" s="1190">
        <f t="shared" si="1"/>
        <v>3.06</v>
      </c>
      <c r="T22" s="1195">
        <f>ROUND(T21*0.0375,2)</f>
        <v>12.75</v>
      </c>
      <c r="U22" s="1188" t="s">
        <v>4</v>
      </c>
    </row>
    <row r="23" spans="1:21" ht="20.100000000000001" customHeight="1">
      <c r="A23" s="1185">
        <v>12</v>
      </c>
      <c r="B23" s="1191" t="s">
        <v>1441</v>
      </c>
      <c r="C23" s="1186">
        <f>WORK!I666</f>
        <v>108</v>
      </c>
      <c r="D23" s="1186">
        <f>FF!I307</f>
        <v>0</v>
      </c>
      <c r="E23" s="1186">
        <f>SF!I222</f>
        <v>0</v>
      </c>
      <c r="F23" s="1186">
        <f t="shared" si="0"/>
        <v>108</v>
      </c>
      <c r="G23" s="1186" t="s">
        <v>422</v>
      </c>
      <c r="H23" s="1187">
        <v>0</v>
      </c>
      <c r="I23" s="1187">
        <v>0</v>
      </c>
      <c r="J23" s="1187">
        <v>0</v>
      </c>
      <c r="K23" s="1185">
        <v>0</v>
      </c>
      <c r="L23" s="1187">
        <v>0</v>
      </c>
      <c r="M23" s="1185">
        <v>0</v>
      </c>
      <c r="N23" s="1188">
        <f>ROUND(F23*0.015*1.05,2)</f>
        <v>1.7</v>
      </c>
      <c r="O23" s="1187">
        <v>0</v>
      </c>
      <c r="P23" s="1187">
        <v>0</v>
      </c>
      <c r="Q23" s="1187">
        <v>0</v>
      </c>
      <c r="R23" s="1187">
        <v>0</v>
      </c>
      <c r="S23" s="1190">
        <f t="shared" si="1"/>
        <v>15.55</v>
      </c>
      <c r="T23" s="1186">
        <v>7.2</v>
      </c>
      <c r="U23" s="1188" t="s">
        <v>4</v>
      </c>
    </row>
    <row r="24" spans="1:21" ht="20.100000000000001" hidden="1" customHeight="1">
      <c r="A24" s="1185">
        <v>9</v>
      </c>
      <c r="B24" s="1191" t="s">
        <v>1226</v>
      </c>
      <c r="C24" s="1186">
        <f>WORK!I690</f>
        <v>0</v>
      </c>
      <c r="D24" s="1186">
        <f>FF!I332</f>
        <v>0</v>
      </c>
      <c r="E24" s="1186">
        <f>SF!I243</f>
        <v>0</v>
      </c>
      <c r="F24" s="1186">
        <f t="shared" si="0"/>
        <v>0</v>
      </c>
      <c r="G24" s="1186" t="s">
        <v>422</v>
      </c>
      <c r="H24" s="1187">
        <v>0</v>
      </c>
      <c r="I24" s="1187">
        <v>0</v>
      </c>
      <c r="J24" s="1187">
        <v>0</v>
      </c>
      <c r="K24" s="1185">
        <v>0</v>
      </c>
      <c r="L24" s="1187">
        <v>0</v>
      </c>
      <c r="M24" s="1185">
        <v>0</v>
      </c>
      <c r="N24" s="1188">
        <f>ROUND(F24*0.021*1.05,2)</f>
        <v>0</v>
      </c>
      <c r="O24" s="1187">
        <v>0</v>
      </c>
      <c r="P24" s="1187">
        <v>0</v>
      </c>
      <c r="Q24" s="1187">
        <v>0</v>
      </c>
      <c r="R24" s="1187">
        <v>0</v>
      </c>
      <c r="S24" s="1190">
        <f t="shared" si="1"/>
        <v>0</v>
      </c>
      <c r="T24" s="1186">
        <v>10.08</v>
      </c>
      <c r="U24" s="1188" t="s">
        <v>4</v>
      </c>
    </row>
    <row r="25" spans="1:21" ht="20.100000000000001" hidden="1" customHeight="1">
      <c r="A25" s="1185">
        <v>13</v>
      </c>
      <c r="B25" s="1163" t="s">
        <v>1194</v>
      </c>
      <c r="C25" s="1186">
        <f>WORK!I715</f>
        <v>0</v>
      </c>
      <c r="D25" s="1186"/>
      <c r="E25" s="1186"/>
      <c r="F25" s="1186">
        <f t="shared" si="0"/>
        <v>0</v>
      </c>
      <c r="G25" s="1186" t="s">
        <v>421</v>
      </c>
      <c r="H25" s="1187">
        <v>0</v>
      </c>
      <c r="I25" s="1187">
        <v>0</v>
      </c>
      <c r="J25" s="1187">
        <v>0</v>
      </c>
      <c r="K25" s="1188">
        <f>ROUND(F25*1.1,2)</f>
        <v>0</v>
      </c>
      <c r="L25" s="1187">
        <v>0</v>
      </c>
      <c r="M25" s="1188">
        <f>ROUND(F25*0.33,2)</f>
        <v>0</v>
      </c>
      <c r="N25" s="1187">
        <v>0</v>
      </c>
      <c r="O25" s="1187">
        <v>0</v>
      </c>
      <c r="P25" s="1187">
        <v>0</v>
      </c>
      <c r="Q25" s="1188"/>
      <c r="R25" s="1187">
        <v>0</v>
      </c>
      <c r="S25" s="1190">
        <f t="shared" si="1"/>
        <v>0</v>
      </c>
      <c r="T25" s="1186">
        <v>59.4</v>
      </c>
      <c r="U25" s="1188" t="s">
        <v>4</v>
      </c>
    </row>
    <row r="26" spans="1:21" ht="20.100000000000001" customHeight="1">
      <c r="A26" s="1185">
        <v>13</v>
      </c>
      <c r="B26" s="1163" t="s">
        <v>134</v>
      </c>
      <c r="C26" s="1186">
        <f>WORK!I753</f>
        <v>19.080000000000002</v>
      </c>
      <c r="D26" s="1186">
        <f>FF!I356</f>
        <v>0</v>
      </c>
      <c r="E26" s="1186">
        <f>SF!I269</f>
        <v>0</v>
      </c>
      <c r="F26" s="1186">
        <f t="shared" si="0"/>
        <v>19.080000000000002</v>
      </c>
      <c r="G26" s="1186" t="s">
        <v>421</v>
      </c>
      <c r="H26" s="1187">
        <v>0</v>
      </c>
      <c r="I26" s="1187">
        <v>0</v>
      </c>
      <c r="J26" s="1187">
        <v>0</v>
      </c>
      <c r="K26" s="1185">
        <v>0</v>
      </c>
      <c r="L26" s="1187">
        <v>0</v>
      </c>
      <c r="M26" s="1188">
        <f>ROUND(F26*0.2,2)</f>
        <v>3.82</v>
      </c>
      <c r="N26" s="1187">
        <v>0</v>
      </c>
      <c r="O26" s="1187">
        <v>0</v>
      </c>
      <c r="P26" s="1187">
        <v>0</v>
      </c>
      <c r="Q26" s="1188">
        <f>ROUND(F26*512/1000,2)</f>
        <v>9.77</v>
      </c>
      <c r="R26" s="1187">
        <v>0</v>
      </c>
      <c r="S26" s="1190">
        <f t="shared" si="1"/>
        <v>13.74</v>
      </c>
      <c r="T26" s="1186">
        <v>36</v>
      </c>
      <c r="U26" s="1188" t="s">
        <v>4</v>
      </c>
    </row>
    <row r="27" spans="1:21" ht="20.100000000000001" customHeight="1">
      <c r="A27" s="1185">
        <v>14</v>
      </c>
      <c r="B27" s="1163" t="s">
        <v>906</v>
      </c>
      <c r="C27" s="1186">
        <f>WORK!I820</f>
        <v>21.8</v>
      </c>
      <c r="D27" s="1186">
        <f>FF!I396</f>
        <v>0</v>
      </c>
      <c r="E27" s="1186">
        <f>SF!I298</f>
        <v>0</v>
      </c>
      <c r="F27" s="1186">
        <f t="shared" si="0"/>
        <v>21.8</v>
      </c>
      <c r="G27" s="1186" t="s">
        <v>421</v>
      </c>
      <c r="H27" s="1187">
        <v>0</v>
      </c>
      <c r="I27" s="1187">
        <v>0</v>
      </c>
      <c r="J27" s="1187">
        <v>0</v>
      </c>
      <c r="K27" s="1185">
        <v>0</v>
      </c>
      <c r="L27" s="1187">
        <v>0</v>
      </c>
      <c r="M27" s="1188">
        <f>ROUND(F27*0.2,2)</f>
        <v>4.3600000000000003</v>
      </c>
      <c r="N27" s="1187">
        <v>0</v>
      </c>
      <c r="O27" s="1187">
        <v>0</v>
      </c>
      <c r="P27" s="1187">
        <v>0</v>
      </c>
      <c r="Q27" s="1188">
        <f>ROUND(F27*512/1000,2)</f>
        <v>11.16</v>
      </c>
      <c r="R27" s="1187">
        <v>0</v>
      </c>
      <c r="S27" s="1190">
        <f t="shared" si="1"/>
        <v>20.93</v>
      </c>
      <c r="T27" s="1186">
        <v>48</v>
      </c>
      <c r="U27" s="1188" t="s">
        <v>4</v>
      </c>
    </row>
    <row r="28" spans="1:21" ht="20.100000000000001" customHeight="1">
      <c r="A28" s="1185">
        <v>15</v>
      </c>
      <c r="B28" s="1163" t="s">
        <v>3637</v>
      </c>
      <c r="C28" s="1186">
        <f>WORK!I872</f>
        <v>40.4</v>
      </c>
      <c r="D28" s="1186">
        <f>FF!I487</f>
        <v>0</v>
      </c>
      <c r="E28" s="1186">
        <f>SF!I328</f>
        <v>0</v>
      </c>
      <c r="F28" s="1186">
        <f t="shared" si="0"/>
        <v>40.4</v>
      </c>
      <c r="G28" s="1186" t="s">
        <v>422</v>
      </c>
      <c r="H28" s="1187">
        <v>0</v>
      </c>
      <c r="I28" s="1188"/>
      <c r="J28" s="1187">
        <v>0</v>
      </c>
      <c r="K28" s="1185">
        <v>0</v>
      </c>
      <c r="L28" s="1187">
        <v>0</v>
      </c>
      <c r="M28" s="1188">
        <f>ROUND(F28*0.022,2)</f>
        <v>0.89</v>
      </c>
      <c r="N28" s="1187">
        <v>0</v>
      </c>
      <c r="O28" s="1187">
        <v>0</v>
      </c>
      <c r="P28" s="1187">
        <v>0</v>
      </c>
      <c r="Q28" s="1188">
        <f>ROUND(F28*512*0.1/1000,2)</f>
        <v>2.0699999999999998</v>
      </c>
      <c r="R28" s="1187">
        <v>0</v>
      </c>
      <c r="S28" s="1190">
        <f t="shared" si="1"/>
        <v>5.82</v>
      </c>
      <c r="T28" s="1186">
        <v>7.2</v>
      </c>
      <c r="U28" s="1188" t="s">
        <v>4</v>
      </c>
    </row>
    <row r="29" spans="1:21" ht="20.100000000000001" hidden="1" customHeight="1">
      <c r="A29" s="1185">
        <v>16</v>
      </c>
      <c r="B29" s="1163" t="s">
        <v>1214</v>
      </c>
      <c r="C29" s="1186">
        <f>WORK!I916</f>
        <v>0</v>
      </c>
      <c r="D29" s="1186">
        <f>FF!I557</f>
        <v>0</v>
      </c>
      <c r="E29" s="1186">
        <f>SF!I354</f>
        <v>0</v>
      </c>
      <c r="F29" s="1186">
        <f t="shared" si="0"/>
        <v>0</v>
      </c>
      <c r="G29" s="1186" t="s">
        <v>421</v>
      </c>
      <c r="H29" s="1187">
        <v>0</v>
      </c>
      <c r="I29" s="1187">
        <v>0</v>
      </c>
      <c r="J29" s="1187">
        <v>0</v>
      </c>
      <c r="K29" s="1185">
        <v>0</v>
      </c>
      <c r="L29" s="1187">
        <v>0</v>
      </c>
      <c r="M29" s="1188">
        <f>ROUND(F29*0.1*1.05,2)</f>
        <v>0</v>
      </c>
      <c r="N29" s="1187">
        <v>0</v>
      </c>
      <c r="O29" s="1187">
        <v>0</v>
      </c>
      <c r="P29" s="1187">
        <v>0</v>
      </c>
      <c r="Q29" s="1188">
        <f>ROUND(F29*110/1000,2)</f>
        <v>0</v>
      </c>
      <c r="R29" s="1187">
        <v>0</v>
      </c>
      <c r="S29" s="1190">
        <f t="shared" si="1"/>
        <v>0</v>
      </c>
      <c r="T29" s="1186">
        <v>24</v>
      </c>
      <c r="U29" s="1188" t="s">
        <v>4</v>
      </c>
    </row>
    <row r="30" spans="1:21" ht="20.100000000000001" customHeight="1">
      <c r="A30" s="1185">
        <v>16</v>
      </c>
      <c r="B30" s="1191" t="s">
        <v>1215</v>
      </c>
      <c r="C30" s="1186">
        <f>WORK!I947</f>
        <v>19.310000000000002</v>
      </c>
      <c r="D30" s="1186">
        <f>FF!I584</f>
        <v>0</v>
      </c>
      <c r="E30" s="1186"/>
      <c r="F30" s="1186">
        <f t="shared" si="0"/>
        <v>19.310000000000002</v>
      </c>
      <c r="G30" s="1186" t="s">
        <v>422</v>
      </c>
      <c r="H30" s="1187">
        <v>0</v>
      </c>
      <c r="I30" s="1187">
        <v>0</v>
      </c>
      <c r="J30" s="1187">
        <v>0</v>
      </c>
      <c r="K30" s="1185">
        <v>0</v>
      </c>
      <c r="L30" s="1187">
        <v>0</v>
      </c>
      <c r="M30" s="1187">
        <v>0</v>
      </c>
      <c r="N30" s="1188">
        <f>ROUND(F30*((0.015*1.05)+(0.025*1.05)),2)</f>
        <v>0.81</v>
      </c>
      <c r="O30" s="1187">
        <v>0</v>
      </c>
      <c r="P30" s="1187">
        <v>0</v>
      </c>
      <c r="Q30" s="1187">
        <v>0</v>
      </c>
      <c r="R30" s="1187">
        <v>0</v>
      </c>
      <c r="S30" s="1190">
        <f t="shared" si="1"/>
        <v>8.07</v>
      </c>
      <c r="T30" s="1186">
        <v>20.89</v>
      </c>
      <c r="U30" s="1188" t="s">
        <v>4</v>
      </c>
    </row>
    <row r="31" spans="1:21" ht="20.100000000000001" customHeight="1">
      <c r="A31" s="1185">
        <v>17</v>
      </c>
      <c r="B31" s="1191" t="s">
        <v>137</v>
      </c>
      <c r="C31" s="1186">
        <f>WORK!I980</f>
        <v>135.33999999999997</v>
      </c>
      <c r="D31" s="1186">
        <f>FF!I621</f>
        <v>0</v>
      </c>
      <c r="E31" s="1186">
        <f>SF!I382</f>
        <v>0</v>
      </c>
      <c r="F31" s="1186">
        <f t="shared" si="0"/>
        <v>135.33999999999997</v>
      </c>
      <c r="G31" s="1186" t="s">
        <v>422</v>
      </c>
      <c r="H31" s="1187">
        <v>0</v>
      </c>
      <c r="I31" s="1187">
        <v>0</v>
      </c>
      <c r="J31" s="1187">
        <v>0</v>
      </c>
      <c r="K31" s="1185">
        <v>0</v>
      </c>
      <c r="L31" s="1187">
        <v>0</v>
      </c>
      <c r="M31" s="1187">
        <v>0</v>
      </c>
      <c r="N31" s="1188">
        <f>ROUND(F31*0.015*1.05,2)</f>
        <v>2.13</v>
      </c>
      <c r="O31" s="1187">
        <v>0</v>
      </c>
      <c r="P31" s="1187">
        <v>0</v>
      </c>
      <c r="Q31" s="1187">
        <v>0</v>
      </c>
      <c r="R31" s="1187">
        <v>0</v>
      </c>
      <c r="S31" s="1190">
        <f t="shared" si="1"/>
        <v>19.489999999999998</v>
      </c>
      <c r="T31" s="1186">
        <v>7.2</v>
      </c>
      <c r="U31" s="1188" t="s">
        <v>4</v>
      </c>
    </row>
    <row r="32" spans="1:21" ht="20.100000000000001" hidden="1" customHeight="1">
      <c r="A32" s="1185">
        <v>2</v>
      </c>
      <c r="B32" s="1191" t="s">
        <v>238</v>
      </c>
      <c r="C32" s="1186">
        <f>WORK!I1033</f>
        <v>0</v>
      </c>
      <c r="D32" s="1186">
        <f>FF!I686</f>
        <v>0</v>
      </c>
      <c r="E32" s="1186">
        <f>SF!I412</f>
        <v>0</v>
      </c>
      <c r="F32" s="1186">
        <f t="shared" si="0"/>
        <v>0</v>
      </c>
      <c r="G32" s="1186" t="s">
        <v>422</v>
      </c>
      <c r="H32" s="1187">
        <v>0</v>
      </c>
      <c r="I32" s="1187">
        <v>0</v>
      </c>
      <c r="J32" s="1187">
        <v>0</v>
      </c>
      <c r="K32" s="1185">
        <v>0</v>
      </c>
      <c r="L32" s="1187">
        <v>0</v>
      </c>
      <c r="M32" s="1187">
        <v>0</v>
      </c>
      <c r="N32" s="1188">
        <f>ROUND(F32*0.015*1.05,2)</f>
        <v>0</v>
      </c>
      <c r="O32" s="1187">
        <v>0</v>
      </c>
      <c r="P32" s="1187">
        <v>0</v>
      </c>
      <c r="Q32" s="1187">
        <v>0</v>
      </c>
      <c r="R32" s="1187">
        <v>0</v>
      </c>
      <c r="S32" s="1190">
        <f t="shared" si="1"/>
        <v>0</v>
      </c>
      <c r="T32" s="1186">
        <v>4.32</v>
      </c>
      <c r="U32" s="1188" t="s">
        <v>4</v>
      </c>
    </row>
    <row r="33" spans="1:21" ht="20.100000000000001" hidden="1" customHeight="1">
      <c r="A33" s="1185">
        <v>18</v>
      </c>
      <c r="B33" s="1191" t="s">
        <v>604</v>
      </c>
      <c r="C33" s="1186">
        <f>WORK!I1059</f>
        <v>0</v>
      </c>
      <c r="D33" s="1186">
        <f>FF!I718</f>
        <v>0</v>
      </c>
      <c r="E33" s="1186">
        <f>SF!I444</f>
        <v>0</v>
      </c>
      <c r="F33" s="1186">
        <f t="shared" si="0"/>
        <v>0</v>
      </c>
      <c r="G33" s="1186" t="s">
        <v>422</v>
      </c>
      <c r="H33" s="1187">
        <v>0</v>
      </c>
      <c r="I33" s="1187">
        <v>0</v>
      </c>
      <c r="J33" s="1187">
        <v>0</v>
      </c>
      <c r="K33" s="1185">
        <v>0</v>
      </c>
      <c r="L33" s="1187">
        <v>0</v>
      </c>
      <c r="M33" s="1187">
        <v>0</v>
      </c>
      <c r="N33" s="1188">
        <f>ROUND(F33*0.021*1.05,2)</f>
        <v>0</v>
      </c>
      <c r="O33" s="1187">
        <v>0</v>
      </c>
      <c r="P33" s="1187">
        <v>0</v>
      </c>
      <c r="Q33" s="1187">
        <v>0</v>
      </c>
      <c r="R33" s="1187">
        <v>0</v>
      </c>
      <c r="S33" s="1190">
        <f t="shared" si="1"/>
        <v>0</v>
      </c>
      <c r="T33" s="1186">
        <v>6.05</v>
      </c>
      <c r="U33" s="1188" t="s">
        <v>4</v>
      </c>
    </row>
    <row r="34" spans="1:21" ht="20.100000000000001" customHeight="1">
      <c r="A34" s="1185">
        <v>18</v>
      </c>
      <c r="B34" s="1191" t="s">
        <v>904</v>
      </c>
      <c r="C34" s="1186">
        <f>WORK!I1100</f>
        <v>216.86</v>
      </c>
      <c r="D34" s="1186">
        <f>FF!I770</f>
        <v>0</v>
      </c>
      <c r="E34" s="1186">
        <f>SF!I480</f>
        <v>0</v>
      </c>
      <c r="F34" s="1186">
        <f t="shared" si="0"/>
        <v>216.86</v>
      </c>
      <c r="G34" s="1186" t="s">
        <v>422</v>
      </c>
      <c r="H34" s="1187">
        <v>0</v>
      </c>
      <c r="I34" s="1187">
        <v>0</v>
      </c>
      <c r="J34" s="1187">
        <v>0</v>
      </c>
      <c r="K34" s="1185">
        <v>0</v>
      </c>
      <c r="L34" s="1187">
        <v>0</v>
      </c>
      <c r="M34" s="1187">
        <v>0</v>
      </c>
      <c r="N34" s="1188">
        <f>ROUND(F34*0.015*1,2)</f>
        <v>3.25</v>
      </c>
      <c r="O34" s="1187">
        <v>0</v>
      </c>
      <c r="P34" s="1187">
        <v>0</v>
      </c>
      <c r="Q34" s="1187">
        <v>0</v>
      </c>
      <c r="R34" s="1187">
        <v>0</v>
      </c>
      <c r="S34" s="1190">
        <f t="shared" si="1"/>
        <v>22.08</v>
      </c>
      <c r="T34" s="1186">
        <v>5.09</v>
      </c>
      <c r="U34" s="1188" t="s">
        <v>4</v>
      </c>
    </row>
    <row r="35" spans="1:21" ht="20.100000000000001" customHeight="1">
      <c r="A35" s="1185">
        <v>19</v>
      </c>
      <c r="B35" s="1191" t="s">
        <v>603</v>
      </c>
      <c r="C35" s="1186">
        <f>WORK!I1167</f>
        <v>134.19000000000003</v>
      </c>
      <c r="D35" s="1186">
        <f>FF!I865</f>
        <v>0</v>
      </c>
      <c r="E35" s="1186">
        <f>SF!I515</f>
        <v>0</v>
      </c>
      <c r="F35" s="1186">
        <f t="shared" si="0"/>
        <v>134.19000000000003</v>
      </c>
      <c r="G35" s="1186" t="s">
        <v>422</v>
      </c>
      <c r="H35" s="1187">
        <v>0</v>
      </c>
      <c r="I35" s="1187">
        <v>0</v>
      </c>
      <c r="J35" s="1187">
        <v>0</v>
      </c>
      <c r="K35" s="1185">
        <v>0</v>
      </c>
      <c r="L35" s="1187">
        <v>0</v>
      </c>
      <c r="M35" s="1187">
        <v>0</v>
      </c>
      <c r="N35" s="1188">
        <f>ROUND(F35*0.022*1,2)</f>
        <v>2.95</v>
      </c>
      <c r="O35" s="1187">
        <v>0</v>
      </c>
      <c r="P35" s="1187">
        <v>0</v>
      </c>
      <c r="Q35" s="1187">
        <v>0</v>
      </c>
      <c r="R35" s="1187">
        <v>0</v>
      </c>
      <c r="S35" s="1190">
        <f t="shared" si="1"/>
        <v>15.43</v>
      </c>
      <c r="T35" s="1186">
        <v>5.75</v>
      </c>
      <c r="U35" s="1188" t="s">
        <v>4</v>
      </c>
    </row>
    <row r="36" spans="1:21" ht="20.100000000000001" hidden="1" customHeight="1">
      <c r="A36" s="1185">
        <v>20</v>
      </c>
      <c r="B36" s="1163" t="s">
        <v>447</v>
      </c>
      <c r="C36" s="1186">
        <f>WORK!I1206</f>
        <v>0</v>
      </c>
      <c r="D36" s="1186">
        <f>FF!I911</f>
        <v>0</v>
      </c>
      <c r="E36" s="1186">
        <f>SF!I544</f>
        <v>0</v>
      </c>
      <c r="F36" s="1186">
        <f t="shared" si="0"/>
        <v>0</v>
      </c>
      <c r="G36" s="1186" t="s">
        <v>421</v>
      </c>
      <c r="H36" s="1187">
        <v>0</v>
      </c>
      <c r="I36" s="1188">
        <f>ROUND(F36*0.8,2)</f>
        <v>0</v>
      </c>
      <c r="J36" s="1187">
        <v>0</v>
      </c>
      <c r="K36" s="1185">
        <v>0</v>
      </c>
      <c r="L36" s="1188">
        <f>ROUND(F36*0.4,2)</f>
        <v>0</v>
      </c>
      <c r="M36" s="1185">
        <v>0</v>
      </c>
      <c r="N36" s="1185">
        <v>0</v>
      </c>
      <c r="O36" s="1187">
        <v>0</v>
      </c>
      <c r="P36" s="1187">
        <v>0</v>
      </c>
      <c r="Q36" s="1187">
        <v>0</v>
      </c>
      <c r="R36" s="1187">
        <v>0</v>
      </c>
      <c r="S36" s="1190">
        <f t="shared" si="1"/>
        <v>0</v>
      </c>
      <c r="T36" s="1186">
        <f>$T$11</f>
        <v>340</v>
      </c>
      <c r="U36" s="1188" t="s">
        <v>4</v>
      </c>
    </row>
    <row r="37" spans="1:21" ht="20.100000000000001" hidden="1" customHeight="1">
      <c r="A37" s="1185">
        <v>7</v>
      </c>
      <c r="B37" s="1191" t="s">
        <v>241</v>
      </c>
      <c r="C37" s="1186">
        <f>WORK!I1232</f>
        <v>0</v>
      </c>
      <c r="D37" s="1186">
        <f>FF!I939</f>
        <v>0</v>
      </c>
      <c r="E37" s="1186">
        <f>SF!I565</f>
        <v>0</v>
      </c>
      <c r="F37" s="1186">
        <f t="shared" si="0"/>
        <v>0</v>
      </c>
      <c r="G37" s="1186" t="s">
        <v>422</v>
      </c>
      <c r="H37" s="1187">
        <v>0</v>
      </c>
      <c r="I37" s="1187">
        <v>0</v>
      </c>
      <c r="J37" s="1187">
        <v>0</v>
      </c>
      <c r="K37" s="1185">
        <v>0</v>
      </c>
      <c r="L37" s="1187">
        <v>0</v>
      </c>
      <c r="M37" s="1188">
        <f>ROUND(F37*0.014,2)</f>
        <v>0</v>
      </c>
      <c r="N37" s="1187">
        <v>0</v>
      </c>
      <c r="O37" s="1187">
        <v>0</v>
      </c>
      <c r="P37" s="1187">
        <v>0</v>
      </c>
      <c r="Q37" s="1187">
        <v>0</v>
      </c>
      <c r="R37" s="1187">
        <v>0</v>
      </c>
      <c r="S37" s="1190">
        <f t="shared" si="1"/>
        <v>0</v>
      </c>
      <c r="T37" s="1186">
        <v>6.06</v>
      </c>
      <c r="U37" s="1188" t="s">
        <v>4</v>
      </c>
    </row>
    <row r="38" spans="1:21" ht="20.100000000000001" hidden="1" customHeight="1">
      <c r="A38" s="1185">
        <v>8</v>
      </c>
      <c r="B38" s="1191" t="s">
        <v>242</v>
      </c>
      <c r="C38" s="1186">
        <f>WORK!I1266</f>
        <v>0</v>
      </c>
      <c r="D38" s="1186">
        <f>FF!I970</f>
        <v>0</v>
      </c>
      <c r="E38" s="1186">
        <f>SF!I590</f>
        <v>0</v>
      </c>
      <c r="F38" s="1186">
        <f t="shared" si="0"/>
        <v>0</v>
      </c>
      <c r="G38" s="1186" t="s">
        <v>422</v>
      </c>
      <c r="H38" s="1187">
        <v>0</v>
      </c>
      <c r="I38" s="1187">
        <v>0</v>
      </c>
      <c r="J38" s="1187">
        <v>0</v>
      </c>
      <c r="K38" s="1185">
        <v>0</v>
      </c>
      <c r="L38" s="1187">
        <v>0</v>
      </c>
      <c r="M38" s="1188">
        <f>ROUND(F38*0.012,2)</f>
        <v>0</v>
      </c>
      <c r="N38" s="1187">
        <v>0</v>
      </c>
      <c r="O38" s="1187">
        <v>0</v>
      </c>
      <c r="P38" s="1187">
        <v>0</v>
      </c>
      <c r="Q38" s="1187">
        <v>0</v>
      </c>
      <c r="R38" s="1187">
        <v>0</v>
      </c>
      <c r="S38" s="1190">
        <f t="shared" si="1"/>
        <v>0</v>
      </c>
      <c r="T38" s="1195">
        <v>6.7560000000000002</v>
      </c>
      <c r="U38" s="1188" t="s">
        <v>4</v>
      </c>
    </row>
    <row r="39" spans="1:21" ht="20.100000000000001" customHeight="1">
      <c r="A39" s="1185">
        <v>20</v>
      </c>
      <c r="B39" s="1191" t="s">
        <v>681</v>
      </c>
      <c r="C39" s="1186">
        <f>WORK!I1312</f>
        <v>111.85000000000002</v>
      </c>
      <c r="D39" s="1186">
        <f>FF!I1009</f>
        <v>0</v>
      </c>
      <c r="E39" s="1186">
        <f>SF!I618</f>
        <v>0</v>
      </c>
      <c r="F39" s="1186">
        <f t="shared" si="0"/>
        <v>111.85000000000002</v>
      </c>
      <c r="G39" s="1186" t="s">
        <v>422</v>
      </c>
      <c r="H39" s="1187">
        <v>0</v>
      </c>
      <c r="I39" s="1187">
        <v>0</v>
      </c>
      <c r="J39" s="1187">
        <v>0</v>
      </c>
      <c r="K39" s="1185">
        <v>0</v>
      </c>
      <c r="L39" s="1187">
        <v>0</v>
      </c>
      <c r="M39" s="1188">
        <f>ROUND(F39*0.014,2)</f>
        <v>1.57</v>
      </c>
      <c r="N39" s="1187">
        <v>0</v>
      </c>
      <c r="O39" s="1187">
        <v>0</v>
      </c>
      <c r="P39" s="1187">
        <v>0</v>
      </c>
      <c r="Q39" s="1187">
        <v>0</v>
      </c>
      <c r="R39" s="1187">
        <v>0</v>
      </c>
      <c r="S39" s="1190">
        <f t="shared" si="1"/>
        <v>16.78</v>
      </c>
      <c r="T39" s="1186">
        <v>7.5</v>
      </c>
      <c r="U39" s="1188" t="s">
        <v>4</v>
      </c>
    </row>
    <row r="40" spans="1:21" ht="20.100000000000001" customHeight="1">
      <c r="A40" s="1185">
        <v>21</v>
      </c>
      <c r="B40" s="1191" t="s">
        <v>682</v>
      </c>
      <c r="C40" s="1186">
        <f>WORK!I1357</f>
        <v>9.15</v>
      </c>
      <c r="D40" s="1186">
        <f>FF!I1048</f>
        <v>0</v>
      </c>
      <c r="E40" s="1186">
        <f>SF!I646</f>
        <v>0</v>
      </c>
      <c r="F40" s="1186">
        <f t="shared" si="0"/>
        <v>9.15</v>
      </c>
      <c r="G40" s="1186" t="s">
        <v>422</v>
      </c>
      <c r="H40" s="1187">
        <v>0</v>
      </c>
      <c r="I40" s="1187">
        <v>0</v>
      </c>
      <c r="J40" s="1187">
        <v>0</v>
      </c>
      <c r="K40" s="1185">
        <v>0</v>
      </c>
      <c r="L40" s="1187">
        <v>0</v>
      </c>
      <c r="M40" s="1188">
        <f>ROUND(F40*0.012,2)</f>
        <v>0.11</v>
      </c>
      <c r="N40" s="1187">
        <v>0</v>
      </c>
      <c r="O40" s="1187">
        <v>0</v>
      </c>
      <c r="P40" s="1187">
        <v>0</v>
      </c>
      <c r="Q40" s="1187">
        <v>0</v>
      </c>
      <c r="R40" s="1187">
        <v>0</v>
      </c>
      <c r="S40" s="1190">
        <f t="shared" si="1"/>
        <v>1.66</v>
      </c>
      <c r="T40" s="1195">
        <v>9.06</v>
      </c>
      <c r="U40" s="1188" t="s">
        <v>4</v>
      </c>
    </row>
    <row r="41" spans="1:21" ht="20.100000000000001" hidden="1" customHeight="1">
      <c r="A41" s="1185">
        <v>37</v>
      </c>
      <c r="B41" s="1191" t="s">
        <v>683</v>
      </c>
      <c r="C41" s="1186">
        <f>WORK!I1393</f>
        <v>0</v>
      </c>
      <c r="D41" s="1186">
        <f>FF!I1089</f>
        <v>0</v>
      </c>
      <c r="E41" s="1186">
        <f>SF!I674</f>
        <v>0</v>
      </c>
      <c r="F41" s="1186">
        <f t="shared" si="0"/>
        <v>0</v>
      </c>
      <c r="G41" s="1186" t="s">
        <v>422</v>
      </c>
      <c r="H41" s="1187">
        <v>0</v>
      </c>
      <c r="I41" s="1187">
        <v>0</v>
      </c>
      <c r="J41" s="1187">
        <v>0</v>
      </c>
      <c r="K41" s="1185">
        <v>0</v>
      </c>
      <c r="L41" s="1187">
        <v>0</v>
      </c>
      <c r="M41" s="1188">
        <f>ROUND(F41*0.014,2)</f>
        <v>0</v>
      </c>
      <c r="N41" s="1187">
        <v>0</v>
      </c>
      <c r="O41" s="1187">
        <v>0</v>
      </c>
      <c r="P41" s="1187">
        <v>0</v>
      </c>
      <c r="Q41" s="1187">
        <v>0</v>
      </c>
      <c r="R41" s="1187">
        <v>0</v>
      </c>
      <c r="S41" s="1190">
        <f t="shared" si="1"/>
        <v>0</v>
      </c>
      <c r="T41" s="1186">
        <v>7.5</v>
      </c>
      <c r="U41" s="1188" t="s">
        <v>4</v>
      </c>
    </row>
    <row r="42" spans="1:21" ht="20.100000000000001" hidden="1" customHeight="1">
      <c r="A42" s="1185">
        <v>38</v>
      </c>
      <c r="B42" s="1191" t="s">
        <v>684</v>
      </c>
      <c r="C42" s="1186">
        <f>WORK!I1424</f>
        <v>0</v>
      </c>
      <c r="D42" s="1186">
        <f>FF!I1123</f>
        <v>0</v>
      </c>
      <c r="E42" s="1186">
        <f>SF!I702</f>
        <v>0</v>
      </c>
      <c r="F42" s="1186">
        <f t="shared" si="0"/>
        <v>0</v>
      </c>
      <c r="G42" s="1186" t="s">
        <v>422</v>
      </c>
      <c r="H42" s="1187">
        <v>0</v>
      </c>
      <c r="I42" s="1187">
        <v>0</v>
      </c>
      <c r="J42" s="1187">
        <v>0</v>
      </c>
      <c r="K42" s="1185">
        <v>0</v>
      </c>
      <c r="L42" s="1187">
        <v>0</v>
      </c>
      <c r="M42" s="1188">
        <f>ROUND(F42*0.012,2)</f>
        <v>0</v>
      </c>
      <c r="N42" s="1187">
        <v>0</v>
      </c>
      <c r="O42" s="1187">
        <v>0</v>
      </c>
      <c r="P42" s="1187">
        <v>0</v>
      </c>
      <c r="Q42" s="1187">
        <v>0</v>
      </c>
      <c r="R42" s="1187">
        <v>0</v>
      </c>
      <c r="S42" s="1190">
        <f t="shared" si="1"/>
        <v>0</v>
      </c>
      <c r="T42" s="1195">
        <v>6.7560000000000002</v>
      </c>
      <c r="U42" s="1188" t="s">
        <v>4</v>
      </c>
    </row>
    <row r="43" spans="1:21" ht="20.100000000000001" hidden="1" customHeight="1">
      <c r="A43" s="1185">
        <v>11</v>
      </c>
      <c r="B43" s="1191" t="s">
        <v>239</v>
      </c>
      <c r="C43" s="1186">
        <f>WORK!I1452</f>
        <v>0</v>
      </c>
      <c r="D43" s="1186">
        <f>FF!I1155</f>
        <v>0</v>
      </c>
      <c r="E43" s="1186">
        <f>SF!I730</f>
        <v>0</v>
      </c>
      <c r="F43" s="1186">
        <f t="shared" si="0"/>
        <v>0</v>
      </c>
      <c r="G43" s="1186" t="s">
        <v>422</v>
      </c>
      <c r="H43" s="1187">
        <v>0</v>
      </c>
      <c r="I43" s="1187">
        <v>0</v>
      </c>
      <c r="J43" s="1187">
        <v>0</v>
      </c>
      <c r="K43" s="1185">
        <v>0</v>
      </c>
      <c r="L43" s="1187">
        <v>0</v>
      </c>
      <c r="M43" s="1188">
        <f>ROUND(F43*0.012,2)</f>
        <v>0</v>
      </c>
      <c r="N43" s="1187">
        <v>0</v>
      </c>
      <c r="O43" s="1187">
        <v>0</v>
      </c>
      <c r="P43" s="1187">
        <v>0</v>
      </c>
      <c r="Q43" s="1187">
        <v>0</v>
      </c>
      <c r="R43" s="1187">
        <v>0</v>
      </c>
      <c r="S43" s="1190">
        <f t="shared" si="1"/>
        <v>0</v>
      </c>
      <c r="T43" s="1186">
        <v>5.46</v>
      </c>
      <c r="U43" s="1188" t="s">
        <v>4</v>
      </c>
    </row>
    <row r="44" spans="1:21" ht="20.100000000000001" hidden="1" customHeight="1">
      <c r="A44" s="1185">
        <v>12</v>
      </c>
      <c r="B44" s="1191" t="s">
        <v>240</v>
      </c>
      <c r="C44" s="1186">
        <f>WORK!I1476</f>
        <v>0</v>
      </c>
      <c r="D44" s="1186">
        <f>FF!I1182</f>
        <v>0</v>
      </c>
      <c r="E44" s="1186">
        <f>SF!I757</f>
        <v>0</v>
      </c>
      <c r="F44" s="1186">
        <f t="shared" si="0"/>
        <v>0</v>
      </c>
      <c r="G44" s="1186" t="s">
        <v>422</v>
      </c>
      <c r="H44" s="1187">
        <v>0</v>
      </c>
      <c r="I44" s="1187">
        <v>0</v>
      </c>
      <c r="J44" s="1187">
        <v>0</v>
      </c>
      <c r="K44" s="1185">
        <v>0</v>
      </c>
      <c r="L44" s="1187">
        <v>0</v>
      </c>
      <c r="M44" s="1188">
        <f>ROUND(F44*0.012,2)</f>
        <v>0</v>
      </c>
      <c r="N44" s="1187">
        <v>0</v>
      </c>
      <c r="O44" s="1187">
        <v>0</v>
      </c>
      <c r="P44" s="1187">
        <v>0</v>
      </c>
      <c r="Q44" s="1187">
        <v>0</v>
      </c>
      <c r="R44" s="1187">
        <v>0</v>
      </c>
      <c r="S44" s="1190">
        <f t="shared" si="1"/>
        <v>0</v>
      </c>
      <c r="T44" s="1186">
        <v>9.06</v>
      </c>
      <c r="U44" s="1188" t="s">
        <v>4</v>
      </c>
    </row>
    <row r="45" spans="1:21" ht="20.100000000000001" customHeight="1">
      <c r="A45" s="1185">
        <v>22</v>
      </c>
      <c r="B45" s="1191" t="s">
        <v>1216</v>
      </c>
      <c r="C45" s="1186">
        <f>WORK!I1501</f>
        <v>19.310000000000002</v>
      </c>
      <c r="D45" s="1186">
        <f>FF!I1217</f>
        <v>0</v>
      </c>
      <c r="E45" s="1186">
        <f>SF!I781</f>
        <v>0</v>
      </c>
      <c r="F45" s="1186">
        <f t="shared" si="0"/>
        <v>19.310000000000002</v>
      </c>
      <c r="G45" s="1186" t="s">
        <v>422</v>
      </c>
      <c r="H45" s="1187">
        <v>0</v>
      </c>
      <c r="I45" s="1187">
        <v>0</v>
      </c>
      <c r="J45" s="1187">
        <v>0</v>
      </c>
      <c r="K45" s="1185">
        <v>0</v>
      </c>
      <c r="L45" s="1187">
        <v>0</v>
      </c>
      <c r="M45" s="1188">
        <f>ROUND(F45*0.008*1,2)</f>
        <v>0.15</v>
      </c>
      <c r="N45" s="1187">
        <v>0</v>
      </c>
      <c r="O45" s="1187">
        <v>0</v>
      </c>
      <c r="P45" s="1187">
        <v>0</v>
      </c>
      <c r="Q45" s="1187">
        <v>0</v>
      </c>
      <c r="R45" s="1187">
        <v>0</v>
      </c>
      <c r="S45" s="1190">
        <f t="shared" si="1"/>
        <v>1.07</v>
      </c>
      <c r="T45" s="1186">
        <v>2.76</v>
      </c>
      <c r="U45" s="1188" t="s">
        <v>4</v>
      </c>
    </row>
    <row r="46" spans="1:21" ht="20.100000000000001" hidden="1" customHeight="1">
      <c r="A46" s="1185">
        <v>5</v>
      </c>
      <c r="B46" s="1163" t="s">
        <v>2279</v>
      </c>
      <c r="C46" s="1186">
        <f>WORK!I1555</f>
        <v>0</v>
      </c>
      <c r="D46" s="1186"/>
      <c r="E46" s="1186"/>
      <c r="F46" s="1186">
        <f t="shared" ref="F46" si="4">SUM(C46:E46)</f>
        <v>0</v>
      </c>
      <c r="G46" s="1186" t="s">
        <v>421</v>
      </c>
      <c r="H46" s="1187">
        <v>0</v>
      </c>
      <c r="I46" s="1188">
        <f>ROUND(F46*0.017,2)</f>
        <v>0</v>
      </c>
      <c r="J46" s="1187">
        <v>0</v>
      </c>
      <c r="K46" s="1185">
        <v>0</v>
      </c>
      <c r="L46" s="1188">
        <f>ROUND(F46*0.009,2)</f>
        <v>0</v>
      </c>
      <c r="M46" s="1185">
        <v>0</v>
      </c>
      <c r="N46" s="1185">
        <v>0</v>
      </c>
      <c r="O46" s="1187">
        <v>0</v>
      </c>
      <c r="P46" s="1187">
        <v>0</v>
      </c>
      <c r="Q46" s="1187">
        <v>0</v>
      </c>
      <c r="R46" s="1187">
        <v>0</v>
      </c>
      <c r="S46" s="1190">
        <f t="shared" si="1"/>
        <v>0</v>
      </c>
      <c r="T46" s="1186">
        <v>12</v>
      </c>
      <c r="U46" s="1188" t="s">
        <v>4</v>
      </c>
    </row>
    <row r="47" spans="1:21" ht="18" hidden="1" customHeight="1">
      <c r="A47" s="1185"/>
      <c r="B47" s="1191"/>
      <c r="C47" s="1191"/>
      <c r="D47" s="1191"/>
      <c r="E47" s="1191"/>
      <c r="F47" s="1186"/>
      <c r="G47" s="1186"/>
      <c r="H47" s="1188"/>
      <c r="I47" s="1188"/>
      <c r="J47" s="1188"/>
      <c r="K47" s="1188"/>
      <c r="L47" s="1188"/>
      <c r="M47" s="1188"/>
      <c r="N47" s="1187"/>
      <c r="O47" s="1188"/>
      <c r="P47" s="1188"/>
      <c r="Q47" s="1187"/>
      <c r="R47" s="1188"/>
      <c r="S47" s="1188"/>
      <c r="T47" s="1186"/>
      <c r="U47" s="1188"/>
    </row>
    <row r="48" spans="1:21">
      <c r="A48" s="1163"/>
      <c r="B48" s="1192" t="s">
        <v>103</v>
      </c>
      <c r="C48" s="1163"/>
      <c r="D48" s="1163"/>
      <c r="E48" s="1163"/>
      <c r="F48" s="1181">
        <v>1</v>
      </c>
      <c r="G48" s="1163"/>
      <c r="H48" s="1193">
        <f t="shared" ref="H48:S48" si="5">SUM(H5:H47)</f>
        <v>19.829999999999998</v>
      </c>
      <c r="I48" s="1193">
        <f t="shared" si="5"/>
        <v>39.090000000000003</v>
      </c>
      <c r="J48" s="1193">
        <f t="shared" si="5"/>
        <v>0</v>
      </c>
      <c r="K48" s="1193">
        <f t="shared" si="5"/>
        <v>0</v>
      </c>
      <c r="L48" s="1193">
        <f t="shared" si="5"/>
        <v>29.45</v>
      </c>
      <c r="M48" s="1193">
        <f t="shared" si="5"/>
        <v>10.9</v>
      </c>
      <c r="N48" s="1193">
        <f t="shared" si="5"/>
        <v>10.84</v>
      </c>
      <c r="O48" s="1193">
        <f t="shared" si="5"/>
        <v>99.320000000000007</v>
      </c>
      <c r="P48" s="1193">
        <f t="shared" si="5"/>
        <v>13.280000000000001</v>
      </c>
      <c r="Q48" s="1193">
        <f t="shared" si="5"/>
        <v>23</v>
      </c>
      <c r="R48" s="1193">
        <f t="shared" si="5"/>
        <v>0</v>
      </c>
      <c r="S48" s="1193">
        <f t="shared" si="5"/>
        <v>544.25</v>
      </c>
      <c r="T48" s="1194" t="s">
        <v>142</v>
      </c>
      <c r="U48" s="1163"/>
    </row>
    <row r="49" spans="1:21" s="1161" customFormat="1" ht="15.75" hidden="1">
      <c r="A49" s="1176"/>
      <c r="B49" s="1177" t="s">
        <v>2022</v>
      </c>
      <c r="C49" s="1178"/>
      <c r="D49" s="1179"/>
      <c r="E49" s="1180"/>
      <c r="F49" s="1181">
        <v>1</v>
      </c>
      <c r="G49" s="1182"/>
      <c r="H49" s="1176"/>
      <c r="I49" s="1183"/>
      <c r="J49" s="1184"/>
      <c r="K49" s="1176"/>
      <c r="L49" s="1182"/>
      <c r="M49" s="1176"/>
    </row>
    <row r="50" spans="1:21" ht="18" hidden="1" customHeight="1">
      <c r="A50" s="1185">
        <v>1</v>
      </c>
      <c r="B50" s="1163" t="s">
        <v>101</v>
      </c>
      <c r="C50" s="1543"/>
      <c r="D50" s="1163"/>
      <c r="E50" s="1163"/>
      <c r="F50" s="1186">
        <f>C50+D50</f>
        <v>0</v>
      </c>
      <c r="G50" s="1186" t="s">
        <v>421</v>
      </c>
      <c r="H50" s="1185">
        <v>0</v>
      </c>
      <c r="I50" s="1185">
        <v>0</v>
      </c>
      <c r="J50" s="1185">
        <v>0</v>
      </c>
      <c r="K50" s="1185">
        <v>0</v>
      </c>
      <c r="L50" s="1185">
        <v>0</v>
      </c>
      <c r="M50" s="1185">
        <v>0</v>
      </c>
      <c r="N50" s="1185">
        <v>0</v>
      </c>
      <c r="O50" s="1187">
        <v>0</v>
      </c>
      <c r="P50" s="1187">
        <v>0</v>
      </c>
      <c r="Q50" s="1185">
        <v>0</v>
      </c>
      <c r="R50" s="1188">
        <f>F50</f>
        <v>0</v>
      </c>
      <c r="S50" s="1189">
        <v>0</v>
      </c>
      <c r="T50" s="1163">
        <v>0</v>
      </c>
      <c r="U50" s="1163"/>
    </row>
    <row r="51" spans="1:21" ht="20.100000000000001" hidden="1" customHeight="1">
      <c r="A51" s="1185">
        <v>1</v>
      </c>
      <c r="B51" s="1163" t="s">
        <v>135</v>
      </c>
      <c r="C51" s="1186">
        <f>WORK!I236</f>
        <v>0</v>
      </c>
      <c r="D51" s="1163"/>
      <c r="E51" s="1163"/>
      <c r="F51" s="1186">
        <f t="shared" ref="F51:F91" si="6">SUM(C51:E51)</f>
        <v>0</v>
      </c>
      <c r="G51" s="1186" t="s">
        <v>421</v>
      </c>
      <c r="H51" s="1185">
        <v>0</v>
      </c>
      <c r="I51" s="1185">
        <v>0</v>
      </c>
      <c r="J51" s="1185">
        <v>0</v>
      </c>
      <c r="K51" s="1185">
        <v>0</v>
      </c>
      <c r="L51" s="1185">
        <v>0</v>
      </c>
      <c r="M51" s="1185">
        <v>0</v>
      </c>
      <c r="N51" s="1185">
        <v>0</v>
      </c>
      <c r="O51" s="1188">
        <f>F51</f>
        <v>0</v>
      </c>
      <c r="P51" s="1187">
        <v>0</v>
      </c>
      <c r="Q51" s="1185">
        <v>0</v>
      </c>
      <c r="R51" s="1187">
        <v>0</v>
      </c>
      <c r="S51" s="1189">
        <v>0</v>
      </c>
      <c r="T51" s="1163">
        <v>0</v>
      </c>
      <c r="U51" s="1163"/>
    </row>
    <row r="52" spans="1:21" ht="20.100000000000001" hidden="1" customHeight="1">
      <c r="A52" s="1185">
        <v>14</v>
      </c>
      <c r="B52" s="1163" t="s">
        <v>1192</v>
      </c>
      <c r="C52" s="1186">
        <f>WORK!I176</f>
        <v>0</v>
      </c>
      <c r="D52" s="1163"/>
      <c r="E52" s="1163"/>
      <c r="F52" s="1186">
        <f t="shared" si="6"/>
        <v>0</v>
      </c>
      <c r="G52" s="1186" t="s">
        <v>421</v>
      </c>
      <c r="H52" s="1185">
        <v>0</v>
      </c>
      <c r="I52" s="1185">
        <v>0</v>
      </c>
      <c r="J52" s="1185">
        <v>0</v>
      </c>
      <c r="K52" s="1185">
        <v>0</v>
      </c>
      <c r="L52" s="1185">
        <v>0</v>
      </c>
      <c r="M52" s="1185">
        <v>0</v>
      </c>
      <c r="N52" s="1185">
        <v>0</v>
      </c>
      <c r="O52" s="1187">
        <v>0</v>
      </c>
      <c r="P52" s="1188">
        <f>F52</f>
        <v>0</v>
      </c>
      <c r="Q52" s="1185">
        <v>0</v>
      </c>
      <c r="R52" s="1187">
        <v>0</v>
      </c>
      <c r="S52" s="1189">
        <v>0</v>
      </c>
      <c r="T52" s="1163">
        <v>0</v>
      </c>
      <c r="U52" s="1163"/>
    </row>
    <row r="53" spans="1:21" ht="20.100000000000001" hidden="1" customHeight="1">
      <c r="A53" s="1185">
        <v>4</v>
      </c>
      <c r="B53" s="1163" t="s">
        <v>663</v>
      </c>
      <c r="C53" s="1186">
        <f>WORK!I200</f>
        <v>0</v>
      </c>
      <c r="D53" s="1163"/>
      <c r="E53" s="1163"/>
      <c r="F53" s="1186">
        <f t="shared" si="6"/>
        <v>0</v>
      </c>
      <c r="G53" s="1186" t="s">
        <v>421</v>
      </c>
      <c r="H53" s="1185">
        <v>0</v>
      </c>
      <c r="I53" s="1185">
        <v>0</v>
      </c>
      <c r="J53" s="1185">
        <v>0</v>
      </c>
      <c r="K53" s="1185">
        <v>0</v>
      </c>
      <c r="L53" s="1185">
        <v>0</v>
      </c>
      <c r="M53" s="1185">
        <v>0</v>
      </c>
      <c r="N53" s="1185">
        <v>0</v>
      </c>
      <c r="O53" s="1187">
        <v>0</v>
      </c>
      <c r="P53" s="1188"/>
      <c r="Q53" s="1185">
        <v>0</v>
      </c>
      <c r="R53" s="1188">
        <f>F53</f>
        <v>0</v>
      </c>
      <c r="S53" s="1189">
        <v>0</v>
      </c>
      <c r="T53" s="1163">
        <v>0</v>
      </c>
      <c r="U53" s="1163"/>
    </row>
    <row r="54" spans="1:21" ht="20.100000000000001" hidden="1" customHeight="1">
      <c r="A54" s="1185">
        <v>15</v>
      </c>
      <c r="B54" s="1163" t="s">
        <v>235</v>
      </c>
      <c r="C54" s="1186">
        <f>WORK!I110</f>
        <v>0</v>
      </c>
      <c r="D54" s="1163"/>
      <c r="E54" s="1163"/>
      <c r="F54" s="1186">
        <f t="shared" si="6"/>
        <v>0</v>
      </c>
      <c r="G54" s="1186" t="s">
        <v>421</v>
      </c>
      <c r="H54" s="1188">
        <f>ROUND(F54*0.9,2)</f>
        <v>0</v>
      </c>
      <c r="I54" s="1187">
        <v>0</v>
      </c>
      <c r="J54" s="1187">
        <v>0</v>
      </c>
      <c r="K54" s="1185">
        <v>0</v>
      </c>
      <c r="L54" s="1188">
        <f>ROUND(F54*0.45,2)</f>
        <v>0</v>
      </c>
      <c r="M54" s="1185">
        <v>0</v>
      </c>
      <c r="N54" s="1185">
        <v>0</v>
      </c>
      <c r="O54" s="1187">
        <v>0</v>
      </c>
      <c r="P54" s="1187">
        <v>0</v>
      </c>
      <c r="Q54" s="1187">
        <v>0</v>
      </c>
      <c r="R54" s="1187">
        <v>0</v>
      </c>
      <c r="S54" s="1190">
        <f t="shared" ref="S54:S91" si="7">ROUND(F54*T54/50,2)</f>
        <v>0</v>
      </c>
      <c r="T54" s="1186">
        <v>162</v>
      </c>
      <c r="U54" s="1188" t="s">
        <v>4</v>
      </c>
    </row>
    <row r="55" spans="1:21" ht="20.100000000000001" hidden="1" customHeight="1">
      <c r="A55" s="1185">
        <v>6</v>
      </c>
      <c r="B55" s="1163" t="s">
        <v>446</v>
      </c>
      <c r="C55" s="1186">
        <f>WORK!I146</f>
        <v>0</v>
      </c>
      <c r="D55" s="1163"/>
      <c r="E55" s="1163"/>
      <c r="F55" s="1186">
        <f t="shared" si="6"/>
        <v>0</v>
      </c>
      <c r="G55" s="1186" t="s">
        <v>421</v>
      </c>
      <c r="H55" s="1188">
        <f>ROUND(F55*0.9,2)</f>
        <v>0</v>
      </c>
      <c r="I55" s="1187">
        <v>0</v>
      </c>
      <c r="J55" s="1187">
        <v>0</v>
      </c>
      <c r="K55" s="1185">
        <v>0</v>
      </c>
      <c r="L55" s="1188">
        <f>ROUND(F55*0.45,2)</f>
        <v>0</v>
      </c>
      <c r="M55" s="1185">
        <v>0</v>
      </c>
      <c r="N55" s="1185">
        <v>0</v>
      </c>
      <c r="O55" s="1187">
        <v>0</v>
      </c>
      <c r="P55" s="1187">
        <v>0</v>
      </c>
      <c r="Q55" s="1187">
        <v>0</v>
      </c>
      <c r="R55" s="1187">
        <v>0</v>
      </c>
      <c r="S55" s="1190">
        <f t="shared" si="7"/>
        <v>0</v>
      </c>
      <c r="T55" s="1186">
        <v>129.6</v>
      </c>
      <c r="U55" s="1188" t="s">
        <v>4</v>
      </c>
    </row>
    <row r="56" spans="1:21" ht="20.100000000000001" hidden="1" customHeight="1">
      <c r="A56" s="1185">
        <v>16</v>
      </c>
      <c r="B56" s="1163" t="s">
        <v>132</v>
      </c>
      <c r="C56" s="1186">
        <f>WORK!I296</f>
        <v>0</v>
      </c>
      <c r="D56" s="1163"/>
      <c r="E56" s="1163"/>
      <c r="F56" s="1186">
        <f t="shared" si="6"/>
        <v>0</v>
      </c>
      <c r="G56" s="1186" t="s">
        <v>421</v>
      </c>
      <c r="H56" s="1187">
        <v>0</v>
      </c>
      <c r="I56" s="1188">
        <f t="shared" ref="I56:I66" si="8">ROUND(F56*0.8,2)</f>
        <v>0</v>
      </c>
      <c r="J56" s="1187">
        <v>0</v>
      </c>
      <c r="K56" s="1185">
        <v>0</v>
      </c>
      <c r="L56" s="1188">
        <f t="shared" ref="L56:L66" si="9">ROUND(F56*0.4,2)</f>
        <v>0</v>
      </c>
      <c r="M56" s="1185">
        <v>0</v>
      </c>
      <c r="N56" s="1185">
        <v>0</v>
      </c>
      <c r="O56" s="1187">
        <v>0</v>
      </c>
      <c r="P56" s="1187">
        <v>0</v>
      </c>
      <c r="Q56" s="1187">
        <v>0</v>
      </c>
      <c r="R56" s="1187">
        <v>0</v>
      </c>
      <c r="S56" s="1190">
        <f t="shared" si="7"/>
        <v>0</v>
      </c>
      <c r="T56" s="1186">
        <f>data!E1026</f>
        <v>340</v>
      </c>
      <c r="U56" s="1188" t="s">
        <v>4</v>
      </c>
    </row>
    <row r="57" spans="1:21" ht="20.100000000000001" hidden="1" customHeight="1">
      <c r="A57" s="1185">
        <v>4</v>
      </c>
      <c r="B57" s="1163" t="s">
        <v>133</v>
      </c>
      <c r="C57" s="1186">
        <f>WORK!I316</f>
        <v>0</v>
      </c>
      <c r="D57" s="1163"/>
      <c r="E57" s="1163"/>
      <c r="F57" s="1186">
        <f t="shared" si="6"/>
        <v>0</v>
      </c>
      <c r="G57" s="1186" t="s">
        <v>421</v>
      </c>
      <c r="H57" s="1187">
        <v>0</v>
      </c>
      <c r="I57" s="1188">
        <f t="shared" si="8"/>
        <v>0</v>
      </c>
      <c r="J57" s="1187">
        <v>0</v>
      </c>
      <c r="K57" s="1185">
        <v>0</v>
      </c>
      <c r="L57" s="1188">
        <f t="shared" si="9"/>
        <v>0</v>
      </c>
      <c r="M57" s="1185">
        <v>0</v>
      </c>
      <c r="N57" s="1185">
        <v>0</v>
      </c>
      <c r="O57" s="1187">
        <v>0</v>
      </c>
      <c r="P57" s="1187">
        <v>0</v>
      </c>
      <c r="Q57" s="1187">
        <v>0</v>
      </c>
      <c r="R57" s="1187">
        <v>0</v>
      </c>
      <c r="S57" s="1190">
        <f t="shared" si="7"/>
        <v>0</v>
      </c>
      <c r="T57" s="1186">
        <f>$T$56</f>
        <v>340</v>
      </c>
      <c r="U57" s="1188" t="s">
        <v>4</v>
      </c>
    </row>
    <row r="58" spans="1:21" ht="20.100000000000001" hidden="1" customHeight="1">
      <c r="A58" s="1185">
        <v>17</v>
      </c>
      <c r="B58" s="1163" t="s">
        <v>127</v>
      </c>
      <c r="C58" s="1186">
        <f>WORK!I349</f>
        <v>0</v>
      </c>
      <c r="D58" s="1186">
        <f>FF!I21</f>
        <v>0</v>
      </c>
      <c r="E58" s="1186">
        <f>SF!I21</f>
        <v>0</v>
      </c>
      <c r="F58" s="1186">
        <f t="shared" si="6"/>
        <v>0</v>
      </c>
      <c r="G58" s="1186" t="s">
        <v>421</v>
      </c>
      <c r="H58" s="1187">
        <v>0</v>
      </c>
      <c r="I58" s="1188">
        <f t="shared" si="8"/>
        <v>0</v>
      </c>
      <c r="J58" s="1187">
        <v>0</v>
      </c>
      <c r="K58" s="1185">
        <v>0</v>
      </c>
      <c r="L58" s="1188">
        <f t="shared" si="9"/>
        <v>0</v>
      </c>
      <c r="M58" s="1185">
        <v>0</v>
      </c>
      <c r="N58" s="1185">
        <v>0</v>
      </c>
      <c r="O58" s="1187">
        <v>0</v>
      </c>
      <c r="P58" s="1187">
        <v>0</v>
      </c>
      <c r="Q58" s="1187">
        <v>0</v>
      </c>
      <c r="R58" s="1187">
        <v>0</v>
      </c>
      <c r="S58" s="1190">
        <f t="shared" si="7"/>
        <v>0</v>
      </c>
      <c r="T58" s="1186">
        <f>$T$56</f>
        <v>340</v>
      </c>
      <c r="U58" s="1188" t="s">
        <v>4</v>
      </c>
    </row>
    <row r="59" spans="1:21" ht="20.100000000000001" hidden="1" customHeight="1">
      <c r="A59" s="1185">
        <v>18</v>
      </c>
      <c r="B59" s="1163" t="s">
        <v>128</v>
      </c>
      <c r="C59" s="1186">
        <f>WORK!I392</f>
        <v>0</v>
      </c>
      <c r="D59" s="1163"/>
      <c r="E59" s="1163"/>
      <c r="F59" s="1186">
        <f t="shared" si="6"/>
        <v>0</v>
      </c>
      <c r="G59" s="1186" t="s">
        <v>421</v>
      </c>
      <c r="H59" s="1187">
        <v>0</v>
      </c>
      <c r="I59" s="1188">
        <f t="shared" si="8"/>
        <v>0</v>
      </c>
      <c r="J59" s="1187">
        <v>0</v>
      </c>
      <c r="K59" s="1185">
        <v>0</v>
      </c>
      <c r="L59" s="1188">
        <f t="shared" si="9"/>
        <v>0</v>
      </c>
      <c r="M59" s="1185">
        <v>0</v>
      </c>
      <c r="N59" s="1185">
        <v>0</v>
      </c>
      <c r="O59" s="1187">
        <v>0</v>
      </c>
      <c r="P59" s="1187">
        <v>0</v>
      </c>
      <c r="Q59" s="1187">
        <v>0</v>
      </c>
      <c r="R59" s="1187">
        <v>0</v>
      </c>
      <c r="S59" s="1190">
        <f t="shared" si="7"/>
        <v>0</v>
      </c>
      <c r="T59" s="1186">
        <f>$T$56</f>
        <v>340</v>
      </c>
      <c r="U59" s="1188" t="s">
        <v>4</v>
      </c>
    </row>
    <row r="60" spans="1:21" ht="20.100000000000001" hidden="1" customHeight="1">
      <c r="A60" s="1185">
        <v>12</v>
      </c>
      <c r="B60" s="1163" t="s">
        <v>131</v>
      </c>
      <c r="C60" s="1186">
        <f>WORK!I440</f>
        <v>0</v>
      </c>
      <c r="D60" s="1186">
        <f>FF!I74</f>
        <v>0</v>
      </c>
      <c r="E60" s="1186">
        <f>SF!I45</f>
        <v>0</v>
      </c>
      <c r="F60" s="1186">
        <f t="shared" si="6"/>
        <v>0</v>
      </c>
      <c r="G60" s="1186" t="s">
        <v>421</v>
      </c>
      <c r="H60" s="1187">
        <v>0</v>
      </c>
      <c r="I60" s="1188">
        <f t="shared" si="8"/>
        <v>0</v>
      </c>
      <c r="J60" s="1187">
        <v>0</v>
      </c>
      <c r="K60" s="1185">
        <v>0</v>
      </c>
      <c r="L60" s="1188">
        <f t="shared" si="9"/>
        <v>0</v>
      </c>
      <c r="M60" s="1185">
        <v>0</v>
      </c>
      <c r="N60" s="1185">
        <v>0</v>
      </c>
      <c r="O60" s="1187">
        <v>0</v>
      </c>
      <c r="P60" s="1187">
        <v>0</v>
      </c>
      <c r="Q60" s="1187">
        <v>0</v>
      </c>
      <c r="R60" s="1187">
        <v>0</v>
      </c>
      <c r="S60" s="1190">
        <f t="shared" si="7"/>
        <v>0</v>
      </c>
      <c r="T60" s="1186">
        <f>$T$56</f>
        <v>340</v>
      </c>
      <c r="U60" s="1188" t="s">
        <v>4</v>
      </c>
    </row>
    <row r="61" spans="1:21" ht="20.100000000000001" hidden="1" customHeight="1">
      <c r="A61" s="1185">
        <v>14</v>
      </c>
      <c r="B61" s="1191" t="s">
        <v>236</v>
      </c>
      <c r="C61" s="1186">
        <f>ROUND(WORK!I489*0.15,2)</f>
        <v>0</v>
      </c>
      <c r="D61" s="1186">
        <f>ROUND(FF!I120*0.15,2)</f>
        <v>0</v>
      </c>
      <c r="E61" s="1186">
        <f>ROUND(SF!I69*0.15,2)</f>
        <v>0</v>
      </c>
      <c r="F61" s="1186">
        <f t="shared" si="6"/>
        <v>0</v>
      </c>
      <c r="G61" s="1186" t="s">
        <v>422</v>
      </c>
      <c r="H61" s="1187">
        <v>0</v>
      </c>
      <c r="I61" s="1188">
        <f t="shared" si="8"/>
        <v>0</v>
      </c>
      <c r="J61" s="1187">
        <v>0</v>
      </c>
      <c r="K61" s="1185">
        <v>0</v>
      </c>
      <c r="L61" s="1188">
        <f t="shared" si="9"/>
        <v>0</v>
      </c>
      <c r="M61" s="1185">
        <v>0</v>
      </c>
      <c r="N61" s="1185">
        <v>0</v>
      </c>
      <c r="O61" s="1187">
        <v>0</v>
      </c>
      <c r="P61" s="1187">
        <v>0</v>
      </c>
      <c r="Q61" s="1187">
        <v>0</v>
      </c>
      <c r="R61" s="1187">
        <v>0</v>
      </c>
      <c r="S61" s="1190">
        <f t="shared" si="7"/>
        <v>0</v>
      </c>
      <c r="T61" s="1186">
        <f>ROUND(T60,2)</f>
        <v>340</v>
      </c>
      <c r="U61" s="1188" t="s">
        <v>4</v>
      </c>
    </row>
    <row r="62" spans="1:21" ht="20.100000000000001" hidden="1" customHeight="1">
      <c r="A62" s="1185">
        <v>13</v>
      </c>
      <c r="B62" s="1191" t="s">
        <v>237</v>
      </c>
      <c r="C62" s="1186">
        <f>ROUND(WORK!I512*0.125,2)</f>
        <v>0</v>
      </c>
      <c r="D62" s="1186">
        <f>ROUND(FF!I146*0.125,2)</f>
        <v>0</v>
      </c>
      <c r="E62" s="1186">
        <f>ROUND(SF!I91*0.125,2)</f>
        <v>0</v>
      </c>
      <c r="F62" s="1186">
        <f t="shared" si="6"/>
        <v>0</v>
      </c>
      <c r="G62" s="1186" t="s">
        <v>422</v>
      </c>
      <c r="H62" s="1187">
        <v>0</v>
      </c>
      <c r="I62" s="1188">
        <f t="shared" si="8"/>
        <v>0</v>
      </c>
      <c r="J62" s="1187">
        <v>0</v>
      </c>
      <c r="K62" s="1185">
        <v>0</v>
      </c>
      <c r="L62" s="1188">
        <f t="shared" si="9"/>
        <v>0</v>
      </c>
      <c r="M62" s="1185">
        <v>0</v>
      </c>
      <c r="N62" s="1185">
        <v>0</v>
      </c>
      <c r="O62" s="1187">
        <v>0</v>
      </c>
      <c r="P62" s="1187">
        <v>0</v>
      </c>
      <c r="Q62" s="1187">
        <v>0</v>
      </c>
      <c r="R62" s="1187">
        <v>0</v>
      </c>
      <c r="S62" s="1190">
        <f t="shared" si="7"/>
        <v>0</v>
      </c>
      <c r="T62" s="1186">
        <f>ROUND(T60,2)</f>
        <v>340</v>
      </c>
      <c r="U62" s="1188" t="s">
        <v>4</v>
      </c>
    </row>
    <row r="63" spans="1:21" ht="20.100000000000001" hidden="1" customHeight="1">
      <c r="A63" s="1185">
        <v>10</v>
      </c>
      <c r="B63" s="1191" t="s">
        <v>605</v>
      </c>
      <c r="C63" s="1186">
        <f>ROUND(WORK!I536*0.1,2)</f>
        <v>0</v>
      </c>
      <c r="D63" s="1186">
        <f>ROUND(FF!I169*0.1,2)</f>
        <v>0</v>
      </c>
      <c r="E63" s="1186">
        <f>ROUND(SF!I111*0.1,2)</f>
        <v>0</v>
      </c>
      <c r="F63" s="1186">
        <f t="shared" si="6"/>
        <v>0</v>
      </c>
      <c r="G63" s="1186" t="s">
        <v>422</v>
      </c>
      <c r="H63" s="1187">
        <v>0</v>
      </c>
      <c r="I63" s="1188">
        <f t="shared" si="8"/>
        <v>0</v>
      </c>
      <c r="J63" s="1187">
        <v>0</v>
      </c>
      <c r="K63" s="1185">
        <v>0</v>
      </c>
      <c r="L63" s="1188">
        <f t="shared" si="9"/>
        <v>0</v>
      </c>
      <c r="M63" s="1185">
        <v>0</v>
      </c>
      <c r="N63" s="1185">
        <v>0</v>
      </c>
      <c r="O63" s="1187">
        <v>0</v>
      </c>
      <c r="P63" s="1187">
        <v>0</v>
      </c>
      <c r="Q63" s="1187">
        <v>0</v>
      </c>
      <c r="R63" s="1187">
        <v>0</v>
      </c>
      <c r="S63" s="1190">
        <f t="shared" si="7"/>
        <v>0</v>
      </c>
      <c r="T63" s="1186">
        <f>T62</f>
        <v>340</v>
      </c>
      <c r="U63" s="1188" t="s">
        <v>4</v>
      </c>
    </row>
    <row r="64" spans="1:21" ht="20.100000000000001" hidden="1" customHeight="1">
      <c r="A64" s="1185">
        <v>9</v>
      </c>
      <c r="B64" s="1191" t="s">
        <v>1231</v>
      </c>
      <c r="C64" s="1186">
        <f>ROUND(WORK!I559*0.05,2)</f>
        <v>0</v>
      </c>
      <c r="D64" s="1186">
        <f>ROUND(FF!I191*0.05,2)</f>
        <v>0</v>
      </c>
      <c r="E64" s="1186">
        <f>ROUND(SF!I133*0.05,2)</f>
        <v>0</v>
      </c>
      <c r="F64" s="1186">
        <f t="shared" si="6"/>
        <v>0</v>
      </c>
      <c r="G64" s="1186" t="s">
        <v>422</v>
      </c>
      <c r="H64" s="1187">
        <v>0</v>
      </c>
      <c r="I64" s="1188">
        <f t="shared" si="8"/>
        <v>0</v>
      </c>
      <c r="J64" s="1187">
        <v>0</v>
      </c>
      <c r="K64" s="1185">
        <v>0</v>
      </c>
      <c r="L64" s="1188">
        <f t="shared" si="9"/>
        <v>0</v>
      </c>
      <c r="M64" s="1185">
        <v>0</v>
      </c>
      <c r="N64" s="1185">
        <v>0</v>
      </c>
      <c r="O64" s="1187">
        <v>0</v>
      </c>
      <c r="P64" s="1187">
        <v>0</v>
      </c>
      <c r="Q64" s="1187">
        <v>0</v>
      </c>
      <c r="R64" s="1187">
        <v>0</v>
      </c>
      <c r="S64" s="1190">
        <f t="shared" si="7"/>
        <v>0</v>
      </c>
      <c r="T64" s="1186">
        <f>T63</f>
        <v>340</v>
      </c>
      <c r="U64" s="1188" t="s">
        <v>4</v>
      </c>
    </row>
    <row r="65" spans="1:21" ht="20.100000000000001" hidden="1" customHeight="1">
      <c r="A65" s="1185">
        <v>16</v>
      </c>
      <c r="B65" s="1191" t="s">
        <v>1440</v>
      </c>
      <c r="C65" s="1186">
        <f>ROUND(WORK!I585*0.025,2)</f>
        <v>0</v>
      </c>
      <c r="D65" s="1186">
        <f>ROUND(FF!I215*0.025,2)</f>
        <v>0</v>
      </c>
      <c r="E65" s="1186">
        <f>ROUND(SF!I157*0.025,2)</f>
        <v>0</v>
      </c>
      <c r="F65" s="1186">
        <f t="shared" si="6"/>
        <v>0</v>
      </c>
      <c r="G65" s="1186" t="s">
        <v>422</v>
      </c>
      <c r="H65" s="1187">
        <v>0</v>
      </c>
      <c r="I65" s="1188">
        <f t="shared" si="8"/>
        <v>0</v>
      </c>
      <c r="J65" s="1187">
        <v>0</v>
      </c>
      <c r="K65" s="1185">
        <v>0</v>
      </c>
      <c r="L65" s="1188">
        <f t="shared" si="9"/>
        <v>0</v>
      </c>
      <c r="M65" s="1185">
        <v>0</v>
      </c>
      <c r="N65" s="1185">
        <v>0</v>
      </c>
      <c r="O65" s="1187">
        <v>0</v>
      </c>
      <c r="P65" s="1187">
        <v>0</v>
      </c>
      <c r="Q65" s="1187">
        <v>0</v>
      </c>
      <c r="R65" s="1187">
        <v>0</v>
      </c>
      <c r="S65" s="1190">
        <f t="shared" si="7"/>
        <v>0</v>
      </c>
      <c r="T65" s="1186">
        <f>T64</f>
        <v>340</v>
      </c>
      <c r="U65" s="1188" t="s">
        <v>4</v>
      </c>
    </row>
    <row r="66" spans="1:21" ht="20.100000000000001" hidden="1" customHeight="1">
      <c r="A66" s="1185">
        <v>10</v>
      </c>
      <c r="B66" s="1163" t="s">
        <v>129</v>
      </c>
      <c r="C66" s="1186">
        <f>WORK!I619</f>
        <v>0</v>
      </c>
      <c r="D66" s="1186">
        <f>FF!I259</f>
        <v>0</v>
      </c>
      <c r="E66" s="1186">
        <f>SF!I183</f>
        <v>0</v>
      </c>
      <c r="F66" s="1186">
        <f t="shared" si="6"/>
        <v>0</v>
      </c>
      <c r="G66" s="1186" t="s">
        <v>421</v>
      </c>
      <c r="H66" s="1187">
        <v>0</v>
      </c>
      <c r="I66" s="1188">
        <f t="shared" si="8"/>
        <v>0</v>
      </c>
      <c r="J66" s="1187">
        <v>0</v>
      </c>
      <c r="K66" s="1185">
        <v>0</v>
      </c>
      <c r="L66" s="1188">
        <f t="shared" si="9"/>
        <v>0</v>
      </c>
      <c r="M66" s="1185">
        <v>0</v>
      </c>
      <c r="N66" s="1185">
        <v>0</v>
      </c>
      <c r="O66" s="1187">
        <v>0</v>
      </c>
      <c r="P66" s="1187">
        <v>0</v>
      </c>
      <c r="Q66" s="1187">
        <v>0</v>
      </c>
      <c r="R66" s="1187">
        <v>0</v>
      </c>
      <c r="S66" s="1190">
        <f t="shared" si="7"/>
        <v>0</v>
      </c>
      <c r="T66" s="1186">
        <f>$T$56</f>
        <v>340</v>
      </c>
      <c r="U66" s="1188" t="s">
        <v>4</v>
      </c>
    </row>
    <row r="67" spans="1:21" ht="20.100000000000001" hidden="1" customHeight="1">
      <c r="A67" s="1185">
        <v>11</v>
      </c>
      <c r="B67" s="1163" t="s">
        <v>130</v>
      </c>
      <c r="C67" s="1186">
        <f>WORK!I649</f>
        <v>0</v>
      </c>
      <c r="D67" s="1186">
        <f>FF!I288</f>
        <v>0</v>
      </c>
      <c r="E67" s="1186">
        <f>SF!I207</f>
        <v>0</v>
      </c>
      <c r="F67" s="1186">
        <f t="shared" si="6"/>
        <v>0</v>
      </c>
      <c r="G67" s="1186" t="s">
        <v>82</v>
      </c>
      <c r="H67" s="1187">
        <v>0</v>
      </c>
      <c r="I67" s="1188">
        <f>ROUND(F67*0.0375*0.8,2)</f>
        <v>0</v>
      </c>
      <c r="J67" s="1187">
        <v>0</v>
      </c>
      <c r="K67" s="1185">
        <v>0</v>
      </c>
      <c r="L67" s="1188">
        <f>ROUND(F67*0.0375*0.4,2)</f>
        <v>0</v>
      </c>
      <c r="M67" s="1185">
        <v>0</v>
      </c>
      <c r="N67" s="1185">
        <v>0</v>
      </c>
      <c r="O67" s="1187">
        <v>0</v>
      </c>
      <c r="P67" s="1187">
        <v>0</v>
      </c>
      <c r="Q67" s="1187">
        <v>0</v>
      </c>
      <c r="R67" s="1187">
        <v>0</v>
      </c>
      <c r="S67" s="1190">
        <f t="shared" si="7"/>
        <v>0</v>
      </c>
      <c r="T67" s="1195">
        <f>ROUND(T66*0.0375,2)</f>
        <v>12.75</v>
      </c>
      <c r="U67" s="1188" t="s">
        <v>4</v>
      </c>
    </row>
    <row r="68" spans="1:21" ht="20.100000000000001" hidden="1" customHeight="1">
      <c r="A68" s="1185">
        <v>19</v>
      </c>
      <c r="B68" s="1191" t="s">
        <v>1441</v>
      </c>
      <c r="C68" s="1186">
        <f>WORK!I672</f>
        <v>0</v>
      </c>
      <c r="D68" s="1186">
        <f>FF!I314</f>
        <v>0</v>
      </c>
      <c r="E68" s="1186">
        <f>SF!I227</f>
        <v>0</v>
      </c>
      <c r="F68" s="1186">
        <f t="shared" si="6"/>
        <v>0</v>
      </c>
      <c r="G68" s="1186" t="s">
        <v>422</v>
      </c>
      <c r="H68" s="1187">
        <v>0</v>
      </c>
      <c r="I68" s="1187">
        <v>0</v>
      </c>
      <c r="J68" s="1187">
        <v>0</v>
      </c>
      <c r="K68" s="1185">
        <v>0</v>
      </c>
      <c r="L68" s="1187">
        <v>0</v>
      </c>
      <c r="M68" s="1185">
        <v>0</v>
      </c>
      <c r="N68" s="1188">
        <f>ROUND(F68*0.015*1.05,2)</f>
        <v>0</v>
      </c>
      <c r="O68" s="1187">
        <v>0</v>
      </c>
      <c r="P68" s="1187">
        <v>0</v>
      </c>
      <c r="Q68" s="1187">
        <v>0</v>
      </c>
      <c r="R68" s="1187">
        <v>0</v>
      </c>
      <c r="S68" s="1190">
        <f t="shared" si="7"/>
        <v>0</v>
      </c>
      <c r="T68" s="1186">
        <v>7.2</v>
      </c>
      <c r="U68" s="1188" t="s">
        <v>4</v>
      </c>
    </row>
    <row r="69" spans="1:21" ht="20.100000000000001" hidden="1" customHeight="1">
      <c r="A69" s="1185">
        <v>16</v>
      </c>
      <c r="B69" s="1191" t="s">
        <v>1226</v>
      </c>
      <c r="C69" s="1186">
        <f>WORK!I696</f>
        <v>0</v>
      </c>
      <c r="D69" s="1186">
        <f>FF!I338</f>
        <v>0</v>
      </c>
      <c r="E69" s="1186">
        <f>SF!I249</f>
        <v>0</v>
      </c>
      <c r="F69" s="1186">
        <f t="shared" si="6"/>
        <v>0</v>
      </c>
      <c r="G69" s="1186" t="s">
        <v>422</v>
      </c>
      <c r="H69" s="1187">
        <v>0</v>
      </c>
      <c r="I69" s="1187">
        <v>0</v>
      </c>
      <c r="J69" s="1187">
        <v>0</v>
      </c>
      <c r="K69" s="1185">
        <v>0</v>
      </c>
      <c r="L69" s="1187">
        <v>0</v>
      </c>
      <c r="M69" s="1185">
        <v>0</v>
      </c>
      <c r="N69" s="1188">
        <f>ROUND(F69*0.021*1.05,2)</f>
        <v>0</v>
      </c>
      <c r="O69" s="1187">
        <v>0</v>
      </c>
      <c r="P69" s="1187">
        <v>0</v>
      </c>
      <c r="Q69" s="1187">
        <v>0</v>
      </c>
      <c r="R69" s="1187">
        <v>0</v>
      </c>
      <c r="S69" s="1190">
        <f t="shared" si="7"/>
        <v>0</v>
      </c>
      <c r="T69" s="1186">
        <v>10.08</v>
      </c>
      <c r="U69" s="1188" t="s">
        <v>4</v>
      </c>
    </row>
    <row r="70" spans="1:21" ht="20.100000000000001" hidden="1" customHeight="1">
      <c r="A70" s="1185">
        <v>13</v>
      </c>
      <c r="B70" s="1163" t="s">
        <v>1194</v>
      </c>
      <c r="C70" s="1186">
        <f>WORK!I722</f>
        <v>0</v>
      </c>
      <c r="D70" s="1186"/>
      <c r="E70" s="1186"/>
      <c r="F70" s="1186">
        <f t="shared" si="6"/>
        <v>0</v>
      </c>
      <c r="G70" s="1186" t="s">
        <v>421</v>
      </c>
      <c r="H70" s="1187">
        <v>0</v>
      </c>
      <c r="I70" s="1187">
        <v>0</v>
      </c>
      <c r="J70" s="1187">
        <v>0</v>
      </c>
      <c r="K70" s="1188">
        <f>ROUND(F70*1.1,2)</f>
        <v>0</v>
      </c>
      <c r="L70" s="1187">
        <v>0</v>
      </c>
      <c r="M70" s="1188">
        <f>ROUND(F70*0.33,2)</f>
        <v>0</v>
      </c>
      <c r="N70" s="1187">
        <v>0</v>
      </c>
      <c r="O70" s="1187">
        <v>0</v>
      </c>
      <c r="P70" s="1187">
        <v>0</v>
      </c>
      <c r="Q70" s="1188"/>
      <c r="R70" s="1187">
        <v>0</v>
      </c>
      <c r="S70" s="1190">
        <f t="shared" si="7"/>
        <v>0</v>
      </c>
      <c r="T70" s="1186">
        <v>59.4</v>
      </c>
      <c r="U70" s="1188" t="s">
        <v>4</v>
      </c>
    </row>
    <row r="71" spans="1:21" ht="20.100000000000001" hidden="1" customHeight="1">
      <c r="A71" s="1185">
        <v>20</v>
      </c>
      <c r="B71" s="1163" t="s">
        <v>134</v>
      </c>
      <c r="C71" s="1186">
        <f>WORK!I772</f>
        <v>0</v>
      </c>
      <c r="D71" s="1186">
        <f>FF!I362</f>
        <v>0</v>
      </c>
      <c r="E71" s="1186">
        <f>SF!I274</f>
        <v>0</v>
      </c>
      <c r="F71" s="1186">
        <f t="shared" si="6"/>
        <v>0</v>
      </c>
      <c r="G71" s="1186" t="s">
        <v>421</v>
      </c>
      <c r="H71" s="1187">
        <v>0</v>
      </c>
      <c r="I71" s="1187">
        <v>0</v>
      </c>
      <c r="J71" s="1187">
        <v>0</v>
      </c>
      <c r="K71" s="1185">
        <v>0</v>
      </c>
      <c r="L71" s="1187">
        <v>0</v>
      </c>
      <c r="M71" s="1188">
        <f>ROUND(F71*0.2,2)</f>
        <v>0</v>
      </c>
      <c r="N71" s="1187">
        <v>0</v>
      </c>
      <c r="O71" s="1187">
        <v>0</v>
      </c>
      <c r="P71" s="1187">
        <v>0</v>
      </c>
      <c r="Q71" s="1188">
        <f>ROUND(F71*512/1000,2)</f>
        <v>0</v>
      </c>
      <c r="R71" s="1187">
        <v>0</v>
      </c>
      <c r="S71" s="1190">
        <f t="shared" si="7"/>
        <v>0</v>
      </c>
      <c r="T71" s="1186">
        <v>36</v>
      </c>
      <c r="U71" s="1188" t="s">
        <v>4</v>
      </c>
    </row>
    <row r="72" spans="1:21" ht="20.100000000000001" hidden="1" customHeight="1">
      <c r="A72" s="1185">
        <v>12</v>
      </c>
      <c r="B72" s="1163" t="s">
        <v>906</v>
      </c>
      <c r="C72" s="1186">
        <f>WORK!I833</f>
        <v>0</v>
      </c>
      <c r="D72" s="1186">
        <f>FF!I435</f>
        <v>0</v>
      </c>
      <c r="E72" s="1186">
        <f>SF!I307</f>
        <v>0</v>
      </c>
      <c r="F72" s="1186">
        <f t="shared" si="6"/>
        <v>0</v>
      </c>
      <c r="G72" s="1186" t="s">
        <v>421</v>
      </c>
      <c r="H72" s="1187">
        <v>0</v>
      </c>
      <c r="I72" s="1187">
        <v>0</v>
      </c>
      <c r="J72" s="1187">
        <v>0</v>
      </c>
      <c r="K72" s="1185">
        <v>0</v>
      </c>
      <c r="L72" s="1187">
        <v>0</v>
      </c>
      <c r="M72" s="1188">
        <f>ROUND(F72*0.2,2)</f>
        <v>0</v>
      </c>
      <c r="N72" s="1187">
        <v>0</v>
      </c>
      <c r="O72" s="1187">
        <v>0</v>
      </c>
      <c r="P72" s="1187">
        <v>0</v>
      </c>
      <c r="Q72" s="1188">
        <f>ROUND(F72*512/1000,2)</f>
        <v>0</v>
      </c>
      <c r="R72" s="1187">
        <v>0</v>
      </c>
      <c r="S72" s="1190">
        <f t="shared" si="7"/>
        <v>0</v>
      </c>
      <c r="T72" s="1186">
        <v>48</v>
      </c>
      <c r="U72" s="1188" t="s">
        <v>4</v>
      </c>
    </row>
    <row r="73" spans="1:21" ht="20.100000000000001" hidden="1" customHeight="1">
      <c r="A73" s="1185">
        <v>13</v>
      </c>
      <c r="B73" s="1163" t="s">
        <v>3637</v>
      </c>
      <c r="C73" s="1186">
        <f>WORK!I885</f>
        <v>0</v>
      </c>
      <c r="D73" s="1186">
        <f>FF!I520</f>
        <v>0</v>
      </c>
      <c r="E73" s="1186">
        <f>SF!I333</f>
        <v>0</v>
      </c>
      <c r="F73" s="1186">
        <f t="shared" si="6"/>
        <v>0</v>
      </c>
      <c r="G73" s="1186" t="s">
        <v>422</v>
      </c>
      <c r="H73" s="1187">
        <v>0</v>
      </c>
      <c r="I73" s="1188"/>
      <c r="J73" s="1187">
        <v>0</v>
      </c>
      <c r="K73" s="1185">
        <v>0</v>
      </c>
      <c r="L73" s="1187">
        <v>0</v>
      </c>
      <c r="M73" s="1188">
        <f>ROUND(F73*0.022,2)</f>
        <v>0</v>
      </c>
      <c r="N73" s="1187">
        <v>0</v>
      </c>
      <c r="O73" s="1187">
        <v>0</v>
      </c>
      <c r="P73" s="1187">
        <v>0</v>
      </c>
      <c r="Q73" s="1188">
        <f>ROUND(F73*512*0.1/1000,2)</f>
        <v>0</v>
      </c>
      <c r="R73" s="1187">
        <v>0</v>
      </c>
      <c r="S73" s="1190">
        <f t="shared" si="7"/>
        <v>0</v>
      </c>
      <c r="T73" s="1186">
        <v>7.2</v>
      </c>
      <c r="U73" s="1188" t="s">
        <v>4</v>
      </c>
    </row>
    <row r="74" spans="1:21" ht="20.100000000000001" hidden="1" customHeight="1">
      <c r="A74" s="1185">
        <v>16</v>
      </c>
      <c r="B74" s="1163" t="s">
        <v>1214</v>
      </c>
      <c r="C74" s="1186">
        <f>WORK!I924</f>
        <v>0</v>
      </c>
      <c r="D74" s="1186">
        <f>FF!I564</f>
        <v>0</v>
      </c>
      <c r="E74" s="1186">
        <f>SF!I361</f>
        <v>0</v>
      </c>
      <c r="F74" s="1186">
        <f t="shared" si="6"/>
        <v>0</v>
      </c>
      <c r="G74" s="1186" t="s">
        <v>421</v>
      </c>
      <c r="H74" s="1187">
        <v>0</v>
      </c>
      <c r="I74" s="1187">
        <v>0</v>
      </c>
      <c r="J74" s="1187">
        <v>0</v>
      </c>
      <c r="K74" s="1185">
        <v>0</v>
      </c>
      <c r="L74" s="1187">
        <v>0</v>
      </c>
      <c r="M74" s="1188">
        <f>ROUND(F74*0.1*1.05,2)</f>
        <v>0</v>
      </c>
      <c r="N74" s="1187">
        <v>0</v>
      </c>
      <c r="O74" s="1187">
        <v>0</v>
      </c>
      <c r="P74" s="1187">
        <v>0</v>
      </c>
      <c r="Q74" s="1188">
        <f>ROUND(F74*110/1000,2)</f>
        <v>0</v>
      </c>
      <c r="R74" s="1187">
        <v>0</v>
      </c>
      <c r="S74" s="1190">
        <f t="shared" si="7"/>
        <v>0</v>
      </c>
      <c r="T74" s="1186">
        <v>24</v>
      </c>
      <c r="U74" s="1188" t="s">
        <v>4</v>
      </c>
    </row>
    <row r="75" spans="1:21" ht="20.100000000000001" hidden="1" customHeight="1">
      <c r="A75" s="1185">
        <v>20</v>
      </c>
      <c r="B75" s="1191" t="s">
        <v>1215</v>
      </c>
      <c r="C75" s="1186">
        <f>WORK!I952</f>
        <v>0</v>
      </c>
      <c r="D75" s="1186">
        <f>FF!I590</f>
        <v>0</v>
      </c>
      <c r="E75" s="1186"/>
      <c r="F75" s="1186">
        <f t="shared" si="6"/>
        <v>0</v>
      </c>
      <c r="G75" s="1186" t="s">
        <v>422</v>
      </c>
      <c r="H75" s="1187">
        <v>0</v>
      </c>
      <c r="I75" s="1187">
        <v>0</v>
      </c>
      <c r="J75" s="1187">
        <v>0</v>
      </c>
      <c r="K75" s="1185">
        <v>0</v>
      </c>
      <c r="L75" s="1187">
        <v>0</v>
      </c>
      <c r="M75" s="1187">
        <v>0</v>
      </c>
      <c r="N75" s="1188">
        <f>ROUND(F75*((0.015*1.05)+(0.025*1.05)),2)</f>
        <v>0</v>
      </c>
      <c r="O75" s="1187">
        <v>0</v>
      </c>
      <c r="P75" s="1187">
        <v>0</v>
      </c>
      <c r="Q75" s="1187">
        <v>0</v>
      </c>
      <c r="R75" s="1187">
        <v>0</v>
      </c>
      <c r="S75" s="1190">
        <f t="shared" si="7"/>
        <v>0</v>
      </c>
      <c r="T75" s="1186">
        <v>20.89</v>
      </c>
      <c r="U75" s="1188" t="s">
        <v>4</v>
      </c>
    </row>
    <row r="76" spans="1:21" ht="20.100000000000001" hidden="1" customHeight="1">
      <c r="A76" s="1185">
        <v>22</v>
      </c>
      <c r="B76" s="1191" t="s">
        <v>137</v>
      </c>
      <c r="C76" s="1186">
        <f>WORK!I996</f>
        <v>0</v>
      </c>
      <c r="D76" s="1186">
        <f>FF!I652</f>
        <v>0</v>
      </c>
      <c r="E76" s="1186">
        <f>SF!I390</f>
        <v>0</v>
      </c>
      <c r="F76" s="1186">
        <f t="shared" si="6"/>
        <v>0</v>
      </c>
      <c r="G76" s="1186" t="s">
        <v>422</v>
      </c>
      <c r="H76" s="1187">
        <v>0</v>
      </c>
      <c r="I76" s="1187">
        <v>0</v>
      </c>
      <c r="J76" s="1187">
        <v>0</v>
      </c>
      <c r="K76" s="1185">
        <v>0</v>
      </c>
      <c r="L76" s="1187">
        <v>0</v>
      </c>
      <c r="M76" s="1187">
        <v>0</v>
      </c>
      <c r="N76" s="1188">
        <f>ROUND(F76*0.015*1.05,2)</f>
        <v>0</v>
      </c>
      <c r="O76" s="1187">
        <v>0</v>
      </c>
      <c r="P76" s="1187">
        <v>0</v>
      </c>
      <c r="Q76" s="1187">
        <v>0</v>
      </c>
      <c r="R76" s="1187">
        <v>0</v>
      </c>
      <c r="S76" s="1190">
        <f t="shared" si="7"/>
        <v>0</v>
      </c>
      <c r="T76" s="1186">
        <v>7.2</v>
      </c>
      <c r="U76" s="1188" t="s">
        <v>4</v>
      </c>
    </row>
    <row r="77" spans="1:21" ht="20.100000000000001" hidden="1" customHeight="1">
      <c r="A77" s="1185">
        <v>2</v>
      </c>
      <c r="B77" s="1191" t="s">
        <v>238</v>
      </c>
      <c r="C77" s="1186">
        <f>WORK!I1040</f>
        <v>0</v>
      </c>
      <c r="D77" s="1186">
        <f>FF!I694</f>
        <v>0</v>
      </c>
      <c r="E77" s="1186">
        <f>SF!I420</f>
        <v>0</v>
      </c>
      <c r="F77" s="1186">
        <f t="shared" si="6"/>
        <v>0</v>
      </c>
      <c r="G77" s="1186" t="s">
        <v>422</v>
      </c>
      <c r="H77" s="1187">
        <v>0</v>
      </c>
      <c r="I77" s="1187">
        <v>0</v>
      </c>
      <c r="J77" s="1187">
        <v>0</v>
      </c>
      <c r="K77" s="1185">
        <v>0</v>
      </c>
      <c r="L77" s="1187">
        <v>0</v>
      </c>
      <c r="M77" s="1187">
        <v>0</v>
      </c>
      <c r="N77" s="1188">
        <f>ROUND(F77*0.015*1.05,2)</f>
        <v>0</v>
      </c>
      <c r="O77" s="1187">
        <v>0</v>
      </c>
      <c r="P77" s="1187">
        <v>0</v>
      </c>
      <c r="Q77" s="1187">
        <v>0</v>
      </c>
      <c r="R77" s="1187">
        <v>0</v>
      </c>
      <c r="S77" s="1190">
        <f t="shared" si="7"/>
        <v>0</v>
      </c>
      <c r="T77" s="1186">
        <v>4.32</v>
      </c>
      <c r="U77" s="1188" t="s">
        <v>4</v>
      </c>
    </row>
    <row r="78" spans="1:21" ht="20.100000000000001" hidden="1" customHeight="1">
      <c r="A78" s="1185">
        <v>3</v>
      </c>
      <c r="B78" s="1191" t="s">
        <v>604</v>
      </c>
      <c r="C78" s="1186">
        <f>WORK!I1066</f>
        <v>0</v>
      </c>
      <c r="D78" s="1186">
        <f>FF!I726</f>
        <v>0</v>
      </c>
      <c r="E78" s="1186">
        <f>SF!I452</f>
        <v>0</v>
      </c>
      <c r="F78" s="1186">
        <f t="shared" si="6"/>
        <v>0</v>
      </c>
      <c r="G78" s="1186" t="s">
        <v>422</v>
      </c>
      <c r="H78" s="1187">
        <v>0</v>
      </c>
      <c r="I78" s="1187">
        <v>0</v>
      </c>
      <c r="J78" s="1187">
        <v>0</v>
      </c>
      <c r="K78" s="1185">
        <v>0</v>
      </c>
      <c r="L78" s="1187">
        <v>0</v>
      </c>
      <c r="M78" s="1187">
        <v>0</v>
      </c>
      <c r="N78" s="1188">
        <f>ROUND(F78*0.021*1.05,2)</f>
        <v>0</v>
      </c>
      <c r="O78" s="1187">
        <v>0</v>
      </c>
      <c r="P78" s="1187">
        <v>0</v>
      </c>
      <c r="Q78" s="1187">
        <v>0</v>
      </c>
      <c r="R78" s="1187">
        <v>0</v>
      </c>
      <c r="S78" s="1190">
        <f t="shared" si="7"/>
        <v>0</v>
      </c>
      <c r="T78" s="1186">
        <v>6.05</v>
      </c>
      <c r="U78" s="1188" t="s">
        <v>4</v>
      </c>
    </row>
    <row r="79" spans="1:21" ht="20.100000000000001" hidden="1" customHeight="1">
      <c r="A79" s="1185">
        <v>23</v>
      </c>
      <c r="B79" s="1191" t="s">
        <v>904</v>
      </c>
      <c r="C79" s="1186">
        <f>WORK!I1118</f>
        <v>0</v>
      </c>
      <c r="D79" s="1186">
        <f>FF!I823</f>
        <v>0</v>
      </c>
      <c r="E79" s="1186">
        <f>SF!I489</f>
        <v>0</v>
      </c>
      <c r="F79" s="1186">
        <f t="shared" si="6"/>
        <v>0</v>
      </c>
      <c r="G79" s="1186" t="s">
        <v>422</v>
      </c>
      <c r="H79" s="1187">
        <v>0</v>
      </c>
      <c r="I79" s="1187">
        <v>0</v>
      </c>
      <c r="J79" s="1187">
        <v>0</v>
      </c>
      <c r="K79" s="1185">
        <v>0</v>
      </c>
      <c r="L79" s="1187">
        <v>0</v>
      </c>
      <c r="M79" s="1187">
        <v>0</v>
      </c>
      <c r="N79" s="1188">
        <f>ROUND(F79*0.015*1,2)</f>
        <v>0</v>
      </c>
      <c r="O79" s="1187">
        <v>0</v>
      </c>
      <c r="P79" s="1187">
        <v>0</v>
      </c>
      <c r="Q79" s="1187">
        <v>0</v>
      </c>
      <c r="R79" s="1187">
        <v>0</v>
      </c>
      <c r="S79" s="1190">
        <f t="shared" si="7"/>
        <v>0</v>
      </c>
      <c r="T79" s="1186">
        <v>5.09</v>
      </c>
      <c r="U79" s="1188" t="s">
        <v>4</v>
      </c>
    </row>
    <row r="80" spans="1:21" ht="20.100000000000001" hidden="1" customHeight="1">
      <c r="A80" s="1185">
        <v>24</v>
      </c>
      <c r="B80" s="1191" t="s">
        <v>603</v>
      </c>
      <c r="C80" s="1186">
        <f>WORK!I1177</f>
        <v>0</v>
      </c>
      <c r="D80" s="1186">
        <f>FF!I890</f>
        <v>0</v>
      </c>
      <c r="E80" s="1186">
        <f>SF!I525</f>
        <v>0</v>
      </c>
      <c r="F80" s="1186">
        <f t="shared" si="6"/>
        <v>0</v>
      </c>
      <c r="G80" s="1186" t="s">
        <v>422</v>
      </c>
      <c r="H80" s="1187">
        <v>0</v>
      </c>
      <c r="I80" s="1187">
        <v>0</v>
      </c>
      <c r="J80" s="1187">
        <v>0</v>
      </c>
      <c r="K80" s="1185">
        <v>0</v>
      </c>
      <c r="L80" s="1187">
        <v>0</v>
      </c>
      <c r="M80" s="1187">
        <v>0</v>
      </c>
      <c r="N80" s="1188">
        <f>ROUND(F80*0.022*1,2)</f>
        <v>0</v>
      </c>
      <c r="O80" s="1187">
        <v>0</v>
      </c>
      <c r="P80" s="1187">
        <v>0</v>
      </c>
      <c r="Q80" s="1187">
        <v>0</v>
      </c>
      <c r="R80" s="1187">
        <v>0</v>
      </c>
      <c r="S80" s="1190">
        <f t="shared" si="7"/>
        <v>0</v>
      </c>
      <c r="T80" s="1186">
        <v>5.75</v>
      </c>
      <c r="U80" s="1188" t="s">
        <v>4</v>
      </c>
    </row>
    <row r="81" spans="1:21" ht="20.100000000000001" hidden="1" customHeight="1">
      <c r="A81" s="1185">
        <v>19</v>
      </c>
      <c r="B81" s="1163" t="s">
        <v>447</v>
      </c>
      <c r="C81" s="1186">
        <f>WORK!I1213</f>
        <v>0</v>
      </c>
      <c r="D81" s="1186">
        <f>FF!I918</f>
        <v>0</v>
      </c>
      <c r="E81" s="1186">
        <f>SF!I549</f>
        <v>0</v>
      </c>
      <c r="F81" s="1186">
        <f t="shared" si="6"/>
        <v>0</v>
      </c>
      <c r="G81" s="1186" t="s">
        <v>421</v>
      </c>
      <c r="H81" s="1187">
        <v>0</v>
      </c>
      <c r="I81" s="1188">
        <f>ROUND(F81*0.8,2)</f>
        <v>0</v>
      </c>
      <c r="J81" s="1187">
        <v>0</v>
      </c>
      <c r="K81" s="1185">
        <v>0</v>
      </c>
      <c r="L81" s="1188">
        <f>ROUND(F81*0.4,2)</f>
        <v>0</v>
      </c>
      <c r="M81" s="1185">
        <v>0</v>
      </c>
      <c r="N81" s="1185">
        <v>0</v>
      </c>
      <c r="O81" s="1187">
        <v>0</v>
      </c>
      <c r="P81" s="1187">
        <v>0</v>
      </c>
      <c r="Q81" s="1187">
        <v>0</v>
      </c>
      <c r="R81" s="1187">
        <v>0</v>
      </c>
      <c r="S81" s="1190">
        <f t="shared" si="7"/>
        <v>0</v>
      </c>
      <c r="T81" s="1186">
        <f>$T$56</f>
        <v>340</v>
      </c>
      <c r="U81" s="1188" t="s">
        <v>4</v>
      </c>
    </row>
    <row r="82" spans="1:21" ht="20.100000000000001" hidden="1" customHeight="1">
      <c r="A82" s="1185">
        <v>25</v>
      </c>
      <c r="B82" s="1191" t="s">
        <v>241</v>
      </c>
      <c r="C82" s="1186">
        <f>WORK!I1242</f>
        <v>0</v>
      </c>
      <c r="D82" s="1186">
        <f>FF!I949</f>
        <v>0</v>
      </c>
      <c r="E82" s="1186">
        <f>SF!I571</f>
        <v>0</v>
      </c>
      <c r="F82" s="1186">
        <f t="shared" si="6"/>
        <v>0</v>
      </c>
      <c r="G82" s="1186" t="s">
        <v>422</v>
      </c>
      <c r="H82" s="1187">
        <v>0</v>
      </c>
      <c r="I82" s="1187">
        <v>0</v>
      </c>
      <c r="J82" s="1187">
        <v>0</v>
      </c>
      <c r="K82" s="1185">
        <v>0</v>
      </c>
      <c r="L82" s="1187">
        <v>0</v>
      </c>
      <c r="M82" s="1188">
        <f>ROUND(F82*0.014,2)</f>
        <v>0</v>
      </c>
      <c r="N82" s="1187">
        <v>0</v>
      </c>
      <c r="O82" s="1187">
        <v>0</v>
      </c>
      <c r="P82" s="1187">
        <v>0</v>
      </c>
      <c r="Q82" s="1187">
        <v>0</v>
      </c>
      <c r="R82" s="1187">
        <v>0</v>
      </c>
      <c r="S82" s="1190">
        <f t="shared" si="7"/>
        <v>0</v>
      </c>
      <c r="T82" s="1186">
        <v>6.06</v>
      </c>
      <c r="U82" s="1188" t="s">
        <v>4</v>
      </c>
    </row>
    <row r="83" spans="1:21" ht="20.100000000000001" hidden="1" customHeight="1">
      <c r="A83" s="1185">
        <v>26</v>
      </c>
      <c r="B83" s="1191" t="s">
        <v>242</v>
      </c>
      <c r="C83" s="1186">
        <f>WORK!I1278</f>
        <v>0</v>
      </c>
      <c r="D83" s="1186">
        <f>FF!I988</f>
        <v>0</v>
      </c>
      <c r="E83" s="1186">
        <f>SF!I597</f>
        <v>0</v>
      </c>
      <c r="F83" s="1186">
        <f t="shared" si="6"/>
        <v>0</v>
      </c>
      <c r="G83" s="1186" t="s">
        <v>422</v>
      </c>
      <c r="H83" s="1187">
        <v>0</v>
      </c>
      <c r="I83" s="1187">
        <v>0</v>
      </c>
      <c r="J83" s="1187">
        <v>0</v>
      </c>
      <c r="K83" s="1185">
        <v>0</v>
      </c>
      <c r="L83" s="1187">
        <v>0</v>
      </c>
      <c r="M83" s="1188">
        <f>ROUND(F83*0.012,2)</f>
        <v>0</v>
      </c>
      <c r="N83" s="1187">
        <v>0</v>
      </c>
      <c r="O83" s="1187">
        <v>0</v>
      </c>
      <c r="P83" s="1187">
        <v>0</v>
      </c>
      <c r="Q83" s="1187">
        <v>0</v>
      </c>
      <c r="R83" s="1187">
        <v>0</v>
      </c>
      <c r="S83" s="1190">
        <f t="shared" si="7"/>
        <v>0</v>
      </c>
      <c r="T83" s="1195">
        <v>6.7560000000000002</v>
      </c>
      <c r="U83" s="1188" t="s">
        <v>4</v>
      </c>
    </row>
    <row r="84" spans="1:21" ht="20.100000000000001" hidden="1" customHeight="1">
      <c r="A84" s="1185">
        <v>24</v>
      </c>
      <c r="B84" s="1191" t="s">
        <v>681</v>
      </c>
      <c r="C84" s="1186">
        <f>WORK!I1323</f>
        <v>0</v>
      </c>
      <c r="D84" s="1186">
        <f>FF!I1017</f>
        <v>0</v>
      </c>
      <c r="E84" s="1186">
        <f>SF!I625</f>
        <v>0</v>
      </c>
      <c r="F84" s="1186">
        <f t="shared" si="6"/>
        <v>0</v>
      </c>
      <c r="G84" s="1186" t="s">
        <v>422</v>
      </c>
      <c r="H84" s="1187">
        <v>0</v>
      </c>
      <c r="I84" s="1187">
        <v>0</v>
      </c>
      <c r="J84" s="1187">
        <v>0</v>
      </c>
      <c r="K84" s="1185">
        <v>0</v>
      </c>
      <c r="L84" s="1187">
        <v>0</v>
      </c>
      <c r="M84" s="1188">
        <f>ROUND(F84*0.014,2)</f>
        <v>0</v>
      </c>
      <c r="N84" s="1187">
        <v>0</v>
      </c>
      <c r="O84" s="1187">
        <v>0</v>
      </c>
      <c r="P84" s="1187">
        <v>0</v>
      </c>
      <c r="Q84" s="1187">
        <v>0</v>
      </c>
      <c r="R84" s="1187">
        <v>0</v>
      </c>
      <c r="S84" s="1190">
        <f t="shared" si="7"/>
        <v>0</v>
      </c>
      <c r="T84" s="1186">
        <v>7.5</v>
      </c>
      <c r="U84" s="1188" t="s">
        <v>4</v>
      </c>
    </row>
    <row r="85" spans="1:21" ht="20.100000000000001" hidden="1" customHeight="1">
      <c r="A85" s="1185">
        <v>25</v>
      </c>
      <c r="B85" s="1191" t="s">
        <v>682</v>
      </c>
      <c r="C85" s="1186">
        <f>WORK!I1367</f>
        <v>0</v>
      </c>
      <c r="D85" s="1186">
        <f>FF!I1057</f>
        <v>0</v>
      </c>
      <c r="E85" s="1186">
        <f>SF!I653</f>
        <v>0</v>
      </c>
      <c r="F85" s="1186">
        <f t="shared" si="6"/>
        <v>0</v>
      </c>
      <c r="G85" s="1186" t="s">
        <v>422</v>
      </c>
      <c r="H85" s="1187">
        <v>0</v>
      </c>
      <c r="I85" s="1187">
        <v>0</v>
      </c>
      <c r="J85" s="1187">
        <v>0</v>
      </c>
      <c r="K85" s="1185">
        <v>0</v>
      </c>
      <c r="L85" s="1187">
        <v>0</v>
      </c>
      <c r="M85" s="1188">
        <f>ROUND(F85*0.012,2)</f>
        <v>0</v>
      </c>
      <c r="N85" s="1187">
        <v>0</v>
      </c>
      <c r="O85" s="1187">
        <v>0</v>
      </c>
      <c r="P85" s="1187">
        <v>0</v>
      </c>
      <c r="Q85" s="1187">
        <v>0</v>
      </c>
      <c r="R85" s="1187">
        <v>0</v>
      </c>
      <c r="S85" s="1190">
        <f t="shared" si="7"/>
        <v>0</v>
      </c>
      <c r="T85" s="1195">
        <v>9.06</v>
      </c>
      <c r="U85" s="1188" t="s">
        <v>4</v>
      </c>
    </row>
    <row r="86" spans="1:21" ht="20.100000000000001" hidden="1" customHeight="1">
      <c r="A86" s="1185">
        <v>37</v>
      </c>
      <c r="B86" s="1191" t="s">
        <v>683</v>
      </c>
      <c r="C86" s="1186">
        <f>WORK!I1403</f>
        <v>0</v>
      </c>
      <c r="D86" s="1186">
        <f>FF!I1100</f>
        <v>0</v>
      </c>
      <c r="E86" s="1186">
        <f>SF!I681</f>
        <v>0</v>
      </c>
      <c r="F86" s="1186">
        <f t="shared" si="6"/>
        <v>0</v>
      </c>
      <c r="G86" s="1186" t="s">
        <v>422</v>
      </c>
      <c r="H86" s="1187">
        <v>0</v>
      </c>
      <c r="I86" s="1187">
        <v>0</v>
      </c>
      <c r="J86" s="1187">
        <v>0</v>
      </c>
      <c r="K86" s="1185">
        <v>0</v>
      </c>
      <c r="L86" s="1187">
        <v>0</v>
      </c>
      <c r="M86" s="1188">
        <f>ROUND(F86*0.014,2)</f>
        <v>0</v>
      </c>
      <c r="N86" s="1187">
        <v>0</v>
      </c>
      <c r="O86" s="1187">
        <v>0</v>
      </c>
      <c r="P86" s="1187">
        <v>0</v>
      </c>
      <c r="Q86" s="1187">
        <v>0</v>
      </c>
      <c r="R86" s="1187">
        <v>0</v>
      </c>
      <c r="S86" s="1190">
        <f t="shared" si="7"/>
        <v>0</v>
      </c>
      <c r="T86" s="1186">
        <v>7.5</v>
      </c>
      <c r="U86" s="1188" t="s">
        <v>4</v>
      </c>
    </row>
    <row r="87" spans="1:21" ht="20.100000000000001" hidden="1" customHeight="1">
      <c r="A87" s="1185">
        <v>38</v>
      </c>
      <c r="B87" s="1191" t="s">
        <v>684</v>
      </c>
      <c r="C87" s="1186">
        <f>WORK!I1432</f>
        <v>0</v>
      </c>
      <c r="D87" s="1186">
        <f>FF!I1134</f>
        <v>0</v>
      </c>
      <c r="E87" s="1186">
        <f>SF!I709</f>
        <v>0</v>
      </c>
      <c r="F87" s="1186">
        <f t="shared" si="6"/>
        <v>0</v>
      </c>
      <c r="G87" s="1186" t="s">
        <v>422</v>
      </c>
      <c r="H87" s="1187">
        <v>0</v>
      </c>
      <c r="I87" s="1187">
        <v>0</v>
      </c>
      <c r="J87" s="1187">
        <v>0</v>
      </c>
      <c r="K87" s="1185">
        <v>0</v>
      </c>
      <c r="L87" s="1187">
        <v>0</v>
      </c>
      <c r="M87" s="1188">
        <f>ROUND(F87*0.012,2)</f>
        <v>0</v>
      </c>
      <c r="N87" s="1187">
        <v>0</v>
      </c>
      <c r="O87" s="1187">
        <v>0</v>
      </c>
      <c r="P87" s="1187">
        <v>0</v>
      </c>
      <c r="Q87" s="1187">
        <v>0</v>
      </c>
      <c r="R87" s="1187">
        <v>0</v>
      </c>
      <c r="S87" s="1190">
        <f t="shared" si="7"/>
        <v>0</v>
      </c>
      <c r="T87" s="1195">
        <v>6.7560000000000002</v>
      </c>
      <c r="U87" s="1188" t="s">
        <v>4</v>
      </c>
    </row>
    <row r="88" spans="1:21" ht="20.100000000000001" hidden="1" customHeight="1">
      <c r="A88" s="1185">
        <v>28</v>
      </c>
      <c r="B88" s="1191" t="s">
        <v>239</v>
      </c>
      <c r="C88" s="1186">
        <f>WORK!I1457</f>
        <v>0</v>
      </c>
      <c r="D88" s="1186">
        <f>FF!I1163</f>
        <v>0</v>
      </c>
      <c r="E88" s="1186">
        <f>SF!I737</f>
        <v>0</v>
      </c>
      <c r="F88" s="1186">
        <f t="shared" si="6"/>
        <v>0</v>
      </c>
      <c r="G88" s="1186" t="s">
        <v>422</v>
      </c>
      <c r="H88" s="1187">
        <v>0</v>
      </c>
      <c r="I88" s="1187">
        <v>0</v>
      </c>
      <c r="J88" s="1187">
        <v>0</v>
      </c>
      <c r="K88" s="1185">
        <v>0</v>
      </c>
      <c r="L88" s="1187">
        <v>0</v>
      </c>
      <c r="M88" s="1188">
        <f>ROUND(F88*0.012,2)</f>
        <v>0</v>
      </c>
      <c r="N88" s="1187">
        <v>0</v>
      </c>
      <c r="O88" s="1187">
        <v>0</v>
      </c>
      <c r="P88" s="1187">
        <v>0</v>
      </c>
      <c r="Q88" s="1187">
        <v>0</v>
      </c>
      <c r="R88" s="1187">
        <v>0</v>
      </c>
      <c r="S88" s="1190">
        <f t="shared" si="7"/>
        <v>0</v>
      </c>
      <c r="T88" s="1186">
        <v>5.46</v>
      </c>
      <c r="U88" s="1188" t="s">
        <v>4</v>
      </c>
    </row>
    <row r="89" spans="1:21" ht="20.100000000000001" hidden="1" customHeight="1">
      <c r="A89" s="1185">
        <v>29</v>
      </c>
      <c r="B89" s="1191" t="s">
        <v>240</v>
      </c>
      <c r="C89" s="1186">
        <f>WORK!I1483</f>
        <v>0</v>
      </c>
      <c r="D89" s="1186">
        <f>FF!I1190</f>
        <v>0</v>
      </c>
      <c r="E89" s="1186">
        <f>SF!I763</f>
        <v>0</v>
      </c>
      <c r="F89" s="1186">
        <f t="shared" si="6"/>
        <v>0</v>
      </c>
      <c r="G89" s="1186" t="s">
        <v>422</v>
      </c>
      <c r="H89" s="1187">
        <v>0</v>
      </c>
      <c r="I89" s="1187">
        <v>0</v>
      </c>
      <c r="J89" s="1187">
        <v>0</v>
      </c>
      <c r="K89" s="1185">
        <v>0</v>
      </c>
      <c r="L89" s="1187">
        <v>0</v>
      </c>
      <c r="M89" s="1188">
        <f>ROUND(F89*0.012,2)</f>
        <v>0</v>
      </c>
      <c r="N89" s="1187">
        <v>0</v>
      </c>
      <c r="O89" s="1187">
        <v>0</v>
      </c>
      <c r="P89" s="1187">
        <v>0</v>
      </c>
      <c r="Q89" s="1187">
        <v>0</v>
      </c>
      <c r="R89" s="1187">
        <v>0</v>
      </c>
      <c r="S89" s="1190">
        <f t="shared" si="7"/>
        <v>0</v>
      </c>
      <c r="T89" s="1186">
        <v>9.06</v>
      </c>
      <c r="U89" s="1188" t="s">
        <v>4</v>
      </c>
    </row>
    <row r="90" spans="1:21" ht="20.100000000000001" hidden="1" customHeight="1">
      <c r="A90" s="1185">
        <v>26</v>
      </c>
      <c r="B90" s="1191" t="s">
        <v>1216</v>
      </c>
      <c r="C90" s="1186">
        <f>WORK!I1507</f>
        <v>0</v>
      </c>
      <c r="D90" s="1186">
        <f>FF!I1225</f>
        <v>0</v>
      </c>
      <c r="E90" s="1186">
        <f>SF!I787</f>
        <v>0</v>
      </c>
      <c r="F90" s="1186">
        <f t="shared" si="6"/>
        <v>0</v>
      </c>
      <c r="G90" s="1186" t="s">
        <v>422</v>
      </c>
      <c r="H90" s="1187">
        <v>0</v>
      </c>
      <c r="I90" s="1187">
        <v>0</v>
      </c>
      <c r="J90" s="1187">
        <v>0</v>
      </c>
      <c r="K90" s="1185">
        <v>0</v>
      </c>
      <c r="L90" s="1187">
        <v>0</v>
      </c>
      <c r="M90" s="1188">
        <f>ROUND(F90*0.008*1,2)</f>
        <v>0</v>
      </c>
      <c r="N90" s="1187">
        <v>0</v>
      </c>
      <c r="O90" s="1187">
        <v>0</v>
      </c>
      <c r="P90" s="1187">
        <v>0</v>
      </c>
      <c r="Q90" s="1187">
        <v>0</v>
      </c>
      <c r="R90" s="1187">
        <v>0</v>
      </c>
      <c r="S90" s="1190">
        <f t="shared" si="7"/>
        <v>0</v>
      </c>
      <c r="T90" s="1186">
        <v>2.76</v>
      </c>
      <c r="U90" s="1188" t="s">
        <v>4</v>
      </c>
    </row>
    <row r="91" spans="1:21" ht="20.100000000000001" hidden="1" customHeight="1">
      <c r="A91" s="1185">
        <v>5</v>
      </c>
      <c r="B91" s="1163" t="s">
        <v>2279</v>
      </c>
      <c r="C91" s="1186">
        <f>WORK!I1562</f>
        <v>0</v>
      </c>
      <c r="D91" s="1186"/>
      <c r="E91" s="1186"/>
      <c r="F91" s="1186">
        <f t="shared" si="6"/>
        <v>0</v>
      </c>
      <c r="G91" s="1186" t="s">
        <v>421</v>
      </c>
      <c r="H91" s="1187">
        <v>0</v>
      </c>
      <c r="I91" s="1188">
        <f>ROUND(F91*0.017,2)</f>
        <v>0</v>
      </c>
      <c r="J91" s="1187">
        <v>0</v>
      </c>
      <c r="K91" s="1185">
        <v>0</v>
      </c>
      <c r="L91" s="1188">
        <f>ROUND(F91*0.009,2)</f>
        <v>0</v>
      </c>
      <c r="M91" s="1185">
        <v>0</v>
      </c>
      <c r="N91" s="1185">
        <v>0</v>
      </c>
      <c r="O91" s="1187">
        <v>0</v>
      </c>
      <c r="P91" s="1187">
        <v>0</v>
      </c>
      <c r="Q91" s="1187">
        <v>0</v>
      </c>
      <c r="R91" s="1187">
        <v>0</v>
      </c>
      <c r="S91" s="1190">
        <f t="shared" si="7"/>
        <v>0</v>
      </c>
      <c r="T91" s="1186">
        <v>12</v>
      </c>
      <c r="U91" s="1188" t="s">
        <v>4</v>
      </c>
    </row>
    <row r="92" spans="1:21" ht="18" hidden="1" customHeight="1">
      <c r="A92" s="1185"/>
      <c r="B92" s="1191"/>
      <c r="C92" s="1191"/>
      <c r="D92" s="1191"/>
      <c r="E92" s="1191"/>
      <c r="F92" s="1186"/>
      <c r="G92" s="1186"/>
      <c r="H92" s="1188"/>
      <c r="I92" s="1188"/>
      <c r="J92" s="1188"/>
      <c r="K92" s="1188"/>
      <c r="L92" s="1188"/>
      <c r="M92" s="1188"/>
      <c r="N92" s="1187"/>
      <c r="O92" s="1188"/>
      <c r="P92" s="1188"/>
      <c r="Q92" s="1187"/>
      <c r="R92" s="1188"/>
      <c r="S92" s="1188"/>
      <c r="T92" s="1186"/>
      <c r="U92" s="1188"/>
    </row>
    <row r="93" spans="1:21" hidden="1">
      <c r="A93" s="1163"/>
      <c r="B93" s="1192" t="s">
        <v>103</v>
      </c>
      <c r="C93" s="1163"/>
      <c r="D93" s="1163"/>
      <c r="E93" s="1163"/>
      <c r="F93" s="1181">
        <v>1</v>
      </c>
      <c r="G93" s="1163"/>
      <c r="H93" s="1193">
        <f t="shared" ref="H93:S93" si="10">SUM(H50:H92)</f>
        <v>0</v>
      </c>
      <c r="I93" s="1193">
        <f t="shared" si="10"/>
        <v>0</v>
      </c>
      <c r="J93" s="1193">
        <f t="shared" si="10"/>
        <v>0</v>
      </c>
      <c r="K93" s="1193">
        <f t="shared" si="10"/>
        <v>0</v>
      </c>
      <c r="L93" s="1193">
        <f t="shared" si="10"/>
        <v>0</v>
      </c>
      <c r="M93" s="1193">
        <f t="shared" si="10"/>
        <v>0</v>
      </c>
      <c r="N93" s="1193">
        <f t="shared" si="10"/>
        <v>0</v>
      </c>
      <c r="O93" s="1193">
        <f t="shared" si="10"/>
        <v>0</v>
      </c>
      <c r="P93" s="1193">
        <f t="shared" si="10"/>
        <v>0</v>
      </c>
      <c r="Q93" s="1193">
        <f t="shared" si="10"/>
        <v>0</v>
      </c>
      <c r="R93" s="1193">
        <f t="shared" si="10"/>
        <v>0</v>
      </c>
      <c r="S93" s="1193">
        <f t="shared" si="10"/>
        <v>0</v>
      </c>
      <c r="T93" s="1194" t="s">
        <v>142</v>
      </c>
      <c r="U93" s="1163"/>
    </row>
    <row r="94" spans="1:21" s="1161" customFormat="1" ht="15.75" hidden="1">
      <c r="A94" s="1176"/>
      <c r="B94" s="1177" t="s">
        <v>2319</v>
      </c>
      <c r="C94" s="1178"/>
      <c r="D94" s="1179"/>
      <c r="E94" s="1180"/>
      <c r="F94" s="1181">
        <v>1</v>
      </c>
      <c r="G94" s="1182"/>
      <c r="H94" s="1176"/>
      <c r="I94" s="1183"/>
      <c r="J94" s="1184"/>
      <c r="K94" s="1176"/>
      <c r="L94" s="1182"/>
      <c r="M94" s="1176"/>
    </row>
    <row r="95" spans="1:21" ht="18" hidden="1" customHeight="1">
      <c r="A95" s="1185">
        <v>1</v>
      </c>
      <c r="B95" s="1163" t="s">
        <v>101</v>
      </c>
      <c r="C95" s="1543"/>
      <c r="D95" s="1163"/>
      <c r="E95" s="1163"/>
      <c r="F95" s="1186">
        <f>C95+D95</f>
        <v>0</v>
      </c>
      <c r="G95" s="1186" t="s">
        <v>421</v>
      </c>
      <c r="H95" s="1185">
        <v>0</v>
      </c>
      <c r="I95" s="1185">
        <v>0</v>
      </c>
      <c r="J95" s="1185">
        <v>0</v>
      </c>
      <c r="K95" s="1185">
        <v>0</v>
      </c>
      <c r="L95" s="1185">
        <v>0</v>
      </c>
      <c r="M95" s="1185">
        <v>0</v>
      </c>
      <c r="N95" s="1185">
        <v>0</v>
      </c>
      <c r="O95" s="1187">
        <v>0</v>
      </c>
      <c r="P95" s="1187">
        <v>0</v>
      </c>
      <c r="Q95" s="1185">
        <v>0</v>
      </c>
      <c r="R95" s="1188">
        <f>F95</f>
        <v>0</v>
      </c>
      <c r="S95" s="1189">
        <v>0</v>
      </c>
      <c r="T95" s="1163">
        <v>0</v>
      </c>
      <c r="U95" s="1163"/>
    </row>
    <row r="96" spans="1:21" ht="20.100000000000001" hidden="1" customHeight="1">
      <c r="A96" s="1185">
        <v>1</v>
      </c>
      <c r="B96" s="1163" t="s">
        <v>135</v>
      </c>
      <c r="C96" s="1186">
        <f>WORK!I242</f>
        <v>0</v>
      </c>
      <c r="D96" s="1163"/>
      <c r="E96" s="1163"/>
      <c r="F96" s="1186">
        <f t="shared" ref="F96:F136" si="11">SUM(C96:E96)</f>
        <v>0</v>
      </c>
      <c r="G96" s="1186" t="s">
        <v>421</v>
      </c>
      <c r="H96" s="1185">
        <v>0</v>
      </c>
      <c r="I96" s="1185">
        <v>0</v>
      </c>
      <c r="J96" s="1185">
        <v>0</v>
      </c>
      <c r="K96" s="1185">
        <v>0</v>
      </c>
      <c r="L96" s="1185">
        <v>0</v>
      </c>
      <c r="M96" s="1185">
        <v>0</v>
      </c>
      <c r="N96" s="1185">
        <v>0</v>
      </c>
      <c r="O96" s="1188">
        <f>F96</f>
        <v>0</v>
      </c>
      <c r="P96" s="1187">
        <v>0</v>
      </c>
      <c r="Q96" s="1185">
        <v>0</v>
      </c>
      <c r="R96" s="1187">
        <v>0</v>
      </c>
      <c r="S96" s="1189">
        <v>0</v>
      </c>
      <c r="T96" s="1163">
        <v>0</v>
      </c>
      <c r="U96" s="1163"/>
    </row>
    <row r="97" spans="1:21" ht="20.100000000000001" hidden="1" customHeight="1">
      <c r="A97" s="1185">
        <v>14</v>
      </c>
      <c r="B97" s="1163" t="s">
        <v>1192</v>
      </c>
      <c r="C97" s="1186">
        <f>WORK!I182</f>
        <v>0</v>
      </c>
      <c r="D97" s="1163"/>
      <c r="E97" s="1163"/>
      <c r="F97" s="1186">
        <f t="shared" si="11"/>
        <v>0</v>
      </c>
      <c r="G97" s="1186" t="s">
        <v>421</v>
      </c>
      <c r="H97" s="1185">
        <v>0</v>
      </c>
      <c r="I97" s="1185">
        <v>0</v>
      </c>
      <c r="J97" s="1185">
        <v>0</v>
      </c>
      <c r="K97" s="1185">
        <v>0</v>
      </c>
      <c r="L97" s="1185">
        <v>0</v>
      </c>
      <c r="M97" s="1185">
        <v>0</v>
      </c>
      <c r="N97" s="1185">
        <v>0</v>
      </c>
      <c r="O97" s="1187">
        <v>0</v>
      </c>
      <c r="P97" s="1188">
        <f>F97</f>
        <v>0</v>
      </c>
      <c r="Q97" s="1185">
        <v>0</v>
      </c>
      <c r="R97" s="1187">
        <v>0</v>
      </c>
      <c r="S97" s="1189">
        <v>0</v>
      </c>
      <c r="T97" s="1163">
        <v>0</v>
      </c>
      <c r="U97" s="1163"/>
    </row>
    <row r="98" spans="1:21" ht="20.100000000000001" hidden="1" customHeight="1">
      <c r="A98" s="1185">
        <v>4</v>
      </c>
      <c r="B98" s="1163" t="s">
        <v>663</v>
      </c>
      <c r="C98" s="1186">
        <f>WORK!I206</f>
        <v>0</v>
      </c>
      <c r="D98" s="1163"/>
      <c r="E98" s="1163"/>
      <c r="F98" s="1186">
        <f t="shared" si="11"/>
        <v>0</v>
      </c>
      <c r="G98" s="1186" t="s">
        <v>421</v>
      </c>
      <c r="H98" s="1185">
        <v>0</v>
      </c>
      <c r="I98" s="1185">
        <v>0</v>
      </c>
      <c r="J98" s="1185">
        <v>0</v>
      </c>
      <c r="K98" s="1185">
        <v>0</v>
      </c>
      <c r="L98" s="1185">
        <v>0</v>
      </c>
      <c r="M98" s="1185">
        <v>0</v>
      </c>
      <c r="N98" s="1185">
        <v>0</v>
      </c>
      <c r="O98" s="1187">
        <v>0</v>
      </c>
      <c r="P98" s="1188"/>
      <c r="Q98" s="1185">
        <v>0</v>
      </c>
      <c r="R98" s="1188">
        <f>F98</f>
        <v>0</v>
      </c>
      <c r="S98" s="1189">
        <v>0</v>
      </c>
      <c r="T98" s="1163">
        <v>0</v>
      </c>
      <c r="U98" s="1163"/>
    </row>
    <row r="99" spans="1:21" ht="20.100000000000001" hidden="1" customHeight="1">
      <c r="A99" s="1185">
        <v>15</v>
      </c>
      <c r="B99" s="1163" t="s">
        <v>235</v>
      </c>
      <c r="C99" s="1186">
        <f>WORK!I120</f>
        <v>0</v>
      </c>
      <c r="D99" s="1163"/>
      <c r="E99" s="1163"/>
      <c r="F99" s="1186">
        <f t="shared" si="11"/>
        <v>0</v>
      </c>
      <c r="G99" s="1186" t="s">
        <v>421</v>
      </c>
      <c r="H99" s="1188">
        <f>ROUND(F99*0.9,2)</f>
        <v>0</v>
      </c>
      <c r="I99" s="1187">
        <v>0</v>
      </c>
      <c r="J99" s="1187">
        <v>0</v>
      </c>
      <c r="K99" s="1185">
        <v>0</v>
      </c>
      <c r="L99" s="1188">
        <f>ROUND(F99*0.45,2)</f>
        <v>0</v>
      </c>
      <c r="M99" s="1185">
        <v>0</v>
      </c>
      <c r="N99" s="1185">
        <v>0</v>
      </c>
      <c r="O99" s="1187">
        <v>0</v>
      </c>
      <c r="P99" s="1187">
        <v>0</v>
      </c>
      <c r="Q99" s="1187">
        <v>0</v>
      </c>
      <c r="R99" s="1187">
        <v>0</v>
      </c>
      <c r="S99" s="1190">
        <f t="shared" ref="S99:S136" si="12">ROUND(F99*T99/50,2)</f>
        <v>0</v>
      </c>
      <c r="T99" s="1186">
        <v>162</v>
      </c>
      <c r="U99" s="1188" t="s">
        <v>4</v>
      </c>
    </row>
    <row r="100" spans="1:21" ht="20.100000000000001" hidden="1" customHeight="1">
      <c r="A100" s="1185">
        <v>6</v>
      </c>
      <c r="B100" s="1163" t="s">
        <v>446</v>
      </c>
      <c r="C100" s="1186">
        <f>WORK!I155</f>
        <v>0</v>
      </c>
      <c r="D100" s="1163"/>
      <c r="E100" s="1163"/>
      <c r="F100" s="1186">
        <f t="shared" si="11"/>
        <v>0</v>
      </c>
      <c r="G100" s="1186" t="s">
        <v>421</v>
      </c>
      <c r="H100" s="1188">
        <f>ROUND(F100*0.9,2)</f>
        <v>0</v>
      </c>
      <c r="I100" s="1187">
        <v>0</v>
      </c>
      <c r="J100" s="1187">
        <v>0</v>
      </c>
      <c r="K100" s="1185">
        <v>0</v>
      </c>
      <c r="L100" s="1188">
        <f>ROUND(F100*0.45,2)</f>
        <v>0</v>
      </c>
      <c r="M100" s="1185">
        <v>0</v>
      </c>
      <c r="N100" s="1185">
        <v>0</v>
      </c>
      <c r="O100" s="1187">
        <v>0</v>
      </c>
      <c r="P100" s="1187">
        <v>0</v>
      </c>
      <c r="Q100" s="1187">
        <v>0</v>
      </c>
      <c r="R100" s="1187">
        <v>0</v>
      </c>
      <c r="S100" s="1190">
        <f t="shared" si="12"/>
        <v>0</v>
      </c>
      <c r="T100" s="1186">
        <v>129.6</v>
      </c>
      <c r="U100" s="1188" t="s">
        <v>4</v>
      </c>
    </row>
    <row r="101" spans="1:21" ht="20.100000000000001" hidden="1" customHeight="1">
      <c r="A101" s="1185">
        <v>4</v>
      </c>
      <c r="B101" s="1163" t="s">
        <v>132</v>
      </c>
      <c r="C101" s="1186">
        <f>WORK!I301</f>
        <v>0</v>
      </c>
      <c r="D101" s="1163"/>
      <c r="E101" s="1163"/>
      <c r="F101" s="1186">
        <f t="shared" si="11"/>
        <v>0</v>
      </c>
      <c r="G101" s="1186" t="s">
        <v>421</v>
      </c>
      <c r="H101" s="1187">
        <v>0</v>
      </c>
      <c r="I101" s="1188">
        <f t="shared" ref="I101:I111" si="13">ROUND(F101*0.8,2)</f>
        <v>0</v>
      </c>
      <c r="J101" s="1187">
        <v>0</v>
      </c>
      <c r="K101" s="1185">
        <v>0</v>
      </c>
      <c r="L101" s="1188">
        <f t="shared" ref="L101:L111" si="14">ROUND(F101*0.4,2)</f>
        <v>0</v>
      </c>
      <c r="M101" s="1185">
        <v>0</v>
      </c>
      <c r="N101" s="1185">
        <v>0</v>
      </c>
      <c r="O101" s="1187">
        <v>0</v>
      </c>
      <c r="P101" s="1187">
        <v>0</v>
      </c>
      <c r="Q101" s="1187">
        <v>0</v>
      </c>
      <c r="R101" s="1187">
        <v>0</v>
      </c>
      <c r="S101" s="1190">
        <f t="shared" si="12"/>
        <v>0</v>
      </c>
      <c r="T101" s="1186">
        <f>data!E1943</f>
        <v>340</v>
      </c>
      <c r="U101" s="1188" t="s">
        <v>4</v>
      </c>
    </row>
    <row r="102" spans="1:21" ht="20.100000000000001" hidden="1" customHeight="1">
      <c r="A102" s="1185">
        <v>5</v>
      </c>
      <c r="B102" s="1163" t="s">
        <v>133</v>
      </c>
      <c r="C102" s="1186">
        <f>WORK!I321</f>
        <v>0</v>
      </c>
      <c r="D102" s="1163"/>
      <c r="E102" s="1163"/>
      <c r="F102" s="1186">
        <f t="shared" si="11"/>
        <v>0</v>
      </c>
      <c r="G102" s="1186" t="s">
        <v>421</v>
      </c>
      <c r="H102" s="1187">
        <v>0</v>
      </c>
      <c r="I102" s="1188">
        <f t="shared" si="13"/>
        <v>0</v>
      </c>
      <c r="J102" s="1187">
        <v>0</v>
      </c>
      <c r="K102" s="1185">
        <v>0</v>
      </c>
      <c r="L102" s="1188">
        <f t="shared" si="14"/>
        <v>0</v>
      </c>
      <c r="M102" s="1185">
        <v>0</v>
      </c>
      <c r="N102" s="1185">
        <v>0</v>
      </c>
      <c r="O102" s="1187">
        <v>0</v>
      </c>
      <c r="P102" s="1187">
        <v>0</v>
      </c>
      <c r="Q102" s="1187">
        <v>0</v>
      </c>
      <c r="R102" s="1187">
        <v>0</v>
      </c>
      <c r="S102" s="1190">
        <f t="shared" si="12"/>
        <v>0</v>
      </c>
      <c r="T102" s="1186">
        <f>$T$101</f>
        <v>340</v>
      </c>
      <c r="U102" s="1188" t="s">
        <v>4</v>
      </c>
    </row>
    <row r="103" spans="1:21" ht="20.100000000000001" hidden="1" customHeight="1">
      <c r="A103" s="1185">
        <v>16</v>
      </c>
      <c r="B103" s="1163" t="s">
        <v>127</v>
      </c>
      <c r="C103" s="1186">
        <f>WORK!I354</f>
        <v>0</v>
      </c>
      <c r="D103" s="1186">
        <f>FF!I30</f>
        <v>0</v>
      </c>
      <c r="E103" s="1186">
        <f>SF!I28</f>
        <v>0</v>
      </c>
      <c r="F103" s="1186">
        <f t="shared" si="11"/>
        <v>0</v>
      </c>
      <c r="G103" s="1186" t="s">
        <v>421</v>
      </c>
      <c r="H103" s="1187">
        <v>0</v>
      </c>
      <c r="I103" s="1188">
        <f t="shared" si="13"/>
        <v>0</v>
      </c>
      <c r="J103" s="1187">
        <v>0</v>
      </c>
      <c r="K103" s="1185">
        <v>0</v>
      </c>
      <c r="L103" s="1188">
        <f t="shared" si="14"/>
        <v>0</v>
      </c>
      <c r="M103" s="1185">
        <v>0</v>
      </c>
      <c r="N103" s="1185">
        <v>0</v>
      </c>
      <c r="O103" s="1187">
        <v>0</v>
      </c>
      <c r="P103" s="1187">
        <v>0</v>
      </c>
      <c r="Q103" s="1187">
        <v>0</v>
      </c>
      <c r="R103" s="1187">
        <v>0</v>
      </c>
      <c r="S103" s="1190">
        <f t="shared" si="12"/>
        <v>0</v>
      </c>
      <c r="T103" s="1186">
        <f>$T$101</f>
        <v>340</v>
      </c>
      <c r="U103" s="1188" t="s">
        <v>4</v>
      </c>
    </row>
    <row r="104" spans="1:21" ht="20.100000000000001" hidden="1" customHeight="1">
      <c r="A104" s="1185">
        <v>17</v>
      </c>
      <c r="B104" s="1163" t="s">
        <v>128</v>
      </c>
      <c r="C104" s="1186">
        <f>WORK!I400</f>
        <v>0</v>
      </c>
      <c r="D104" s="1163"/>
      <c r="E104" s="1163"/>
      <c r="F104" s="1186">
        <f t="shared" si="11"/>
        <v>0</v>
      </c>
      <c r="G104" s="1186" t="s">
        <v>421</v>
      </c>
      <c r="H104" s="1187">
        <v>0</v>
      </c>
      <c r="I104" s="1188">
        <f t="shared" si="13"/>
        <v>0</v>
      </c>
      <c r="J104" s="1187">
        <v>0</v>
      </c>
      <c r="K104" s="1185">
        <v>0</v>
      </c>
      <c r="L104" s="1188">
        <f t="shared" si="14"/>
        <v>0</v>
      </c>
      <c r="M104" s="1185">
        <v>0</v>
      </c>
      <c r="N104" s="1185">
        <v>0</v>
      </c>
      <c r="O104" s="1187">
        <v>0</v>
      </c>
      <c r="P104" s="1187">
        <v>0</v>
      </c>
      <c r="Q104" s="1187">
        <v>0</v>
      </c>
      <c r="R104" s="1187">
        <v>0</v>
      </c>
      <c r="S104" s="1190">
        <f t="shared" si="12"/>
        <v>0</v>
      </c>
      <c r="T104" s="1186">
        <f>$T$101</f>
        <v>340</v>
      </c>
      <c r="U104" s="1188" t="s">
        <v>4</v>
      </c>
    </row>
    <row r="105" spans="1:21" ht="20.100000000000001" hidden="1" customHeight="1">
      <c r="A105" s="1185">
        <v>3</v>
      </c>
      <c r="B105" s="1163" t="s">
        <v>131</v>
      </c>
      <c r="C105" s="1186">
        <f>WORK!I467</f>
        <v>0</v>
      </c>
      <c r="D105" s="1186">
        <f>FF!I98</f>
        <v>0</v>
      </c>
      <c r="E105" s="1186">
        <f>SF!I51</f>
        <v>0</v>
      </c>
      <c r="F105" s="1186">
        <f t="shared" si="11"/>
        <v>0</v>
      </c>
      <c r="G105" s="1186" t="s">
        <v>421</v>
      </c>
      <c r="H105" s="1187">
        <v>0</v>
      </c>
      <c r="I105" s="1188">
        <f t="shared" si="13"/>
        <v>0</v>
      </c>
      <c r="J105" s="1187">
        <v>0</v>
      </c>
      <c r="K105" s="1185">
        <v>0</v>
      </c>
      <c r="L105" s="1188">
        <f t="shared" si="14"/>
        <v>0</v>
      </c>
      <c r="M105" s="1185">
        <v>0</v>
      </c>
      <c r="N105" s="1185">
        <v>0</v>
      </c>
      <c r="O105" s="1187">
        <v>0</v>
      </c>
      <c r="P105" s="1187">
        <v>0</v>
      </c>
      <c r="Q105" s="1187">
        <v>0</v>
      </c>
      <c r="R105" s="1187">
        <v>0</v>
      </c>
      <c r="S105" s="1190">
        <f t="shared" si="12"/>
        <v>0</v>
      </c>
      <c r="T105" s="1186">
        <f>$T$101</f>
        <v>340</v>
      </c>
      <c r="U105" s="1188" t="s">
        <v>4</v>
      </c>
    </row>
    <row r="106" spans="1:21" ht="20.100000000000001" hidden="1" customHeight="1">
      <c r="A106" s="1185">
        <v>9</v>
      </c>
      <c r="B106" s="1191" t="s">
        <v>236</v>
      </c>
      <c r="C106" s="1186">
        <f>ROUND(WORK!I494*0.15,2)</f>
        <v>0</v>
      </c>
      <c r="D106" s="1186">
        <f>ROUND(FF!I128*0.15,2)</f>
        <v>0</v>
      </c>
      <c r="E106" s="1186">
        <f>ROUND(SF!I75*0.15,2)</f>
        <v>0</v>
      </c>
      <c r="F106" s="1186">
        <f t="shared" si="11"/>
        <v>0</v>
      </c>
      <c r="G106" s="1186" t="s">
        <v>422</v>
      </c>
      <c r="H106" s="1187">
        <v>0</v>
      </c>
      <c r="I106" s="1188">
        <f t="shared" si="13"/>
        <v>0</v>
      </c>
      <c r="J106" s="1187">
        <v>0</v>
      </c>
      <c r="K106" s="1185">
        <v>0</v>
      </c>
      <c r="L106" s="1188">
        <f t="shared" si="14"/>
        <v>0</v>
      </c>
      <c r="M106" s="1185">
        <v>0</v>
      </c>
      <c r="N106" s="1185">
        <v>0</v>
      </c>
      <c r="O106" s="1187">
        <v>0</v>
      </c>
      <c r="P106" s="1187">
        <v>0</v>
      </c>
      <c r="Q106" s="1187">
        <v>0</v>
      </c>
      <c r="R106" s="1187">
        <v>0</v>
      </c>
      <c r="S106" s="1190">
        <f t="shared" si="12"/>
        <v>0</v>
      </c>
      <c r="T106" s="1186">
        <f>ROUND(T105,2)</f>
        <v>340</v>
      </c>
      <c r="U106" s="1188" t="s">
        <v>4</v>
      </c>
    </row>
    <row r="107" spans="1:21" ht="20.100000000000001" hidden="1" customHeight="1">
      <c r="A107" s="1185">
        <v>4</v>
      </c>
      <c r="B107" s="1191" t="s">
        <v>237</v>
      </c>
      <c r="C107" s="1186">
        <f>ROUND(WORK!I519*0.125,2)</f>
        <v>0</v>
      </c>
      <c r="D107" s="1186">
        <f>ROUND(FF!I153*0.125,2)</f>
        <v>0</v>
      </c>
      <c r="E107" s="1186">
        <f>ROUND(SF!I96*0.125,2)</f>
        <v>0</v>
      </c>
      <c r="F107" s="1186">
        <f t="shared" si="11"/>
        <v>0</v>
      </c>
      <c r="G107" s="1186" t="s">
        <v>422</v>
      </c>
      <c r="H107" s="1187">
        <v>0</v>
      </c>
      <c r="I107" s="1188">
        <f t="shared" si="13"/>
        <v>0</v>
      </c>
      <c r="J107" s="1187">
        <v>0</v>
      </c>
      <c r="K107" s="1185">
        <v>0</v>
      </c>
      <c r="L107" s="1188">
        <f t="shared" si="14"/>
        <v>0</v>
      </c>
      <c r="M107" s="1185">
        <v>0</v>
      </c>
      <c r="N107" s="1185">
        <v>0</v>
      </c>
      <c r="O107" s="1187">
        <v>0</v>
      </c>
      <c r="P107" s="1187">
        <v>0</v>
      </c>
      <c r="Q107" s="1187">
        <v>0</v>
      </c>
      <c r="R107" s="1187">
        <v>0</v>
      </c>
      <c r="S107" s="1190">
        <f t="shared" si="12"/>
        <v>0</v>
      </c>
      <c r="T107" s="1186">
        <f>ROUND(T105,2)</f>
        <v>340</v>
      </c>
      <c r="U107" s="1188" t="s">
        <v>4</v>
      </c>
    </row>
    <row r="108" spans="1:21" ht="20.100000000000001" hidden="1" customHeight="1">
      <c r="A108" s="1185">
        <v>9</v>
      </c>
      <c r="B108" s="1191" t="s">
        <v>605</v>
      </c>
      <c r="C108" s="1186">
        <f>ROUND(WORK!I542*0.1,2)</f>
        <v>0</v>
      </c>
      <c r="D108" s="1186">
        <f>ROUND(FF!I174*0.1,2)</f>
        <v>0</v>
      </c>
      <c r="E108" s="1186">
        <f>ROUND(SF!I116*0.1,2)</f>
        <v>0</v>
      </c>
      <c r="F108" s="1186">
        <f t="shared" si="11"/>
        <v>0</v>
      </c>
      <c r="G108" s="1186" t="s">
        <v>422</v>
      </c>
      <c r="H108" s="1187">
        <v>0</v>
      </c>
      <c r="I108" s="1188">
        <f t="shared" si="13"/>
        <v>0</v>
      </c>
      <c r="J108" s="1187">
        <v>0</v>
      </c>
      <c r="K108" s="1185">
        <v>0</v>
      </c>
      <c r="L108" s="1188">
        <f t="shared" si="14"/>
        <v>0</v>
      </c>
      <c r="M108" s="1185">
        <v>0</v>
      </c>
      <c r="N108" s="1185">
        <v>0</v>
      </c>
      <c r="O108" s="1187">
        <v>0</v>
      </c>
      <c r="P108" s="1187">
        <v>0</v>
      </c>
      <c r="Q108" s="1187">
        <v>0</v>
      </c>
      <c r="R108" s="1187">
        <v>0</v>
      </c>
      <c r="S108" s="1190">
        <f t="shared" si="12"/>
        <v>0</v>
      </c>
      <c r="T108" s="1186">
        <f>T107</f>
        <v>340</v>
      </c>
      <c r="U108" s="1188" t="s">
        <v>4</v>
      </c>
    </row>
    <row r="109" spans="1:21" ht="20.100000000000001" hidden="1" customHeight="1">
      <c r="A109" s="1185">
        <v>9</v>
      </c>
      <c r="B109" s="1191" t="s">
        <v>1231</v>
      </c>
      <c r="C109" s="1186">
        <f>ROUND(WORK!I565*0.05,2)</f>
        <v>0</v>
      </c>
      <c r="D109" s="1186">
        <f>ROUND(FF!I197*0.05,2)</f>
        <v>0</v>
      </c>
      <c r="E109" s="1186">
        <f>ROUND(SF!I139*0.05,2)</f>
        <v>0</v>
      </c>
      <c r="F109" s="1186">
        <f t="shared" si="11"/>
        <v>0</v>
      </c>
      <c r="G109" s="1186" t="s">
        <v>422</v>
      </c>
      <c r="H109" s="1187">
        <v>0</v>
      </c>
      <c r="I109" s="1188">
        <f t="shared" si="13"/>
        <v>0</v>
      </c>
      <c r="J109" s="1187">
        <v>0</v>
      </c>
      <c r="K109" s="1185">
        <v>0</v>
      </c>
      <c r="L109" s="1188">
        <f t="shared" si="14"/>
        <v>0</v>
      </c>
      <c r="M109" s="1185">
        <v>0</v>
      </c>
      <c r="N109" s="1185">
        <v>0</v>
      </c>
      <c r="O109" s="1187">
        <v>0</v>
      </c>
      <c r="P109" s="1187">
        <v>0</v>
      </c>
      <c r="Q109" s="1187">
        <v>0</v>
      </c>
      <c r="R109" s="1187">
        <v>0</v>
      </c>
      <c r="S109" s="1190">
        <f t="shared" si="12"/>
        <v>0</v>
      </c>
      <c r="T109" s="1186">
        <f>T108</f>
        <v>340</v>
      </c>
      <c r="U109" s="1188" t="s">
        <v>4</v>
      </c>
    </row>
    <row r="110" spans="1:21" ht="20.100000000000001" hidden="1" customHeight="1">
      <c r="A110" s="1185">
        <v>16</v>
      </c>
      <c r="B110" s="1191" t="s">
        <v>1440</v>
      </c>
      <c r="C110" s="1186">
        <f>ROUND(WORK!I592*0.025,2)</f>
        <v>0</v>
      </c>
      <c r="D110" s="1186">
        <f>ROUND(FF!I221*0.025,2)</f>
        <v>0</v>
      </c>
      <c r="E110" s="1186">
        <f>ROUND(SF!I163*0.025,2)</f>
        <v>0</v>
      </c>
      <c r="F110" s="1186">
        <f t="shared" si="11"/>
        <v>0</v>
      </c>
      <c r="G110" s="1186" t="s">
        <v>422</v>
      </c>
      <c r="H110" s="1187">
        <v>0</v>
      </c>
      <c r="I110" s="1188">
        <f t="shared" si="13"/>
        <v>0</v>
      </c>
      <c r="J110" s="1187">
        <v>0</v>
      </c>
      <c r="K110" s="1185">
        <v>0</v>
      </c>
      <c r="L110" s="1188">
        <f t="shared" si="14"/>
        <v>0</v>
      </c>
      <c r="M110" s="1185">
        <v>0</v>
      </c>
      <c r="N110" s="1185">
        <v>0</v>
      </c>
      <c r="O110" s="1187">
        <v>0</v>
      </c>
      <c r="P110" s="1187">
        <v>0</v>
      </c>
      <c r="Q110" s="1187">
        <v>0</v>
      </c>
      <c r="R110" s="1187">
        <v>0</v>
      </c>
      <c r="S110" s="1190">
        <f t="shared" si="12"/>
        <v>0</v>
      </c>
      <c r="T110" s="1186">
        <f>T109</f>
        <v>340</v>
      </c>
      <c r="U110" s="1188" t="s">
        <v>4</v>
      </c>
    </row>
    <row r="111" spans="1:21" ht="20.100000000000001" hidden="1" customHeight="1">
      <c r="A111" s="1185">
        <v>5</v>
      </c>
      <c r="B111" s="1163" t="s">
        <v>129</v>
      </c>
      <c r="C111" s="1186">
        <f>WORK!I628</f>
        <v>0</v>
      </c>
      <c r="D111" s="1186">
        <f>FF!I270</f>
        <v>0</v>
      </c>
      <c r="E111" s="1186">
        <f>SF!I190</f>
        <v>0</v>
      </c>
      <c r="F111" s="1186">
        <f t="shared" si="11"/>
        <v>0</v>
      </c>
      <c r="G111" s="1186" t="s">
        <v>421</v>
      </c>
      <c r="H111" s="1187">
        <v>0</v>
      </c>
      <c r="I111" s="1188">
        <f t="shared" si="13"/>
        <v>0</v>
      </c>
      <c r="J111" s="1187">
        <v>0</v>
      </c>
      <c r="K111" s="1185">
        <v>0</v>
      </c>
      <c r="L111" s="1188">
        <f t="shared" si="14"/>
        <v>0</v>
      </c>
      <c r="M111" s="1185">
        <v>0</v>
      </c>
      <c r="N111" s="1185">
        <v>0</v>
      </c>
      <c r="O111" s="1187">
        <v>0</v>
      </c>
      <c r="P111" s="1187">
        <v>0</v>
      </c>
      <c r="Q111" s="1187">
        <v>0</v>
      </c>
      <c r="R111" s="1187">
        <v>0</v>
      </c>
      <c r="S111" s="1190">
        <f t="shared" si="12"/>
        <v>0</v>
      </c>
      <c r="T111" s="1186">
        <f>$T$101</f>
        <v>340</v>
      </c>
      <c r="U111" s="1188" t="s">
        <v>4</v>
      </c>
    </row>
    <row r="112" spans="1:21" ht="20.100000000000001" hidden="1" customHeight="1">
      <c r="A112" s="1185">
        <v>6</v>
      </c>
      <c r="B112" s="1163" t="s">
        <v>130</v>
      </c>
      <c r="C112" s="1186">
        <f>WORK!I655</f>
        <v>0</v>
      </c>
      <c r="D112" s="1186">
        <f>FF!I295</f>
        <v>0</v>
      </c>
      <c r="E112" s="1186">
        <f>SF!I212</f>
        <v>0</v>
      </c>
      <c r="F112" s="1186">
        <f t="shared" si="11"/>
        <v>0</v>
      </c>
      <c r="G112" s="1186" t="s">
        <v>82</v>
      </c>
      <c r="H112" s="1187">
        <v>0</v>
      </c>
      <c r="I112" s="1188">
        <f>ROUND(F112*0.0375*0.8,2)</f>
        <v>0</v>
      </c>
      <c r="J112" s="1187">
        <v>0</v>
      </c>
      <c r="K112" s="1185">
        <v>0</v>
      </c>
      <c r="L112" s="1188">
        <f>ROUND(F112*0.0375*0.4,2)</f>
        <v>0</v>
      </c>
      <c r="M112" s="1185">
        <v>0</v>
      </c>
      <c r="N112" s="1185">
        <v>0</v>
      </c>
      <c r="O112" s="1187">
        <v>0</v>
      </c>
      <c r="P112" s="1187">
        <v>0</v>
      </c>
      <c r="Q112" s="1187">
        <v>0</v>
      </c>
      <c r="R112" s="1187">
        <v>0</v>
      </c>
      <c r="S112" s="1190">
        <f t="shared" si="12"/>
        <v>0</v>
      </c>
      <c r="T112" s="1195">
        <f>ROUND(T111*0.0375,2)</f>
        <v>12.75</v>
      </c>
      <c r="U112" s="1188" t="s">
        <v>4</v>
      </c>
    </row>
    <row r="113" spans="1:21" ht="20.100000000000001" hidden="1" customHeight="1">
      <c r="A113" s="1185">
        <v>4</v>
      </c>
      <c r="B113" s="1191" t="s">
        <v>1441</v>
      </c>
      <c r="C113" s="1186">
        <f>WORK!I678</f>
        <v>0</v>
      </c>
      <c r="D113" s="1186">
        <f>FF!I320</f>
        <v>0</v>
      </c>
      <c r="E113" s="1186">
        <f>SF!I232</f>
        <v>0</v>
      </c>
      <c r="F113" s="1186">
        <f t="shared" si="11"/>
        <v>0</v>
      </c>
      <c r="G113" s="1186" t="s">
        <v>422</v>
      </c>
      <c r="H113" s="1187">
        <v>0</v>
      </c>
      <c r="I113" s="1187">
        <v>0</v>
      </c>
      <c r="J113" s="1187">
        <v>0</v>
      </c>
      <c r="K113" s="1185">
        <v>0</v>
      </c>
      <c r="L113" s="1187">
        <v>0</v>
      </c>
      <c r="M113" s="1185">
        <v>0</v>
      </c>
      <c r="N113" s="1188">
        <f>ROUND(F113*0.015*1.05,2)</f>
        <v>0</v>
      </c>
      <c r="O113" s="1187">
        <v>0</v>
      </c>
      <c r="P113" s="1187">
        <v>0</v>
      </c>
      <c r="Q113" s="1187">
        <v>0</v>
      </c>
      <c r="R113" s="1187">
        <v>0</v>
      </c>
      <c r="S113" s="1190">
        <f t="shared" si="12"/>
        <v>0</v>
      </c>
      <c r="T113" s="1186">
        <v>7.2</v>
      </c>
      <c r="U113" s="1188" t="s">
        <v>4</v>
      </c>
    </row>
    <row r="114" spans="1:21" ht="20.100000000000001" hidden="1" customHeight="1">
      <c r="A114" s="1185">
        <v>12</v>
      </c>
      <c r="B114" s="1191" t="s">
        <v>1226</v>
      </c>
      <c r="C114" s="1186">
        <f>WORK!I702</f>
        <v>0</v>
      </c>
      <c r="D114" s="1186">
        <f>FF!I344</f>
        <v>0</v>
      </c>
      <c r="E114" s="1186">
        <f>SF!I255</f>
        <v>0</v>
      </c>
      <c r="F114" s="1186">
        <f t="shared" si="11"/>
        <v>0</v>
      </c>
      <c r="G114" s="1186" t="s">
        <v>422</v>
      </c>
      <c r="H114" s="1187">
        <v>0</v>
      </c>
      <c r="I114" s="1187">
        <v>0</v>
      </c>
      <c r="J114" s="1187">
        <v>0</v>
      </c>
      <c r="K114" s="1185">
        <v>0</v>
      </c>
      <c r="L114" s="1187">
        <v>0</v>
      </c>
      <c r="M114" s="1185">
        <v>0</v>
      </c>
      <c r="N114" s="1188">
        <f>ROUND(F114*0.021*1.05,2)</f>
        <v>0</v>
      </c>
      <c r="O114" s="1187">
        <v>0</v>
      </c>
      <c r="P114" s="1187">
        <v>0</v>
      </c>
      <c r="Q114" s="1187">
        <v>0</v>
      </c>
      <c r="R114" s="1187">
        <v>0</v>
      </c>
      <c r="S114" s="1190">
        <f t="shared" si="12"/>
        <v>0</v>
      </c>
      <c r="T114" s="1186">
        <v>10.08</v>
      </c>
      <c r="U114" s="1188" t="s">
        <v>4</v>
      </c>
    </row>
    <row r="115" spans="1:21" ht="20.100000000000001" hidden="1" customHeight="1">
      <c r="A115" s="1185">
        <v>13</v>
      </c>
      <c r="B115" s="1163" t="s">
        <v>1194</v>
      </c>
      <c r="C115" s="1186">
        <f>WORK!I729</f>
        <v>0</v>
      </c>
      <c r="D115" s="1186"/>
      <c r="E115" s="1186"/>
      <c r="F115" s="1186">
        <f t="shared" si="11"/>
        <v>0</v>
      </c>
      <c r="G115" s="1186" t="s">
        <v>421</v>
      </c>
      <c r="H115" s="1187">
        <v>0</v>
      </c>
      <c r="I115" s="1187">
        <v>0</v>
      </c>
      <c r="J115" s="1187">
        <v>0</v>
      </c>
      <c r="K115" s="1188">
        <f>ROUND(F115*1.1,2)</f>
        <v>0</v>
      </c>
      <c r="L115" s="1187">
        <v>0</v>
      </c>
      <c r="M115" s="1188">
        <f>ROUND(F115*0.33,2)</f>
        <v>0</v>
      </c>
      <c r="N115" s="1187">
        <v>0</v>
      </c>
      <c r="O115" s="1187">
        <v>0</v>
      </c>
      <c r="P115" s="1187">
        <v>0</v>
      </c>
      <c r="Q115" s="1188"/>
      <c r="R115" s="1187">
        <v>0</v>
      </c>
      <c r="S115" s="1190">
        <f t="shared" si="12"/>
        <v>0</v>
      </c>
      <c r="T115" s="1186">
        <v>59.4</v>
      </c>
      <c r="U115" s="1188" t="s">
        <v>4</v>
      </c>
    </row>
    <row r="116" spans="1:21" ht="20.100000000000001" hidden="1" customHeight="1">
      <c r="A116" s="1185">
        <v>18</v>
      </c>
      <c r="B116" s="1163" t="s">
        <v>134</v>
      </c>
      <c r="C116" s="1186">
        <f>WORK!I780</f>
        <v>0</v>
      </c>
      <c r="D116" s="1186">
        <f>FF!I368</f>
        <v>0</v>
      </c>
      <c r="E116" s="1186">
        <f>SF!I282</f>
        <v>0</v>
      </c>
      <c r="F116" s="1186">
        <f t="shared" si="11"/>
        <v>0</v>
      </c>
      <c r="G116" s="1186" t="s">
        <v>421</v>
      </c>
      <c r="H116" s="1187">
        <v>0</v>
      </c>
      <c r="I116" s="1187">
        <v>0</v>
      </c>
      <c r="J116" s="1187">
        <v>0</v>
      </c>
      <c r="K116" s="1185">
        <v>0</v>
      </c>
      <c r="L116" s="1187">
        <v>0</v>
      </c>
      <c r="M116" s="1188">
        <f>ROUND(F116*0.2,2)</f>
        <v>0</v>
      </c>
      <c r="N116" s="1187">
        <v>0</v>
      </c>
      <c r="O116" s="1187">
        <v>0</v>
      </c>
      <c r="P116" s="1187">
        <v>0</v>
      </c>
      <c r="Q116" s="1188">
        <f>ROUND(F116*512/1000,2)</f>
        <v>0</v>
      </c>
      <c r="R116" s="1187">
        <v>0</v>
      </c>
      <c r="S116" s="1190">
        <f t="shared" si="12"/>
        <v>0</v>
      </c>
      <c r="T116" s="1186">
        <v>36</v>
      </c>
      <c r="U116" s="1188" t="s">
        <v>4</v>
      </c>
    </row>
    <row r="117" spans="1:21" ht="20.100000000000001" hidden="1" customHeight="1">
      <c r="A117" s="1185">
        <v>19</v>
      </c>
      <c r="B117" s="1163" t="s">
        <v>906</v>
      </c>
      <c r="C117" s="1186">
        <f>WORK!I852</f>
        <v>0</v>
      </c>
      <c r="D117" s="1186">
        <f>FF!I454</f>
        <v>0</v>
      </c>
      <c r="E117" s="1186">
        <f>SF!I312</f>
        <v>0</v>
      </c>
      <c r="F117" s="1186">
        <f t="shared" si="11"/>
        <v>0</v>
      </c>
      <c r="G117" s="1186" t="s">
        <v>421</v>
      </c>
      <c r="H117" s="1187">
        <v>0</v>
      </c>
      <c r="I117" s="1187">
        <v>0</v>
      </c>
      <c r="J117" s="1187">
        <v>0</v>
      </c>
      <c r="K117" s="1185">
        <v>0</v>
      </c>
      <c r="L117" s="1187">
        <v>0</v>
      </c>
      <c r="M117" s="1188">
        <f>ROUND(F117*0.2,2)</f>
        <v>0</v>
      </c>
      <c r="N117" s="1187">
        <v>0</v>
      </c>
      <c r="O117" s="1187">
        <v>0</v>
      </c>
      <c r="P117" s="1187">
        <v>0</v>
      </c>
      <c r="Q117" s="1188">
        <f>ROUND(F117*512/1000,2)</f>
        <v>0</v>
      </c>
      <c r="R117" s="1187">
        <v>0</v>
      </c>
      <c r="S117" s="1190">
        <f t="shared" si="12"/>
        <v>0</v>
      </c>
      <c r="T117" s="1186">
        <v>48</v>
      </c>
      <c r="U117" s="1188" t="s">
        <v>4</v>
      </c>
    </row>
    <row r="118" spans="1:21" ht="20.100000000000001" hidden="1" customHeight="1">
      <c r="A118" s="1185">
        <v>9</v>
      </c>
      <c r="B118" s="1163" t="s">
        <v>3637</v>
      </c>
      <c r="C118" s="1186">
        <f>WORK!I892</f>
        <v>0</v>
      </c>
      <c r="D118" s="1186">
        <f>FF!I541</f>
        <v>0</v>
      </c>
      <c r="E118" s="1186">
        <f>SF!I339</f>
        <v>0</v>
      </c>
      <c r="F118" s="1186">
        <f t="shared" si="11"/>
        <v>0</v>
      </c>
      <c r="G118" s="1186" t="s">
        <v>422</v>
      </c>
      <c r="H118" s="1187">
        <v>0</v>
      </c>
      <c r="I118" s="1188"/>
      <c r="J118" s="1187">
        <v>0</v>
      </c>
      <c r="K118" s="1185">
        <v>0</v>
      </c>
      <c r="L118" s="1187">
        <v>0</v>
      </c>
      <c r="M118" s="1188">
        <f>ROUND(F118*0.022,2)</f>
        <v>0</v>
      </c>
      <c r="N118" s="1187">
        <v>0</v>
      </c>
      <c r="O118" s="1187">
        <v>0</v>
      </c>
      <c r="P118" s="1187">
        <v>0</v>
      </c>
      <c r="Q118" s="1188">
        <f>ROUND(F118*512*0.1/1000,2)</f>
        <v>0</v>
      </c>
      <c r="R118" s="1187">
        <v>0</v>
      </c>
      <c r="S118" s="1190">
        <f t="shared" si="12"/>
        <v>0</v>
      </c>
      <c r="T118" s="1186">
        <v>7.2</v>
      </c>
      <c r="U118" s="1188" t="s">
        <v>4</v>
      </c>
    </row>
    <row r="119" spans="1:21" ht="20.100000000000001" hidden="1" customHeight="1">
      <c r="A119" s="1185">
        <v>16</v>
      </c>
      <c r="B119" s="1163" t="s">
        <v>1214</v>
      </c>
      <c r="C119" s="1186">
        <f>WORK!I932</f>
        <v>0</v>
      </c>
      <c r="D119" s="1186">
        <f>FF!I571</f>
        <v>0</v>
      </c>
      <c r="E119" s="1186">
        <f>SF!I368</f>
        <v>0</v>
      </c>
      <c r="F119" s="1186">
        <f t="shared" si="11"/>
        <v>0</v>
      </c>
      <c r="G119" s="1186" t="s">
        <v>421</v>
      </c>
      <c r="H119" s="1187">
        <v>0</v>
      </c>
      <c r="I119" s="1187">
        <v>0</v>
      </c>
      <c r="J119" s="1187">
        <v>0</v>
      </c>
      <c r="K119" s="1185">
        <v>0</v>
      </c>
      <c r="L119" s="1187">
        <v>0</v>
      </c>
      <c r="M119" s="1188">
        <f>ROUND(F119*0.1*1.05,2)</f>
        <v>0</v>
      </c>
      <c r="N119" s="1187">
        <v>0</v>
      </c>
      <c r="O119" s="1187">
        <v>0</v>
      </c>
      <c r="P119" s="1187">
        <v>0</v>
      </c>
      <c r="Q119" s="1188">
        <f>ROUND(F119*110/1000,2)</f>
        <v>0</v>
      </c>
      <c r="R119" s="1187">
        <v>0</v>
      </c>
      <c r="S119" s="1190">
        <f t="shared" si="12"/>
        <v>0</v>
      </c>
      <c r="T119" s="1186">
        <v>24</v>
      </c>
      <c r="U119" s="1188" t="s">
        <v>4</v>
      </c>
    </row>
    <row r="120" spans="1:21" ht="20.100000000000001" hidden="1" customHeight="1">
      <c r="A120" s="1185">
        <v>20</v>
      </c>
      <c r="B120" s="1191" t="s">
        <v>1215</v>
      </c>
      <c r="C120" s="1186">
        <f>WORK!I958</f>
        <v>0</v>
      </c>
      <c r="D120" s="1186">
        <f>FF!I596</f>
        <v>0</v>
      </c>
      <c r="E120" s="1186"/>
      <c r="F120" s="1186">
        <f t="shared" si="11"/>
        <v>0</v>
      </c>
      <c r="G120" s="1186" t="s">
        <v>422</v>
      </c>
      <c r="H120" s="1187">
        <v>0</v>
      </c>
      <c r="I120" s="1187">
        <v>0</v>
      </c>
      <c r="J120" s="1187">
        <v>0</v>
      </c>
      <c r="K120" s="1185">
        <v>0</v>
      </c>
      <c r="L120" s="1187">
        <v>0</v>
      </c>
      <c r="M120" s="1187">
        <v>0</v>
      </c>
      <c r="N120" s="1188">
        <f>ROUND(F120*((0.015*1.05)+(0.025*1.05)),2)</f>
        <v>0</v>
      </c>
      <c r="O120" s="1187">
        <v>0</v>
      </c>
      <c r="P120" s="1187">
        <v>0</v>
      </c>
      <c r="Q120" s="1187">
        <v>0</v>
      </c>
      <c r="R120" s="1187">
        <v>0</v>
      </c>
      <c r="S120" s="1190">
        <f t="shared" si="12"/>
        <v>0</v>
      </c>
      <c r="T120" s="1186">
        <v>20.89</v>
      </c>
      <c r="U120" s="1188" t="s">
        <v>4</v>
      </c>
    </row>
    <row r="121" spans="1:21" ht="20.100000000000001" hidden="1" customHeight="1">
      <c r="A121" s="1185">
        <v>21</v>
      </c>
      <c r="B121" s="1191" t="s">
        <v>137</v>
      </c>
      <c r="C121" s="1186">
        <f>WORK!I1009</f>
        <v>0</v>
      </c>
      <c r="D121" s="1186">
        <f>FF!I659</f>
        <v>0</v>
      </c>
      <c r="E121" s="1186">
        <f>SF!I397</f>
        <v>0</v>
      </c>
      <c r="F121" s="1186">
        <f t="shared" si="11"/>
        <v>0</v>
      </c>
      <c r="G121" s="1186" t="s">
        <v>422</v>
      </c>
      <c r="H121" s="1187">
        <v>0</v>
      </c>
      <c r="I121" s="1187">
        <v>0</v>
      </c>
      <c r="J121" s="1187">
        <v>0</v>
      </c>
      <c r="K121" s="1185">
        <v>0</v>
      </c>
      <c r="L121" s="1187">
        <v>0</v>
      </c>
      <c r="M121" s="1187">
        <v>0</v>
      </c>
      <c r="N121" s="1188">
        <f>ROUND(F121*0.015*1.05,2)</f>
        <v>0</v>
      </c>
      <c r="O121" s="1187">
        <v>0</v>
      </c>
      <c r="P121" s="1187">
        <v>0</v>
      </c>
      <c r="Q121" s="1187">
        <v>0</v>
      </c>
      <c r="R121" s="1187">
        <v>0</v>
      </c>
      <c r="S121" s="1190">
        <f t="shared" si="12"/>
        <v>0</v>
      </c>
      <c r="T121" s="1186">
        <v>7.2</v>
      </c>
      <c r="U121" s="1188" t="s">
        <v>4</v>
      </c>
    </row>
    <row r="122" spans="1:21" ht="20.100000000000001" hidden="1" customHeight="1">
      <c r="A122" s="1185">
        <v>2</v>
      </c>
      <c r="B122" s="1191" t="s">
        <v>238</v>
      </c>
      <c r="C122" s="1186">
        <f>WORK!I1047</f>
        <v>0</v>
      </c>
      <c r="D122" s="1186">
        <f>FF!I702</f>
        <v>0</v>
      </c>
      <c r="E122" s="1186">
        <f>SF!I428</f>
        <v>0</v>
      </c>
      <c r="F122" s="1186">
        <f t="shared" si="11"/>
        <v>0</v>
      </c>
      <c r="G122" s="1186" t="s">
        <v>422</v>
      </c>
      <c r="H122" s="1187">
        <v>0</v>
      </c>
      <c r="I122" s="1187">
        <v>0</v>
      </c>
      <c r="J122" s="1187">
        <v>0</v>
      </c>
      <c r="K122" s="1185">
        <v>0</v>
      </c>
      <c r="L122" s="1187">
        <v>0</v>
      </c>
      <c r="M122" s="1187">
        <v>0</v>
      </c>
      <c r="N122" s="1188">
        <f>ROUND(F122*0.015*1.05,2)</f>
        <v>0</v>
      </c>
      <c r="O122" s="1187">
        <v>0</v>
      </c>
      <c r="P122" s="1187">
        <v>0</v>
      </c>
      <c r="Q122" s="1187">
        <v>0</v>
      </c>
      <c r="R122" s="1187">
        <v>0</v>
      </c>
      <c r="S122" s="1190">
        <f t="shared" si="12"/>
        <v>0</v>
      </c>
      <c r="T122" s="1186">
        <v>4.32</v>
      </c>
      <c r="U122" s="1188" t="s">
        <v>4</v>
      </c>
    </row>
    <row r="123" spans="1:21" ht="20.100000000000001" hidden="1" customHeight="1">
      <c r="A123" s="1185">
        <v>3</v>
      </c>
      <c r="B123" s="1191" t="s">
        <v>604</v>
      </c>
      <c r="C123" s="1186">
        <f>WORK!I1073</f>
        <v>0</v>
      </c>
      <c r="D123" s="1186">
        <f>FF!I734</f>
        <v>0</v>
      </c>
      <c r="E123" s="1186">
        <f>SF!I460</f>
        <v>0</v>
      </c>
      <c r="F123" s="1186">
        <f t="shared" si="11"/>
        <v>0</v>
      </c>
      <c r="G123" s="1186" t="s">
        <v>422</v>
      </c>
      <c r="H123" s="1187">
        <v>0</v>
      </c>
      <c r="I123" s="1187">
        <v>0</v>
      </c>
      <c r="J123" s="1187">
        <v>0</v>
      </c>
      <c r="K123" s="1185">
        <v>0</v>
      </c>
      <c r="L123" s="1187">
        <v>0</v>
      </c>
      <c r="M123" s="1187">
        <v>0</v>
      </c>
      <c r="N123" s="1188">
        <f>ROUND(F123*0.021*1.05,2)</f>
        <v>0</v>
      </c>
      <c r="O123" s="1187">
        <v>0</v>
      </c>
      <c r="P123" s="1187">
        <v>0</v>
      </c>
      <c r="Q123" s="1187">
        <v>0</v>
      </c>
      <c r="R123" s="1187">
        <v>0</v>
      </c>
      <c r="S123" s="1190">
        <f t="shared" si="12"/>
        <v>0</v>
      </c>
      <c r="T123" s="1186">
        <v>6.05</v>
      </c>
      <c r="U123" s="1188" t="s">
        <v>4</v>
      </c>
    </row>
    <row r="124" spans="1:21" ht="20.100000000000001" hidden="1" customHeight="1">
      <c r="A124" s="1185">
        <v>22</v>
      </c>
      <c r="B124" s="1191" t="s">
        <v>904</v>
      </c>
      <c r="C124" s="1186">
        <f>WORK!I1145</f>
        <v>0</v>
      </c>
      <c r="D124" s="1186">
        <f>FF!I830</f>
        <v>0</v>
      </c>
      <c r="E124" s="1186">
        <f>SF!I496</f>
        <v>0</v>
      </c>
      <c r="F124" s="1186">
        <f t="shared" si="11"/>
        <v>0</v>
      </c>
      <c r="G124" s="1186" t="s">
        <v>422</v>
      </c>
      <c r="H124" s="1187">
        <v>0</v>
      </c>
      <c r="I124" s="1187">
        <v>0</v>
      </c>
      <c r="J124" s="1187">
        <v>0</v>
      </c>
      <c r="K124" s="1185">
        <v>0</v>
      </c>
      <c r="L124" s="1187">
        <v>0</v>
      </c>
      <c r="M124" s="1187">
        <v>0</v>
      </c>
      <c r="N124" s="1188">
        <f>ROUND(F124*0.015*1,2)</f>
        <v>0</v>
      </c>
      <c r="O124" s="1187">
        <v>0</v>
      </c>
      <c r="P124" s="1187">
        <v>0</v>
      </c>
      <c r="Q124" s="1187">
        <v>0</v>
      </c>
      <c r="R124" s="1187">
        <v>0</v>
      </c>
      <c r="S124" s="1190">
        <f t="shared" si="12"/>
        <v>0</v>
      </c>
      <c r="T124" s="1186">
        <v>5.09</v>
      </c>
      <c r="U124" s="1188" t="s">
        <v>4</v>
      </c>
    </row>
    <row r="125" spans="1:21" ht="20.100000000000001" hidden="1" customHeight="1">
      <c r="A125" s="1185">
        <v>23</v>
      </c>
      <c r="B125" s="1191" t="s">
        <v>603</v>
      </c>
      <c r="C125" s="1186">
        <f>WORK!I1186</f>
        <v>0</v>
      </c>
      <c r="D125" s="1186">
        <f>FF!I897</f>
        <v>0</v>
      </c>
      <c r="E125" s="1186">
        <f>SF!I532</f>
        <v>0</v>
      </c>
      <c r="F125" s="1186">
        <f t="shared" si="11"/>
        <v>0</v>
      </c>
      <c r="G125" s="1186" t="s">
        <v>422</v>
      </c>
      <c r="H125" s="1187">
        <v>0</v>
      </c>
      <c r="I125" s="1187">
        <v>0</v>
      </c>
      <c r="J125" s="1187">
        <v>0</v>
      </c>
      <c r="K125" s="1185">
        <v>0</v>
      </c>
      <c r="L125" s="1187">
        <v>0</v>
      </c>
      <c r="M125" s="1187">
        <v>0</v>
      </c>
      <c r="N125" s="1188">
        <f>ROUND(F125*0.022*1,2)</f>
        <v>0</v>
      </c>
      <c r="O125" s="1187">
        <v>0</v>
      </c>
      <c r="P125" s="1187">
        <v>0</v>
      </c>
      <c r="Q125" s="1187">
        <v>0</v>
      </c>
      <c r="R125" s="1187">
        <v>0</v>
      </c>
      <c r="S125" s="1190">
        <f t="shared" si="12"/>
        <v>0</v>
      </c>
      <c r="T125" s="1186">
        <v>5.75</v>
      </c>
      <c r="U125" s="1188" t="s">
        <v>4</v>
      </c>
    </row>
    <row r="126" spans="1:21" ht="20.100000000000001" hidden="1" customHeight="1">
      <c r="A126" s="1185">
        <v>19</v>
      </c>
      <c r="B126" s="1163" t="s">
        <v>447</v>
      </c>
      <c r="C126" s="1186">
        <f>WORK!I1220</f>
        <v>0</v>
      </c>
      <c r="D126" s="1186">
        <f>FF!I925</f>
        <v>0</v>
      </c>
      <c r="E126" s="1186">
        <f>SF!I554</f>
        <v>0</v>
      </c>
      <c r="F126" s="1186">
        <f t="shared" si="11"/>
        <v>0</v>
      </c>
      <c r="G126" s="1186" t="s">
        <v>421</v>
      </c>
      <c r="H126" s="1187">
        <v>0</v>
      </c>
      <c r="I126" s="1188">
        <f>ROUND(F126*0.8,2)</f>
        <v>0</v>
      </c>
      <c r="J126" s="1187">
        <v>0</v>
      </c>
      <c r="K126" s="1185">
        <v>0</v>
      </c>
      <c r="L126" s="1188">
        <f>ROUND(F126*0.4,2)</f>
        <v>0</v>
      </c>
      <c r="M126" s="1185">
        <v>0</v>
      </c>
      <c r="N126" s="1185">
        <v>0</v>
      </c>
      <c r="O126" s="1187">
        <v>0</v>
      </c>
      <c r="P126" s="1187">
        <v>0</v>
      </c>
      <c r="Q126" s="1187">
        <v>0</v>
      </c>
      <c r="R126" s="1187">
        <v>0</v>
      </c>
      <c r="S126" s="1190">
        <f t="shared" si="12"/>
        <v>0</v>
      </c>
      <c r="T126" s="1186">
        <f>$T$101</f>
        <v>340</v>
      </c>
      <c r="U126" s="1188" t="s">
        <v>4</v>
      </c>
    </row>
    <row r="127" spans="1:21" ht="20.100000000000001" hidden="1" customHeight="1">
      <c r="A127" s="1185">
        <v>24</v>
      </c>
      <c r="B127" s="1191" t="s">
        <v>241</v>
      </c>
      <c r="C127" s="1186">
        <f>WORK!I1250</f>
        <v>0</v>
      </c>
      <c r="D127" s="1186">
        <f>FF!I956</f>
        <v>0</v>
      </c>
      <c r="E127" s="1186">
        <f>SF!I577</f>
        <v>0</v>
      </c>
      <c r="F127" s="1186">
        <f t="shared" si="11"/>
        <v>0</v>
      </c>
      <c r="G127" s="1186" t="s">
        <v>422</v>
      </c>
      <c r="H127" s="1187">
        <v>0</v>
      </c>
      <c r="I127" s="1187">
        <v>0</v>
      </c>
      <c r="J127" s="1187">
        <v>0</v>
      </c>
      <c r="K127" s="1185">
        <v>0</v>
      </c>
      <c r="L127" s="1187">
        <v>0</v>
      </c>
      <c r="M127" s="1188">
        <f>ROUND(F127*0.014,2)</f>
        <v>0</v>
      </c>
      <c r="N127" s="1187">
        <v>0</v>
      </c>
      <c r="O127" s="1187">
        <v>0</v>
      </c>
      <c r="P127" s="1187">
        <v>0</v>
      </c>
      <c r="Q127" s="1187">
        <v>0</v>
      </c>
      <c r="R127" s="1187">
        <v>0</v>
      </c>
      <c r="S127" s="1190">
        <f t="shared" si="12"/>
        <v>0</v>
      </c>
      <c r="T127" s="1186">
        <v>6.06</v>
      </c>
      <c r="U127" s="1188" t="s">
        <v>4</v>
      </c>
    </row>
    <row r="128" spans="1:21" ht="20.100000000000001" hidden="1" customHeight="1">
      <c r="A128" s="1185">
        <v>25</v>
      </c>
      <c r="B128" s="1191" t="s">
        <v>242</v>
      </c>
      <c r="C128" s="1186">
        <f>WORK!I1289</f>
        <v>0</v>
      </c>
      <c r="D128" s="1186">
        <f>FF!I995</f>
        <v>0</v>
      </c>
      <c r="E128" s="1186">
        <f>SF!I604</f>
        <v>0</v>
      </c>
      <c r="F128" s="1186">
        <f t="shared" si="11"/>
        <v>0</v>
      </c>
      <c r="G128" s="1186" t="s">
        <v>422</v>
      </c>
      <c r="H128" s="1187">
        <v>0</v>
      </c>
      <c r="I128" s="1187">
        <v>0</v>
      </c>
      <c r="J128" s="1187">
        <v>0</v>
      </c>
      <c r="K128" s="1185">
        <v>0</v>
      </c>
      <c r="L128" s="1187">
        <v>0</v>
      </c>
      <c r="M128" s="1188">
        <f>ROUND(F128*0.012,2)</f>
        <v>0</v>
      </c>
      <c r="N128" s="1187">
        <v>0</v>
      </c>
      <c r="O128" s="1187">
        <v>0</v>
      </c>
      <c r="P128" s="1187">
        <v>0</v>
      </c>
      <c r="Q128" s="1187">
        <v>0</v>
      </c>
      <c r="R128" s="1187">
        <v>0</v>
      </c>
      <c r="S128" s="1190">
        <f t="shared" si="12"/>
        <v>0</v>
      </c>
      <c r="T128" s="1195">
        <v>6.7560000000000002</v>
      </c>
      <c r="U128" s="1188" t="s">
        <v>4</v>
      </c>
    </row>
    <row r="129" spans="1:21" ht="20.100000000000001" hidden="1" customHeight="1">
      <c r="A129" s="1185">
        <v>26</v>
      </c>
      <c r="B129" s="1191" t="s">
        <v>681</v>
      </c>
      <c r="C129" s="1186">
        <f>WORK!I1328</f>
        <v>0</v>
      </c>
      <c r="D129" s="1186">
        <f>FF!I1024</f>
        <v>0</v>
      </c>
      <c r="E129" s="1186">
        <f>SF!I632</f>
        <v>0</v>
      </c>
      <c r="F129" s="1186">
        <f t="shared" si="11"/>
        <v>0</v>
      </c>
      <c r="G129" s="1186" t="s">
        <v>422</v>
      </c>
      <c r="H129" s="1187">
        <v>0</v>
      </c>
      <c r="I129" s="1187">
        <v>0</v>
      </c>
      <c r="J129" s="1187">
        <v>0</v>
      </c>
      <c r="K129" s="1185">
        <v>0</v>
      </c>
      <c r="L129" s="1187">
        <v>0</v>
      </c>
      <c r="M129" s="1188">
        <f>ROUND(F129*0.014,2)</f>
        <v>0</v>
      </c>
      <c r="N129" s="1187">
        <v>0</v>
      </c>
      <c r="O129" s="1187">
        <v>0</v>
      </c>
      <c r="P129" s="1187">
        <v>0</v>
      </c>
      <c r="Q129" s="1187">
        <v>0</v>
      </c>
      <c r="R129" s="1187">
        <v>0</v>
      </c>
      <c r="S129" s="1190">
        <f t="shared" si="12"/>
        <v>0</v>
      </c>
      <c r="T129" s="1186">
        <v>7.5</v>
      </c>
      <c r="U129" s="1188" t="s">
        <v>4</v>
      </c>
    </row>
    <row r="130" spans="1:21" ht="20.100000000000001" hidden="1" customHeight="1">
      <c r="A130" s="1185">
        <v>27</v>
      </c>
      <c r="B130" s="1191" t="s">
        <v>682</v>
      </c>
      <c r="C130" s="1186">
        <f>WORK!I1372</f>
        <v>0</v>
      </c>
      <c r="D130" s="1186">
        <f>FF!I1064</f>
        <v>0</v>
      </c>
      <c r="E130" s="1186">
        <f>SF!I660</f>
        <v>0</v>
      </c>
      <c r="F130" s="1186">
        <f t="shared" si="11"/>
        <v>0</v>
      </c>
      <c r="G130" s="1186" t="s">
        <v>422</v>
      </c>
      <c r="H130" s="1187">
        <v>0</v>
      </c>
      <c r="I130" s="1187">
        <v>0</v>
      </c>
      <c r="J130" s="1187">
        <v>0</v>
      </c>
      <c r="K130" s="1185">
        <v>0</v>
      </c>
      <c r="L130" s="1187">
        <v>0</v>
      </c>
      <c r="M130" s="1188">
        <f>ROUND(F130*0.012,2)</f>
        <v>0</v>
      </c>
      <c r="N130" s="1187">
        <v>0</v>
      </c>
      <c r="O130" s="1187">
        <v>0</v>
      </c>
      <c r="P130" s="1187">
        <v>0</v>
      </c>
      <c r="Q130" s="1187">
        <v>0</v>
      </c>
      <c r="R130" s="1187">
        <v>0</v>
      </c>
      <c r="S130" s="1190">
        <f t="shared" si="12"/>
        <v>0</v>
      </c>
      <c r="T130" s="1195">
        <v>9.06</v>
      </c>
      <c r="U130" s="1188" t="s">
        <v>4</v>
      </c>
    </row>
    <row r="131" spans="1:21" ht="20.100000000000001" hidden="1" customHeight="1">
      <c r="A131" s="1185">
        <v>37</v>
      </c>
      <c r="B131" s="1191" t="s">
        <v>683</v>
      </c>
      <c r="C131" s="1186">
        <f>WORK!I1410</f>
        <v>0</v>
      </c>
      <c r="D131" s="1186">
        <f>FF!I1108</f>
        <v>0</v>
      </c>
      <c r="E131" s="1186">
        <f>SF!I688</f>
        <v>0</v>
      </c>
      <c r="F131" s="1186">
        <f t="shared" si="11"/>
        <v>0</v>
      </c>
      <c r="G131" s="1186" t="s">
        <v>422</v>
      </c>
      <c r="H131" s="1187">
        <v>0</v>
      </c>
      <c r="I131" s="1187">
        <v>0</v>
      </c>
      <c r="J131" s="1187">
        <v>0</v>
      </c>
      <c r="K131" s="1185">
        <v>0</v>
      </c>
      <c r="L131" s="1187">
        <v>0</v>
      </c>
      <c r="M131" s="1188">
        <f>ROUND(F131*0.014,2)</f>
        <v>0</v>
      </c>
      <c r="N131" s="1187">
        <v>0</v>
      </c>
      <c r="O131" s="1187">
        <v>0</v>
      </c>
      <c r="P131" s="1187">
        <v>0</v>
      </c>
      <c r="Q131" s="1187">
        <v>0</v>
      </c>
      <c r="R131" s="1187">
        <v>0</v>
      </c>
      <c r="S131" s="1190">
        <f t="shared" si="12"/>
        <v>0</v>
      </c>
      <c r="T131" s="1186">
        <v>7.5</v>
      </c>
      <c r="U131" s="1188" t="s">
        <v>4</v>
      </c>
    </row>
    <row r="132" spans="1:21" ht="20.100000000000001" hidden="1" customHeight="1">
      <c r="A132" s="1185">
        <v>38</v>
      </c>
      <c r="B132" s="1191" t="s">
        <v>684</v>
      </c>
      <c r="C132" s="1186">
        <f>WORK!I1439</f>
        <v>0</v>
      </c>
      <c r="D132" s="1186">
        <f>FF!I1141</f>
        <v>0</v>
      </c>
      <c r="E132" s="1186">
        <f>SF!I716</f>
        <v>0</v>
      </c>
      <c r="F132" s="1186">
        <f t="shared" si="11"/>
        <v>0</v>
      </c>
      <c r="G132" s="1186" t="s">
        <v>422</v>
      </c>
      <c r="H132" s="1187">
        <v>0</v>
      </c>
      <c r="I132" s="1187">
        <v>0</v>
      </c>
      <c r="J132" s="1187">
        <v>0</v>
      </c>
      <c r="K132" s="1185">
        <v>0</v>
      </c>
      <c r="L132" s="1187">
        <v>0</v>
      </c>
      <c r="M132" s="1188">
        <f>ROUND(F132*0.012,2)</f>
        <v>0</v>
      </c>
      <c r="N132" s="1187">
        <v>0</v>
      </c>
      <c r="O132" s="1187">
        <v>0</v>
      </c>
      <c r="P132" s="1187">
        <v>0</v>
      </c>
      <c r="Q132" s="1187">
        <v>0</v>
      </c>
      <c r="R132" s="1187">
        <v>0</v>
      </c>
      <c r="S132" s="1190">
        <f t="shared" si="12"/>
        <v>0</v>
      </c>
      <c r="T132" s="1195">
        <v>6.7560000000000002</v>
      </c>
      <c r="U132" s="1188" t="s">
        <v>4</v>
      </c>
    </row>
    <row r="133" spans="1:21" ht="20.100000000000001" hidden="1" customHeight="1">
      <c r="A133" s="1185">
        <v>28</v>
      </c>
      <c r="B133" s="1191" t="s">
        <v>239</v>
      </c>
      <c r="C133" s="1186">
        <f>WORK!I1464</f>
        <v>0</v>
      </c>
      <c r="D133" s="1186">
        <f>FF!I1170</f>
        <v>0</v>
      </c>
      <c r="E133" s="1186">
        <f>SF!I744</f>
        <v>0</v>
      </c>
      <c r="F133" s="1186">
        <f t="shared" si="11"/>
        <v>0</v>
      </c>
      <c r="G133" s="1186" t="s">
        <v>422</v>
      </c>
      <c r="H133" s="1187">
        <v>0</v>
      </c>
      <c r="I133" s="1187">
        <v>0</v>
      </c>
      <c r="J133" s="1187">
        <v>0</v>
      </c>
      <c r="K133" s="1185">
        <v>0</v>
      </c>
      <c r="L133" s="1187">
        <v>0</v>
      </c>
      <c r="M133" s="1188">
        <f>ROUND(F133*0.012,2)</f>
        <v>0</v>
      </c>
      <c r="N133" s="1187">
        <v>0</v>
      </c>
      <c r="O133" s="1187">
        <v>0</v>
      </c>
      <c r="P133" s="1187">
        <v>0</v>
      </c>
      <c r="Q133" s="1187">
        <v>0</v>
      </c>
      <c r="R133" s="1187">
        <v>0</v>
      </c>
      <c r="S133" s="1190">
        <f t="shared" si="12"/>
        <v>0</v>
      </c>
      <c r="T133" s="1186">
        <v>5.46</v>
      </c>
      <c r="U133" s="1188" t="s">
        <v>4</v>
      </c>
    </row>
    <row r="134" spans="1:21" ht="20.100000000000001" hidden="1" customHeight="1">
      <c r="A134" s="1185">
        <v>29</v>
      </c>
      <c r="B134" s="1191" t="s">
        <v>240</v>
      </c>
      <c r="C134" s="1186">
        <f>WORK!I1488</f>
        <v>0</v>
      </c>
      <c r="D134" s="1186">
        <f>FF!I1197</f>
        <v>0</v>
      </c>
      <c r="E134" s="1186">
        <f>SF!I769</f>
        <v>0</v>
      </c>
      <c r="F134" s="1186">
        <f t="shared" si="11"/>
        <v>0</v>
      </c>
      <c r="G134" s="1186" t="s">
        <v>422</v>
      </c>
      <c r="H134" s="1187">
        <v>0</v>
      </c>
      <c r="I134" s="1187">
        <v>0</v>
      </c>
      <c r="J134" s="1187">
        <v>0</v>
      </c>
      <c r="K134" s="1185">
        <v>0</v>
      </c>
      <c r="L134" s="1187">
        <v>0</v>
      </c>
      <c r="M134" s="1188">
        <f>ROUND(F134*0.012,2)</f>
        <v>0</v>
      </c>
      <c r="N134" s="1187">
        <v>0</v>
      </c>
      <c r="O134" s="1187">
        <v>0</v>
      </c>
      <c r="P134" s="1187">
        <v>0</v>
      </c>
      <c r="Q134" s="1187">
        <v>0</v>
      </c>
      <c r="R134" s="1187">
        <v>0</v>
      </c>
      <c r="S134" s="1190">
        <f t="shared" si="12"/>
        <v>0</v>
      </c>
      <c r="T134" s="1186">
        <v>9.06</v>
      </c>
      <c r="U134" s="1188" t="s">
        <v>4</v>
      </c>
    </row>
    <row r="135" spans="1:21" ht="20.100000000000001" hidden="1" customHeight="1">
      <c r="A135" s="1185">
        <v>30</v>
      </c>
      <c r="B135" s="1191" t="s">
        <v>1216</v>
      </c>
      <c r="C135" s="1186">
        <f>WORK!I1513</f>
        <v>0</v>
      </c>
      <c r="D135" s="1186">
        <f>FF!I1233</f>
        <v>0</v>
      </c>
      <c r="E135" s="1186">
        <f>SF!I793</f>
        <v>0</v>
      </c>
      <c r="F135" s="1186">
        <f t="shared" si="11"/>
        <v>0</v>
      </c>
      <c r="G135" s="1186" t="s">
        <v>422</v>
      </c>
      <c r="H135" s="1187">
        <v>0</v>
      </c>
      <c r="I135" s="1187">
        <v>0</v>
      </c>
      <c r="J135" s="1187">
        <v>0</v>
      </c>
      <c r="K135" s="1185">
        <v>0</v>
      </c>
      <c r="L135" s="1187">
        <v>0</v>
      </c>
      <c r="M135" s="1188">
        <f>ROUND(F135*0.008*1,2)</f>
        <v>0</v>
      </c>
      <c r="N135" s="1187">
        <v>0</v>
      </c>
      <c r="O135" s="1187">
        <v>0</v>
      </c>
      <c r="P135" s="1187">
        <v>0</v>
      </c>
      <c r="Q135" s="1187">
        <v>0</v>
      </c>
      <c r="R135" s="1187">
        <v>0</v>
      </c>
      <c r="S135" s="1190">
        <f t="shared" si="12"/>
        <v>0</v>
      </c>
      <c r="T135" s="1186">
        <v>2.76</v>
      </c>
      <c r="U135" s="1188" t="s">
        <v>4</v>
      </c>
    </row>
    <row r="136" spans="1:21" ht="20.100000000000001" hidden="1" customHeight="1">
      <c r="A136" s="1185">
        <v>5</v>
      </c>
      <c r="B136" s="1163" t="s">
        <v>2279</v>
      </c>
      <c r="C136" s="1186">
        <f>WORK!I1569</f>
        <v>0</v>
      </c>
      <c r="D136" s="1186"/>
      <c r="E136" s="1186"/>
      <c r="F136" s="1186">
        <f t="shared" si="11"/>
        <v>0</v>
      </c>
      <c r="G136" s="1186" t="s">
        <v>421</v>
      </c>
      <c r="H136" s="1187">
        <v>0</v>
      </c>
      <c r="I136" s="1188">
        <f>ROUND(F136*0.017,2)</f>
        <v>0</v>
      </c>
      <c r="J136" s="1187">
        <v>0</v>
      </c>
      <c r="K136" s="1185">
        <v>0</v>
      </c>
      <c r="L136" s="1188">
        <f>ROUND(F136*0.009,2)</f>
        <v>0</v>
      </c>
      <c r="M136" s="1185">
        <v>0</v>
      </c>
      <c r="N136" s="1185">
        <v>0</v>
      </c>
      <c r="O136" s="1187">
        <v>0</v>
      </c>
      <c r="P136" s="1187">
        <v>0</v>
      </c>
      <c r="Q136" s="1187">
        <v>0</v>
      </c>
      <c r="R136" s="1187">
        <v>0</v>
      </c>
      <c r="S136" s="1190">
        <f t="shared" si="12"/>
        <v>0</v>
      </c>
      <c r="T136" s="1186">
        <v>12</v>
      </c>
      <c r="U136" s="1188" t="s">
        <v>4</v>
      </c>
    </row>
    <row r="137" spans="1:21" ht="18" hidden="1" customHeight="1">
      <c r="A137" s="1185"/>
      <c r="B137" s="1191"/>
      <c r="C137" s="1191"/>
      <c r="D137" s="1191"/>
      <c r="E137" s="1191"/>
      <c r="F137" s="1186"/>
      <c r="G137" s="1186"/>
      <c r="H137" s="1188"/>
      <c r="I137" s="1188"/>
      <c r="J137" s="1188"/>
      <c r="K137" s="1188"/>
      <c r="L137" s="1188"/>
      <c r="M137" s="1188"/>
      <c r="N137" s="1187"/>
      <c r="O137" s="1188"/>
      <c r="P137" s="1188"/>
      <c r="Q137" s="1187"/>
      <c r="R137" s="1188"/>
      <c r="S137" s="1188"/>
      <c r="T137" s="1186"/>
      <c r="U137" s="1188"/>
    </row>
    <row r="138" spans="1:21" hidden="1">
      <c r="A138" s="1163"/>
      <c r="B138" s="1192" t="s">
        <v>103</v>
      </c>
      <c r="C138" s="1163"/>
      <c r="D138" s="1163"/>
      <c r="E138" s="1163"/>
      <c r="F138" s="1181">
        <v>1</v>
      </c>
      <c r="G138" s="1163"/>
      <c r="H138" s="1193">
        <f t="shared" ref="H138:S138" si="15">SUM(H95:H137)</f>
        <v>0</v>
      </c>
      <c r="I138" s="1193">
        <f t="shared" si="15"/>
        <v>0</v>
      </c>
      <c r="J138" s="1193">
        <f t="shared" si="15"/>
        <v>0</v>
      </c>
      <c r="K138" s="1193">
        <f t="shared" si="15"/>
        <v>0</v>
      </c>
      <c r="L138" s="1193">
        <f t="shared" si="15"/>
        <v>0</v>
      </c>
      <c r="M138" s="1193">
        <f t="shared" si="15"/>
        <v>0</v>
      </c>
      <c r="N138" s="1193">
        <f t="shared" si="15"/>
        <v>0</v>
      </c>
      <c r="O138" s="1193">
        <f t="shared" si="15"/>
        <v>0</v>
      </c>
      <c r="P138" s="1193">
        <f t="shared" si="15"/>
        <v>0</v>
      </c>
      <c r="Q138" s="1193">
        <f t="shared" si="15"/>
        <v>0</v>
      </c>
      <c r="R138" s="1193">
        <f t="shared" si="15"/>
        <v>0</v>
      </c>
      <c r="S138" s="1193">
        <f t="shared" si="15"/>
        <v>0</v>
      </c>
      <c r="T138" s="1194" t="s">
        <v>142</v>
      </c>
      <c r="U138" s="1163"/>
    </row>
    <row r="139" spans="1:21" s="1161" customFormat="1" ht="15.75" hidden="1">
      <c r="A139" s="1176"/>
      <c r="B139" s="1177" t="s">
        <v>2320</v>
      </c>
      <c r="C139" s="1178"/>
      <c r="D139" s="1179"/>
      <c r="E139" s="1180"/>
      <c r="F139" s="1181">
        <v>1</v>
      </c>
      <c r="G139" s="1182"/>
      <c r="H139" s="1176"/>
      <c r="I139" s="1183"/>
      <c r="J139" s="1184"/>
      <c r="K139" s="1176"/>
      <c r="L139" s="1182"/>
      <c r="M139" s="1176"/>
    </row>
    <row r="140" spans="1:21" ht="18" hidden="1" customHeight="1">
      <c r="A140" s="1185">
        <v>1</v>
      </c>
      <c r="B140" s="1163" t="s">
        <v>101</v>
      </c>
      <c r="C140" s="1543"/>
      <c r="D140" s="1163"/>
      <c r="E140" s="1163"/>
      <c r="F140" s="1186">
        <f>C140+D140</f>
        <v>0</v>
      </c>
      <c r="G140" s="1186" t="s">
        <v>421</v>
      </c>
      <c r="H140" s="1185">
        <v>0</v>
      </c>
      <c r="I140" s="1185">
        <v>0</v>
      </c>
      <c r="J140" s="1185">
        <v>0</v>
      </c>
      <c r="K140" s="1185">
        <v>0</v>
      </c>
      <c r="L140" s="1185">
        <v>0</v>
      </c>
      <c r="M140" s="1185">
        <v>0</v>
      </c>
      <c r="N140" s="1185">
        <v>0</v>
      </c>
      <c r="O140" s="1187">
        <v>0</v>
      </c>
      <c r="P140" s="1187">
        <v>0</v>
      </c>
      <c r="Q140" s="1185">
        <v>0</v>
      </c>
      <c r="R140" s="1188">
        <f>F140</f>
        <v>0</v>
      </c>
      <c r="S140" s="1189">
        <v>0</v>
      </c>
      <c r="T140" s="1163">
        <v>0</v>
      </c>
      <c r="U140" s="1163"/>
    </row>
    <row r="141" spans="1:21" ht="20.100000000000001" hidden="1" customHeight="1">
      <c r="A141" s="1185">
        <v>1</v>
      </c>
      <c r="B141" s="1163" t="s">
        <v>135</v>
      </c>
      <c r="C141" s="1186">
        <f>WORK!I248</f>
        <v>0</v>
      </c>
      <c r="D141" s="1163"/>
      <c r="E141" s="1163"/>
      <c r="F141" s="1186">
        <f t="shared" ref="F141:F181" si="16">SUM(C141:E141)</f>
        <v>0</v>
      </c>
      <c r="G141" s="1186" t="s">
        <v>421</v>
      </c>
      <c r="H141" s="1185">
        <v>0</v>
      </c>
      <c r="I141" s="1185">
        <v>0</v>
      </c>
      <c r="J141" s="1185">
        <v>0</v>
      </c>
      <c r="K141" s="1185">
        <v>0</v>
      </c>
      <c r="L141" s="1185">
        <v>0</v>
      </c>
      <c r="M141" s="1185">
        <v>0</v>
      </c>
      <c r="N141" s="1185">
        <v>0</v>
      </c>
      <c r="O141" s="1188">
        <f>F141</f>
        <v>0</v>
      </c>
      <c r="P141" s="1187">
        <v>0</v>
      </c>
      <c r="Q141" s="1185">
        <v>0</v>
      </c>
      <c r="R141" s="1187">
        <v>0</v>
      </c>
      <c r="S141" s="1189">
        <v>0</v>
      </c>
      <c r="T141" s="1163">
        <v>0</v>
      </c>
      <c r="U141" s="1163"/>
    </row>
    <row r="142" spans="1:21" ht="20.100000000000001" hidden="1" customHeight="1">
      <c r="A142" s="1185">
        <v>2</v>
      </c>
      <c r="B142" s="1163" t="s">
        <v>1192</v>
      </c>
      <c r="C142" s="1186">
        <f>WORK!I188</f>
        <v>0</v>
      </c>
      <c r="D142" s="1163"/>
      <c r="E142" s="1163"/>
      <c r="F142" s="1186">
        <f t="shared" si="16"/>
        <v>0</v>
      </c>
      <c r="G142" s="1186" t="s">
        <v>421</v>
      </c>
      <c r="H142" s="1185">
        <v>0</v>
      </c>
      <c r="I142" s="1185">
        <v>0</v>
      </c>
      <c r="J142" s="1185">
        <v>0</v>
      </c>
      <c r="K142" s="1185">
        <v>0</v>
      </c>
      <c r="L142" s="1185">
        <v>0</v>
      </c>
      <c r="M142" s="1185">
        <v>0</v>
      </c>
      <c r="N142" s="1185">
        <v>0</v>
      </c>
      <c r="O142" s="1187">
        <v>0</v>
      </c>
      <c r="P142" s="1188">
        <f>F142</f>
        <v>0</v>
      </c>
      <c r="Q142" s="1185">
        <v>0</v>
      </c>
      <c r="R142" s="1187">
        <v>0</v>
      </c>
      <c r="S142" s="1189">
        <v>0</v>
      </c>
      <c r="T142" s="1163">
        <v>0</v>
      </c>
      <c r="U142" s="1163"/>
    </row>
    <row r="143" spans="1:21" ht="20.100000000000001" hidden="1" customHeight="1">
      <c r="A143" s="1185">
        <v>4</v>
      </c>
      <c r="B143" s="1163" t="s">
        <v>663</v>
      </c>
      <c r="C143" s="1186">
        <f>WORK!I212</f>
        <v>0</v>
      </c>
      <c r="D143" s="1163"/>
      <c r="E143" s="1163"/>
      <c r="F143" s="1186">
        <f t="shared" si="16"/>
        <v>0</v>
      </c>
      <c r="G143" s="1186" t="s">
        <v>421</v>
      </c>
      <c r="H143" s="1185">
        <v>0</v>
      </c>
      <c r="I143" s="1185">
        <v>0</v>
      </c>
      <c r="J143" s="1185">
        <v>0</v>
      </c>
      <c r="K143" s="1185">
        <v>0</v>
      </c>
      <c r="L143" s="1185">
        <v>0</v>
      </c>
      <c r="M143" s="1185">
        <v>0</v>
      </c>
      <c r="N143" s="1185">
        <v>0</v>
      </c>
      <c r="O143" s="1187">
        <v>0</v>
      </c>
      <c r="P143" s="1188"/>
      <c r="Q143" s="1185">
        <v>0</v>
      </c>
      <c r="R143" s="1188">
        <f>F143</f>
        <v>0</v>
      </c>
      <c r="S143" s="1189">
        <v>0</v>
      </c>
      <c r="T143" s="1163">
        <v>0</v>
      </c>
      <c r="U143" s="1163"/>
    </row>
    <row r="144" spans="1:21" ht="20.100000000000001" hidden="1" customHeight="1">
      <c r="A144" s="1185">
        <v>12</v>
      </c>
      <c r="B144" s="1163" t="s">
        <v>235</v>
      </c>
      <c r="C144" s="1186">
        <f>WORK!I128</f>
        <v>0</v>
      </c>
      <c r="D144" s="1163"/>
      <c r="E144" s="1163"/>
      <c r="F144" s="1186">
        <f t="shared" si="16"/>
        <v>0</v>
      </c>
      <c r="G144" s="1186" t="s">
        <v>421</v>
      </c>
      <c r="H144" s="1188">
        <f>ROUND(F144*0.9,2)</f>
        <v>0</v>
      </c>
      <c r="I144" s="1187">
        <v>0</v>
      </c>
      <c r="J144" s="1187">
        <v>0</v>
      </c>
      <c r="K144" s="1185">
        <v>0</v>
      </c>
      <c r="L144" s="1188">
        <f>ROUND(F144*0.45,2)</f>
        <v>0</v>
      </c>
      <c r="M144" s="1185">
        <v>0</v>
      </c>
      <c r="N144" s="1185">
        <v>0</v>
      </c>
      <c r="O144" s="1187">
        <v>0</v>
      </c>
      <c r="P144" s="1187">
        <v>0</v>
      </c>
      <c r="Q144" s="1187">
        <v>0</v>
      </c>
      <c r="R144" s="1187">
        <v>0</v>
      </c>
      <c r="S144" s="1190">
        <f t="shared" ref="S144:S181" si="17">ROUND(F144*T144/50,2)</f>
        <v>0</v>
      </c>
      <c r="T144" s="1186">
        <v>162</v>
      </c>
      <c r="U144" s="1188" t="s">
        <v>4</v>
      </c>
    </row>
    <row r="145" spans="1:21" ht="20.100000000000001" hidden="1" customHeight="1">
      <c r="A145" s="1185">
        <v>6</v>
      </c>
      <c r="B145" s="1163" t="s">
        <v>446</v>
      </c>
      <c r="C145" s="1186">
        <f>WORK!I164</f>
        <v>0</v>
      </c>
      <c r="D145" s="1163"/>
      <c r="E145" s="1163"/>
      <c r="F145" s="1186">
        <f t="shared" si="16"/>
        <v>0</v>
      </c>
      <c r="G145" s="1186" t="s">
        <v>421</v>
      </c>
      <c r="H145" s="1188">
        <f>ROUND(F145*0.9,2)</f>
        <v>0</v>
      </c>
      <c r="I145" s="1187">
        <v>0</v>
      </c>
      <c r="J145" s="1187">
        <v>0</v>
      </c>
      <c r="K145" s="1185">
        <v>0</v>
      </c>
      <c r="L145" s="1188">
        <f>ROUND(F145*0.45,2)</f>
        <v>0</v>
      </c>
      <c r="M145" s="1185">
        <v>0</v>
      </c>
      <c r="N145" s="1185">
        <v>0</v>
      </c>
      <c r="O145" s="1187">
        <v>0</v>
      </c>
      <c r="P145" s="1187">
        <v>0</v>
      </c>
      <c r="Q145" s="1187">
        <v>0</v>
      </c>
      <c r="R145" s="1187">
        <v>0</v>
      </c>
      <c r="S145" s="1190">
        <f t="shared" si="17"/>
        <v>0</v>
      </c>
      <c r="T145" s="1186">
        <v>129.6</v>
      </c>
      <c r="U145" s="1188" t="s">
        <v>4</v>
      </c>
    </row>
    <row r="146" spans="1:21" ht="20.100000000000001" hidden="1" customHeight="1">
      <c r="A146" s="1185">
        <v>4</v>
      </c>
      <c r="B146" s="1163" t="s">
        <v>132</v>
      </c>
      <c r="C146" s="1186">
        <f>WORK!I306</f>
        <v>0</v>
      </c>
      <c r="D146" s="1163"/>
      <c r="E146" s="1163"/>
      <c r="F146" s="1186">
        <f t="shared" si="16"/>
        <v>0</v>
      </c>
      <c r="G146" s="1186" t="s">
        <v>421</v>
      </c>
      <c r="H146" s="1187">
        <v>0</v>
      </c>
      <c r="I146" s="1188">
        <f t="shared" ref="I146:I156" si="18">ROUND(F146*0.8,2)</f>
        <v>0</v>
      </c>
      <c r="J146" s="1187">
        <v>0</v>
      </c>
      <c r="K146" s="1185">
        <v>0</v>
      </c>
      <c r="L146" s="1188">
        <f t="shared" ref="L146:L156" si="19">ROUND(F146*0.4,2)</f>
        <v>0</v>
      </c>
      <c r="M146" s="1185">
        <v>0</v>
      </c>
      <c r="N146" s="1185">
        <v>0</v>
      </c>
      <c r="O146" s="1187">
        <v>0</v>
      </c>
      <c r="P146" s="1187">
        <v>0</v>
      </c>
      <c r="Q146" s="1187">
        <v>0</v>
      </c>
      <c r="R146" s="1187">
        <v>0</v>
      </c>
      <c r="S146" s="1190">
        <f t="shared" si="17"/>
        <v>0</v>
      </c>
      <c r="T146" s="1186">
        <f>data!E2860</f>
        <v>340</v>
      </c>
      <c r="U146" s="1188" t="s">
        <v>4</v>
      </c>
    </row>
    <row r="147" spans="1:21" ht="20.100000000000001" hidden="1" customHeight="1">
      <c r="A147" s="1185">
        <v>5</v>
      </c>
      <c r="B147" s="1163" t="s">
        <v>133</v>
      </c>
      <c r="C147" s="1186">
        <f>WORK!I326</f>
        <v>0</v>
      </c>
      <c r="D147" s="1163"/>
      <c r="E147" s="1163"/>
      <c r="F147" s="1186">
        <f t="shared" si="16"/>
        <v>0</v>
      </c>
      <c r="G147" s="1186" t="s">
        <v>421</v>
      </c>
      <c r="H147" s="1187">
        <v>0</v>
      </c>
      <c r="I147" s="1188">
        <f t="shared" si="18"/>
        <v>0</v>
      </c>
      <c r="J147" s="1187">
        <v>0</v>
      </c>
      <c r="K147" s="1185">
        <v>0</v>
      </c>
      <c r="L147" s="1188">
        <f t="shared" si="19"/>
        <v>0</v>
      </c>
      <c r="M147" s="1185">
        <v>0</v>
      </c>
      <c r="N147" s="1185">
        <v>0</v>
      </c>
      <c r="O147" s="1187">
        <v>0</v>
      </c>
      <c r="P147" s="1187">
        <v>0</v>
      </c>
      <c r="Q147" s="1187">
        <v>0</v>
      </c>
      <c r="R147" s="1187">
        <v>0</v>
      </c>
      <c r="S147" s="1190">
        <f t="shared" si="17"/>
        <v>0</v>
      </c>
      <c r="T147" s="1186">
        <f>$T$146</f>
        <v>340</v>
      </c>
      <c r="U147" s="1188" t="s">
        <v>4</v>
      </c>
    </row>
    <row r="148" spans="1:21" ht="20.100000000000001" hidden="1" customHeight="1">
      <c r="A148" s="1185">
        <v>2</v>
      </c>
      <c r="B148" s="1163" t="s">
        <v>127</v>
      </c>
      <c r="C148" s="1186">
        <f>WORK!I366</f>
        <v>0</v>
      </c>
      <c r="D148" s="1186">
        <f>FF!I35</f>
        <v>0</v>
      </c>
      <c r="E148" s="1186">
        <f>SF!I33</f>
        <v>0</v>
      </c>
      <c r="F148" s="1186">
        <f t="shared" si="16"/>
        <v>0</v>
      </c>
      <c r="G148" s="1186" t="s">
        <v>421</v>
      </c>
      <c r="H148" s="1187">
        <v>0</v>
      </c>
      <c r="I148" s="1188">
        <f t="shared" si="18"/>
        <v>0</v>
      </c>
      <c r="J148" s="1187">
        <v>0</v>
      </c>
      <c r="K148" s="1185">
        <v>0</v>
      </c>
      <c r="L148" s="1188">
        <f t="shared" si="19"/>
        <v>0</v>
      </c>
      <c r="M148" s="1185">
        <v>0</v>
      </c>
      <c r="N148" s="1185">
        <v>0</v>
      </c>
      <c r="O148" s="1187">
        <v>0</v>
      </c>
      <c r="P148" s="1187">
        <v>0</v>
      </c>
      <c r="Q148" s="1187">
        <v>0</v>
      </c>
      <c r="R148" s="1187">
        <v>0</v>
      </c>
      <c r="S148" s="1190">
        <f t="shared" si="17"/>
        <v>0</v>
      </c>
      <c r="T148" s="1186">
        <f>$T$146</f>
        <v>340</v>
      </c>
      <c r="U148" s="1188" t="s">
        <v>4</v>
      </c>
    </row>
    <row r="149" spans="1:21" ht="20.100000000000001" hidden="1" customHeight="1">
      <c r="A149" s="1185">
        <v>7</v>
      </c>
      <c r="B149" s="1163" t="s">
        <v>128</v>
      </c>
      <c r="C149" s="1186">
        <f>WORK!I406</f>
        <v>0</v>
      </c>
      <c r="D149" s="1163"/>
      <c r="E149" s="1163"/>
      <c r="F149" s="1186">
        <f t="shared" si="16"/>
        <v>0</v>
      </c>
      <c r="G149" s="1186" t="s">
        <v>421</v>
      </c>
      <c r="H149" s="1187">
        <v>0</v>
      </c>
      <c r="I149" s="1188">
        <f t="shared" si="18"/>
        <v>0</v>
      </c>
      <c r="J149" s="1187">
        <v>0</v>
      </c>
      <c r="K149" s="1185">
        <v>0</v>
      </c>
      <c r="L149" s="1188">
        <f t="shared" si="19"/>
        <v>0</v>
      </c>
      <c r="M149" s="1185">
        <v>0</v>
      </c>
      <c r="N149" s="1185">
        <v>0</v>
      </c>
      <c r="O149" s="1187">
        <v>0</v>
      </c>
      <c r="P149" s="1187">
        <v>0</v>
      </c>
      <c r="Q149" s="1187">
        <v>0</v>
      </c>
      <c r="R149" s="1187">
        <v>0</v>
      </c>
      <c r="S149" s="1190">
        <f t="shared" si="17"/>
        <v>0</v>
      </c>
      <c r="T149" s="1186">
        <f>$T$146</f>
        <v>340</v>
      </c>
      <c r="U149" s="1188" t="s">
        <v>4</v>
      </c>
    </row>
    <row r="150" spans="1:21" ht="20.100000000000001" hidden="1" customHeight="1">
      <c r="A150" s="1185">
        <v>3</v>
      </c>
      <c r="B150" s="1163" t="s">
        <v>131</v>
      </c>
      <c r="C150" s="1186">
        <f>WORK!I475</f>
        <v>0</v>
      </c>
      <c r="D150" s="1186">
        <f>FF!I104</f>
        <v>0</v>
      </c>
      <c r="E150" s="1186">
        <f>SF!I57</f>
        <v>0</v>
      </c>
      <c r="F150" s="1186">
        <f t="shared" si="16"/>
        <v>0</v>
      </c>
      <c r="G150" s="1186" t="s">
        <v>421</v>
      </c>
      <c r="H150" s="1187">
        <v>0</v>
      </c>
      <c r="I150" s="1188">
        <f t="shared" si="18"/>
        <v>0</v>
      </c>
      <c r="J150" s="1187">
        <v>0</v>
      </c>
      <c r="K150" s="1185">
        <v>0</v>
      </c>
      <c r="L150" s="1188">
        <f t="shared" si="19"/>
        <v>0</v>
      </c>
      <c r="M150" s="1185">
        <v>0</v>
      </c>
      <c r="N150" s="1185">
        <v>0</v>
      </c>
      <c r="O150" s="1187">
        <v>0</v>
      </c>
      <c r="P150" s="1187">
        <v>0</v>
      </c>
      <c r="Q150" s="1187">
        <v>0</v>
      </c>
      <c r="R150" s="1187">
        <v>0</v>
      </c>
      <c r="S150" s="1190">
        <f t="shared" si="17"/>
        <v>0</v>
      </c>
      <c r="T150" s="1186">
        <f>$T$146</f>
        <v>340</v>
      </c>
      <c r="U150" s="1188" t="s">
        <v>4</v>
      </c>
    </row>
    <row r="151" spans="1:21" ht="20.100000000000001" hidden="1" customHeight="1">
      <c r="A151" s="1185">
        <v>9</v>
      </c>
      <c r="B151" s="1191" t="s">
        <v>236</v>
      </c>
      <c r="C151" s="1186">
        <f>ROUND(WORK!I500*0.15,2)</f>
        <v>0</v>
      </c>
      <c r="D151" s="1186">
        <f>ROUND(FF!I133*0.15,2)</f>
        <v>0</v>
      </c>
      <c r="E151" s="1186">
        <f>ROUND(SF!I81*0.15,2)</f>
        <v>0</v>
      </c>
      <c r="F151" s="1186">
        <f t="shared" si="16"/>
        <v>0</v>
      </c>
      <c r="G151" s="1186" t="s">
        <v>422</v>
      </c>
      <c r="H151" s="1187">
        <v>0</v>
      </c>
      <c r="I151" s="1188">
        <f t="shared" si="18"/>
        <v>0</v>
      </c>
      <c r="J151" s="1187">
        <v>0</v>
      </c>
      <c r="K151" s="1185">
        <v>0</v>
      </c>
      <c r="L151" s="1188">
        <f t="shared" si="19"/>
        <v>0</v>
      </c>
      <c r="M151" s="1185">
        <v>0</v>
      </c>
      <c r="N151" s="1185">
        <v>0</v>
      </c>
      <c r="O151" s="1187">
        <v>0</v>
      </c>
      <c r="P151" s="1187">
        <v>0</v>
      </c>
      <c r="Q151" s="1187">
        <v>0</v>
      </c>
      <c r="R151" s="1187">
        <v>0</v>
      </c>
      <c r="S151" s="1190">
        <f t="shared" si="17"/>
        <v>0</v>
      </c>
      <c r="T151" s="1186">
        <f>ROUND(T150,2)</f>
        <v>340</v>
      </c>
      <c r="U151" s="1188" t="s">
        <v>4</v>
      </c>
    </row>
    <row r="152" spans="1:21" ht="20.100000000000001" hidden="1" customHeight="1">
      <c r="A152" s="1185">
        <v>4</v>
      </c>
      <c r="B152" s="1191" t="s">
        <v>237</v>
      </c>
      <c r="C152" s="1186">
        <f>ROUND(WORK!I525*0.125,2)</f>
        <v>0</v>
      </c>
      <c r="D152" s="1186">
        <f>ROUND(FF!I159*0.125,2)</f>
        <v>0</v>
      </c>
      <c r="E152" s="1186">
        <f>ROUND(SF!I101*0.125,2)</f>
        <v>0</v>
      </c>
      <c r="F152" s="1186">
        <f t="shared" si="16"/>
        <v>0</v>
      </c>
      <c r="G152" s="1186" t="s">
        <v>422</v>
      </c>
      <c r="H152" s="1187">
        <v>0</v>
      </c>
      <c r="I152" s="1188">
        <f t="shared" si="18"/>
        <v>0</v>
      </c>
      <c r="J152" s="1187">
        <v>0</v>
      </c>
      <c r="K152" s="1185">
        <v>0</v>
      </c>
      <c r="L152" s="1188">
        <f t="shared" si="19"/>
        <v>0</v>
      </c>
      <c r="M152" s="1185">
        <v>0</v>
      </c>
      <c r="N152" s="1185">
        <v>0</v>
      </c>
      <c r="O152" s="1187">
        <v>0</v>
      </c>
      <c r="P152" s="1187">
        <v>0</v>
      </c>
      <c r="Q152" s="1187">
        <v>0</v>
      </c>
      <c r="R152" s="1187">
        <v>0</v>
      </c>
      <c r="S152" s="1190">
        <f t="shared" si="17"/>
        <v>0</v>
      </c>
      <c r="T152" s="1186">
        <f>ROUND(T150,2)</f>
        <v>340</v>
      </c>
      <c r="U152" s="1188" t="s">
        <v>4</v>
      </c>
    </row>
    <row r="153" spans="1:21" ht="20.100000000000001" hidden="1" customHeight="1">
      <c r="A153" s="1185">
        <v>9</v>
      </c>
      <c r="B153" s="1191" t="s">
        <v>605</v>
      </c>
      <c r="C153" s="1186">
        <f>ROUND(WORK!I547*0.1,2)</f>
        <v>0</v>
      </c>
      <c r="D153" s="1186">
        <f>ROUND(FF!I179*0.1,2)</f>
        <v>0</v>
      </c>
      <c r="E153" s="1186">
        <f>ROUND(SF!I121*0.1,2)</f>
        <v>0</v>
      </c>
      <c r="F153" s="1186">
        <f t="shared" si="16"/>
        <v>0</v>
      </c>
      <c r="G153" s="1186" t="s">
        <v>422</v>
      </c>
      <c r="H153" s="1187">
        <v>0</v>
      </c>
      <c r="I153" s="1188">
        <f t="shared" si="18"/>
        <v>0</v>
      </c>
      <c r="J153" s="1187">
        <v>0</v>
      </c>
      <c r="K153" s="1185">
        <v>0</v>
      </c>
      <c r="L153" s="1188">
        <f t="shared" si="19"/>
        <v>0</v>
      </c>
      <c r="M153" s="1185">
        <v>0</v>
      </c>
      <c r="N153" s="1185">
        <v>0</v>
      </c>
      <c r="O153" s="1187">
        <v>0</v>
      </c>
      <c r="P153" s="1187">
        <v>0</v>
      </c>
      <c r="Q153" s="1187">
        <v>0</v>
      </c>
      <c r="R153" s="1187">
        <v>0</v>
      </c>
      <c r="S153" s="1190">
        <f t="shared" si="17"/>
        <v>0</v>
      </c>
      <c r="T153" s="1186">
        <f>T152</f>
        <v>340</v>
      </c>
      <c r="U153" s="1188" t="s">
        <v>4</v>
      </c>
    </row>
    <row r="154" spans="1:21" ht="20.100000000000001" hidden="1" customHeight="1">
      <c r="A154" s="1185">
        <v>9</v>
      </c>
      <c r="B154" s="1191" t="s">
        <v>1231</v>
      </c>
      <c r="C154" s="1186">
        <f>ROUND(WORK!I571*0.05,2)</f>
        <v>0</v>
      </c>
      <c r="D154" s="1186">
        <f>ROUND(FF!I203*0.05,2)</f>
        <v>0</v>
      </c>
      <c r="E154" s="1186">
        <f>ROUND(SF!I145*0.05,2)</f>
        <v>0</v>
      </c>
      <c r="F154" s="1186">
        <f t="shared" si="16"/>
        <v>0</v>
      </c>
      <c r="G154" s="1186" t="s">
        <v>422</v>
      </c>
      <c r="H154" s="1187">
        <v>0</v>
      </c>
      <c r="I154" s="1188">
        <f t="shared" si="18"/>
        <v>0</v>
      </c>
      <c r="J154" s="1187">
        <v>0</v>
      </c>
      <c r="K154" s="1185">
        <v>0</v>
      </c>
      <c r="L154" s="1188">
        <f t="shared" si="19"/>
        <v>0</v>
      </c>
      <c r="M154" s="1185">
        <v>0</v>
      </c>
      <c r="N154" s="1185">
        <v>0</v>
      </c>
      <c r="O154" s="1187">
        <v>0</v>
      </c>
      <c r="P154" s="1187">
        <v>0</v>
      </c>
      <c r="Q154" s="1187">
        <v>0</v>
      </c>
      <c r="R154" s="1187">
        <v>0</v>
      </c>
      <c r="S154" s="1190">
        <f t="shared" si="17"/>
        <v>0</v>
      </c>
      <c r="T154" s="1186">
        <f>T153</f>
        <v>340</v>
      </c>
      <c r="U154" s="1188" t="s">
        <v>4</v>
      </c>
    </row>
    <row r="155" spans="1:21" ht="20.100000000000001" hidden="1" customHeight="1">
      <c r="A155" s="1185">
        <v>16</v>
      </c>
      <c r="B155" s="1191" t="s">
        <v>1440</v>
      </c>
      <c r="C155" s="1186">
        <f>ROUND(WORK!I599*0.025,2)</f>
        <v>0</v>
      </c>
      <c r="D155" s="1186">
        <f>ROUND(FF!I227*0.025,2)</f>
        <v>0</v>
      </c>
      <c r="E155" s="1186">
        <f>ROUND(SF!I169*0.025,2)</f>
        <v>0</v>
      </c>
      <c r="F155" s="1186">
        <f t="shared" si="16"/>
        <v>0</v>
      </c>
      <c r="G155" s="1186" t="s">
        <v>422</v>
      </c>
      <c r="H155" s="1187">
        <v>0</v>
      </c>
      <c r="I155" s="1188">
        <f t="shared" si="18"/>
        <v>0</v>
      </c>
      <c r="J155" s="1187">
        <v>0</v>
      </c>
      <c r="K155" s="1185">
        <v>0</v>
      </c>
      <c r="L155" s="1188">
        <f t="shared" si="19"/>
        <v>0</v>
      </c>
      <c r="M155" s="1185">
        <v>0</v>
      </c>
      <c r="N155" s="1185">
        <v>0</v>
      </c>
      <c r="O155" s="1187">
        <v>0</v>
      </c>
      <c r="P155" s="1187">
        <v>0</v>
      </c>
      <c r="Q155" s="1187">
        <v>0</v>
      </c>
      <c r="R155" s="1187">
        <v>0</v>
      </c>
      <c r="S155" s="1190">
        <f t="shared" si="17"/>
        <v>0</v>
      </c>
      <c r="T155" s="1186">
        <f>T154</f>
        <v>340</v>
      </c>
      <c r="U155" s="1188" t="s">
        <v>4</v>
      </c>
    </row>
    <row r="156" spans="1:21" ht="20.100000000000001" hidden="1" customHeight="1">
      <c r="A156" s="1185">
        <v>12</v>
      </c>
      <c r="B156" s="1163" t="s">
        <v>129</v>
      </c>
      <c r="C156" s="1186">
        <f>WORK!I639</f>
        <v>0</v>
      </c>
      <c r="D156" s="1186">
        <f>FF!I276</f>
        <v>0</v>
      </c>
      <c r="E156" s="1186">
        <f>SF!I197</f>
        <v>0</v>
      </c>
      <c r="F156" s="1186">
        <f t="shared" si="16"/>
        <v>0</v>
      </c>
      <c r="G156" s="1186" t="s">
        <v>421</v>
      </c>
      <c r="H156" s="1187">
        <v>0</v>
      </c>
      <c r="I156" s="1188">
        <f t="shared" si="18"/>
        <v>0</v>
      </c>
      <c r="J156" s="1187">
        <v>0</v>
      </c>
      <c r="K156" s="1185">
        <v>0</v>
      </c>
      <c r="L156" s="1188">
        <f t="shared" si="19"/>
        <v>0</v>
      </c>
      <c r="M156" s="1185">
        <v>0</v>
      </c>
      <c r="N156" s="1185">
        <v>0</v>
      </c>
      <c r="O156" s="1187">
        <v>0</v>
      </c>
      <c r="P156" s="1187">
        <v>0</v>
      </c>
      <c r="Q156" s="1187">
        <v>0</v>
      </c>
      <c r="R156" s="1187">
        <v>0</v>
      </c>
      <c r="S156" s="1190">
        <f t="shared" si="17"/>
        <v>0</v>
      </c>
      <c r="T156" s="1186">
        <f>$T$146</f>
        <v>340</v>
      </c>
      <c r="U156" s="1188" t="s">
        <v>4</v>
      </c>
    </row>
    <row r="157" spans="1:21" ht="20.100000000000001" hidden="1" customHeight="1">
      <c r="A157" s="1185">
        <v>13</v>
      </c>
      <c r="B157" s="1163" t="s">
        <v>130</v>
      </c>
      <c r="C157" s="1186">
        <f>WORK!I660</f>
        <v>0</v>
      </c>
      <c r="D157" s="1186">
        <f>FF!I301</f>
        <v>0</v>
      </c>
      <c r="E157" s="1186">
        <f>SF!I217</f>
        <v>0</v>
      </c>
      <c r="F157" s="1186">
        <f t="shared" si="16"/>
        <v>0</v>
      </c>
      <c r="G157" s="1186" t="s">
        <v>82</v>
      </c>
      <c r="H157" s="1187">
        <v>0</v>
      </c>
      <c r="I157" s="1188">
        <f>ROUND(F157*0.0375*0.8,2)</f>
        <v>0</v>
      </c>
      <c r="J157" s="1187">
        <v>0</v>
      </c>
      <c r="K157" s="1185">
        <v>0</v>
      </c>
      <c r="L157" s="1188">
        <f>ROUND(F157*0.0375*0.4,2)</f>
        <v>0</v>
      </c>
      <c r="M157" s="1185">
        <v>0</v>
      </c>
      <c r="N157" s="1185">
        <v>0</v>
      </c>
      <c r="O157" s="1187">
        <v>0</v>
      </c>
      <c r="P157" s="1187">
        <v>0</v>
      </c>
      <c r="Q157" s="1187">
        <v>0</v>
      </c>
      <c r="R157" s="1187">
        <v>0</v>
      </c>
      <c r="S157" s="1190">
        <f t="shared" si="17"/>
        <v>0</v>
      </c>
      <c r="T157" s="1195">
        <f>ROUND(T156*0.0375,2)</f>
        <v>12.75</v>
      </c>
      <c r="U157" s="1188" t="s">
        <v>4</v>
      </c>
    </row>
    <row r="158" spans="1:21" ht="20.100000000000001" hidden="1" customHeight="1">
      <c r="A158" s="1185">
        <v>31</v>
      </c>
      <c r="B158" s="1191" t="s">
        <v>1441</v>
      </c>
      <c r="C158" s="1186">
        <f>WORK!I684</f>
        <v>0</v>
      </c>
      <c r="D158" s="1186">
        <f>FF!I326</f>
        <v>0</v>
      </c>
      <c r="E158" s="1186">
        <f>SF!I237</f>
        <v>0</v>
      </c>
      <c r="F158" s="1186">
        <f t="shared" si="16"/>
        <v>0</v>
      </c>
      <c r="G158" s="1186" t="s">
        <v>422</v>
      </c>
      <c r="H158" s="1187">
        <v>0</v>
      </c>
      <c r="I158" s="1187">
        <v>0</v>
      </c>
      <c r="J158" s="1187">
        <v>0</v>
      </c>
      <c r="K158" s="1185">
        <v>0</v>
      </c>
      <c r="L158" s="1187">
        <v>0</v>
      </c>
      <c r="M158" s="1185">
        <v>0</v>
      </c>
      <c r="N158" s="1188">
        <f>ROUND(F158*0.015*1.05,2)</f>
        <v>0</v>
      </c>
      <c r="O158" s="1187">
        <v>0</v>
      </c>
      <c r="P158" s="1187">
        <v>0</v>
      </c>
      <c r="Q158" s="1187">
        <v>0</v>
      </c>
      <c r="R158" s="1187">
        <v>0</v>
      </c>
      <c r="S158" s="1190">
        <f t="shared" si="17"/>
        <v>0</v>
      </c>
      <c r="T158" s="1186">
        <v>7.2</v>
      </c>
      <c r="U158" s="1188" t="s">
        <v>4</v>
      </c>
    </row>
    <row r="159" spans="1:21" ht="20.100000000000001" hidden="1" customHeight="1">
      <c r="A159" s="1185">
        <v>12</v>
      </c>
      <c r="B159" s="1191" t="s">
        <v>1226</v>
      </c>
      <c r="C159" s="1186">
        <f>WORK!I708</f>
        <v>0</v>
      </c>
      <c r="D159" s="1186">
        <f>FF!I350</f>
        <v>0</v>
      </c>
      <c r="E159" s="1186">
        <f>SF!I261</f>
        <v>0</v>
      </c>
      <c r="F159" s="1186">
        <f t="shared" si="16"/>
        <v>0</v>
      </c>
      <c r="G159" s="1186" t="s">
        <v>422</v>
      </c>
      <c r="H159" s="1187">
        <v>0</v>
      </c>
      <c r="I159" s="1187">
        <v>0</v>
      </c>
      <c r="J159" s="1187">
        <v>0</v>
      </c>
      <c r="K159" s="1185">
        <v>0</v>
      </c>
      <c r="L159" s="1187">
        <v>0</v>
      </c>
      <c r="M159" s="1185">
        <v>0</v>
      </c>
      <c r="N159" s="1188">
        <f>ROUND(F159*0.021*1.05,2)</f>
        <v>0</v>
      </c>
      <c r="O159" s="1187">
        <v>0</v>
      </c>
      <c r="P159" s="1187">
        <v>0</v>
      </c>
      <c r="Q159" s="1187">
        <v>0</v>
      </c>
      <c r="R159" s="1187">
        <v>0</v>
      </c>
      <c r="S159" s="1190">
        <f t="shared" si="17"/>
        <v>0</v>
      </c>
      <c r="T159" s="1186">
        <v>10.08</v>
      </c>
      <c r="U159" s="1188" t="s">
        <v>4</v>
      </c>
    </row>
    <row r="160" spans="1:21" ht="20.100000000000001" hidden="1" customHeight="1">
      <c r="A160" s="1185">
        <v>13</v>
      </c>
      <c r="B160" s="1163" t="s">
        <v>1194</v>
      </c>
      <c r="C160" s="1186">
        <f>WORK!I735</f>
        <v>0</v>
      </c>
      <c r="D160" s="1186"/>
      <c r="E160" s="1186"/>
      <c r="F160" s="1186">
        <f t="shared" si="16"/>
        <v>0</v>
      </c>
      <c r="G160" s="1186" t="s">
        <v>421</v>
      </c>
      <c r="H160" s="1187">
        <v>0</v>
      </c>
      <c r="I160" s="1187">
        <v>0</v>
      </c>
      <c r="J160" s="1187">
        <v>0</v>
      </c>
      <c r="K160" s="1188">
        <f>ROUND(F160*1.1,2)</f>
        <v>0</v>
      </c>
      <c r="L160" s="1187">
        <v>0</v>
      </c>
      <c r="M160" s="1188">
        <f>ROUND(F160*0.33,2)</f>
        <v>0</v>
      </c>
      <c r="N160" s="1187">
        <v>0</v>
      </c>
      <c r="O160" s="1187">
        <v>0</v>
      </c>
      <c r="P160" s="1187">
        <v>0</v>
      </c>
      <c r="Q160" s="1188"/>
      <c r="R160" s="1187">
        <v>0</v>
      </c>
      <c r="S160" s="1190">
        <f t="shared" si="17"/>
        <v>0</v>
      </c>
      <c r="T160" s="1186">
        <v>59.4</v>
      </c>
      <c r="U160" s="1188" t="s">
        <v>4</v>
      </c>
    </row>
    <row r="161" spans="1:21" ht="20.100000000000001" hidden="1" customHeight="1">
      <c r="A161" s="1185">
        <v>2</v>
      </c>
      <c r="B161" s="1163" t="s">
        <v>134</v>
      </c>
      <c r="C161" s="1186">
        <f>WORK!I798</f>
        <v>0</v>
      </c>
      <c r="D161" s="1186">
        <f>FF!I374</f>
        <v>0</v>
      </c>
      <c r="E161" s="1186">
        <f>SF!I290</f>
        <v>0</v>
      </c>
      <c r="F161" s="1186">
        <f t="shared" si="16"/>
        <v>0</v>
      </c>
      <c r="G161" s="1186" t="s">
        <v>421</v>
      </c>
      <c r="H161" s="1187">
        <v>0</v>
      </c>
      <c r="I161" s="1187">
        <v>0</v>
      </c>
      <c r="J161" s="1187">
        <v>0</v>
      </c>
      <c r="K161" s="1185">
        <v>0</v>
      </c>
      <c r="L161" s="1187">
        <v>0</v>
      </c>
      <c r="M161" s="1188">
        <f>ROUND(F161*0.2,2)</f>
        <v>0</v>
      </c>
      <c r="N161" s="1187">
        <v>0</v>
      </c>
      <c r="O161" s="1187">
        <v>0</v>
      </c>
      <c r="P161" s="1187">
        <v>0</v>
      </c>
      <c r="Q161" s="1188">
        <f>ROUND(F161*512/1000,2)</f>
        <v>0</v>
      </c>
      <c r="R161" s="1187">
        <v>0</v>
      </c>
      <c r="S161" s="1190">
        <f t="shared" si="17"/>
        <v>0</v>
      </c>
      <c r="T161" s="1186">
        <v>36</v>
      </c>
      <c r="U161" s="1188" t="s">
        <v>4</v>
      </c>
    </row>
    <row r="162" spans="1:21" ht="20.100000000000001" hidden="1" customHeight="1">
      <c r="A162" s="1185">
        <v>14</v>
      </c>
      <c r="B162" s="1163" t="s">
        <v>906</v>
      </c>
      <c r="C162" s="1186">
        <f>WORK!I860</f>
        <v>0</v>
      </c>
      <c r="D162" s="1186">
        <f>FF!I460</f>
        <v>0</v>
      </c>
      <c r="E162" s="1186">
        <f>SF!I320</f>
        <v>0</v>
      </c>
      <c r="F162" s="1186">
        <f t="shared" si="16"/>
        <v>0</v>
      </c>
      <c r="G162" s="1186" t="s">
        <v>421</v>
      </c>
      <c r="H162" s="1187">
        <v>0</v>
      </c>
      <c r="I162" s="1187">
        <v>0</v>
      </c>
      <c r="J162" s="1187">
        <v>0</v>
      </c>
      <c r="K162" s="1185">
        <v>0</v>
      </c>
      <c r="L162" s="1187">
        <v>0</v>
      </c>
      <c r="M162" s="1188">
        <f>ROUND(F162*0.2,2)</f>
        <v>0</v>
      </c>
      <c r="N162" s="1187">
        <v>0</v>
      </c>
      <c r="O162" s="1187">
        <v>0</v>
      </c>
      <c r="P162" s="1187">
        <v>0</v>
      </c>
      <c r="Q162" s="1188">
        <f>ROUND(F162*512/1000,2)</f>
        <v>0</v>
      </c>
      <c r="R162" s="1187">
        <v>0</v>
      </c>
      <c r="S162" s="1190">
        <f t="shared" si="17"/>
        <v>0</v>
      </c>
      <c r="T162" s="1186">
        <v>48</v>
      </c>
      <c r="U162" s="1188" t="s">
        <v>4</v>
      </c>
    </row>
    <row r="163" spans="1:21" ht="20.100000000000001" hidden="1" customHeight="1">
      <c r="A163" s="1185">
        <v>15</v>
      </c>
      <c r="B163" s="1163" t="s">
        <v>3637</v>
      </c>
      <c r="C163" s="1186">
        <f>WORK!I908</f>
        <v>0</v>
      </c>
      <c r="D163" s="1186">
        <f>FF!I550</f>
        <v>0</v>
      </c>
      <c r="E163" s="1186">
        <f>SF!I347</f>
        <v>0</v>
      </c>
      <c r="F163" s="1186">
        <f t="shared" si="16"/>
        <v>0</v>
      </c>
      <c r="G163" s="1186" t="s">
        <v>422</v>
      </c>
      <c r="H163" s="1187">
        <v>0</v>
      </c>
      <c r="I163" s="1188"/>
      <c r="J163" s="1187">
        <v>0</v>
      </c>
      <c r="K163" s="1185">
        <v>0</v>
      </c>
      <c r="L163" s="1187">
        <v>0</v>
      </c>
      <c r="M163" s="1188">
        <f>ROUND(F163*0.022,2)</f>
        <v>0</v>
      </c>
      <c r="N163" s="1187">
        <v>0</v>
      </c>
      <c r="O163" s="1187">
        <v>0</v>
      </c>
      <c r="P163" s="1187">
        <v>0</v>
      </c>
      <c r="Q163" s="1188">
        <f>ROUND(F163*512*0.1/1000,2)</f>
        <v>0</v>
      </c>
      <c r="R163" s="1187">
        <v>0</v>
      </c>
      <c r="S163" s="1190">
        <f t="shared" si="17"/>
        <v>0</v>
      </c>
      <c r="T163" s="1186">
        <v>7.2</v>
      </c>
      <c r="U163" s="1188" t="s">
        <v>4</v>
      </c>
    </row>
    <row r="164" spans="1:21" ht="20.100000000000001" hidden="1" customHeight="1">
      <c r="A164" s="1185">
        <v>16</v>
      </c>
      <c r="B164" s="1163" t="s">
        <v>1214</v>
      </c>
      <c r="C164" s="1186">
        <f>WORK!I940</f>
        <v>0</v>
      </c>
      <c r="D164" s="1186">
        <f>FF!I578</f>
        <v>0</v>
      </c>
      <c r="E164" s="1186">
        <f>SF!I375</f>
        <v>0</v>
      </c>
      <c r="F164" s="1186">
        <f t="shared" si="16"/>
        <v>0</v>
      </c>
      <c r="G164" s="1186" t="s">
        <v>421</v>
      </c>
      <c r="H164" s="1187">
        <v>0</v>
      </c>
      <c r="I164" s="1187">
        <v>0</v>
      </c>
      <c r="J164" s="1187">
        <v>0</v>
      </c>
      <c r="K164" s="1185">
        <v>0</v>
      </c>
      <c r="L164" s="1187">
        <v>0</v>
      </c>
      <c r="M164" s="1188">
        <f>ROUND(F164*0.1*1.05,2)</f>
        <v>0</v>
      </c>
      <c r="N164" s="1187">
        <v>0</v>
      </c>
      <c r="O164" s="1187">
        <v>0</v>
      </c>
      <c r="P164" s="1187">
        <v>0</v>
      </c>
      <c r="Q164" s="1188">
        <f>ROUND(F164*110/1000,2)</f>
        <v>0</v>
      </c>
      <c r="R164" s="1187">
        <v>0</v>
      </c>
      <c r="S164" s="1190">
        <f t="shared" si="17"/>
        <v>0</v>
      </c>
      <c r="T164" s="1186">
        <v>24</v>
      </c>
      <c r="U164" s="1188" t="s">
        <v>4</v>
      </c>
    </row>
    <row r="165" spans="1:21" ht="20.100000000000001" hidden="1" customHeight="1">
      <c r="A165" s="1185">
        <v>17</v>
      </c>
      <c r="B165" s="1191" t="s">
        <v>1215</v>
      </c>
      <c r="C165" s="1186">
        <f>WORK!I964</f>
        <v>0</v>
      </c>
      <c r="D165" s="1186">
        <f>FF!I602</f>
        <v>0</v>
      </c>
      <c r="E165" s="1186"/>
      <c r="F165" s="1186">
        <f t="shared" si="16"/>
        <v>0</v>
      </c>
      <c r="G165" s="1186" t="s">
        <v>422</v>
      </c>
      <c r="H165" s="1187">
        <v>0</v>
      </c>
      <c r="I165" s="1187">
        <v>0</v>
      </c>
      <c r="J165" s="1187">
        <v>0</v>
      </c>
      <c r="K165" s="1185">
        <v>0</v>
      </c>
      <c r="L165" s="1187">
        <v>0</v>
      </c>
      <c r="M165" s="1187">
        <v>0</v>
      </c>
      <c r="N165" s="1188">
        <f>ROUND(F165*((0.015*1.05)+(0.025*1.05)),2)</f>
        <v>0</v>
      </c>
      <c r="O165" s="1187">
        <v>0</v>
      </c>
      <c r="P165" s="1187">
        <v>0</v>
      </c>
      <c r="Q165" s="1187">
        <v>0</v>
      </c>
      <c r="R165" s="1187">
        <v>0</v>
      </c>
      <c r="S165" s="1190">
        <f t="shared" si="17"/>
        <v>0</v>
      </c>
      <c r="T165" s="1186">
        <v>20.89</v>
      </c>
      <c r="U165" s="1188" t="s">
        <v>4</v>
      </c>
    </row>
    <row r="166" spans="1:21" ht="20.100000000000001" hidden="1" customHeight="1">
      <c r="A166" s="1185">
        <v>16</v>
      </c>
      <c r="B166" s="1191" t="s">
        <v>137</v>
      </c>
      <c r="C166" s="1186">
        <f>WORK!I1026</f>
        <v>0</v>
      </c>
      <c r="D166" s="1186">
        <f>FF!I678</f>
        <v>0</v>
      </c>
      <c r="E166" s="1186">
        <f>SF!I404</f>
        <v>0</v>
      </c>
      <c r="F166" s="1186">
        <f t="shared" si="16"/>
        <v>0</v>
      </c>
      <c r="G166" s="1186" t="s">
        <v>422</v>
      </c>
      <c r="H166" s="1187">
        <v>0</v>
      </c>
      <c r="I166" s="1187">
        <v>0</v>
      </c>
      <c r="J166" s="1187">
        <v>0</v>
      </c>
      <c r="K166" s="1185">
        <v>0</v>
      </c>
      <c r="L166" s="1187">
        <v>0</v>
      </c>
      <c r="M166" s="1187">
        <v>0</v>
      </c>
      <c r="N166" s="1188">
        <f>ROUND(F166*0.015*1.05,2)</f>
        <v>0</v>
      </c>
      <c r="O166" s="1187">
        <v>0</v>
      </c>
      <c r="P166" s="1187">
        <v>0</v>
      </c>
      <c r="Q166" s="1187">
        <v>0</v>
      </c>
      <c r="R166" s="1187">
        <v>0</v>
      </c>
      <c r="S166" s="1190">
        <f t="shared" si="17"/>
        <v>0</v>
      </c>
      <c r="T166" s="1186">
        <v>7.2</v>
      </c>
      <c r="U166" s="1188" t="s">
        <v>4</v>
      </c>
    </row>
    <row r="167" spans="1:21" ht="20.100000000000001" hidden="1" customHeight="1">
      <c r="A167" s="1185">
        <v>2</v>
      </c>
      <c r="B167" s="1191" t="s">
        <v>238</v>
      </c>
      <c r="C167" s="1186">
        <f>WORK!I1054</f>
        <v>0</v>
      </c>
      <c r="D167" s="1186">
        <f>FF!I710</f>
        <v>0</v>
      </c>
      <c r="E167" s="1186">
        <f>SF!I436</f>
        <v>0</v>
      </c>
      <c r="F167" s="1186">
        <f t="shared" si="16"/>
        <v>0</v>
      </c>
      <c r="G167" s="1186" t="s">
        <v>422</v>
      </c>
      <c r="H167" s="1187">
        <v>0</v>
      </c>
      <c r="I167" s="1187">
        <v>0</v>
      </c>
      <c r="J167" s="1187">
        <v>0</v>
      </c>
      <c r="K167" s="1185">
        <v>0</v>
      </c>
      <c r="L167" s="1187">
        <v>0</v>
      </c>
      <c r="M167" s="1187">
        <v>0</v>
      </c>
      <c r="N167" s="1188">
        <f>ROUND(F167*0.015*1.05,2)</f>
        <v>0</v>
      </c>
      <c r="O167" s="1187">
        <v>0</v>
      </c>
      <c r="P167" s="1187">
        <v>0</v>
      </c>
      <c r="Q167" s="1187">
        <v>0</v>
      </c>
      <c r="R167" s="1187">
        <v>0</v>
      </c>
      <c r="S167" s="1190">
        <f t="shared" si="17"/>
        <v>0</v>
      </c>
      <c r="T167" s="1186">
        <v>4.32</v>
      </c>
      <c r="U167" s="1188" t="s">
        <v>4</v>
      </c>
    </row>
    <row r="168" spans="1:21" ht="20.100000000000001" hidden="1" customHeight="1">
      <c r="A168" s="1185">
        <v>3</v>
      </c>
      <c r="B168" s="1191" t="s">
        <v>604</v>
      </c>
      <c r="C168" s="1186">
        <f>WORK!I1078</f>
        <v>0</v>
      </c>
      <c r="D168" s="1186">
        <f>FF!I742</f>
        <v>0</v>
      </c>
      <c r="E168" s="1186">
        <f>SF!I468</f>
        <v>0</v>
      </c>
      <c r="F168" s="1186">
        <f t="shared" si="16"/>
        <v>0</v>
      </c>
      <c r="G168" s="1186" t="s">
        <v>422</v>
      </c>
      <c r="H168" s="1187">
        <v>0</v>
      </c>
      <c r="I168" s="1187">
        <v>0</v>
      </c>
      <c r="J168" s="1187">
        <v>0</v>
      </c>
      <c r="K168" s="1185">
        <v>0</v>
      </c>
      <c r="L168" s="1187">
        <v>0</v>
      </c>
      <c r="M168" s="1187">
        <v>0</v>
      </c>
      <c r="N168" s="1188">
        <f>ROUND(F168*0.021*1.05,2)</f>
        <v>0</v>
      </c>
      <c r="O168" s="1187">
        <v>0</v>
      </c>
      <c r="P168" s="1187">
        <v>0</v>
      </c>
      <c r="Q168" s="1187">
        <v>0</v>
      </c>
      <c r="R168" s="1187">
        <v>0</v>
      </c>
      <c r="S168" s="1190">
        <f t="shared" si="17"/>
        <v>0</v>
      </c>
      <c r="T168" s="1186">
        <v>6.05</v>
      </c>
      <c r="U168" s="1188" t="s">
        <v>4</v>
      </c>
    </row>
    <row r="169" spans="1:21" ht="20.100000000000001" hidden="1" customHeight="1">
      <c r="A169" s="1185">
        <v>17</v>
      </c>
      <c r="B169" s="1191" t="s">
        <v>904</v>
      </c>
      <c r="C169" s="1186">
        <f>WORK!I1155</f>
        <v>0</v>
      </c>
      <c r="D169" s="1186">
        <f>FF!I858</f>
        <v>0</v>
      </c>
      <c r="E169" s="1186">
        <f>SF!I508</f>
        <v>0</v>
      </c>
      <c r="F169" s="1186">
        <f t="shared" si="16"/>
        <v>0</v>
      </c>
      <c r="G169" s="1186" t="s">
        <v>422</v>
      </c>
      <c r="H169" s="1187">
        <v>0</v>
      </c>
      <c r="I169" s="1187">
        <v>0</v>
      </c>
      <c r="J169" s="1187">
        <v>0</v>
      </c>
      <c r="K169" s="1185">
        <v>0</v>
      </c>
      <c r="L169" s="1187">
        <v>0</v>
      </c>
      <c r="M169" s="1187">
        <v>0</v>
      </c>
      <c r="N169" s="1188">
        <f>ROUND(F169*0.015*1,2)</f>
        <v>0</v>
      </c>
      <c r="O169" s="1187">
        <v>0</v>
      </c>
      <c r="P169" s="1187">
        <v>0</v>
      </c>
      <c r="Q169" s="1187">
        <v>0</v>
      </c>
      <c r="R169" s="1187">
        <v>0</v>
      </c>
      <c r="S169" s="1190">
        <f t="shared" si="17"/>
        <v>0</v>
      </c>
      <c r="T169" s="1186">
        <v>5.09</v>
      </c>
      <c r="U169" s="1188" t="s">
        <v>4</v>
      </c>
    </row>
    <row r="170" spans="1:21" ht="20.100000000000001" hidden="1" customHeight="1">
      <c r="A170" s="1185">
        <v>18</v>
      </c>
      <c r="B170" s="1191" t="s">
        <v>603</v>
      </c>
      <c r="C170" s="1186">
        <f>WORK!I1201</f>
        <v>0</v>
      </c>
      <c r="D170" s="1186">
        <f>FF!I904</f>
        <v>0</v>
      </c>
      <c r="E170" s="1186">
        <f>SF!I539</f>
        <v>0</v>
      </c>
      <c r="F170" s="1186">
        <f t="shared" si="16"/>
        <v>0</v>
      </c>
      <c r="G170" s="1186" t="s">
        <v>422</v>
      </c>
      <c r="H170" s="1187">
        <v>0</v>
      </c>
      <c r="I170" s="1187">
        <v>0</v>
      </c>
      <c r="J170" s="1187">
        <v>0</v>
      </c>
      <c r="K170" s="1185">
        <v>0</v>
      </c>
      <c r="L170" s="1187">
        <v>0</v>
      </c>
      <c r="M170" s="1187">
        <v>0</v>
      </c>
      <c r="N170" s="1188">
        <f>ROUND(F170*0.022*1,2)</f>
        <v>0</v>
      </c>
      <c r="O170" s="1187">
        <v>0</v>
      </c>
      <c r="P170" s="1187">
        <v>0</v>
      </c>
      <c r="Q170" s="1187">
        <v>0</v>
      </c>
      <c r="R170" s="1187">
        <v>0</v>
      </c>
      <c r="S170" s="1190">
        <f t="shared" si="17"/>
        <v>0</v>
      </c>
      <c r="T170" s="1186">
        <v>5.75</v>
      </c>
      <c r="U170" s="1188" t="s">
        <v>4</v>
      </c>
    </row>
    <row r="171" spans="1:21" ht="20.100000000000001" hidden="1" customHeight="1">
      <c r="A171" s="1185">
        <v>19</v>
      </c>
      <c r="B171" s="1163" t="s">
        <v>447</v>
      </c>
      <c r="C171" s="1186">
        <f>WORK!I1225</f>
        <v>0</v>
      </c>
      <c r="D171" s="1186">
        <f>FF!I932</f>
        <v>0</v>
      </c>
      <c r="E171" s="1186">
        <f>SF!I559</f>
        <v>0</v>
      </c>
      <c r="F171" s="1186">
        <f t="shared" si="16"/>
        <v>0</v>
      </c>
      <c r="G171" s="1186" t="s">
        <v>421</v>
      </c>
      <c r="H171" s="1187">
        <v>0</v>
      </c>
      <c r="I171" s="1188">
        <f>ROUND(F171*0.8,2)</f>
        <v>0</v>
      </c>
      <c r="J171" s="1187">
        <v>0</v>
      </c>
      <c r="K171" s="1185">
        <v>0</v>
      </c>
      <c r="L171" s="1188">
        <f>ROUND(F171*0.4,2)</f>
        <v>0</v>
      </c>
      <c r="M171" s="1185">
        <v>0</v>
      </c>
      <c r="N171" s="1185">
        <v>0</v>
      </c>
      <c r="O171" s="1187">
        <v>0</v>
      </c>
      <c r="P171" s="1187">
        <v>0</v>
      </c>
      <c r="Q171" s="1187">
        <v>0</v>
      </c>
      <c r="R171" s="1187">
        <v>0</v>
      </c>
      <c r="S171" s="1190">
        <f t="shared" si="17"/>
        <v>0</v>
      </c>
      <c r="T171" s="1186">
        <f>$T$146</f>
        <v>340</v>
      </c>
      <c r="U171" s="1188" t="s">
        <v>4</v>
      </c>
    </row>
    <row r="172" spans="1:21" ht="20.100000000000001" hidden="1" customHeight="1">
      <c r="A172" s="1185">
        <v>19</v>
      </c>
      <c r="B172" s="1191" t="s">
        <v>241</v>
      </c>
      <c r="C172" s="1186">
        <f>WORK!I1259</f>
        <v>0</v>
      </c>
      <c r="D172" s="1186">
        <f>FF!I963</f>
        <v>0</v>
      </c>
      <c r="E172" s="1186">
        <f>SF!I583</f>
        <v>0</v>
      </c>
      <c r="F172" s="1186">
        <f t="shared" si="16"/>
        <v>0</v>
      </c>
      <c r="G172" s="1186" t="s">
        <v>422</v>
      </c>
      <c r="H172" s="1187">
        <v>0</v>
      </c>
      <c r="I172" s="1187">
        <v>0</v>
      </c>
      <c r="J172" s="1187">
        <v>0</v>
      </c>
      <c r="K172" s="1185">
        <v>0</v>
      </c>
      <c r="L172" s="1187">
        <v>0</v>
      </c>
      <c r="M172" s="1188">
        <f>ROUND(F172*0.014,2)</f>
        <v>0</v>
      </c>
      <c r="N172" s="1187">
        <v>0</v>
      </c>
      <c r="O172" s="1187">
        <v>0</v>
      </c>
      <c r="P172" s="1187">
        <v>0</v>
      </c>
      <c r="Q172" s="1187">
        <v>0</v>
      </c>
      <c r="R172" s="1187">
        <v>0</v>
      </c>
      <c r="S172" s="1190">
        <f t="shared" si="17"/>
        <v>0</v>
      </c>
      <c r="T172" s="1186">
        <v>6.06</v>
      </c>
      <c r="U172" s="1188" t="s">
        <v>4</v>
      </c>
    </row>
    <row r="173" spans="1:21" ht="20.100000000000001" hidden="1" customHeight="1">
      <c r="A173" s="1185">
        <v>20</v>
      </c>
      <c r="B173" s="1191" t="s">
        <v>242</v>
      </c>
      <c r="C173" s="1186">
        <f>WORK!I1299</f>
        <v>0</v>
      </c>
      <c r="D173" s="1186">
        <f>FF!I1002</f>
        <v>0</v>
      </c>
      <c r="E173" s="1186">
        <f>SF!I611</f>
        <v>0</v>
      </c>
      <c r="F173" s="1186">
        <f t="shared" si="16"/>
        <v>0</v>
      </c>
      <c r="G173" s="1186" t="s">
        <v>422</v>
      </c>
      <c r="H173" s="1187">
        <v>0</v>
      </c>
      <c r="I173" s="1187">
        <v>0</v>
      </c>
      <c r="J173" s="1187">
        <v>0</v>
      </c>
      <c r="K173" s="1185">
        <v>0</v>
      </c>
      <c r="L173" s="1187">
        <v>0</v>
      </c>
      <c r="M173" s="1188">
        <f>ROUND(F173*0.012,2)</f>
        <v>0</v>
      </c>
      <c r="N173" s="1187">
        <v>0</v>
      </c>
      <c r="O173" s="1187">
        <v>0</v>
      </c>
      <c r="P173" s="1187">
        <v>0</v>
      </c>
      <c r="Q173" s="1187">
        <v>0</v>
      </c>
      <c r="R173" s="1187">
        <v>0</v>
      </c>
      <c r="S173" s="1190">
        <f t="shared" si="17"/>
        <v>0</v>
      </c>
      <c r="T173" s="1195">
        <v>6.7560000000000002</v>
      </c>
      <c r="U173" s="1188" t="s">
        <v>4</v>
      </c>
    </row>
    <row r="174" spans="1:21" ht="20.100000000000001" hidden="1" customHeight="1">
      <c r="A174" s="1185">
        <v>22</v>
      </c>
      <c r="B174" s="1191" t="s">
        <v>681</v>
      </c>
      <c r="C174" s="1186">
        <f>WORK!I1344</f>
        <v>0</v>
      </c>
      <c r="D174" s="1186">
        <f>FF!I1041</f>
        <v>0</v>
      </c>
      <c r="E174" s="1186">
        <f>SF!I639</f>
        <v>0</v>
      </c>
      <c r="F174" s="1186">
        <f t="shared" si="16"/>
        <v>0</v>
      </c>
      <c r="G174" s="1186" t="s">
        <v>422</v>
      </c>
      <c r="H174" s="1187">
        <v>0</v>
      </c>
      <c r="I174" s="1187">
        <v>0</v>
      </c>
      <c r="J174" s="1187">
        <v>0</v>
      </c>
      <c r="K174" s="1185">
        <v>0</v>
      </c>
      <c r="L174" s="1187">
        <v>0</v>
      </c>
      <c r="M174" s="1188">
        <f>ROUND(F174*0.014,2)</f>
        <v>0</v>
      </c>
      <c r="N174" s="1187">
        <v>0</v>
      </c>
      <c r="O174" s="1187">
        <v>0</v>
      </c>
      <c r="P174" s="1187">
        <v>0</v>
      </c>
      <c r="Q174" s="1187">
        <v>0</v>
      </c>
      <c r="R174" s="1187">
        <v>0</v>
      </c>
      <c r="S174" s="1190">
        <f t="shared" si="17"/>
        <v>0</v>
      </c>
      <c r="T174" s="1186">
        <v>7.5</v>
      </c>
      <c r="U174" s="1188" t="s">
        <v>4</v>
      </c>
    </row>
    <row r="175" spans="1:21" ht="20.100000000000001" hidden="1" customHeight="1">
      <c r="A175" s="1185">
        <v>23</v>
      </c>
      <c r="B175" s="1191" t="s">
        <v>682</v>
      </c>
      <c r="C175" s="1186">
        <f>WORK!I1386</f>
        <v>0</v>
      </c>
      <c r="D175" s="1186">
        <f>FF!I1081</f>
        <v>0</v>
      </c>
      <c r="E175" s="1186">
        <f>SF!I667</f>
        <v>0</v>
      </c>
      <c r="F175" s="1186">
        <f t="shared" si="16"/>
        <v>0</v>
      </c>
      <c r="G175" s="1186" t="s">
        <v>422</v>
      </c>
      <c r="H175" s="1187">
        <v>0</v>
      </c>
      <c r="I175" s="1187">
        <v>0</v>
      </c>
      <c r="J175" s="1187">
        <v>0</v>
      </c>
      <c r="K175" s="1185">
        <v>0</v>
      </c>
      <c r="L175" s="1187">
        <v>0</v>
      </c>
      <c r="M175" s="1188">
        <f>ROUND(F175*0.012,2)</f>
        <v>0</v>
      </c>
      <c r="N175" s="1187">
        <v>0</v>
      </c>
      <c r="O175" s="1187">
        <v>0</v>
      </c>
      <c r="P175" s="1187">
        <v>0</v>
      </c>
      <c r="Q175" s="1187">
        <v>0</v>
      </c>
      <c r="R175" s="1187">
        <v>0</v>
      </c>
      <c r="S175" s="1190">
        <f t="shared" si="17"/>
        <v>0</v>
      </c>
      <c r="T175" s="1195">
        <v>9.06</v>
      </c>
      <c r="U175" s="1188" t="s">
        <v>4</v>
      </c>
    </row>
    <row r="176" spans="1:21" ht="20.100000000000001" hidden="1" customHeight="1">
      <c r="A176" s="1185">
        <v>37</v>
      </c>
      <c r="B176" s="1191" t="s">
        <v>683</v>
      </c>
      <c r="C176" s="1186">
        <f>WORK!I1417</f>
        <v>0</v>
      </c>
      <c r="D176" s="1186">
        <f>FF!I1116</f>
        <v>0</v>
      </c>
      <c r="E176" s="1186">
        <f>SF!I695</f>
        <v>0</v>
      </c>
      <c r="F176" s="1186">
        <f t="shared" si="16"/>
        <v>0</v>
      </c>
      <c r="G176" s="1186" t="s">
        <v>422</v>
      </c>
      <c r="H176" s="1187">
        <v>0</v>
      </c>
      <c r="I176" s="1187">
        <v>0</v>
      </c>
      <c r="J176" s="1187">
        <v>0</v>
      </c>
      <c r="K176" s="1185">
        <v>0</v>
      </c>
      <c r="L176" s="1187">
        <v>0</v>
      </c>
      <c r="M176" s="1188">
        <f>ROUND(F176*0.014,2)</f>
        <v>0</v>
      </c>
      <c r="N176" s="1187">
        <v>0</v>
      </c>
      <c r="O176" s="1187">
        <v>0</v>
      </c>
      <c r="P176" s="1187">
        <v>0</v>
      </c>
      <c r="Q176" s="1187">
        <v>0</v>
      </c>
      <c r="R176" s="1187">
        <v>0</v>
      </c>
      <c r="S176" s="1190">
        <f t="shared" si="17"/>
        <v>0</v>
      </c>
      <c r="T176" s="1186">
        <v>7.5</v>
      </c>
      <c r="U176" s="1188" t="s">
        <v>4</v>
      </c>
    </row>
    <row r="177" spans="1:21" ht="20.100000000000001" hidden="1" customHeight="1">
      <c r="A177" s="1185">
        <v>38</v>
      </c>
      <c r="B177" s="1191" t="s">
        <v>684</v>
      </c>
      <c r="C177" s="1186">
        <f>WORK!I1446</f>
        <v>0</v>
      </c>
      <c r="D177" s="1186">
        <f>FF!I1148</f>
        <v>0</v>
      </c>
      <c r="E177" s="1186">
        <f>SF!I723</f>
        <v>0</v>
      </c>
      <c r="F177" s="1186">
        <f t="shared" si="16"/>
        <v>0</v>
      </c>
      <c r="G177" s="1186" t="s">
        <v>422</v>
      </c>
      <c r="H177" s="1187">
        <v>0</v>
      </c>
      <c r="I177" s="1187">
        <v>0</v>
      </c>
      <c r="J177" s="1187">
        <v>0</v>
      </c>
      <c r="K177" s="1185">
        <v>0</v>
      </c>
      <c r="L177" s="1187">
        <v>0</v>
      </c>
      <c r="M177" s="1188">
        <f>ROUND(F177*0.012,2)</f>
        <v>0</v>
      </c>
      <c r="N177" s="1187">
        <v>0</v>
      </c>
      <c r="O177" s="1187">
        <v>0</v>
      </c>
      <c r="P177" s="1187">
        <v>0</v>
      </c>
      <c r="Q177" s="1187">
        <v>0</v>
      </c>
      <c r="R177" s="1187">
        <v>0</v>
      </c>
      <c r="S177" s="1190">
        <f t="shared" si="17"/>
        <v>0</v>
      </c>
      <c r="T177" s="1195">
        <v>6.7560000000000002</v>
      </c>
      <c r="U177" s="1188" t="s">
        <v>4</v>
      </c>
    </row>
    <row r="178" spans="1:21" ht="20.100000000000001" hidden="1" customHeight="1">
      <c r="A178" s="1185">
        <v>23</v>
      </c>
      <c r="B178" s="1191" t="s">
        <v>239</v>
      </c>
      <c r="C178" s="1186">
        <f>WORK!I1469</f>
        <v>0</v>
      </c>
      <c r="D178" s="1186">
        <f>FF!I1175</f>
        <v>0</v>
      </c>
      <c r="E178" s="1186">
        <f>SF!I751</f>
        <v>0</v>
      </c>
      <c r="F178" s="1186">
        <f t="shared" si="16"/>
        <v>0</v>
      </c>
      <c r="G178" s="1186" t="s">
        <v>422</v>
      </c>
      <c r="H178" s="1187">
        <v>0</v>
      </c>
      <c r="I178" s="1187">
        <v>0</v>
      </c>
      <c r="J178" s="1187">
        <v>0</v>
      </c>
      <c r="K178" s="1185">
        <v>0</v>
      </c>
      <c r="L178" s="1187">
        <v>0</v>
      </c>
      <c r="M178" s="1188">
        <f>ROUND(F178*0.012,2)</f>
        <v>0</v>
      </c>
      <c r="N178" s="1187">
        <v>0</v>
      </c>
      <c r="O178" s="1187">
        <v>0</v>
      </c>
      <c r="P178" s="1187">
        <v>0</v>
      </c>
      <c r="Q178" s="1187">
        <v>0</v>
      </c>
      <c r="R178" s="1187">
        <v>0</v>
      </c>
      <c r="S178" s="1190">
        <f t="shared" si="17"/>
        <v>0</v>
      </c>
      <c r="T178" s="1186">
        <v>5.46</v>
      </c>
      <c r="U178" s="1188" t="s">
        <v>4</v>
      </c>
    </row>
    <row r="179" spans="1:21" ht="20.100000000000001" hidden="1" customHeight="1">
      <c r="A179" s="1185">
        <v>12</v>
      </c>
      <c r="B179" s="1191" t="s">
        <v>240</v>
      </c>
      <c r="C179" s="1186">
        <f>WORK!I1494</f>
        <v>0</v>
      </c>
      <c r="D179" s="1186">
        <f>FF!I1209</f>
        <v>0</v>
      </c>
      <c r="E179" s="1186">
        <f>SF!I775</f>
        <v>0</v>
      </c>
      <c r="F179" s="1186">
        <f t="shared" si="16"/>
        <v>0</v>
      </c>
      <c r="G179" s="1186" t="s">
        <v>422</v>
      </c>
      <c r="H179" s="1187">
        <v>0</v>
      </c>
      <c r="I179" s="1187">
        <v>0</v>
      </c>
      <c r="J179" s="1187">
        <v>0</v>
      </c>
      <c r="K179" s="1185">
        <v>0</v>
      </c>
      <c r="L179" s="1187">
        <v>0</v>
      </c>
      <c r="M179" s="1188">
        <f>ROUND(F179*0.012,2)</f>
        <v>0</v>
      </c>
      <c r="N179" s="1187">
        <v>0</v>
      </c>
      <c r="O179" s="1187">
        <v>0</v>
      </c>
      <c r="P179" s="1187">
        <v>0</v>
      </c>
      <c r="Q179" s="1187">
        <v>0</v>
      </c>
      <c r="R179" s="1187">
        <v>0</v>
      </c>
      <c r="S179" s="1190">
        <f t="shared" si="17"/>
        <v>0</v>
      </c>
      <c r="T179" s="1186">
        <v>9.06</v>
      </c>
      <c r="U179" s="1188" t="s">
        <v>4</v>
      </c>
    </row>
    <row r="180" spans="1:21" ht="20.100000000000001" hidden="1" customHeight="1">
      <c r="A180" s="1185">
        <v>24</v>
      </c>
      <c r="B180" s="1191" t="s">
        <v>1216</v>
      </c>
      <c r="C180" s="1186">
        <f>WORK!I1520</f>
        <v>0</v>
      </c>
      <c r="D180" s="1186">
        <f>FF!I1241</f>
        <v>0</v>
      </c>
      <c r="E180" s="1186">
        <f>SF!I799</f>
        <v>0</v>
      </c>
      <c r="F180" s="1186">
        <f t="shared" si="16"/>
        <v>0</v>
      </c>
      <c r="G180" s="1186" t="s">
        <v>422</v>
      </c>
      <c r="H180" s="1187">
        <v>0</v>
      </c>
      <c r="I180" s="1187">
        <v>0</v>
      </c>
      <c r="J180" s="1187">
        <v>0</v>
      </c>
      <c r="K180" s="1185">
        <v>0</v>
      </c>
      <c r="L180" s="1187">
        <v>0</v>
      </c>
      <c r="M180" s="1188">
        <f>ROUND(F180*0.008*1,2)</f>
        <v>0</v>
      </c>
      <c r="N180" s="1187">
        <v>0</v>
      </c>
      <c r="O180" s="1187">
        <v>0</v>
      </c>
      <c r="P180" s="1187">
        <v>0</v>
      </c>
      <c r="Q180" s="1187">
        <v>0</v>
      </c>
      <c r="R180" s="1187">
        <v>0</v>
      </c>
      <c r="S180" s="1190">
        <f t="shared" si="17"/>
        <v>0</v>
      </c>
      <c r="T180" s="1186">
        <v>2.76</v>
      </c>
      <c r="U180" s="1188" t="s">
        <v>4</v>
      </c>
    </row>
    <row r="181" spans="1:21" ht="20.100000000000001" hidden="1" customHeight="1">
      <c r="A181" s="1185">
        <v>5</v>
      </c>
      <c r="B181" s="1163" t="s">
        <v>2279</v>
      </c>
      <c r="C181" s="1186">
        <f>WORK!I1576</f>
        <v>0</v>
      </c>
      <c r="D181" s="1186"/>
      <c r="E181" s="1186"/>
      <c r="F181" s="1186">
        <f t="shared" si="16"/>
        <v>0</v>
      </c>
      <c r="G181" s="1186" t="s">
        <v>421</v>
      </c>
      <c r="H181" s="1187">
        <v>0</v>
      </c>
      <c r="I181" s="1188">
        <f>ROUND(F181*0.017,2)</f>
        <v>0</v>
      </c>
      <c r="J181" s="1187">
        <v>0</v>
      </c>
      <c r="K181" s="1185">
        <v>0</v>
      </c>
      <c r="L181" s="1188">
        <f>ROUND(F181*0.009,2)</f>
        <v>0</v>
      </c>
      <c r="M181" s="1185">
        <v>0</v>
      </c>
      <c r="N181" s="1185">
        <v>0</v>
      </c>
      <c r="O181" s="1187">
        <v>0</v>
      </c>
      <c r="P181" s="1187">
        <v>0</v>
      </c>
      <c r="Q181" s="1187">
        <v>0</v>
      </c>
      <c r="R181" s="1187">
        <v>0</v>
      </c>
      <c r="S181" s="1190">
        <f t="shared" si="17"/>
        <v>0</v>
      </c>
      <c r="T181" s="1186">
        <v>12</v>
      </c>
      <c r="U181" s="1188" t="s">
        <v>4</v>
      </c>
    </row>
    <row r="182" spans="1:21" ht="18" hidden="1" customHeight="1">
      <c r="A182" s="1185"/>
      <c r="B182" s="1191"/>
      <c r="C182" s="1191"/>
      <c r="D182" s="1191"/>
      <c r="E182" s="1191"/>
      <c r="F182" s="1186"/>
      <c r="G182" s="1186"/>
      <c r="H182" s="1188"/>
      <c r="I182" s="1188"/>
      <c r="J182" s="1188"/>
      <c r="K182" s="1188"/>
      <c r="L182" s="1188"/>
      <c r="M182" s="1188"/>
      <c r="N182" s="1187"/>
      <c r="O182" s="1188"/>
      <c r="P182" s="1188"/>
      <c r="Q182" s="1187"/>
      <c r="R182" s="1188"/>
      <c r="S182" s="1188"/>
      <c r="T182" s="1186"/>
      <c r="U182" s="1188"/>
    </row>
    <row r="183" spans="1:21" hidden="1">
      <c r="A183" s="1163"/>
      <c r="B183" s="1192" t="s">
        <v>103</v>
      </c>
      <c r="C183" s="1163"/>
      <c r="D183" s="1163"/>
      <c r="E183" s="1163"/>
      <c r="F183" s="1181">
        <v>1</v>
      </c>
      <c r="G183" s="1163"/>
      <c r="H183" s="1193">
        <f t="shared" ref="H183:S183" si="20">SUM(H140:H182)</f>
        <v>0</v>
      </c>
      <c r="I183" s="1193">
        <f t="shared" si="20"/>
        <v>0</v>
      </c>
      <c r="J183" s="1193">
        <f t="shared" si="20"/>
        <v>0</v>
      </c>
      <c r="K183" s="1193">
        <f t="shared" si="20"/>
        <v>0</v>
      </c>
      <c r="L183" s="1193">
        <f t="shared" si="20"/>
        <v>0</v>
      </c>
      <c r="M183" s="1193">
        <f t="shared" si="20"/>
        <v>0</v>
      </c>
      <c r="N183" s="1193">
        <f t="shared" si="20"/>
        <v>0</v>
      </c>
      <c r="O183" s="1193">
        <f t="shared" si="20"/>
        <v>0</v>
      </c>
      <c r="P183" s="1193">
        <f t="shared" si="20"/>
        <v>0</v>
      </c>
      <c r="Q183" s="1193">
        <f t="shared" si="20"/>
        <v>0</v>
      </c>
      <c r="R183" s="1193">
        <f t="shared" si="20"/>
        <v>0</v>
      </c>
      <c r="S183" s="1193">
        <f t="shared" si="20"/>
        <v>0</v>
      </c>
      <c r="T183" s="1194" t="s">
        <v>142</v>
      </c>
      <c r="U183" s="1163"/>
    </row>
    <row r="184" spans="1:21" hidden="1">
      <c r="A184" s="1163"/>
      <c r="B184" s="1192" t="s">
        <v>2777</v>
      </c>
      <c r="C184" s="1163"/>
      <c r="D184" s="1163"/>
      <c r="E184" s="1163"/>
      <c r="F184" s="1181"/>
      <c r="G184" s="1163"/>
      <c r="H184" s="1193"/>
      <c r="I184" s="1193"/>
      <c r="J184" s="1193"/>
      <c r="K184" s="1193"/>
      <c r="L184" s="1193"/>
      <c r="M184" s="1193"/>
      <c r="N184" s="1193"/>
      <c r="O184" s="1193"/>
      <c r="P184" s="1193"/>
      <c r="Q184" s="1193"/>
      <c r="R184" s="1193"/>
      <c r="S184" s="1193"/>
      <c r="T184" s="1194"/>
      <c r="U184" s="1163"/>
    </row>
    <row r="185" spans="1:21" ht="18" hidden="1" customHeight="1">
      <c r="A185" s="1185">
        <v>1</v>
      </c>
      <c r="B185" s="1163" t="s">
        <v>101</v>
      </c>
      <c r="C185" s="1543"/>
      <c r="D185" s="1163"/>
      <c r="E185" s="1163"/>
      <c r="F185" s="1186">
        <f>C185+D185</f>
        <v>0</v>
      </c>
      <c r="G185" s="1186" t="s">
        <v>421</v>
      </c>
      <c r="H185" s="1185">
        <v>0</v>
      </c>
      <c r="I185" s="1185">
        <v>0</v>
      </c>
      <c r="J185" s="1185">
        <v>0</v>
      </c>
      <c r="K185" s="1185">
        <v>0</v>
      </c>
      <c r="L185" s="1185">
        <v>0</v>
      </c>
      <c r="M185" s="1185">
        <v>0</v>
      </c>
      <c r="N185" s="1185">
        <v>0</v>
      </c>
      <c r="O185" s="1187">
        <v>0</v>
      </c>
      <c r="P185" s="1187">
        <v>0</v>
      </c>
      <c r="Q185" s="1185">
        <v>0</v>
      </c>
      <c r="R185" s="1188">
        <f>F185</f>
        <v>0</v>
      </c>
      <c r="S185" s="1189">
        <v>0</v>
      </c>
      <c r="T185" s="1163">
        <v>0</v>
      </c>
      <c r="U185" s="1163"/>
    </row>
    <row r="186" spans="1:21" ht="20.100000000000001" hidden="1" customHeight="1">
      <c r="A186" s="1185">
        <v>1</v>
      </c>
      <c r="B186" s="1163" t="s">
        <v>135</v>
      </c>
      <c r="C186" s="1186">
        <f>'3.60 lakhs'!I52</f>
        <v>0</v>
      </c>
      <c r="D186" s="1163"/>
      <c r="E186" s="1163"/>
      <c r="F186" s="1186">
        <f t="shared" ref="F186:F226" si="21">SUM(C186:E186)</f>
        <v>0</v>
      </c>
      <c r="G186" s="1186" t="s">
        <v>421</v>
      </c>
      <c r="H186" s="1185">
        <v>0</v>
      </c>
      <c r="I186" s="1185">
        <v>0</v>
      </c>
      <c r="J186" s="1185">
        <v>0</v>
      </c>
      <c r="K186" s="1185">
        <v>0</v>
      </c>
      <c r="L186" s="1185">
        <v>0</v>
      </c>
      <c r="M186" s="1185">
        <v>0</v>
      </c>
      <c r="N186" s="1185">
        <v>0</v>
      </c>
      <c r="O186" s="1188">
        <f>F186</f>
        <v>0</v>
      </c>
      <c r="P186" s="1187">
        <v>0</v>
      </c>
      <c r="Q186" s="1185">
        <v>0</v>
      </c>
      <c r="R186" s="1187">
        <v>0</v>
      </c>
      <c r="S186" s="1189">
        <v>0</v>
      </c>
      <c r="T186" s="1163">
        <v>0</v>
      </c>
      <c r="U186" s="1163"/>
    </row>
    <row r="187" spans="1:21" ht="20.100000000000001" hidden="1" customHeight="1">
      <c r="A187" s="1185">
        <v>2</v>
      </c>
      <c r="B187" s="1163" t="s">
        <v>1192</v>
      </c>
      <c r="C187" s="1186">
        <f>'3.60 lakhs'!I40</f>
        <v>0</v>
      </c>
      <c r="D187" s="1163"/>
      <c r="E187" s="1163"/>
      <c r="F187" s="1186">
        <f t="shared" si="21"/>
        <v>0</v>
      </c>
      <c r="G187" s="1186" t="s">
        <v>421</v>
      </c>
      <c r="H187" s="1185">
        <v>0</v>
      </c>
      <c r="I187" s="1185">
        <v>0</v>
      </c>
      <c r="J187" s="1185">
        <v>0</v>
      </c>
      <c r="K187" s="1185">
        <v>0</v>
      </c>
      <c r="L187" s="1185">
        <v>0</v>
      </c>
      <c r="M187" s="1185">
        <v>0</v>
      </c>
      <c r="N187" s="1185">
        <v>0</v>
      </c>
      <c r="O187" s="1187">
        <v>0</v>
      </c>
      <c r="P187" s="1188">
        <f>F187</f>
        <v>0</v>
      </c>
      <c r="Q187" s="1185">
        <v>0</v>
      </c>
      <c r="R187" s="1187">
        <v>0</v>
      </c>
      <c r="S187" s="1189">
        <v>0</v>
      </c>
      <c r="T187" s="1163">
        <v>0</v>
      </c>
      <c r="U187" s="1163"/>
    </row>
    <row r="188" spans="1:21" ht="20.100000000000001" hidden="1" customHeight="1">
      <c r="A188" s="1185">
        <v>4</v>
      </c>
      <c r="B188" s="1163" t="s">
        <v>663</v>
      </c>
      <c r="C188" s="1186">
        <f>'3.60 lakhs'!I46</f>
        <v>0</v>
      </c>
      <c r="D188" s="1163"/>
      <c r="E188" s="1163"/>
      <c r="F188" s="1186">
        <f t="shared" si="21"/>
        <v>0</v>
      </c>
      <c r="G188" s="1186" t="s">
        <v>421</v>
      </c>
      <c r="H188" s="1185">
        <v>0</v>
      </c>
      <c r="I188" s="1185">
        <v>0</v>
      </c>
      <c r="J188" s="1185">
        <v>0</v>
      </c>
      <c r="K188" s="1185">
        <v>0</v>
      </c>
      <c r="L188" s="1185">
        <v>0</v>
      </c>
      <c r="M188" s="1185">
        <v>0</v>
      </c>
      <c r="N188" s="1185">
        <v>0</v>
      </c>
      <c r="O188" s="1187">
        <v>0</v>
      </c>
      <c r="P188" s="1188"/>
      <c r="Q188" s="1185">
        <v>0</v>
      </c>
      <c r="R188" s="1188">
        <f>F188</f>
        <v>0</v>
      </c>
      <c r="S188" s="1189">
        <v>0</v>
      </c>
      <c r="T188" s="1163">
        <v>0</v>
      </c>
      <c r="U188" s="1163"/>
    </row>
    <row r="189" spans="1:21" ht="20.100000000000001" hidden="1" customHeight="1">
      <c r="A189" s="1185">
        <v>1</v>
      </c>
      <c r="B189" s="1163" t="s">
        <v>235</v>
      </c>
      <c r="C189" s="1186">
        <f>'3.60 lakhs'!I25</f>
        <v>0</v>
      </c>
      <c r="D189" s="1163"/>
      <c r="E189" s="1163"/>
      <c r="F189" s="1186">
        <f t="shared" si="21"/>
        <v>0</v>
      </c>
      <c r="G189" s="1186" t="s">
        <v>421</v>
      </c>
      <c r="H189" s="1188">
        <f>ROUND(F189*0.9,2)</f>
        <v>0</v>
      </c>
      <c r="I189" s="1187">
        <v>0</v>
      </c>
      <c r="J189" s="1187">
        <v>0</v>
      </c>
      <c r="K189" s="1185">
        <v>0</v>
      </c>
      <c r="L189" s="1188">
        <f>ROUND(F189*0.45,2)</f>
        <v>0</v>
      </c>
      <c r="M189" s="1185">
        <v>0</v>
      </c>
      <c r="N189" s="1185">
        <v>0</v>
      </c>
      <c r="O189" s="1187">
        <v>0</v>
      </c>
      <c r="P189" s="1187">
        <v>0</v>
      </c>
      <c r="Q189" s="1187">
        <v>0</v>
      </c>
      <c r="R189" s="1187">
        <v>0</v>
      </c>
      <c r="S189" s="1190">
        <f t="shared" ref="S189:S226" si="22">ROUND(F189*T189/50,2)</f>
        <v>0</v>
      </c>
      <c r="T189" s="1186">
        <v>162</v>
      </c>
      <c r="U189" s="1188" t="s">
        <v>4</v>
      </c>
    </row>
    <row r="190" spans="1:21" ht="20.100000000000001" hidden="1" customHeight="1">
      <c r="A190" s="1185">
        <v>6</v>
      </c>
      <c r="B190" s="1163" t="s">
        <v>446</v>
      </c>
      <c r="C190" s="1186">
        <f>'3.60 lakhs'!I34</f>
        <v>0</v>
      </c>
      <c r="D190" s="1163"/>
      <c r="E190" s="1163"/>
      <c r="F190" s="1186">
        <f t="shared" si="21"/>
        <v>0</v>
      </c>
      <c r="G190" s="1186" t="s">
        <v>421</v>
      </c>
      <c r="H190" s="1188">
        <f>ROUND(F190*0.9,2)</f>
        <v>0</v>
      </c>
      <c r="I190" s="1187">
        <v>0</v>
      </c>
      <c r="J190" s="1187">
        <v>0</v>
      </c>
      <c r="K190" s="1185">
        <v>0</v>
      </c>
      <c r="L190" s="1188">
        <f>ROUND(F190*0.45,2)</f>
        <v>0</v>
      </c>
      <c r="M190" s="1185">
        <v>0</v>
      </c>
      <c r="N190" s="1185">
        <v>0</v>
      </c>
      <c r="O190" s="1187">
        <v>0</v>
      </c>
      <c r="P190" s="1187">
        <v>0</v>
      </c>
      <c r="Q190" s="1187">
        <v>0</v>
      </c>
      <c r="R190" s="1187">
        <v>0</v>
      </c>
      <c r="S190" s="1190">
        <f t="shared" si="22"/>
        <v>0</v>
      </c>
      <c r="T190" s="1186">
        <v>129.6</v>
      </c>
      <c r="U190" s="1188" t="s">
        <v>4</v>
      </c>
    </row>
    <row r="191" spans="1:21" ht="20.100000000000001" hidden="1" customHeight="1">
      <c r="A191" s="1185">
        <v>4</v>
      </c>
      <c r="B191" s="1163" t="s">
        <v>132</v>
      </c>
      <c r="C191" s="1186">
        <f>'3.60 lakhs'!I64</f>
        <v>0</v>
      </c>
      <c r="D191" s="1163"/>
      <c r="E191" s="1163"/>
      <c r="F191" s="1186">
        <f t="shared" si="21"/>
        <v>0</v>
      </c>
      <c r="G191" s="1186" t="s">
        <v>421</v>
      </c>
      <c r="H191" s="1187">
        <v>0</v>
      </c>
      <c r="I191" s="1188">
        <f t="shared" ref="I191:I201" si="23">ROUND(F191*0.8,2)</f>
        <v>0</v>
      </c>
      <c r="J191" s="1187">
        <v>0</v>
      </c>
      <c r="K191" s="1185">
        <v>0</v>
      </c>
      <c r="L191" s="1188">
        <f t="shared" ref="L191:L201" si="24">ROUND(F191*0.4,2)</f>
        <v>0</v>
      </c>
      <c r="M191" s="1185">
        <v>0</v>
      </c>
      <c r="N191" s="1185">
        <v>0</v>
      </c>
      <c r="O191" s="1187">
        <v>0</v>
      </c>
      <c r="P191" s="1187">
        <v>0</v>
      </c>
      <c r="Q191" s="1187">
        <v>0</v>
      </c>
      <c r="R191" s="1187">
        <v>0</v>
      </c>
      <c r="S191" s="1190">
        <f t="shared" si="22"/>
        <v>0</v>
      </c>
      <c r="T191" s="1186">
        <f>'data 2022-23'!E107</f>
        <v>340</v>
      </c>
      <c r="U191" s="1188" t="s">
        <v>4</v>
      </c>
    </row>
    <row r="192" spans="1:21" ht="20.100000000000001" hidden="1" customHeight="1">
      <c r="A192" s="1185">
        <v>5</v>
      </c>
      <c r="B192" s="1163" t="s">
        <v>133</v>
      </c>
      <c r="C192" s="1186">
        <f>'3.60 lakhs'!I69</f>
        <v>0</v>
      </c>
      <c r="D192" s="1163"/>
      <c r="E192" s="1163"/>
      <c r="F192" s="1186">
        <f t="shared" si="21"/>
        <v>0</v>
      </c>
      <c r="G192" s="1186" t="s">
        <v>421</v>
      </c>
      <c r="H192" s="1187">
        <v>0</v>
      </c>
      <c r="I192" s="1188">
        <f t="shared" si="23"/>
        <v>0</v>
      </c>
      <c r="J192" s="1187">
        <v>0</v>
      </c>
      <c r="K192" s="1185">
        <v>0</v>
      </c>
      <c r="L192" s="1188">
        <f t="shared" si="24"/>
        <v>0</v>
      </c>
      <c r="M192" s="1185">
        <v>0</v>
      </c>
      <c r="N192" s="1185">
        <v>0</v>
      </c>
      <c r="O192" s="1187">
        <v>0</v>
      </c>
      <c r="P192" s="1187">
        <v>0</v>
      </c>
      <c r="Q192" s="1187">
        <v>0</v>
      </c>
      <c r="R192" s="1187">
        <v>0</v>
      </c>
      <c r="S192" s="1190">
        <f t="shared" si="22"/>
        <v>0</v>
      </c>
      <c r="T192" s="1186">
        <f>$T$191</f>
        <v>340</v>
      </c>
      <c r="U192" s="1188" t="s">
        <v>4</v>
      </c>
    </row>
    <row r="193" spans="1:21" ht="20.100000000000001" hidden="1" customHeight="1">
      <c r="A193" s="1185">
        <v>2</v>
      </c>
      <c r="B193" s="1163" t="s">
        <v>127</v>
      </c>
      <c r="C193" s="1186">
        <f>'3.60 lakhs'!I81</f>
        <v>0</v>
      </c>
      <c r="D193" s="1186">
        <f>'3.60 lakhs'!I462</f>
        <v>0</v>
      </c>
      <c r="E193" s="1186">
        <f>'3.60 lakhs'!I709</f>
        <v>0</v>
      </c>
      <c r="F193" s="1186">
        <f t="shared" si="21"/>
        <v>0</v>
      </c>
      <c r="G193" s="1186" t="s">
        <v>421</v>
      </c>
      <c r="H193" s="1187">
        <v>0</v>
      </c>
      <c r="I193" s="1188">
        <f t="shared" si="23"/>
        <v>0</v>
      </c>
      <c r="J193" s="1187">
        <v>0</v>
      </c>
      <c r="K193" s="1185">
        <v>0</v>
      </c>
      <c r="L193" s="1188">
        <f t="shared" si="24"/>
        <v>0</v>
      </c>
      <c r="M193" s="1185">
        <v>0</v>
      </c>
      <c r="N193" s="1185">
        <v>0</v>
      </c>
      <c r="O193" s="1187">
        <v>0</v>
      </c>
      <c r="P193" s="1187">
        <v>0</v>
      </c>
      <c r="Q193" s="1187">
        <v>0</v>
      </c>
      <c r="R193" s="1187">
        <v>0</v>
      </c>
      <c r="S193" s="1190">
        <f t="shared" si="22"/>
        <v>0</v>
      </c>
      <c r="T193" s="1186">
        <f>$T$191</f>
        <v>340</v>
      </c>
      <c r="U193" s="1188" t="s">
        <v>4</v>
      </c>
    </row>
    <row r="194" spans="1:21" ht="20.100000000000001" hidden="1" customHeight="1">
      <c r="A194" s="1185">
        <v>7</v>
      </c>
      <c r="B194" s="1163" t="s">
        <v>128</v>
      </c>
      <c r="C194" s="1186">
        <f>'3.60 lakhs'!I89</f>
        <v>0</v>
      </c>
      <c r="D194" s="1163"/>
      <c r="E194" s="1163"/>
      <c r="F194" s="1186">
        <f t="shared" si="21"/>
        <v>0</v>
      </c>
      <c r="G194" s="1186" t="s">
        <v>421</v>
      </c>
      <c r="H194" s="1187">
        <v>0</v>
      </c>
      <c r="I194" s="1188">
        <f t="shared" si="23"/>
        <v>0</v>
      </c>
      <c r="J194" s="1187">
        <v>0</v>
      </c>
      <c r="K194" s="1185">
        <v>0</v>
      </c>
      <c r="L194" s="1188">
        <f t="shared" si="24"/>
        <v>0</v>
      </c>
      <c r="M194" s="1185">
        <v>0</v>
      </c>
      <c r="N194" s="1185">
        <v>0</v>
      </c>
      <c r="O194" s="1187">
        <v>0</v>
      </c>
      <c r="P194" s="1187">
        <v>0</v>
      </c>
      <c r="Q194" s="1187">
        <v>0</v>
      </c>
      <c r="R194" s="1187">
        <v>0</v>
      </c>
      <c r="S194" s="1190">
        <f t="shared" si="22"/>
        <v>0</v>
      </c>
      <c r="T194" s="1186">
        <f>$T$191</f>
        <v>340</v>
      </c>
      <c r="U194" s="1188" t="s">
        <v>4</v>
      </c>
    </row>
    <row r="195" spans="1:21" ht="20.100000000000001" hidden="1" customHeight="1">
      <c r="A195" s="1185">
        <v>3</v>
      </c>
      <c r="B195" s="1163" t="s">
        <v>131</v>
      </c>
      <c r="C195" s="1186">
        <f>'3.60 lakhs'!I97</f>
        <v>0</v>
      </c>
      <c r="D195" s="1186">
        <f>'3.60 lakhs'!I468</f>
        <v>0</v>
      </c>
      <c r="E195" s="1186">
        <f>'3.60 lakhs'!I715</f>
        <v>0</v>
      </c>
      <c r="F195" s="1186">
        <f t="shared" si="21"/>
        <v>0</v>
      </c>
      <c r="G195" s="1186" t="s">
        <v>421</v>
      </c>
      <c r="H195" s="1187">
        <v>0</v>
      </c>
      <c r="I195" s="1188">
        <f t="shared" si="23"/>
        <v>0</v>
      </c>
      <c r="J195" s="1187">
        <v>0</v>
      </c>
      <c r="K195" s="1185">
        <v>0</v>
      </c>
      <c r="L195" s="1188">
        <f t="shared" si="24"/>
        <v>0</v>
      </c>
      <c r="M195" s="1185">
        <v>0</v>
      </c>
      <c r="N195" s="1185">
        <v>0</v>
      </c>
      <c r="O195" s="1187">
        <v>0</v>
      </c>
      <c r="P195" s="1187">
        <v>0</v>
      </c>
      <c r="Q195" s="1187">
        <v>0</v>
      </c>
      <c r="R195" s="1187">
        <v>0</v>
      </c>
      <c r="S195" s="1190">
        <f t="shared" si="22"/>
        <v>0</v>
      </c>
      <c r="T195" s="1186">
        <f>$T$191</f>
        <v>340</v>
      </c>
      <c r="U195" s="1188" t="s">
        <v>4</v>
      </c>
    </row>
    <row r="196" spans="1:21" ht="20.100000000000001" hidden="1" customHeight="1">
      <c r="A196" s="1185">
        <v>9</v>
      </c>
      <c r="B196" s="1191" t="s">
        <v>236</v>
      </c>
      <c r="C196" s="1186">
        <f>ROUND('3.60 lakhs'!I103*0.15,2)</f>
        <v>0</v>
      </c>
      <c r="D196" s="1186">
        <f>ROUND('3.60 lakhs'!I473*0.15,2)</f>
        <v>0</v>
      </c>
      <c r="E196" s="1186">
        <f>ROUND('3.60 lakhs'!I721*0.15,2)</f>
        <v>0</v>
      </c>
      <c r="F196" s="1186">
        <f t="shared" si="21"/>
        <v>0</v>
      </c>
      <c r="G196" s="1186" t="s">
        <v>422</v>
      </c>
      <c r="H196" s="1187">
        <v>0</v>
      </c>
      <c r="I196" s="1188">
        <f t="shared" si="23"/>
        <v>0</v>
      </c>
      <c r="J196" s="1187">
        <v>0</v>
      </c>
      <c r="K196" s="1185">
        <v>0</v>
      </c>
      <c r="L196" s="1188">
        <f t="shared" si="24"/>
        <v>0</v>
      </c>
      <c r="M196" s="1185">
        <v>0</v>
      </c>
      <c r="N196" s="1185">
        <v>0</v>
      </c>
      <c r="O196" s="1187">
        <v>0</v>
      </c>
      <c r="P196" s="1187">
        <v>0</v>
      </c>
      <c r="Q196" s="1187">
        <v>0</v>
      </c>
      <c r="R196" s="1187">
        <v>0</v>
      </c>
      <c r="S196" s="1190">
        <f t="shared" si="22"/>
        <v>0</v>
      </c>
      <c r="T196" s="1186">
        <f>ROUND(T195,2)</f>
        <v>340</v>
      </c>
      <c r="U196" s="1188" t="s">
        <v>4</v>
      </c>
    </row>
    <row r="197" spans="1:21" ht="20.100000000000001" hidden="1" customHeight="1">
      <c r="A197" s="1185">
        <v>4</v>
      </c>
      <c r="B197" s="1191" t="s">
        <v>237</v>
      </c>
      <c r="C197" s="1186">
        <f>ROUND('3.60 lakhs'!I109*0.125,2)</f>
        <v>0</v>
      </c>
      <c r="D197" s="1186">
        <f>ROUND('3.60 lakhs'!I479*0.125,2)</f>
        <v>0</v>
      </c>
      <c r="E197" s="1186">
        <f>ROUND('3.60 lakhs'!I726*0.125,2)</f>
        <v>0</v>
      </c>
      <c r="F197" s="1186">
        <f t="shared" si="21"/>
        <v>0</v>
      </c>
      <c r="G197" s="1186" t="s">
        <v>422</v>
      </c>
      <c r="H197" s="1187">
        <v>0</v>
      </c>
      <c r="I197" s="1188">
        <f t="shared" si="23"/>
        <v>0</v>
      </c>
      <c r="J197" s="1187">
        <v>0</v>
      </c>
      <c r="K197" s="1185">
        <v>0</v>
      </c>
      <c r="L197" s="1188">
        <f t="shared" si="24"/>
        <v>0</v>
      </c>
      <c r="M197" s="1185">
        <v>0</v>
      </c>
      <c r="N197" s="1185">
        <v>0</v>
      </c>
      <c r="O197" s="1187">
        <v>0</v>
      </c>
      <c r="P197" s="1187">
        <v>0</v>
      </c>
      <c r="Q197" s="1187">
        <v>0</v>
      </c>
      <c r="R197" s="1187">
        <v>0</v>
      </c>
      <c r="S197" s="1190">
        <f t="shared" si="22"/>
        <v>0</v>
      </c>
      <c r="T197" s="1186">
        <f>ROUND(T195,2)</f>
        <v>340</v>
      </c>
      <c r="U197" s="1188" t="s">
        <v>4</v>
      </c>
    </row>
    <row r="198" spans="1:21" ht="20.100000000000001" hidden="1" customHeight="1">
      <c r="A198" s="1185">
        <v>9</v>
      </c>
      <c r="B198" s="1191" t="s">
        <v>605</v>
      </c>
      <c r="C198" s="1186">
        <f>ROUND('3.60 lakhs'!I115*0.1,2)</f>
        <v>0</v>
      </c>
      <c r="D198" s="1186">
        <f>ROUND('3.60 lakhs'!I484*0.1,2)</f>
        <v>0</v>
      </c>
      <c r="E198" s="1186">
        <f>ROUND('3.60 lakhs'!I731*0.1,2)</f>
        <v>0</v>
      </c>
      <c r="F198" s="1186">
        <f t="shared" si="21"/>
        <v>0</v>
      </c>
      <c r="G198" s="1186" t="s">
        <v>422</v>
      </c>
      <c r="H198" s="1187">
        <v>0</v>
      </c>
      <c r="I198" s="1188">
        <f t="shared" si="23"/>
        <v>0</v>
      </c>
      <c r="J198" s="1187">
        <v>0</v>
      </c>
      <c r="K198" s="1185">
        <v>0</v>
      </c>
      <c r="L198" s="1188">
        <f t="shared" si="24"/>
        <v>0</v>
      </c>
      <c r="M198" s="1185">
        <v>0</v>
      </c>
      <c r="N198" s="1185">
        <v>0</v>
      </c>
      <c r="O198" s="1187">
        <v>0</v>
      </c>
      <c r="P198" s="1187">
        <v>0</v>
      </c>
      <c r="Q198" s="1187">
        <v>0</v>
      </c>
      <c r="R198" s="1187">
        <v>0</v>
      </c>
      <c r="S198" s="1190">
        <f t="shared" si="22"/>
        <v>0</v>
      </c>
      <c r="T198" s="1186">
        <f>T197</f>
        <v>340</v>
      </c>
      <c r="U198" s="1188" t="s">
        <v>4</v>
      </c>
    </row>
    <row r="199" spans="1:21" ht="20.100000000000001" hidden="1" customHeight="1">
      <c r="A199" s="1185">
        <v>9</v>
      </c>
      <c r="B199" s="1191" t="s">
        <v>1231</v>
      </c>
      <c r="C199" s="1186">
        <f>ROUND('3.60 lakhs'!I121*0.05,2)</f>
        <v>0</v>
      </c>
      <c r="D199" s="1186">
        <f>ROUND('3.60 lakhs'!I490*0.05,2)</f>
        <v>0</v>
      </c>
      <c r="E199" s="1186">
        <f>ROUND('3.60 lakhs'!I737*0.05,2)</f>
        <v>0</v>
      </c>
      <c r="F199" s="1186">
        <f t="shared" si="21"/>
        <v>0</v>
      </c>
      <c r="G199" s="1186" t="s">
        <v>422</v>
      </c>
      <c r="H199" s="1187">
        <v>0</v>
      </c>
      <c r="I199" s="1188">
        <f t="shared" si="23"/>
        <v>0</v>
      </c>
      <c r="J199" s="1187">
        <v>0</v>
      </c>
      <c r="K199" s="1185">
        <v>0</v>
      </c>
      <c r="L199" s="1188">
        <f t="shared" si="24"/>
        <v>0</v>
      </c>
      <c r="M199" s="1185">
        <v>0</v>
      </c>
      <c r="N199" s="1185">
        <v>0</v>
      </c>
      <c r="O199" s="1187">
        <v>0</v>
      </c>
      <c r="P199" s="1187">
        <v>0</v>
      </c>
      <c r="Q199" s="1187">
        <v>0</v>
      </c>
      <c r="R199" s="1187">
        <v>0</v>
      </c>
      <c r="S199" s="1190">
        <f t="shared" si="22"/>
        <v>0</v>
      </c>
      <c r="T199" s="1186">
        <f>T198</f>
        <v>340</v>
      </c>
      <c r="U199" s="1188" t="s">
        <v>4</v>
      </c>
    </row>
    <row r="200" spans="1:21" ht="20.100000000000001" hidden="1" customHeight="1">
      <c r="A200" s="1185">
        <v>16</v>
      </c>
      <c r="B200" s="1191" t="s">
        <v>1440</v>
      </c>
      <c r="C200" s="1186">
        <f>ROUND('3.60 lakhs'!I128*0.025,2)</f>
        <v>0</v>
      </c>
      <c r="D200" s="1186">
        <f>ROUND('3.60 lakhs'!I496*0.025,2)</f>
        <v>0</v>
      </c>
      <c r="E200" s="1186">
        <f>ROUND('3.60 lakhs'!I743*0.025,2)</f>
        <v>0</v>
      </c>
      <c r="F200" s="1186">
        <f t="shared" si="21"/>
        <v>0</v>
      </c>
      <c r="G200" s="1186" t="s">
        <v>422</v>
      </c>
      <c r="H200" s="1187">
        <v>0</v>
      </c>
      <c r="I200" s="1188">
        <f t="shared" si="23"/>
        <v>0</v>
      </c>
      <c r="J200" s="1187">
        <v>0</v>
      </c>
      <c r="K200" s="1185">
        <v>0</v>
      </c>
      <c r="L200" s="1188">
        <f t="shared" si="24"/>
        <v>0</v>
      </c>
      <c r="M200" s="1185">
        <v>0</v>
      </c>
      <c r="N200" s="1185">
        <v>0</v>
      </c>
      <c r="O200" s="1187">
        <v>0</v>
      </c>
      <c r="P200" s="1187">
        <v>0</v>
      </c>
      <c r="Q200" s="1187">
        <v>0</v>
      </c>
      <c r="R200" s="1187">
        <v>0</v>
      </c>
      <c r="S200" s="1190">
        <f t="shared" si="22"/>
        <v>0</v>
      </c>
      <c r="T200" s="1186">
        <f>T199</f>
        <v>340</v>
      </c>
      <c r="U200" s="1188" t="s">
        <v>4</v>
      </c>
    </row>
    <row r="201" spans="1:21" ht="20.100000000000001" hidden="1" customHeight="1">
      <c r="A201" s="1185">
        <v>5</v>
      </c>
      <c r="B201" s="1163" t="s">
        <v>129</v>
      </c>
      <c r="C201" s="1186">
        <f>'3.60 lakhs'!I137</f>
        <v>0</v>
      </c>
      <c r="D201" s="1186">
        <f>'3.60 lakhs'!I502</f>
        <v>0</v>
      </c>
      <c r="E201" s="1186">
        <f>'3.60 lakhs'!I750</f>
        <v>0</v>
      </c>
      <c r="F201" s="1186">
        <f t="shared" si="21"/>
        <v>0</v>
      </c>
      <c r="G201" s="1186" t="s">
        <v>421</v>
      </c>
      <c r="H201" s="1187">
        <v>0</v>
      </c>
      <c r="I201" s="1188">
        <f t="shared" si="23"/>
        <v>0</v>
      </c>
      <c r="J201" s="1187">
        <v>0</v>
      </c>
      <c r="K201" s="1185">
        <v>0</v>
      </c>
      <c r="L201" s="1188">
        <f t="shared" si="24"/>
        <v>0</v>
      </c>
      <c r="M201" s="1185">
        <v>0</v>
      </c>
      <c r="N201" s="1185">
        <v>0</v>
      </c>
      <c r="O201" s="1187">
        <v>0</v>
      </c>
      <c r="P201" s="1187">
        <v>0</v>
      </c>
      <c r="Q201" s="1187">
        <v>0</v>
      </c>
      <c r="R201" s="1187">
        <v>0</v>
      </c>
      <c r="S201" s="1190">
        <f t="shared" si="22"/>
        <v>0</v>
      </c>
      <c r="T201" s="1186">
        <f>$T$191</f>
        <v>340</v>
      </c>
      <c r="U201" s="1188" t="s">
        <v>4</v>
      </c>
    </row>
    <row r="202" spans="1:21" ht="20.100000000000001" hidden="1" customHeight="1">
      <c r="A202" s="1185">
        <v>6</v>
      </c>
      <c r="B202" s="1163" t="s">
        <v>130</v>
      </c>
      <c r="C202" s="1186">
        <f>'3.60 lakhs'!I143</f>
        <v>0</v>
      </c>
      <c r="D202" s="1186">
        <f>'3.60 lakhs'!I508</f>
        <v>0</v>
      </c>
      <c r="E202" s="1186">
        <f>'3.60 lakhs'!I755</f>
        <v>0</v>
      </c>
      <c r="F202" s="1186">
        <f t="shared" si="21"/>
        <v>0</v>
      </c>
      <c r="G202" s="1186" t="s">
        <v>82</v>
      </c>
      <c r="H202" s="1187">
        <v>0</v>
      </c>
      <c r="I202" s="1188">
        <f>ROUND(F202*0.0375*0.8,2)</f>
        <v>0</v>
      </c>
      <c r="J202" s="1187">
        <v>0</v>
      </c>
      <c r="K202" s="1185">
        <v>0</v>
      </c>
      <c r="L202" s="1188">
        <f>ROUND(F202*0.0375*0.4,2)</f>
        <v>0</v>
      </c>
      <c r="M202" s="1185">
        <v>0</v>
      </c>
      <c r="N202" s="1185">
        <v>0</v>
      </c>
      <c r="O202" s="1187">
        <v>0</v>
      </c>
      <c r="P202" s="1187">
        <v>0</v>
      </c>
      <c r="Q202" s="1187">
        <v>0</v>
      </c>
      <c r="R202" s="1187">
        <v>0</v>
      </c>
      <c r="S202" s="1190">
        <f t="shared" si="22"/>
        <v>0</v>
      </c>
      <c r="T202" s="1195">
        <f>ROUND(T201*0.0375,2)</f>
        <v>12.75</v>
      </c>
      <c r="U202" s="1188" t="s">
        <v>4</v>
      </c>
    </row>
    <row r="203" spans="1:21" ht="20.100000000000001" hidden="1" customHeight="1">
      <c r="A203" s="1185">
        <v>4</v>
      </c>
      <c r="B203" s="1191" t="s">
        <v>1441</v>
      </c>
      <c r="C203" s="1186">
        <f>'3.60 lakhs'!I149</f>
        <v>0</v>
      </c>
      <c r="D203" s="1186">
        <f>'3.60 lakhs'!I514</f>
        <v>0</v>
      </c>
      <c r="E203" s="1186">
        <f>'3.60 lakhs'!I760</f>
        <v>0</v>
      </c>
      <c r="F203" s="1186">
        <f t="shared" si="21"/>
        <v>0</v>
      </c>
      <c r="G203" s="1186" t="s">
        <v>422</v>
      </c>
      <c r="H203" s="1187">
        <v>0</v>
      </c>
      <c r="I203" s="1187">
        <v>0</v>
      </c>
      <c r="J203" s="1187">
        <v>0</v>
      </c>
      <c r="K203" s="1185">
        <v>0</v>
      </c>
      <c r="L203" s="1187">
        <v>0</v>
      </c>
      <c r="M203" s="1185">
        <v>0</v>
      </c>
      <c r="N203" s="1188">
        <f>ROUND(F203*0.015*1.05,2)</f>
        <v>0</v>
      </c>
      <c r="O203" s="1187">
        <v>0</v>
      </c>
      <c r="P203" s="1187">
        <v>0</v>
      </c>
      <c r="Q203" s="1187">
        <v>0</v>
      </c>
      <c r="R203" s="1187">
        <v>0</v>
      </c>
      <c r="S203" s="1190">
        <f t="shared" si="22"/>
        <v>0</v>
      </c>
      <c r="T203" s="1186">
        <v>7.2</v>
      </c>
      <c r="U203" s="1188" t="s">
        <v>4</v>
      </c>
    </row>
    <row r="204" spans="1:21" ht="20.100000000000001" hidden="1" customHeight="1">
      <c r="A204" s="1185">
        <v>12</v>
      </c>
      <c r="B204" s="1191" t="s">
        <v>1226</v>
      </c>
      <c r="C204" s="1186">
        <f>'3.60 lakhs'!I155</f>
        <v>0</v>
      </c>
      <c r="D204" s="1186">
        <f>'3.60 lakhs'!I520</f>
        <v>0</v>
      </c>
      <c r="E204" s="1186">
        <f>'3.60 lakhs'!I766</f>
        <v>0</v>
      </c>
      <c r="F204" s="1186">
        <f t="shared" si="21"/>
        <v>0</v>
      </c>
      <c r="G204" s="1186" t="s">
        <v>422</v>
      </c>
      <c r="H204" s="1187">
        <v>0</v>
      </c>
      <c r="I204" s="1187">
        <v>0</v>
      </c>
      <c r="J204" s="1187">
        <v>0</v>
      </c>
      <c r="K204" s="1185">
        <v>0</v>
      </c>
      <c r="L204" s="1187">
        <v>0</v>
      </c>
      <c r="M204" s="1185">
        <v>0</v>
      </c>
      <c r="N204" s="1188">
        <f>ROUND(F204*0.021*1.05,2)</f>
        <v>0</v>
      </c>
      <c r="O204" s="1187">
        <v>0</v>
      </c>
      <c r="P204" s="1187">
        <v>0</v>
      </c>
      <c r="Q204" s="1187">
        <v>0</v>
      </c>
      <c r="R204" s="1187">
        <v>0</v>
      </c>
      <c r="S204" s="1190">
        <f t="shared" si="22"/>
        <v>0</v>
      </c>
      <c r="T204" s="1186">
        <v>10.08</v>
      </c>
      <c r="U204" s="1188" t="s">
        <v>4</v>
      </c>
    </row>
    <row r="205" spans="1:21" ht="20.100000000000001" hidden="1" customHeight="1">
      <c r="A205" s="1185">
        <v>13</v>
      </c>
      <c r="B205" s="1163" t="s">
        <v>1194</v>
      </c>
      <c r="C205" s="1186">
        <f>'3.60 lakhs'!I162</f>
        <v>0</v>
      </c>
      <c r="D205" s="1186"/>
      <c r="E205" s="1186"/>
      <c r="F205" s="1186">
        <f t="shared" si="21"/>
        <v>0</v>
      </c>
      <c r="G205" s="1186" t="s">
        <v>421</v>
      </c>
      <c r="H205" s="1187">
        <v>0</v>
      </c>
      <c r="I205" s="1187">
        <v>0</v>
      </c>
      <c r="J205" s="1187">
        <v>0</v>
      </c>
      <c r="K205" s="1188">
        <f>ROUND(F205*1.1,2)</f>
        <v>0</v>
      </c>
      <c r="L205" s="1187">
        <v>0</v>
      </c>
      <c r="M205" s="1188">
        <f>ROUND(F205*0.33,2)</f>
        <v>0</v>
      </c>
      <c r="N205" s="1187">
        <v>0</v>
      </c>
      <c r="O205" s="1187">
        <v>0</v>
      </c>
      <c r="P205" s="1187">
        <v>0</v>
      </c>
      <c r="Q205" s="1188"/>
      <c r="R205" s="1187">
        <v>0</v>
      </c>
      <c r="S205" s="1190">
        <f t="shared" si="22"/>
        <v>0</v>
      </c>
      <c r="T205" s="1186">
        <v>59.4</v>
      </c>
      <c r="U205" s="1188" t="s">
        <v>4</v>
      </c>
    </row>
    <row r="206" spans="1:21" ht="20.100000000000001" hidden="1" customHeight="1">
      <c r="A206" s="1185">
        <v>2</v>
      </c>
      <c r="B206" s="1163" t="s">
        <v>134</v>
      </c>
      <c r="C206" s="1186">
        <f>'3.60 lakhs'!I170</f>
        <v>0</v>
      </c>
      <c r="D206" s="1186">
        <f>'3.60 lakhs'!I526</f>
        <v>0</v>
      </c>
      <c r="E206" s="1186">
        <f>'3.60 lakhs'!I774</f>
        <v>0</v>
      </c>
      <c r="F206" s="1186">
        <f t="shared" si="21"/>
        <v>0</v>
      </c>
      <c r="G206" s="1186" t="s">
        <v>421</v>
      </c>
      <c r="H206" s="1187">
        <v>0</v>
      </c>
      <c r="I206" s="1187">
        <v>0</v>
      </c>
      <c r="J206" s="1187">
        <v>0</v>
      </c>
      <c r="K206" s="1185">
        <v>0</v>
      </c>
      <c r="L206" s="1187">
        <v>0</v>
      </c>
      <c r="M206" s="1188">
        <f>ROUND(F206*0.2,2)</f>
        <v>0</v>
      </c>
      <c r="N206" s="1187">
        <v>0</v>
      </c>
      <c r="O206" s="1187">
        <v>0</v>
      </c>
      <c r="P206" s="1187">
        <v>0</v>
      </c>
      <c r="Q206" s="1188">
        <f>ROUND(F206*512/1000,2)</f>
        <v>0</v>
      </c>
      <c r="R206" s="1187">
        <v>0</v>
      </c>
      <c r="S206" s="1190">
        <f t="shared" si="22"/>
        <v>0</v>
      </c>
      <c r="T206" s="1186">
        <v>36</v>
      </c>
      <c r="U206" s="1188" t="s">
        <v>4</v>
      </c>
    </row>
    <row r="207" spans="1:21" ht="20.100000000000001" hidden="1" customHeight="1">
      <c r="A207" s="1185">
        <v>2</v>
      </c>
      <c r="B207" s="1163" t="s">
        <v>906</v>
      </c>
      <c r="C207" s="1186">
        <f>'3.60 lakhs'!I178</f>
        <v>0</v>
      </c>
      <c r="D207" s="1186">
        <f>'3.60 lakhs'!I532</f>
        <v>0</v>
      </c>
      <c r="E207" s="1186">
        <f>'3.60 lakhs'!I779</f>
        <v>0</v>
      </c>
      <c r="F207" s="1186">
        <f t="shared" si="21"/>
        <v>0</v>
      </c>
      <c r="G207" s="1186" t="s">
        <v>421</v>
      </c>
      <c r="H207" s="1187">
        <v>0</v>
      </c>
      <c r="I207" s="1187">
        <v>0</v>
      </c>
      <c r="J207" s="1187">
        <v>0</v>
      </c>
      <c r="K207" s="1185">
        <v>0</v>
      </c>
      <c r="L207" s="1187">
        <v>0</v>
      </c>
      <c r="M207" s="1188">
        <f>ROUND(F207*0.2,2)</f>
        <v>0</v>
      </c>
      <c r="N207" s="1187">
        <v>0</v>
      </c>
      <c r="O207" s="1187">
        <v>0</v>
      </c>
      <c r="P207" s="1187">
        <v>0</v>
      </c>
      <c r="Q207" s="1188">
        <f>ROUND(F207*512/1000,2)</f>
        <v>0</v>
      </c>
      <c r="R207" s="1187">
        <v>0</v>
      </c>
      <c r="S207" s="1190">
        <f t="shared" si="22"/>
        <v>0</v>
      </c>
      <c r="T207" s="1186">
        <v>48</v>
      </c>
      <c r="U207" s="1188" t="s">
        <v>4</v>
      </c>
    </row>
    <row r="208" spans="1:21" ht="20.100000000000001" hidden="1" customHeight="1">
      <c r="A208" s="1185">
        <v>9</v>
      </c>
      <c r="B208" s="1163" t="s">
        <v>3637</v>
      </c>
      <c r="C208" s="1186">
        <f>'3.60 lakhs'!I185</f>
        <v>0</v>
      </c>
      <c r="D208" s="1186">
        <f>'3.60 lakhs'!I539</f>
        <v>0</v>
      </c>
      <c r="E208" s="1186">
        <f>'3.60 lakhs'!I785</f>
        <v>0</v>
      </c>
      <c r="F208" s="1186">
        <f t="shared" si="21"/>
        <v>0</v>
      </c>
      <c r="G208" s="1186" t="s">
        <v>422</v>
      </c>
      <c r="H208" s="1187">
        <v>0</v>
      </c>
      <c r="I208" s="1188"/>
      <c r="J208" s="1187">
        <v>0</v>
      </c>
      <c r="K208" s="1185">
        <v>0</v>
      </c>
      <c r="L208" s="1187">
        <v>0</v>
      </c>
      <c r="M208" s="1188">
        <f>ROUND(F208*0.022,2)</f>
        <v>0</v>
      </c>
      <c r="N208" s="1187">
        <v>0</v>
      </c>
      <c r="O208" s="1187">
        <v>0</v>
      </c>
      <c r="P208" s="1187">
        <v>0</v>
      </c>
      <c r="Q208" s="1188">
        <f>ROUND(F208*512*0.1/1000,2)</f>
        <v>0</v>
      </c>
      <c r="R208" s="1187">
        <v>0</v>
      </c>
      <c r="S208" s="1190">
        <f t="shared" si="22"/>
        <v>0</v>
      </c>
      <c r="T208" s="1186">
        <v>7.2</v>
      </c>
      <c r="U208" s="1188" t="s">
        <v>4</v>
      </c>
    </row>
    <row r="209" spans="1:21" ht="20.100000000000001" hidden="1" customHeight="1">
      <c r="A209" s="1185">
        <v>16</v>
      </c>
      <c r="B209" s="1163" t="s">
        <v>1214</v>
      </c>
      <c r="C209" s="1186">
        <f>'3.60 lakhs'!I193</f>
        <v>0</v>
      </c>
      <c r="D209" s="1186">
        <f>'3.60 lakhs'!I546</f>
        <v>0</v>
      </c>
      <c r="E209" s="1186">
        <f>'3.60 lakhs'!I792</f>
        <v>0</v>
      </c>
      <c r="F209" s="1186">
        <f t="shared" si="21"/>
        <v>0</v>
      </c>
      <c r="G209" s="1186" t="s">
        <v>421</v>
      </c>
      <c r="H209" s="1187">
        <v>0</v>
      </c>
      <c r="I209" s="1187">
        <v>0</v>
      </c>
      <c r="J209" s="1187">
        <v>0</v>
      </c>
      <c r="K209" s="1185">
        <v>0</v>
      </c>
      <c r="L209" s="1187">
        <v>0</v>
      </c>
      <c r="M209" s="1188">
        <f>ROUND(F209*0.1*1.05,2)</f>
        <v>0</v>
      </c>
      <c r="N209" s="1187">
        <v>0</v>
      </c>
      <c r="O209" s="1187">
        <v>0</v>
      </c>
      <c r="P209" s="1187">
        <v>0</v>
      </c>
      <c r="Q209" s="1188">
        <f>ROUND(F209*110/1000,2)</f>
        <v>0</v>
      </c>
      <c r="R209" s="1187">
        <v>0</v>
      </c>
      <c r="S209" s="1190">
        <f t="shared" si="22"/>
        <v>0</v>
      </c>
      <c r="T209" s="1186">
        <v>24</v>
      </c>
      <c r="U209" s="1188" t="s">
        <v>4</v>
      </c>
    </row>
    <row r="210" spans="1:21" ht="20.100000000000001" hidden="1" customHeight="1">
      <c r="A210" s="1185">
        <v>14</v>
      </c>
      <c r="B210" s="1191" t="s">
        <v>1215</v>
      </c>
      <c r="C210" s="1186">
        <f>'3.60 lakhs'!I200</f>
        <v>0</v>
      </c>
      <c r="D210" s="1186">
        <f>'3.60 lakhs'!I552</f>
        <v>0</v>
      </c>
      <c r="E210" s="1186"/>
      <c r="F210" s="1186">
        <f t="shared" si="21"/>
        <v>0</v>
      </c>
      <c r="G210" s="1186" t="s">
        <v>422</v>
      </c>
      <c r="H210" s="1187">
        <v>0</v>
      </c>
      <c r="I210" s="1187">
        <v>0</v>
      </c>
      <c r="J210" s="1187">
        <v>0</v>
      </c>
      <c r="K210" s="1185">
        <v>0</v>
      </c>
      <c r="L210" s="1187">
        <v>0</v>
      </c>
      <c r="M210" s="1187">
        <v>0</v>
      </c>
      <c r="N210" s="1188">
        <f>ROUND(F210*((0.015*1.05)+(0.025*1.05)),2)</f>
        <v>0</v>
      </c>
      <c r="O210" s="1187">
        <v>0</v>
      </c>
      <c r="P210" s="1187">
        <v>0</v>
      </c>
      <c r="Q210" s="1187">
        <v>0</v>
      </c>
      <c r="R210" s="1187">
        <v>0</v>
      </c>
      <c r="S210" s="1190">
        <f t="shared" si="22"/>
        <v>0</v>
      </c>
      <c r="T210" s="1186">
        <v>20.89</v>
      </c>
      <c r="U210" s="1188" t="s">
        <v>4</v>
      </c>
    </row>
    <row r="211" spans="1:21" ht="20.100000000000001" hidden="1" customHeight="1">
      <c r="A211" s="1185">
        <v>4</v>
      </c>
      <c r="B211" s="1191" t="s">
        <v>137</v>
      </c>
      <c r="C211" s="1186">
        <f>'3.60 lakhs'!I209</f>
        <v>0</v>
      </c>
      <c r="D211" s="1186">
        <f>'3.60 lakhs'!I559</f>
        <v>0</v>
      </c>
      <c r="E211" s="1186">
        <f>'3.60 lakhs'!I799</f>
        <v>0</v>
      </c>
      <c r="F211" s="1186">
        <f t="shared" si="21"/>
        <v>0</v>
      </c>
      <c r="G211" s="1186" t="s">
        <v>422</v>
      </c>
      <c r="H211" s="1187">
        <v>0</v>
      </c>
      <c r="I211" s="1187">
        <v>0</v>
      </c>
      <c r="J211" s="1187">
        <v>0</v>
      </c>
      <c r="K211" s="1185">
        <v>0</v>
      </c>
      <c r="L211" s="1187">
        <v>0</v>
      </c>
      <c r="M211" s="1187">
        <v>0</v>
      </c>
      <c r="N211" s="1188">
        <f>ROUND(F211*0.015*1.05,2)</f>
        <v>0</v>
      </c>
      <c r="O211" s="1187">
        <v>0</v>
      </c>
      <c r="P211" s="1187">
        <v>0</v>
      </c>
      <c r="Q211" s="1187">
        <v>0</v>
      </c>
      <c r="R211" s="1187">
        <v>0</v>
      </c>
      <c r="S211" s="1190">
        <f t="shared" si="22"/>
        <v>0</v>
      </c>
      <c r="T211" s="1186">
        <v>7.2</v>
      </c>
      <c r="U211" s="1188" t="s">
        <v>4</v>
      </c>
    </row>
    <row r="212" spans="1:21" ht="20.100000000000001" hidden="1" customHeight="1">
      <c r="A212" s="1185">
        <v>3</v>
      </c>
      <c r="B212" s="1191" t="s">
        <v>238</v>
      </c>
      <c r="C212" s="1186">
        <f>'3.60 lakhs'!I219</f>
        <v>0</v>
      </c>
      <c r="D212" s="1186">
        <f>'3.60 lakhs'!I567</f>
        <v>0</v>
      </c>
      <c r="E212" s="1186">
        <f>'3.60 lakhs'!I807</f>
        <v>0</v>
      </c>
      <c r="F212" s="1186">
        <f t="shared" si="21"/>
        <v>0</v>
      </c>
      <c r="G212" s="1186" t="s">
        <v>422</v>
      </c>
      <c r="H212" s="1187">
        <v>0</v>
      </c>
      <c r="I212" s="1187">
        <v>0</v>
      </c>
      <c r="J212" s="1187">
        <v>0</v>
      </c>
      <c r="K212" s="1185">
        <v>0</v>
      </c>
      <c r="L212" s="1187">
        <v>0</v>
      </c>
      <c r="M212" s="1187">
        <v>0</v>
      </c>
      <c r="N212" s="1188">
        <f>ROUND(F212*0.015*1.05,2)</f>
        <v>0</v>
      </c>
      <c r="O212" s="1187">
        <v>0</v>
      </c>
      <c r="P212" s="1187">
        <v>0</v>
      </c>
      <c r="Q212" s="1187">
        <v>0</v>
      </c>
      <c r="R212" s="1187">
        <v>0</v>
      </c>
      <c r="S212" s="1190">
        <f t="shared" si="22"/>
        <v>0</v>
      </c>
      <c r="T212" s="1186">
        <v>4.32</v>
      </c>
      <c r="U212" s="1188" t="s">
        <v>4</v>
      </c>
    </row>
    <row r="213" spans="1:21" ht="20.100000000000001" hidden="1" customHeight="1">
      <c r="A213" s="1185">
        <v>3</v>
      </c>
      <c r="B213" s="1191" t="s">
        <v>604</v>
      </c>
      <c r="C213" s="1186">
        <f>'3.60 lakhs'!I226</f>
        <v>0</v>
      </c>
      <c r="D213" s="1186">
        <f>'3.60 lakhs'!I575</f>
        <v>0</v>
      </c>
      <c r="E213" s="1186">
        <f>'3.60 lakhs'!I815</f>
        <v>0</v>
      </c>
      <c r="F213" s="1186">
        <f t="shared" si="21"/>
        <v>0</v>
      </c>
      <c r="G213" s="1186" t="s">
        <v>422</v>
      </c>
      <c r="H213" s="1187">
        <v>0</v>
      </c>
      <c r="I213" s="1187">
        <v>0</v>
      </c>
      <c r="J213" s="1187">
        <v>0</v>
      </c>
      <c r="K213" s="1185">
        <v>0</v>
      </c>
      <c r="L213" s="1187">
        <v>0</v>
      </c>
      <c r="M213" s="1187">
        <v>0</v>
      </c>
      <c r="N213" s="1188">
        <f>ROUND(F213*0.021*1.05,2)</f>
        <v>0</v>
      </c>
      <c r="O213" s="1187">
        <v>0</v>
      </c>
      <c r="P213" s="1187">
        <v>0</v>
      </c>
      <c r="Q213" s="1187">
        <v>0</v>
      </c>
      <c r="R213" s="1187">
        <v>0</v>
      </c>
      <c r="S213" s="1190">
        <f t="shared" si="22"/>
        <v>0</v>
      </c>
      <c r="T213" s="1186">
        <v>6.05</v>
      </c>
      <c r="U213" s="1188" t="s">
        <v>4</v>
      </c>
    </row>
    <row r="214" spans="1:21" ht="20.100000000000001" hidden="1" customHeight="1">
      <c r="A214" s="1185">
        <v>5</v>
      </c>
      <c r="B214" s="1191" t="s">
        <v>904</v>
      </c>
      <c r="C214" s="1186">
        <f>'3.60 lakhs'!I233</f>
        <v>0</v>
      </c>
      <c r="D214" s="1186">
        <f>'3.60 lakhs'!I582</f>
        <v>0</v>
      </c>
      <c r="E214" s="1186">
        <f>'3.60 lakhs'!I822</f>
        <v>0</v>
      </c>
      <c r="F214" s="1186">
        <f t="shared" si="21"/>
        <v>0</v>
      </c>
      <c r="G214" s="1186" t="s">
        <v>422</v>
      </c>
      <c r="H214" s="1187">
        <v>0</v>
      </c>
      <c r="I214" s="1187">
        <v>0</v>
      </c>
      <c r="J214" s="1187">
        <v>0</v>
      </c>
      <c r="K214" s="1185">
        <v>0</v>
      </c>
      <c r="L214" s="1187">
        <v>0</v>
      </c>
      <c r="M214" s="1187">
        <v>0</v>
      </c>
      <c r="N214" s="1188">
        <f>ROUND(F214*0.015*1,2)</f>
        <v>0</v>
      </c>
      <c r="O214" s="1187">
        <v>0</v>
      </c>
      <c r="P214" s="1187">
        <v>0</v>
      </c>
      <c r="Q214" s="1187">
        <v>0</v>
      </c>
      <c r="R214" s="1187">
        <v>0</v>
      </c>
      <c r="S214" s="1190">
        <f t="shared" si="22"/>
        <v>0</v>
      </c>
      <c r="T214" s="1186">
        <v>5.09</v>
      </c>
      <c r="U214" s="1188" t="s">
        <v>4</v>
      </c>
    </row>
    <row r="215" spans="1:21" ht="20.100000000000001" hidden="1" customHeight="1">
      <c r="A215" s="1185">
        <v>6</v>
      </c>
      <c r="B215" s="1191" t="s">
        <v>603</v>
      </c>
      <c r="C215" s="1186">
        <f>'3.60 lakhs'!I249</f>
        <v>0</v>
      </c>
      <c r="D215" s="1186">
        <f>'3.60 lakhs'!I589</f>
        <v>0</v>
      </c>
      <c r="E215" s="1186">
        <f>'3.60 lakhs'!I829</f>
        <v>0</v>
      </c>
      <c r="F215" s="1186">
        <f t="shared" si="21"/>
        <v>0</v>
      </c>
      <c r="G215" s="1186" t="s">
        <v>422</v>
      </c>
      <c r="H215" s="1187">
        <v>0</v>
      </c>
      <c r="I215" s="1187">
        <v>0</v>
      </c>
      <c r="J215" s="1187">
        <v>0</v>
      </c>
      <c r="K215" s="1185">
        <v>0</v>
      </c>
      <c r="L215" s="1187">
        <v>0</v>
      </c>
      <c r="M215" s="1187">
        <v>0</v>
      </c>
      <c r="N215" s="1188">
        <f>ROUND(F215*0.022*1,2)</f>
        <v>0</v>
      </c>
      <c r="O215" s="1187">
        <v>0</v>
      </c>
      <c r="P215" s="1187">
        <v>0</v>
      </c>
      <c r="Q215" s="1187">
        <v>0</v>
      </c>
      <c r="R215" s="1187">
        <v>0</v>
      </c>
      <c r="S215" s="1190">
        <f t="shared" si="22"/>
        <v>0</v>
      </c>
      <c r="T215" s="1186">
        <v>5.75</v>
      </c>
      <c r="U215" s="1188" t="s">
        <v>4</v>
      </c>
    </row>
    <row r="216" spans="1:21" ht="20.100000000000001" hidden="1" customHeight="1">
      <c r="A216" s="1185">
        <v>19</v>
      </c>
      <c r="B216" s="1163" t="s">
        <v>447</v>
      </c>
      <c r="C216" s="1186">
        <f>'3.60 lakhs'!I256</f>
        <v>0</v>
      </c>
      <c r="D216" s="1186">
        <f>'3.60 lakhs'!I596</f>
        <v>0</v>
      </c>
      <c r="E216" s="1186">
        <f>'3.60 lakhs'!I834</f>
        <v>0</v>
      </c>
      <c r="F216" s="1186">
        <f t="shared" si="21"/>
        <v>0</v>
      </c>
      <c r="G216" s="1186" t="s">
        <v>421</v>
      </c>
      <c r="H216" s="1187">
        <v>0</v>
      </c>
      <c r="I216" s="1188">
        <f>ROUND(F216*0.8,2)</f>
        <v>0</v>
      </c>
      <c r="J216" s="1187">
        <v>0</v>
      </c>
      <c r="K216" s="1185">
        <v>0</v>
      </c>
      <c r="L216" s="1188">
        <f>ROUND(F216*0.4,2)</f>
        <v>0</v>
      </c>
      <c r="M216" s="1185">
        <v>0</v>
      </c>
      <c r="N216" s="1185">
        <v>0</v>
      </c>
      <c r="O216" s="1187">
        <v>0</v>
      </c>
      <c r="P216" s="1187">
        <v>0</v>
      </c>
      <c r="Q216" s="1187">
        <v>0</v>
      </c>
      <c r="R216" s="1187">
        <v>0</v>
      </c>
      <c r="S216" s="1190">
        <f t="shared" si="22"/>
        <v>0</v>
      </c>
      <c r="T216" s="1186">
        <f>$T$191</f>
        <v>340</v>
      </c>
      <c r="U216" s="1188" t="s">
        <v>4</v>
      </c>
    </row>
    <row r="217" spans="1:21" ht="20.100000000000001" hidden="1" customHeight="1">
      <c r="A217" s="1185">
        <v>4</v>
      </c>
      <c r="B217" s="1191" t="s">
        <v>241</v>
      </c>
      <c r="C217" s="1186">
        <f>'3.60 lakhs'!I268</f>
        <v>0</v>
      </c>
      <c r="D217" s="1186">
        <f>'3.60 lakhs'!I603</f>
        <v>0</v>
      </c>
      <c r="E217" s="1186">
        <f>'3.60 lakhs'!I840</f>
        <v>0</v>
      </c>
      <c r="F217" s="1186">
        <f t="shared" si="21"/>
        <v>0</v>
      </c>
      <c r="G217" s="1186" t="s">
        <v>422</v>
      </c>
      <c r="H217" s="1187">
        <v>0</v>
      </c>
      <c r="I217" s="1187">
        <v>0</v>
      </c>
      <c r="J217" s="1187">
        <v>0</v>
      </c>
      <c r="K217" s="1185">
        <v>0</v>
      </c>
      <c r="L217" s="1187">
        <v>0</v>
      </c>
      <c r="M217" s="1188">
        <f>ROUND(F217*0.014,2)</f>
        <v>0</v>
      </c>
      <c r="N217" s="1187">
        <v>0</v>
      </c>
      <c r="O217" s="1187">
        <v>0</v>
      </c>
      <c r="P217" s="1187">
        <v>0</v>
      </c>
      <c r="Q217" s="1187">
        <v>0</v>
      </c>
      <c r="R217" s="1187">
        <v>0</v>
      </c>
      <c r="S217" s="1190">
        <f t="shared" si="22"/>
        <v>0</v>
      </c>
      <c r="T217" s="1186">
        <v>6.06</v>
      </c>
      <c r="U217" s="1188" t="s">
        <v>4</v>
      </c>
    </row>
    <row r="218" spans="1:21" ht="20.100000000000001" hidden="1" customHeight="1">
      <c r="A218" s="1185">
        <v>5</v>
      </c>
      <c r="B218" s="1191" t="s">
        <v>242</v>
      </c>
      <c r="C218" s="1186">
        <f>'3.60 lakhs'!I291</f>
        <v>0</v>
      </c>
      <c r="D218" s="1186">
        <f>'3.60 lakhs'!I610</f>
        <v>0</v>
      </c>
      <c r="E218" s="1186">
        <f>'3.60 lakhs'!I847</f>
        <v>0</v>
      </c>
      <c r="F218" s="1186">
        <f t="shared" si="21"/>
        <v>0</v>
      </c>
      <c r="G218" s="1186" t="s">
        <v>422</v>
      </c>
      <c r="H218" s="1187">
        <v>0</v>
      </c>
      <c r="I218" s="1187">
        <v>0</v>
      </c>
      <c r="J218" s="1187">
        <v>0</v>
      </c>
      <c r="K218" s="1185">
        <v>0</v>
      </c>
      <c r="L218" s="1187">
        <v>0</v>
      </c>
      <c r="M218" s="1188">
        <f>ROUND(F218*0.012,2)</f>
        <v>0</v>
      </c>
      <c r="N218" s="1187">
        <v>0</v>
      </c>
      <c r="O218" s="1187">
        <v>0</v>
      </c>
      <c r="P218" s="1187">
        <v>0</v>
      </c>
      <c r="Q218" s="1187">
        <v>0</v>
      </c>
      <c r="R218" s="1187">
        <v>0</v>
      </c>
      <c r="S218" s="1190">
        <f t="shared" si="22"/>
        <v>0</v>
      </c>
      <c r="T218" s="1195">
        <v>6.7560000000000002</v>
      </c>
      <c r="U218" s="1188" t="s">
        <v>4</v>
      </c>
    </row>
    <row r="219" spans="1:21" ht="20.100000000000001" hidden="1" customHeight="1">
      <c r="A219" s="1185">
        <v>9</v>
      </c>
      <c r="B219" s="1191" t="s">
        <v>681</v>
      </c>
      <c r="C219" s="1186">
        <f>'3.60 lakhs'!I298</f>
        <v>0</v>
      </c>
      <c r="D219" s="1186">
        <f>'3.60 lakhs'!I617</f>
        <v>0</v>
      </c>
      <c r="E219" s="1186">
        <f>'3.60 lakhs'!I854</f>
        <v>0</v>
      </c>
      <c r="F219" s="1186">
        <f t="shared" si="21"/>
        <v>0</v>
      </c>
      <c r="G219" s="1186" t="s">
        <v>422</v>
      </c>
      <c r="H219" s="1187">
        <v>0</v>
      </c>
      <c r="I219" s="1187">
        <v>0</v>
      </c>
      <c r="J219" s="1187">
        <v>0</v>
      </c>
      <c r="K219" s="1185">
        <v>0</v>
      </c>
      <c r="L219" s="1187">
        <v>0</v>
      </c>
      <c r="M219" s="1188">
        <f>ROUND(F219*0.014,2)</f>
        <v>0</v>
      </c>
      <c r="N219" s="1187">
        <v>0</v>
      </c>
      <c r="O219" s="1187">
        <v>0</v>
      </c>
      <c r="P219" s="1187">
        <v>0</v>
      </c>
      <c r="Q219" s="1187">
        <v>0</v>
      </c>
      <c r="R219" s="1187">
        <v>0</v>
      </c>
      <c r="S219" s="1190">
        <f t="shared" si="22"/>
        <v>0</v>
      </c>
      <c r="T219" s="1186">
        <v>7.5</v>
      </c>
      <c r="U219" s="1188" t="s">
        <v>4</v>
      </c>
    </row>
    <row r="220" spans="1:21" ht="20.100000000000001" hidden="1" customHeight="1">
      <c r="A220" s="1185">
        <v>10</v>
      </c>
      <c r="B220" s="1191" t="s">
        <v>682</v>
      </c>
      <c r="C220" s="1186">
        <f>'3.60 lakhs'!I306</f>
        <v>0</v>
      </c>
      <c r="D220" s="1186">
        <f>'3.60 lakhs'!I624</f>
        <v>0</v>
      </c>
      <c r="E220" s="1186">
        <f>'3.60 lakhs'!I861</f>
        <v>0</v>
      </c>
      <c r="F220" s="1186">
        <f t="shared" si="21"/>
        <v>0</v>
      </c>
      <c r="G220" s="1186" t="s">
        <v>422</v>
      </c>
      <c r="H220" s="1187">
        <v>0</v>
      </c>
      <c r="I220" s="1187">
        <v>0</v>
      </c>
      <c r="J220" s="1187">
        <v>0</v>
      </c>
      <c r="K220" s="1185">
        <v>0</v>
      </c>
      <c r="L220" s="1187">
        <v>0</v>
      </c>
      <c r="M220" s="1188">
        <f>ROUND(F220*0.012,2)</f>
        <v>0</v>
      </c>
      <c r="N220" s="1187">
        <v>0</v>
      </c>
      <c r="O220" s="1187">
        <v>0</v>
      </c>
      <c r="P220" s="1187">
        <v>0</v>
      </c>
      <c r="Q220" s="1187">
        <v>0</v>
      </c>
      <c r="R220" s="1187">
        <v>0</v>
      </c>
      <c r="S220" s="1190">
        <f t="shared" si="22"/>
        <v>0</v>
      </c>
      <c r="T220" s="1195">
        <v>9.06</v>
      </c>
      <c r="U220" s="1188" t="s">
        <v>4</v>
      </c>
    </row>
    <row r="221" spans="1:21" ht="20.100000000000001" hidden="1" customHeight="1">
      <c r="A221" s="1185">
        <v>37</v>
      </c>
      <c r="B221" s="1191" t="s">
        <v>683</v>
      </c>
      <c r="C221" s="1186">
        <f>'3.60 lakhs'!I313</f>
        <v>0</v>
      </c>
      <c r="D221" s="1186">
        <f>'3.60 lakhs'!I632</f>
        <v>0</v>
      </c>
      <c r="E221" s="1186">
        <f>'3.60 lakhs'!I868</f>
        <v>0</v>
      </c>
      <c r="F221" s="1186">
        <f t="shared" si="21"/>
        <v>0</v>
      </c>
      <c r="G221" s="1186" t="s">
        <v>422</v>
      </c>
      <c r="H221" s="1187">
        <v>0</v>
      </c>
      <c r="I221" s="1187">
        <v>0</v>
      </c>
      <c r="J221" s="1187">
        <v>0</v>
      </c>
      <c r="K221" s="1185">
        <v>0</v>
      </c>
      <c r="L221" s="1187">
        <v>0</v>
      </c>
      <c r="M221" s="1188">
        <f>ROUND(F221*0.014,2)</f>
        <v>0</v>
      </c>
      <c r="N221" s="1187">
        <v>0</v>
      </c>
      <c r="O221" s="1187">
        <v>0</v>
      </c>
      <c r="P221" s="1187">
        <v>0</v>
      </c>
      <c r="Q221" s="1187">
        <v>0</v>
      </c>
      <c r="R221" s="1187">
        <v>0</v>
      </c>
      <c r="S221" s="1190">
        <f t="shared" si="22"/>
        <v>0</v>
      </c>
      <c r="T221" s="1186">
        <v>7.5</v>
      </c>
      <c r="U221" s="1188" t="s">
        <v>4</v>
      </c>
    </row>
    <row r="222" spans="1:21" ht="20.100000000000001" hidden="1" customHeight="1">
      <c r="A222" s="1185">
        <v>38</v>
      </c>
      <c r="B222" s="1191" t="s">
        <v>684</v>
      </c>
      <c r="C222" s="1186">
        <f>'3.60 lakhs'!I320</f>
        <v>0</v>
      </c>
      <c r="D222" s="1186">
        <f>'3.60 lakhs'!I639</f>
        <v>0</v>
      </c>
      <c r="E222" s="1186">
        <f>'3.60 lakhs'!I875</f>
        <v>0</v>
      </c>
      <c r="F222" s="1186">
        <f t="shared" si="21"/>
        <v>0</v>
      </c>
      <c r="G222" s="1186" t="s">
        <v>422</v>
      </c>
      <c r="H222" s="1187">
        <v>0</v>
      </c>
      <c r="I222" s="1187">
        <v>0</v>
      </c>
      <c r="J222" s="1187">
        <v>0</v>
      </c>
      <c r="K222" s="1185">
        <v>0</v>
      </c>
      <c r="L222" s="1187">
        <v>0</v>
      </c>
      <c r="M222" s="1188">
        <f>ROUND(F222*0.012,2)</f>
        <v>0</v>
      </c>
      <c r="N222" s="1187">
        <v>0</v>
      </c>
      <c r="O222" s="1187">
        <v>0</v>
      </c>
      <c r="P222" s="1187">
        <v>0</v>
      </c>
      <c r="Q222" s="1187">
        <v>0</v>
      </c>
      <c r="R222" s="1187">
        <v>0</v>
      </c>
      <c r="S222" s="1190">
        <f t="shared" si="22"/>
        <v>0</v>
      </c>
      <c r="T222" s="1195">
        <v>6.7560000000000002</v>
      </c>
      <c r="U222" s="1188" t="s">
        <v>4</v>
      </c>
    </row>
    <row r="223" spans="1:21" ht="20.100000000000001" hidden="1" customHeight="1">
      <c r="A223" s="1185">
        <v>6</v>
      </c>
      <c r="B223" s="1191" t="s">
        <v>239</v>
      </c>
      <c r="C223" s="1186">
        <f>'3.60 lakhs'!I333</f>
        <v>0</v>
      </c>
      <c r="D223" s="1186">
        <f>'3.60 lakhs'!I646</f>
        <v>0</v>
      </c>
      <c r="E223" s="1186">
        <f>'3.60 lakhs'!I882</f>
        <v>0</v>
      </c>
      <c r="F223" s="1186">
        <f t="shared" si="21"/>
        <v>0</v>
      </c>
      <c r="G223" s="1186" t="s">
        <v>422</v>
      </c>
      <c r="H223" s="1187">
        <v>0</v>
      </c>
      <c r="I223" s="1187">
        <v>0</v>
      </c>
      <c r="J223" s="1187">
        <v>0</v>
      </c>
      <c r="K223" s="1185">
        <v>0</v>
      </c>
      <c r="L223" s="1187">
        <v>0</v>
      </c>
      <c r="M223" s="1188">
        <f>ROUND(F223*0.012,2)</f>
        <v>0</v>
      </c>
      <c r="N223" s="1187">
        <v>0</v>
      </c>
      <c r="O223" s="1187">
        <v>0</v>
      </c>
      <c r="P223" s="1187">
        <v>0</v>
      </c>
      <c r="Q223" s="1187">
        <v>0</v>
      </c>
      <c r="R223" s="1187">
        <v>0</v>
      </c>
      <c r="S223" s="1190">
        <f t="shared" si="22"/>
        <v>0</v>
      </c>
      <c r="T223" s="1186">
        <v>5.46</v>
      </c>
      <c r="U223" s="1188" t="s">
        <v>4</v>
      </c>
    </row>
    <row r="224" spans="1:21" ht="20.100000000000001" hidden="1" customHeight="1">
      <c r="A224" s="1185">
        <v>7</v>
      </c>
      <c r="B224" s="1191" t="s">
        <v>240</v>
      </c>
      <c r="C224" s="1186">
        <f>'3.60 lakhs'!I341</f>
        <v>0</v>
      </c>
      <c r="D224" s="1186">
        <f>'3.60 lakhs'!I653</f>
        <v>0</v>
      </c>
      <c r="E224" s="1186">
        <f>'3.60 lakhs'!I888</f>
        <v>0</v>
      </c>
      <c r="F224" s="1186">
        <f t="shared" si="21"/>
        <v>0</v>
      </c>
      <c r="G224" s="1186" t="s">
        <v>422</v>
      </c>
      <c r="H224" s="1187">
        <v>0</v>
      </c>
      <c r="I224" s="1187">
        <v>0</v>
      </c>
      <c r="J224" s="1187">
        <v>0</v>
      </c>
      <c r="K224" s="1185">
        <v>0</v>
      </c>
      <c r="L224" s="1187">
        <v>0</v>
      </c>
      <c r="M224" s="1188">
        <f>ROUND(F224*0.012,2)</f>
        <v>0</v>
      </c>
      <c r="N224" s="1187">
        <v>0</v>
      </c>
      <c r="O224" s="1187">
        <v>0</v>
      </c>
      <c r="P224" s="1187">
        <v>0</v>
      </c>
      <c r="Q224" s="1187">
        <v>0</v>
      </c>
      <c r="R224" s="1187">
        <v>0</v>
      </c>
      <c r="S224" s="1190">
        <f t="shared" si="22"/>
        <v>0</v>
      </c>
      <c r="T224" s="1186">
        <v>9.06</v>
      </c>
      <c r="U224" s="1188" t="s">
        <v>4</v>
      </c>
    </row>
    <row r="225" spans="1:21" ht="20.100000000000001" hidden="1" customHeight="1">
      <c r="A225" s="1185">
        <v>22</v>
      </c>
      <c r="B225" s="1191" t="s">
        <v>1216</v>
      </c>
      <c r="C225" s="1186">
        <f>'3.60 lakhs'!I348</f>
        <v>0</v>
      </c>
      <c r="D225" s="1186">
        <f>'3.60 lakhs'!I661</f>
        <v>0</v>
      </c>
      <c r="E225" s="1186">
        <f>'3.60 lakhs'!I894</f>
        <v>0</v>
      </c>
      <c r="F225" s="1186">
        <f t="shared" si="21"/>
        <v>0</v>
      </c>
      <c r="G225" s="1186" t="s">
        <v>422</v>
      </c>
      <c r="H225" s="1187">
        <v>0</v>
      </c>
      <c r="I225" s="1187">
        <v>0</v>
      </c>
      <c r="J225" s="1187">
        <v>0</v>
      </c>
      <c r="K225" s="1185">
        <v>0</v>
      </c>
      <c r="L225" s="1187">
        <v>0</v>
      </c>
      <c r="M225" s="1188">
        <f>ROUND(F225*0.008*1,2)</f>
        <v>0</v>
      </c>
      <c r="N225" s="1187">
        <v>0</v>
      </c>
      <c r="O225" s="1187">
        <v>0</v>
      </c>
      <c r="P225" s="1187">
        <v>0</v>
      </c>
      <c r="Q225" s="1187">
        <v>0</v>
      </c>
      <c r="R225" s="1187">
        <v>0</v>
      </c>
      <c r="S225" s="1190">
        <f t="shared" si="22"/>
        <v>0</v>
      </c>
      <c r="T225" s="1186">
        <v>2.76</v>
      </c>
      <c r="U225" s="1188" t="s">
        <v>4</v>
      </c>
    </row>
    <row r="226" spans="1:21" ht="20.100000000000001" hidden="1" customHeight="1">
      <c r="A226" s="1185">
        <v>5</v>
      </c>
      <c r="B226" s="1163" t="s">
        <v>2279</v>
      </c>
      <c r="C226" s="1186">
        <f>'3.60 lakhs'!I362</f>
        <v>0</v>
      </c>
      <c r="D226" s="1186"/>
      <c r="E226" s="1186"/>
      <c r="F226" s="1186">
        <f t="shared" si="21"/>
        <v>0</v>
      </c>
      <c r="G226" s="1186" t="s">
        <v>421</v>
      </c>
      <c r="H226" s="1187">
        <v>0</v>
      </c>
      <c r="I226" s="1188">
        <f>ROUND(F226*0.017,2)</f>
        <v>0</v>
      </c>
      <c r="J226" s="1187">
        <v>0</v>
      </c>
      <c r="K226" s="1185">
        <v>0</v>
      </c>
      <c r="L226" s="1188">
        <f>ROUND(F226*0.009,2)</f>
        <v>0</v>
      </c>
      <c r="M226" s="1185">
        <v>0</v>
      </c>
      <c r="N226" s="1185">
        <v>0</v>
      </c>
      <c r="O226" s="1187">
        <v>0</v>
      </c>
      <c r="P226" s="1187">
        <v>0</v>
      </c>
      <c r="Q226" s="1187">
        <v>0</v>
      </c>
      <c r="R226" s="1187">
        <v>0</v>
      </c>
      <c r="S226" s="1190">
        <f t="shared" si="22"/>
        <v>0</v>
      </c>
      <c r="T226" s="1186">
        <v>12</v>
      </c>
      <c r="U226" s="1188" t="s">
        <v>4</v>
      </c>
    </row>
    <row r="227" spans="1:21" ht="18" hidden="1" customHeight="1">
      <c r="A227" s="1185"/>
      <c r="B227" s="1191"/>
      <c r="C227" s="1191"/>
      <c r="D227" s="1191"/>
      <c r="E227" s="1191"/>
      <c r="F227" s="1186"/>
      <c r="G227" s="1186"/>
      <c r="H227" s="1188"/>
      <c r="I227" s="1188"/>
      <c r="J227" s="1188"/>
      <c r="K227" s="1188"/>
      <c r="L227" s="1188"/>
      <c r="M227" s="1188"/>
      <c r="N227" s="1187"/>
      <c r="O227" s="1188"/>
      <c r="P227" s="1188"/>
      <c r="Q227" s="1187"/>
      <c r="R227" s="1188"/>
      <c r="S227" s="1188"/>
      <c r="T227" s="1186"/>
      <c r="U227" s="1188"/>
    </row>
    <row r="228" spans="1:21" hidden="1">
      <c r="A228" s="1163"/>
      <c r="B228" s="1192" t="s">
        <v>103</v>
      </c>
      <c r="C228" s="1163"/>
      <c r="D228" s="1163"/>
      <c r="E228" s="1163"/>
      <c r="F228" s="1181">
        <v>1</v>
      </c>
      <c r="G228" s="1163"/>
      <c r="H228" s="1193">
        <f t="shared" ref="H228:S228" si="25">SUM(H185:H227)</f>
        <v>0</v>
      </c>
      <c r="I228" s="1193">
        <f t="shared" si="25"/>
        <v>0</v>
      </c>
      <c r="J228" s="1193">
        <f t="shared" si="25"/>
        <v>0</v>
      </c>
      <c r="K228" s="1193">
        <f t="shared" si="25"/>
        <v>0</v>
      </c>
      <c r="L228" s="1193">
        <f t="shared" si="25"/>
        <v>0</v>
      </c>
      <c r="M228" s="1193">
        <f t="shared" si="25"/>
        <v>0</v>
      </c>
      <c r="N228" s="1193">
        <f t="shared" si="25"/>
        <v>0</v>
      </c>
      <c r="O228" s="1193">
        <f t="shared" si="25"/>
        <v>0</v>
      </c>
      <c r="P228" s="1193">
        <f t="shared" si="25"/>
        <v>0</v>
      </c>
      <c r="Q228" s="1193">
        <f t="shared" si="25"/>
        <v>0</v>
      </c>
      <c r="R228" s="1193">
        <f t="shared" si="25"/>
        <v>0</v>
      </c>
      <c r="S228" s="1193">
        <f t="shared" si="25"/>
        <v>0</v>
      </c>
      <c r="T228" s="1194" t="s">
        <v>142</v>
      </c>
      <c r="U228" s="1163"/>
    </row>
    <row r="229" spans="1:21">
      <c r="A229" s="1163"/>
      <c r="B229" s="1192" t="s">
        <v>2323</v>
      </c>
      <c r="C229" s="1163"/>
      <c r="D229" s="1163"/>
      <c r="E229" s="1163"/>
      <c r="F229" s="1181">
        <v>1</v>
      </c>
      <c r="G229" s="1163"/>
      <c r="H229" s="1193">
        <f t="shared" ref="H229:S229" si="26">H48+H93+H138+H183+H228</f>
        <v>19.829999999999998</v>
      </c>
      <c r="I229" s="1193">
        <f t="shared" si="26"/>
        <v>39.090000000000003</v>
      </c>
      <c r="J229" s="1193">
        <f t="shared" si="26"/>
        <v>0</v>
      </c>
      <c r="K229" s="1193">
        <f t="shared" si="26"/>
        <v>0</v>
      </c>
      <c r="L229" s="1193">
        <f t="shared" si="26"/>
        <v>29.45</v>
      </c>
      <c r="M229" s="1193">
        <f t="shared" si="26"/>
        <v>10.9</v>
      </c>
      <c r="N229" s="1193">
        <f t="shared" si="26"/>
        <v>10.84</v>
      </c>
      <c r="O229" s="1193">
        <f t="shared" si="26"/>
        <v>99.320000000000007</v>
      </c>
      <c r="P229" s="1193">
        <f t="shared" si="26"/>
        <v>13.280000000000001</v>
      </c>
      <c r="Q229" s="1193">
        <f t="shared" si="26"/>
        <v>23</v>
      </c>
      <c r="R229" s="1193">
        <f t="shared" si="26"/>
        <v>0</v>
      </c>
      <c r="S229" s="1193">
        <f t="shared" si="26"/>
        <v>544.25</v>
      </c>
      <c r="T229" s="1194"/>
      <c r="U229" s="1163"/>
    </row>
    <row r="230" spans="1:21" ht="27.75">
      <c r="A230" s="1163"/>
      <c r="B230" s="1163"/>
      <c r="C230" s="1163"/>
      <c r="D230" s="1163"/>
      <c r="E230" s="1163"/>
      <c r="F230" s="1192" t="s">
        <v>423</v>
      </c>
      <c r="G230" s="1163"/>
      <c r="H230" s="1196">
        <v>90</v>
      </c>
      <c r="I230" s="1196">
        <v>90</v>
      </c>
      <c r="J230" s="1196">
        <v>90</v>
      </c>
      <c r="K230" s="1196">
        <v>90</v>
      </c>
      <c r="L230" s="1196">
        <v>100</v>
      </c>
      <c r="M230" s="1196">
        <v>100</v>
      </c>
      <c r="N230" s="1196">
        <v>100</v>
      </c>
      <c r="O230" s="1196">
        <v>100</v>
      </c>
      <c r="P230" s="1196">
        <v>45</v>
      </c>
      <c r="Q230" s="1196">
        <v>80</v>
      </c>
      <c r="R230" s="1196">
        <v>45</v>
      </c>
      <c r="S230" s="1197">
        <f>ROUND((S229*50)/1000,2)</f>
        <v>27.21</v>
      </c>
      <c r="T230" s="1194" t="s">
        <v>29</v>
      </c>
      <c r="U230" s="1163"/>
    </row>
    <row r="231" spans="1:21" ht="20.100000000000001" customHeight="1">
      <c r="A231" s="1163"/>
      <c r="B231" s="1163"/>
      <c r="C231" s="1163"/>
      <c r="D231" s="1163"/>
      <c r="E231" s="1163"/>
      <c r="F231" s="1163"/>
      <c r="G231" s="1192" t="s">
        <v>104</v>
      </c>
      <c r="H231" s="1198">
        <f t="shared" ref="H231:R231" si="27">ROUND(H229*H230,0)</f>
        <v>1785</v>
      </c>
      <c r="I231" s="1198">
        <f t="shared" si="27"/>
        <v>3518</v>
      </c>
      <c r="J231" s="1198">
        <f t="shared" si="27"/>
        <v>0</v>
      </c>
      <c r="K231" s="1198">
        <f t="shared" si="27"/>
        <v>0</v>
      </c>
      <c r="L231" s="1198">
        <f t="shared" si="27"/>
        <v>2945</v>
      </c>
      <c r="M231" s="1198">
        <f t="shared" si="27"/>
        <v>1090</v>
      </c>
      <c r="N231" s="1198">
        <f t="shared" si="27"/>
        <v>1084</v>
      </c>
      <c r="O231" s="1198">
        <f t="shared" si="27"/>
        <v>9932</v>
      </c>
      <c r="P231" s="1198">
        <f t="shared" si="27"/>
        <v>598</v>
      </c>
      <c r="Q231" s="1198">
        <f t="shared" si="27"/>
        <v>1840</v>
      </c>
      <c r="R231" s="1198">
        <f t="shared" si="27"/>
        <v>0</v>
      </c>
      <c r="S231" s="1197"/>
      <c r="T231" s="1194"/>
      <c r="U231" s="1163"/>
    </row>
    <row r="232" spans="1:21">
      <c r="A232" s="1163"/>
      <c r="B232" s="1163"/>
      <c r="C232" s="1163"/>
      <c r="D232" s="1163"/>
      <c r="E232" s="1163"/>
      <c r="F232" s="1194" t="s">
        <v>140</v>
      </c>
      <c r="G232" s="1199" t="s">
        <v>104</v>
      </c>
      <c r="H232" s="1200">
        <f>SUM(H231:R231)</f>
        <v>22792</v>
      </c>
      <c r="I232" s="1200"/>
      <c r="J232" s="1200"/>
      <c r="K232" s="1200"/>
      <c r="L232" s="1163"/>
      <c r="M232" s="1163"/>
      <c r="N232" s="1163"/>
      <c r="O232" s="1163"/>
      <c r="P232" s="1163"/>
      <c r="Q232" s="1163"/>
      <c r="R232" s="1163"/>
      <c r="S232" s="1201"/>
      <c r="T232" s="1202"/>
      <c r="U232" s="1163"/>
    </row>
    <row r="234" spans="1:21">
      <c r="N234" s="1203"/>
      <c r="O234" s="1203"/>
      <c r="P234" s="1203"/>
      <c r="Q234" s="1203"/>
      <c r="R234" s="1203"/>
      <c r="S234" s="1203"/>
      <c r="T234" s="1203"/>
      <c r="U234" s="1203"/>
    </row>
    <row r="235" spans="1:21">
      <c r="M235" s="1204" t="str">
        <f>'lead 19-20'!$H$31</f>
        <v>Deputy Executive Engineer</v>
      </c>
      <c r="R235" s="1204" t="str">
        <f>'lead 19-20'!$K$31</f>
        <v>Assistant  Engineer</v>
      </c>
    </row>
    <row r="236" spans="1:21">
      <c r="M236" s="1204" t="str">
        <f>'lead 19-20'!$H$32</f>
        <v>PRI Sub Division</v>
      </c>
      <c r="N236" s="1203"/>
      <c r="O236" s="1203"/>
      <c r="P236" s="1203"/>
      <c r="Q236" s="1203"/>
      <c r="R236" s="1204" t="str">
        <f>'lead 19-20'!$K$32</f>
        <v>Mandal Praja parishad</v>
      </c>
      <c r="S236" s="1203"/>
      <c r="T236" s="1203"/>
      <c r="U236" s="1203"/>
    </row>
    <row r="237" spans="1:21">
      <c r="M237" s="1204" t="str">
        <f>'lead 19-20'!$H$33</f>
        <v>Kanigiri</v>
      </c>
      <c r="N237" s="1203"/>
      <c r="O237" s="1203"/>
      <c r="P237" s="1203"/>
      <c r="Q237" s="1203"/>
      <c r="R237" s="1204" t="str">
        <f>'lead 19-20'!$K$33</f>
        <v>Kanigiri</v>
      </c>
      <c r="S237" s="1203"/>
      <c r="T237" s="1203"/>
      <c r="U237" s="1203"/>
    </row>
    <row r="675" spans="16:16">
      <c r="P675" s="1173" t="s">
        <v>0</v>
      </c>
    </row>
  </sheetData>
  <autoFilter ref="A3:U229">
    <filterColumn colId="5" showButton="0">
      <customFilters>
        <customFilter operator="notEqual" val=" "/>
      </customFilters>
    </filterColumn>
  </autoFilter>
  <mergeCells count="2">
    <mergeCell ref="A1:U1"/>
    <mergeCell ref="F3:G3"/>
  </mergeCells>
  <printOptions horizontalCentered="1"/>
  <pageMargins left="0.5" right="0.21" top="0.22" bottom="0.23" header="0.22" footer="0.16"/>
  <pageSetup paperSize="9" scale="90" orientation="landscape" r:id="rId1"/>
  <rowBreaks count="1" manualBreakCount="1">
    <brk id="40" max="20" man="1"/>
  </rowBreaks>
</worksheet>
</file>

<file path=xl/worksheets/sheet44.xml><?xml version="1.0" encoding="utf-8"?>
<worksheet xmlns="http://schemas.openxmlformats.org/spreadsheetml/2006/main" xmlns:r="http://schemas.openxmlformats.org/officeDocument/2006/relationships">
  <sheetPr>
    <tabColor rgb="FFFF0000"/>
  </sheetPr>
  <dimension ref="A1:I25"/>
  <sheetViews>
    <sheetView topLeftCell="A7" workbookViewId="0">
      <selection activeCell="C1" sqref="C1:I1"/>
    </sheetView>
  </sheetViews>
  <sheetFormatPr defaultColWidth="9.140625" defaultRowHeight="12.75"/>
  <cols>
    <col min="1" max="1" width="9.140625" style="281"/>
    <col min="2" max="2" width="12.5703125" style="281" customWidth="1"/>
    <col min="3" max="6" width="9.140625" style="281"/>
    <col min="7" max="7" width="11" style="281" customWidth="1"/>
    <col min="8" max="8" width="11.28515625" style="281" customWidth="1"/>
    <col min="9" max="16384" width="9.140625" style="281"/>
  </cols>
  <sheetData>
    <row r="1" spans="1:9" s="278" customFormat="1" ht="63" customHeight="1">
      <c r="A1" s="278" t="s">
        <v>742</v>
      </c>
      <c r="C1" s="2019" t="str">
        <f>'lead 19-20'!C2:L2</f>
        <v>Providing Additional Space for Agriculture Staff in  Baduguleru GP of Kanigiri Mandal</v>
      </c>
      <c r="D1" s="2019"/>
      <c r="E1" s="2019"/>
      <c r="F1" s="2019"/>
      <c r="G1" s="2019"/>
      <c r="H1" s="2019"/>
      <c r="I1" s="2019"/>
    </row>
    <row r="2" spans="1:9" s="279" customFormat="1" ht="17.25" customHeight="1">
      <c r="A2" s="279" t="s">
        <v>743</v>
      </c>
      <c r="C2" s="280" t="str">
        <f>'lead 19-20'!K4</f>
        <v>21.80 Lakhs</v>
      </c>
    </row>
    <row r="3" spans="1:9" s="279" customFormat="1" ht="17.25" customHeight="1">
      <c r="A3" s="279" t="s">
        <v>744</v>
      </c>
      <c r="C3" s="279" t="str">
        <f>'C-1'!C3</f>
        <v>(MGNREGS + Ag Dept Grant)</v>
      </c>
    </row>
    <row r="8" spans="1:9" ht="15.75">
      <c r="A8" s="2022" t="s">
        <v>745</v>
      </c>
      <c r="B8" s="2022"/>
      <c r="C8" s="2022"/>
      <c r="D8" s="2022"/>
      <c r="E8" s="2022"/>
      <c r="F8" s="2022"/>
      <c r="G8" s="2022"/>
      <c r="H8" s="2022"/>
      <c r="I8" s="2022"/>
    </row>
    <row r="9" spans="1:9" ht="15.75">
      <c r="A9" s="282"/>
      <c r="B9" s="282"/>
      <c r="C9" s="282"/>
      <c r="D9" s="282"/>
      <c r="E9" s="282"/>
      <c r="F9" s="282"/>
      <c r="G9" s="282"/>
      <c r="H9" s="282"/>
      <c r="I9" s="282"/>
    </row>
    <row r="10" spans="1:9" ht="30" customHeight="1">
      <c r="A10" s="857">
        <v>1</v>
      </c>
      <c r="B10" s="2020" t="s">
        <v>1496</v>
      </c>
      <c r="C10" s="2020"/>
      <c r="D10" s="2020"/>
      <c r="E10" s="2020"/>
      <c r="F10" s="2020"/>
      <c r="G10" s="2020"/>
      <c r="H10" s="2020"/>
      <c r="I10" s="2020"/>
    </row>
    <row r="11" spans="1:9" ht="30.75" customHeight="1">
      <c r="A11" s="857">
        <v>2</v>
      </c>
      <c r="B11" s="2020" t="s">
        <v>2446</v>
      </c>
      <c r="C11" s="2020"/>
      <c r="D11" s="2020"/>
      <c r="E11" s="2020"/>
      <c r="F11" s="2020"/>
      <c r="G11" s="2020"/>
      <c r="H11" s="2020"/>
      <c r="I11" s="2020"/>
    </row>
    <row r="12" spans="1:9" ht="37.5" customHeight="1">
      <c r="A12" s="857">
        <v>3</v>
      </c>
      <c r="B12" s="2020" t="s">
        <v>2447</v>
      </c>
      <c r="C12" s="2020"/>
      <c r="D12" s="2020"/>
      <c r="E12" s="2020"/>
      <c r="F12" s="2020"/>
      <c r="G12" s="2020"/>
      <c r="H12" s="2020"/>
      <c r="I12" s="2020"/>
    </row>
    <row r="13" spans="1:9" ht="34.5" customHeight="1">
      <c r="A13" s="857">
        <v>4</v>
      </c>
      <c r="B13" s="2020" t="s">
        <v>2448</v>
      </c>
      <c r="C13" s="2020"/>
      <c r="D13" s="2020"/>
      <c r="E13" s="2020"/>
      <c r="F13" s="2020"/>
      <c r="G13" s="2020"/>
      <c r="H13" s="2020"/>
      <c r="I13" s="2020"/>
    </row>
    <row r="14" spans="1:9" ht="27.75" customHeight="1">
      <c r="A14" s="857">
        <v>5</v>
      </c>
      <c r="B14" s="2020" t="s">
        <v>2449</v>
      </c>
      <c r="C14" s="2020"/>
      <c r="D14" s="2020"/>
      <c r="E14" s="2020"/>
      <c r="F14" s="2020"/>
      <c r="G14" s="2020"/>
      <c r="H14" s="2020"/>
      <c r="I14" s="2020"/>
    </row>
    <row r="15" spans="1:9" ht="25.5" hidden="1" customHeight="1">
      <c r="A15" s="857">
        <v>6</v>
      </c>
      <c r="B15" s="2020" t="s">
        <v>2450</v>
      </c>
      <c r="C15" s="2020"/>
      <c r="D15" s="2020"/>
      <c r="E15" s="2020"/>
      <c r="F15" s="2020"/>
      <c r="G15" s="2020"/>
      <c r="H15" s="2020"/>
      <c r="I15" s="2020"/>
    </row>
    <row r="16" spans="1:9" ht="21" hidden="1" customHeight="1">
      <c r="A16" s="857"/>
      <c r="B16" s="858" t="s">
        <v>1458</v>
      </c>
      <c r="C16" s="858"/>
      <c r="D16" s="858"/>
      <c r="E16" s="858"/>
      <c r="F16" s="858"/>
      <c r="G16" s="858" t="s">
        <v>1459</v>
      </c>
      <c r="H16" s="858"/>
      <c r="I16" s="858"/>
    </row>
    <row r="17" spans="1:9" ht="21" hidden="1" customHeight="1">
      <c r="A17" s="857"/>
      <c r="B17" s="2021" t="s">
        <v>2451</v>
      </c>
      <c r="C17" s="2021"/>
      <c r="D17" s="2021"/>
      <c r="E17" s="2021"/>
      <c r="F17" s="2021"/>
      <c r="G17" s="2021"/>
      <c r="H17" s="2021"/>
      <c r="I17" s="2021"/>
    </row>
    <row r="18" spans="1:9" ht="29.25" customHeight="1">
      <c r="A18" s="857">
        <v>6</v>
      </c>
      <c r="B18" s="2020" t="s">
        <v>2452</v>
      </c>
      <c r="C18" s="2020"/>
      <c r="D18" s="2020"/>
      <c r="E18" s="2020"/>
      <c r="F18" s="2020"/>
      <c r="G18" s="2020"/>
      <c r="H18" s="2020"/>
      <c r="I18" s="2020"/>
    </row>
    <row r="23" spans="1:9">
      <c r="B23" s="150"/>
      <c r="C23" s="150"/>
      <c r="D23" s="150"/>
      <c r="E23" s="150"/>
      <c r="F23" s="150" t="str">
        <f>'lead 19-20'!H31</f>
        <v>Deputy Executive Engineer</v>
      </c>
      <c r="G23" s="151"/>
      <c r="H23" s="151" t="str">
        <f>'lead 19-20'!K31</f>
        <v>Assistant  Engineer</v>
      </c>
    </row>
    <row r="24" spans="1:9">
      <c r="B24" s="150"/>
      <c r="C24" s="150"/>
      <c r="D24" s="150"/>
      <c r="E24" s="150"/>
      <c r="F24" s="150" t="str">
        <f>'lead 19-20'!H32</f>
        <v>PRI Sub Division</v>
      </c>
      <c r="G24" s="150"/>
      <c r="H24" s="151" t="str">
        <f>'lead 19-20'!K32</f>
        <v>Mandal Praja parishad</v>
      </c>
    </row>
    <row r="25" spans="1:9">
      <c r="B25" s="150"/>
      <c r="C25" s="150"/>
      <c r="D25" s="150"/>
      <c r="E25" s="150"/>
      <c r="F25" s="150" t="str">
        <f>'lead 19-20'!H33</f>
        <v>Kanigiri</v>
      </c>
      <c r="G25" s="152"/>
      <c r="H25" s="151" t="str">
        <f>'lead 19-20'!K33</f>
        <v>Kanigiri</v>
      </c>
    </row>
  </sheetData>
  <mergeCells count="10">
    <mergeCell ref="C1:I1"/>
    <mergeCell ref="B14:I14"/>
    <mergeCell ref="B15:I15"/>
    <mergeCell ref="B17:I17"/>
    <mergeCell ref="B18:I18"/>
    <mergeCell ref="A8:I8"/>
    <mergeCell ref="B10:I10"/>
    <mergeCell ref="B11:I11"/>
    <mergeCell ref="B12:I12"/>
    <mergeCell ref="B13:I1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45.xml><?xml version="1.0" encoding="utf-8"?>
<worksheet xmlns="http://schemas.openxmlformats.org/spreadsheetml/2006/main" xmlns:r="http://schemas.openxmlformats.org/officeDocument/2006/relationships">
  <sheetPr>
    <tabColor rgb="FFFF0000"/>
  </sheetPr>
  <dimension ref="A1:I11"/>
  <sheetViews>
    <sheetView zoomScale="85" zoomScaleNormal="85" workbookViewId="0">
      <selection activeCell="K6" sqref="K6"/>
    </sheetView>
  </sheetViews>
  <sheetFormatPr defaultColWidth="9.140625" defaultRowHeight="12.75"/>
  <cols>
    <col min="1" max="1" width="9.140625" style="277"/>
    <col min="2" max="2" width="9.85546875" style="277" customWidth="1"/>
    <col min="3" max="6" width="9.140625" style="277"/>
    <col min="7" max="7" width="11" style="277" customWidth="1"/>
    <col min="8" max="8" width="11.28515625" style="277" customWidth="1"/>
    <col min="9" max="16384" width="9.140625" style="277"/>
  </cols>
  <sheetData>
    <row r="1" spans="1:9" ht="26.25" customHeight="1">
      <c r="A1" s="2023" t="s">
        <v>789</v>
      </c>
      <c r="B1" s="2023"/>
      <c r="C1" s="2023"/>
      <c r="D1" s="2023"/>
      <c r="E1" s="2023"/>
      <c r="F1" s="2023"/>
      <c r="G1" s="2023"/>
      <c r="H1" s="2023"/>
      <c r="I1" s="2023"/>
    </row>
    <row r="2" spans="1:9" s="886" customFormat="1" ht="46.5" customHeight="1">
      <c r="A2" s="2026" t="s">
        <v>2483</v>
      </c>
      <c r="B2" s="2026"/>
      <c r="C2" s="2026"/>
      <c r="D2" s="2027" t="str">
        <f>'CERTI '!C1</f>
        <v>Providing Additional Space for Agriculture Staff in  Baduguleru GP of Kanigiri Mandal</v>
      </c>
      <c r="E2" s="2027"/>
      <c r="F2" s="2027"/>
      <c r="G2" s="2027"/>
      <c r="H2" s="2027"/>
      <c r="I2" s="2027"/>
    </row>
    <row r="3" spans="1:9" s="886" customFormat="1" ht="28.5" customHeight="1">
      <c r="A3" s="2026" t="s">
        <v>2484</v>
      </c>
      <c r="B3" s="2026"/>
      <c r="C3" s="2026"/>
      <c r="D3" s="2027" t="str">
        <f>'CERTI '!C2</f>
        <v>21.80 Lakhs</v>
      </c>
      <c r="E3" s="2027"/>
      <c r="F3" s="2027"/>
      <c r="G3" s="2027"/>
      <c r="H3" s="2027"/>
      <c r="I3" s="2027"/>
    </row>
    <row r="4" spans="1:9" s="886" customFormat="1" ht="28.5" customHeight="1">
      <c r="A4" s="2026" t="s">
        <v>116</v>
      </c>
      <c r="B4" s="2026"/>
      <c r="C4" s="2026"/>
      <c r="D4" s="2027" t="str">
        <f>'CERTI '!C3</f>
        <v>(MGNREGS + Ag Dept Grant)</v>
      </c>
      <c r="E4" s="2027"/>
      <c r="F4" s="2027"/>
      <c r="G4" s="2027"/>
      <c r="H4" s="2027"/>
      <c r="I4" s="2027"/>
    </row>
    <row r="5" spans="1:9" ht="26.25" customHeight="1">
      <c r="A5" s="866"/>
      <c r="B5" s="866"/>
      <c r="C5" s="866"/>
      <c r="D5" s="866"/>
      <c r="E5" s="866"/>
      <c r="F5" s="866"/>
      <c r="G5" s="866"/>
      <c r="H5" s="866"/>
      <c r="I5" s="866"/>
    </row>
    <row r="6" spans="1:9" ht="84" customHeight="1">
      <c r="A6" s="2024" t="s">
        <v>3849</v>
      </c>
      <c r="B6" s="2025"/>
      <c r="C6" s="2025"/>
      <c r="D6" s="2025"/>
      <c r="E6" s="2025"/>
      <c r="F6" s="2025"/>
      <c r="G6" s="2025"/>
      <c r="H6" s="2025"/>
      <c r="I6" s="2025"/>
    </row>
    <row r="11" spans="1:9">
      <c r="G11" s="277" t="s">
        <v>1140</v>
      </c>
    </row>
  </sheetData>
  <mergeCells count="8">
    <mergeCell ref="A1:I1"/>
    <mergeCell ref="A6:I6"/>
    <mergeCell ref="A2:C2"/>
    <mergeCell ref="D2:I2"/>
    <mergeCell ref="A3:C3"/>
    <mergeCell ref="D3:I3"/>
    <mergeCell ref="A4:C4"/>
    <mergeCell ref="D4:I4"/>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46.xml><?xml version="1.0" encoding="utf-8"?>
<worksheet xmlns="http://schemas.openxmlformats.org/spreadsheetml/2006/main" xmlns:r="http://schemas.openxmlformats.org/officeDocument/2006/relationships">
  <dimension ref="A1:Z31"/>
  <sheetViews>
    <sheetView view="pageBreakPreview" topLeftCell="A13" zoomScaleNormal="85" zoomScaleSheetLayoutView="100" workbookViewId="0">
      <selection activeCell="J6" sqref="J6"/>
    </sheetView>
  </sheetViews>
  <sheetFormatPr defaultColWidth="9.140625" defaultRowHeight="15"/>
  <cols>
    <col min="1" max="1" width="4.42578125" style="893" customWidth="1"/>
    <col min="2" max="2" width="10.7109375" style="893" customWidth="1"/>
    <col min="3" max="4" width="9.7109375" style="904" customWidth="1"/>
    <col min="5" max="5" width="27" style="904" customWidth="1"/>
    <col min="6" max="6" width="20.85546875" style="904" customWidth="1"/>
    <col min="7" max="7" width="9.7109375" style="904" customWidth="1"/>
    <col min="8" max="8" width="8.140625" style="904" customWidth="1"/>
    <col min="9" max="9" width="7.85546875" style="904" customWidth="1"/>
    <col min="10" max="10" width="8.42578125" style="904" customWidth="1"/>
    <col min="11" max="11" width="14.28515625" style="904" customWidth="1"/>
    <col min="12" max="12" width="10.5703125" style="904" customWidth="1"/>
    <col min="13" max="13" width="7.42578125" style="904" customWidth="1"/>
    <col min="14" max="14" width="10" style="904" customWidth="1"/>
    <col min="15" max="15" width="11.42578125" style="904" customWidth="1"/>
    <col min="16" max="16" width="7.42578125" style="904" customWidth="1"/>
    <col min="17" max="17" width="6.5703125" style="904" customWidth="1"/>
    <col min="18" max="18" width="10.140625" style="904" customWidth="1"/>
    <col min="19" max="19" width="6.7109375" style="904" customWidth="1"/>
    <col min="20" max="20" width="7.7109375" style="904" customWidth="1"/>
    <col min="21" max="21" width="6.7109375" style="904" customWidth="1"/>
    <col min="22" max="22" width="10.7109375" style="904" customWidth="1"/>
    <col min="23" max="23" width="8.42578125" style="904" customWidth="1"/>
    <col min="24" max="24" width="7.5703125" style="904" customWidth="1"/>
    <col min="25" max="25" width="9.85546875" style="904" customWidth="1"/>
    <col min="26" max="26" width="11.140625" style="904" customWidth="1"/>
    <col min="27" max="16384" width="9.140625" style="893"/>
  </cols>
  <sheetData>
    <row r="1" spans="1:26" ht="17.25">
      <c r="A1" s="2028" t="s">
        <v>2487</v>
      </c>
      <c r="B1" s="2028"/>
      <c r="C1" s="2028"/>
      <c r="D1" s="2028"/>
      <c r="E1" s="2028"/>
      <c r="F1" s="2028"/>
      <c r="G1" s="2028"/>
      <c r="H1" s="2028"/>
      <c r="I1" s="2028"/>
      <c r="J1" s="2028"/>
      <c r="K1" s="2028"/>
      <c r="L1" s="2028"/>
      <c r="M1" s="2028"/>
      <c r="N1" s="2028"/>
      <c r="O1" s="892"/>
      <c r="P1" s="892"/>
      <c r="Q1" s="892"/>
      <c r="R1" s="892"/>
      <c r="S1" s="892"/>
      <c r="T1" s="892"/>
      <c r="U1" s="892"/>
      <c r="V1" s="892"/>
      <c r="W1" s="892"/>
      <c r="X1" s="892"/>
      <c r="Y1" s="892"/>
      <c r="Z1" s="892"/>
    </row>
    <row r="3" spans="1:26" s="894" customFormat="1" ht="16.5" customHeight="1">
      <c r="A3" s="2029" t="s">
        <v>443</v>
      </c>
      <c r="B3" s="2029" t="s">
        <v>988</v>
      </c>
      <c r="C3" s="2030" t="s">
        <v>2488</v>
      </c>
      <c r="D3" s="2030" t="s">
        <v>2489</v>
      </c>
      <c r="E3" s="2030" t="s">
        <v>2490</v>
      </c>
      <c r="F3" s="2030" t="s">
        <v>990</v>
      </c>
      <c r="G3" s="2030" t="s">
        <v>2491</v>
      </c>
      <c r="H3" s="2030" t="s">
        <v>2492</v>
      </c>
      <c r="I3" s="2030" t="s">
        <v>2493</v>
      </c>
      <c r="J3" s="2030" t="s">
        <v>2494</v>
      </c>
      <c r="K3" s="2030"/>
      <c r="L3" s="2030"/>
      <c r="M3" s="2030"/>
      <c r="N3" s="2030"/>
    </row>
    <row r="4" spans="1:26" s="894" customFormat="1" ht="34.5" customHeight="1">
      <c r="A4" s="2029"/>
      <c r="B4" s="2029"/>
      <c r="C4" s="2030"/>
      <c r="D4" s="2030"/>
      <c r="E4" s="2030"/>
      <c r="F4" s="2030"/>
      <c r="G4" s="2030"/>
      <c r="H4" s="2030"/>
      <c r="I4" s="2030"/>
      <c r="J4" s="895" t="s">
        <v>2498</v>
      </c>
      <c r="K4" s="895" t="s">
        <v>2499</v>
      </c>
      <c r="L4" s="895" t="s">
        <v>1013</v>
      </c>
      <c r="M4" s="895" t="s">
        <v>2500</v>
      </c>
      <c r="N4" s="895" t="s">
        <v>2501</v>
      </c>
    </row>
    <row r="5" spans="1:26" s="894" customFormat="1" ht="18.75" customHeight="1">
      <c r="A5" s="896">
        <v>1</v>
      </c>
      <c r="B5" s="896">
        <v>2</v>
      </c>
      <c r="C5" s="896">
        <v>3</v>
      </c>
      <c r="D5" s="896">
        <v>4</v>
      </c>
      <c r="E5" s="896">
        <v>5</v>
      </c>
      <c r="F5" s="896">
        <v>6</v>
      </c>
      <c r="G5" s="896">
        <v>7</v>
      </c>
      <c r="H5" s="896">
        <v>8</v>
      </c>
      <c r="I5" s="896">
        <v>9</v>
      </c>
      <c r="J5" s="896">
        <v>10</v>
      </c>
      <c r="K5" s="896">
        <v>11</v>
      </c>
      <c r="L5" s="896">
        <v>12</v>
      </c>
      <c r="M5" s="896">
        <v>13</v>
      </c>
      <c r="N5" s="896">
        <v>14</v>
      </c>
    </row>
    <row r="6" spans="1:26" s="903" customFormat="1" ht="60">
      <c r="A6" s="897">
        <v>1</v>
      </c>
      <c r="B6" s="1747" t="s">
        <v>1525</v>
      </c>
      <c r="C6" s="1782" t="s">
        <v>3850</v>
      </c>
      <c r="D6" s="1782" t="s">
        <v>3850</v>
      </c>
      <c r="E6" s="1783" t="s">
        <v>3851</v>
      </c>
      <c r="F6" s="1784" t="s">
        <v>3852</v>
      </c>
      <c r="G6" s="898">
        <v>21.8</v>
      </c>
      <c r="H6" s="898"/>
      <c r="I6" s="898"/>
      <c r="J6" s="1785" t="s">
        <v>3853</v>
      </c>
      <c r="K6" s="1786">
        <v>8949230093</v>
      </c>
      <c r="L6" s="1787" t="s">
        <v>3854</v>
      </c>
      <c r="M6" s="1787">
        <v>270</v>
      </c>
      <c r="N6" s="1787">
        <f>M6*235</f>
        <v>63450</v>
      </c>
    </row>
    <row r="7" spans="1:26" s="903" customFormat="1" ht="22.5">
      <c r="A7" s="897"/>
      <c r="B7" s="1747"/>
      <c r="C7" s="1748"/>
      <c r="D7" s="1748"/>
      <c r="E7" s="1749"/>
      <c r="F7" s="1750"/>
      <c r="G7" s="898"/>
      <c r="H7" s="898"/>
      <c r="I7" s="898"/>
      <c r="J7" s="901" t="s">
        <v>3855</v>
      </c>
      <c r="K7" s="1751"/>
      <c r="L7" s="1748"/>
      <c r="M7" s="1146">
        <v>174</v>
      </c>
      <c r="N7" s="1146">
        <f>M7*235</f>
        <v>40890</v>
      </c>
    </row>
    <row r="8" spans="1:26" s="903" customFormat="1">
      <c r="A8" s="897"/>
      <c r="B8" s="897"/>
      <c r="C8" s="898"/>
      <c r="D8" s="898"/>
      <c r="E8" s="899"/>
      <c r="F8" s="908"/>
      <c r="G8" s="898"/>
      <c r="H8" s="898"/>
      <c r="I8" s="898"/>
      <c r="J8" s="901"/>
      <c r="K8" s="909"/>
      <c r="L8" s="1318"/>
      <c r="M8" s="898"/>
      <c r="N8" s="1146"/>
    </row>
    <row r="9" spans="1:26" s="903" customFormat="1">
      <c r="A9" s="897"/>
      <c r="B9" s="897"/>
      <c r="C9" s="898"/>
      <c r="D9" s="898"/>
      <c r="E9" s="899"/>
      <c r="F9" s="900"/>
      <c r="G9" s="898"/>
      <c r="H9" s="898"/>
      <c r="I9" s="898"/>
      <c r="J9" s="898"/>
      <c r="K9" s="898"/>
      <c r="L9" s="898"/>
      <c r="M9" s="898">
        <f>SUM(M6:M8)</f>
        <v>444</v>
      </c>
      <c r="N9" s="898">
        <f>SUM(N6:N8)</f>
        <v>104340</v>
      </c>
    </row>
    <row r="12" spans="1:26" ht="23.25" customHeight="1">
      <c r="B12" s="2030" t="s">
        <v>2495</v>
      </c>
      <c r="C12" s="2030"/>
      <c r="D12" s="2030"/>
      <c r="E12" s="2030"/>
      <c r="F12" s="2030" t="s">
        <v>2496</v>
      </c>
      <c r="G12" s="2030"/>
      <c r="H12" s="2030"/>
      <c r="I12" s="2030"/>
      <c r="J12" s="2030" t="s">
        <v>2497</v>
      </c>
      <c r="K12" s="2030"/>
      <c r="L12" s="2030"/>
      <c r="M12" s="2030" t="s">
        <v>455</v>
      </c>
    </row>
    <row r="13" spans="1:26" ht="38.25" customHeight="1">
      <c r="B13" s="895" t="s">
        <v>2502</v>
      </c>
      <c r="C13" s="895" t="s">
        <v>6</v>
      </c>
      <c r="D13" s="895" t="s">
        <v>8</v>
      </c>
      <c r="E13" s="895" t="s">
        <v>10</v>
      </c>
      <c r="F13" s="895" t="s">
        <v>2502</v>
      </c>
      <c r="G13" s="895" t="s">
        <v>6</v>
      </c>
      <c r="H13" s="895" t="s">
        <v>8</v>
      </c>
      <c r="I13" s="895" t="s">
        <v>10</v>
      </c>
      <c r="J13" s="895" t="s">
        <v>6</v>
      </c>
      <c r="K13" s="895" t="s">
        <v>8</v>
      </c>
      <c r="L13" s="895" t="s">
        <v>10</v>
      </c>
      <c r="M13" s="2030"/>
    </row>
    <row r="14" spans="1:26" ht="21.75" customHeight="1">
      <c r="B14" s="896">
        <v>15</v>
      </c>
      <c r="C14" s="896">
        <v>16</v>
      </c>
      <c r="D14" s="896">
        <v>17</v>
      </c>
      <c r="E14" s="896">
        <v>18</v>
      </c>
      <c r="F14" s="896">
        <v>19</v>
      </c>
      <c r="G14" s="896">
        <v>20</v>
      </c>
      <c r="H14" s="896">
        <v>21</v>
      </c>
      <c r="I14" s="896">
        <v>22</v>
      </c>
      <c r="J14" s="896">
        <v>23</v>
      </c>
      <c r="K14" s="896">
        <v>24</v>
      </c>
      <c r="L14" s="896">
        <v>25</v>
      </c>
      <c r="M14" s="896">
        <v>26</v>
      </c>
    </row>
    <row r="15" spans="1:26" ht="28.5" customHeight="1">
      <c r="B15" s="898"/>
      <c r="C15" s="1318">
        <f>M6</f>
        <v>270</v>
      </c>
      <c r="D15" s="1318">
        <v>235</v>
      </c>
      <c r="E15" s="1318">
        <f>ROUND(C15*D15,0)</f>
        <v>63450</v>
      </c>
      <c r="F15" s="898"/>
      <c r="G15" s="898">
        <f>'CC f -2'!B18</f>
        <v>544.25</v>
      </c>
      <c r="H15" s="898">
        <v>235</v>
      </c>
      <c r="I15" s="902">
        <f>ROUND(G15*H15,0)</f>
        <v>127899</v>
      </c>
      <c r="J15" s="898">
        <f>G17-C17</f>
        <v>100.25</v>
      </c>
      <c r="K15" s="898">
        <v>235</v>
      </c>
      <c r="L15" s="898">
        <f>ROUND(J15*K15,0)</f>
        <v>23559</v>
      </c>
      <c r="M15" s="898"/>
    </row>
    <row r="16" spans="1:26" ht="28.5" customHeight="1">
      <c r="B16" s="898"/>
      <c r="C16" s="1318">
        <f>M7</f>
        <v>174</v>
      </c>
      <c r="D16" s="1318">
        <v>235</v>
      </c>
      <c r="E16" s="1318">
        <f>ROUND(C16*D16,0)</f>
        <v>40890</v>
      </c>
      <c r="F16" s="898"/>
      <c r="G16" s="898"/>
      <c r="H16" s="898"/>
      <c r="I16" s="902"/>
      <c r="J16" s="898"/>
      <c r="K16" s="898"/>
      <c r="L16" s="898"/>
      <c r="M16" s="898"/>
    </row>
    <row r="17" spans="1:14" ht="28.5" customHeight="1">
      <c r="B17" s="898"/>
      <c r="C17" s="905">
        <f>SUM(C15:C16)</f>
        <v>444</v>
      </c>
      <c r="D17" s="905"/>
      <c r="E17" s="905">
        <f>SUM(E15:E16)</f>
        <v>104340</v>
      </c>
      <c r="F17" s="898"/>
      <c r="G17" s="905">
        <f>SUM(G15:G16)</f>
        <v>544.25</v>
      </c>
      <c r="H17" s="898"/>
      <c r="I17" s="925">
        <f>SUM(I15:I16)</f>
        <v>127899</v>
      </c>
      <c r="J17" s="898"/>
      <c r="K17" s="898"/>
      <c r="L17" s="898"/>
      <c r="M17" s="898"/>
    </row>
    <row r="18" spans="1:14" s="904" customFormat="1">
      <c r="A18" s="893"/>
      <c r="B18" s="898"/>
      <c r="C18" s="898"/>
      <c r="D18" s="898"/>
      <c r="E18" s="898"/>
      <c r="F18" s="898"/>
      <c r="G18" s="898"/>
      <c r="H18" s="898"/>
      <c r="I18" s="898"/>
      <c r="J18" s="898"/>
      <c r="K18" s="898"/>
      <c r="L18" s="898"/>
      <c r="M18" s="898"/>
    </row>
    <row r="20" spans="1:14" ht="17.25">
      <c r="A20" s="2028" t="s">
        <v>2550</v>
      </c>
      <c r="B20" s="2028"/>
      <c r="C20" s="2028"/>
      <c r="D20" s="2028"/>
      <c r="E20" s="2028"/>
      <c r="F20" s="2028"/>
      <c r="G20" s="2028"/>
      <c r="H20" s="2028"/>
      <c r="I20" s="2028"/>
      <c r="J20" s="2028"/>
      <c r="K20" s="2028"/>
      <c r="L20" s="2028"/>
      <c r="M20" s="2028"/>
      <c r="N20" s="2028"/>
    </row>
    <row r="22" spans="1:14" s="904" customFormat="1">
      <c r="A22" s="2029" t="s">
        <v>443</v>
      </c>
      <c r="B22" s="2029" t="s">
        <v>988</v>
      </c>
      <c r="C22" s="2030" t="s">
        <v>2488</v>
      </c>
      <c r="D22" s="2030" t="s">
        <v>2489</v>
      </c>
      <c r="E22" s="2030" t="s">
        <v>2490</v>
      </c>
      <c r="F22" s="2030" t="s">
        <v>990</v>
      </c>
      <c r="G22" s="2030" t="s">
        <v>2551</v>
      </c>
      <c r="H22" s="2030" t="s">
        <v>8</v>
      </c>
      <c r="I22" s="2030" t="s">
        <v>10</v>
      </c>
      <c r="J22" s="2030" t="s">
        <v>455</v>
      </c>
    </row>
    <row r="23" spans="1:14" s="904" customFormat="1">
      <c r="A23" s="2029"/>
      <c r="B23" s="2029"/>
      <c r="C23" s="2030"/>
      <c r="D23" s="2030"/>
      <c r="E23" s="2030"/>
      <c r="F23" s="2030"/>
      <c r="G23" s="2030"/>
      <c r="H23" s="2030"/>
      <c r="I23" s="2030"/>
      <c r="J23" s="2030"/>
    </row>
    <row r="24" spans="1:14" s="904" customFormat="1">
      <c r="A24" s="896">
        <v>1</v>
      </c>
      <c r="B24" s="896">
        <v>2</v>
      </c>
      <c r="C24" s="896">
        <v>3</v>
      </c>
      <c r="D24" s="896">
        <v>4</v>
      </c>
      <c r="E24" s="896">
        <v>5</v>
      </c>
      <c r="F24" s="896">
        <v>6</v>
      </c>
      <c r="G24" s="896">
        <v>7</v>
      </c>
      <c r="H24" s="896">
        <v>8</v>
      </c>
      <c r="I24" s="896">
        <v>9</v>
      </c>
      <c r="J24" s="896">
        <v>10</v>
      </c>
    </row>
    <row r="25" spans="1:14" s="904" customFormat="1" ht="60">
      <c r="A25" s="897">
        <v>1</v>
      </c>
      <c r="B25" s="897" t="str">
        <f>B6</f>
        <v>Kanigiri</v>
      </c>
      <c r="C25" s="897" t="str">
        <f>C6</f>
        <v>Baduguleru</v>
      </c>
      <c r="D25" s="897" t="str">
        <f>D6</f>
        <v>Baduguleru</v>
      </c>
      <c r="E25" s="897" t="str">
        <f>E6</f>
        <v>Constrution of Grama Sachivalayam Building in Baduguleru GP of Kanigiri Mandal.</v>
      </c>
      <c r="F25" s="906" t="str">
        <f>F6</f>
        <v>087043102002090039</v>
      </c>
      <c r="G25" s="900" t="s">
        <v>1000</v>
      </c>
      <c r="H25" s="900" t="s">
        <v>1000</v>
      </c>
      <c r="I25" s="900" t="s">
        <v>1000</v>
      </c>
      <c r="J25" s="900"/>
    </row>
    <row r="26" spans="1:14" s="904" customFormat="1">
      <c r="A26" s="897"/>
      <c r="B26" s="897"/>
      <c r="C26" s="898"/>
      <c r="D26" s="898"/>
      <c r="E26" s="899"/>
      <c r="F26" s="900"/>
      <c r="G26" s="900"/>
      <c r="H26" s="900"/>
      <c r="I26" s="900"/>
      <c r="J26" s="900"/>
    </row>
    <row r="29" spans="1:14" s="904" customFormat="1">
      <c r="A29" s="893"/>
      <c r="B29" s="893"/>
      <c r="G29" s="907" t="s">
        <v>2552</v>
      </c>
      <c r="K29" s="1542" t="s">
        <v>3634</v>
      </c>
    </row>
    <row r="30" spans="1:14" s="904" customFormat="1">
      <c r="A30" s="893"/>
      <c r="B30" s="893"/>
      <c r="G30" s="907" t="s">
        <v>858</v>
      </c>
      <c r="K30" s="907" t="s">
        <v>2503</v>
      </c>
    </row>
    <row r="31" spans="1:14" s="904" customFormat="1">
      <c r="A31" s="893"/>
      <c r="B31" s="893"/>
      <c r="G31" s="907" t="s">
        <v>1525</v>
      </c>
      <c r="K31" s="1542" t="s">
        <v>1525</v>
      </c>
    </row>
  </sheetData>
  <mergeCells count="26">
    <mergeCell ref="G22:G23"/>
    <mergeCell ref="H22:H23"/>
    <mergeCell ref="I22:I23"/>
    <mergeCell ref="J22:J23"/>
    <mergeCell ref="A22:A23"/>
    <mergeCell ref="B22:B23"/>
    <mergeCell ref="C22:C23"/>
    <mergeCell ref="D22:D23"/>
    <mergeCell ref="E22:E23"/>
    <mergeCell ref="F22:F23"/>
    <mergeCell ref="A20:N20"/>
    <mergeCell ref="A1:N1"/>
    <mergeCell ref="A3:A4"/>
    <mergeCell ref="B3:B4"/>
    <mergeCell ref="C3:C4"/>
    <mergeCell ref="D3:D4"/>
    <mergeCell ref="E3:E4"/>
    <mergeCell ref="F3:F4"/>
    <mergeCell ref="G3:G4"/>
    <mergeCell ref="H3:H4"/>
    <mergeCell ref="I3:I4"/>
    <mergeCell ref="J3:N3"/>
    <mergeCell ref="B12:E12"/>
    <mergeCell ref="F12:I12"/>
    <mergeCell ref="J12:L12"/>
    <mergeCell ref="M12:M13"/>
  </mergeCells>
  <printOptions horizontalCentered="1"/>
  <pageMargins left="0.28000000000000003" right="0.27" top="0.39" bottom="0.75" header="0.3" footer="0.3"/>
  <pageSetup scale="73" orientation="landscape" r:id="rId1"/>
</worksheet>
</file>

<file path=xl/worksheets/sheet47.xml><?xml version="1.0" encoding="utf-8"?>
<worksheet xmlns="http://schemas.openxmlformats.org/spreadsheetml/2006/main" xmlns:r="http://schemas.openxmlformats.org/officeDocument/2006/relationships">
  <sheetPr filterMode="1">
    <tabColor rgb="FF00B050"/>
  </sheetPr>
  <dimension ref="A1:S144"/>
  <sheetViews>
    <sheetView showZeros="0" zoomScaleSheetLayoutView="100" workbookViewId="0">
      <selection activeCell="C28" sqref="C28"/>
    </sheetView>
  </sheetViews>
  <sheetFormatPr defaultColWidth="9.140625" defaultRowHeight="12.75"/>
  <cols>
    <col min="1" max="1" width="9.7109375" style="153" customWidth="1"/>
    <col min="2" max="2" width="14.28515625" style="153" customWidth="1"/>
    <col min="3" max="3" width="24.140625" style="153" customWidth="1"/>
    <col min="4" max="4" width="10" style="181" customWidth="1"/>
    <col min="5" max="5" width="4.5703125" style="182" customWidth="1"/>
    <col min="6" max="6" width="4.5703125" style="153" customWidth="1"/>
    <col min="7" max="7" width="14.42578125" style="153" customWidth="1"/>
    <col min="8" max="8" width="9.42578125" style="153" customWidth="1"/>
    <col min="9" max="9" width="5.7109375" style="153" customWidth="1"/>
    <col min="10" max="11" width="11" style="182" customWidth="1"/>
    <col min="12" max="12" width="11.42578125" style="153" customWidth="1"/>
    <col min="13" max="13" width="11.28515625" style="153" customWidth="1"/>
    <col min="14" max="14" width="10.85546875" style="153" customWidth="1"/>
    <col min="15" max="16384" width="9.140625" style="153"/>
  </cols>
  <sheetData>
    <row r="1" spans="1:19" ht="19.5" customHeight="1">
      <c r="A1" s="2034" t="s">
        <v>746</v>
      </c>
      <c r="B1" s="2035"/>
      <c r="C1" s="2035"/>
      <c r="D1" s="2035"/>
      <c r="E1" s="2035"/>
      <c r="F1" s="2035"/>
      <c r="G1" s="2035"/>
      <c r="H1" s="2035"/>
      <c r="I1" s="2035"/>
      <c r="J1" s="2035"/>
      <c r="K1" s="2036"/>
      <c r="L1" s="2036"/>
    </row>
    <row r="2" spans="1:19" s="154" customFormat="1" ht="40.5" customHeight="1">
      <c r="A2" s="2037" t="str">
        <f>'R-1'!A2:J2</f>
        <v>Name of the Work: Providing Additional Space for Agriculture Staff in  Baduguleru GP of Kanigiri Mandal</v>
      </c>
      <c r="B2" s="2038"/>
      <c r="C2" s="2038"/>
      <c r="D2" s="2038"/>
      <c r="E2" s="2038"/>
      <c r="F2" s="2038"/>
      <c r="G2" s="2038"/>
      <c r="H2" s="2038"/>
      <c r="I2" s="2038"/>
      <c r="J2" s="2038"/>
      <c r="K2" s="2038"/>
      <c r="L2" s="2038"/>
    </row>
    <row r="3" spans="1:19" s="154" customFormat="1" ht="14.25" customHeight="1">
      <c r="A3" s="155" t="s">
        <v>747</v>
      </c>
      <c r="B3" s="156" t="str">
        <f>'CC f -2'!E2</f>
        <v>No: 087043102002090039</v>
      </c>
      <c r="C3" s="157"/>
      <c r="D3" s="157"/>
      <c r="E3" s="205"/>
      <c r="F3" s="157"/>
      <c r="G3" s="157"/>
      <c r="H3" s="157"/>
      <c r="I3" s="157"/>
      <c r="J3" s="157"/>
      <c r="K3" s="157"/>
      <c r="L3" s="157"/>
    </row>
    <row r="4" spans="1:19" s="154" customFormat="1" ht="14.25" customHeight="1">
      <c r="A4" s="155" t="s">
        <v>748</v>
      </c>
      <c r="B4" s="158" t="s">
        <v>1525</v>
      </c>
      <c r="C4" s="157"/>
      <c r="D4" s="157"/>
      <c r="E4" s="205"/>
      <c r="F4" s="157"/>
      <c r="G4" s="157"/>
      <c r="H4" s="157"/>
      <c r="I4" s="157"/>
      <c r="J4" s="157"/>
      <c r="K4" s="157"/>
      <c r="L4" s="157"/>
    </row>
    <row r="5" spans="1:19" s="154" customFormat="1" ht="15" customHeight="1">
      <c r="A5" s="159" t="s">
        <v>116</v>
      </c>
      <c r="B5" s="156" t="str">
        <f>'C-1'!C3</f>
        <v>(MGNREGS + Ag Dept Grant)</v>
      </c>
      <c r="C5" s="156"/>
      <c r="D5" s="160"/>
      <c r="E5" s="205"/>
      <c r="F5" s="156"/>
      <c r="G5" s="156"/>
      <c r="H5" s="156"/>
      <c r="I5" s="156"/>
      <c r="J5" s="161" t="s">
        <v>749</v>
      </c>
      <c r="K5" s="162" t="str">
        <f>'lead 19-20'!K4</f>
        <v>21.80 Lakhs</v>
      </c>
      <c r="L5" s="163"/>
    </row>
    <row r="6" spans="1:19" s="154" customFormat="1" ht="15">
      <c r="A6" s="159"/>
      <c r="B6" s="156"/>
      <c r="C6" s="156"/>
      <c r="D6" s="160"/>
      <c r="E6" s="205"/>
      <c r="F6" s="156"/>
      <c r="G6" s="156"/>
      <c r="H6" s="156"/>
      <c r="I6" s="156"/>
      <c r="J6" s="164" t="s">
        <v>2081</v>
      </c>
      <c r="K6" s="165"/>
      <c r="L6" s="165"/>
    </row>
    <row r="7" spans="1:19" s="154" customFormat="1" ht="19.5" customHeight="1">
      <c r="A7" s="2039" t="s">
        <v>271</v>
      </c>
      <c r="B7" s="2039" t="s">
        <v>750</v>
      </c>
      <c r="C7" s="2039" t="s">
        <v>751</v>
      </c>
      <c r="D7" s="2039" t="s">
        <v>752</v>
      </c>
      <c r="E7" s="2031" t="s">
        <v>753</v>
      </c>
      <c r="F7" s="2032"/>
      <c r="G7" s="2032"/>
      <c r="H7" s="2032"/>
      <c r="I7" s="2032"/>
      <c r="J7" s="2032"/>
      <c r="K7" s="2033"/>
      <c r="L7" s="2039" t="s">
        <v>754</v>
      </c>
      <c r="M7" s="166">
        <f>[4]WORK!B39</f>
        <v>0</v>
      </c>
    </row>
    <row r="8" spans="1:19" s="154" customFormat="1" ht="26.25" customHeight="1">
      <c r="A8" s="2039"/>
      <c r="B8" s="2039"/>
      <c r="C8" s="2039"/>
      <c r="D8" s="2039"/>
      <c r="E8" s="2031" t="s">
        <v>755</v>
      </c>
      <c r="F8" s="2032"/>
      <c r="G8" s="2033"/>
      <c r="H8" s="2031" t="s">
        <v>6</v>
      </c>
      <c r="I8" s="2033"/>
      <c r="J8" s="247" t="s">
        <v>457</v>
      </c>
      <c r="K8" s="247" t="s">
        <v>10</v>
      </c>
      <c r="L8" s="2039"/>
    </row>
    <row r="9" spans="1:19" s="154" customFormat="1" ht="16.5" customHeight="1">
      <c r="A9" s="247" t="s">
        <v>460</v>
      </c>
      <c r="B9" s="247" t="s">
        <v>461</v>
      </c>
      <c r="C9" s="247" t="s">
        <v>462</v>
      </c>
      <c r="D9" s="247" t="s">
        <v>463</v>
      </c>
      <c r="E9" s="2031" t="s">
        <v>464</v>
      </c>
      <c r="F9" s="2032"/>
      <c r="G9" s="2033"/>
      <c r="H9" s="2031" t="s">
        <v>465</v>
      </c>
      <c r="I9" s="2033"/>
      <c r="J9" s="247" t="s">
        <v>466</v>
      </c>
      <c r="K9" s="247" t="s">
        <v>467</v>
      </c>
      <c r="L9" s="247" t="s">
        <v>468</v>
      </c>
    </row>
    <row r="10" spans="1:19" s="174" customFormat="1" ht="22.5" customHeight="1">
      <c r="A10" s="167" t="s">
        <v>460</v>
      </c>
      <c r="B10" s="168"/>
      <c r="C10" s="170" t="s">
        <v>756</v>
      </c>
      <c r="D10" s="169">
        <f>'CC f -2'!D18</f>
        <v>100.25</v>
      </c>
      <c r="E10" s="169" t="str">
        <f>A10</f>
        <v>1</v>
      </c>
      <c r="F10" s="203" t="s">
        <v>1141</v>
      </c>
      <c r="G10" s="171"/>
      <c r="H10" s="169">
        <f>CEILING(M10,5)</f>
        <v>105</v>
      </c>
      <c r="I10" s="171" t="s">
        <v>142</v>
      </c>
      <c r="J10" s="172">
        <f>'CC f -2'!F18</f>
        <v>235</v>
      </c>
      <c r="K10" s="172">
        <f t="shared" ref="K10:K28" si="0">ROUND(H10*J10,20)</f>
        <v>24675</v>
      </c>
      <c r="L10" s="172">
        <f>'CC f -2'!I18</f>
        <v>23559</v>
      </c>
      <c r="M10" s="173">
        <f>D10</f>
        <v>100.25</v>
      </c>
      <c r="N10" s="173">
        <f>ROUND(D10,0)</f>
        <v>100</v>
      </c>
      <c r="O10" s="173"/>
      <c r="P10" s="173"/>
      <c r="R10" s="174" t="s">
        <v>464</v>
      </c>
    </row>
    <row r="11" spans="1:19" s="174" customFormat="1" ht="22.5" hidden="1" customHeight="1">
      <c r="A11" s="167" t="s">
        <v>460</v>
      </c>
      <c r="B11" s="168"/>
      <c r="C11" s="170" t="s">
        <v>756</v>
      </c>
      <c r="D11" s="169">
        <f>'CC f -2'!D19</f>
        <v>0</v>
      </c>
      <c r="E11" s="169" t="str">
        <f>A11</f>
        <v>1</v>
      </c>
      <c r="F11" s="203" t="s">
        <v>1141</v>
      </c>
      <c r="G11" s="171"/>
      <c r="H11" s="169">
        <f>CEILING(M11,5)</f>
        <v>0</v>
      </c>
      <c r="I11" s="171" t="s">
        <v>142</v>
      </c>
      <c r="J11" s="172">
        <f>'CC f -2'!F19</f>
        <v>260</v>
      </c>
      <c r="K11" s="172">
        <f t="shared" ref="K11" si="1">ROUND(H11*J11,20)</f>
        <v>0</v>
      </c>
      <c r="L11" s="172">
        <f>'CC f -2'!I19</f>
        <v>0</v>
      </c>
      <c r="M11" s="173">
        <f>D11</f>
        <v>0</v>
      </c>
      <c r="N11" s="173">
        <f>ROUND(D11,0)</f>
        <v>0</v>
      </c>
      <c r="O11" s="173"/>
      <c r="P11" s="173"/>
    </row>
    <row r="12" spans="1:19" s="174" customFormat="1" ht="22.5" hidden="1" customHeight="1">
      <c r="A12" s="167" t="s">
        <v>461</v>
      </c>
      <c r="B12" s="168"/>
      <c r="C12" s="170" t="s">
        <v>757</v>
      </c>
      <c r="D12" s="169"/>
      <c r="E12" s="169" t="str">
        <f t="shared" ref="E12:E28" si="2">A12</f>
        <v>2</v>
      </c>
      <c r="F12" s="203" t="s">
        <v>1141</v>
      </c>
      <c r="G12" s="171"/>
      <c r="H12" s="169">
        <f t="shared" ref="H12:H21" si="3">CEILING(M12,0.5)</f>
        <v>0</v>
      </c>
      <c r="I12" s="171" t="s">
        <v>758</v>
      </c>
      <c r="J12" s="172">
        <f t="shared" ref="J12:J22" si="4">CEILING(N12,100)</f>
        <v>5500</v>
      </c>
      <c r="K12" s="172">
        <f>ROUND(H12*J12,20)</f>
        <v>0</v>
      </c>
      <c r="L12" s="172">
        <f>'CC f -2'!I22</f>
        <v>0</v>
      </c>
      <c r="M12" s="173">
        <f t="shared" ref="M12:M21" si="5">D12/2.83</f>
        <v>0</v>
      </c>
      <c r="N12" s="173">
        <f>'CC f -2'!F22*2.83</f>
        <v>5422.0819000000001</v>
      </c>
      <c r="O12" s="173"/>
      <c r="P12" s="173"/>
      <c r="R12" s="174" t="s">
        <v>465</v>
      </c>
    </row>
    <row r="13" spans="1:19" s="174" customFormat="1" ht="22.5" customHeight="1">
      <c r="A13" s="167" t="s">
        <v>461</v>
      </c>
      <c r="B13" s="168"/>
      <c r="C13" s="170" t="s">
        <v>757</v>
      </c>
      <c r="D13" s="169">
        <f>'CC f -2'!D23</f>
        <v>1.9999999999988916E-2</v>
      </c>
      <c r="E13" s="169" t="str">
        <f t="shared" ref="E13:E22" si="6">A13</f>
        <v>2</v>
      </c>
      <c r="F13" s="203" t="s">
        <v>1141</v>
      </c>
      <c r="G13" s="171"/>
      <c r="H13" s="169">
        <f t="shared" si="3"/>
        <v>0.5</v>
      </c>
      <c r="I13" s="171" t="s">
        <v>758</v>
      </c>
      <c r="J13" s="172">
        <f t="shared" ref="J13" si="7">CEILING(N13,100)</f>
        <v>900</v>
      </c>
      <c r="K13" s="172">
        <f>ROUND(H13*J13,20)</f>
        <v>450</v>
      </c>
      <c r="L13" s="172">
        <f>'CC f -2'!I23</f>
        <v>6</v>
      </c>
      <c r="M13" s="173">
        <f t="shared" si="5"/>
        <v>7.0671378091833621E-3</v>
      </c>
      <c r="N13" s="173">
        <f>'CC f -2'!F23*2.83</f>
        <v>862.30100000000004</v>
      </c>
      <c r="O13" s="173"/>
      <c r="P13" s="173"/>
    </row>
    <row r="14" spans="1:19" s="174" customFormat="1" ht="22.5" hidden="1" customHeight="1">
      <c r="A14" s="167" t="s">
        <v>461</v>
      </c>
      <c r="B14" s="168"/>
      <c r="C14" s="170" t="s">
        <v>759</v>
      </c>
      <c r="D14" s="169">
        <f>'CC f -2'!D24</f>
        <v>0</v>
      </c>
      <c r="E14" s="169" t="str">
        <f t="shared" si="6"/>
        <v>2</v>
      </c>
      <c r="F14" s="203" t="s">
        <v>1141</v>
      </c>
      <c r="G14" s="171"/>
      <c r="H14" s="169">
        <f t="shared" si="3"/>
        <v>0</v>
      </c>
      <c r="I14" s="171" t="s">
        <v>758</v>
      </c>
      <c r="J14" s="172">
        <f t="shared" si="4"/>
        <v>900</v>
      </c>
      <c r="K14" s="172">
        <f t="shared" si="0"/>
        <v>0</v>
      </c>
      <c r="L14" s="172">
        <f>'CC f -2'!I24</f>
        <v>0</v>
      </c>
      <c r="M14" s="173">
        <f t="shared" si="5"/>
        <v>0</v>
      </c>
      <c r="N14" s="173">
        <f>'CC f -2'!F25*2.83</f>
        <v>862.30100000000004</v>
      </c>
      <c r="O14" s="173"/>
      <c r="P14" s="173"/>
      <c r="R14" s="174" t="s">
        <v>465</v>
      </c>
    </row>
    <row r="15" spans="1:19" s="174" customFormat="1" ht="22.5" hidden="1" customHeight="1">
      <c r="A15" s="167" t="s">
        <v>461</v>
      </c>
      <c r="B15" s="168"/>
      <c r="C15" s="170" t="s">
        <v>759</v>
      </c>
      <c r="D15" s="169">
        <f>'CC f -2'!D25</f>
        <v>0</v>
      </c>
      <c r="E15" s="169" t="str">
        <f t="shared" ref="E15" si="8">A15</f>
        <v>2</v>
      </c>
      <c r="F15" s="203" t="s">
        <v>1141</v>
      </c>
      <c r="G15" s="171"/>
      <c r="H15" s="169">
        <f t="shared" si="3"/>
        <v>0</v>
      </c>
      <c r="I15" s="171" t="s">
        <v>758</v>
      </c>
      <c r="J15" s="172">
        <f t="shared" ref="J15" si="9">CEILING(N15,100)</f>
        <v>900</v>
      </c>
      <c r="K15" s="172">
        <f t="shared" ref="K15" si="10">ROUND(H15*J15,20)</f>
        <v>0</v>
      </c>
      <c r="L15" s="172">
        <f>'CC f -2'!I25</f>
        <v>0</v>
      </c>
      <c r="M15" s="173">
        <f t="shared" si="5"/>
        <v>0</v>
      </c>
      <c r="N15" s="173">
        <f>'CC f -2'!F25*2.83</f>
        <v>862.30100000000004</v>
      </c>
      <c r="O15" s="173"/>
      <c r="P15" s="173"/>
      <c r="R15" s="174" t="s">
        <v>465</v>
      </c>
    </row>
    <row r="16" spans="1:19" s="174" customFormat="1" ht="22.5" hidden="1" customHeight="1">
      <c r="A16" s="167" t="s">
        <v>461</v>
      </c>
      <c r="B16" s="168"/>
      <c r="C16" s="170" t="s">
        <v>1137</v>
      </c>
      <c r="D16" s="169"/>
      <c r="E16" s="169" t="str">
        <f t="shared" si="6"/>
        <v>2</v>
      </c>
      <c r="F16" s="203" t="s">
        <v>1141</v>
      </c>
      <c r="G16" s="171"/>
      <c r="H16" s="169">
        <f t="shared" si="3"/>
        <v>0</v>
      </c>
      <c r="I16" s="171" t="s">
        <v>758</v>
      </c>
      <c r="J16" s="172">
        <f t="shared" si="4"/>
        <v>3900</v>
      </c>
      <c r="K16" s="172">
        <f t="shared" si="0"/>
        <v>0</v>
      </c>
      <c r="L16" s="172"/>
      <c r="M16" s="173">
        <f t="shared" si="5"/>
        <v>0</v>
      </c>
      <c r="N16" s="173">
        <f>'CC f -2'!F26*2.83</f>
        <v>3899.2871999999998</v>
      </c>
      <c r="O16" s="173"/>
      <c r="P16" s="173"/>
      <c r="S16" s="174" t="s">
        <v>468</v>
      </c>
    </row>
    <row r="17" spans="1:19" s="174" customFormat="1" ht="22.5" hidden="1" customHeight="1">
      <c r="A17" s="167" t="s">
        <v>461</v>
      </c>
      <c r="B17" s="168"/>
      <c r="C17" s="170" t="s">
        <v>1137</v>
      </c>
      <c r="D17" s="169"/>
      <c r="E17" s="169" t="str">
        <f t="shared" ref="E17" si="11">A17</f>
        <v>2</v>
      </c>
      <c r="F17" s="203" t="s">
        <v>1141</v>
      </c>
      <c r="G17" s="171"/>
      <c r="H17" s="169">
        <f t="shared" si="3"/>
        <v>0</v>
      </c>
      <c r="I17" s="171" t="s">
        <v>758</v>
      </c>
      <c r="J17" s="172">
        <f t="shared" ref="J17" si="12">CEILING(N17,100)</f>
        <v>5800</v>
      </c>
      <c r="K17" s="172">
        <f t="shared" ref="K17" si="13">ROUND(H17*J17,20)</f>
        <v>0</v>
      </c>
      <c r="L17" s="172"/>
      <c r="M17" s="173">
        <f t="shared" si="5"/>
        <v>0</v>
      </c>
      <c r="N17" s="173">
        <f>'CC f -2'!F27*2.83</f>
        <v>5792.7553000000007</v>
      </c>
      <c r="O17" s="173"/>
      <c r="P17" s="173"/>
      <c r="S17" s="174" t="s">
        <v>468</v>
      </c>
    </row>
    <row r="18" spans="1:19" s="174" customFormat="1" ht="22.5" hidden="1" customHeight="1">
      <c r="A18" s="167" t="s">
        <v>462</v>
      </c>
      <c r="B18" s="168"/>
      <c r="C18" s="170" t="s">
        <v>760</v>
      </c>
      <c r="D18" s="169">
        <f>'CC f -2'!D28</f>
        <v>0</v>
      </c>
      <c r="E18" s="169" t="str">
        <f t="shared" si="6"/>
        <v>3</v>
      </c>
      <c r="F18" s="203" t="s">
        <v>1141</v>
      </c>
      <c r="G18" s="171"/>
      <c r="H18" s="169">
        <f t="shared" si="3"/>
        <v>0</v>
      </c>
      <c r="I18" s="171" t="s">
        <v>758</v>
      </c>
      <c r="J18" s="172">
        <f t="shared" si="4"/>
        <v>3900</v>
      </c>
      <c r="K18" s="172">
        <f t="shared" si="0"/>
        <v>0</v>
      </c>
      <c r="L18" s="172">
        <f>'CC f -2'!I28</f>
        <v>0</v>
      </c>
      <c r="M18" s="173">
        <f t="shared" si="5"/>
        <v>0</v>
      </c>
      <c r="N18" s="173">
        <f>'CC f -2'!F28*2.83</f>
        <v>3893.5140000000001</v>
      </c>
      <c r="O18" s="173"/>
      <c r="P18" s="173"/>
      <c r="S18" s="174" t="s">
        <v>468</v>
      </c>
    </row>
    <row r="19" spans="1:19" s="174" customFormat="1" ht="22.5" hidden="1" customHeight="1">
      <c r="A19" s="167" t="s">
        <v>462</v>
      </c>
      <c r="B19" s="168"/>
      <c r="C19" s="170" t="s">
        <v>760</v>
      </c>
      <c r="D19" s="169">
        <f>'CC f -2'!D29</f>
        <v>0</v>
      </c>
      <c r="E19" s="169" t="str">
        <f t="shared" ref="E19" si="14">A19</f>
        <v>3</v>
      </c>
      <c r="F19" s="203" t="s">
        <v>1141</v>
      </c>
      <c r="G19" s="171"/>
      <c r="H19" s="169">
        <f t="shared" si="3"/>
        <v>0</v>
      </c>
      <c r="I19" s="171" t="s">
        <v>758</v>
      </c>
      <c r="J19" s="172">
        <f t="shared" ref="J19" si="15">CEILING(N19,100)</f>
        <v>4900</v>
      </c>
      <c r="K19" s="172">
        <f t="shared" ref="K19" si="16">ROUND(H19*J19,20)</f>
        <v>0</v>
      </c>
      <c r="L19" s="172">
        <f>'CC f -2'!I29</f>
        <v>0</v>
      </c>
      <c r="M19" s="173">
        <f t="shared" si="5"/>
        <v>0</v>
      </c>
      <c r="N19" s="173">
        <f>'CC f -2'!F29*2.83</f>
        <v>4898.1639999999998</v>
      </c>
      <c r="O19" s="173"/>
      <c r="P19" s="173"/>
      <c r="S19" s="174" t="s">
        <v>468</v>
      </c>
    </row>
    <row r="20" spans="1:19" s="174" customFormat="1" ht="22.5" hidden="1" customHeight="1">
      <c r="A20" s="167" t="s">
        <v>462</v>
      </c>
      <c r="B20" s="168"/>
      <c r="C20" s="170" t="s">
        <v>761</v>
      </c>
      <c r="D20" s="169">
        <f>'CC f -2'!D31</f>
        <v>0</v>
      </c>
      <c r="E20" s="169" t="str">
        <f t="shared" si="6"/>
        <v>3</v>
      </c>
      <c r="F20" s="203" t="s">
        <v>1141</v>
      </c>
      <c r="G20" s="171"/>
      <c r="H20" s="169">
        <f t="shared" si="3"/>
        <v>0</v>
      </c>
      <c r="I20" s="171" t="s">
        <v>758</v>
      </c>
      <c r="J20" s="172">
        <f t="shared" si="4"/>
        <v>5900</v>
      </c>
      <c r="K20" s="172">
        <f t="shared" si="0"/>
        <v>0</v>
      </c>
      <c r="L20" s="172">
        <f>'CC f -2'!I31</f>
        <v>0</v>
      </c>
      <c r="M20" s="173">
        <f t="shared" si="5"/>
        <v>0</v>
      </c>
      <c r="N20" s="173">
        <f>'CC f -2'!F31*2.83</f>
        <v>5829.6018999999997</v>
      </c>
      <c r="O20" s="173"/>
      <c r="P20" s="173"/>
      <c r="R20" s="174" t="s">
        <v>465</v>
      </c>
    </row>
    <row r="21" spans="1:19" s="174" customFormat="1" ht="22.5" hidden="1" customHeight="1">
      <c r="A21" s="167" t="s">
        <v>462</v>
      </c>
      <c r="B21" s="168"/>
      <c r="C21" s="170" t="s">
        <v>761</v>
      </c>
      <c r="D21" s="169">
        <f>'CC f -2'!D32</f>
        <v>0</v>
      </c>
      <c r="E21" s="169" t="str">
        <f t="shared" ref="E21" si="17">A21</f>
        <v>3</v>
      </c>
      <c r="F21" s="203" t="s">
        <v>1141</v>
      </c>
      <c r="G21" s="171"/>
      <c r="H21" s="169">
        <f t="shared" si="3"/>
        <v>0</v>
      </c>
      <c r="I21" s="171" t="s">
        <v>758</v>
      </c>
      <c r="J21" s="172">
        <f t="shared" ref="J21" si="18">CEILING(N21,100)</f>
        <v>4900</v>
      </c>
      <c r="K21" s="172">
        <f t="shared" ref="K21" si="19">ROUND(H21*J21,20)</f>
        <v>0</v>
      </c>
      <c r="L21" s="172">
        <f>'CC f -2'!I32</f>
        <v>0</v>
      </c>
      <c r="M21" s="173">
        <f t="shared" si="5"/>
        <v>0</v>
      </c>
      <c r="N21" s="173">
        <f>'CC f -2'!F32*2.83</f>
        <v>4870.4299999999994</v>
      </c>
      <c r="O21" s="173"/>
      <c r="P21" s="173"/>
      <c r="R21" s="174" t="s">
        <v>465</v>
      </c>
    </row>
    <row r="22" spans="1:19" s="174" customFormat="1" ht="22.5" hidden="1" customHeight="1">
      <c r="A22" s="167" t="s">
        <v>463</v>
      </c>
      <c r="B22" s="168"/>
      <c r="C22" s="170" t="s">
        <v>762</v>
      </c>
      <c r="D22" s="169"/>
      <c r="E22" s="169" t="str">
        <f t="shared" si="6"/>
        <v>4</v>
      </c>
      <c r="F22" s="203" t="s">
        <v>1141</v>
      </c>
      <c r="G22" s="171"/>
      <c r="H22" s="169">
        <f>CEILING(D22,0.2)</f>
        <v>0</v>
      </c>
      <c r="I22" s="171" t="s">
        <v>29</v>
      </c>
      <c r="J22" s="172">
        <f t="shared" si="4"/>
        <v>49000</v>
      </c>
      <c r="K22" s="172">
        <f t="shared" si="0"/>
        <v>0</v>
      </c>
      <c r="L22" s="172">
        <f>'CC f -2'!I33</f>
        <v>0</v>
      </c>
      <c r="M22" s="173"/>
      <c r="N22" s="173">
        <f>CEILING('CC f -2'!F33,500)</f>
        <v>49000</v>
      </c>
      <c r="O22" s="173"/>
      <c r="P22" s="173"/>
      <c r="R22" s="174" t="s">
        <v>465</v>
      </c>
    </row>
    <row r="23" spans="1:19" s="174" customFormat="1" ht="22.5" hidden="1" customHeight="1">
      <c r="A23" s="167" t="s">
        <v>463</v>
      </c>
      <c r="B23" s="168"/>
      <c r="C23" s="170" t="s">
        <v>762</v>
      </c>
      <c r="D23" s="169">
        <f>'CC f -2'!D34</f>
        <v>0</v>
      </c>
      <c r="E23" s="169" t="str">
        <f t="shared" ref="E23:E27" si="20">A23</f>
        <v>4</v>
      </c>
      <c r="F23" s="203" t="s">
        <v>1141</v>
      </c>
      <c r="G23" s="171"/>
      <c r="H23" s="169">
        <f t="shared" ref="H23:H27" si="21">CEILING(D23,0.2)</f>
        <v>0</v>
      </c>
      <c r="I23" s="171" t="s">
        <v>29</v>
      </c>
      <c r="J23" s="172">
        <f t="shared" ref="J23:J27" si="22">CEILING(N23,100)</f>
        <v>48500</v>
      </c>
      <c r="K23" s="172"/>
      <c r="L23" s="172">
        <f>'CC f -2'!I34</f>
        <v>0</v>
      </c>
      <c r="M23" s="173"/>
      <c r="N23" s="173">
        <f>CEILING('CC f -2'!F34,500)</f>
        <v>48500</v>
      </c>
      <c r="O23" s="173"/>
      <c r="P23" s="173"/>
      <c r="R23" s="174" t="s">
        <v>465</v>
      </c>
    </row>
    <row r="24" spans="1:19" s="174" customFormat="1" ht="22.5" hidden="1" customHeight="1">
      <c r="A24" s="167" t="s">
        <v>466</v>
      </c>
      <c r="B24" s="168"/>
      <c r="C24" s="170" t="s">
        <v>762</v>
      </c>
      <c r="D24" s="169">
        <f>'CC f -2'!D35</f>
        <v>0</v>
      </c>
      <c r="E24" s="169" t="str">
        <f t="shared" si="20"/>
        <v>7</v>
      </c>
      <c r="F24" s="203" t="s">
        <v>1141</v>
      </c>
      <c r="G24" s="171"/>
      <c r="H24" s="169"/>
      <c r="I24" s="171" t="s">
        <v>29</v>
      </c>
      <c r="J24" s="172">
        <f t="shared" si="22"/>
        <v>63000</v>
      </c>
      <c r="K24" s="172">
        <f t="shared" ref="K24:K27" si="23">ROUND(H24*J24,20)</f>
        <v>0</v>
      </c>
      <c r="L24" s="172">
        <f>'CC f -2'!I35</f>
        <v>0</v>
      </c>
      <c r="M24" s="173"/>
      <c r="N24" s="173">
        <f>CEILING('CC f -2'!F35,500)</f>
        <v>63000</v>
      </c>
      <c r="O24" s="173"/>
      <c r="P24" s="173"/>
      <c r="R24" s="174" t="s">
        <v>465</v>
      </c>
    </row>
    <row r="25" spans="1:19" s="174" customFormat="1" ht="22.5" hidden="1" customHeight="1">
      <c r="A25" s="167" t="s">
        <v>466</v>
      </c>
      <c r="B25" s="168"/>
      <c r="C25" s="170" t="s">
        <v>762</v>
      </c>
      <c r="D25" s="169">
        <f>'CC f -2'!D36</f>
        <v>0</v>
      </c>
      <c r="E25" s="169" t="str">
        <f t="shared" si="20"/>
        <v>7</v>
      </c>
      <c r="F25" s="203" t="s">
        <v>1141</v>
      </c>
      <c r="G25" s="171"/>
      <c r="H25" s="169">
        <f t="shared" si="21"/>
        <v>0</v>
      </c>
      <c r="I25" s="171" t="s">
        <v>29</v>
      </c>
      <c r="J25" s="172">
        <f t="shared" si="22"/>
        <v>72000</v>
      </c>
      <c r="K25" s="172">
        <f t="shared" si="23"/>
        <v>0</v>
      </c>
      <c r="L25" s="172">
        <f>'CC f -2'!I36</f>
        <v>0</v>
      </c>
      <c r="M25" s="173"/>
      <c r="N25" s="173">
        <f>CEILING('CC f -2'!F36,500)</f>
        <v>72000</v>
      </c>
      <c r="O25" s="173"/>
      <c r="P25" s="173"/>
      <c r="R25" s="174" t="s">
        <v>465</v>
      </c>
    </row>
    <row r="26" spans="1:19" s="174" customFormat="1" ht="22.5" hidden="1" customHeight="1">
      <c r="A26" s="167" t="s">
        <v>466</v>
      </c>
      <c r="B26" s="168"/>
      <c r="C26" s="170" t="s">
        <v>762</v>
      </c>
      <c r="D26" s="169">
        <f>'CC f -2'!D37</f>
        <v>0</v>
      </c>
      <c r="E26" s="169" t="str">
        <f t="shared" si="20"/>
        <v>7</v>
      </c>
      <c r="F26" s="203" t="s">
        <v>1141</v>
      </c>
      <c r="G26" s="171"/>
      <c r="H26" s="169">
        <f t="shared" si="21"/>
        <v>0</v>
      </c>
      <c r="I26" s="171" t="s">
        <v>29</v>
      </c>
      <c r="J26" s="172">
        <f t="shared" si="22"/>
        <v>76000</v>
      </c>
      <c r="K26" s="172">
        <f t="shared" si="23"/>
        <v>0</v>
      </c>
      <c r="L26" s="172">
        <f>'CC f -2'!I37</f>
        <v>0</v>
      </c>
      <c r="M26" s="173"/>
      <c r="N26" s="173">
        <f>CEILING('CC f -2'!F37,500)</f>
        <v>76000</v>
      </c>
      <c r="O26" s="173"/>
      <c r="P26" s="173"/>
      <c r="R26" s="174" t="s">
        <v>465</v>
      </c>
    </row>
    <row r="27" spans="1:19" s="174" customFormat="1" ht="22.5" hidden="1" customHeight="1">
      <c r="A27" s="167" t="s">
        <v>466</v>
      </c>
      <c r="B27" s="168"/>
      <c r="C27" s="170" t="s">
        <v>762</v>
      </c>
      <c r="D27" s="169">
        <f>'CC f -2'!D38</f>
        <v>0</v>
      </c>
      <c r="E27" s="169" t="str">
        <f t="shared" si="20"/>
        <v>7</v>
      </c>
      <c r="F27" s="203" t="s">
        <v>1141</v>
      </c>
      <c r="G27" s="171"/>
      <c r="H27" s="169">
        <f t="shared" si="21"/>
        <v>0</v>
      </c>
      <c r="I27" s="171" t="s">
        <v>29</v>
      </c>
      <c r="J27" s="172">
        <f t="shared" si="22"/>
        <v>35000</v>
      </c>
      <c r="K27" s="172">
        <f t="shared" si="23"/>
        <v>0</v>
      </c>
      <c r="L27" s="172">
        <f>'CC f -2'!I38</f>
        <v>0</v>
      </c>
      <c r="M27" s="173"/>
      <c r="N27" s="173">
        <f>CEILING('CC f -2'!F38,500)</f>
        <v>35000</v>
      </c>
      <c r="O27" s="173"/>
      <c r="P27" s="173"/>
      <c r="R27" s="174" t="s">
        <v>465</v>
      </c>
    </row>
    <row r="28" spans="1:19" s="174" customFormat="1" ht="22.5" customHeight="1">
      <c r="A28" s="167" t="s">
        <v>462</v>
      </c>
      <c r="B28" s="168"/>
      <c r="C28" s="170" t="s">
        <v>763</v>
      </c>
      <c r="D28" s="169"/>
      <c r="E28" s="169" t="str">
        <f t="shared" si="2"/>
        <v>3</v>
      </c>
      <c r="F28" s="203" t="s">
        <v>1141</v>
      </c>
      <c r="G28" s="171"/>
      <c r="H28" s="169">
        <v>1</v>
      </c>
      <c r="I28" s="171" t="s">
        <v>115</v>
      </c>
      <c r="J28" s="172">
        <f>CEILING(L28,100)</f>
        <v>33900</v>
      </c>
      <c r="K28" s="172">
        <f t="shared" si="0"/>
        <v>33900</v>
      </c>
      <c r="L28" s="172">
        <f>'CC f -2'!I30</f>
        <v>33819</v>
      </c>
      <c r="M28" s="173">
        <f>D28/2.83</f>
        <v>0</v>
      </c>
      <c r="N28" s="173">
        <f>'CC f -2'!F39*2.83</f>
        <v>0</v>
      </c>
      <c r="O28" s="173"/>
      <c r="P28" s="173"/>
      <c r="R28" s="174" t="s">
        <v>465</v>
      </c>
    </row>
    <row r="29" spans="1:19" s="174" customFormat="1" ht="22.5" hidden="1" customHeight="1">
      <c r="A29" s="167" t="s">
        <v>464</v>
      </c>
      <c r="B29" s="175"/>
      <c r="C29" s="176" t="s">
        <v>1138</v>
      </c>
      <c r="D29" s="169"/>
      <c r="E29" s="169"/>
      <c r="F29" s="204"/>
      <c r="G29" s="177"/>
      <c r="H29" s="169"/>
      <c r="I29" s="171"/>
      <c r="J29" s="172"/>
      <c r="K29" s="172">
        <f>'CC f -2'!I17</f>
        <v>0</v>
      </c>
      <c r="L29" s="172">
        <f>K29</f>
        <v>0</v>
      </c>
      <c r="M29" s="173"/>
      <c r="N29" s="173"/>
      <c r="O29" s="173"/>
      <c r="P29" s="173"/>
    </row>
    <row r="30" spans="1:19" s="174" customFormat="1" ht="22.5" customHeight="1">
      <c r="A30" s="167"/>
      <c r="B30" s="175"/>
      <c r="C30" s="176"/>
      <c r="D30" s="169"/>
      <c r="E30" s="169"/>
      <c r="F30" s="204"/>
      <c r="G30" s="177"/>
      <c r="H30" s="169"/>
      <c r="I30" s="171"/>
      <c r="J30" s="172"/>
      <c r="K30" s="172"/>
      <c r="L30" s="172"/>
      <c r="M30" s="173"/>
      <c r="N30" s="173"/>
      <c r="O30" s="173"/>
      <c r="P30" s="173"/>
    </row>
    <row r="31" spans="1:19" s="174" customFormat="1" ht="22.5" customHeight="1">
      <c r="A31" s="167"/>
      <c r="B31" s="175"/>
      <c r="C31" s="176"/>
      <c r="D31" s="169"/>
      <c r="E31" s="169"/>
      <c r="F31" s="204"/>
      <c r="G31" s="177"/>
      <c r="H31" s="169"/>
      <c r="I31" s="178"/>
      <c r="J31" s="172"/>
      <c r="K31" s="179">
        <f>SUM(K10:K29)</f>
        <v>59025</v>
      </c>
      <c r="L31" s="179">
        <f>SUM(L10:L29)</f>
        <v>57384</v>
      </c>
      <c r="M31" s="173">
        <f>'CC f -2'!H47-'CC f -2'!H41-'CC f -2'!H40</f>
        <v>57398</v>
      </c>
      <c r="N31" s="173">
        <f>L31-M31</f>
        <v>-14</v>
      </c>
      <c r="O31" s="173"/>
    </row>
    <row r="32" spans="1:19" ht="24.75" customHeight="1">
      <c r="A32" s="174"/>
      <c r="B32" s="180"/>
      <c r="M32" s="183">
        <f>K31-L31</f>
        <v>1641</v>
      </c>
      <c r="N32" s="183"/>
      <c r="O32" s="183"/>
    </row>
    <row r="33" spans="1:15" ht="24.75" customHeight="1">
      <c r="A33" s="174"/>
      <c r="B33" s="180"/>
      <c r="M33" s="183"/>
      <c r="N33" s="183"/>
      <c r="O33" s="183"/>
    </row>
    <row r="34" spans="1:15">
      <c r="A34" s="174"/>
      <c r="B34" s="180"/>
      <c r="D34" s="220" t="str">
        <f>'lead 19-20'!H31</f>
        <v>Deputy Executive Engineer</v>
      </c>
      <c r="E34" s="206"/>
      <c r="F34" s="184"/>
      <c r="G34" s="184"/>
      <c r="J34" s="184" t="str">
        <f>'CERTI '!H23</f>
        <v>Assistant  Engineer</v>
      </c>
      <c r="K34" s="185"/>
    </row>
    <row r="35" spans="1:15">
      <c r="A35" s="174"/>
      <c r="B35" s="180"/>
      <c r="D35" s="220" t="str">
        <f>'lead 19-20'!H32</f>
        <v>PRI Sub Division</v>
      </c>
      <c r="E35" s="206"/>
      <c r="F35" s="184"/>
      <c r="G35" s="184"/>
      <c r="J35" s="184" t="str">
        <f>'CERTI '!H24</f>
        <v>Mandal Praja parishad</v>
      </c>
    </row>
    <row r="36" spans="1:15">
      <c r="A36" s="174"/>
      <c r="B36" s="180"/>
      <c r="D36" s="220" t="str">
        <f>'lead 19-20'!H33</f>
        <v>Kanigiri</v>
      </c>
      <c r="J36" s="184" t="str">
        <f>'CERTI '!H25</f>
        <v>Kanigiri</v>
      </c>
    </row>
    <row r="37" spans="1:15">
      <c r="A37" s="174"/>
      <c r="B37" s="180"/>
    </row>
    <row r="38" spans="1:15" s="181" customFormat="1">
      <c r="A38" s="174"/>
      <c r="B38" s="180"/>
      <c r="C38" s="153"/>
      <c r="E38" s="182"/>
      <c r="F38" s="153"/>
      <c r="G38" s="153"/>
      <c r="H38" s="153"/>
      <c r="I38" s="153"/>
      <c r="J38" s="182"/>
      <c r="K38" s="182"/>
      <c r="L38" s="153"/>
      <c r="M38" s="153"/>
    </row>
    <row r="39" spans="1:15" s="181" customFormat="1">
      <c r="A39" s="174"/>
      <c r="B39" s="180"/>
      <c r="C39" s="153"/>
      <c r="E39" s="182"/>
      <c r="F39" s="153"/>
      <c r="G39" s="153"/>
      <c r="H39" s="153"/>
      <c r="I39" s="153"/>
      <c r="J39" s="182"/>
      <c r="K39" s="182"/>
      <c r="L39" s="153"/>
      <c r="M39" s="153"/>
    </row>
    <row r="40" spans="1:15" s="181" customFormat="1">
      <c r="A40" s="174"/>
      <c r="B40" s="180"/>
      <c r="C40" s="153"/>
      <c r="E40" s="182"/>
      <c r="F40" s="153"/>
      <c r="G40" s="153"/>
      <c r="H40" s="153"/>
      <c r="I40" s="153"/>
      <c r="J40" s="182"/>
      <c r="K40" s="182"/>
      <c r="L40" s="153"/>
      <c r="M40" s="153"/>
    </row>
    <row r="41" spans="1:15" s="181" customFormat="1">
      <c r="A41" s="174"/>
      <c r="B41" s="180"/>
      <c r="C41" s="153"/>
      <c r="E41" s="182"/>
      <c r="F41" s="153"/>
      <c r="G41" s="153"/>
      <c r="H41" s="153"/>
      <c r="I41" s="153"/>
      <c r="J41" s="182"/>
      <c r="K41" s="182"/>
      <c r="L41" s="153"/>
      <c r="M41" s="153"/>
    </row>
    <row r="42" spans="1:15" s="181" customFormat="1">
      <c r="A42" s="174"/>
      <c r="B42" s="153"/>
      <c r="C42" s="153"/>
      <c r="E42" s="182"/>
      <c r="F42" s="153"/>
      <c r="G42" s="153"/>
      <c r="H42" s="153"/>
      <c r="I42" s="153"/>
      <c r="J42" s="182"/>
      <c r="K42" s="182"/>
      <c r="L42" s="153"/>
      <c r="M42" s="153"/>
    </row>
    <row r="43" spans="1:15" s="181" customFormat="1">
      <c r="A43" s="174"/>
      <c r="B43" s="153"/>
      <c r="C43" s="153"/>
      <c r="E43" s="182"/>
      <c r="F43" s="153"/>
      <c r="G43" s="153"/>
      <c r="H43" s="153"/>
      <c r="I43" s="153"/>
      <c r="J43" s="182"/>
      <c r="K43" s="182"/>
      <c r="L43" s="153"/>
      <c r="M43" s="153"/>
    </row>
    <row r="44" spans="1:15" s="181" customFormat="1">
      <c r="A44" s="174"/>
      <c r="B44" s="153"/>
      <c r="C44" s="153"/>
      <c r="E44" s="182"/>
      <c r="F44" s="153"/>
      <c r="G44" s="153"/>
      <c r="H44" s="153"/>
      <c r="I44" s="153"/>
      <c r="J44" s="182"/>
      <c r="K44" s="182"/>
      <c r="L44" s="153"/>
      <c r="M44" s="153"/>
    </row>
    <row r="45" spans="1:15" s="181" customFormat="1">
      <c r="A45" s="174"/>
      <c r="B45" s="153"/>
      <c r="C45" s="153"/>
      <c r="E45" s="182"/>
      <c r="F45" s="153"/>
      <c r="G45" s="153"/>
      <c r="H45" s="153"/>
      <c r="I45" s="153"/>
      <c r="J45" s="182"/>
      <c r="K45" s="182"/>
      <c r="L45" s="153"/>
      <c r="M45" s="153"/>
    </row>
    <row r="46" spans="1:15" s="181" customFormat="1">
      <c r="A46" s="174"/>
      <c r="B46" s="153"/>
      <c r="C46" s="153"/>
      <c r="E46" s="182"/>
      <c r="F46" s="153"/>
      <c r="G46" s="153"/>
      <c r="H46" s="153"/>
      <c r="I46" s="153"/>
      <c r="J46" s="182"/>
      <c r="K46" s="182"/>
      <c r="L46" s="153"/>
      <c r="M46" s="153"/>
    </row>
    <row r="47" spans="1:15" s="181" customFormat="1">
      <c r="A47" s="174"/>
      <c r="B47" s="153"/>
      <c r="C47" s="153"/>
      <c r="E47" s="182"/>
      <c r="F47" s="153"/>
      <c r="G47" s="153"/>
      <c r="H47" s="153"/>
      <c r="I47" s="153"/>
      <c r="J47" s="182"/>
      <c r="K47" s="182"/>
      <c r="L47" s="153"/>
      <c r="M47" s="153"/>
    </row>
    <row r="48" spans="1:15" s="181" customFormat="1">
      <c r="A48" s="174"/>
      <c r="B48" s="153"/>
      <c r="C48" s="153"/>
      <c r="E48" s="182"/>
      <c r="F48" s="153"/>
      <c r="G48" s="153"/>
      <c r="H48" s="153"/>
      <c r="I48" s="153"/>
      <c r="J48" s="182"/>
      <c r="K48" s="182"/>
      <c r="L48" s="153"/>
      <c r="M48" s="153"/>
    </row>
    <row r="49" spans="1:13" s="181" customFormat="1">
      <c r="A49" s="174"/>
      <c r="B49" s="153"/>
      <c r="C49" s="153"/>
      <c r="E49" s="182"/>
      <c r="F49" s="153"/>
      <c r="G49" s="153"/>
      <c r="H49" s="153"/>
      <c r="I49" s="153"/>
      <c r="J49" s="182"/>
      <c r="K49" s="182"/>
      <c r="L49" s="153"/>
      <c r="M49" s="153"/>
    </row>
    <row r="50" spans="1:13" s="181" customFormat="1">
      <c r="A50" s="174"/>
      <c r="B50" s="153"/>
      <c r="C50" s="153"/>
      <c r="E50" s="182"/>
      <c r="F50" s="153"/>
      <c r="G50" s="153"/>
      <c r="H50" s="153"/>
      <c r="I50" s="153"/>
      <c r="J50" s="182"/>
      <c r="K50" s="182"/>
      <c r="L50" s="153"/>
      <c r="M50" s="153"/>
    </row>
    <row r="51" spans="1:13" s="181" customFormat="1">
      <c r="A51" s="174"/>
      <c r="B51" s="153"/>
      <c r="C51" s="153"/>
      <c r="E51" s="182"/>
      <c r="F51" s="153"/>
      <c r="G51" s="153"/>
      <c r="H51" s="153"/>
      <c r="I51" s="153"/>
      <c r="J51" s="182"/>
      <c r="K51" s="182"/>
      <c r="L51" s="153"/>
      <c r="M51" s="153"/>
    </row>
    <row r="52" spans="1:13" s="181" customFormat="1">
      <c r="A52" s="174"/>
      <c r="B52" s="153"/>
      <c r="C52" s="153"/>
      <c r="E52" s="182"/>
      <c r="F52" s="153"/>
      <c r="G52" s="153"/>
      <c r="H52" s="153"/>
      <c r="I52" s="153"/>
      <c r="J52" s="182"/>
      <c r="K52" s="182"/>
      <c r="L52" s="153"/>
      <c r="M52" s="153"/>
    </row>
    <row r="53" spans="1:13" s="181" customFormat="1">
      <c r="A53" s="174"/>
      <c r="B53" s="153"/>
      <c r="C53" s="153"/>
      <c r="E53" s="182"/>
      <c r="F53" s="153"/>
      <c r="G53" s="153"/>
      <c r="H53" s="153"/>
      <c r="I53" s="153"/>
      <c r="J53" s="182"/>
      <c r="K53" s="182"/>
      <c r="L53" s="153"/>
      <c r="M53" s="153"/>
    </row>
    <row r="54" spans="1:13">
      <c r="A54" s="174"/>
    </row>
    <row r="55" spans="1:13">
      <c r="A55" s="174"/>
    </row>
    <row r="56" spans="1:13">
      <c r="A56" s="174"/>
    </row>
    <row r="57" spans="1:13">
      <c r="A57" s="174"/>
    </row>
    <row r="58" spans="1:13">
      <c r="A58" s="174"/>
    </row>
    <row r="59" spans="1:13">
      <c r="A59" s="174"/>
    </row>
    <row r="60" spans="1:13">
      <c r="A60" s="174"/>
    </row>
    <row r="61" spans="1:13">
      <c r="A61" s="174"/>
    </row>
    <row r="62" spans="1:13">
      <c r="A62" s="174"/>
    </row>
    <row r="63" spans="1:13">
      <c r="A63" s="174"/>
    </row>
    <row r="64" spans="1:13">
      <c r="A64" s="174"/>
    </row>
    <row r="65" spans="1:11">
      <c r="A65" s="174"/>
    </row>
    <row r="66" spans="1:11">
      <c r="A66" s="174"/>
    </row>
    <row r="67" spans="1:11">
      <c r="A67" s="174"/>
    </row>
    <row r="68" spans="1:11">
      <c r="A68" s="174"/>
    </row>
    <row r="69" spans="1:11">
      <c r="A69" s="174"/>
      <c r="D69" s="153"/>
      <c r="J69" s="153"/>
      <c r="K69" s="153"/>
    </row>
    <row r="70" spans="1:11">
      <c r="A70" s="174"/>
      <c r="D70" s="153"/>
      <c r="J70" s="153"/>
      <c r="K70" s="153"/>
    </row>
    <row r="71" spans="1:11">
      <c r="A71" s="174"/>
      <c r="D71" s="153"/>
      <c r="J71" s="153"/>
      <c r="K71" s="153"/>
    </row>
    <row r="72" spans="1:11">
      <c r="A72" s="174"/>
      <c r="D72" s="153"/>
      <c r="J72" s="153"/>
      <c r="K72" s="153"/>
    </row>
    <row r="73" spans="1:11">
      <c r="A73" s="174"/>
      <c r="D73" s="153"/>
      <c r="J73" s="153"/>
      <c r="K73" s="153"/>
    </row>
    <row r="74" spans="1:11">
      <c r="A74" s="174"/>
      <c r="D74" s="153"/>
      <c r="J74" s="153"/>
      <c r="K74" s="153"/>
    </row>
    <row r="75" spans="1:11">
      <c r="A75" s="174"/>
      <c r="D75" s="153"/>
      <c r="J75" s="153"/>
      <c r="K75" s="153"/>
    </row>
    <row r="76" spans="1:11">
      <c r="A76" s="174"/>
      <c r="D76" s="153"/>
      <c r="J76" s="153"/>
      <c r="K76" s="153"/>
    </row>
    <row r="77" spans="1:11">
      <c r="A77" s="174"/>
      <c r="D77" s="153"/>
      <c r="J77" s="153"/>
      <c r="K77" s="153"/>
    </row>
    <row r="78" spans="1:11">
      <c r="A78" s="174"/>
      <c r="D78" s="153"/>
      <c r="J78" s="153"/>
      <c r="K78" s="153"/>
    </row>
    <row r="79" spans="1:11">
      <c r="A79" s="174"/>
      <c r="D79" s="153"/>
      <c r="J79" s="153"/>
      <c r="K79" s="153"/>
    </row>
    <row r="80" spans="1:11">
      <c r="A80" s="174"/>
      <c r="D80" s="153"/>
      <c r="J80" s="153"/>
      <c r="K80" s="153"/>
    </row>
    <row r="81" spans="1:11">
      <c r="A81" s="174"/>
      <c r="D81" s="153"/>
      <c r="J81" s="153"/>
      <c r="K81" s="153"/>
    </row>
    <row r="82" spans="1:11">
      <c r="A82" s="174"/>
      <c r="D82" s="153"/>
      <c r="J82" s="153"/>
      <c r="K82" s="153"/>
    </row>
    <row r="83" spans="1:11">
      <c r="A83" s="174"/>
      <c r="D83" s="153"/>
      <c r="J83" s="153"/>
      <c r="K83" s="153"/>
    </row>
    <row r="84" spans="1:11">
      <c r="A84" s="174"/>
      <c r="D84" s="153"/>
      <c r="J84" s="153"/>
      <c r="K84" s="153"/>
    </row>
    <row r="85" spans="1:11">
      <c r="A85" s="174"/>
      <c r="D85" s="153"/>
      <c r="J85" s="153"/>
      <c r="K85" s="153"/>
    </row>
    <row r="86" spans="1:11">
      <c r="A86" s="174"/>
      <c r="D86" s="153"/>
      <c r="J86" s="153"/>
      <c r="K86" s="153"/>
    </row>
    <row r="87" spans="1:11">
      <c r="A87" s="174"/>
      <c r="D87" s="153"/>
      <c r="J87" s="153"/>
      <c r="K87" s="153"/>
    </row>
    <row r="88" spans="1:11">
      <c r="A88" s="174"/>
      <c r="D88" s="153"/>
      <c r="J88" s="153"/>
      <c r="K88" s="153"/>
    </row>
    <row r="89" spans="1:11">
      <c r="A89" s="174"/>
      <c r="D89" s="153"/>
      <c r="J89" s="153"/>
      <c r="K89" s="153"/>
    </row>
    <row r="90" spans="1:11">
      <c r="A90" s="174"/>
      <c r="D90" s="153"/>
      <c r="J90" s="153"/>
      <c r="K90" s="153"/>
    </row>
    <row r="91" spans="1:11">
      <c r="A91" s="174"/>
      <c r="D91" s="153"/>
      <c r="J91" s="153"/>
      <c r="K91" s="153"/>
    </row>
    <row r="92" spans="1:11">
      <c r="A92" s="174"/>
      <c r="D92" s="153"/>
      <c r="J92" s="153"/>
      <c r="K92" s="153"/>
    </row>
    <row r="93" spans="1:11">
      <c r="A93" s="174"/>
      <c r="D93" s="153"/>
      <c r="J93" s="153"/>
      <c r="K93" s="153"/>
    </row>
    <row r="94" spans="1:11">
      <c r="A94" s="174"/>
      <c r="D94" s="153"/>
      <c r="J94" s="153"/>
      <c r="K94" s="153"/>
    </row>
    <row r="95" spans="1:11">
      <c r="A95" s="174"/>
      <c r="D95" s="153"/>
      <c r="J95" s="153"/>
      <c r="K95" s="153"/>
    </row>
    <row r="96" spans="1:11">
      <c r="A96" s="174"/>
      <c r="D96" s="153"/>
      <c r="J96" s="153"/>
      <c r="K96" s="153"/>
    </row>
    <row r="97" spans="1:11">
      <c r="A97" s="174"/>
      <c r="D97" s="153"/>
      <c r="J97" s="153"/>
      <c r="K97" s="153"/>
    </row>
    <row r="98" spans="1:11">
      <c r="A98" s="174"/>
      <c r="D98" s="153"/>
      <c r="J98" s="153"/>
      <c r="K98" s="153"/>
    </row>
    <row r="99" spans="1:11">
      <c r="A99" s="174"/>
      <c r="D99" s="153"/>
      <c r="J99" s="153"/>
      <c r="K99" s="153"/>
    </row>
    <row r="100" spans="1:11">
      <c r="A100" s="174"/>
      <c r="D100" s="153"/>
      <c r="J100" s="153"/>
      <c r="K100" s="153"/>
    </row>
    <row r="101" spans="1:11">
      <c r="A101" s="174"/>
      <c r="D101" s="153"/>
      <c r="J101" s="153"/>
      <c r="K101" s="153"/>
    </row>
    <row r="102" spans="1:11">
      <c r="A102" s="174"/>
      <c r="D102" s="153"/>
      <c r="J102" s="153"/>
      <c r="K102" s="153"/>
    </row>
    <row r="103" spans="1:11">
      <c r="A103" s="174"/>
      <c r="D103" s="153"/>
      <c r="J103" s="153"/>
      <c r="K103" s="153"/>
    </row>
    <row r="104" spans="1:11">
      <c r="A104" s="174"/>
      <c r="D104" s="153"/>
      <c r="J104" s="153"/>
      <c r="K104" s="153"/>
    </row>
    <row r="105" spans="1:11">
      <c r="A105" s="174"/>
      <c r="D105" s="153"/>
      <c r="J105" s="153"/>
      <c r="K105" s="153"/>
    </row>
    <row r="106" spans="1:11">
      <c r="A106" s="174"/>
      <c r="D106" s="153"/>
      <c r="J106" s="153"/>
      <c r="K106" s="153"/>
    </row>
    <row r="107" spans="1:11">
      <c r="A107" s="174"/>
      <c r="D107" s="153"/>
      <c r="J107" s="153"/>
      <c r="K107" s="153"/>
    </row>
    <row r="108" spans="1:11">
      <c r="A108" s="174"/>
      <c r="D108" s="153"/>
      <c r="J108" s="153"/>
      <c r="K108" s="153"/>
    </row>
    <row r="109" spans="1:11">
      <c r="A109" s="174"/>
      <c r="D109" s="153"/>
      <c r="J109" s="153"/>
      <c r="K109" s="153"/>
    </row>
    <row r="110" spans="1:11">
      <c r="A110" s="174"/>
      <c r="D110" s="153"/>
      <c r="J110" s="153"/>
      <c r="K110" s="153"/>
    </row>
    <row r="111" spans="1:11">
      <c r="A111" s="174"/>
      <c r="D111" s="153"/>
      <c r="J111" s="153"/>
      <c r="K111" s="153"/>
    </row>
    <row r="112" spans="1:11">
      <c r="A112" s="174"/>
      <c r="D112" s="153"/>
      <c r="J112" s="153"/>
      <c r="K112" s="153"/>
    </row>
    <row r="113" spans="1:11">
      <c r="A113" s="174"/>
      <c r="D113" s="153"/>
      <c r="J113" s="153"/>
      <c r="K113" s="153"/>
    </row>
    <row r="114" spans="1:11">
      <c r="A114" s="174"/>
      <c r="D114" s="153"/>
      <c r="J114" s="153"/>
      <c r="K114" s="153"/>
    </row>
    <row r="115" spans="1:11">
      <c r="A115" s="174"/>
      <c r="D115" s="153"/>
      <c r="J115" s="153"/>
      <c r="K115" s="153"/>
    </row>
    <row r="116" spans="1:11">
      <c r="A116" s="174"/>
      <c r="D116" s="153"/>
      <c r="J116" s="153"/>
      <c r="K116" s="153"/>
    </row>
    <row r="117" spans="1:11">
      <c r="A117" s="174"/>
      <c r="D117" s="153"/>
      <c r="J117" s="153"/>
      <c r="K117" s="153"/>
    </row>
    <row r="118" spans="1:11">
      <c r="A118" s="174"/>
      <c r="D118" s="153"/>
      <c r="J118" s="153"/>
      <c r="K118" s="153"/>
    </row>
    <row r="119" spans="1:11">
      <c r="A119" s="174"/>
      <c r="D119" s="153"/>
      <c r="J119" s="153"/>
      <c r="K119" s="153"/>
    </row>
    <row r="120" spans="1:11">
      <c r="A120" s="174"/>
      <c r="D120" s="153"/>
      <c r="J120" s="153"/>
      <c r="K120" s="153"/>
    </row>
    <row r="121" spans="1:11">
      <c r="A121" s="174"/>
      <c r="D121" s="153"/>
      <c r="J121" s="153"/>
      <c r="K121" s="153"/>
    </row>
    <row r="122" spans="1:11">
      <c r="A122" s="174"/>
      <c r="D122" s="153"/>
      <c r="J122" s="153"/>
      <c r="K122" s="153"/>
    </row>
    <row r="123" spans="1:11">
      <c r="A123" s="174"/>
      <c r="D123" s="153"/>
      <c r="J123" s="153"/>
      <c r="K123" s="153"/>
    </row>
    <row r="124" spans="1:11">
      <c r="A124" s="174"/>
      <c r="D124" s="153"/>
      <c r="J124" s="153"/>
      <c r="K124" s="153"/>
    </row>
    <row r="125" spans="1:11">
      <c r="A125" s="174"/>
      <c r="D125" s="153"/>
      <c r="J125" s="153"/>
      <c r="K125" s="153"/>
    </row>
    <row r="126" spans="1:11">
      <c r="A126" s="174"/>
      <c r="D126" s="153"/>
      <c r="J126" s="153"/>
      <c r="K126" s="153"/>
    </row>
    <row r="127" spans="1:11">
      <c r="A127" s="174"/>
      <c r="D127" s="153"/>
      <c r="J127" s="153"/>
      <c r="K127" s="153"/>
    </row>
    <row r="128" spans="1:11">
      <c r="A128" s="174"/>
      <c r="D128" s="153"/>
      <c r="J128" s="153"/>
      <c r="K128" s="153"/>
    </row>
    <row r="129" spans="1:11">
      <c r="A129" s="174"/>
      <c r="D129" s="153"/>
      <c r="J129" s="153"/>
      <c r="K129" s="153"/>
    </row>
    <row r="130" spans="1:11">
      <c r="A130" s="174"/>
      <c r="D130" s="153"/>
      <c r="J130" s="153"/>
      <c r="K130" s="153"/>
    </row>
    <row r="131" spans="1:11">
      <c r="A131" s="174"/>
      <c r="D131" s="153"/>
      <c r="J131" s="153"/>
      <c r="K131" s="153"/>
    </row>
    <row r="132" spans="1:11">
      <c r="A132" s="174"/>
      <c r="D132" s="153"/>
      <c r="J132" s="153"/>
      <c r="K132" s="153"/>
    </row>
    <row r="133" spans="1:11">
      <c r="A133" s="174"/>
      <c r="D133" s="153"/>
      <c r="J133" s="153"/>
      <c r="K133" s="153"/>
    </row>
    <row r="134" spans="1:11">
      <c r="A134" s="174"/>
      <c r="D134" s="153"/>
      <c r="J134" s="153"/>
      <c r="K134" s="153"/>
    </row>
    <row r="135" spans="1:11">
      <c r="A135" s="174"/>
      <c r="D135" s="153"/>
      <c r="J135" s="153"/>
      <c r="K135" s="153"/>
    </row>
    <row r="136" spans="1:11">
      <c r="A136" s="174"/>
      <c r="D136" s="153"/>
      <c r="J136" s="153"/>
      <c r="K136" s="153"/>
    </row>
    <row r="137" spans="1:11">
      <c r="A137" s="174"/>
      <c r="D137" s="153"/>
      <c r="J137" s="153"/>
      <c r="K137" s="153"/>
    </row>
    <row r="138" spans="1:11">
      <c r="A138" s="174"/>
      <c r="D138" s="153"/>
      <c r="J138" s="153"/>
      <c r="K138" s="153"/>
    </row>
    <row r="139" spans="1:11">
      <c r="A139" s="174"/>
      <c r="D139" s="153"/>
      <c r="J139" s="153"/>
      <c r="K139" s="153"/>
    </row>
    <row r="140" spans="1:11">
      <c r="A140" s="174"/>
      <c r="D140" s="153"/>
      <c r="J140" s="153"/>
      <c r="K140" s="153"/>
    </row>
    <row r="141" spans="1:11">
      <c r="A141" s="174"/>
      <c r="D141" s="153"/>
      <c r="J141" s="153"/>
      <c r="K141" s="153"/>
    </row>
    <row r="142" spans="1:11">
      <c r="A142" s="174"/>
      <c r="D142" s="153"/>
      <c r="J142" s="153"/>
      <c r="K142" s="153"/>
    </row>
    <row r="143" spans="1:11">
      <c r="A143" s="174"/>
      <c r="D143" s="153"/>
      <c r="J143" s="153"/>
      <c r="K143" s="153"/>
    </row>
    <row r="144" spans="1:11">
      <c r="A144" s="174"/>
      <c r="D144" s="153"/>
      <c r="J144" s="153"/>
      <c r="K144" s="153"/>
    </row>
  </sheetData>
  <autoFilter ref="A9:L29">
    <filterColumn colId="4" showButton="0"/>
    <filterColumn colId="5" showButton="0"/>
    <filterColumn colId="7" showButton="0"/>
    <filterColumn colId="10">
      <customFilters>
        <customFilter operator="notEqual" val=" "/>
      </customFilters>
    </filterColumn>
  </autoFilter>
  <mergeCells count="12">
    <mergeCell ref="E8:G8"/>
    <mergeCell ref="H8:I8"/>
    <mergeCell ref="E9:G9"/>
    <mergeCell ref="H9:I9"/>
    <mergeCell ref="A1:L1"/>
    <mergeCell ref="A2:L2"/>
    <mergeCell ref="A7:A8"/>
    <mergeCell ref="B7:B8"/>
    <mergeCell ref="C7:C8"/>
    <mergeCell ref="D7:D8"/>
    <mergeCell ref="E7:K7"/>
    <mergeCell ref="L7:L8"/>
  </mergeCells>
  <printOptions horizontalCentered="1"/>
  <pageMargins left="0.23622047244094499" right="0.15748031496063" top="0.35433070866141703" bottom="0.69" header="0.38" footer="0.23622047244094499"/>
  <pageSetup paperSize="9" scale="90" orientation="landscape" errors="blank" r:id="rId1"/>
  <headerFooter alignWithMargins="0"/>
</worksheet>
</file>

<file path=xl/worksheets/sheet48.xml><?xml version="1.0" encoding="utf-8"?>
<worksheet xmlns="http://schemas.openxmlformats.org/spreadsheetml/2006/main" xmlns:r="http://schemas.openxmlformats.org/officeDocument/2006/relationships">
  <sheetPr>
    <tabColor rgb="FF00B050"/>
  </sheetPr>
  <dimension ref="A1:R22"/>
  <sheetViews>
    <sheetView zoomScale="130" zoomScaleNormal="130" zoomScaleSheetLayoutView="115" workbookViewId="0">
      <selection activeCell="J2" sqref="J2"/>
    </sheetView>
  </sheetViews>
  <sheetFormatPr defaultColWidth="9.140625" defaultRowHeight="15"/>
  <cols>
    <col min="1" max="8" width="9.140625" style="186"/>
    <col min="9" max="9" width="8.28515625" style="186" customWidth="1"/>
    <col min="10" max="16384" width="9.140625" style="186"/>
  </cols>
  <sheetData>
    <row r="1" spans="1:18" ht="26.25" customHeight="1">
      <c r="A1" s="2042" t="s">
        <v>764</v>
      </c>
      <c r="B1" s="2042"/>
      <c r="C1" s="2042"/>
      <c r="D1" s="2042"/>
      <c r="E1" s="2042"/>
      <c r="F1" s="2042"/>
      <c r="G1" s="2042"/>
      <c r="H1" s="2042"/>
      <c r="I1" s="2042"/>
    </row>
    <row r="2" spans="1:18" ht="18" customHeight="1">
      <c r="A2" s="2043" t="s">
        <v>765</v>
      </c>
      <c r="B2" s="2043"/>
      <c r="C2" s="2043"/>
      <c r="D2" s="276">
        <f>'voucer part (2)'!K12+'voucer part (2)'!K13</f>
        <v>450</v>
      </c>
      <c r="E2" s="187" t="s">
        <v>766</v>
      </c>
      <c r="F2" s="2044" t="s">
        <v>3856</v>
      </c>
      <c r="G2" s="2044"/>
      <c r="H2" s="2044"/>
      <c r="I2" s="2044"/>
      <c r="K2" s="188"/>
      <c r="L2" s="188"/>
    </row>
    <row r="3" spans="1:18" ht="47.25" customHeight="1">
      <c r="A3" s="2040" t="str">
        <f>"Payment towards the work "&amp;'lead 19-20'!C2&amp;" with Estimate cost for Rs. "&amp;'lead 19-20'!K4&amp;" under MGNREGS + Health Dept + NMH +15th FC Grant during the year 2019-20"</f>
        <v>Payment towards the work Providing Additional Space for Agriculture Staff in  Baduguleru GP of Kanigiri Mandal with Estimate cost for Rs. 21.80 Lakhs under MGNREGS + Health Dept + NMH +15th FC Grant during the year 2019-20</v>
      </c>
      <c r="B3" s="2040"/>
      <c r="C3" s="2040"/>
      <c r="D3" s="2040"/>
      <c r="E3" s="2040"/>
      <c r="F3" s="2040"/>
      <c r="G3" s="2040"/>
      <c r="H3" s="2040"/>
      <c r="I3" s="2040"/>
      <c r="J3" s="189"/>
      <c r="K3" s="189"/>
      <c r="L3" s="189"/>
      <c r="M3" s="189"/>
      <c r="N3" s="189"/>
      <c r="O3" s="189"/>
      <c r="P3" s="189"/>
      <c r="Q3" s="189"/>
      <c r="R3" s="189"/>
    </row>
    <row r="4" spans="1:18" ht="18" customHeight="1">
      <c r="A4" s="2045" t="s">
        <v>767</v>
      </c>
      <c r="B4" s="2045"/>
      <c r="C4" s="2045"/>
      <c r="D4" s="2045"/>
      <c r="E4" s="2046" t="s">
        <v>768</v>
      </c>
      <c r="F4" s="2046"/>
      <c r="G4" s="2046"/>
      <c r="H4" s="190">
        <f>'voucer part (2)'!D12+'voucer part (2)'!D13</f>
        <v>1.9999999999988916E-2</v>
      </c>
      <c r="I4" s="191" t="s">
        <v>5</v>
      </c>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2040" t="s">
        <v>1142</v>
      </c>
      <c r="B18" s="2040"/>
      <c r="C18" s="2040"/>
      <c r="D18" s="2040"/>
      <c r="E18" s="2040"/>
      <c r="F18" s="2040"/>
      <c r="G18" s="2040"/>
      <c r="H18" s="2040"/>
      <c r="I18" s="2040"/>
    </row>
    <row r="19" spans="1:9" ht="45.75" customHeight="1">
      <c r="A19" s="2041" t="str">
        <f>""&amp;'lead 19-20'!C2&amp;" with Estimate Rs. "&amp;'lead 19-20'!K4&amp;" under MGNREGS + Health Dept + NMH +15th FC Grant during the year 2019-20"</f>
        <v>Providing Additional Space for Agriculture Staff in  Baduguleru GP of Kanigiri Mandal with Estimate Rs. 21.80 Lakhs under MGNREGS + Health Dept + NMH +15th FC Grant during the year 2019-20</v>
      </c>
      <c r="B19" s="2041"/>
      <c r="C19" s="2041"/>
      <c r="D19" s="2041"/>
      <c r="E19" s="2041"/>
      <c r="F19" s="2041"/>
      <c r="G19" s="2041"/>
      <c r="H19" s="2041"/>
      <c r="I19" s="2041"/>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49.xml><?xml version="1.0" encoding="utf-8"?>
<worksheet xmlns="http://schemas.openxmlformats.org/spreadsheetml/2006/main" xmlns:r="http://schemas.openxmlformats.org/officeDocument/2006/relationships">
  <sheetPr>
    <tabColor rgb="FF00B050"/>
  </sheetPr>
  <dimension ref="A1:R22"/>
  <sheetViews>
    <sheetView zoomScaleSheetLayoutView="100" workbookViewId="0">
      <selection sqref="A1:I1"/>
    </sheetView>
  </sheetViews>
  <sheetFormatPr defaultColWidth="9.140625" defaultRowHeight="15"/>
  <cols>
    <col min="1" max="8" width="9.140625" style="186"/>
    <col min="9" max="9" width="8.28515625" style="186" customWidth="1"/>
    <col min="10" max="16384" width="9.140625" style="186"/>
  </cols>
  <sheetData>
    <row r="1" spans="1:18" ht="26.25" customHeight="1">
      <c r="A1" s="2042" t="s">
        <v>764</v>
      </c>
      <c r="B1" s="2042"/>
      <c r="C1" s="2042"/>
      <c r="D1" s="2042"/>
      <c r="E1" s="2042"/>
      <c r="F1" s="2042"/>
      <c r="G1" s="2042"/>
      <c r="H1" s="2042"/>
      <c r="I1" s="2042"/>
    </row>
    <row r="2" spans="1:18" ht="18" customHeight="1">
      <c r="A2" s="2043" t="s">
        <v>765</v>
      </c>
      <c r="B2" s="2043"/>
      <c r="C2" s="2043"/>
      <c r="D2" s="194">
        <f>'voucer part (2)'!K14+'voucer part (2)'!K15</f>
        <v>0</v>
      </c>
      <c r="E2" s="187" t="s">
        <v>766</v>
      </c>
      <c r="F2" s="2044" t="s">
        <v>3733</v>
      </c>
      <c r="G2" s="2044"/>
      <c r="H2" s="2044"/>
      <c r="I2" s="2044"/>
      <c r="K2" s="188"/>
      <c r="L2" s="188"/>
    </row>
    <row r="3" spans="1:18" ht="47.25" customHeight="1">
      <c r="A3" s="2040" t="str">
        <f>'1 (2)'!A3:I3</f>
        <v>Payment towards the work Providing Additional Space for Agriculture Staff in  Baduguleru GP of Kanigiri Mandal with Estimate cost for Rs. 21.80 Lakhs under MGNREGS + Health Dept + NMH +15th FC Grant during the year 2019-20</v>
      </c>
      <c r="B3" s="2040"/>
      <c r="C3" s="2040"/>
      <c r="D3" s="2040"/>
      <c r="E3" s="2040"/>
      <c r="F3" s="2040"/>
      <c r="G3" s="2040"/>
      <c r="H3" s="2040"/>
      <c r="I3" s="2040"/>
      <c r="J3" s="189"/>
      <c r="K3" s="189"/>
      <c r="L3" s="189"/>
      <c r="M3" s="189"/>
      <c r="N3" s="189"/>
      <c r="O3" s="189"/>
      <c r="P3" s="189"/>
      <c r="Q3" s="189"/>
      <c r="R3" s="189"/>
    </row>
    <row r="4" spans="1:18" ht="18" customHeight="1">
      <c r="A4" s="2045" t="s">
        <v>767</v>
      </c>
      <c r="B4" s="2045"/>
      <c r="C4" s="2045"/>
      <c r="D4" s="2045"/>
      <c r="E4" s="2046" t="s">
        <v>771</v>
      </c>
      <c r="F4" s="2046"/>
      <c r="G4" s="2046"/>
      <c r="H4" s="190">
        <f>'voucer part (2)'!D14+'voucer part (2)'!D15</f>
        <v>0</v>
      </c>
      <c r="I4" s="191" t="s">
        <v>5</v>
      </c>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2040" t="s">
        <v>1142</v>
      </c>
      <c r="B18" s="2040"/>
      <c r="C18" s="2040"/>
      <c r="D18" s="2040"/>
      <c r="E18" s="2040"/>
      <c r="F18" s="2040"/>
      <c r="G18" s="2040"/>
      <c r="H18" s="2040"/>
      <c r="I18" s="2040"/>
    </row>
    <row r="19" spans="1:9" ht="45.75" customHeight="1">
      <c r="A19" s="2041" t="str">
        <f>'1 (2)'!A19:I19</f>
        <v>Providing Additional Space for Agriculture Staff in  Baduguleru GP of Kanigiri Mandal with Estimate Rs. 21.80 Lakhs under MGNREGS + Health Dept + NMH +15th FC Grant during the year 2019-20</v>
      </c>
      <c r="B19" s="2041"/>
      <c r="C19" s="2041"/>
      <c r="D19" s="2041"/>
      <c r="E19" s="2041"/>
      <c r="F19" s="2041"/>
      <c r="G19" s="2041"/>
      <c r="H19" s="2041"/>
      <c r="I19" s="2041"/>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50.xml><?xml version="1.0" encoding="utf-8"?>
<worksheet xmlns="http://schemas.openxmlformats.org/spreadsheetml/2006/main" xmlns:r="http://schemas.openxmlformats.org/officeDocument/2006/relationships">
  <sheetPr>
    <tabColor rgb="FF00B050"/>
  </sheetPr>
  <dimension ref="A1:R22"/>
  <sheetViews>
    <sheetView zoomScaleSheetLayoutView="100" workbookViewId="0">
      <selection sqref="A1:I1"/>
    </sheetView>
  </sheetViews>
  <sheetFormatPr defaultColWidth="9.140625" defaultRowHeight="15"/>
  <cols>
    <col min="1" max="8" width="9.140625" style="186"/>
    <col min="9" max="9" width="8.28515625" style="186" customWidth="1"/>
    <col min="10" max="16384" width="9.140625" style="186"/>
  </cols>
  <sheetData>
    <row r="1" spans="1:18" ht="26.25" customHeight="1">
      <c r="A1" s="2042" t="s">
        <v>764</v>
      </c>
      <c r="B1" s="2042"/>
      <c r="C1" s="2042"/>
      <c r="D1" s="2042"/>
      <c r="E1" s="2042"/>
      <c r="F1" s="2042"/>
      <c r="G1" s="2042"/>
      <c r="H1" s="2042"/>
      <c r="I1" s="2042"/>
    </row>
    <row r="2" spans="1:18" ht="18" customHeight="1">
      <c r="A2" s="2043" t="s">
        <v>765</v>
      </c>
      <c r="B2" s="2043"/>
      <c r="C2" s="2043"/>
      <c r="D2" s="194">
        <f>'voucer part (2)'!K20+'voucer part (2)'!K21</f>
        <v>0</v>
      </c>
      <c r="E2" s="187" t="s">
        <v>766</v>
      </c>
      <c r="F2" s="2044" t="s">
        <v>2588</v>
      </c>
      <c r="G2" s="2044"/>
      <c r="H2" s="2044"/>
      <c r="I2" s="2044"/>
      <c r="K2" s="188"/>
      <c r="L2" s="188"/>
    </row>
    <row r="3" spans="1:18" ht="47.25" customHeight="1">
      <c r="A3" s="2040" t="str">
        <f>'2 (2)'!A3:I3</f>
        <v>Payment towards the work Providing Additional Space for Agriculture Staff in  Baduguleru GP of Kanigiri Mandal with Estimate cost for Rs. 21.80 Lakhs under MGNREGS + Health Dept + NMH +15th FC Grant during the year 2019-20</v>
      </c>
      <c r="B3" s="2040"/>
      <c r="C3" s="2040"/>
      <c r="D3" s="2040"/>
      <c r="E3" s="2040"/>
      <c r="F3" s="2040"/>
      <c r="G3" s="2040"/>
      <c r="H3" s="2040"/>
      <c r="I3" s="2040"/>
      <c r="J3" s="189"/>
      <c r="K3" s="189"/>
      <c r="L3" s="189"/>
      <c r="M3" s="189"/>
      <c r="N3" s="189"/>
      <c r="O3" s="189"/>
      <c r="P3" s="189"/>
      <c r="Q3" s="189"/>
      <c r="R3" s="189"/>
    </row>
    <row r="4" spans="1:18" ht="18" customHeight="1">
      <c r="A4" s="2045" t="s">
        <v>767</v>
      </c>
      <c r="B4" s="2045"/>
      <c r="C4" s="2045"/>
      <c r="D4" s="2045"/>
      <c r="E4" s="2046" t="s">
        <v>109</v>
      </c>
      <c r="F4" s="2046"/>
      <c r="G4" s="2046"/>
      <c r="H4" s="190">
        <f>'voucer part (2)'!D20+'voucer part (2)'!D21</f>
        <v>0</v>
      </c>
      <c r="I4" s="191" t="s">
        <v>5</v>
      </c>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2040" t="s">
        <v>1142</v>
      </c>
      <c r="B18" s="2040"/>
      <c r="C18" s="2040"/>
      <c r="D18" s="2040"/>
      <c r="E18" s="2040"/>
      <c r="F18" s="2040"/>
      <c r="G18" s="2040"/>
      <c r="H18" s="2040"/>
      <c r="I18" s="2040"/>
    </row>
    <row r="19" spans="1:9" ht="45.75" customHeight="1">
      <c r="A19" s="2041" t="str">
        <f>'2 (2)'!A19:I19</f>
        <v>Providing Additional Space for Agriculture Staff in  Baduguleru GP of Kanigiri Mandal with Estimate Rs. 21.80 Lakhs under MGNREGS + Health Dept + NMH +15th FC Grant during the year 2019-20</v>
      </c>
      <c r="B19" s="2041"/>
      <c r="C19" s="2041"/>
      <c r="D19" s="2041"/>
      <c r="E19" s="2041"/>
      <c r="F19" s="2041"/>
      <c r="G19" s="2041"/>
      <c r="H19" s="2041"/>
      <c r="I19" s="2041"/>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51.xml><?xml version="1.0" encoding="utf-8"?>
<worksheet xmlns="http://schemas.openxmlformats.org/spreadsheetml/2006/main" xmlns:r="http://schemas.openxmlformats.org/officeDocument/2006/relationships">
  <sheetPr>
    <tabColor rgb="FF00B050"/>
  </sheetPr>
  <dimension ref="A1:R22"/>
  <sheetViews>
    <sheetView zoomScaleSheetLayoutView="100" workbookViewId="0">
      <selection activeCell="G6" sqref="G6"/>
    </sheetView>
  </sheetViews>
  <sheetFormatPr defaultColWidth="9.140625" defaultRowHeight="15"/>
  <cols>
    <col min="1" max="3" width="9.140625" style="186"/>
    <col min="4" max="4" width="9.5703125" style="186" bestFit="1" customWidth="1"/>
    <col min="5" max="8" width="9.140625" style="186"/>
    <col min="9" max="9" width="8.28515625" style="186" customWidth="1"/>
    <col min="10" max="16384" width="9.140625" style="186"/>
  </cols>
  <sheetData>
    <row r="1" spans="1:18" ht="26.25" customHeight="1">
      <c r="A1" s="2042" t="s">
        <v>764</v>
      </c>
      <c r="B1" s="2042"/>
      <c r="C1" s="2042"/>
      <c r="D1" s="2042"/>
      <c r="E1" s="2042"/>
      <c r="F1" s="2042"/>
      <c r="G1" s="2042"/>
      <c r="H1" s="2042"/>
      <c r="I1" s="2042"/>
    </row>
    <row r="2" spans="1:18" ht="18" customHeight="1">
      <c r="A2" s="2043" t="s">
        <v>765</v>
      </c>
      <c r="B2" s="2043"/>
      <c r="C2" s="2043"/>
      <c r="D2" s="194">
        <f>'voucer part (2)'!K22</f>
        <v>0</v>
      </c>
      <c r="E2" s="187" t="s">
        <v>766</v>
      </c>
      <c r="F2" s="2044" t="s">
        <v>1139</v>
      </c>
      <c r="G2" s="2044"/>
      <c r="H2" s="2044"/>
      <c r="I2" s="2044"/>
      <c r="K2" s="188"/>
      <c r="L2" s="188"/>
    </row>
    <row r="3" spans="1:18" ht="47.25" customHeight="1">
      <c r="A3" s="2040" t="str">
        <f>'3 (2)'!A3:I3</f>
        <v>Payment towards the work Providing Additional Space for Agriculture Staff in  Baduguleru GP of Kanigiri Mandal with Estimate cost for Rs. 21.80 Lakhs under MGNREGS + Health Dept + NMH +15th FC Grant during the year 2019-20</v>
      </c>
      <c r="B3" s="2040"/>
      <c r="C3" s="2040"/>
      <c r="D3" s="2040"/>
      <c r="E3" s="2040"/>
      <c r="F3" s="2040"/>
      <c r="G3" s="2040"/>
      <c r="H3" s="2040"/>
      <c r="I3" s="2040"/>
      <c r="J3" s="189"/>
      <c r="K3" s="189"/>
      <c r="L3" s="189"/>
      <c r="M3" s="189"/>
      <c r="N3" s="189"/>
      <c r="O3" s="189"/>
      <c r="P3" s="189"/>
      <c r="Q3" s="189"/>
      <c r="R3" s="189"/>
    </row>
    <row r="4" spans="1:18" ht="18" customHeight="1">
      <c r="A4" s="2045" t="s">
        <v>767</v>
      </c>
      <c r="B4" s="2045"/>
      <c r="C4" s="2045"/>
      <c r="D4" s="2045"/>
      <c r="E4" s="2046" t="s">
        <v>772</v>
      </c>
      <c r="F4" s="2046"/>
      <c r="G4" s="2046"/>
      <c r="H4" s="190">
        <f>'voucer part (2)'!D22</f>
        <v>0</v>
      </c>
      <c r="I4" s="191" t="s">
        <v>29</v>
      </c>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2040" t="s">
        <v>1142</v>
      </c>
      <c r="B18" s="2040"/>
      <c r="C18" s="2040"/>
      <c r="D18" s="2040"/>
      <c r="E18" s="2040"/>
      <c r="F18" s="2040"/>
      <c r="G18" s="2040"/>
      <c r="H18" s="2040"/>
      <c r="I18" s="2040"/>
    </row>
    <row r="19" spans="1:9" ht="45.75" customHeight="1">
      <c r="A19" s="2041" t="str">
        <f>'3 (2)'!A19:I19</f>
        <v>Providing Additional Space for Agriculture Staff in  Baduguleru GP of Kanigiri Mandal with Estimate Rs. 21.80 Lakhs under MGNREGS + Health Dept + NMH +15th FC Grant during the year 2019-20</v>
      </c>
      <c r="B19" s="2041"/>
      <c r="C19" s="2041"/>
      <c r="D19" s="2041"/>
      <c r="E19" s="2041"/>
      <c r="F19" s="2041"/>
      <c r="G19" s="2041"/>
      <c r="H19" s="2041"/>
      <c r="I19" s="2041"/>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52.xml><?xml version="1.0" encoding="utf-8"?>
<worksheet xmlns="http://schemas.openxmlformats.org/spreadsheetml/2006/main" xmlns:r="http://schemas.openxmlformats.org/officeDocument/2006/relationships">
  <sheetPr>
    <tabColor rgb="FF00B050"/>
  </sheetPr>
  <dimension ref="A1:R22"/>
  <sheetViews>
    <sheetView zoomScale="130" zoomScaleNormal="130" zoomScaleSheetLayoutView="100" workbookViewId="0">
      <selection activeCell="J2" sqref="J2"/>
    </sheetView>
  </sheetViews>
  <sheetFormatPr defaultColWidth="9.140625" defaultRowHeight="15"/>
  <cols>
    <col min="1" max="3" width="9.140625" style="186"/>
    <col min="4" max="4" width="9.5703125" style="186" bestFit="1" customWidth="1"/>
    <col min="5" max="8" width="9.140625" style="186"/>
    <col min="9" max="9" width="8.28515625" style="186" customWidth="1"/>
    <col min="10" max="16384" width="9.140625" style="186"/>
  </cols>
  <sheetData>
    <row r="1" spans="1:18" ht="26.25" customHeight="1">
      <c r="A1" s="2042" t="s">
        <v>764</v>
      </c>
      <c r="B1" s="2042"/>
      <c r="C1" s="2042"/>
      <c r="D1" s="2042"/>
      <c r="E1" s="2042"/>
      <c r="F1" s="2042"/>
      <c r="G1" s="2042"/>
      <c r="H1" s="2042"/>
      <c r="I1" s="2042"/>
    </row>
    <row r="2" spans="1:18" ht="18" customHeight="1">
      <c r="A2" s="2043" t="s">
        <v>765</v>
      </c>
      <c r="B2" s="2043"/>
      <c r="C2" s="2043"/>
      <c r="D2" s="276">
        <f>'voucer part (2)'!K28</f>
        <v>33900</v>
      </c>
      <c r="E2" s="187" t="s">
        <v>766</v>
      </c>
      <c r="F2" s="2044" t="s">
        <v>3880</v>
      </c>
      <c r="G2" s="2044"/>
      <c r="H2" s="2044"/>
      <c r="I2" s="2044"/>
      <c r="K2" s="188"/>
      <c r="L2" s="188"/>
    </row>
    <row r="3" spans="1:18" ht="47.25" customHeight="1">
      <c r="A3" s="2040" t="str">
        <f>'4 (2)'!A3:I3</f>
        <v>Payment towards the work Providing Additional Space for Agriculture Staff in  Baduguleru GP of Kanigiri Mandal with Estimate cost for Rs. 21.80 Lakhs under MGNREGS + Health Dept + NMH +15th FC Grant during the year 2019-20</v>
      </c>
      <c r="B3" s="2040"/>
      <c r="C3" s="2040"/>
      <c r="D3" s="2040"/>
      <c r="E3" s="2040"/>
      <c r="F3" s="2040"/>
      <c r="G3" s="2040"/>
      <c r="H3" s="2040"/>
      <c r="I3" s="2040"/>
      <c r="J3" s="189"/>
      <c r="K3" s="189"/>
      <c r="L3" s="189"/>
      <c r="M3" s="189"/>
      <c r="N3" s="189"/>
      <c r="O3" s="189"/>
      <c r="P3" s="189"/>
      <c r="Q3" s="189"/>
      <c r="R3" s="189"/>
    </row>
    <row r="4" spans="1:18" ht="18" customHeight="1">
      <c r="A4" s="2045" t="s">
        <v>767</v>
      </c>
      <c r="B4" s="2045"/>
      <c r="C4" s="2045"/>
      <c r="D4" s="2045"/>
      <c r="E4" s="2046" t="s">
        <v>773</v>
      </c>
      <c r="F4" s="2046"/>
      <c r="G4" s="2046"/>
      <c r="H4" s="2046"/>
      <c r="I4" s="2046"/>
      <c r="K4" s="188"/>
      <c r="L4" s="188"/>
    </row>
    <row r="5" spans="1:18" ht="18" customHeight="1">
      <c r="A5" s="192"/>
      <c r="B5" s="192"/>
      <c r="C5" s="192"/>
      <c r="D5" s="192"/>
      <c r="E5" s="192"/>
      <c r="F5" s="192"/>
      <c r="G5" s="192"/>
      <c r="H5" s="192"/>
      <c r="I5" s="192"/>
      <c r="K5" s="188"/>
      <c r="L5" s="188"/>
    </row>
    <row r="6" spans="1:18" ht="18" customHeight="1">
      <c r="A6" s="192"/>
      <c r="B6" s="192"/>
      <c r="C6" s="192"/>
      <c r="D6" s="192"/>
      <c r="E6" s="192"/>
      <c r="F6" s="192"/>
      <c r="G6" s="192"/>
      <c r="H6" s="192"/>
      <c r="I6" s="192"/>
      <c r="K6" s="188"/>
      <c r="L6" s="188"/>
    </row>
    <row r="7" spans="1:18" ht="18" customHeight="1">
      <c r="A7" s="192"/>
      <c r="B7" s="192"/>
      <c r="C7" s="192"/>
      <c r="D7" s="192"/>
      <c r="E7" s="192"/>
      <c r="F7" s="192"/>
      <c r="G7" s="192"/>
      <c r="H7" s="192"/>
      <c r="I7" s="192"/>
      <c r="K7" s="188"/>
      <c r="L7" s="188"/>
    </row>
    <row r="13" spans="1:18">
      <c r="B13" s="186" t="s">
        <v>769</v>
      </c>
      <c r="H13" s="186" t="s">
        <v>770</v>
      </c>
    </row>
    <row r="18" spans="1:9" ht="18.75" customHeight="1">
      <c r="A18" s="2040" t="s">
        <v>1142</v>
      </c>
      <c r="B18" s="2040"/>
      <c r="C18" s="2040"/>
      <c r="D18" s="2040"/>
      <c r="E18" s="2040"/>
      <c r="F18" s="2040"/>
      <c r="G18" s="2040"/>
      <c r="H18" s="2040"/>
      <c r="I18" s="2040"/>
    </row>
    <row r="19" spans="1:9" ht="45.75" customHeight="1">
      <c r="A19" s="2041" t="str">
        <f>'4 (2)'!A19:I19</f>
        <v>Providing Additional Space for Agriculture Staff in  Baduguleru GP of Kanigiri Mandal with Estimate Rs. 21.80 Lakhs under MGNREGS + Health Dept + NMH +15th FC Grant during the year 2019-20</v>
      </c>
      <c r="B19" s="2041"/>
      <c r="C19" s="2041"/>
      <c r="D19" s="2041"/>
      <c r="E19" s="2041"/>
      <c r="F19" s="2041"/>
      <c r="G19" s="2041"/>
      <c r="H19" s="2041"/>
      <c r="I19" s="2041"/>
    </row>
    <row r="20" spans="1:9" ht="18.75" customHeight="1">
      <c r="A20" s="193"/>
      <c r="B20" s="193"/>
      <c r="C20" s="193"/>
      <c r="D20" s="193"/>
      <c r="E20" s="193"/>
      <c r="F20" s="193"/>
      <c r="G20" s="193"/>
      <c r="H20" s="193"/>
      <c r="I20" s="193"/>
    </row>
    <row r="21" spans="1:9" ht="18.75" customHeight="1">
      <c r="A21" s="193"/>
      <c r="B21" s="193"/>
      <c r="C21" s="193"/>
      <c r="D21" s="193"/>
      <c r="E21" s="193"/>
      <c r="F21" s="193"/>
      <c r="G21" s="193"/>
      <c r="H21" s="193"/>
      <c r="I21" s="193"/>
    </row>
    <row r="22" spans="1:9" ht="18.75" customHeight="1">
      <c r="A22" s="193"/>
      <c r="B22" s="193"/>
      <c r="C22" s="193"/>
      <c r="D22" s="193"/>
      <c r="E22" s="193"/>
      <c r="F22" s="193"/>
      <c r="G22" s="193"/>
      <c r="H22" s="193"/>
      <c r="I22" s="193"/>
    </row>
  </sheetData>
  <mergeCells count="8">
    <mergeCell ref="A18:I18"/>
    <mergeCell ref="A19:I19"/>
    <mergeCell ref="A1:I1"/>
    <mergeCell ref="A2:C2"/>
    <mergeCell ref="F2:I2"/>
    <mergeCell ref="A3:I3"/>
    <mergeCell ref="A4:D4"/>
    <mergeCell ref="E4:I4"/>
  </mergeCells>
  <pageMargins left="0.5" right="0.52" top="0.75" bottom="0.75" header="0.3" footer="0.3"/>
  <pageSetup paperSize="9" scale="110" orientation="portrait" verticalDpi="0" r:id="rId1"/>
</worksheet>
</file>

<file path=xl/worksheets/sheet53.xml><?xml version="1.0" encoding="utf-8"?>
<worksheet xmlns="http://schemas.openxmlformats.org/spreadsheetml/2006/main" xmlns:r="http://schemas.openxmlformats.org/officeDocument/2006/relationships">
  <sheetPr>
    <tabColor rgb="FF7030A0"/>
  </sheetPr>
  <dimension ref="A1:J25"/>
  <sheetViews>
    <sheetView tabSelected="1" topLeftCell="A4" zoomScale="130" zoomScaleNormal="130" workbookViewId="0">
      <selection activeCell="A230" sqref="A230"/>
    </sheetView>
  </sheetViews>
  <sheetFormatPr defaultColWidth="9.140625" defaultRowHeight="12.75"/>
  <cols>
    <col min="1" max="1" width="4" style="195" customWidth="1"/>
    <col min="2" max="2" width="10.42578125" style="195" customWidth="1"/>
    <col min="3" max="4" width="10.42578125" style="197" customWidth="1"/>
    <col min="5" max="5" width="10.7109375" style="197" customWidth="1"/>
    <col min="6" max="6" width="7.28515625" style="195" customWidth="1"/>
    <col min="7" max="7" width="10.42578125" style="195" customWidth="1"/>
    <col min="8" max="9" width="10.42578125" style="197" customWidth="1"/>
    <col min="10" max="10" width="10.7109375" style="197" customWidth="1"/>
    <col min="11" max="27" width="7.28515625" style="195" customWidth="1"/>
    <col min="28" max="16384" width="9.140625" style="195"/>
  </cols>
  <sheetData>
    <row r="1" spans="1:10" ht="13.5" thickTop="1">
      <c r="A1" s="248"/>
      <c r="B1" s="248"/>
      <c r="C1" s="249"/>
      <c r="D1" s="249"/>
      <c r="E1" s="249"/>
      <c r="G1" s="250"/>
      <c r="H1" s="251"/>
      <c r="I1" s="251"/>
      <c r="J1" s="252"/>
    </row>
    <row r="2" spans="1:10">
      <c r="A2" s="248"/>
      <c r="B2" s="248" t="s">
        <v>774</v>
      </c>
      <c r="C2" s="249"/>
      <c r="D2" s="249"/>
      <c r="E2" s="249"/>
      <c r="G2" s="253" t="s">
        <v>774</v>
      </c>
      <c r="J2" s="254"/>
    </row>
    <row r="3" spans="1:10">
      <c r="A3" s="248"/>
      <c r="B3" s="248"/>
      <c r="C3" s="249"/>
      <c r="D3" s="249"/>
      <c r="E3" s="249"/>
      <c r="G3" s="253"/>
      <c r="J3" s="254"/>
    </row>
    <row r="4" spans="1:10">
      <c r="A4" s="248"/>
      <c r="B4" s="2053" t="s">
        <v>775</v>
      </c>
      <c r="C4" s="2053"/>
      <c r="D4" s="2053"/>
      <c r="E4" s="2053"/>
      <c r="G4" s="2054" t="s">
        <v>775</v>
      </c>
      <c r="H4" s="2055"/>
      <c r="I4" s="2055"/>
      <c r="J4" s="2056"/>
    </row>
    <row r="5" spans="1:10">
      <c r="A5" s="248"/>
      <c r="B5" s="2057" t="s">
        <v>776</v>
      </c>
      <c r="C5" s="2057"/>
      <c r="D5" s="2057"/>
      <c r="E5" s="2057"/>
      <c r="G5" s="2058" t="s">
        <v>776</v>
      </c>
      <c r="H5" s="2059"/>
      <c r="I5" s="2059"/>
      <c r="J5" s="2060"/>
    </row>
    <row r="6" spans="1:10">
      <c r="A6" s="248"/>
      <c r="B6" s="2057" t="s">
        <v>777</v>
      </c>
      <c r="C6" s="2057"/>
      <c r="D6" s="2057"/>
      <c r="E6" s="2057"/>
      <c r="G6" s="2061" t="s">
        <v>778</v>
      </c>
      <c r="H6" s="2062"/>
      <c r="I6" s="2062"/>
      <c r="J6" s="2063"/>
    </row>
    <row r="7" spans="1:10">
      <c r="A7" s="248"/>
      <c r="B7" s="248"/>
      <c r="C7" s="249"/>
      <c r="D7" s="249"/>
      <c r="E7" s="249"/>
      <c r="G7" s="253"/>
      <c r="J7" s="254"/>
    </row>
    <row r="8" spans="1:10">
      <c r="A8" s="248"/>
      <c r="B8" s="255" t="s">
        <v>779</v>
      </c>
      <c r="C8" s="2047" t="str">
        <f>'C-1'!E13</f>
        <v>Grama Panchayat, Baduguleru</v>
      </c>
      <c r="D8" s="2047"/>
      <c r="E8" s="2047"/>
      <c r="G8" s="256" t="s">
        <v>779</v>
      </c>
      <c r="H8" s="2048" t="str">
        <f>C8</f>
        <v>Grama Panchayat, Baduguleru</v>
      </c>
      <c r="I8" s="2048"/>
      <c r="J8" s="2049"/>
    </row>
    <row r="9" spans="1:10">
      <c r="A9" s="248"/>
      <c r="B9" s="248"/>
      <c r="C9" s="2047"/>
      <c r="D9" s="2047"/>
      <c r="E9" s="2047"/>
      <c r="G9" s="253"/>
      <c r="H9" s="2048"/>
      <c r="I9" s="2048"/>
      <c r="J9" s="2049"/>
    </row>
    <row r="10" spans="1:10">
      <c r="A10" s="248"/>
      <c r="B10" s="248"/>
      <c r="C10" s="249"/>
      <c r="D10" s="249"/>
      <c r="E10" s="249"/>
      <c r="G10" s="253"/>
      <c r="J10" s="254"/>
    </row>
    <row r="11" spans="1:10" s="199" customFormat="1" ht="25.5" customHeight="1">
      <c r="A11" s="257"/>
      <c r="B11" s="258" t="s">
        <v>780</v>
      </c>
      <c r="C11" s="258" t="s">
        <v>758</v>
      </c>
      <c r="D11" s="258" t="s">
        <v>8</v>
      </c>
      <c r="E11" s="258" t="s">
        <v>10</v>
      </c>
      <c r="G11" s="259" t="s">
        <v>780</v>
      </c>
      <c r="H11" s="260" t="s">
        <v>758</v>
      </c>
      <c r="I11" s="260" t="s">
        <v>8</v>
      </c>
      <c r="J11" s="261" t="s">
        <v>10</v>
      </c>
    </row>
    <row r="12" spans="1:10" s="199" customFormat="1" ht="15.75" customHeight="1">
      <c r="A12" s="257"/>
      <c r="B12" s="258" t="s">
        <v>781</v>
      </c>
      <c r="C12" s="262"/>
      <c r="D12" s="262"/>
      <c r="E12" s="262"/>
      <c r="G12" s="259" t="s">
        <v>781</v>
      </c>
      <c r="H12" s="263">
        <f>'voucer part (2)'!H18</f>
        <v>0</v>
      </c>
      <c r="I12" s="263">
        <f>'voucer part (2)'!J18</f>
        <v>3900</v>
      </c>
      <c r="J12" s="264">
        <f>ROUND(H12*I12,0)</f>
        <v>0</v>
      </c>
    </row>
    <row r="13" spans="1:10" s="199" customFormat="1" ht="15.75" customHeight="1">
      <c r="A13" s="257"/>
      <c r="B13" s="258" t="s">
        <v>782</v>
      </c>
      <c r="C13" s="262"/>
      <c r="D13" s="262"/>
      <c r="E13" s="262"/>
      <c r="G13" s="259" t="s">
        <v>782</v>
      </c>
      <c r="H13" s="263">
        <f>'voucer part (2)'!H16</f>
        <v>0</v>
      </c>
      <c r="I13" s="263">
        <f>'voucer part (2)'!J16</f>
        <v>3900</v>
      </c>
      <c r="J13" s="264">
        <f>ROUND(H13*I13,0)</f>
        <v>0</v>
      </c>
    </row>
    <row r="14" spans="1:10" s="199" customFormat="1" ht="15.75" customHeight="1">
      <c r="A14" s="257"/>
      <c r="B14" s="258" t="s">
        <v>783</v>
      </c>
      <c r="C14" s="262"/>
      <c r="D14" s="262"/>
      <c r="E14" s="262"/>
      <c r="G14" s="259" t="s">
        <v>783</v>
      </c>
      <c r="H14" s="265"/>
      <c r="I14" s="265"/>
      <c r="J14" s="266"/>
    </row>
    <row r="15" spans="1:10" s="199" customFormat="1" ht="15.75" customHeight="1">
      <c r="A15" s="257"/>
      <c r="B15" s="258" t="s">
        <v>784</v>
      </c>
      <c r="C15" s="262"/>
      <c r="D15" s="262"/>
      <c r="E15" s="262"/>
      <c r="G15" s="259" t="s">
        <v>784</v>
      </c>
      <c r="H15" s="265"/>
      <c r="I15" s="265"/>
      <c r="J15" s="266"/>
    </row>
    <row r="16" spans="1:10" s="199" customFormat="1" ht="15.75" customHeight="1">
      <c r="A16" s="257"/>
      <c r="B16" s="267" t="s">
        <v>785</v>
      </c>
      <c r="C16" s="268"/>
      <c r="D16" s="268"/>
      <c r="E16" s="269">
        <f>ROUND(C16*D16,0)</f>
        <v>0</v>
      </c>
      <c r="G16" s="270" t="s">
        <v>785</v>
      </c>
      <c r="H16" s="265"/>
      <c r="I16" s="265"/>
      <c r="J16" s="266"/>
    </row>
    <row r="17" spans="1:10" s="199" customFormat="1" ht="15.75" customHeight="1">
      <c r="A17" s="257"/>
      <c r="B17" s="267" t="s">
        <v>786</v>
      </c>
      <c r="C17" s="268"/>
      <c r="D17" s="268"/>
      <c r="E17" s="269"/>
      <c r="G17" s="270" t="s">
        <v>786</v>
      </c>
      <c r="H17" s="265"/>
      <c r="I17" s="265"/>
      <c r="J17" s="266"/>
    </row>
    <row r="18" spans="1:10" s="199" customFormat="1" ht="15.75" customHeight="1">
      <c r="A18" s="257"/>
      <c r="B18" s="258" t="s">
        <v>787</v>
      </c>
      <c r="C18" s="268"/>
      <c r="D18" s="268"/>
      <c r="E18" s="269"/>
      <c r="G18" s="259" t="s">
        <v>787</v>
      </c>
      <c r="H18" s="265"/>
      <c r="I18" s="265"/>
      <c r="J18" s="266"/>
    </row>
    <row r="19" spans="1:10" s="199" customFormat="1" ht="15.75" customHeight="1">
      <c r="A19" s="257"/>
      <c r="B19" s="258" t="s">
        <v>117</v>
      </c>
      <c r="C19" s="262"/>
      <c r="D19" s="262"/>
      <c r="E19" s="271">
        <f>SUM(E12:E18)</f>
        <v>0</v>
      </c>
      <c r="G19" s="259" t="s">
        <v>117</v>
      </c>
      <c r="H19" s="265"/>
      <c r="I19" s="265"/>
      <c r="J19" s="272">
        <f>SUM(J12:J18)</f>
        <v>0</v>
      </c>
    </row>
    <row r="20" spans="1:10" ht="15.75" customHeight="1">
      <c r="A20" s="248"/>
      <c r="B20" s="248"/>
      <c r="C20" s="249"/>
      <c r="D20" s="249"/>
      <c r="E20" s="249"/>
      <c r="G20" s="253"/>
      <c r="J20" s="254"/>
    </row>
    <row r="21" spans="1:10" ht="15.75" customHeight="1">
      <c r="A21" s="248"/>
      <c r="B21" s="248"/>
      <c r="C21" s="249"/>
      <c r="D21" s="249"/>
      <c r="E21" s="249"/>
      <c r="G21" s="253"/>
      <c r="J21" s="254"/>
    </row>
    <row r="22" spans="1:10" ht="15.75" customHeight="1">
      <c r="A22" s="248"/>
      <c r="B22" s="248"/>
      <c r="C22" s="249"/>
      <c r="D22" s="249"/>
      <c r="E22" s="249"/>
      <c r="G22" s="253"/>
      <c r="J22" s="254"/>
    </row>
    <row r="23" spans="1:10" ht="15.75" customHeight="1">
      <c r="A23" s="248"/>
      <c r="B23" s="248"/>
      <c r="C23" s="249"/>
      <c r="D23" s="2050" t="s">
        <v>788</v>
      </c>
      <c r="E23" s="2050"/>
      <c r="G23" s="253"/>
      <c r="I23" s="2051" t="s">
        <v>788</v>
      </c>
      <c r="J23" s="2052"/>
    </row>
    <row r="24" spans="1:10" ht="15.75" customHeight="1" thickBot="1">
      <c r="B24" s="197"/>
      <c r="G24" s="273"/>
      <c r="H24" s="274"/>
      <c r="I24" s="274"/>
      <c r="J24" s="275"/>
    </row>
    <row r="25" spans="1:10" ht="13.5" thickTop="1"/>
  </sheetData>
  <mergeCells count="10">
    <mergeCell ref="C8:E9"/>
    <mergeCell ref="H8:J9"/>
    <mergeCell ref="D23:E23"/>
    <mergeCell ref="I23:J23"/>
    <mergeCell ref="B4:E4"/>
    <mergeCell ref="G4:J4"/>
    <mergeCell ref="B5:E5"/>
    <mergeCell ref="G5:J5"/>
    <mergeCell ref="B6:E6"/>
    <mergeCell ref="G6:J6"/>
  </mergeCells>
  <pageMargins left="0.43" right="0.4" top="0.41" bottom="0.75" header="0.3" footer="0.3"/>
  <pageSetup paperSize="9" orientation="portrait" verticalDpi="0" r:id="rId1"/>
  <drawing r:id="rId2"/>
</worksheet>
</file>

<file path=xl/worksheets/sheet54.xml><?xml version="1.0" encoding="utf-8"?>
<worksheet xmlns="http://schemas.openxmlformats.org/spreadsheetml/2006/main" xmlns:r="http://schemas.openxmlformats.org/officeDocument/2006/relationships">
  <sheetPr>
    <tabColor rgb="FF7030A0"/>
  </sheetPr>
  <dimension ref="B1:J16"/>
  <sheetViews>
    <sheetView topLeftCell="F16" zoomScale="115" zoomScaleNormal="115" workbookViewId="0">
      <selection activeCell="AA16" sqref="AA16"/>
    </sheetView>
  </sheetViews>
  <sheetFormatPr defaultColWidth="9.140625" defaultRowHeight="12.75"/>
  <cols>
    <col min="1" max="1" width="4" style="195" customWidth="1"/>
    <col min="2" max="2" width="10.42578125" style="195" customWidth="1"/>
    <col min="3" max="4" width="10.42578125" style="197" customWidth="1"/>
    <col min="5" max="5" width="10.7109375" style="197" customWidth="1"/>
    <col min="6" max="6" width="7.28515625" style="195" customWidth="1"/>
    <col min="7" max="7" width="10.42578125" style="195" customWidth="1"/>
    <col min="8" max="9" width="10.42578125" style="197" customWidth="1"/>
    <col min="10" max="10" width="10.7109375" style="197" customWidth="1"/>
    <col min="11" max="27" width="7.28515625" style="195" customWidth="1"/>
    <col min="28" max="16384" width="9.140625" style="195"/>
  </cols>
  <sheetData>
    <row r="1" spans="2:10" ht="27.75" customHeight="1">
      <c r="B1" s="2064" t="str">
        <f>'5 (2)'!A18</f>
        <v>Certified that the item was recorded vide page no.      of M.B.No.  ……………………….  for the work</v>
      </c>
      <c r="C1" s="2064"/>
      <c r="D1" s="2064"/>
      <c r="E1" s="2064"/>
      <c r="G1" s="2065" t="str">
        <f>B1</f>
        <v>Certified that the item was recorded vide page no.      of M.B.No.  ……………………….  for the work</v>
      </c>
      <c r="H1" s="2065"/>
      <c r="I1" s="2065"/>
      <c r="J1" s="2065"/>
    </row>
    <row r="2" spans="2:10" ht="84" customHeight="1">
      <c r="B2" s="2064" t="str">
        <f>'1 (2)'!A19</f>
        <v>Providing Additional Space for Agriculture Staff in  Baduguleru GP of Kanigiri Mandal with Estimate Rs. 21.80 Lakhs under MGNREGS + Health Dept + NMH +15th FC Grant during the year 2019-20</v>
      </c>
      <c r="C2" s="2064"/>
      <c r="D2" s="2064"/>
      <c r="E2" s="2064"/>
      <c r="G2" s="2065" t="str">
        <f>B2</f>
        <v>Providing Additional Space for Agriculture Staff in  Baduguleru GP of Kanigiri Mandal with Estimate Rs. 21.80 Lakhs under MGNREGS + Health Dept + NMH +15th FC Grant during the year 2019-20</v>
      </c>
      <c r="H2" s="2065"/>
      <c r="I2" s="2065"/>
      <c r="J2" s="2065"/>
    </row>
    <row r="3" spans="2:10">
      <c r="B3" s="2059"/>
      <c r="C3" s="2059"/>
      <c r="D3" s="2059"/>
      <c r="E3" s="2059"/>
      <c r="G3" s="2059"/>
      <c r="H3" s="2059"/>
      <c r="I3" s="2059"/>
      <c r="J3" s="2059"/>
    </row>
    <row r="5" spans="2:10">
      <c r="B5" s="196"/>
      <c r="G5" s="196"/>
    </row>
    <row r="8" spans="2:10" s="199" customFormat="1" ht="25.5" customHeight="1">
      <c r="B8" s="198"/>
      <c r="C8" s="198"/>
      <c r="D8" s="198"/>
      <c r="E8" s="198"/>
      <c r="G8" s="198"/>
      <c r="H8" s="198"/>
      <c r="I8" s="198"/>
      <c r="J8" s="198"/>
    </row>
    <row r="9" spans="2:10" s="199" customFormat="1" ht="25.5" customHeight="1">
      <c r="B9" s="198"/>
      <c r="C9" s="200"/>
      <c r="D9" s="200"/>
      <c r="E9" s="200"/>
      <c r="G9" s="198"/>
      <c r="H9" s="200"/>
      <c r="I9" s="200"/>
      <c r="J9" s="200"/>
    </row>
    <row r="10" spans="2:10" s="199" customFormat="1" ht="25.5" customHeight="1">
      <c r="B10" s="198"/>
      <c r="C10" s="200"/>
      <c r="D10" s="200"/>
      <c r="E10" s="200"/>
      <c r="G10" s="198"/>
      <c r="H10" s="200"/>
      <c r="I10" s="200"/>
      <c r="J10" s="200"/>
    </row>
    <row r="11" spans="2:10" s="199" customFormat="1" ht="25.5" customHeight="1">
      <c r="B11" s="198"/>
      <c r="C11" s="200"/>
      <c r="D11" s="200"/>
      <c r="E11" s="200"/>
      <c r="G11" s="198"/>
      <c r="H11" s="200"/>
      <c r="I11" s="200"/>
      <c r="J11" s="200"/>
    </row>
    <row r="12" spans="2:10" s="199" customFormat="1" ht="25.5" customHeight="1">
      <c r="B12" s="198"/>
      <c r="C12" s="200"/>
      <c r="D12" s="200"/>
      <c r="E12" s="200"/>
      <c r="G12" s="198"/>
      <c r="H12" s="200"/>
      <c r="I12" s="200"/>
      <c r="J12" s="200"/>
    </row>
    <row r="13" spans="2:10" s="199" customFormat="1" ht="25.5" customHeight="1">
      <c r="B13" s="201"/>
      <c r="C13" s="200"/>
      <c r="D13" s="200"/>
      <c r="E13" s="200"/>
      <c r="G13" s="201"/>
      <c r="H13" s="200"/>
      <c r="I13" s="200"/>
      <c r="J13" s="200"/>
    </row>
    <row r="14" spans="2:10" s="199" customFormat="1" ht="25.5" customHeight="1">
      <c r="B14" s="201"/>
      <c r="C14" s="200"/>
      <c r="D14" s="200"/>
      <c r="E14" s="200"/>
      <c r="G14" s="201"/>
      <c r="H14" s="200"/>
      <c r="I14" s="200"/>
      <c r="J14" s="200"/>
    </row>
    <row r="15" spans="2:10" s="199" customFormat="1" ht="25.5" customHeight="1">
      <c r="B15" s="198"/>
      <c r="C15" s="200"/>
      <c r="D15" s="200"/>
      <c r="E15" s="200"/>
      <c r="G15" s="198"/>
      <c r="H15" s="200"/>
      <c r="I15" s="200"/>
      <c r="J15" s="200"/>
    </row>
    <row r="16" spans="2:10" s="199" customFormat="1" ht="25.5" customHeight="1">
      <c r="B16" s="198"/>
      <c r="C16" s="200"/>
      <c r="D16" s="200"/>
      <c r="E16" s="200"/>
      <c r="G16" s="198"/>
      <c r="H16" s="200"/>
      <c r="I16" s="200"/>
      <c r="J16" s="200"/>
    </row>
  </sheetData>
  <mergeCells count="6">
    <mergeCell ref="B1:E1"/>
    <mergeCell ref="G1:J1"/>
    <mergeCell ref="B2:E2"/>
    <mergeCell ref="G2:J2"/>
    <mergeCell ref="B3:E3"/>
    <mergeCell ref="G3:J3"/>
  </mergeCells>
  <pageMargins left="0.18" right="0.43" top="0.75" bottom="0.16" header="0.3" footer="0.16"/>
  <pageSetup paperSize="9" orientation="portrait" verticalDpi="0" r:id="rId1"/>
</worksheet>
</file>

<file path=xl/worksheets/sheet55.xml><?xml version="1.0" encoding="utf-8"?>
<worksheet xmlns="http://schemas.openxmlformats.org/spreadsheetml/2006/main" xmlns:r="http://schemas.openxmlformats.org/officeDocument/2006/relationships">
  <sheetPr>
    <tabColor rgb="FF00B050"/>
  </sheetPr>
  <dimension ref="A1:F305"/>
  <sheetViews>
    <sheetView workbookViewId="0">
      <selection activeCell="G11" sqref="G11"/>
    </sheetView>
  </sheetViews>
  <sheetFormatPr defaultColWidth="9.140625" defaultRowHeight="15"/>
  <cols>
    <col min="1" max="1" width="9.140625" style="398"/>
    <col min="2" max="5" width="14.42578125" style="398" customWidth="1"/>
    <col min="6" max="6" width="11.7109375" style="398" customWidth="1"/>
    <col min="7" max="16384" width="9.140625" style="398"/>
  </cols>
  <sheetData>
    <row r="1" spans="1:6" ht="23.25">
      <c r="A1" s="1898" t="s">
        <v>2313</v>
      </c>
      <c r="B1" s="1898"/>
      <c r="C1" s="1898"/>
      <c r="D1" s="1898"/>
      <c r="E1" s="1898"/>
      <c r="F1" s="1898"/>
    </row>
    <row r="2" spans="1:6" ht="18">
      <c r="A2" s="399"/>
      <c r="B2" s="1899" t="s">
        <v>1642</v>
      </c>
      <c r="C2" s="1899"/>
      <c r="D2" s="1899"/>
      <c r="E2" s="399"/>
      <c r="F2" s="399"/>
    </row>
    <row r="3" spans="1:6" ht="15" customHeight="1">
      <c r="A3" s="1900" t="s">
        <v>253</v>
      </c>
      <c r="B3" s="400" t="s">
        <v>1643</v>
      </c>
      <c r="C3" s="400" t="s">
        <v>139</v>
      </c>
      <c r="D3" s="401" t="s">
        <v>1644</v>
      </c>
      <c r="E3" s="402" t="s">
        <v>1645</v>
      </c>
      <c r="F3" s="403"/>
    </row>
    <row r="4" spans="1:6" ht="42" customHeight="1">
      <c r="A4" s="1900"/>
      <c r="B4" s="404" t="s">
        <v>1646</v>
      </c>
      <c r="C4" s="404" t="s">
        <v>1646</v>
      </c>
      <c r="D4" s="404" t="s">
        <v>1646</v>
      </c>
      <c r="E4" s="405" t="s">
        <v>1647</v>
      </c>
      <c r="F4" s="406" t="s">
        <v>1648</v>
      </c>
    </row>
    <row r="5" spans="1:6">
      <c r="A5" s="407">
        <v>1</v>
      </c>
      <c r="B5" s="408">
        <v>2</v>
      </c>
      <c r="C5" s="407">
        <v>3</v>
      </c>
      <c r="D5" s="408">
        <v>4</v>
      </c>
      <c r="E5" s="407">
        <v>5</v>
      </c>
      <c r="F5" s="408">
        <v>6</v>
      </c>
    </row>
    <row r="6" spans="1:6" ht="18" customHeight="1">
      <c r="A6" s="409">
        <v>1</v>
      </c>
      <c r="B6" s="501">
        <v>33.700000000000003</v>
      </c>
      <c r="C6" s="501">
        <v>32.5</v>
      </c>
      <c r="D6" s="502">
        <v>54.1</v>
      </c>
      <c r="E6" s="410">
        <v>47.8</v>
      </c>
      <c r="F6" s="411"/>
    </row>
    <row r="7" spans="1:6" ht="18" customHeight="1">
      <c r="A7" s="409">
        <v>2</v>
      </c>
      <c r="B7" s="501">
        <v>47.2</v>
      </c>
      <c r="C7" s="501">
        <v>45.5</v>
      </c>
      <c r="D7" s="502">
        <v>75.8</v>
      </c>
      <c r="E7" s="410">
        <v>66.900000000000006</v>
      </c>
      <c r="F7" s="411"/>
    </row>
    <row r="8" spans="1:6" ht="18" customHeight="1">
      <c r="A8" s="409">
        <v>3</v>
      </c>
      <c r="B8" s="501">
        <v>62.9</v>
      </c>
      <c r="C8" s="501">
        <v>60.6</v>
      </c>
      <c r="D8" s="502">
        <v>101.1</v>
      </c>
      <c r="E8" s="410">
        <v>89.2</v>
      </c>
      <c r="F8" s="411"/>
    </row>
    <row r="9" spans="1:6" ht="18" customHeight="1">
      <c r="A9" s="409">
        <v>4</v>
      </c>
      <c r="B9" s="501">
        <v>76.400000000000006</v>
      </c>
      <c r="C9" s="501">
        <v>73.599999999999994</v>
      </c>
      <c r="D9" s="502">
        <v>122.7</v>
      </c>
      <c r="E9" s="410">
        <v>108.3</v>
      </c>
      <c r="F9" s="411"/>
    </row>
    <row r="10" spans="1:6" ht="18" customHeight="1">
      <c r="A10" s="412">
        <v>5</v>
      </c>
      <c r="B10" s="503">
        <v>89.9</v>
      </c>
      <c r="C10" s="503">
        <v>86.6</v>
      </c>
      <c r="D10" s="504">
        <v>144.4</v>
      </c>
      <c r="E10" s="410">
        <v>127.4</v>
      </c>
      <c r="F10" s="411"/>
    </row>
    <row r="11" spans="1:6" ht="18" customHeight="1">
      <c r="A11" s="409">
        <v>6</v>
      </c>
      <c r="B11" s="501">
        <v>103.4</v>
      </c>
      <c r="C11" s="501">
        <v>99.6</v>
      </c>
      <c r="D11" s="502">
        <v>166.1</v>
      </c>
      <c r="E11" s="502">
        <v>146.5</v>
      </c>
      <c r="F11" s="411"/>
    </row>
    <row r="12" spans="1:6" ht="18" customHeight="1">
      <c r="A12" s="409">
        <v>7</v>
      </c>
      <c r="B12" s="501">
        <v>116.9</v>
      </c>
      <c r="C12" s="501">
        <v>112.6</v>
      </c>
      <c r="D12" s="502">
        <v>187.79999999999998</v>
      </c>
      <c r="E12" s="502">
        <v>165.6</v>
      </c>
      <c r="F12" s="411"/>
    </row>
    <row r="13" spans="1:6" ht="18" customHeight="1">
      <c r="A13" s="409">
        <v>8</v>
      </c>
      <c r="B13" s="501">
        <v>130.4</v>
      </c>
      <c r="C13" s="501">
        <v>125.6</v>
      </c>
      <c r="D13" s="502">
        <v>209.49999999999997</v>
      </c>
      <c r="E13" s="502">
        <v>184.7</v>
      </c>
      <c r="F13" s="411"/>
    </row>
    <row r="14" spans="1:6" ht="18" customHeight="1">
      <c r="A14" s="409">
        <v>9</v>
      </c>
      <c r="B14" s="501">
        <v>143.9</v>
      </c>
      <c r="C14" s="501">
        <v>138.6</v>
      </c>
      <c r="D14" s="502">
        <v>231.19999999999996</v>
      </c>
      <c r="E14" s="502">
        <v>203.79999999999998</v>
      </c>
      <c r="F14" s="411"/>
    </row>
    <row r="15" spans="1:6" ht="18" customHeight="1">
      <c r="A15" s="409">
        <v>10</v>
      </c>
      <c r="B15" s="501">
        <v>157.4</v>
      </c>
      <c r="C15" s="501">
        <v>151.6</v>
      </c>
      <c r="D15" s="502">
        <v>252.89999999999995</v>
      </c>
      <c r="E15" s="502">
        <v>222.89999999999998</v>
      </c>
      <c r="F15" s="411"/>
    </row>
    <row r="16" spans="1:6" ht="18" customHeight="1">
      <c r="A16" s="409">
        <v>11</v>
      </c>
      <c r="B16" s="501">
        <v>170.9</v>
      </c>
      <c r="C16" s="501">
        <v>164.6</v>
      </c>
      <c r="D16" s="502">
        <v>274.59999999999997</v>
      </c>
      <c r="E16" s="502">
        <v>241.99999999999997</v>
      </c>
      <c r="F16" s="411"/>
    </row>
    <row r="17" spans="1:6" ht="18" customHeight="1">
      <c r="A17" s="409">
        <v>12</v>
      </c>
      <c r="B17" s="501">
        <v>184.4</v>
      </c>
      <c r="C17" s="501">
        <v>177.6</v>
      </c>
      <c r="D17" s="502">
        <v>296.29999999999995</v>
      </c>
      <c r="E17" s="502">
        <v>261.09999999999997</v>
      </c>
      <c r="F17" s="411"/>
    </row>
    <row r="18" spans="1:6" ht="18" customHeight="1">
      <c r="A18" s="409">
        <v>13</v>
      </c>
      <c r="B18" s="501">
        <v>197.9</v>
      </c>
      <c r="C18" s="501">
        <v>190.6</v>
      </c>
      <c r="D18" s="502">
        <v>317.99999999999994</v>
      </c>
      <c r="E18" s="502">
        <v>280.2</v>
      </c>
      <c r="F18" s="411"/>
    </row>
    <row r="19" spans="1:6" ht="18" customHeight="1">
      <c r="A19" s="409">
        <v>14</v>
      </c>
      <c r="B19" s="501">
        <v>211.4</v>
      </c>
      <c r="C19" s="501">
        <v>203.6</v>
      </c>
      <c r="D19" s="502">
        <v>339.69999999999993</v>
      </c>
      <c r="E19" s="502">
        <v>299.3</v>
      </c>
      <c r="F19" s="411"/>
    </row>
    <row r="20" spans="1:6" ht="18" customHeight="1">
      <c r="A20" s="409">
        <v>15</v>
      </c>
      <c r="B20" s="501">
        <v>224.9</v>
      </c>
      <c r="C20" s="501">
        <v>216.6</v>
      </c>
      <c r="D20" s="502">
        <v>361.39999999999992</v>
      </c>
      <c r="E20" s="502">
        <v>318.40000000000003</v>
      </c>
      <c r="F20" s="411"/>
    </row>
    <row r="21" spans="1:6" ht="18" customHeight="1">
      <c r="A21" s="409">
        <v>16</v>
      </c>
      <c r="B21" s="501">
        <v>238.4</v>
      </c>
      <c r="C21" s="501">
        <v>229.6</v>
      </c>
      <c r="D21" s="502">
        <v>383.09999999999991</v>
      </c>
      <c r="E21" s="502">
        <v>337.50000000000006</v>
      </c>
      <c r="F21" s="411"/>
    </row>
    <row r="22" spans="1:6" ht="18" customHeight="1">
      <c r="A22" s="409">
        <v>17</v>
      </c>
      <c r="B22" s="501">
        <v>251.9</v>
      </c>
      <c r="C22" s="501">
        <v>242.6</v>
      </c>
      <c r="D22" s="502">
        <v>404.7999999999999</v>
      </c>
      <c r="E22" s="502">
        <v>356.60000000000008</v>
      </c>
      <c r="F22" s="411"/>
    </row>
    <row r="23" spans="1:6" ht="18" customHeight="1">
      <c r="A23" s="409">
        <v>18</v>
      </c>
      <c r="B23" s="501">
        <v>265.39999999999998</v>
      </c>
      <c r="C23" s="501">
        <v>255.6</v>
      </c>
      <c r="D23" s="502">
        <v>426.49999999999989</v>
      </c>
      <c r="E23" s="502">
        <v>375.7000000000001</v>
      </c>
      <c r="F23" s="411"/>
    </row>
    <row r="24" spans="1:6" ht="18" customHeight="1">
      <c r="A24" s="409">
        <v>19</v>
      </c>
      <c r="B24" s="501">
        <v>278.89999999999998</v>
      </c>
      <c r="C24" s="501">
        <v>268.60000000000002</v>
      </c>
      <c r="D24" s="502">
        <v>448.19999999999987</v>
      </c>
      <c r="E24" s="502">
        <v>394.80000000000013</v>
      </c>
      <c r="F24" s="411"/>
    </row>
    <row r="25" spans="1:6" ht="18" customHeight="1">
      <c r="A25" s="409">
        <v>20</v>
      </c>
      <c r="B25" s="501">
        <v>292.39999999999998</v>
      </c>
      <c r="C25" s="501">
        <v>281.60000000000002</v>
      </c>
      <c r="D25" s="502">
        <v>469.89999999999986</v>
      </c>
      <c r="E25" s="502">
        <v>413.90000000000015</v>
      </c>
      <c r="F25" s="411"/>
    </row>
    <row r="26" spans="1:6" ht="18" customHeight="1">
      <c r="A26" s="409">
        <v>21</v>
      </c>
      <c r="B26" s="501">
        <v>305.89999999999998</v>
      </c>
      <c r="C26" s="501">
        <v>294.60000000000002</v>
      </c>
      <c r="D26" s="502">
        <v>491.59999999999985</v>
      </c>
      <c r="E26" s="502">
        <v>433.00000000000017</v>
      </c>
      <c r="F26" s="411"/>
    </row>
    <row r="27" spans="1:6" ht="18" customHeight="1">
      <c r="A27" s="409">
        <v>22</v>
      </c>
      <c r="B27" s="501">
        <v>319.39999999999998</v>
      </c>
      <c r="C27" s="501">
        <v>307.60000000000002</v>
      </c>
      <c r="D27" s="502">
        <v>513.29999999999984</v>
      </c>
      <c r="E27" s="502">
        <v>452.10000000000019</v>
      </c>
      <c r="F27" s="411"/>
    </row>
    <row r="28" spans="1:6" ht="18" customHeight="1">
      <c r="A28" s="409">
        <v>23</v>
      </c>
      <c r="B28" s="501">
        <v>332.9</v>
      </c>
      <c r="C28" s="501">
        <v>320.60000000000002</v>
      </c>
      <c r="D28" s="502">
        <v>534.99999999999989</v>
      </c>
      <c r="E28" s="502">
        <v>471.20000000000022</v>
      </c>
      <c r="F28" s="411"/>
    </row>
    <row r="29" spans="1:6" ht="18" customHeight="1">
      <c r="A29" s="409">
        <v>24</v>
      </c>
      <c r="B29" s="501">
        <v>346.4</v>
      </c>
      <c r="C29" s="501">
        <v>333.6</v>
      </c>
      <c r="D29" s="502">
        <v>556.69999999999993</v>
      </c>
      <c r="E29" s="502">
        <v>490.30000000000024</v>
      </c>
      <c r="F29" s="411"/>
    </row>
    <row r="30" spans="1:6" ht="18" customHeight="1">
      <c r="A30" s="409">
        <v>25</v>
      </c>
      <c r="B30" s="501">
        <v>359.9</v>
      </c>
      <c r="C30" s="501">
        <v>346.6</v>
      </c>
      <c r="D30" s="502">
        <v>578.4</v>
      </c>
      <c r="E30" s="502">
        <v>509.40000000000026</v>
      </c>
      <c r="F30" s="411"/>
    </row>
    <row r="31" spans="1:6" ht="18" customHeight="1">
      <c r="A31" s="409">
        <v>26</v>
      </c>
      <c r="B31" s="501">
        <v>373.4</v>
      </c>
      <c r="C31" s="501">
        <v>359.6</v>
      </c>
      <c r="D31" s="502">
        <v>600.1</v>
      </c>
      <c r="E31" s="502">
        <v>528.50000000000023</v>
      </c>
      <c r="F31" s="411"/>
    </row>
    <row r="32" spans="1:6" ht="18" customHeight="1">
      <c r="A32" s="409">
        <v>27</v>
      </c>
      <c r="B32" s="501">
        <v>386.9</v>
      </c>
      <c r="C32" s="501">
        <v>372.6</v>
      </c>
      <c r="D32" s="502">
        <v>621.80000000000007</v>
      </c>
      <c r="E32" s="502">
        <v>547.60000000000025</v>
      </c>
      <c r="F32" s="411"/>
    </row>
    <row r="33" spans="1:6" ht="18" customHeight="1">
      <c r="A33" s="409">
        <v>28</v>
      </c>
      <c r="B33" s="501">
        <v>400.4</v>
      </c>
      <c r="C33" s="501">
        <v>385.6</v>
      </c>
      <c r="D33" s="502">
        <v>643.50000000000011</v>
      </c>
      <c r="E33" s="502">
        <v>566.70000000000027</v>
      </c>
      <c r="F33" s="411"/>
    </row>
    <row r="34" spans="1:6" ht="18" customHeight="1">
      <c r="A34" s="409">
        <v>29</v>
      </c>
      <c r="B34" s="501">
        <v>413.9</v>
      </c>
      <c r="C34" s="501">
        <v>398.6</v>
      </c>
      <c r="D34" s="502">
        <v>665.20000000000016</v>
      </c>
      <c r="E34" s="502">
        <v>585.8000000000003</v>
      </c>
      <c r="F34" s="411"/>
    </row>
    <row r="35" spans="1:6" ht="18" customHeight="1">
      <c r="A35" s="409">
        <v>30</v>
      </c>
      <c r="B35" s="501">
        <v>427.4</v>
      </c>
      <c r="C35" s="501">
        <v>411.6</v>
      </c>
      <c r="D35" s="502">
        <v>686.9000000000002</v>
      </c>
      <c r="E35" s="502">
        <v>604.90000000000032</v>
      </c>
      <c r="F35" s="411"/>
    </row>
    <row r="36" spans="1:6" ht="18" customHeight="1">
      <c r="A36" s="409">
        <v>31</v>
      </c>
      <c r="B36" s="501">
        <v>438.59999999999997</v>
      </c>
      <c r="C36" s="501">
        <v>422.40000000000003</v>
      </c>
      <c r="D36" s="502">
        <v>705.00000000000023</v>
      </c>
      <c r="E36" s="502">
        <v>620.8000000000003</v>
      </c>
      <c r="F36" s="411"/>
    </row>
    <row r="37" spans="1:6" ht="18" customHeight="1">
      <c r="A37" s="409">
        <v>32</v>
      </c>
      <c r="B37" s="501">
        <v>449.79999999999995</v>
      </c>
      <c r="C37" s="501">
        <v>433.20000000000005</v>
      </c>
      <c r="D37" s="502">
        <v>723.10000000000025</v>
      </c>
      <c r="E37" s="502">
        <v>636.70000000000027</v>
      </c>
      <c r="F37" s="411"/>
    </row>
    <row r="38" spans="1:6" ht="18" customHeight="1">
      <c r="A38" s="409">
        <v>33</v>
      </c>
      <c r="B38" s="501">
        <v>460.99999999999994</v>
      </c>
      <c r="C38" s="501">
        <v>444.00000000000006</v>
      </c>
      <c r="D38" s="502">
        <v>741.20000000000027</v>
      </c>
      <c r="E38" s="502">
        <v>652.60000000000025</v>
      </c>
      <c r="F38" s="411"/>
    </row>
    <row r="39" spans="1:6" ht="18" customHeight="1">
      <c r="A39" s="409">
        <v>34</v>
      </c>
      <c r="B39" s="501">
        <v>472.19999999999993</v>
      </c>
      <c r="C39" s="501">
        <v>454.80000000000007</v>
      </c>
      <c r="D39" s="502">
        <v>759.3000000000003</v>
      </c>
      <c r="E39" s="502">
        <v>668.50000000000023</v>
      </c>
      <c r="F39" s="411"/>
    </row>
    <row r="40" spans="1:6" ht="18" customHeight="1">
      <c r="A40" s="409">
        <v>35</v>
      </c>
      <c r="B40" s="501">
        <v>483.39999999999992</v>
      </c>
      <c r="C40" s="501">
        <v>465.60000000000008</v>
      </c>
      <c r="D40" s="502">
        <v>777.40000000000032</v>
      </c>
      <c r="E40" s="502">
        <v>684.4000000000002</v>
      </c>
      <c r="F40" s="411"/>
    </row>
    <row r="41" spans="1:6" ht="18" customHeight="1">
      <c r="A41" s="409">
        <v>36</v>
      </c>
      <c r="B41" s="501">
        <v>494.59999999999991</v>
      </c>
      <c r="C41" s="501">
        <v>476.40000000000009</v>
      </c>
      <c r="D41" s="502">
        <v>795.50000000000034</v>
      </c>
      <c r="E41" s="502">
        <v>700.30000000000018</v>
      </c>
      <c r="F41" s="411"/>
    </row>
    <row r="42" spans="1:6" ht="18" customHeight="1">
      <c r="A42" s="409">
        <v>37</v>
      </c>
      <c r="B42" s="501">
        <v>505.7999999999999</v>
      </c>
      <c r="C42" s="501">
        <v>487.2000000000001</v>
      </c>
      <c r="D42" s="502">
        <v>813.60000000000036</v>
      </c>
      <c r="E42" s="502">
        <v>716.20000000000016</v>
      </c>
      <c r="F42" s="411"/>
    </row>
    <row r="43" spans="1:6" ht="18" customHeight="1">
      <c r="A43" s="409">
        <v>38</v>
      </c>
      <c r="B43" s="501">
        <v>516.99999999999989</v>
      </c>
      <c r="C43" s="501">
        <v>498.00000000000011</v>
      </c>
      <c r="D43" s="502">
        <v>831.70000000000039</v>
      </c>
      <c r="E43" s="502">
        <v>732.10000000000014</v>
      </c>
      <c r="F43" s="411"/>
    </row>
    <row r="44" spans="1:6" ht="18" customHeight="1">
      <c r="A44" s="409">
        <v>39</v>
      </c>
      <c r="B44" s="501">
        <v>528.19999999999993</v>
      </c>
      <c r="C44" s="501">
        <v>508.80000000000013</v>
      </c>
      <c r="D44" s="502">
        <v>849.80000000000041</v>
      </c>
      <c r="E44" s="502">
        <v>748.00000000000011</v>
      </c>
      <c r="F44" s="411"/>
    </row>
    <row r="45" spans="1:6" ht="18" customHeight="1">
      <c r="A45" s="409">
        <v>40</v>
      </c>
      <c r="B45" s="501">
        <v>539.4</v>
      </c>
      <c r="C45" s="501">
        <v>519.60000000000014</v>
      </c>
      <c r="D45" s="502">
        <v>867.90000000000043</v>
      </c>
      <c r="E45" s="502">
        <v>763.90000000000009</v>
      </c>
      <c r="F45" s="411"/>
    </row>
    <row r="46" spans="1:6" ht="18" customHeight="1">
      <c r="A46" s="409">
        <v>41</v>
      </c>
      <c r="B46" s="501">
        <v>550.6</v>
      </c>
      <c r="C46" s="501">
        <v>530.40000000000009</v>
      </c>
      <c r="D46" s="502">
        <v>886.00000000000045</v>
      </c>
      <c r="E46" s="502">
        <v>779.80000000000007</v>
      </c>
      <c r="F46" s="411"/>
    </row>
    <row r="47" spans="1:6" ht="18" customHeight="1">
      <c r="A47" s="409">
        <v>42</v>
      </c>
      <c r="B47" s="501">
        <v>561.80000000000007</v>
      </c>
      <c r="C47" s="501">
        <v>541.20000000000005</v>
      </c>
      <c r="D47" s="502">
        <v>904.10000000000048</v>
      </c>
      <c r="E47" s="502">
        <v>795.7</v>
      </c>
      <c r="F47" s="411"/>
    </row>
    <row r="48" spans="1:6" ht="18" customHeight="1">
      <c r="A48" s="409">
        <v>43</v>
      </c>
      <c r="B48" s="501">
        <v>573.00000000000011</v>
      </c>
      <c r="C48" s="501">
        <v>552</v>
      </c>
      <c r="D48" s="502">
        <v>922.2000000000005</v>
      </c>
      <c r="E48" s="502">
        <v>811.6</v>
      </c>
      <c r="F48" s="411"/>
    </row>
    <row r="49" spans="1:6" ht="18" customHeight="1">
      <c r="A49" s="409">
        <v>44</v>
      </c>
      <c r="B49" s="501">
        <v>584.20000000000016</v>
      </c>
      <c r="C49" s="501">
        <v>562.79999999999995</v>
      </c>
      <c r="D49" s="502">
        <v>940.30000000000052</v>
      </c>
      <c r="E49" s="502">
        <v>827.5</v>
      </c>
      <c r="F49" s="411"/>
    </row>
    <row r="50" spans="1:6" ht="18" customHeight="1">
      <c r="A50" s="409">
        <v>45</v>
      </c>
      <c r="B50" s="501">
        <v>595.4000000000002</v>
      </c>
      <c r="C50" s="501">
        <v>573.59999999999991</v>
      </c>
      <c r="D50" s="502">
        <v>958.40000000000055</v>
      </c>
      <c r="E50" s="502">
        <v>843.4</v>
      </c>
      <c r="F50" s="411"/>
    </row>
    <row r="51" spans="1:6" ht="18" customHeight="1">
      <c r="A51" s="409">
        <v>46</v>
      </c>
      <c r="B51" s="501">
        <v>606.60000000000025</v>
      </c>
      <c r="C51" s="501">
        <v>584.39999999999986</v>
      </c>
      <c r="D51" s="502">
        <v>976.50000000000057</v>
      </c>
      <c r="E51" s="502">
        <v>859.3</v>
      </c>
      <c r="F51" s="411"/>
    </row>
    <row r="52" spans="1:6" ht="18" customHeight="1">
      <c r="A52" s="409">
        <v>47</v>
      </c>
      <c r="B52" s="501">
        <v>617.8000000000003</v>
      </c>
      <c r="C52" s="501">
        <v>595.19999999999982</v>
      </c>
      <c r="D52" s="502">
        <v>994.60000000000059</v>
      </c>
      <c r="E52" s="502">
        <v>875.19999999999993</v>
      </c>
      <c r="F52" s="411"/>
    </row>
    <row r="53" spans="1:6" ht="18" customHeight="1">
      <c r="A53" s="409">
        <v>48</v>
      </c>
      <c r="B53" s="501">
        <v>629.00000000000034</v>
      </c>
      <c r="C53" s="501">
        <v>605.99999999999977</v>
      </c>
      <c r="D53" s="502">
        <v>1012.7000000000006</v>
      </c>
      <c r="E53" s="502">
        <v>891.09999999999991</v>
      </c>
      <c r="F53" s="411"/>
    </row>
    <row r="54" spans="1:6" ht="18" customHeight="1">
      <c r="A54" s="409">
        <v>49</v>
      </c>
      <c r="B54" s="501">
        <v>640.20000000000039</v>
      </c>
      <c r="C54" s="501">
        <v>616.79999999999973</v>
      </c>
      <c r="D54" s="502">
        <v>1030.8000000000006</v>
      </c>
      <c r="E54" s="502">
        <v>906.99999999999989</v>
      </c>
      <c r="F54" s="411"/>
    </row>
    <row r="55" spans="1:6" ht="18" customHeight="1">
      <c r="A55" s="413">
        <v>50</v>
      </c>
      <c r="B55" s="501">
        <v>651.40000000000043</v>
      </c>
      <c r="C55" s="501">
        <v>627.59999999999968</v>
      </c>
      <c r="D55" s="502">
        <v>1048.9000000000005</v>
      </c>
      <c r="E55" s="502">
        <v>922.89999999999986</v>
      </c>
      <c r="F55" s="411"/>
    </row>
    <row r="56" spans="1:6" ht="18" customHeight="1">
      <c r="A56" s="414">
        <v>51</v>
      </c>
      <c r="B56" s="501">
        <v>662.60000000000048</v>
      </c>
      <c r="C56" s="501">
        <v>638.39999999999964</v>
      </c>
      <c r="D56" s="502">
        <v>1067.0000000000005</v>
      </c>
      <c r="E56" s="502">
        <v>938.79999999999984</v>
      </c>
      <c r="F56" s="411"/>
    </row>
    <row r="57" spans="1:6" ht="18" customHeight="1">
      <c r="A57" s="409">
        <v>52</v>
      </c>
      <c r="B57" s="501">
        <v>673.80000000000052</v>
      </c>
      <c r="C57" s="501">
        <v>649.19999999999959</v>
      </c>
      <c r="D57" s="502">
        <v>1085.1000000000004</v>
      </c>
      <c r="E57" s="502">
        <v>954.69999999999982</v>
      </c>
      <c r="F57" s="411"/>
    </row>
    <row r="58" spans="1:6" ht="18" customHeight="1">
      <c r="A58" s="409">
        <v>53</v>
      </c>
      <c r="B58" s="501">
        <v>685.00000000000057</v>
      </c>
      <c r="C58" s="501">
        <v>659.99999999999955</v>
      </c>
      <c r="D58" s="502">
        <v>1103.2000000000003</v>
      </c>
      <c r="E58" s="502">
        <v>970.5999999999998</v>
      </c>
      <c r="F58" s="411"/>
    </row>
    <row r="59" spans="1:6" ht="18" customHeight="1">
      <c r="A59" s="409">
        <v>54</v>
      </c>
      <c r="B59" s="501">
        <v>696.20000000000061</v>
      </c>
      <c r="C59" s="501">
        <v>670.7999999999995</v>
      </c>
      <c r="D59" s="502">
        <v>1121.3000000000002</v>
      </c>
      <c r="E59" s="502">
        <v>986.49999999999977</v>
      </c>
      <c r="F59" s="411"/>
    </row>
    <row r="60" spans="1:6" ht="18" customHeight="1">
      <c r="A60" s="409">
        <v>55</v>
      </c>
      <c r="B60" s="501">
        <v>707.40000000000066</v>
      </c>
      <c r="C60" s="501">
        <v>681.59999999999945</v>
      </c>
      <c r="D60" s="502">
        <v>1139.4000000000001</v>
      </c>
      <c r="E60" s="502">
        <v>1002.3999999999997</v>
      </c>
      <c r="F60" s="411"/>
    </row>
    <row r="61" spans="1:6" ht="18" customHeight="1">
      <c r="A61" s="409">
        <v>56</v>
      </c>
      <c r="B61" s="501">
        <v>718.6000000000007</v>
      </c>
      <c r="C61" s="501">
        <v>692.39999999999941</v>
      </c>
      <c r="D61" s="502">
        <v>1157.5</v>
      </c>
      <c r="E61" s="502">
        <v>1018.2999999999997</v>
      </c>
      <c r="F61" s="411"/>
    </row>
    <row r="62" spans="1:6" ht="18" customHeight="1">
      <c r="A62" s="409">
        <v>57</v>
      </c>
      <c r="B62" s="501">
        <v>729.80000000000075</v>
      </c>
      <c r="C62" s="501">
        <v>703.19999999999936</v>
      </c>
      <c r="D62" s="502">
        <v>1175.5999999999999</v>
      </c>
      <c r="E62" s="502">
        <v>1034.1999999999998</v>
      </c>
      <c r="F62" s="411"/>
    </row>
    <row r="63" spans="1:6" ht="18" customHeight="1">
      <c r="A63" s="409">
        <v>58</v>
      </c>
      <c r="B63" s="501">
        <v>741.0000000000008</v>
      </c>
      <c r="C63" s="501">
        <v>713.99999999999932</v>
      </c>
      <c r="D63" s="502">
        <v>1193.6999999999998</v>
      </c>
      <c r="E63" s="502">
        <v>1050.0999999999999</v>
      </c>
      <c r="F63" s="411"/>
    </row>
    <row r="64" spans="1:6" ht="18" customHeight="1">
      <c r="A64" s="409">
        <v>59</v>
      </c>
      <c r="B64" s="501">
        <v>752.20000000000084</v>
      </c>
      <c r="C64" s="501">
        <v>724.79999999999927</v>
      </c>
      <c r="D64" s="502">
        <v>1211.7999999999997</v>
      </c>
      <c r="E64" s="502">
        <v>1066</v>
      </c>
      <c r="F64" s="411"/>
    </row>
    <row r="65" spans="1:6" ht="18" customHeight="1">
      <c r="A65" s="409">
        <v>60</v>
      </c>
      <c r="B65" s="501">
        <v>763.40000000000089</v>
      </c>
      <c r="C65" s="501">
        <v>735.59999999999923</v>
      </c>
      <c r="D65" s="502">
        <v>1229.8999999999996</v>
      </c>
      <c r="E65" s="502">
        <v>1081.9000000000001</v>
      </c>
      <c r="F65" s="411"/>
    </row>
    <row r="66" spans="1:6" ht="18" customHeight="1">
      <c r="A66" s="409">
        <v>61</v>
      </c>
      <c r="B66" s="501">
        <v>774.60000000000093</v>
      </c>
      <c r="C66" s="501">
        <v>746.39999999999918</v>
      </c>
      <c r="D66" s="502">
        <v>1247.9999999999995</v>
      </c>
      <c r="E66" s="502">
        <v>1097.8000000000002</v>
      </c>
      <c r="F66" s="411"/>
    </row>
    <row r="67" spans="1:6" ht="18" customHeight="1">
      <c r="A67" s="409">
        <v>62</v>
      </c>
      <c r="B67" s="501">
        <v>785.80000000000098</v>
      </c>
      <c r="C67" s="501">
        <v>757.19999999999914</v>
      </c>
      <c r="D67" s="502">
        <v>1266.0999999999995</v>
      </c>
      <c r="E67" s="502">
        <v>1113.7000000000003</v>
      </c>
      <c r="F67" s="411"/>
    </row>
    <row r="68" spans="1:6" ht="18" customHeight="1">
      <c r="A68" s="409">
        <v>63</v>
      </c>
      <c r="B68" s="501">
        <v>797.00000000000102</v>
      </c>
      <c r="C68" s="501">
        <v>767.99999999999909</v>
      </c>
      <c r="D68" s="502">
        <v>1284.1999999999994</v>
      </c>
      <c r="E68" s="502">
        <v>1129.6000000000004</v>
      </c>
      <c r="F68" s="411"/>
    </row>
    <row r="69" spans="1:6" ht="18" customHeight="1">
      <c r="A69" s="409">
        <v>64</v>
      </c>
      <c r="B69" s="501">
        <v>808.20000000000107</v>
      </c>
      <c r="C69" s="501">
        <v>778.79999999999905</v>
      </c>
      <c r="D69" s="502">
        <v>1302.2999999999993</v>
      </c>
      <c r="E69" s="502">
        <v>1145.5000000000005</v>
      </c>
      <c r="F69" s="411"/>
    </row>
    <row r="70" spans="1:6" ht="18" customHeight="1">
      <c r="A70" s="409">
        <v>65</v>
      </c>
      <c r="B70" s="501">
        <v>819.40000000000111</v>
      </c>
      <c r="C70" s="501">
        <v>789.599999999999</v>
      </c>
      <c r="D70" s="502">
        <v>1320.3999999999992</v>
      </c>
      <c r="E70" s="502">
        <v>1161.4000000000005</v>
      </c>
      <c r="F70" s="411"/>
    </row>
    <row r="71" spans="1:6" ht="18" customHeight="1">
      <c r="A71" s="409">
        <v>66</v>
      </c>
      <c r="B71" s="501">
        <v>830.60000000000116</v>
      </c>
      <c r="C71" s="501">
        <v>800.39999999999895</v>
      </c>
      <c r="D71" s="502">
        <v>1338.4999999999991</v>
      </c>
      <c r="E71" s="502">
        <v>1177.3000000000006</v>
      </c>
      <c r="F71" s="411"/>
    </row>
    <row r="72" spans="1:6" ht="18" customHeight="1">
      <c r="A72" s="409">
        <v>67</v>
      </c>
      <c r="B72" s="501">
        <v>841.80000000000121</v>
      </c>
      <c r="C72" s="501">
        <v>811.19999999999891</v>
      </c>
      <c r="D72" s="502">
        <v>1356.599999999999</v>
      </c>
      <c r="E72" s="502">
        <v>1193.2000000000007</v>
      </c>
      <c r="F72" s="411"/>
    </row>
    <row r="73" spans="1:6" ht="18" customHeight="1">
      <c r="A73" s="409">
        <v>68</v>
      </c>
      <c r="B73" s="501">
        <v>853.00000000000125</v>
      </c>
      <c r="C73" s="501">
        <v>821.99999999999886</v>
      </c>
      <c r="D73" s="502">
        <v>1374.6999999999989</v>
      </c>
      <c r="E73" s="502">
        <v>1209.1000000000008</v>
      </c>
      <c r="F73" s="411"/>
    </row>
    <row r="74" spans="1:6" ht="18" customHeight="1">
      <c r="A74" s="409">
        <v>69</v>
      </c>
      <c r="B74" s="501">
        <v>864.2000000000013</v>
      </c>
      <c r="C74" s="501">
        <v>832.79999999999882</v>
      </c>
      <c r="D74" s="502">
        <v>1392.7999999999988</v>
      </c>
      <c r="E74" s="502">
        <v>1225.0000000000009</v>
      </c>
      <c r="F74" s="411"/>
    </row>
    <row r="75" spans="1:6" ht="18" customHeight="1">
      <c r="A75" s="409">
        <v>70</v>
      </c>
      <c r="B75" s="501">
        <v>875.40000000000134</v>
      </c>
      <c r="C75" s="501">
        <v>843.59999999999877</v>
      </c>
      <c r="D75" s="502">
        <v>1410.8999999999987</v>
      </c>
      <c r="E75" s="502">
        <v>1240.900000000001</v>
      </c>
      <c r="F75" s="411"/>
    </row>
    <row r="76" spans="1:6" ht="18" customHeight="1">
      <c r="A76" s="409">
        <v>71</v>
      </c>
      <c r="B76" s="501">
        <v>886.60000000000139</v>
      </c>
      <c r="C76" s="501">
        <v>854.39999999999873</v>
      </c>
      <c r="D76" s="502">
        <v>1428.9999999999986</v>
      </c>
      <c r="E76" s="502">
        <v>1256.8000000000011</v>
      </c>
      <c r="F76" s="411"/>
    </row>
    <row r="77" spans="1:6" ht="18" customHeight="1">
      <c r="A77" s="409">
        <v>72</v>
      </c>
      <c r="B77" s="501">
        <v>897.80000000000143</v>
      </c>
      <c r="C77" s="501">
        <v>865.19999999999868</v>
      </c>
      <c r="D77" s="502">
        <v>1447.0999999999985</v>
      </c>
      <c r="E77" s="502">
        <v>1272.7000000000012</v>
      </c>
      <c r="F77" s="411"/>
    </row>
    <row r="78" spans="1:6" ht="18" customHeight="1">
      <c r="A78" s="409">
        <v>73</v>
      </c>
      <c r="B78" s="501">
        <v>909.00000000000148</v>
      </c>
      <c r="C78" s="501">
        <v>875.99999999999864</v>
      </c>
      <c r="D78" s="502">
        <v>1465.1999999999985</v>
      </c>
      <c r="E78" s="502">
        <v>1288.6000000000013</v>
      </c>
      <c r="F78" s="411"/>
    </row>
    <row r="79" spans="1:6" ht="18" customHeight="1">
      <c r="A79" s="409">
        <v>74</v>
      </c>
      <c r="B79" s="501">
        <v>920.20000000000152</v>
      </c>
      <c r="C79" s="501">
        <v>886.79999999999859</v>
      </c>
      <c r="D79" s="502">
        <v>1483.2999999999984</v>
      </c>
      <c r="E79" s="502">
        <v>1304.5000000000014</v>
      </c>
      <c r="F79" s="411"/>
    </row>
    <row r="80" spans="1:6" ht="18" customHeight="1">
      <c r="A80" s="409">
        <v>75</v>
      </c>
      <c r="B80" s="501">
        <v>931.40000000000157</v>
      </c>
      <c r="C80" s="501">
        <v>897.59999999999854</v>
      </c>
      <c r="D80" s="502">
        <v>1501.3999999999983</v>
      </c>
      <c r="E80" s="502">
        <v>1320.4000000000015</v>
      </c>
      <c r="F80" s="411"/>
    </row>
    <row r="81" spans="1:6" ht="18" customHeight="1">
      <c r="A81" s="409">
        <v>76</v>
      </c>
      <c r="B81" s="501">
        <v>942.60000000000161</v>
      </c>
      <c r="C81" s="501">
        <v>908.3999999999985</v>
      </c>
      <c r="D81" s="502">
        <v>1519.4999999999982</v>
      </c>
      <c r="E81" s="502">
        <v>1336.3000000000015</v>
      </c>
      <c r="F81" s="411"/>
    </row>
    <row r="82" spans="1:6" ht="18" customHeight="1">
      <c r="A82" s="409">
        <v>77</v>
      </c>
      <c r="B82" s="501">
        <v>953.80000000000166</v>
      </c>
      <c r="C82" s="501">
        <v>919.19999999999845</v>
      </c>
      <c r="D82" s="502">
        <v>1537.5999999999981</v>
      </c>
      <c r="E82" s="502">
        <v>1352.2000000000016</v>
      </c>
      <c r="F82" s="411"/>
    </row>
    <row r="83" spans="1:6" ht="18" customHeight="1">
      <c r="A83" s="409">
        <v>78</v>
      </c>
      <c r="B83" s="501">
        <v>965.00000000000171</v>
      </c>
      <c r="C83" s="501">
        <v>929.99999999999841</v>
      </c>
      <c r="D83" s="502">
        <v>1555.699999999998</v>
      </c>
      <c r="E83" s="502">
        <v>1368.1000000000017</v>
      </c>
      <c r="F83" s="411"/>
    </row>
    <row r="84" spans="1:6" ht="18" customHeight="1">
      <c r="A84" s="409">
        <v>79</v>
      </c>
      <c r="B84" s="501">
        <v>976.20000000000175</v>
      </c>
      <c r="C84" s="501">
        <v>940.79999999999836</v>
      </c>
      <c r="D84" s="502">
        <v>1573.7999999999979</v>
      </c>
      <c r="E84" s="502">
        <v>1384.0000000000018</v>
      </c>
      <c r="F84" s="411"/>
    </row>
    <row r="85" spans="1:6" ht="18" customHeight="1">
      <c r="A85" s="409">
        <v>80</v>
      </c>
      <c r="B85" s="501">
        <v>987.4000000000018</v>
      </c>
      <c r="C85" s="501">
        <v>951.59999999999832</v>
      </c>
      <c r="D85" s="502">
        <v>1591.8999999999978</v>
      </c>
      <c r="E85" s="502">
        <v>1399.9000000000019</v>
      </c>
      <c r="F85" s="411"/>
    </row>
    <row r="86" spans="1:6" ht="18" customHeight="1">
      <c r="A86" s="409">
        <v>81</v>
      </c>
      <c r="B86" s="501">
        <v>998.60000000000184</v>
      </c>
      <c r="C86" s="501">
        <v>962.39999999999827</v>
      </c>
      <c r="D86" s="502">
        <v>1609.9999999999977</v>
      </c>
      <c r="E86" s="502">
        <v>1415.800000000002</v>
      </c>
      <c r="F86" s="411"/>
    </row>
    <row r="87" spans="1:6" ht="18" customHeight="1">
      <c r="A87" s="409">
        <v>82</v>
      </c>
      <c r="B87" s="501">
        <v>1009.8000000000019</v>
      </c>
      <c r="C87" s="501">
        <v>973.19999999999823</v>
      </c>
      <c r="D87" s="502">
        <v>1628.0999999999976</v>
      </c>
      <c r="E87" s="502">
        <v>1431.7000000000021</v>
      </c>
      <c r="F87" s="411"/>
    </row>
    <row r="88" spans="1:6" ht="18" customHeight="1">
      <c r="A88" s="409">
        <v>83</v>
      </c>
      <c r="B88" s="501">
        <v>1021.0000000000019</v>
      </c>
      <c r="C88" s="501">
        <v>983.99999999999818</v>
      </c>
      <c r="D88" s="502">
        <v>1646.1999999999975</v>
      </c>
      <c r="E88" s="502">
        <v>1447.6000000000022</v>
      </c>
      <c r="F88" s="411"/>
    </row>
    <row r="89" spans="1:6" ht="18" customHeight="1">
      <c r="A89" s="409">
        <v>84</v>
      </c>
      <c r="B89" s="501">
        <v>1032.2000000000019</v>
      </c>
      <c r="C89" s="501">
        <v>994.79999999999814</v>
      </c>
      <c r="D89" s="502">
        <v>1664.2999999999975</v>
      </c>
      <c r="E89" s="502">
        <v>1463.5000000000023</v>
      </c>
      <c r="F89" s="411"/>
    </row>
    <row r="90" spans="1:6" ht="18" customHeight="1">
      <c r="A90" s="409">
        <v>85</v>
      </c>
      <c r="B90" s="501">
        <v>1043.4000000000019</v>
      </c>
      <c r="C90" s="501">
        <v>1005.5999999999981</v>
      </c>
      <c r="D90" s="502">
        <v>1682.3999999999974</v>
      </c>
      <c r="E90" s="502">
        <v>1479.4000000000024</v>
      </c>
      <c r="F90" s="411"/>
    </row>
    <row r="91" spans="1:6" ht="18" customHeight="1">
      <c r="A91" s="409">
        <v>86</v>
      </c>
      <c r="B91" s="501">
        <v>1054.600000000002</v>
      </c>
      <c r="C91" s="501">
        <v>1016.399999999998</v>
      </c>
      <c r="D91" s="502">
        <v>1700.4999999999973</v>
      </c>
      <c r="E91" s="502">
        <v>1495.3000000000025</v>
      </c>
      <c r="F91" s="411"/>
    </row>
    <row r="92" spans="1:6" ht="18" customHeight="1">
      <c r="A92" s="409">
        <v>87</v>
      </c>
      <c r="B92" s="501">
        <v>1065.800000000002</v>
      </c>
      <c r="C92" s="501">
        <v>1027.199999999998</v>
      </c>
      <c r="D92" s="502">
        <v>1718.5999999999972</v>
      </c>
      <c r="E92" s="502">
        <v>1511.2000000000025</v>
      </c>
      <c r="F92" s="411"/>
    </row>
    <row r="93" spans="1:6" ht="18" customHeight="1">
      <c r="A93" s="409">
        <v>88</v>
      </c>
      <c r="B93" s="501">
        <v>1077.000000000002</v>
      </c>
      <c r="C93" s="501">
        <v>1037.999999999998</v>
      </c>
      <c r="D93" s="502">
        <v>1736.6999999999971</v>
      </c>
      <c r="E93" s="502">
        <v>1527.1000000000026</v>
      </c>
      <c r="F93" s="411"/>
    </row>
    <row r="94" spans="1:6" ht="18" customHeight="1">
      <c r="A94" s="409">
        <v>89</v>
      </c>
      <c r="B94" s="501">
        <v>1088.2000000000021</v>
      </c>
      <c r="C94" s="501">
        <v>1048.7999999999979</v>
      </c>
      <c r="D94" s="502">
        <v>1754.799999999997</v>
      </c>
      <c r="E94" s="502">
        <v>1543.0000000000027</v>
      </c>
      <c r="F94" s="411"/>
    </row>
    <row r="95" spans="1:6" ht="18" customHeight="1">
      <c r="A95" s="409">
        <v>90</v>
      </c>
      <c r="B95" s="501">
        <v>1099.4000000000021</v>
      </c>
      <c r="C95" s="501">
        <v>1059.5999999999979</v>
      </c>
      <c r="D95" s="502">
        <v>1772.8999999999969</v>
      </c>
      <c r="E95" s="502">
        <v>1558.9000000000028</v>
      </c>
      <c r="F95" s="411"/>
    </row>
    <row r="96" spans="1:6" ht="18" customHeight="1">
      <c r="A96" s="409">
        <v>91</v>
      </c>
      <c r="B96" s="501">
        <v>1110.6000000000022</v>
      </c>
      <c r="C96" s="501">
        <v>1070.3999999999978</v>
      </c>
      <c r="D96" s="502">
        <v>1790.9999999999968</v>
      </c>
      <c r="E96" s="502">
        <v>1574.8000000000029</v>
      </c>
      <c r="F96" s="411"/>
    </row>
    <row r="97" spans="1:6" ht="18" customHeight="1">
      <c r="A97" s="409">
        <v>92</v>
      </c>
      <c r="B97" s="501">
        <v>1121.8000000000022</v>
      </c>
      <c r="C97" s="501">
        <v>1081.1999999999978</v>
      </c>
      <c r="D97" s="502">
        <v>1809.0999999999967</v>
      </c>
      <c r="E97" s="502">
        <v>1590.700000000003</v>
      </c>
      <c r="F97" s="411"/>
    </row>
    <row r="98" spans="1:6" ht="18" customHeight="1">
      <c r="A98" s="409">
        <v>93</v>
      </c>
      <c r="B98" s="501">
        <v>1133.0000000000023</v>
      </c>
      <c r="C98" s="501">
        <v>1091.9999999999977</v>
      </c>
      <c r="D98" s="502">
        <v>1827.1999999999966</v>
      </c>
      <c r="E98" s="502">
        <v>1606.6000000000031</v>
      </c>
      <c r="F98" s="411"/>
    </row>
    <row r="99" spans="1:6" ht="18" customHeight="1">
      <c r="A99" s="409">
        <v>94</v>
      </c>
      <c r="B99" s="501">
        <v>1144.2000000000023</v>
      </c>
      <c r="C99" s="501">
        <v>1102.7999999999977</v>
      </c>
      <c r="D99" s="502">
        <v>1845.2999999999965</v>
      </c>
      <c r="E99" s="502">
        <v>1622.5000000000032</v>
      </c>
      <c r="F99" s="411"/>
    </row>
    <row r="100" spans="1:6" ht="18" customHeight="1">
      <c r="A100" s="409">
        <v>95</v>
      </c>
      <c r="B100" s="501">
        <v>1155.4000000000024</v>
      </c>
      <c r="C100" s="501">
        <v>1113.5999999999976</v>
      </c>
      <c r="D100" s="502">
        <v>1863.3999999999965</v>
      </c>
      <c r="E100" s="502">
        <v>1638.4000000000033</v>
      </c>
      <c r="F100" s="411"/>
    </row>
    <row r="101" spans="1:6" ht="18" customHeight="1">
      <c r="A101" s="409">
        <v>96</v>
      </c>
      <c r="B101" s="501">
        <v>1166.6000000000024</v>
      </c>
      <c r="C101" s="501">
        <v>1124.3999999999976</v>
      </c>
      <c r="D101" s="502">
        <v>1881.4999999999964</v>
      </c>
      <c r="E101" s="502">
        <v>1654.3000000000034</v>
      </c>
      <c r="F101" s="411"/>
    </row>
    <row r="102" spans="1:6" ht="18" customHeight="1">
      <c r="A102" s="409">
        <v>97</v>
      </c>
      <c r="B102" s="501">
        <v>1177.8000000000025</v>
      </c>
      <c r="C102" s="501">
        <v>1135.1999999999975</v>
      </c>
      <c r="D102" s="502">
        <v>1899.5999999999963</v>
      </c>
      <c r="E102" s="502">
        <v>1670.2000000000035</v>
      </c>
      <c r="F102" s="411"/>
    </row>
    <row r="103" spans="1:6" ht="18" customHeight="1">
      <c r="A103" s="409">
        <v>98</v>
      </c>
      <c r="B103" s="501">
        <v>1189.0000000000025</v>
      </c>
      <c r="C103" s="501">
        <v>1145.9999999999975</v>
      </c>
      <c r="D103" s="502">
        <v>1917.6999999999962</v>
      </c>
      <c r="E103" s="502">
        <v>1686.1000000000035</v>
      </c>
      <c r="F103" s="411"/>
    </row>
    <row r="104" spans="1:6" ht="18" customHeight="1">
      <c r="A104" s="409">
        <v>99</v>
      </c>
      <c r="B104" s="501">
        <v>1200.2000000000025</v>
      </c>
      <c r="C104" s="501">
        <v>1156.7999999999975</v>
      </c>
      <c r="D104" s="502">
        <v>1935.7999999999961</v>
      </c>
      <c r="E104" s="502">
        <v>1702.0000000000036</v>
      </c>
      <c r="F104" s="411"/>
    </row>
    <row r="105" spans="1:6" ht="18" customHeight="1">
      <c r="A105" s="409">
        <v>100</v>
      </c>
      <c r="B105" s="501">
        <v>1211.4000000000026</v>
      </c>
      <c r="C105" s="501">
        <v>1167.5999999999974</v>
      </c>
      <c r="D105" s="502">
        <v>1953.899999999996</v>
      </c>
      <c r="E105" s="502">
        <v>1717.9000000000037</v>
      </c>
      <c r="F105" s="411"/>
    </row>
    <row r="106" spans="1:6" ht="18" customHeight="1">
      <c r="A106" s="409">
        <v>101</v>
      </c>
      <c r="B106" s="501">
        <v>1222.6000000000026</v>
      </c>
      <c r="C106" s="501">
        <v>1178.3999999999974</v>
      </c>
      <c r="D106" s="502">
        <v>1971.9999999999959</v>
      </c>
      <c r="E106" s="502">
        <v>1733.8000000000038</v>
      </c>
      <c r="F106" s="411"/>
    </row>
    <row r="107" spans="1:6" ht="18" customHeight="1">
      <c r="A107" s="409">
        <v>102</v>
      </c>
      <c r="B107" s="501">
        <v>1233.8000000000027</v>
      </c>
      <c r="C107" s="501">
        <v>1189.1999999999973</v>
      </c>
      <c r="D107" s="502">
        <v>1990.0999999999958</v>
      </c>
      <c r="E107" s="502">
        <v>1749.7000000000039</v>
      </c>
      <c r="F107" s="411"/>
    </row>
    <row r="108" spans="1:6" ht="18" customHeight="1">
      <c r="A108" s="409">
        <v>103</v>
      </c>
      <c r="B108" s="501">
        <v>1245.0000000000027</v>
      </c>
      <c r="C108" s="501">
        <v>1199.9999999999973</v>
      </c>
      <c r="D108" s="502">
        <v>2008.1999999999957</v>
      </c>
      <c r="E108" s="502">
        <v>1765.600000000004</v>
      </c>
      <c r="F108" s="411"/>
    </row>
    <row r="109" spans="1:6" ht="18" customHeight="1">
      <c r="A109" s="409">
        <v>104</v>
      </c>
      <c r="B109" s="501">
        <v>1256.2000000000028</v>
      </c>
      <c r="C109" s="501">
        <v>1210.7999999999972</v>
      </c>
      <c r="D109" s="502">
        <v>2026.2999999999956</v>
      </c>
      <c r="E109" s="502">
        <v>1781.5000000000041</v>
      </c>
      <c r="F109" s="411"/>
    </row>
    <row r="110" spans="1:6" ht="18" customHeight="1">
      <c r="A110" s="409">
        <v>105</v>
      </c>
      <c r="B110" s="501">
        <v>1267.4000000000028</v>
      </c>
      <c r="C110" s="501">
        <v>1221.5999999999972</v>
      </c>
      <c r="D110" s="502">
        <v>2044.3999999999955</v>
      </c>
      <c r="E110" s="502">
        <v>1797.4000000000042</v>
      </c>
      <c r="F110" s="411"/>
    </row>
    <row r="111" spans="1:6" ht="18" customHeight="1">
      <c r="A111" s="409">
        <v>106</v>
      </c>
      <c r="B111" s="501">
        <v>1278.6000000000029</v>
      </c>
      <c r="C111" s="501">
        <v>1232.3999999999971</v>
      </c>
      <c r="D111" s="502">
        <v>2062.4999999999955</v>
      </c>
      <c r="E111" s="502">
        <v>1813.3000000000043</v>
      </c>
      <c r="F111" s="411"/>
    </row>
    <row r="112" spans="1:6" ht="18" customHeight="1">
      <c r="A112" s="409">
        <v>107</v>
      </c>
      <c r="B112" s="501">
        <v>1289.8000000000029</v>
      </c>
      <c r="C112" s="501">
        <v>1243.1999999999971</v>
      </c>
      <c r="D112" s="502">
        <v>2080.5999999999954</v>
      </c>
      <c r="E112" s="502">
        <v>1829.2000000000044</v>
      </c>
      <c r="F112" s="411"/>
    </row>
    <row r="113" spans="1:6" ht="18" customHeight="1">
      <c r="A113" s="409">
        <v>108</v>
      </c>
      <c r="B113" s="501">
        <v>1301.000000000003</v>
      </c>
      <c r="C113" s="501">
        <v>1253.999999999997</v>
      </c>
      <c r="D113" s="502">
        <v>2098.6999999999953</v>
      </c>
      <c r="E113" s="502">
        <v>1845.1000000000045</v>
      </c>
      <c r="F113" s="411"/>
    </row>
    <row r="114" spans="1:6" ht="18" customHeight="1">
      <c r="A114" s="409">
        <v>109</v>
      </c>
      <c r="B114" s="501">
        <v>1312.200000000003</v>
      </c>
      <c r="C114" s="501">
        <v>1264.799999999997</v>
      </c>
      <c r="D114" s="502">
        <v>2116.7999999999952</v>
      </c>
      <c r="E114" s="502">
        <v>1861.0000000000045</v>
      </c>
      <c r="F114" s="411"/>
    </row>
    <row r="115" spans="1:6" ht="18" customHeight="1">
      <c r="A115" s="409">
        <v>110</v>
      </c>
      <c r="B115" s="501">
        <v>1323.400000000003</v>
      </c>
      <c r="C115" s="501">
        <v>1275.599999999997</v>
      </c>
      <c r="D115" s="502">
        <v>2134.8999999999951</v>
      </c>
      <c r="E115" s="502">
        <v>1876.9000000000046</v>
      </c>
      <c r="F115" s="411"/>
    </row>
    <row r="116" spans="1:6" ht="18" customHeight="1">
      <c r="A116" s="409">
        <v>111</v>
      </c>
      <c r="B116" s="501">
        <v>1334.6000000000031</v>
      </c>
      <c r="C116" s="501">
        <v>1286.3999999999969</v>
      </c>
      <c r="D116" s="502">
        <v>2152.999999999995</v>
      </c>
      <c r="E116" s="502">
        <v>1892.8000000000047</v>
      </c>
      <c r="F116" s="411"/>
    </row>
    <row r="117" spans="1:6" ht="18" customHeight="1">
      <c r="A117" s="409">
        <v>112</v>
      </c>
      <c r="B117" s="501">
        <v>1345.8000000000031</v>
      </c>
      <c r="C117" s="501">
        <v>1297.1999999999969</v>
      </c>
      <c r="D117" s="502">
        <v>2171.0999999999949</v>
      </c>
      <c r="E117" s="502">
        <v>1908.7000000000048</v>
      </c>
      <c r="F117" s="411"/>
    </row>
    <row r="118" spans="1:6" ht="18" customHeight="1">
      <c r="A118" s="409">
        <v>113</v>
      </c>
      <c r="B118" s="501">
        <v>1357.0000000000032</v>
      </c>
      <c r="C118" s="501">
        <v>1307.9999999999968</v>
      </c>
      <c r="D118" s="502">
        <v>2189.1999999999948</v>
      </c>
      <c r="E118" s="502">
        <v>1924.6000000000049</v>
      </c>
      <c r="F118" s="411"/>
    </row>
    <row r="119" spans="1:6" ht="18" customHeight="1">
      <c r="A119" s="409">
        <v>114</v>
      </c>
      <c r="B119" s="501">
        <v>1368.2000000000032</v>
      </c>
      <c r="C119" s="501">
        <v>1318.7999999999968</v>
      </c>
      <c r="D119" s="502">
        <v>2207.2999999999947</v>
      </c>
      <c r="E119" s="502">
        <v>1940.500000000005</v>
      </c>
      <c r="F119" s="411"/>
    </row>
    <row r="120" spans="1:6" ht="18" customHeight="1">
      <c r="A120" s="409">
        <v>115</v>
      </c>
      <c r="B120" s="501">
        <v>1379.4000000000033</v>
      </c>
      <c r="C120" s="501">
        <v>1329.5999999999967</v>
      </c>
      <c r="D120" s="502">
        <v>2225.3999999999946</v>
      </c>
      <c r="E120" s="502">
        <v>1956.4000000000051</v>
      </c>
      <c r="F120" s="411"/>
    </row>
    <row r="121" spans="1:6" ht="18" customHeight="1">
      <c r="A121" s="409">
        <v>116</v>
      </c>
      <c r="B121" s="501">
        <v>1390.6000000000033</v>
      </c>
      <c r="C121" s="501">
        <v>1340.3999999999967</v>
      </c>
      <c r="D121" s="502">
        <v>2243.4999999999945</v>
      </c>
      <c r="E121" s="502">
        <v>1972.3000000000052</v>
      </c>
      <c r="F121" s="411"/>
    </row>
    <row r="122" spans="1:6" ht="18" customHeight="1">
      <c r="A122" s="409">
        <v>117</v>
      </c>
      <c r="B122" s="501">
        <v>1401.8000000000034</v>
      </c>
      <c r="C122" s="501">
        <v>1351.1999999999966</v>
      </c>
      <c r="D122" s="502">
        <v>2261.5999999999945</v>
      </c>
      <c r="E122" s="502">
        <v>1988.2000000000053</v>
      </c>
      <c r="F122" s="411"/>
    </row>
    <row r="123" spans="1:6" ht="18" customHeight="1">
      <c r="A123" s="409">
        <v>118</v>
      </c>
      <c r="B123" s="501">
        <v>1413.0000000000034</v>
      </c>
      <c r="C123" s="501">
        <v>1361.9999999999966</v>
      </c>
      <c r="D123" s="502">
        <v>2279.6999999999944</v>
      </c>
      <c r="E123" s="502">
        <v>2004.1000000000054</v>
      </c>
      <c r="F123" s="411"/>
    </row>
    <row r="124" spans="1:6" ht="18" customHeight="1">
      <c r="A124" s="409">
        <v>119</v>
      </c>
      <c r="B124" s="501">
        <v>1424.2000000000035</v>
      </c>
      <c r="C124" s="501">
        <v>1372.7999999999965</v>
      </c>
      <c r="D124" s="502">
        <v>2297.7999999999943</v>
      </c>
      <c r="E124" s="502">
        <v>2020.0000000000055</v>
      </c>
      <c r="F124" s="411"/>
    </row>
    <row r="125" spans="1:6" ht="18" customHeight="1">
      <c r="A125" s="409">
        <v>120</v>
      </c>
      <c r="B125" s="501">
        <v>1435.4000000000035</v>
      </c>
      <c r="C125" s="501">
        <v>1383.5999999999965</v>
      </c>
      <c r="D125" s="502">
        <v>2315.8999999999942</v>
      </c>
      <c r="E125" s="502">
        <v>2035.9000000000055</v>
      </c>
      <c r="F125" s="411"/>
    </row>
    <row r="126" spans="1:6" ht="18" customHeight="1">
      <c r="A126" s="409">
        <v>121</v>
      </c>
      <c r="B126" s="501">
        <v>1446.6000000000035</v>
      </c>
      <c r="C126" s="501">
        <v>1394.3999999999965</v>
      </c>
      <c r="D126" s="502">
        <v>2333.9999999999941</v>
      </c>
      <c r="E126" s="502">
        <v>2051.8000000000056</v>
      </c>
      <c r="F126" s="411"/>
    </row>
    <row r="127" spans="1:6" ht="18" customHeight="1">
      <c r="A127" s="409">
        <v>122</v>
      </c>
      <c r="B127" s="501">
        <v>1457.8000000000036</v>
      </c>
      <c r="C127" s="501">
        <v>1405.1999999999964</v>
      </c>
      <c r="D127" s="502">
        <v>2352.099999999994</v>
      </c>
      <c r="E127" s="502">
        <v>2067.7000000000057</v>
      </c>
      <c r="F127" s="411"/>
    </row>
    <row r="128" spans="1:6" ht="18" customHeight="1">
      <c r="A128" s="409">
        <v>123</v>
      </c>
      <c r="B128" s="501">
        <v>1469.0000000000036</v>
      </c>
      <c r="C128" s="501">
        <v>1415.9999999999964</v>
      </c>
      <c r="D128" s="502">
        <v>2370.1999999999939</v>
      </c>
      <c r="E128" s="502">
        <v>2083.6000000000058</v>
      </c>
      <c r="F128" s="411"/>
    </row>
    <row r="129" spans="1:6" ht="18" customHeight="1">
      <c r="A129" s="409">
        <v>124</v>
      </c>
      <c r="B129" s="501">
        <v>1480.2000000000037</v>
      </c>
      <c r="C129" s="501">
        <v>1426.7999999999963</v>
      </c>
      <c r="D129" s="502">
        <v>2388.2999999999938</v>
      </c>
      <c r="E129" s="502">
        <v>2099.5000000000059</v>
      </c>
      <c r="F129" s="411"/>
    </row>
    <row r="130" spans="1:6" ht="18" customHeight="1">
      <c r="A130" s="409">
        <v>125</v>
      </c>
      <c r="B130" s="501">
        <v>1491.4000000000037</v>
      </c>
      <c r="C130" s="501">
        <v>1437.5999999999963</v>
      </c>
      <c r="D130" s="502">
        <v>2406.3999999999937</v>
      </c>
      <c r="E130" s="502">
        <v>2115.400000000006</v>
      </c>
      <c r="F130" s="411"/>
    </row>
    <row r="131" spans="1:6" ht="18" customHeight="1">
      <c r="A131" s="409">
        <v>126</v>
      </c>
      <c r="B131" s="501">
        <v>1502.6000000000038</v>
      </c>
      <c r="C131" s="501">
        <v>1448.3999999999962</v>
      </c>
      <c r="D131" s="502">
        <v>2424.4999999999936</v>
      </c>
      <c r="E131" s="502">
        <v>2131.3000000000061</v>
      </c>
      <c r="F131" s="411"/>
    </row>
    <row r="132" spans="1:6" ht="18" customHeight="1">
      <c r="A132" s="409">
        <v>127</v>
      </c>
      <c r="B132" s="501">
        <v>1513.8000000000038</v>
      </c>
      <c r="C132" s="501">
        <v>1459.1999999999962</v>
      </c>
      <c r="D132" s="502">
        <v>2442.5999999999935</v>
      </c>
      <c r="E132" s="502">
        <v>2147.2000000000062</v>
      </c>
      <c r="F132" s="411"/>
    </row>
    <row r="133" spans="1:6" ht="18" customHeight="1">
      <c r="A133" s="409">
        <v>128</v>
      </c>
      <c r="B133" s="501">
        <v>1525.0000000000039</v>
      </c>
      <c r="C133" s="501">
        <v>1469.9999999999961</v>
      </c>
      <c r="D133" s="502">
        <v>2460.6999999999935</v>
      </c>
      <c r="E133" s="502">
        <v>2163.1000000000063</v>
      </c>
      <c r="F133" s="411"/>
    </row>
    <row r="134" spans="1:6" ht="18" customHeight="1">
      <c r="A134" s="409">
        <v>129</v>
      </c>
      <c r="B134" s="501">
        <v>1536.2000000000039</v>
      </c>
      <c r="C134" s="501">
        <v>1480.7999999999961</v>
      </c>
      <c r="D134" s="502">
        <v>2478.7999999999934</v>
      </c>
      <c r="E134" s="502">
        <v>2179.0000000000064</v>
      </c>
      <c r="F134" s="411"/>
    </row>
    <row r="135" spans="1:6" ht="18" customHeight="1">
      <c r="A135" s="409">
        <v>130</v>
      </c>
      <c r="B135" s="501">
        <v>1547.400000000004</v>
      </c>
      <c r="C135" s="501">
        <v>1491.599999999996</v>
      </c>
      <c r="D135" s="502">
        <v>2496.8999999999933</v>
      </c>
      <c r="E135" s="502">
        <v>2194.9000000000065</v>
      </c>
      <c r="F135" s="411"/>
    </row>
    <row r="136" spans="1:6" ht="18" customHeight="1">
      <c r="A136" s="409">
        <v>131</v>
      </c>
      <c r="B136" s="501">
        <v>1558.600000000004</v>
      </c>
      <c r="C136" s="501">
        <v>1502.399999999996</v>
      </c>
      <c r="D136" s="502">
        <v>2514.9999999999932</v>
      </c>
      <c r="E136" s="502">
        <v>2210.8000000000065</v>
      </c>
      <c r="F136" s="411"/>
    </row>
    <row r="137" spans="1:6" ht="18" customHeight="1">
      <c r="A137" s="409">
        <v>132</v>
      </c>
      <c r="B137" s="501">
        <v>1569.800000000004</v>
      </c>
      <c r="C137" s="501">
        <v>1513.199999999996</v>
      </c>
      <c r="D137" s="502">
        <v>2533.0999999999931</v>
      </c>
      <c r="E137" s="502">
        <v>2226.7000000000066</v>
      </c>
      <c r="F137" s="411"/>
    </row>
    <row r="138" spans="1:6" ht="18" customHeight="1">
      <c r="A138" s="409">
        <v>133</v>
      </c>
      <c r="B138" s="501">
        <v>1581.0000000000041</v>
      </c>
      <c r="C138" s="501">
        <v>1523.9999999999959</v>
      </c>
      <c r="D138" s="502">
        <v>2551.199999999993</v>
      </c>
      <c r="E138" s="502">
        <v>2242.6000000000067</v>
      </c>
      <c r="F138" s="411"/>
    </row>
    <row r="139" spans="1:6" ht="18" customHeight="1">
      <c r="A139" s="409">
        <v>134</v>
      </c>
      <c r="B139" s="501">
        <v>1592.2000000000041</v>
      </c>
      <c r="C139" s="501">
        <v>1534.7999999999959</v>
      </c>
      <c r="D139" s="502">
        <v>2569.2999999999929</v>
      </c>
      <c r="E139" s="502">
        <v>2258.5000000000068</v>
      </c>
      <c r="F139" s="411"/>
    </row>
    <row r="140" spans="1:6" ht="18" customHeight="1">
      <c r="A140" s="414">
        <v>135</v>
      </c>
      <c r="B140" s="501">
        <v>1603.4000000000042</v>
      </c>
      <c r="C140" s="501">
        <v>1545.5999999999958</v>
      </c>
      <c r="D140" s="502">
        <v>2587.3999999999928</v>
      </c>
      <c r="E140" s="502">
        <v>2274.4000000000069</v>
      </c>
      <c r="F140" s="411"/>
    </row>
    <row r="141" spans="1:6" ht="18" customHeight="1">
      <c r="A141" s="409">
        <v>136</v>
      </c>
      <c r="B141" s="501">
        <v>1614.6000000000042</v>
      </c>
      <c r="C141" s="501">
        <v>1556.3999999999958</v>
      </c>
      <c r="D141" s="502">
        <v>2605.4999999999927</v>
      </c>
      <c r="E141" s="502">
        <v>2290.300000000007</v>
      </c>
      <c r="F141" s="411"/>
    </row>
    <row r="142" spans="1:6" ht="18" customHeight="1">
      <c r="A142" s="409">
        <v>137</v>
      </c>
      <c r="B142" s="501">
        <v>1625.8000000000043</v>
      </c>
      <c r="C142" s="501">
        <v>1567.1999999999957</v>
      </c>
      <c r="D142" s="502">
        <v>2623.5999999999926</v>
      </c>
      <c r="E142" s="502">
        <v>2306.2000000000071</v>
      </c>
      <c r="F142" s="411"/>
    </row>
    <row r="143" spans="1:6" ht="18" customHeight="1">
      <c r="A143" s="409">
        <v>138</v>
      </c>
      <c r="B143" s="501">
        <v>1637.0000000000043</v>
      </c>
      <c r="C143" s="501">
        <v>1577.9999999999957</v>
      </c>
      <c r="D143" s="502">
        <v>2641.6999999999925</v>
      </c>
      <c r="E143" s="502">
        <v>2322.1000000000072</v>
      </c>
      <c r="F143" s="411"/>
    </row>
    <row r="144" spans="1:6" ht="18" customHeight="1">
      <c r="A144" s="409">
        <v>139</v>
      </c>
      <c r="B144" s="501">
        <v>1648.2000000000044</v>
      </c>
      <c r="C144" s="501">
        <v>1588.7999999999956</v>
      </c>
      <c r="D144" s="502">
        <v>2659.7999999999925</v>
      </c>
      <c r="E144" s="502">
        <v>2338.0000000000073</v>
      </c>
      <c r="F144" s="411"/>
    </row>
    <row r="145" spans="1:6" ht="18" customHeight="1">
      <c r="A145" s="409">
        <v>140</v>
      </c>
      <c r="B145" s="501">
        <v>1659.4000000000044</v>
      </c>
      <c r="C145" s="501">
        <v>1599.5999999999956</v>
      </c>
      <c r="D145" s="502">
        <v>2677.8999999999924</v>
      </c>
      <c r="E145" s="502">
        <v>2353.9000000000074</v>
      </c>
      <c r="F145" s="411"/>
    </row>
    <row r="146" spans="1:6" ht="18" customHeight="1">
      <c r="A146" s="409">
        <v>141</v>
      </c>
      <c r="B146" s="501">
        <v>1670.6000000000045</v>
      </c>
      <c r="C146" s="501">
        <v>1610.3999999999955</v>
      </c>
      <c r="D146" s="502">
        <v>2695.9999999999923</v>
      </c>
      <c r="E146" s="502">
        <v>2369.8000000000075</v>
      </c>
      <c r="F146" s="411"/>
    </row>
    <row r="147" spans="1:6" ht="18" customHeight="1">
      <c r="A147" s="409">
        <v>142</v>
      </c>
      <c r="B147" s="501">
        <v>1681.8000000000045</v>
      </c>
      <c r="C147" s="501">
        <v>1621.1999999999955</v>
      </c>
      <c r="D147" s="502">
        <v>2714.0999999999922</v>
      </c>
      <c r="E147" s="502">
        <v>2385.7000000000075</v>
      </c>
      <c r="F147" s="411"/>
    </row>
    <row r="148" spans="1:6" ht="18" customHeight="1">
      <c r="A148" s="409">
        <v>143</v>
      </c>
      <c r="B148" s="501">
        <v>1693.0000000000045</v>
      </c>
      <c r="C148" s="501">
        <v>1631.9999999999955</v>
      </c>
      <c r="D148" s="502">
        <v>2732.1999999999921</v>
      </c>
      <c r="E148" s="502">
        <v>2401.6000000000076</v>
      </c>
      <c r="F148" s="411"/>
    </row>
    <row r="149" spans="1:6" ht="18" customHeight="1">
      <c r="A149" s="409">
        <v>144</v>
      </c>
      <c r="B149" s="501">
        <v>1704.2000000000046</v>
      </c>
      <c r="C149" s="501">
        <v>1642.7999999999954</v>
      </c>
      <c r="D149" s="502">
        <v>2750.299999999992</v>
      </c>
      <c r="E149" s="502">
        <v>2417.5000000000077</v>
      </c>
      <c r="F149" s="411"/>
    </row>
    <row r="150" spans="1:6" ht="18" customHeight="1">
      <c r="A150" s="409">
        <v>145</v>
      </c>
      <c r="B150" s="501">
        <v>1715.4000000000046</v>
      </c>
      <c r="C150" s="501">
        <v>1653.5999999999954</v>
      </c>
      <c r="D150" s="502">
        <v>2768.3999999999919</v>
      </c>
      <c r="E150" s="502">
        <v>2433.4000000000078</v>
      </c>
      <c r="F150" s="411"/>
    </row>
    <row r="151" spans="1:6" ht="18" customHeight="1">
      <c r="A151" s="409">
        <v>146</v>
      </c>
      <c r="B151" s="501">
        <v>1726.6000000000047</v>
      </c>
      <c r="C151" s="501">
        <v>1664.3999999999953</v>
      </c>
      <c r="D151" s="502">
        <v>2786.4999999999918</v>
      </c>
      <c r="E151" s="502">
        <v>2449.3000000000079</v>
      </c>
      <c r="F151" s="411"/>
    </row>
    <row r="152" spans="1:6" ht="18" customHeight="1">
      <c r="A152" s="409">
        <v>147</v>
      </c>
      <c r="B152" s="501">
        <v>1737.8000000000047</v>
      </c>
      <c r="C152" s="501">
        <v>1675.1999999999953</v>
      </c>
      <c r="D152" s="502">
        <v>2804.5999999999917</v>
      </c>
      <c r="E152" s="502">
        <v>2465.200000000008</v>
      </c>
      <c r="F152" s="411"/>
    </row>
    <row r="153" spans="1:6" ht="18" customHeight="1">
      <c r="A153" s="409">
        <v>148</v>
      </c>
      <c r="B153" s="501">
        <v>1749.0000000000048</v>
      </c>
      <c r="C153" s="501">
        <v>1685.9999999999952</v>
      </c>
      <c r="D153" s="502">
        <v>2822.6999999999916</v>
      </c>
      <c r="E153" s="502">
        <v>2481.1000000000081</v>
      </c>
      <c r="F153" s="411"/>
    </row>
    <row r="154" spans="1:6" ht="18" customHeight="1">
      <c r="A154" s="409">
        <v>149</v>
      </c>
      <c r="B154" s="501">
        <v>1760.2000000000048</v>
      </c>
      <c r="C154" s="501">
        <v>1696.7999999999952</v>
      </c>
      <c r="D154" s="502">
        <v>2840.7999999999915</v>
      </c>
      <c r="E154" s="502">
        <v>2497.0000000000082</v>
      </c>
      <c r="F154" s="411"/>
    </row>
    <row r="155" spans="1:6" ht="18" customHeight="1">
      <c r="A155" s="409">
        <v>150</v>
      </c>
      <c r="B155" s="501">
        <v>1771.4000000000049</v>
      </c>
      <c r="C155" s="501">
        <v>1707.5999999999951</v>
      </c>
      <c r="D155" s="502">
        <v>2858.8999999999915</v>
      </c>
      <c r="E155" s="502">
        <v>2512.9000000000083</v>
      </c>
      <c r="F155" s="411"/>
    </row>
    <row r="156" spans="1:6" ht="18" customHeight="1">
      <c r="A156" s="409">
        <v>151</v>
      </c>
      <c r="B156" s="501">
        <v>1782.6000000000049</v>
      </c>
      <c r="C156" s="501">
        <v>1718.3999999999951</v>
      </c>
      <c r="D156" s="502">
        <v>2876.9999999999914</v>
      </c>
      <c r="E156" s="502">
        <v>2528.8000000000084</v>
      </c>
      <c r="F156" s="411"/>
    </row>
    <row r="157" spans="1:6" ht="18" customHeight="1">
      <c r="A157" s="409">
        <v>152</v>
      </c>
      <c r="B157" s="501">
        <v>1793.800000000005</v>
      </c>
      <c r="C157" s="501">
        <v>1729.199999999995</v>
      </c>
      <c r="D157" s="502">
        <v>2895.0999999999913</v>
      </c>
      <c r="E157" s="502">
        <v>2544.7000000000085</v>
      </c>
      <c r="F157" s="411"/>
    </row>
    <row r="158" spans="1:6" ht="18" customHeight="1">
      <c r="A158" s="409">
        <v>153</v>
      </c>
      <c r="B158" s="501">
        <v>1805.000000000005</v>
      </c>
      <c r="C158" s="501">
        <v>1739.999999999995</v>
      </c>
      <c r="D158" s="502">
        <v>2913.1999999999912</v>
      </c>
      <c r="E158" s="502">
        <v>2560.6000000000085</v>
      </c>
      <c r="F158" s="411"/>
    </row>
    <row r="159" spans="1:6" ht="18" customHeight="1">
      <c r="A159" s="409">
        <v>154</v>
      </c>
      <c r="B159" s="501">
        <v>1816.200000000005</v>
      </c>
      <c r="C159" s="501">
        <v>1750.799999999995</v>
      </c>
      <c r="D159" s="502">
        <v>2931.2999999999911</v>
      </c>
      <c r="E159" s="502">
        <v>2576.5000000000086</v>
      </c>
      <c r="F159" s="411"/>
    </row>
    <row r="160" spans="1:6" ht="18" customHeight="1">
      <c r="A160" s="409">
        <v>155</v>
      </c>
      <c r="B160" s="501">
        <v>1827.4000000000051</v>
      </c>
      <c r="C160" s="501">
        <v>1761.5999999999949</v>
      </c>
      <c r="D160" s="502">
        <v>2949.399999999991</v>
      </c>
      <c r="E160" s="502">
        <v>2592.4000000000087</v>
      </c>
      <c r="F160" s="411"/>
    </row>
    <row r="161" spans="1:6" ht="18" customHeight="1">
      <c r="A161" s="409">
        <v>156</v>
      </c>
      <c r="B161" s="501">
        <v>1838.6000000000051</v>
      </c>
      <c r="C161" s="501">
        <v>1772.3999999999949</v>
      </c>
      <c r="D161" s="502">
        <v>2967.4999999999909</v>
      </c>
      <c r="E161" s="502">
        <v>2608.3000000000088</v>
      </c>
      <c r="F161" s="411"/>
    </row>
    <row r="162" spans="1:6" ht="18" customHeight="1">
      <c r="A162" s="409">
        <v>157</v>
      </c>
      <c r="B162" s="501">
        <v>1849.8000000000052</v>
      </c>
      <c r="C162" s="501">
        <v>1783.1999999999948</v>
      </c>
      <c r="D162" s="502">
        <v>2985.5999999999908</v>
      </c>
      <c r="E162" s="502">
        <v>2624.2000000000089</v>
      </c>
      <c r="F162" s="411"/>
    </row>
    <row r="163" spans="1:6" ht="18" customHeight="1">
      <c r="A163" s="409">
        <v>158</v>
      </c>
      <c r="B163" s="501">
        <v>1861.0000000000052</v>
      </c>
      <c r="C163" s="501">
        <v>1793.9999999999948</v>
      </c>
      <c r="D163" s="502">
        <v>3003.6999999999907</v>
      </c>
      <c r="E163" s="502">
        <v>2640.100000000009</v>
      </c>
      <c r="F163" s="411"/>
    </row>
    <row r="164" spans="1:6" ht="18" customHeight="1">
      <c r="A164" s="409">
        <v>159</v>
      </c>
      <c r="B164" s="501">
        <v>1872.2000000000053</v>
      </c>
      <c r="C164" s="501">
        <v>1804.7999999999947</v>
      </c>
      <c r="D164" s="502">
        <v>3021.7999999999906</v>
      </c>
      <c r="E164" s="502">
        <v>2656.0000000000091</v>
      </c>
      <c r="F164" s="411"/>
    </row>
    <row r="165" spans="1:6" ht="18" customHeight="1">
      <c r="A165" s="409">
        <v>160</v>
      </c>
      <c r="B165" s="501">
        <v>1883.4000000000053</v>
      </c>
      <c r="C165" s="501">
        <v>1815.5999999999947</v>
      </c>
      <c r="D165" s="502">
        <v>3039.8999999999905</v>
      </c>
      <c r="E165" s="502">
        <v>2671.9000000000092</v>
      </c>
      <c r="F165" s="411"/>
    </row>
    <row r="166" spans="1:6" ht="18" customHeight="1">
      <c r="A166" s="409">
        <v>161</v>
      </c>
      <c r="B166" s="501">
        <v>1894.6000000000054</v>
      </c>
      <c r="C166" s="501">
        <v>1826.3999999999946</v>
      </c>
      <c r="D166" s="502">
        <v>3057.9999999999905</v>
      </c>
      <c r="E166" s="502">
        <v>2687.8000000000093</v>
      </c>
      <c r="F166" s="411"/>
    </row>
    <row r="167" spans="1:6" ht="18" customHeight="1">
      <c r="A167" s="409">
        <v>162</v>
      </c>
      <c r="B167" s="501">
        <v>1905.8000000000054</v>
      </c>
      <c r="C167" s="501">
        <v>1837.1999999999946</v>
      </c>
      <c r="D167" s="502">
        <v>3076.0999999999904</v>
      </c>
      <c r="E167" s="502">
        <v>2703.7000000000094</v>
      </c>
      <c r="F167" s="411"/>
    </row>
    <row r="168" spans="1:6" ht="18" customHeight="1">
      <c r="A168" s="409">
        <v>163</v>
      </c>
      <c r="B168" s="501">
        <v>1917.0000000000055</v>
      </c>
      <c r="C168" s="501">
        <v>1847.9999999999945</v>
      </c>
      <c r="D168" s="502">
        <v>3094.1999999999903</v>
      </c>
      <c r="E168" s="502">
        <v>2719.6000000000095</v>
      </c>
      <c r="F168" s="411"/>
    </row>
    <row r="169" spans="1:6" ht="18" customHeight="1">
      <c r="A169" s="409">
        <v>164</v>
      </c>
      <c r="B169" s="501">
        <v>1928.2000000000055</v>
      </c>
      <c r="C169" s="501">
        <v>1858.7999999999945</v>
      </c>
      <c r="D169" s="502">
        <v>3112.2999999999902</v>
      </c>
      <c r="E169" s="502">
        <v>2735.5000000000095</v>
      </c>
      <c r="F169" s="411"/>
    </row>
    <row r="170" spans="1:6" ht="18" customHeight="1">
      <c r="A170" s="409">
        <v>165</v>
      </c>
      <c r="B170" s="501">
        <v>1939.4000000000055</v>
      </c>
      <c r="C170" s="501">
        <v>1869.5999999999945</v>
      </c>
      <c r="D170" s="502">
        <v>3130.3999999999901</v>
      </c>
      <c r="E170" s="502">
        <v>2751.4000000000096</v>
      </c>
      <c r="F170" s="411"/>
    </row>
    <row r="171" spans="1:6" ht="18" customHeight="1">
      <c r="A171" s="409">
        <v>166</v>
      </c>
      <c r="B171" s="501">
        <v>1950.6000000000056</v>
      </c>
      <c r="C171" s="501">
        <v>1880.3999999999944</v>
      </c>
      <c r="D171" s="502">
        <v>3148.49999999999</v>
      </c>
      <c r="E171" s="502">
        <v>2767.3000000000097</v>
      </c>
      <c r="F171" s="411"/>
    </row>
    <row r="172" spans="1:6" ht="18" customHeight="1">
      <c r="A172" s="409">
        <v>167</v>
      </c>
      <c r="B172" s="501">
        <v>1961.8000000000056</v>
      </c>
      <c r="C172" s="501">
        <v>1891.1999999999944</v>
      </c>
      <c r="D172" s="502">
        <v>3166.5999999999899</v>
      </c>
      <c r="E172" s="502">
        <v>2783.2000000000098</v>
      </c>
      <c r="F172" s="411"/>
    </row>
    <row r="173" spans="1:6" ht="18" customHeight="1">
      <c r="A173" s="409">
        <v>168</v>
      </c>
      <c r="B173" s="501">
        <v>1973.0000000000057</v>
      </c>
      <c r="C173" s="501">
        <v>1901.9999999999943</v>
      </c>
      <c r="D173" s="502">
        <v>3184.6999999999898</v>
      </c>
      <c r="E173" s="502">
        <v>2799.1000000000099</v>
      </c>
      <c r="F173" s="411"/>
    </row>
    <row r="174" spans="1:6" ht="18" customHeight="1">
      <c r="A174" s="409">
        <v>169</v>
      </c>
      <c r="B174" s="501">
        <v>1984.2000000000057</v>
      </c>
      <c r="C174" s="501">
        <v>1912.7999999999943</v>
      </c>
      <c r="D174" s="502">
        <v>3202.7999999999897</v>
      </c>
      <c r="E174" s="502">
        <v>2815.00000000001</v>
      </c>
      <c r="F174" s="411"/>
    </row>
    <row r="175" spans="1:6" ht="18" customHeight="1">
      <c r="A175" s="409">
        <v>170</v>
      </c>
      <c r="B175" s="501">
        <v>1995.4000000000058</v>
      </c>
      <c r="C175" s="501">
        <v>1923.5999999999942</v>
      </c>
      <c r="D175" s="502">
        <v>3220.8999999999896</v>
      </c>
      <c r="E175" s="502">
        <v>2830.9000000000101</v>
      </c>
      <c r="F175" s="411"/>
    </row>
    <row r="176" spans="1:6" ht="18" customHeight="1">
      <c r="A176" s="409">
        <v>171</v>
      </c>
      <c r="B176" s="501">
        <v>2006.6000000000058</v>
      </c>
      <c r="C176" s="501">
        <v>1934.3999999999942</v>
      </c>
      <c r="D176" s="502">
        <v>3238.9999999999895</v>
      </c>
      <c r="E176" s="502">
        <v>2846.8000000000102</v>
      </c>
      <c r="F176" s="411"/>
    </row>
    <row r="177" spans="1:6" ht="18" customHeight="1">
      <c r="A177" s="409">
        <v>172</v>
      </c>
      <c r="B177" s="501">
        <v>2017.8000000000059</v>
      </c>
      <c r="C177" s="501">
        <v>1945.1999999999941</v>
      </c>
      <c r="D177" s="502">
        <v>3257.0999999999894</v>
      </c>
      <c r="E177" s="502">
        <v>2862.7000000000103</v>
      </c>
      <c r="F177" s="411"/>
    </row>
    <row r="178" spans="1:6" ht="18" customHeight="1">
      <c r="A178" s="409">
        <v>173</v>
      </c>
      <c r="B178" s="501">
        <v>2029.0000000000059</v>
      </c>
      <c r="C178" s="501">
        <v>1955.9999999999941</v>
      </c>
      <c r="D178" s="502">
        <v>3275.1999999999894</v>
      </c>
      <c r="E178" s="502">
        <v>2878.6000000000104</v>
      </c>
      <c r="F178" s="411"/>
    </row>
    <row r="179" spans="1:6" ht="18" customHeight="1">
      <c r="A179" s="409">
        <v>174</v>
      </c>
      <c r="B179" s="501">
        <v>2040.200000000006</v>
      </c>
      <c r="C179" s="501">
        <v>1966.799999999994</v>
      </c>
      <c r="D179" s="502">
        <v>3293.2999999999893</v>
      </c>
      <c r="E179" s="502">
        <v>2894.5000000000105</v>
      </c>
      <c r="F179" s="411"/>
    </row>
    <row r="180" spans="1:6" ht="18" customHeight="1">
      <c r="A180" s="409">
        <v>175</v>
      </c>
      <c r="B180" s="501">
        <v>2051.400000000006</v>
      </c>
      <c r="C180" s="501">
        <v>1977.599999999994</v>
      </c>
      <c r="D180" s="502">
        <v>3311.3999999999892</v>
      </c>
      <c r="E180" s="502">
        <v>2910.4000000000106</v>
      </c>
      <c r="F180" s="411"/>
    </row>
    <row r="181" spans="1:6" ht="18" customHeight="1">
      <c r="A181" s="409">
        <v>176</v>
      </c>
      <c r="B181" s="501">
        <v>2062.6000000000058</v>
      </c>
      <c r="C181" s="501">
        <v>1988.399999999994</v>
      </c>
      <c r="D181" s="502">
        <v>3329.4999999999891</v>
      </c>
      <c r="E181" s="502">
        <v>2926.3000000000106</v>
      </c>
      <c r="F181" s="411"/>
    </row>
    <row r="182" spans="1:6" ht="18" customHeight="1">
      <c r="A182" s="409">
        <v>177</v>
      </c>
      <c r="B182" s="501">
        <v>2073.8000000000056</v>
      </c>
      <c r="C182" s="501">
        <v>1999.1999999999939</v>
      </c>
      <c r="D182" s="502">
        <v>3347.599999999989</v>
      </c>
      <c r="E182" s="502">
        <v>2942.2000000000107</v>
      </c>
      <c r="F182" s="411"/>
    </row>
    <row r="183" spans="1:6" ht="18" customHeight="1">
      <c r="A183" s="409">
        <v>178</v>
      </c>
      <c r="B183" s="501">
        <v>2085.0000000000055</v>
      </c>
      <c r="C183" s="501">
        <v>2009.9999999999939</v>
      </c>
      <c r="D183" s="502">
        <v>3365.6999999999889</v>
      </c>
      <c r="E183" s="502">
        <v>2958.1000000000108</v>
      </c>
      <c r="F183" s="411"/>
    </row>
    <row r="184" spans="1:6" ht="18" customHeight="1">
      <c r="A184" s="409">
        <v>179</v>
      </c>
      <c r="B184" s="501">
        <v>2096.2000000000053</v>
      </c>
      <c r="C184" s="501">
        <v>2020.7999999999938</v>
      </c>
      <c r="D184" s="502">
        <v>3383.7999999999888</v>
      </c>
      <c r="E184" s="502">
        <v>2974.0000000000109</v>
      </c>
      <c r="F184" s="411"/>
    </row>
    <row r="185" spans="1:6" ht="18" customHeight="1">
      <c r="A185" s="409">
        <v>180</v>
      </c>
      <c r="B185" s="501">
        <v>2107.4000000000051</v>
      </c>
      <c r="C185" s="501">
        <v>2031.5999999999938</v>
      </c>
      <c r="D185" s="502">
        <v>3401.8999999999887</v>
      </c>
      <c r="E185" s="502">
        <v>2989.900000000011</v>
      </c>
      <c r="F185" s="411"/>
    </row>
    <row r="186" spans="1:6" ht="18" customHeight="1">
      <c r="A186" s="409">
        <v>181</v>
      </c>
      <c r="B186" s="501">
        <v>2118.6000000000049</v>
      </c>
      <c r="C186" s="501">
        <v>2042.3999999999937</v>
      </c>
      <c r="D186" s="502">
        <v>3419.9999999999886</v>
      </c>
      <c r="E186" s="502">
        <v>3005.8000000000111</v>
      </c>
      <c r="F186" s="411"/>
    </row>
    <row r="187" spans="1:6" ht="18" customHeight="1">
      <c r="A187" s="409">
        <v>182</v>
      </c>
      <c r="B187" s="501">
        <v>2129.8000000000047</v>
      </c>
      <c r="C187" s="501">
        <v>2053.1999999999939</v>
      </c>
      <c r="D187" s="502">
        <v>3438.0999999999885</v>
      </c>
      <c r="E187" s="502">
        <v>3021.7000000000112</v>
      </c>
      <c r="F187" s="411"/>
    </row>
    <row r="188" spans="1:6" ht="18" customHeight="1">
      <c r="A188" s="409">
        <v>183</v>
      </c>
      <c r="B188" s="501">
        <v>2141.0000000000045</v>
      </c>
      <c r="C188" s="501">
        <v>2063.9999999999941</v>
      </c>
      <c r="D188" s="502">
        <v>3456.1999999999884</v>
      </c>
      <c r="E188" s="502">
        <v>3037.6000000000113</v>
      </c>
      <c r="F188" s="411"/>
    </row>
    <row r="189" spans="1:6" ht="18" customHeight="1">
      <c r="A189" s="409">
        <v>184</v>
      </c>
      <c r="B189" s="501">
        <v>2152.2000000000044</v>
      </c>
      <c r="C189" s="501">
        <v>2074.7999999999943</v>
      </c>
      <c r="D189" s="502">
        <v>3474.2999999999884</v>
      </c>
      <c r="E189" s="502">
        <v>3053.5000000000114</v>
      </c>
      <c r="F189" s="411"/>
    </row>
    <row r="190" spans="1:6" ht="18" customHeight="1">
      <c r="A190" s="409">
        <v>185</v>
      </c>
      <c r="B190" s="501">
        <v>2163.4000000000042</v>
      </c>
      <c r="C190" s="501">
        <v>2085.5999999999945</v>
      </c>
      <c r="D190" s="502">
        <v>3492.3999999999883</v>
      </c>
      <c r="E190" s="502">
        <v>3069.4000000000115</v>
      </c>
      <c r="F190" s="411"/>
    </row>
    <row r="191" spans="1:6" ht="18" customHeight="1">
      <c r="A191" s="409">
        <v>186</v>
      </c>
      <c r="B191" s="501">
        <v>2174.600000000004</v>
      </c>
      <c r="C191" s="501">
        <v>2096.3999999999946</v>
      </c>
      <c r="D191" s="502">
        <v>3510.4999999999882</v>
      </c>
      <c r="E191" s="502">
        <v>3085.3000000000116</v>
      </c>
      <c r="F191" s="411"/>
    </row>
    <row r="192" spans="1:6" ht="18" customHeight="1">
      <c r="A192" s="409">
        <v>187</v>
      </c>
      <c r="B192" s="501">
        <v>2185.8000000000038</v>
      </c>
      <c r="C192" s="501">
        <v>2107.1999999999948</v>
      </c>
      <c r="D192" s="502">
        <v>3528.5999999999881</v>
      </c>
      <c r="E192" s="502">
        <v>3101.2000000000116</v>
      </c>
      <c r="F192" s="411"/>
    </row>
    <row r="193" spans="1:6" ht="18" customHeight="1">
      <c r="A193" s="409">
        <v>188</v>
      </c>
      <c r="B193" s="501">
        <v>2197.0000000000036</v>
      </c>
      <c r="C193" s="501">
        <v>2117.999999999995</v>
      </c>
      <c r="D193" s="502">
        <v>3546.699999999988</v>
      </c>
      <c r="E193" s="502">
        <v>3117.1000000000117</v>
      </c>
      <c r="F193" s="411"/>
    </row>
    <row r="194" spans="1:6" ht="18" customHeight="1">
      <c r="A194" s="409">
        <v>189</v>
      </c>
      <c r="B194" s="501">
        <v>2208.2000000000035</v>
      </c>
      <c r="C194" s="501">
        <v>2128.7999999999952</v>
      </c>
      <c r="D194" s="502">
        <v>3564.7999999999879</v>
      </c>
      <c r="E194" s="502">
        <v>3133.0000000000118</v>
      </c>
      <c r="F194" s="411"/>
    </row>
    <row r="195" spans="1:6" ht="18" customHeight="1">
      <c r="A195" s="409">
        <v>190</v>
      </c>
      <c r="B195" s="501">
        <v>2219.4000000000033</v>
      </c>
      <c r="C195" s="501">
        <v>2139.5999999999954</v>
      </c>
      <c r="D195" s="502">
        <v>3582.8999999999878</v>
      </c>
      <c r="E195" s="502">
        <v>3148.9000000000119</v>
      </c>
      <c r="F195" s="411"/>
    </row>
    <row r="196" spans="1:6" ht="18" customHeight="1">
      <c r="A196" s="409">
        <v>191</v>
      </c>
      <c r="B196" s="501">
        <v>2230.6000000000031</v>
      </c>
      <c r="C196" s="501">
        <v>2150.3999999999955</v>
      </c>
      <c r="D196" s="502">
        <v>3600.9999999999877</v>
      </c>
      <c r="E196" s="502">
        <v>3164.800000000012</v>
      </c>
      <c r="F196" s="411"/>
    </row>
    <row r="197" spans="1:6" ht="18" customHeight="1">
      <c r="A197" s="409">
        <v>192</v>
      </c>
      <c r="B197" s="501">
        <v>2241.8000000000029</v>
      </c>
      <c r="C197" s="501">
        <v>2161.1999999999957</v>
      </c>
      <c r="D197" s="502">
        <v>3619.0999999999876</v>
      </c>
      <c r="E197" s="502">
        <v>3180.7000000000121</v>
      </c>
      <c r="F197" s="411"/>
    </row>
    <row r="198" spans="1:6" ht="18" customHeight="1">
      <c r="A198" s="409">
        <v>193</v>
      </c>
      <c r="B198" s="501">
        <v>2253.0000000000027</v>
      </c>
      <c r="C198" s="501">
        <v>2171.9999999999959</v>
      </c>
      <c r="D198" s="502">
        <v>3637.1999999999875</v>
      </c>
      <c r="E198" s="502">
        <v>3196.6000000000122</v>
      </c>
      <c r="F198" s="411"/>
    </row>
    <row r="199" spans="1:6" ht="18" customHeight="1">
      <c r="A199" s="409">
        <v>194</v>
      </c>
      <c r="B199" s="501">
        <v>2264.2000000000025</v>
      </c>
      <c r="C199" s="501">
        <v>2182.7999999999961</v>
      </c>
      <c r="D199" s="502">
        <v>3655.2999999999874</v>
      </c>
      <c r="E199" s="502">
        <v>3212.5000000000123</v>
      </c>
      <c r="F199" s="411"/>
    </row>
    <row r="200" spans="1:6" ht="18" customHeight="1">
      <c r="A200" s="409">
        <v>195</v>
      </c>
      <c r="B200" s="501">
        <v>2275.4000000000024</v>
      </c>
      <c r="C200" s="501">
        <v>2193.5999999999963</v>
      </c>
      <c r="D200" s="502">
        <v>3673.3999999999874</v>
      </c>
      <c r="E200" s="502">
        <v>3228.4000000000124</v>
      </c>
      <c r="F200" s="411"/>
    </row>
    <row r="201" spans="1:6" ht="18" customHeight="1">
      <c r="A201" s="409">
        <v>196</v>
      </c>
      <c r="B201" s="501">
        <v>2286.6000000000022</v>
      </c>
      <c r="C201" s="501">
        <v>2204.3999999999965</v>
      </c>
      <c r="D201" s="502">
        <v>3691.4999999999873</v>
      </c>
      <c r="E201" s="502">
        <v>3244.3000000000125</v>
      </c>
      <c r="F201" s="411"/>
    </row>
    <row r="202" spans="1:6" ht="18" customHeight="1">
      <c r="A202" s="409">
        <v>197</v>
      </c>
      <c r="B202" s="501">
        <v>2297.800000000002</v>
      </c>
      <c r="C202" s="501">
        <v>2215.1999999999966</v>
      </c>
      <c r="D202" s="502">
        <v>3709.5999999999872</v>
      </c>
      <c r="E202" s="502">
        <v>3260.2000000000126</v>
      </c>
      <c r="F202" s="411"/>
    </row>
    <row r="203" spans="1:6" ht="18" customHeight="1">
      <c r="A203" s="409">
        <v>198</v>
      </c>
      <c r="B203" s="501">
        <v>2309.0000000000018</v>
      </c>
      <c r="C203" s="501">
        <v>2225.9999999999968</v>
      </c>
      <c r="D203" s="502">
        <v>3727.6999999999871</v>
      </c>
      <c r="E203" s="502">
        <v>3276.1000000000126</v>
      </c>
      <c r="F203" s="411"/>
    </row>
    <row r="204" spans="1:6" ht="18" customHeight="1">
      <c r="A204" s="409">
        <v>199</v>
      </c>
      <c r="B204" s="501">
        <v>2320.2000000000016</v>
      </c>
      <c r="C204" s="501">
        <v>2236.799999999997</v>
      </c>
      <c r="D204" s="502">
        <v>3745.799999999987</v>
      </c>
      <c r="E204" s="502">
        <v>3292.0000000000127</v>
      </c>
      <c r="F204" s="411"/>
    </row>
    <row r="205" spans="1:6" ht="18" customHeight="1">
      <c r="A205" s="409">
        <v>200</v>
      </c>
      <c r="B205" s="501">
        <v>2331.4000000000015</v>
      </c>
      <c r="C205" s="501">
        <v>2247.5999999999972</v>
      </c>
      <c r="D205" s="502">
        <v>3763.8999999999869</v>
      </c>
      <c r="E205" s="502">
        <v>3307.9000000000128</v>
      </c>
      <c r="F205" s="411"/>
    </row>
    <row r="206" spans="1:6">
      <c r="A206" s="409">
        <v>201</v>
      </c>
      <c r="B206" s="501">
        <v>2342.6000000000013</v>
      </c>
      <c r="C206" s="501">
        <v>2258.3999999999974</v>
      </c>
      <c r="D206" s="502">
        <v>3781.9999999999868</v>
      </c>
      <c r="E206" s="502">
        <v>3323.8000000000129</v>
      </c>
      <c r="F206" s="411"/>
    </row>
    <row r="207" spans="1:6">
      <c r="A207" s="409">
        <v>202</v>
      </c>
      <c r="B207" s="501">
        <v>2353.8000000000011</v>
      </c>
      <c r="C207" s="501">
        <v>2269.1999999999975</v>
      </c>
      <c r="D207" s="502">
        <v>3800.0999999999867</v>
      </c>
      <c r="E207" s="502">
        <v>3339.700000000013</v>
      </c>
      <c r="F207" s="411"/>
    </row>
    <row r="208" spans="1:6">
      <c r="A208" s="409">
        <v>203</v>
      </c>
      <c r="B208" s="501">
        <v>2365.0000000000009</v>
      </c>
      <c r="C208" s="501">
        <v>2279.9999999999977</v>
      </c>
      <c r="D208" s="502">
        <v>3818.1999999999866</v>
      </c>
      <c r="E208" s="502">
        <v>3355.6000000000131</v>
      </c>
      <c r="F208" s="411"/>
    </row>
    <row r="209" spans="1:6">
      <c r="A209" s="409">
        <v>204</v>
      </c>
      <c r="B209" s="501">
        <v>2376.2000000000007</v>
      </c>
      <c r="C209" s="501">
        <v>2290.7999999999979</v>
      </c>
      <c r="D209" s="502">
        <v>3836.2999999999865</v>
      </c>
      <c r="E209" s="502">
        <v>3371.5000000000132</v>
      </c>
      <c r="F209" s="411"/>
    </row>
    <row r="210" spans="1:6">
      <c r="A210" s="409">
        <v>205</v>
      </c>
      <c r="B210" s="501">
        <v>2387.4000000000005</v>
      </c>
      <c r="C210" s="501">
        <v>2301.5999999999981</v>
      </c>
      <c r="D210" s="502">
        <v>3854.3999999999864</v>
      </c>
      <c r="E210" s="502">
        <v>3387.4000000000133</v>
      </c>
      <c r="F210" s="411"/>
    </row>
    <row r="211" spans="1:6">
      <c r="A211" s="409">
        <v>206</v>
      </c>
      <c r="B211" s="501">
        <v>2398.6000000000004</v>
      </c>
      <c r="C211" s="501">
        <v>2312.3999999999983</v>
      </c>
      <c r="D211" s="502">
        <v>3872.4999999999864</v>
      </c>
      <c r="E211" s="502">
        <v>3403.3000000000134</v>
      </c>
      <c r="F211" s="411"/>
    </row>
    <row r="212" spans="1:6">
      <c r="A212" s="409">
        <v>207</v>
      </c>
      <c r="B212" s="501">
        <v>2409.8000000000002</v>
      </c>
      <c r="C212" s="501">
        <v>2323.1999999999985</v>
      </c>
      <c r="D212" s="502">
        <v>3890.5999999999863</v>
      </c>
      <c r="E212" s="502">
        <v>3419.2000000000135</v>
      </c>
      <c r="F212" s="411"/>
    </row>
    <row r="213" spans="1:6">
      <c r="A213" s="409">
        <v>208</v>
      </c>
      <c r="B213" s="501">
        <v>2421</v>
      </c>
      <c r="C213" s="501">
        <v>2333.9999999999986</v>
      </c>
      <c r="D213" s="502">
        <v>3908.6999999999862</v>
      </c>
      <c r="E213" s="502">
        <v>3435.1000000000136</v>
      </c>
      <c r="F213" s="411"/>
    </row>
    <row r="214" spans="1:6">
      <c r="A214" s="409">
        <v>209</v>
      </c>
      <c r="B214" s="501">
        <v>2432.1999999999998</v>
      </c>
      <c r="C214" s="501">
        <v>2344.7999999999988</v>
      </c>
      <c r="D214" s="502">
        <v>3926.7999999999861</v>
      </c>
      <c r="E214" s="502">
        <v>3451.0000000000136</v>
      </c>
      <c r="F214" s="411"/>
    </row>
    <row r="215" spans="1:6">
      <c r="A215" s="409">
        <v>210</v>
      </c>
      <c r="B215" s="501">
        <v>2443.3999999999996</v>
      </c>
      <c r="C215" s="501">
        <v>2355.599999999999</v>
      </c>
      <c r="D215" s="502">
        <v>3944.899999999986</v>
      </c>
      <c r="E215" s="502">
        <v>3466.9000000000137</v>
      </c>
      <c r="F215" s="411"/>
    </row>
    <row r="216" spans="1:6">
      <c r="A216" s="409">
        <v>211</v>
      </c>
      <c r="B216" s="501">
        <v>2454.5999999999995</v>
      </c>
      <c r="C216" s="501">
        <v>2366.3999999999992</v>
      </c>
      <c r="D216" s="502">
        <v>3962.9999999999859</v>
      </c>
      <c r="E216" s="502">
        <v>3482.8000000000138</v>
      </c>
      <c r="F216" s="411"/>
    </row>
    <row r="217" spans="1:6">
      <c r="A217" s="409">
        <v>212</v>
      </c>
      <c r="B217" s="501">
        <v>2465.7999999999993</v>
      </c>
      <c r="C217" s="501">
        <v>2377.1999999999994</v>
      </c>
      <c r="D217" s="502">
        <v>3981.0999999999858</v>
      </c>
      <c r="E217" s="502">
        <v>3498.7000000000139</v>
      </c>
      <c r="F217" s="411"/>
    </row>
    <row r="218" spans="1:6">
      <c r="A218" s="409">
        <v>213</v>
      </c>
      <c r="B218" s="501">
        <v>2476.9999999999991</v>
      </c>
      <c r="C218" s="501">
        <v>2387.9999999999995</v>
      </c>
      <c r="D218" s="502">
        <v>3999.1999999999857</v>
      </c>
      <c r="E218" s="502">
        <v>3514.600000000014</v>
      </c>
      <c r="F218" s="411"/>
    </row>
    <row r="219" spans="1:6">
      <c r="A219" s="409">
        <v>214</v>
      </c>
      <c r="B219" s="501">
        <v>2488.1999999999989</v>
      </c>
      <c r="C219" s="501">
        <v>2398.7999999999997</v>
      </c>
      <c r="D219" s="502">
        <v>4017.2999999999856</v>
      </c>
      <c r="E219" s="502">
        <v>3530.5000000000141</v>
      </c>
      <c r="F219" s="411"/>
    </row>
    <row r="220" spans="1:6">
      <c r="A220" s="409">
        <v>215</v>
      </c>
      <c r="B220" s="501">
        <v>2499.3999999999987</v>
      </c>
      <c r="C220" s="501">
        <v>2409.6</v>
      </c>
      <c r="D220" s="502">
        <v>4035.3999999999855</v>
      </c>
      <c r="E220" s="502">
        <v>3546.4000000000142</v>
      </c>
      <c r="F220" s="411"/>
    </row>
    <row r="221" spans="1:6">
      <c r="A221" s="409">
        <v>216</v>
      </c>
      <c r="B221" s="501">
        <v>2510.5999999999985</v>
      </c>
      <c r="C221" s="501">
        <v>2420.4</v>
      </c>
      <c r="D221" s="502">
        <v>4053.4999999999854</v>
      </c>
      <c r="E221" s="502">
        <v>3562.3000000000143</v>
      </c>
    </row>
    <row r="222" spans="1:6">
      <c r="A222" s="409">
        <v>217</v>
      </c>
      <c r="B222" s="501">
        <v>2521.7999999999984</v>
      </c>
      <c r="C222" s="501">
        <v>2431.2000000000003</v>
      </c>
      <c r="D222" s="502">
        <v>4071.5999999999854</v>
      </c>
      <c r="E222" s="502">
        <v>3578.2000000000144</v>
      </c>
    </row>
    <row r="223" spans="1:6">
      <c r="A223" s="409">
        <v>218</v>
      </c>
      <c r="B223" s="501">
        <v>2532.9999999999982</v>
      </c>
      <c r="C223" s="501">
        <v>2442.0000000000005</v>
      </c>
      <c r="D223" s="502">
        <v>4089.6999999999853</v>
      </c>
      <c r="E223" s="502">
        <v>3594.1000000000145</v>
      </c>
    </row>
    <row r="224" spans="1:6">
      <c r="A224" s="409">
        <v>219</v>
      </c>
      <c r="B224" s="501">
        <v>2544.199999999998</v>
      </c>
      <c r="C224" s="501">
        <v>2452.8000000000006</v>
      </c>
      <c r="D224" s="502">
        <v>4107.7999999999856</v>
      </c>
      <c r="E224" s="502">
        <v>3610.0000000000146</v>
      </c>
    </row>
    <row r="225" spans="1:5">
      <c r="A225" s="409">
        <v>220</v>
      </c>
      <c r="B225" s="501">
        <v>2555.3999999999978</v>
      </c>
      <c r="C225" s="501">
        <v>2463.6000000000008</v>
      </c>
      <c r="D225" s="502">
        <v>4125.899999999986</v>
      </c>
      <c r="E225" s="502">
        <v>3625.9000000000146</v>
      </c>
    </row>
    <row r="226" spans="1:5">
      <c r="A226" s="409">
        <v>221</v>
      </c>
      <c r="B226" s="501">
        <v>2566.5999999999976</v>
      </c>
      <c r="C226" s="501">
        <v>2474.400000000001</v>
      </c>
      <c r="D226" s="502">
        <v>4143.9999999999864</v>
      </c>
      <c r="E226" s="502">
        <v>3641.8000000000147</v>
      </c>
    </row>
    <row r="227" spans="1:5">
      <c r="A227" s="409">
        <v>222</v>
      </c>
      <c r="B227" s="501">
        <v>2577.7999999999975</v>
      </c>
      <c r="C227" s="501">
        <v>2485.2000000000012</v>
      </c>
      <c r="D227" s="502">
        <v>4162.0999999999867</v>
      </c>
      <c r="E227" s="502">
        <v>3657.7000000000148</v>
      </c>
    </row>
    <row r="228" spans="1:5">
      <c r="A228" s="409">
        <v>223</v>
      </c>
      <c r="B228" s="501">
        <v>2588.9999999999973</v>
      </c>
      <c r="C228" s="501">
        <v>2496.0000000000014</v>
      </c>
      <c r="D228" s="502">
        <v>4180.1999999999871</v>
      </c>
      <c r="E228" s="502">
        <v>3673.6000000000149</v>
      </c>
    </row>
    <row r="229" spans="1:5">
      <c r="A229" s="409">
        <v>224</v>
      </c>
      <c r="B229" s="501">
        <v>2600.1999999999971</v>
      </c>
      <c r="C229" s="501">
        <v>2506.8000000000015</v>
      </c>
      <c r="D229" s="502">
        <v>4198.2999999999874</v>
      </c>
      <c r="E229" s="502">
        <v>3689.500000000015</v>
      </c>
    </row>
    <row r="230" spans="1:5">
      <c r="A230" s="409">
        <v>225</v>
      </c>
      <c r="B230" s="501">
        <v>2611.3999999999969</v>
      </c>
      <c r="C230" s="501">
        <v>2517.6000000000017</v>
      </c>
      <c r="D230" s="502">
        <v>4216.3999999999878</v>
      </c>
      <c r="E230" s="502">
        <v>3705.4000000000151</v>
      </c>
    </row>
    <row r="231" spans="1:5">
      <c r="A231" s="409">
        <v>226</v>
      </c>
      <c r="B231" s="501">
        <v>2622.5999999999967</v>
      </c>
      <c r="C231" s="501">
        <v>2528.4000000000019</v>
      </c>
      <c r="D231" s="502">
        <v>4234.4999999999882</v>
      </c>
      <c r="E231" s="502">
        <v>3721.3000000000152</v>
      </c>
    </row>
    <row r="232" spans="1:5">
      <c r="A232" s="409">
        <v>227</v>
      </c>
      <c r="B232" s="501">
        <v>2633.7999999999965</v>
      </c>
      <c r="C232" s="501">
        <v>2539.2000000000021</v>
      </c>
      <c r="D232" s="502">
        <v>4252.5999999999885</v>
      </c>
      <c r="E232" s="502">
        <v>3737.2000000000153</v>
      </c>
    </row>
    <row r="233" spans="1:5">
      <c r="A233" s="409">
        <v>228</v>
      </c>
      <c r="B233" s="501">
        <v>2644.9999999999964</v>
      </c>
      <c r="C233" s="501">
        <v>2550.0000000000023</v>
      </c>
      <c r="D233" s="502">
        <v>4270.6999999999889</v>
      </c>
      <c r="E233" s="502">
        <v>3753.1000000000154</v>
      </c>
    </row>
    <row r="234" spans="1:5">
      <c r="A234" s="409">
        <v>229</v>
      </c>
      <c r="B234" s="501">
        <v>2656.1999999999962</v>
      </c>
      <c r="C234" s="501">
        <v>2560.8000000000025</v>
      </c>
      <c r="D234" s="502">
        <v>4288.7999999999893</v>
      </c>
      <c r="E234" s="502">
        <v>3769.0000000000155</v>
      </c>
    </row>
    <row r="235" spans="1:5">
      <c r="A235" s="409">
        <v>230</v>
      </c>
      <c r="B235" s="501">
        <v>2667.399999999996</v>
      </c>
      <c r="C235" s="501">
        <v>2571.6000000000026</v>
      </c>
      <c r="D235" s="502">
        <v>4306.8999999999896</v>
      </c>
      <c r="E235" s="502">
        <v>3784.9000000000156</v>
      </c>
    </row>
    <row r="236" spans="1:5">
      <c r="A236" s="409">
        <v>231</v>
      </c>
      <c r="B236" s="501">
        <v>2678.5999999999958</v>
      </c>
      <c r="C236" s="501">
        <v>2582.4000000000028</v>
      </c>
      <c r="D236" s="502">
        <v>4324.99999999999</v>
      </c>
      <c r="E236" s="502">
        <v>3800.8000000000156</v>
      </c>
    </row>
    <row r="237" spans="1:5">
      <c r="A237" s="409">
        <v>232</v>
      </c>
      <c r="B237" s="501">
        <v>2689.7999999999956</v>
      </c>
      <c r="C237" s="501">
        <v>2593.200000000003</v>
      </c>
      <c r="D237" s="502">
        <v>4343.0999999999904</v>
      </c>
      <c r="E237" s="502">
        <v>3816.7000000000157</v>
      </c>
    </row>
    <row r="238" spans="1:5">
      <c r="A238" s="409">
        <v>233</v>
      </c>
      <c r="B238" s="501">
        <v>2700.9999999999955</v>
      </c>
      <c r="C238" s="501">
        <v>2604.0000000000032</v>
      </c>
      <c r="D238" s="502">
        <v>4361.1999999999907</v>
      </c>
      <c r="E238" s="502">
        <v>3832.6000000000158</v>
      </c>
    </row>
    <row r="239" spans="1:5">
      <c r="A239" s="409">
        <v>234</v>
      </c>
      <c r="B239" s="501">
        <v>2712.1999999999953</v>
      </c>
      <c r="C239" s="501">
        <v>2614.8000000000034</v>
      </c>
      <c r="D239" s="502">
        <v>4379.2999999999911</v>
      </c>
      <c r="E239" s="502">
        <v>3848.5000000000159</v>
      </c>
    </row>
    <row r="240" spans="1:5">
      <c r="A240" s="409">
        <v>235</v>
      </c>
      <c r="B240" s="501">
        <v>2723.3999999999951</v>
      </c>
      <c r="C240" s="501">
        <v>2625.6000000000035</v>
      </c>
      <c r="D240" s="502">
        <v>4397.3999999999915</v>
      </c>
      <c r="E240" s="502">
        <v>3864.400000000016</v>
      </c>
    </row>
    <row r="241" spans="1:5">
      <c r="A241" s="409">
        <v>236</v>
      </c>
      <c r="B241" s="501">
        <v>2734.5999999999949</v>
      </c>
      <c r="C241" s="501">
        <v>2636.4000000000037</v>
      </c>
      <c r="D241" s="502">
        <v>4415.4999999999918</v>
      </c>
      <c r="E241" s="502">
        <v>3880.3000000000161</v>
      </c>
    </row>
    <row r="242" spans="1:5">
      <c r="A242" s="409">
        <v>237</v>
      </c>
      <c r="B242" s="501">
        <v>2745.7999999999947</v>
      </c>
      <c r="C242" s="501">
        <v>2647.2000000000039</v>
      </c>
      <c r="D242" s="502">
        <v>4433.5999999999922</v>
      </c>
      <c r="E242" s="502">
        <v>3896.2000000000162</v>
      </c>
    </row>
    <row r="243" spans="1:5">
      <c r="A243" s="409">
        <v>238</v>
      </c>
      <c r="B243" s="501">
        <v>2756.9999999999945</v>
      </c>
      <c r="C243" s="501">
        <v>2658.0000000000041</v>
      </c>
      <c r="D243" s="502">
        <v>4451.6999999999925</v>
      </c>
      <c r="E243" s="502">
        <v>3912.1000000000163</v>
      </c>
    </row>
    <row r="244" spans="1:5">
      <c r="A244" s="409">
        <v>239</v>
      </c>
      <c r="B244" s="501">
        <v>2768.1999999999944</v>
      </c>
      <c r="C244" s="501">
        <v>2668.8000000000043</v>
      </c>
      <c r="D244" s="502">
        <v>4469.7999999999929</v>
      </c>
      <c r="E244" s="502">
        <v>3928.0000000000164</v>
      </c>
    </row>
    <row r="245" spans="1:5">
      <c r="A245" s="409">
        <v>240</v>
      </c>
      <c r="B245" s="501">
        <v>2779.3999999999942</v>
      </c>
      <c r="C245" s="501">
        <v>2679.6000000000045</v>
      </c>
      <c r="D245" s="502">
        <v>4487.8999999999933</v>
      </c>
      <c r="E245" s="502">
        <v>3943.9000000000165</v>
      </c>
    </row>
    <row r="246" spans="1:5">
      <c r="A246" s="409">
        <v>241</v>
      </c>
      <c r="B246" s="501">
        <v>2790.599999999994</v>
      </c>
      <c r="C246" s="501">
        <v>2690.4000000000046</v>
      </c>
      <c r="D246" s="502">
        <v>4505.9999999999936</v>
      </c>
      <c r="E246" s="502">
        <v>3959.8000000000166</v>
      </c>
    </row>
    <row r="247" spans="1:5">
      <c r="A247" s="409">
        <v>242</v>
      </c>
      <c r="B247" s="501">
        <v>2801.7999999999938</v>
      </c>
      <c r="C247" s="501">
        <v>2701.2000000000048</v>
      </c>
      <c r="D247" s="502">
        <v>4524.099999999994</v>
      </c>
      <c r="E247" s="502">
        <v>3975.7000000000166</v>
      </c>
    </row>
    <row r="248" spans="1:5">
      <c r="A248" s="409">
        <v>243</v>
      </c>
      <c r="B248" s="501">
        <v>2812.9999999999936</v>
      </c>
      <c r="C248" s="501">
        <v>2712.000000000005</v>
      </c>
      <c r="D248" s="502">
        <v>4542.1999999999944</v>
      </c>
      <c r="E248" s="502">
        <v>3991.6000000000167</v>
      </c>
    </row>
    <row r="249" spans="1:5">
      <c r="A249" s="409">
        <v>244</v>
      </c>
      <c r="B249" s="501">
        <v>2824.1999999999935</v>
      </c>
      <c r="C249" s="501">
        <v>2722.8000000000052</v>
      </c>
      <c r="D249" s="502">
        <v>4560.2999999999947</v>
      </c>
      <c r="E249" s="502">
        <v>4007.5000000000168</v>
      </c>
    </row>
    <row r="250" spans="1:5">
      <c r="A250" s="409">
        <v>245</v>
      </c>
      <c r="B250" s="501">
        <v>2835.3999999999933</v>
      </c>
      <c r="C250" s="501">
        <v>2733.6000000000054</v>
      </c>
      <c r="D250" s="502">
        <v>4578.3999999999951</v>
      </c>
      <c r="E250" s="502">
        <v>4023.4000000000169</v>
      </c>
    </row>
    <row r="251" spans="1:5">
      <c r="A251" s="409">
        <v>246</v>
      </c>
      <c r="B251" s="501">
        <v>2846.5999999999931</v>
      </c>
      <c r="C251" s="501">
        <v>2744.4000000000055</v>
      </c>
      <c r="D251" s="502">
        <v>4596.4999999999955</v>
      </c>
      <c r="E251" s="502">
        <v>4039.300000000017</v>
      </c>
    </row>
    <row r="252" spans="1:5">
      <c r="A252" s="409">
        <v>247</v>
      </c>
      <c r="B252" s="501">
        <v>2857.7999999999929</v>
      </c>
      <c r="C252" s="501">
        <v>2755.2000000000057</v>
      </c>
      <c r="D252" s="502">
        <v>4614.5999999999958</v>
      </c>
      <c r="E252" s="502">
        <v>4055.2000000000171</v>
      </c>
    </row>
    <row r="253" spans="1:5">
      <c r="A253" s="409">
        <v>248</v>
      </c>
      <c r="B253" s="501">
        <v>2868.9999999999927</v>
      </c>
      <c r="C253" s="501">
        <v>2766.0000000000059</v>
      </c>
      <c r="D253" s="502">
        <v>4632.6999999999962</v>
      </c>
      <c r="E253" s="502">
        <v>4071.1000000000172</v>
      </c>
    </row>
    <row r="254" spans="1:5">
      <c r="A254" s="409">
        <v>249</v>
      </c>
      <c r="B254" s="501">
        <v>2880.1999999999925</v>
      </c>
      <c r="C254" s="501">
        <v>2776.8000000000061</v>
      </c>
      <c r="D254" s="502">
        <v>4650.7999999999965</v>
      </c>
      <c r="E254" s="502">
        <v>4087.0000000000173</v>
      </c>
    </row>
    <row r="255" spans="1:5">
      <c r="A255" s="409">
        <v>250</v>
      </c>
      <c r="B255" s="501">
        <v>2891.3999999999924</v>
      </c>
      <c r="C255" s="501">
        <v>2787.6000000000063</v>
      </c>
      <c r="D255" s="502">
        <v>4668.8999999999969</v>
      </c>
      <c r="E255" s="502">
        <v>4102.9000000000169</v>
      </c>
    </row>
    <row r="256" spans="1:5">
      <c r="A256" s="409">
        <v>251</v>
      </c>
      <c r="B256" s="501">
        <v>2902.5999999999922</v>
      </c>
      <c r="C256" s="501">
        <v>2798.4000000000065</v>
      </c>
      <c r="D256" s="502">
        <v>4686.9999999999973</v>
      </c>
      <c r="E256" s="502">
        <v>4118.8000000000166</v>
      </c>
    </row>
    <row r="257" spans="1:5">
      <c r="A257" s="409">
        <v>252</v>
      </c>
      <c r="B257" s="501">
        <v>2913.799999999992</v>
      </c>
      <c r="C257" s="501">
        <v>2809.2000000000066</v>
      </c>
      <c r="D257" s="502">
        <v>4705.0999999999976</v>
      </c>
      <c r="E257" s="502">
        <v>4134.7000000000162</v>
      </c>
    </row>
    <row r="258" spans="1:5">
      <c r="A258" s="409">
        <v>253</v>
      </c>
      <c r="B258" s="501">
        <v>2924.9999999999918</v>
      </c>
      <c r="C258" s="501">
        <v>2820.0000000000068</v>
      </c>
      <c r="D258" s="502">
        <v>4723.199999999998</v>
      </c>
      <c r="E258" s="502">
        <v>4150.6000000000158</v>
      </c>
    </row>
    <row r="259" spans="1:5">
      <c r="A259" s="409">
        <v>254</v>
      </c>
      <c r="B259" s="501">
        <v>2936.1999999999916</v>
      </c>
      <c r="C259" s="501">
        <v>2830.800000000007</v>
      </c>
      <c r="D259" s="502">
        <v>4741.2999999999984</v>
      </c>
      <c r="E259" s="502">
        <v>4166.5000000000155</v>
      </c>
    </row>
    <row r="260" spans="1:5">
      <c r="A260" s="409">
        <v>255</v>
      </c>
      <c r="B260" s="501">
        <v>2947.3999999999915</v>
      </c>
      <c r="C260" s="501">
        <v>2841.6000000000072</v>
      </c>
      <c r="D260" s="502">
        <v>4759.3999999999987</v>
      </c>
      <c r="E260" s="502">
        <v>4182.4000000000151</v>
      </c>
    </row>
    <row r="261" spans="1:5">
      <c r="A261" s="409">
        <v>256</v>
      </c>
      <c r="B261" s="501">
        <v>2958.5999999999913</v>
      </c>
      <c r="C261" s="501">
        <v>2852.4000000000074</v>
      </c>
      <c r="D261" s="502">
        <v>4777.4999999999991</v>
      </c>
      <c r="E261" s="502">
        <v>4198.3000000000147</v>
      </c>
    </row>
    <row r="262" spans="1:5">
      <c r="A262" s="409">
        <v>257</v>
      </c>
      <c r="B262" s="501">
        <v>2969.7999999999911</v>
      </c>
      <c r="C262" s="501">
        <v>2863.2000000000075</v>
      </c>
      <c r="D262" s="502">
        <v>4795.5999999999995</v>
      </c>
      <c r="E262" s="502">
        <v>4214.2000000000144</v>
      </c>
    </row>
    <row r="263" spans="1:5">
      <c r="A263" s="409">
        <v>258</v>
      </c>
      <c r="B263" s="501">
        <v>2980.9999999999909</v>
      </c>
      <c r="C263" s="501">
        <v>2874.0000000000077</v>
      </c>
      <c r="D263" s="502">
        <v>4813.7</v>
      </c>
      <c r="E263" s="502">
        <v>4230.100000000014</v>
      </c>
    </row>
    <row r="264" spans="1:5">
      <c r="A264" s="409">
        <v>259</v>
      </c>
      <c r="B264" s="501">
        <v>2992.1999999999907</v>
      </c>
      <c r="C264" s="501">
        <v>2884.8000000000079</v>
      </c>
      <c r="D264" s="502">
        <v>4831.8</v>
      </c>
      <c r="E264" s="502">
        <v>4246.0000000000136</v>
      </c>
    </row>
    <row r="265" spans="1:5">
      <c r="A265" s="409">
        <v>260</v>
      </c>
      <c r="B265" s="501">
        <v>3003.3999999999905</v>
      </c>
      <c r="C265" s="501">
        <v>2895.6000000000081</v>
      </c>
      <c r="D265" s="502">
        <v>4849.9000000000005</v>
      </c>
      <c r="E265" s="502">
        <v>4261.9000000000133</v>
      </c>
    </row>
    <row r="266" spans="1:5">
      <c r="A266" s="409">
        <v>261</v>
      </c>
      <c r="B266" s="501">
        <v>3014.5999999999904</v>
      </c>
      <c r="C266" s="501">
        <v>2906.4000000000083</v>
      </c>
      <c r="D266" s="502">
        <v>4868.0000000000009</v>
      </c>
      <c r="E266" s="502">
        <v>4277.8000000000129</v>
      </c>
    </row>
    <row r="267" spans="1:5">
      <c r="A267" s="409">
        <v>262</v>
      </c>
      <c r="B267" s="501">
        <v>3025.7999999999902</v>
      </c>
      <c r="C267" s="501">
        <v>2917.2000000000085</v>
      </c>
      <c r="D267" s="502">
        <v>4886.1000000000013</v>
      </c>
      <c r="E267" s="502">
        <v>4293.7000000000126</v>
      </c>
    </row>
    <row r="268" spans="1:5">
      <c r="A268" s="409">
        <v>263</v>
      </c>
      <c r="B268" s="501">
        <v>3036.99999999999</v>
      </c>
      <c r="C268" s="501">
        <v>2928.0000000000086</v>
      </c>
      <c r="D268" s="502">
        <v>4904.2000000000016</v>
      </c>
      <c r="E268" s="502">
        <v>4309.6000000000122</v>
      </c>
    </row>
    <row r="269" spans="1:5">
      <c r="A269" s="409">
        <v>264</v>
      </c>
      <c r="B269" s="501">
        <v>3048.1999999999898</v>
      </c>
      <c r="C269" s="501">
        <v>2938.8000000000088</v>
      </c>
      <c r="D269" s="502">
        <v>4922.300000000002</v>
      </c>
      <c r="E269" s="502">
        <v>4325.5000000000118</v>
      </c>
    </row>
    <row r="270" spans="1:5">
      <c r="A270" s="409">
        <v>265</v>
      </c>
      <c r="B270" s="501">
        <v>3059.3999999999896</v>
      </c>
      <c r="C270" s="501">
        <v>2949.600000000009</v>
      </c>
      <c r="D270" s="502">
        <v>4940.4000000000024</v>
      </c>
      <c r="E270" s="502">
        <v>4341.4000000000115</v>
      </c>
    </row>
    <row r="271" spans="1:5">
      <c r="A271" s="409">
        <v>266</v>
      </c>
      <c r="B271" s="501">
        <v>3070.5999999999894</v>
      </c>
      <c r="C271" s="501">
        <v>2960.4000000000092</v>
      </c>
      <c r="D271" s="502">
        <v>4958.5000000000027</v>
      </c>
      <c r="E271" s="502">
        <v>4357.3000000000111</v>
      </c>
    </row>
    <row r="272" spans="1:5">
      <c r="A272" s="409">
        <v>267</v>
      </c>
      <c r="B272" s="501">
        <v>3081.7999999999893</v>
      </c>
      <c r="C272" s="501">
        <v>2971.2000000000094</v>
      </c>
      <c r="D272" s="502">
        <v>4976.6000000000031</v>
      </c>
      <c r="E272" s="502">
        <v>4373.2000000000107</v>
      </c>
    </row>
    <row r="273" spans="1:5">
      <c r="A273" s="409">
        <v>268</v>
      </c>
      <c r="B273" s="501">
        <v>3092.9999999999891</v>
      </c>
      <c r="C273" s="501">
        <v>2982.0000000000095</v>
      </c>
      <c r="D273" s="502">
        <v>4994.7000000000035</v>
      </c>
      <c r="E273" s="502">
        <v>4389.1000000000104</v>
      </c>
    </row>
    <row r="274" spans="1:5">
      <c r="A274" s="409">
        <v>269</v>
      </c>
      <c r="B274" s="501">
        <v>3104.1999999999889</v>
      </c>
      <c r="C274" s="501">
        <v>2992.8000000000097</v>
      </c>
      <c r="D274" s="502">
        <v>5012.8000000000038</v>
      </c>
      <c r="E274" s="502">
        <v>4405.00000000001</v>
      </c>
    </row>
    <row r="275" spans="1:5">
      <c r="A275" s="409">
        <v>270</v>
      </c>
      <c r="B275" s="501">
        <v>3115.3999999999887</v>
      </c>
      <c r="C275" s="501">
        <v>3003.6000000000099</v>
      </c>
      <c r="D275" s="502">
        <v>5030.9000000000042</v>
      </c>
      <c r="E275" s="502">
        <v>4420.9000000000096</v>
      </c>
    </row>
    <row r="276" spans="1:5">
      <c r="A276" s="409">
        <v>271</v>
      </c>
      <c r="B276" s="501">
        <v>3126.5999999999885</v>
      </c>
      <c r="C276" s="501">
        <v>3014.4000000000101</v>
      </c>
      <c r="D276" s="502">
        <v>5049.0000000000045</v>
      </c>
      <c r="E276" s="502">
        <v>4436.8000000000093</v>
      </c>
    </row>
    <row r="277" spans="1:5">
      <c r="A277" s="409">
        <v>272</v>
      </c>
      <c r="B277" s="501">
        <v>3137.7999999999884</v>
      </c>
      <c r="C277" s="501">
        <v>3025.2000000000103</v>
      </c>
      <c r="D277" s="502">
        <v>5067.1000000000049</v>
      </c>
      <c r="E277" s="502">
        <v>4452.7000000000089</v>
      </c>
    </row>
    <row r="278" spans="1:5">
      <c r="A278" s="409">
        <v>273</v>
      </c>
      <c r="B278" s="501">
        <v>3148.9999999999882</v>
      </c>
      <c r="C278" s="501">
        <v>3036.0000000000105</v>
      </c>
      <c r="D278" s="502">
        <v>5085.2000000000053</v>
      </c>
      <c r="E278" s="502">
        <v>4468.6000000000085</v>
      </c>
    </row>
    <row r="279" spans="1:5">
      <c r="A279" s="409">
        <v>274</v>
      </c>
      <c r="B279" s="501">
        <v>3160.199999999988</v>
      </c>
      <c r="C279" s="501">
        <v>3046.8000000000106</v>
      </c>
      <c r="D279" s="502">
        <v>5103.3000000000056</v>
      </c>
      <c r="E279" s="502">
        <v>4484.5000000000082</v>
      </c>
    </row>
    <row r="280" spans="1:5">
      <c r="A280" s="409">
        <v>275</v>
      </c>
      <c r="B280" s="501">
        <v>3171.3999999999878</v>
      </c>
      <c r="C280" s="501">
        <v>3057.6000000000108</v>
      </c>
      <c r="D280" s="502">
        <v>5121.400000000006</v>
      </c>
      <c r="E280" s="502">
        <v>4500.4000000000078</v>
      </c>
    </row>
    <row r="281" spans="1:5">
      <c r="A281" s="409">
        <v>276</v>
      </c>
      <c r="B281" s="501">
        <v>3182.5999999999876</v>
      </c>
      <c r="C281" s="501">
        <v>3068.400000000011</v>
      </c>
      <c r="D281" s="502">
        <v>5139.5000000000064</v>
      </c>
      <c r="E281" s="502">
        <v>4516.3000000000075</v>
      </c>
    </row>
    <row r="282" spans="1:5">
      <c r="A282" s="409">
        <v>277</v>
      </c>
      <c r="B282" s="501">
        <v>3193.7999999999874</v>
      </c>
      <c r="C282" s="501">
        <v>3079.2000000000112</v>
      </c>
      <c r="D282" s="502">
        <v>5157.6000000000067</v>
      </c>
      <c r="E282" s="502">
        <v>4532.2000000000071</v>
      </c>
    </row>
    <row r="283" spans="1:5">
      <c r="A283" s="409">
        <v>278</v>
      </c>
      <c r="B283" s="501">
        <v>3204.9999999999873</v>
      </c>
      <c r="C283" s="501">
        <v>3090.0000000000114</v>
      </c>
      <c r="D283" s="502">
        <v>5175.7000000000071</v>
      </c>
      <c r="E283" s="502">
        <v>4548.1000000000067</v>
      </c>
    </row>
    <row r="284" spans="1:5">
      <c r="A284" s="409">
        <v>279</v>
      </c>
      <c r="B284" s="501">
        <v>3216.1999999999871</v>
      </c>
      <c r="C284" s="501">
        <v>3100.8000000000116</v>
      </c>
      <c r="D284" s="502">
        <v>5193.8000000000075</v>
      </c>
      <c r="E284" s="502">
        <v>4564.0000000000064</v>
      </c>
    </row>
    <row r="285" spans="1:5">
      <c r="A285" s="409">
        <v>280</v>
      </c>
      <c r="B285" s="501">
        <v>3227.3999999999869</v>
      </c>
      <c r="C285" s="501">
        <v>3111.6000000000117</v>
      </c>
      <c r="D285" s="502">
        <v>5211.9000000000078</v>
      </c>
      <c r="E285" s="502">
        <v>4579.900000000006</v>
      </c>
    </row>
    <row r="286" spans="1:5">
      <c r="A286" s="409">
        <v>281</v>
      </c>
      <c r="B286" s="501">
        <v>3238.5999999999867</v>
      </c>
      <c r="C286" s="501">
        <v>3122.4000000000119</v>
      </c>
      <c r="D286" s="502">
        <v>5230.0000000000082</v>
      </c>
      <c r="E286" s="502">
        <v>4595.8000000000056</v>
      </c>
    </row>
    <row r="287" spans="1:5">
      <c r="A287" s="409">
        <v>282</v>
      </c>
      <c r="B287" s="501">
        <v>3249.7999999999865</v>
      </c>
      <c r="C287" s="501">
        <v>3133.2000000000121</v>
      </c>
      <c r="D287" s="502">
        <v>5248.1000000000085</v>
      </c>
      <c r="E287" s="502">
        <v>4611.7000000000053</v>
      </c>
    </row>
    <row r="288" spans="1:5">
      <c r="A288" s="398">
        <v>283</v>
      </c>
      <c r="B288" s="398">
        <v>3260.9999999999864</v>
      </c>
      <c r="C288" s="398">
        <v>3144.0000000000123</v>
      </c>
      <c r="D288" s="398">
        <v>5266.2000000000089</v>
      </c>
      <c r="E288" s="398">
        <v>4627.6000000000049</v>
      </c>
    </row>
    <row r="289" spans="1:5">
      <c r="A289" s="398">
        <v>284</v>
      </c>
      <c r="B289" s="398">
        <v>3272.1999999999862</v>
      </c>
      <c r="C289" s="398">
        <v>3154.8000000000125</v>
      </c>
      <c r="D289" s="398">
        <v>5284.3000000000093</v>
      </c>
      <c r="E289" s="398">
        <v>4643.5000000000045</v>
      </c>
    </row>
    <row r="290" spans="1:5">
      <c r="A290" s="398">
        <v>285</v>
      </c>
      <c r="B290" s="398">
        <v>3283.399999999986</v>
      </c>
      <c r="C290" s="398">
        <v>3165.6000000000126</v>
      </c>
      <c r="D290" s="398">
        <v>5302.4000000000096</v>
      </c>
      <c r="E290" s="398">
        <v>4659.4000000000042</v>
      </c>
    </row>
    <row r="291" spans="1:5">
      <c r="A291" s="398">
        <v>286</v>
      </c>
      <c r="B291" s="398">
        <v>3294.5999999999858</v>
      </c>
      <c r="C291" s="398">
        <v>3176.4000000000128</v>
      </c>
      <c r="D291" s="398">
        <v>5320.50000000001</v>
      </c>
      <c r="E291" s="398">
        <v>4675.3000000000038</v>
      </c>
    </row>
    <row r="292" spans="1:5">
      <c r="A292" s="398">
        <v>287</v>
      </c>
      <c r="B292" s="398">
        <v>3305.7999999999856</v>
      </c>
      <c r="C292" s="398">
        <v>3187.200000000013</v>
      </c>
      <c r="D292" s="398">
        <v>5338.6000000000104</v>
      </c>
      <c r="E292" s="398">
        <v>4691.2000000000035</v>
      </c>
    </row>
    <row r="293" spans="1:5">
      <c r="A293" s="398">
        <v>288</v>
      </c>
      <c r="B293" s="398">
        <v>3316.9999999999854</v>
      </c>
      <c r="C293" s="398">
        <v>3198.0000000000132</v>
      </c>
      <c r="D293" s="398">
        <v>5356.7000000000107</v>
      </c>
      <c r="E293" s="398">
        <v>4707.1000000000031</v>
      </c>
    </row>
    <row r="294" spans="1:5">
      <c r="A294" s="398">
        <v>289</v>
      </c>
      <c r="B294" s="398">
        <v>3328.1999999999853</v>
      </c>
      <c r="C294" s="398">
        <v>3208.8000000000134</v>
      </c>
      <c r="D294" s="398">
        <v>5374.8000000000111</v>
      </c>
      <c r="E294" s="398">
        <v>4723.0000000000027</v>
      </c>
    </row>
    <row r="295" spans="1:5">
      <c r="A295" s="398">
        <v>290</v>
      </c>
      <c r="B295" s="398">
        <v>3339.3999999999851</v>
      </c>
      <c r="C295" s="398">
        <v>3219.6000000000136</v>
      </c>
      <c r="D295" s="398">
        <v>5392.9000000000115</v>
      </c>
      <c r="E295" s="398">
        <v>4738.9000000000024</v>
      </c>
    </row>
    <row r="296" spans="1:5">
      <c r="A296" s="398">
        <v>291</v>
      </c>
      <c r="B296" s="398">
        <v>3350.5999999999849</v>
      </c>
      <c r="C296" s="398">
        <v>3230.4000000000137</v>
      </c>
      <c r="D296" s="398">
        <v>5411.0000000000118</v>
      </c>
      <c r="E296" s="398">
        <v>4754.800000000002</v>
      </c>
    </row>
    <row r="297" spans="1:5">
      <c r="A297" s="398">
        <v>292</v>
      </c>
      <c r="B297" s="398">
        <v>3361.7999999999847</v>
      </c>
      <c r="C297" s="398">
        <v>3241.2000000000139</v>
      </c>
      <c r="D297" s="398">
        <v>5429.1000000000122</v>
      </c>
      <c r="E297" s="398">
        <v>4770.7000000000016</v>
      </c>
    </row>
    <row r="298" spans="1:5">
      <c r="A298" s="398">
        <v>293</v>
      </c>
      <c r="B298" s="398">
        <v>3372.9999999999845</v>
      </c>
      <c r="C298" s="398">
        <v>3252.0000000000141</v>
      </c>
      <c r="D298" s="398">
        <v>5447.2000000000126</v>
      </c>
      <c r="E298" s="398">
        <v>4786.6000000000013</v>
      </c>
    </row>
    <row r="299" spans="1:5">
      <c r="A299" s="398">
        <v>294</v>
      </c>
      <c r="B299" s="398">
        <v>3384.1999999999844</v>
      </c>
      <c r="C299" s="398">
        <v>3262.8000000000143</v>
      </c>
      <c r="D299" s="398">
        <v>5465.3000000000129</v>
      </c>
      <c r="E299" s="398">
        <v>4802.5000000000009</v>
      </c>
    </row>
    <row r="300" spans="1:5">
      <c r="A300" s="398">
        <v>295</v>
      </c>
      <c r="B300" s="398">
        <v>3395.3999999999842</v>
      </c>
      <c r="C300" s="398">
        <v>3273.6000000000145</v>
      </c>
      <c r="D300" s="398">
        <v>5483.4000000000133</v>
      </c>
      <c r="E300" s="398">
        <v>4818.4000000000005</v>
      </c>
    </row>
    <row r="301" spans="1:5">
      <c r="A301" s="398">
        <v>296</v>
      </c>
      <c r="B301" s="398">
        <v>3406.599999999984</v>
      </c>
      <c r="C301" s="398">
        <v>3284.4000000000146</v>
      </c>
      <c r="D301" s="398">
        <v>5501.5000000000136</v>
      </c>
      <c r="E301" s="398">
        <v>4834.3</v>
      </c>
    </row>
    <row r="302" spans="1:5">
      <c r="A302" s="398">
        <v>297</v>
      </c>
      <c r="B302" s="398">
        <v>3417.7999999999838</v>
      </c>
      <c r="C302" s="398">
        <v>3295.2000000000148</v>
      </c>
      <c r="D302" s="398">
        <v>5519.600000000014</v>
      </c>
      <c r="E302" s="398">
        <v>4850.2</v>
      </c>
    </row>
    <row r="303" spans="1:5">
      <c r="A303" s="398">
        <v>298</v>
      </c>
      <c r="B303" s="398">
        <v>3428.9999999999836</v>
      </c>
      <c r="C303" s="398">
        <v>3306.000000000015</v>
      </c>
      <c r="D303" s="398">
        <v>5537.7000000000144</v>
      </c>
      <c r="E303" s="398">
        <v>4866.0999999999995</v>
      </c>
    </row>
    <row r="304" spans="1:5">
      <c r="A304" s="398">
        <v>299</v>
      </c>
      <c r="B304" s="398">
        <v>3440.1999999999834</v>
      </c>
      <c r="C304" s="398">
        <v>3316.8000000000152</v>
      </c>
      <c r="D304" s="398">
        <v>5555.8000000000147</v>
      </c>
      <c r="E304" s="398">
        <v>4881.9999999999991</v>
      </c>
    </row>
    <row r="305" spans="1:5">
      <c r="A305" s="398">
        <v>300</v>
      </c>
      <c r="B305" s="398">
        <v>3451.3999999999833</v>
      </c>
      <c r="C305" s="398">
        <v>3327.6000000000154</v>
      </c>
      <c r="D305" s="398">
        <v>5573.9000000000151</v>
      </c>
      <c r="E305" s="398">
        <v>4897.8999999999987</v>
      </c>
    </row>
  </sheetData>
  <mergeCells count="3">
    <mergeCell ref="A1:F1"/>
    <mergeCell ref="B2:D2"/>
    <mergeCell ref="A3:A4"/>
  </mergeCells>
  <pageMargins left="1.04" right="0.7" top="0.32" bottom="0.4" header="0.3" footer="0.3"/>
  <pageSetup paperSize="9" orientation="portrait" verticalDpi="0" r:id="rId1"/>
</worksheet>
</file>

<file path=xl/worksheets/sheet56.xml><?xml version="1.0" encoding="utf-8"?>
<worksheet xmlns="http://schemas.openxmlformats.org/spreadsheetml/2006/main" xmlns:r="http://schemas.openxmlformats.org/officeDocument/2006/relationships">
  <sheetPr>
    <tabColor rgb="FF7030A0"/>
  </sheetPr>
  <dimension ref="A1:F313"/>
  <sheetViews>
    <sheetView workbookViewId="0">
      <selection activeCell="C31" sqref="C31:E31"/>
    </sheetView>
  </sheetViews>
  <sheetFormatPr defaultColWidth="9.140625" defaultRowHeight="15"/>
  <cols>
    <col min="1" max="1" width="9.140625" style="463"/>
    <col min="2" max="5" width="14.42578125" style="463" customWidth="1"/>
    <col min="6" max="6" width="11.7109375" style="463" customWidth="1"/>
    <col min="7" max="16384" width="9.140625" style="463"/>
  </cols>
  <sheetData>
    <row r="1" spans="1:6" ht="23.25">
      <c r="A1" s="1948" t="s">
        <v>2315</v>
      </c>
      <c r="B1" s="1948"/>
      <c r="C1" s="1948"/>
      <c r="D1" s="1948"/>
      <c r="E1" s="1948"/>
      <c r="F1" s="1948"/>
    </row>
    <row r="2" spans="1:6" ht="18">
      <c r="A2" s="464"/>
      <c r="B2" s="1949" t="s">
        <v>1642</v>
      </c>
      <c r="C2" s="1949"/>
      <c r="D2" s="1949"/>
      <c r="E2" s="464"/>
      <c r="F2" s="464"/>
    </row>
    <row r="3" spans="1:6" ht="15" customHeight="1">
      <c r="A3" s="1950" t="s">
        <v>253</v>
      </c>
      <c r="B3" s="465" t="s">
        <v>1643</v>
      </c>
      <c r="C3" s="465" t="s">
        <v>139</v>
      </c>
      <c r="D3" s="466" t="s">
        <v>1644</v>
      </c>
      <c r="E3" s="467" t="s">
        <v>1645</v>
      </c>
      <c r="F3" s="468"/>
    </row>
    <row r="4" spans="1:6" ht="42" customHeight="1">
      <c r="A4" s="1950"/>
      <c r="B4" s="469" t="s">
        <v>1646</v>
      </c>
      <c r="C4" s="469" t="s">
        <v>1646</v>
      </c>
      <c r="D4" s="469" t="s">
        <v>1646</v>
      </c>
      <c r="E4" s="470" t="s">
        <v>1647</v>
      </c>
      <c r="F4" s="471" t="s">
        <v>1648</v>
      </c>
    </row>
    <row r="5" spans="1:6">
      <c r="A5" s="472">
        <v>1</v>
      </c>
      <c r="B5" s="473">
        <v>2</v>
      </c>
      <c r="C5" s="472">
        <v>3</v>
      </c>
      <c r="D5" s="473">
        <v>4</v>
      </c>
      <c r="E5" s="472">
        <v>5</v>
      </c>
      <c r="F5" s="473">
        <v>6</v>
      </c>
    </row>
    <row r="6" spans="1:6" ht="18" customHeight="1">
      <c r="A6" s="409">
        <v>1</v>
      </c>
      <c r="B6" s="521">
        <v>36</v>
      </c>
      <c r="C6" s="521">
        <v>34.700000000000003</v>
      </c>
      <c r="D6" s="522">
        <v>57.8</v>
      </c>
      <c r="E6" s="521">
        <v>51</v>
      </c>
      <c r="F6" s="478"/>
    </row>
    <row r="7" spans="1:6" ht="18" customHeight="1">
      <c r="A7" s="409">
        <v>2</v>
      </c>
      <c r="B7" s="521">
        <v>50.4</v>
      </c>
      <c r="C7" s="521">
        <v>48.5</v>
      </c>
      <c r="D7" s="522">
        <v>80.900000000000006</v>
      </c>
      <c r="E7" s="521">
        <v>71.400000000000006</v>
      </c>
      <c r="F7" s="478"/>
    </row>
    <row r="8" spans="1:6" ht="18" customHeight="1">
      <c r="A8" s="409">
        <v>3</v>
      </c>
      <c r="B8" s="521">
        <v>67.2</v>
      </c>
      <c r="C8" s="521">
        <v>64.7</v>
      </c>
      <c r="D8" s="522">
        <v>107.8</v>
      </c>
      <c r="E8" s="521">
        <v>95.2</v>
      </c>
      <c r="F8" s="478"/>
    </row>
    <row r="9" spans="1:6" ht="18" customHeight="1">
      <c r="A9" s="409">
        <v>4</v>
      </c>
      <c r="B9" s="521">
        <v>81.599999999999994</v>
      </c>
      <c r="C9" s="521">
        <v>78.599999999999994</v>
      </c>
      <c r="D9" s="522">
        <v>131</v>
      </c>
      <c r="E9" s="521">
        <v>115.6</v>
      </c>
      <c r="F9" s="478"/>
    </row>
    <row r="10" spans="1:6" ht="18" customHeight="1">
      <c r="A10" s="412">
        <v>5</v>
      </c>
      <c r="B10" s="523">
        <v>96</v>
      </c>
      <c r="C10" s="523">
        <v>92.4</v>
      </c>
      <c r="D10" s="524">
        <v>154.1</v>
      </c>
      <c r="E10" s="523">
        <v>135.9</v>
      </c>
      <c r="F10" s="478"/>
    </row>
    <row r="11" spans="1:6" ht="18" customHeight="1">
      <c r="A11" s="409">
        <v>6</v>
      </c>
      <c r="B11" s="521">
        <f>B10+14.4</f>
        <v>110.4</v>
      </c>
      <c r="C11" s="521">
        <f>C10+13.9</f>
        <v>106.30000000000001</v>
      </c>
      <c r="D11" s="522">
        <f>D10+23.1</f>
        <v>177.2</v>
      </c>
      <c r="E11" s="521">
        <f>E10+20.4</f>
        <v>156.30000000000001</v>
      </c>
      <c r="F11" s="478"/>
    </row>
    <row r="12" spans="1:6" ht="18" customHeight="1">
      <c r="A12" s="409">
        <v>7</v>
      </c>
      <c r="B12" s="521">
        <f t="shared" ref="B12:B35" si="0">B11+14.4</f>
        <v>124.80000000000001</v>
      </c>
      <c r="C12" s="521">
        <f t="shared" ref="C12:C35" si="1">C11+13.9</f>
        <v>120.20000000000002</v>
      </c>
      <c r="D12" s="522">
        <f t="shared" ref="D12:D35" si="2">D11+23.1</f>
        <v>200.29999999999998</v>
      </c>
      <c r="E12" s="521">
        <f t="shared" ref="E12:E35" si="3">E11+20.4</f>
        <v>176.70000000000002</v>
      </c>
      <c r="F12" s="478"/>
    </row>
    <row r="13" spans="1:6" ht="18" customHeight="1">
      <c r="A13" s="409">
        <v>8</v>
      </c>
      <c r="B13" s="521">
        <f t="shared" si="0"/>
        <v>139.20000000000002</v>
      </c>
      <c r="C13" s="521">
        <f t="shared" si="1"/>
        <v>134.10000000000002</v>
      </c>
      <c r="D13" s="522">
        <f t="shared" si="2"/>
        <v>223.39999999999998</v>
      </c>
      <c r="E13" s="521">
        <f t="shared" si="3"/>
        <v>197.10000000000002</v>
      </c>
      <c r="F13" s="478"/>
    </row>
    <row r="14" spans="1:6" ht="18" customHeight="1">
      <c r="A14" s="409">
        <v>9</v>
      </c>
      <c r="B14" s="521">
        <f t="shared" si="0"/>
        <v>153.60000000000002</v>
      </c>
      <c r="C14" s="521">
        <f t="shared" si="1"/>
        <v>148.00000000000003</v>
      </c>
      <c r="D14" s="522">
        <f t="shared" si="2"/>
        <v>246.49999999999997</v>
      </c>
      <c r="E14" s="521">
        <f t="shared" si="3"/>
        <v>217.50000000000003</v>
      </c>
      <c r="F14" s="478"/>
    </row>
    <row r="15" spans="1:6" ht="18" customHeight="1">
      <c r="A15" s="409">
        <v>10</v>
      </c>
      <c r="B15" s="521">
        <f t="shared" si="0"/>
        <v>168.00000000000003</v>
      </c>
      <c r="C15" s="521">
        <f t="shared" si="1"/>
        <v>161.90000000000003</v>
      </c>
      <c r="D15" s="522">
        <f t="shared" si="2"/>
        <v>269.59999999999997</v>
      </c>
      <c r="E15" s="521">
        <f t="shared" si="3"/>
        <v>237.90000000000003</v>
      </c>
      <c r="F15" s="478"/>
    </row>
    <row r="16" spans="1:6" ht="18" customHeight="1">
      <c r="A16" s="409">
        <v>11</v>
      </c>
      <c r="B16" s="521">
        <f t="shared" si="0"/>
        <v>182.40000000000003</v>
      </c>
      <c r="C16" s="521">
        <f t="shared" si="1"/>
        <v>175.80000000000004</v>
      </c>
      <c r="D16" s="522">
        <f t="shared" si="2"/>
        <v>292.7</v>
      </c>
      <c r="E16" s="521">
        <f t="shared" si="3"/>
        <v>258.3</v>
      </c>
      <c r="F16" s="478"/>
    </row>
    <row r="17" spans="1:6" ht="18" customHeight="1">
      <c r="A17" s="409">
        <v>12</v>
      </c>
      <c r="B17" s="521">
        <f t="shared" si="0"/>
        <v>196.80000000000004</v>
      </c>
      <c r="C17" s="521">
        <f t="shared" si="1"/>
        <v>189.70000000000005</v>
      </c>
      <c r="D17" s="522">
        <f t="shared" si="2"/>
        <v>315.8</v>
      </c>
      <c r="E17" s="521">
        <f t="shared" si="3"/>
        <v>278.7</v>
      </c>
      <c r="F17" s="478"/>
    </row>
    <row r="18" spans="1:6" ht="18" customHeight="1">
      <c r="A18" s="409">
        <v>13</v>
      </c>
      <c r="B18" s="521">
        <f t="shared" si="0"/>
        <v>211.20000000000005</v>
      </c>
      <c r="C18" s="521">
        <f t="shared" si="1"/>
        <v>203.60000000000005</v>
      </c>
      <c r="D18" s="522">
        <f t="shared" si="2"/>
        <v>338.90000000000003</v>
      </c>
      <c r="E18" s="521">
        <f t="shared" si="3"/>
        <v>299.09999999999997</v>
      </c>
      <c r="F18" s="478"/>
    </row>
    <row r="19" spans="1:6" ht="18" customHeight="1">
      <c r="A19" s="409">
        <v>14</v>
      </c>
      <c r="B19" s="521">
        <f t="shared" si="0"/>
        <v>225.60000000000005</v>
      </c>
      <c r="C19" s="521">
        <f t="shared" si="1"/>
        <v>217.50000000000006</v>
      </c>
      <c r="D19" s="522">
        <f t="shared" si="2"/>
        <v>362.00000000000006</v>
      </c>
      <c r="E19" s="521">
        <f t="shared" si="3"/>
        <v>319.49999999999994</v>
      </c>
      <c r="F19" s="478"/>
    </row>
    <row r="20" spans="1:6" ht="18" customHeight="1">
      <c r="A20" s="409">
        <v>15</v>
      </c>
      <c r="B20" s="521">
        <f t="shared" si="0"/>
        <v>240.00000000000006</v>
      </c>
      <c r="C20" s="521">
        <f t="shared" si="1"/>
        <v>231.40000000000006</v>
      </c>
      <c r="D20" s="522">
        <f t="shared" si="2"/>
        <v>385.10000000000008</v>
      </c>
      <c r="E20" s="521">
        <f t="shared" si="3"/>
        <v>339.89999999999992</v>
      </c>
      <c r="F20" s="478"/>
    </row>
    <row r="21" spans="1:6" ht="18" customHeight="1">
      <c r="A21" s="409">
        <v>16</v>
      </c>
      <c r="B21" s="521">
        <f t="shared" si="0"/>
        <v>254.40000000000006</v>
      </c>
      <c r="C21" s="521">
        <f t="shared" si="1"/>
        <v>245.30000000000007</v>
      </c>
      <c r="D21" s="522">
        <f t="shared" si="2"/>
        <v>408.2000000000001</v>
      </c>
      <c r="E21" s="521">
        <f t="shared" si="3"/>
        <v>360.2999999999999</v>
      </c>
      <c r="F21" s="478"/>
    </row>
    <row r="22" spans="1:6" ht="18" customHeight="1">
      <c r="A22" s="409">
        <v>17</v>
      </c>
      <c r="B22" s="521">
        <f t="shared" si="0"/>
        <v>268.80000000000007</v>
      </c>
      <c r="C22" s="521">
        <f t="shared" si="1"/>
        <v>259.20000000000005</v>
      </c>
      <c r="D22" s="522">
        <f t="shared" si="2"/>
        <v>431.30000000000013</v>
      </c>
      <c r="E22" s="521">
        <f t="shared" si="3"/>
        <v>380.69999999999987</v>
      </c>
      <c r="F22" s="478"/>
    </row>
    <row r="23" spans="1:6" ht="18" customHeight="1">
      <c r="A23" s="409">
        <v>18</v>
      </c>
      <c r="B23" s="521">
        <f t="shared" si="0"/>
        <v>283.20000000000005</v>
      </c>
      <c r="C23" s="521">
        <f t="shared" si="1"/>
        <v>273.10000000000002</v>
      </c>
      <c r="D23" s="522">
        <f t="shared" si="2"/>
        <v>454.40000000000015</v>
      </c>
      <c r="E23" s="521">
        <f t="shared" si="3"/>
        <v>401.09999999999985</v>
      </c>
      <c r="F23" s="478"/>
    </row>
    <row r="24" spans="1:6" ht="18" customHeight="1">
      <c r="A24" s="409">
        <v>19</v>
      </c>
      <c r="B24" s="521">
        <f t="shared" si="0"/>
        <v>297.60000000000002</v>
      </c>
      <c r="C24" s="521">
        <f t="shared" si="1"/>
        <v>287</v>
      </c>
      <c r="D24" s="522">
        <f t="shared" si="2"/>
        <v>477.50000000000017</v>
      </c>
      <c r="E24" s="521">
        <f t="shared" si="3"/>
        <v>421.49999999999983</v>
      </c>
      <c r="F24" s="478"/>
    </row>
    <row r="25" spans="1:6" ht="18" customHeight="1">
      <c r="A25" s="409">
        <v>20</v>
      </c>
      <c r="B25" s="521">
        <f t="shared" si="0"/>
        <v>312</v>
      </c>
      <c r="C25" s="521">
        <f t="shared" si="1"/>
        <v>300.89999999999998</v>
      </c>
      <c r="D25" s="522">
        <f t="shared" si="2"/>
        <v>500.60000000000019</v>
      </c>
      <c r="E25" s="521">
        <f t="shared" si="3"/>
        <v>441.89999999999981</v>
      </c>
      <c r="F25" s="478"/>
    </row>
    <row r="26" spans="1:6" ht="18" customHeight="1">
      <c r="A26" s="409">
        <v>21</v>
      </c>
      <c r="B26" s="521">
        <f t="shared" si="0"/>
        <v>326.39999999999998</v>
      </c>
      <c r="C26" s="521">
        <f t="shared" si="1"/>
        <v>314.79999999999995</v>
      </c>
      <c r="D26" s="522">
        <f t="shared" si="2"/>
        <v>523.70000000000016</v>
      </c>
      <c r="E26" s="521">
        <f t="shared" si="3"/>
        <v>462.29999999999978</v>
      </c>
      <c r="F26" s="478"/>
    </row>
    <row r="27" spans="1:6" ht="18" customHeight="1">
      <c r="A27" s="409">
        <v>22</v>
      </c>
      <c r="B27" s="521">
        <f t="shared" si="0"/>
        <v>340.79999999999995</v>
      </c>
      <c r="C27" s="521">
        <f t="shared" si="1"/>
        <v>328.69999999999993</v>
      </c>
      <c r="D27" s="522">
        <f t="shared" si="2"/>
        <v>546.80000000000018</v>
      </c>
      <c r="E27" s="521">
        <f t="shared" si="3"/>
        <v>482.69999999999976</v>
      </c>
      <c r="F27" s="478"/>
    </row>
    <row r="28" spans="1:6" ht="18" customHeight="1">
      <c r="A28" s="409">
        <v>23</v>
      </c>
      <c r="B28" s="521">
        <f t="shared" si="0"/>
        <v>355.19999999999993</v>
      </c>
      <c r="C28" s="521">
        <f t="shared" si="1"/>
        <v>342.59999999999991</v>
      </c>
      <c r="D28" s="522">
        <f t="shared" si="2"/>
        <v>569.9000000000002</v>
      </c>
      <c r="E28" s="521">
        <f t="shared" si="3"/>
        <v>503.09999999999974</v>
      </c>
      <c r="F28" s="478"/>
    </row>
    <row r="29" spans="1:6" ht="18" customHeight="1">
      <c r="A29" s="409">
        <v>24</v>
      </c>
      <c r="B29" s="521">
        <f t="shared" si="0"/>
        <v>369.59999999999991</v>
      </c>
      <c r="C29" s="521">
        <f t="shared" si="1"/>
        <v>356.49999999999989</v>
      </c>
      <c r="D29" s="522">
        <f t="shared" si="2"/>
        <v>593.00000000000023</v>
      </c>
      <c r="E29" s="521">
        <f t="shared" si="3"/>
        <v>523.49999999999977</v>
      </c>
      <c r="F29" s="478"/>
    </row>
    <row r="30" spans="1:6" ht="18" customHeight="1">
      <c r="A30" s="409">
        <v>25</v>
      </c>
      <c r="B30" s="521">
        <f t="shared" si="0"/>
        <v>383.99999999999989</v>
      </c>
      <c r="C30" s="521">
        <f t="shared" si="1"/>
        <v>370.39999999999986</v>
      </c>
      <c r="D30" s="522">
        <f t="shared" si="2"/>
        <v>616.10000000000025</v>
      </c>
      <c r="E30" s="521">
        <f t="shared" si="3"/>
        <v>543.89999999999975</v>
      </c>
      <c r="F30" s="478"/>
    </row>
    <row r="31" spans="1:6" ht="18" customHeight="1">
      <c r="A31" s="409">
        <v>26</v>
      </c>
      <c r="B31" s="521">
        <f t="shared" si="0"/>
        <v>398.39999999999986</v>
      </c>
      <c r="C31" s="521">
        <f t="shared" si="1"/>
        <v>384.29999999999984</v>
      </c>
      <c r="D31" s="522">
        <f t="shared" si="2"/>
        <v>639.20000000000027</v>
      </c>
      <c r="E31" s="521">
        <f t="shared" si="3"/>
        <v>564.29999999999973</v>
      </c>
      <c r="F31" s="478"/>
    </row>
    <row r="32" spans="1:6" ht="18" customHeight="1">
      <c r="A32" s="409">
        <v>27</v>
      </c>
      <c r="B32" s="521">
        <f t="shared" si="0"/>
        <v>412.79999999999984</v>
      </c>
      <c r="C32" s="521">
        <f t="shared" si="1"/>
        <v>398.19999999999982</v>
      </c>
      <c r="D32" s="522">
        <f t="shared" si="2"/>
        <v>662.3000000000003</v>
      </c>
      <c r="E32" s="521">
        <f t="shared" si="3"/>
        <v>584.6999999999997</v>
      </c>
      <c r="F32" s="478"/>
    </row>
    <row r="33" spans="1:6" ht="18" customHeight="1">
      <c r="A33" s="409">
        <v>28</v>
      </c>
      <c r="B33" s="521">
        <f t="shared" si="0"/>
        <v>427.19999999999982</v>
      </c>
      <c r="C33" s="521">
        <f t="shared" si="1"/>
        <v>412.0999999999998</v>
      </c>
      <c r="D33" s="522">
        <f t="shared" si="2"/>
        <v>685.40000000000032</v>
      </c>
      <c r="E33" s="521">
        <f t="shared" si="3"/>
        <v>605.09999999999968</v>
      </c>
      <c r="F33" s="478"/>
    </row>
    <row r="34" spans="1:6" ht="18" customHeight="1">
      <c r="A34" s="409">
        <v>29</v>
      </c>
      <c r="B34" s="521">
        <f t="shared" si="0"/>
        <v>441.5999999999998</v>
      </c>
      <c r="C34" s="521">
        <f t="shared" si="1"/>
        <v>425.99999999999977</v>
      </c>
      <c r="D34" s="522">
        <f t="shared" si="2"/>
        <v>708.50000000000034</v>
      </c>
      <c r="E34" s="521">
        <f t="shared" si="3"/>
        <v>625.49999999999966</v>
      </c>
      <c r="F34" s="478"/>
    </row>
    <row r="35" spans="1:6" ht="18" customHeight="1">
      <c r="A35" s="409">
        <v>30</v>
      </c>
      <c r="B35" s="521">
        <f t="shared" si="0"/>
        <v>455.99999999999977</v>
      </c>
      <c r="C35" s="521">
        <f t="shared" si="1"/>
        <v>439.89999999999975</v>
      </c>
      <c r="D35" s="522">
        <f t="shared" si="2"/>
        <v>731.60000000000036</v>
      </c>
      <c r="E35" s="521">
        <f t="shared" si="3"/>
        <v>645.89999999999964</v>
      </c>
      <c r="F35" s="478"/>
    </row>
    <row r="36" spans="1:6" ht="18" customHeight="1">
      <c r="A36" s="409">
        <v>31</v>
      </c>
      <c r="B36" s="521">
        <f>B35+12</f>
        <v>467.99999999999977</v>
      </c>
      <c r="C36" s="521">
        <f>C35+11.6</f>
        <v>451.49999999999977</v>
      </c>
      <c r="D36" s="522">
        <f>D35+19.3</f>
        <v>750.90000000000032</v>
      </c>
      <c r="E36" s="521">
        <f>E35+17</f>
        <v>662.89999999999964</v>
      </c>
      <c r="F36" s="478"/>
    </row>
    <row r="37" spans="1:6" ht="18" customHeight="1">
      <c r="A37" s="409">
        <v>32</v>
      </c>
      <c r="B37" s="521">
        <f t="shared" ref="B37:B100" si="4">B36+12</f>
        <v>479.99999999999977</v>
      </c>
      <c r="C37" s="521">
        <f t="shared" ref="C37:C100" si="5">C36+11.6</f>
        <v>463.0999999999998</v>
      </c>
      <c r="D37" s="522">
        <f t="shared" ref="D37:D100" si="6">D36+19.3</f>
        <v>770.20000000000027</v>
      </c>
      <c r="E37" s="521">
        <f t="shared" ref="E37:E100" si="7">E36+17</f>
        <v>679.89999999999964</v>
      </c>
      <c r="F37" s="478"/>
    </row>
    <row r="38" spans="1:6" ht="18" customHeight="1">
      <c r="A38" s="409">
        <v>33</v>
      </c>
      <c r="B38" s="521">
        <f t="shared" si="4"/>
        <v>491.99999999999977</v>
      </c>
      <c r="C38" s="521">
        <f t="shared" si="5"/>
        <v>474.69999999999982</v>
      </c>
      <c r="D38" s="522">
        <f t="shared" si="6"/>
        <v>789.50000000000023</v>
      </c>
      <c r="E38" s="521">
        <f t="shared" si="7"/>
        <v>696.89999999999964</v>
      </c>
      <c r="F38" s="478"/>
    </row>
    <row r="39" spans="1:6" ht="18" customHeight="1">
      <c r="A39" s="409">
        <v>34</v>
      </c>
      <c r="B39" s="521">
        <f t="shared" si="4"/>
        <v>503.99999999999977</v>
      </c>
      <c r="C39" s="521">
        <f t="shared" si="5"/>
        <v>486.29999999999984</v>
      </c>
      <c r="D39" s="522">
        <f t="shared" si="6"/>
        <v>808.80000000000018</v>
      </c>
      <c r="E39" s="521">
        <f t="shared" si="7"/>
        <v>713.89999999999964</v>
      </c>
      <c r="F39" s="478"/>
    </row>
    <row r="40" spans="1:6" ht="18" customHeight="1">
      <c r="A40" s="409">
        <v>35</v>
      </c>
      <c r="B40" s="521">
        <f t="shared" si="4"/>
        <v>515.99999999999977</v>
      </c>
      <c r="C40" s="521">
        <f t="shared" si="5"/>
        <v>497.89999999999986</v>
      </c>
      <c r="D40" s="522">
        <f t="shared" si="6"/>
        <v>828.10000000000014</v>
      </c>
      <c r="E40" s="521">
        <f t="shared" si="7"/>
        <v>730.89999999999964</v>
      </c>
      <c r="F40" s="478"/>
    </row>
    <row r="41" spans="1:6" ht="18" customHeight="1">
      <c r="A41" s="409">
        <v>36</v>
      </c>
      <c r="B41" s="521">
        <f t="shared" si="4"/>
        <v>527.99999999999977</v>
      </c>
      <c r="C41" s="521">
        <f t="shared" si="5"/>
        <v>509.49999999999989</v>
      </c>
      <c r="D41" s="522">
        <f t="shared" si="6"/>
        <v>847.40000000000009</v>
      </c>
      <c r="E41" s="521">
        <f t="shared" si="7"/>
        <v>747.89999999999964</v>
      </c>
      <c r="F41" s="478"/>
    </row>
    <row r="42" spans="1:6" ht="18" customHeight="1">
      <c r="A42" s="409">
        <v>37</v>
      </c>
      <c r="B42" s="521">
        <f t="shared" si="4"/>
        <v>539.99999999999977</v>
      </c>
      <c r="C42" s="521">
        <f t="shared" si="5"/>
        <v>521.09999999999991</v>
      </c>
      <c r="D42" s="522">
        <f t="shared" si="6"/>
        <v>866.7</v>
      </c>
      <c r="E42" s="521">
        <f t="shared" si="7"/>
        <v>764.89999999999964</v>
      </c>
      <c r="F42" s="478"/>
    </row>
    <row r="43" spans="1:6" ht="18" customHeight="1">
      <c r="A43" s="409">
        <v>38</v>
      </c>
      <c r="B43" s="521">
        <f t="shared" si="4"/>
        <v>551.99999999999977</v>
      </c>
      <c r="C43" s="521">
        <f t="shared" si="5"/>
        <v>532.69999999999993</v>
      </c>
      <c r="D43" s="522">
        <f t="shared" si="6"/>
        <v>886</v>
      </c>
      <c r="E43" s="521">
        <f t="shared" si="7"/>
        <v>781.89999999999964</v>
      </c>
      <c r="F43" s="478"/>
    </row>
    <row r="44" spans="1:6" ht="18" customHeight="1">
      <c r="A44" s="409">
        <v>39</v>
      </c>
      <c r="B44" s="521">
        <f t="shared" si="4"/>
        <v>563.99999999999977</v>
      </c>
      <c r="C44" s="521">
        <f t="shared" si="5"/>
        <v>544.29999999999995</v>
      </c>
      <c r="D44" s="522">
        <f t="shared" si="6"/>
        <v>905.3</v>
      </c>
      <c r="E44" s="521">
        <f t="shared" si="7"/>
        <v>798.89999999999964</v>
      </c>
      <c r="F44" s="478"/>
    </row>
    <row r="45" spans="1:6" ht="18" customHeight="1">
      <c r="A45" s="409">
        <v>40</v>
      </c>
      <c r="B45" s="521">
        <f t="shared" si="4"/>
        <v>575.99999999999977</v>
      </c>
      <c r="C45" s="521">
        <f t="shared" si="5"/>
        <v>555.9</v>
      </c>
      <c r="D45" s="522">
        <f t="shared" si="6"/>
        <v>924.59999999999991</v>
      </c>
      <c r="E45" s="521">
        <f t="shared" si="7"/>
        <v>815.89999999999964</v>
      </c>
      <c r="F45" s="478"/>
    </row>
    <row r="46" spans="1:6" ht="18" customHeight="1">
      <c r="A46" s="409">
        <v>41</v>
      </c>
      <c r="B46" s="521">
        <f t="shared" si="4"/>
        <v>587.99999999999977</v>
      </c>
      <c r="C46" s="521">
        <f t="shared" si="5"/>
        <v>567.5</v>
      </c>
      <c r="D46" s="522">
        <f t="shared" si="6"/>
        <v>943.89999999999986</v>
      </c>
      <c r="E46" s="521">
        <f t="shared" si="7"/>
        <v>832.89999999999964</v>
      </c>
      <c r="F46" s="478"/>
    </row>
    <row r="47" spans="1:6" ht="18" customHeight="1">
      <c r="A47" s="409">
        <v>42</v>
      </c>
      <c r="B47" s="521">
        <f t="shared" si="4"/>
        <v>599.99999999999977</v>
      </c>
      <c r="C47" s="521">
        <f t="shared" si="5"/>
        <v>579.1</v>
      </c>
      <c r="D47" s="522">
        <f t="shared" si="6"/>
        <v>963.19999999999982</v>
      </c>
      <c r="E47" s="521">
        <f t="shared" si="7"/>
        <v>849.89999999999964</v>
      </c>
      <c r="F47" s="478"/>
    </row>
    <row r="48" spans="1:6" ht="18" customHeight="1">
      <c r="A48" s="409">
        <v>43</v>
      </c>
      <c r="B48" s="521">
        <f t="shared" si="4"/>
        <v>611.99999999999977</v>
      </c>
      <c r="C48" s="521">
        <f t="shared" si="5"/>
        <v>590.70000000000005</v>
      </c>
      <c r="D48" s="522">
        <f t="shared" si="6"/>
        <v>982.49999999999977</v>
      </c>
      <c r="E48" s="521">
        <f t="shared" si="7"/>
        <v>866.89999999999964</v>
      </c>
      <c r="F48" s="478"/>
    </row>
    <row r="49" spans="1:6" ht="18" customHeight="1">
      <c r="A49" s="409">
        <v>44</v>
      </c>
      <c r="B49" s="521">
        <f t="shared" si="4"/>
        <v>623.99999999999977</v>
      </c>
      <c r="C49" s="521">
        <f t="shared" si="5"/>
        <v>602.30000000000007</v>
      </c>
      <c r="D49" s="522">
        <f t="shared" si="6"/>
        <v>1001.7999999999997</v>
      </c>
      <c r="E49" s="521">
        <f t="shared" si="7"/>
        <v>883.89999999999964</v>
      </c>
      <c r="F49" s="478"/>
    </row>
    <row r="50" spans="1:6" ht="18" customHeight="1">
      <c r="A50" s="409">
        <v>45</v>
      </c>
      <c r="B50" s="521">
        <f t="shared" si="4"/>
        <v>635.99999999999977</v>
      </c>
      <c r="C50" s="521">
        <f t="shared" si="5"/>
        <v>613.90000000000009</v>
      </c>
      <c r="D50" s="522">
        <f t="shared" si="6"/>
        <v>1021.0999999999997</v>
      </c>
      <c r="E50" s="521">
        <f t="shared" si="7"/>
        <v>900.89999999999964</v>
      </c>
      <c r="F50" s="478"/>
    </row>
    <row r="51" spans="1:6" ht="18" customHeight="1">
      <c r="A51" s="409">
        <v>46</v>
      </c>
      <c r="B51" s="521">
        <f t="shared" si="4"/>
        <v>647.99999999999977</v>
      </c>
      <c r="C51" s="521">
        <f t="shared" si="5"/>
        <v>625.50000000000011</v>
      </c>
      <c r="D51" s="522">
        <f t="shared" si="6"/>
        <v>1040.3999999999996</v>
      </c>
      <c r="E51" s="521">
        <f t="shared" si="7"/>
        <v>917.89999999999964</v>
      </c>
      <c r="F51" s="478"/>
    </row>
    <row r="52" spans="1:6" ht="18" customHeight="1">
      <c r="A52" s="409">
        <v>47</v>
      </c>
      <c r="B52" s="521">
        <f t="shared" si="4"/>
        <v>659.99999999999977</v>
      </c>
      <c r="C52" s="521">
        <f t="shared" si="5"/>
        <v>637.10000000000014</v>
      </c>
      <c r="D52" s="522">
        <f t="shared" si="6"/>
        <v>1059.6999999999996</v>
      </c>
      <c r="E52" s="521">
        <f t="shared" si="7"/>
        <v>934.89999999999964</v>
      </c>
      <c r="F52" s="478"/>
    </row>
    <row r="53" spans="1:6" ht="18" customHeight="1">
      <c r="A53" s="409">
        <v>48</v>
      </c>
      <c r="B53" s="521">
        <f t="shared" si="4"/>
        <v>671.99999999999977</v>
      </c>
      <c r="C53" s="521">
        <f t="shared" si="5"/>
        <v>648.70000000000016</v>
      </c>
      <c r="D53" s="522">
        <f t="shared" si="6"/>
        <v>1078.9999999999995</v>
      </c>
      <c r="E53" s="521">
        <f t="shared" si="7"/>
        <v>951.89999999999964</v>
      </c>
      <c r="F53" s="478"/>
    </row>
    <row r="54" spans="1:6" ht="18" customHeight="1">
      <c r="A54" s="409">
        <v>49</v>
      </c>
      <c r="B54" s="521">
        <f t="shared" si="4"/>
        <v>683.99999999999977</v>
      </c>
      <c r="C54" s="521">
        <f t="shared" si="5"/>
        <v>660.30000000000018</v>
      </c>
      <c r="D54" s="522">
        <f t="shared" si="6"/>
        <v>1098.2999999999995</v>
      </c>
      <c r="E54" s="521">
        <f t="shared" si="7"/>
        <v>968.89999999999964</v>
      </c>
      <c r="F54" s="478"/>
    </row>
    <row r="55" spans="1:6" ht="18" customHeight="1">
      <c r="A55" s="413">
        <v>50</v>
      </c>
      <c r="B55" s="521">
        <f t="shared" si="4"/>
        <v>695.99999999999977</v>
      </c>
      <c r="C55" s="521">
        <f t="shared" si="5"/>
        <v>671.9000000000002</v>
      </c>
      <c r="D55" s="522">
        <f t="shared" si="6"/>
        <v>1117.5999999999995</v>
      </c>
      <c r="E55" s="521">
        <f t="shared" si="7"/>
        <v>985.89999999999964</v>
      </c>
      <c r="F55" s="478"/>
    </row>
    <row r="56" spans="1:6" ht="18" customHeight="1">
      <c r="A56" s="414">
        <v>51</v>
      </c>
      <c r="B56" s="521">
        <f t="shared" si="4"/>
        <v>707.99999999999977</v>
      </c>
      <c r="C56" s="521">
        <f t="shared" si="5"/>
        <v>683.50000000000023</v>
      </c>
      <c r="D56" s="522">
        <f t="shared" si="6"/>
        <v>1136.8999999999994</v>
      </c>
      <c r="E56" s="521">
        <f t="shared" si="7"/>
        <v>1002.8999999999996</v>
      </c>
      <c r="F56" s="478"/>
    </row>
    <row r="57" spans="1:6" ht="18" customHeight="1">
      <c r="A57" s="409">
        <v>52</v>
      </c>
      <c r="B57" s="521">
        <f t="shared" si="4"/>
        <v>719.99999999999977</v>
      </c>
      <c r="C57" s="521">
        <f t="shared" si="5"/>
        <v>695.10000000000025</v>
      </c>
      <c r="D57" s="522">
        <f t="shared" si="6"/>
        <v>1156.1999999999994</v>
      </c>
      <c r="E57" s="521">
        <f t="shared" si="7"/>
        <v>1019.8999999999996</v>
      </c>
      <c r="F57" s="478"/>
    </row>
    <row r="58" spans="1:6" ht="18" customHeight="1">
      <c r="A58" s="409">
        <v>53</v>
      </c>
      <c r="B58" s="521">
        <f t="shared" si="4"/>
        <v>731.99999999999977</v>
      </c>
      <c r="C58" s="521">
        <f t="shared" si="5"/>
        <v>706.70000000000027</v>
      </c>
      <c r="D58" s="522">
        <f t="shared" si="6"/>
        <v>1175.4999999999993</v>
      </c>
      <c r="E58" s="521">
        <f t="shared" si="7"/>
        <v>1036.8999999999996</v>
      </c>
      <c r="F58" s="478"/>
    </row>
    <row r="59" spans="1:6" ht="18" customHeight="1">
      <c r="A59" s="409">
        <v>54</v>
      </c>
      <c r="B59" s="521">
        <f t="shared" si="4"/>
        <v>743.99999999999977</v>
      </c>
      <c r="C59" s="521">
        <f t="shared" si="5"/>
        <v>718.3000000000003</v>
      </c>
      <c r="D59" s="522">
        <f t="shared" si="6"/>
        <v>1194.7999999999993</v>
      </c>
      <c r="E59" s="521">
        <f t="shared" si="7"/>
        <v>1053.8999999999996</v>
      </c>
      <c r="F59" s="478"/>
    </row>
    <row r="60" spans="1:6" ht="18" customHeight="1">
      <c r="A60" s="409">
        <v>55</v>
      </c>
      <c r="B60" s="521">
        <f t="shared" si="4"/>
        <v>755.99999999999977</v>
      </c>
      <c r="C60" s="521">
        <f t="shared" si="5"/>
        <v>729.90000000000032</v>
      </c>
      <c r="D60" s="522">
        <f t="shared" si="6"/>
        <v>1214.0999999999992</v>
      </c>
      <c r="E60" s="521">
        <f t="shared" si="7"/>
        <v>1070.8999999999996</v>
      </c>
      <c r="F60" s="478"/>
    </row>
    <row r="61" spans="1:6" ht="18" customHeight="1">
      <c r="A61" s="409">
        <v>56</v>
      </c>
      <c r="B61" s="521">
        <f t="shared" si="4"/>
        <v>767.99999999999977</v>
      </c>
      <c r="C61" s="521">
        <f t="shared" si="5"/>
        <v>741.50000000000034</v>
      </c>
      <c r="D61" s="522">
        <f t="shared" si="6"/>
        <v>1233.3999999999992</v>
      </c>
      <c r="E61" s="521">
        <f t="shared" si="7"/>
        <v>1087.8999999999996</v>
      </c>
      <c r="F61" s="478"/>
    </row>
    <row r="62" spans="1:6" ht="18" customHeight="1">
      <c r="A62" s="409">
        <v>57</v>
      </c>
      <c r="B62" s="521">
        <f t="shared" si="4"/>
        <v>779.99999999999977</v>
      </c>
      <c r="C62" s="521">
        <f t="shared" si="5"/>
        <v>753.10000000000036</v>
      </c>
      <c r="D62" s="522">
        <f t="shared" si="6"/>
        <v>1252.6999999999991</v>
      </c>
      <c r="E62" s="521">
        <f t="shared" si="7"/>
        <v>1104.8999999999996</v>
      </c>
      <c r="F62" s="478"/>
    </row>
    <row r="63" spans="1:6" ht="18" customHeight="1">
      <c r="A63" s="409">
        <v>58</v>
      </c>
      <c r="B63" s="521">
        <f t="shared" si="4"/>
        <v>791.99999999999977</v>
      </c>
      <c r="C63" s="521">
        <f t="shared" si="5"/>
        <v>764.70000000000039</v>
      </c>
      <c r="D63" s="522">
        <f t="shared" si="6"/>
        <v>1271.9999999999991</v>
      </c>
      <c r="E63" s="521">
        <f t="shared" si="7"/>
        <v>1121.8999999999996</v>
      </c>
      <c r="F63" s="478"/>
    </row>
    <row r="64" spans="1:6" ht="18" customHeight="1">
      <c r="A64" s="409">
        <v>59</v>
      </c>
      <c r="B64" s="521">
        <f t="shared" si="4"/>
        <v>803.99999999999977</v>
      </c>
      <c r="C64" s="521">
        <f t="shared" si="5"/>
        <v>776.30000000000041</v>
      </c>
      <c r="D64" s="522">
        <f t="shared" si="6"/>
        <v>1291.299999999999</v>
      </c>
      <c r="E64" s="521">
        <f t="shared" si="7"/>
        <v>1138.8999999999996</v>
      </c>
      <c r="F64" s="478"/>
    </row>
    <row r="65" spans="1:6" ht="18" customHeight="1">
      <c r="A65" s="409">
        <v>60</v>
      </c>
      <c r="B65" s="521">
        <f t="shared" si="4"/>
        <v>815.99999999999977</v>
      </c>
      <c r="C65" s="521">
        <f t="shared" si="5"/>
        <v>787.90000000000043</v>
      </c>
      <c r="D65" s="522">
        <f t="shared" si="6"/>
        <v>1310.599999999999</v>
      </c>
      <c r="E65" s="521">
        <f t="shared" si="7"/>
        <v>1155.8999999999996</v>
      </c>
      <c r="F65" s="478"/>
    </row>
    <row r="66" spans="1:6" ht="18" customHeight="1">
      <c r="A66" s="409">
        <v>61</v>
      </c>
      <c r="B66" s="521">
        <f t="shared" si="4"/>
        <v>827.99999999999977</v>
      </c>
      <c r="C66" s="521">
        <f t="shared" si="5"/>
        <v>799.50000000000045</v>
      </c>
      <c r="D66" s="522">
        <f t="shared" si="6"/>
        <v>1329.899999999999</v>
      </c>
      <c r="E66" s="521">
        <f t="shared" si="7"/>
        <v>1172.8999999999996</v>
      </c>
      <c r="F66" s="478"/>
    </row>
    <row r="67" spans="1:6" ht="18" customHeight="1">
      <c r="A67" s="409">
        <v>62</v>
      </c>
      <c r="B67" s="521">
        <f t="shared" si="4"/>
        <v>839.99999999999977</v>
      </c>
      <c r="C67" s="521">
        <f t="shared" si="5"/>
        <v>811.10000000000048</v>
      </c>
      <c r="D67" s="522">
        <f t="shared" si="6"/>
        <v>1349.1999999999989</v>
      </c>
      <c r="E67" s="521">
        <f t="shared" si="7"/>
        <v>1189.8999999999996</v>
      </c>
      <c r="F67" s="478"/>
    </row>
    <row r="68" spans="1:6" ht="18" customHeight="1">
      <c r="A68" s="409">
        <v>63</v>
      </c>
      <c r="B68" s="521">
        <f t="shared" si="4"/>
        <v>851.99999999999977</v>
      </c>
      <c r="C68" s="521">
        <f t="shared" si="5"/>
        <v>822.7000000000005</v>
      </c>
      <c r="D68" s="522">
        <f t="shared" si="6"/>
        <v>1368.4999999999989</v>
      </c>
      <c r="E68" s="521">
        <f t="shared" si="7"/>
        <v>1206.8999999999996</v>
      </c>
      <c r="F68" s="478"/>
    </row>
    <row r="69" spans="1:6" ht="18" customHeight="1">
      <c r="A69" s="409">
        <v>64</v>
      </c>
      <c r="B69" s="521">
        <f t="shared" si="4"/>
        <v>863.99999999999977</v>
      </c>
      <c r="C69" s="521">
        <f t="shared" si="5"/>
        <v>834.30000000000052</v>
      </c>
      <c r="D69" s="522">
        <f t="shared" si="6"/>
        <v>1387.7999999999988</v>
      </c>
      <c r="E69" s="521">
        <f t="shared" si="7"/>
        <v>1223.8999999999996</v>
      </c>
      <c r="F69" s="478"/>
    </row>
    <row r="70" spans="1:6" ht="18" customHeight="1">
      <c r="A70" s="409">
        <v>65</v>
      </c>
      <c r="B70" s="521">
        <f t="shared" si="4"/>
        <v>875.99999999999977</v>
      </c>
      <c r="C70" s="521">
        <f t="shared" si="5"/>
        <v>845.90000000000055</v>
      </c>
      <c r="D70" s="522">
        <f t="shared" si="6"/>
        <v>1407.0999999999988</v>
      </c>
      <c r="E70" s="521">
        <f t="shared" si="7"/>
        <v>1240.8999999999996</v>
      </c>
      <c r="F70" s="478"/>
    </row>
    <row r="71" spans="1:6" ht="18" customHeight="1">
      <c r="A71" s="409">
        <v>66</v>
      </c>
      <c r="B71" s="521">
        <f t="shared" si="4"/>
        <v>887.99999999999977</v>
      </c>
      <c r="C71" s="521">
        <f t="shared" si="5"/>
        <v>857.50000000000057</v>
      </c>
      <c r="D71" s="522">
        <f t="shared" si="6"/>
        <v>1426.3999999999987</v>
      </c>
      <c r="E71" s="521">
        <f t="shared" si="7"/>
        <v>1257.8999999999996</v>
      </c>
      <c r="F71" s="478"/>
    </row>
    <row r="72" spans="1:6" ht="18" customHeight="1">
      <c r="A72" s="409">
        <v>67</v>
      </c>
      <c r="B72" s="521">
        <f t="shared" si="4"/>
        <v>899.99999999999977</v>
      </c>
      <c r="C72" s="521">
        <f t="shared" si="5"/>
        <v>869.10000000000059</v>
      </c>
      <c r="D72" s="522">
        <f t="shared" si="6"/>
        <v>1445.6999999999987</v>
      </c>
      <c r="E72" s="521">
        <f t="shared" si="7"/>
        <v>1274.8999999999996</v>
      </c>
      <c r="F72" s="478"/>
    </row>
    <row r="73" spans="1:6" ht="18" customHeight="1">
      <c r="A73" s="409">
        <v>68</v>
      </c>
      <c r="B73" s="521">
        <f t="shared" si="4"/>
        <v>911.99999999999977</v>
      </c>
      <c r="C73" s="521">
        <f t="shared" si="5"/>
        <v>880.70000000000061</v>
      </c>
      <c r="D73" s="522">
        <f t="shared" si="6"/>
        <v>1464.9999999999986</v>
      </c>
      <c r="E73" s="521">
        <f t="shared" si="7"/>
        <v>1291.8999999999996</v>
      </c>
      <c r="F73" s="478"/>
    </row>
    <row r="74" spans="1:6" ht="18" customHeight="1">
      <c r="A74" s="409">
        <v>69</v>
      </c>
      <c r="B74" s="521">
        <f t="shared" si="4"/>
        <v>923.99999999999977</v>
      </c>
      <c r="C74" s="521">
        <f t="shared" si="5"/>
        <v>892.30000000000064</v>
      </c>
      <c r="D74" s="522">
        <f t="shared" si="6"/>
        <v>1484.2999999999986</v>
      </c>
      <c r="E74" s="521">
        <f t="shared" si="7"/>
        <v>1308.8999999999996</v>
      </c>
      <c r="F74" s="478"/>
    </row>
    <row r="75" spans="1:6" ht="18" customHeight="1">
      <c r="A75" s="409">
        <v>70</v>
      </c>
      <c r="B75" s="521">
        <f t="shared" si="4"/>
        <v>935.99999999999977</v>
      </c>
      <c r="C75" s="521">
        <f t="shared" si="5"/>
        <v>903.90000000000066</v>
      </c>
      <c r="D75" s="522">
        <f t="shared" si="6"/>
        <v>1503.5999999999985</v>
      </c>
      <c r="E75" s="521">
        <f t="shared" si="7"/>
        <v>1325.8999999999996</v>
      </c>
      <c r="F75" s="478"/>
    </row>
    <row r="76" spans="1:6" ht="18" customHeight="1">
      <c r="A76" s="409">
        <v>71</v>
      </c>
      <c r="B76" s="521">
        <f t="shared" si="4"/>
        <v>947.99999999999977</v>
      </c>
      <c r="C76" s="521">
        <f t="shared" si="5"/>
        <v>915.50000000000068</v>
      </c>
      <c r="D76" s="522">
        <f t="shared" si="6"/>
        <v>1522.8999999999985</v>
      </c>
      <c r="E76" s="521">
        <f t="shared" si="7"/>
        <v>1342.8999999999996</v>
      </c>
      <c r="F76" s="478"/>
    </row>
    <row r="77" spans="1:6" ht="18" customHeight="1">
      <c r="A77" s="409">
        <v>72</v>
      </c>
      <c r="B77" s="521">
        <f t="shared" si="4"/>
        <v>959.99999999999977</v>
      </c>
      <c r="C77" s="521">
        <f t="shared" si="5"/>
        <v>927.1000000000007</v>
      </c>
      <c r="D77" s="522">
        <f t="shared" si="6"/>
        <v>1542.1999999999985</v>
      </c>
      <c r="E77" s="521">
        <f t="shared" si="7"/>
        <v>1359.8999999999996</v>
      </c>
      <c r="F77" s="478"/>
    </row>
    <row r="78" spans="1:6" ht="18" customHeight="1">
      <c r="A78" s="409">
        <v>73</v>
      </c>
      <c r="B78" s="521">
        <f t="shared" si="4"/>
        <v>971.99999999999977</v>
      </c>
      <c r="C78" s="521">
        <f t="shared" si="5"/>
        <v>938.70000000000073</v>
      </c>
      <c r="D78" s="522">
        <f t="shared" si="6"/>
        <v>1561.4999999999984</v>
      </c>
      <c r="E78" s="521">
        <f t="shared" si="7"/>
        <v>1376.8999999999996</v>
      </c>
      <c r="F78" s="478"/>
    </row>
    <row r="79" spans="1:6" ht="18" customHeight="1">
      <c r="A79" s="409">
        <v>74</v>
      </c>
      <c r="B79" s="521">
        <f t="shared" si="4"/>
        <v>983.99999999999977</v>
      </c>
      <c r="C79" s="521">
        <f t="shared" si="5"/>
        <v>950.30000000000075</v>
      </c>
      <c r="D79" s="522">
        <f t="shared" si="6"/>
        <v>1580.7999999999984</v>
      </c>
      <c r="E79" s="521">
        <f t="shared" si="7"/>
        <v>1393.8999999999996</v>
      </c>
      <c r="F79" s="478"/>
    </row>
    <row r="80" spans="1:6" ht="18" customHeight="1">
      <c r="A80" s="409">
        <v>75</v>
      </c>
      <c r="B80" s="521">
        <f t="shared" si="4"/>
        <v>995.99999999999977</v>
      </c>
      <c r="C80" s="521">
        <f t="shared" si="5"/>
        <v>961.90000000000077</v>
      </c>
      <c r="D80" s="522">
        <f t="shared" si="6"/>
        <v>1600.0999999999983</v>
      </c>
      <c r="E80" s="521">
        <f t="shared" si="7"/>
        <v>1410.8999999999996</v>
      </c>
      <c r="F80" s="478"/>
    </row>
    <row r="81" spans="1:6" ht="18" customHeight="1">
      <c r="A81" s="409">
        <v>76</v>
      </c>
      <c r="B81" s="521">
        <f t="shared" si="4"/>
        <v>1007.9999999999998</v>
      </c>
      <c r="C81" s="521">
        <f t="shared" si="5"/>
        <v>973.5000000000008</v>
      </c>
      <c r="D81" s="522">
        <f t="shared" si="6"/>
        <v>1619.3999999999983</v>
      </c>
      <c r="E81" s="521">
        <f t="shared" si="7"/>
        <v>1427.8999999999996</v>
      </c>
      <c r="F81" s="478"/>
    </row>
    <row r="82" spans="1:6" ht="18" customHeight="1">
      <c r="A82" s="409">
        <v>77</v>
      </c>
      <c r="B82" s="521">
        <f t="shared" si="4"/>
        <v>1019.9999999999998</v>
      </c>
      <c r="C82" s="521">
        <f t="shared" si="5"/>
        <v>985.10000000000082</v>
      </c>
      <c r="D82" s="522">
        <f t="shared" si="6"/>
        <v>1638.6999999999982</v>
      </c>
      <c r="E82" s="521">
        <f t="shared" si="7"/>
        <v>1444.8999999999996</v>
      </c>
      <c r="F82" s="478"/>
    </row>
    <row r="83" spans="1:6" ht="18" customHeight="1">
      <c r="A83" s="409">
        <v>78</v>
      </c>
      <c r="B83" s="521">
        <f t="shared" si="4"/>
        <v>1031.9999999999998</v>
      </c>
      <c r="C83" s="521">
        <f t="shared" si="5"/>
        <v>996.70000000000084</v>
      </c>
      <c r="D83" s="522">
        <f t="shared" si="6"/>
        <v>1657.9999999999982</v>
      </c>
      <c r="E83" s="521">
        <f t="shared" si="7"/>
        <v>1461.8999999999996</v>
      </c>
      <c r="F83" s="478"/>
    </row>
    <row r="84" spans="1:6" ht="18" customHeight="1">
      <c r="A84" s="409">
        <v>79</v>
      </c>
      <c r="B84" s="521">
        <f t="shared" si="4"/>
        <v>1043.9999999999998</v>
      </c>
      <c r="C84" s="521">
        <f t="shared" si="5"/>
        <v>1008.3000000000009</v>
      </c>
      <c r="D84" s="522">
        <f t="shared" si="6"/>
        <v>1677.2999999999981</v>
      </c>
      <c r="E84" s="521">
        <f t="shared" si="7"/>
        <v>1478.8999999999996</v>
      </c>
      <c r="F84" s="478"/>
    </row>
    <row r="85" spans="1:6" ht="18" customHeight="1">
      <c r="A85" s="409">
        <v>80</v>
      </c>
      <c r="B85" s="521">
        <f t="shared" si="4"/>
        <v>1055.9999999999998</v>
      </c>
      <c r="C85" s="521">
        <f t="shared" si="5"/>
        <v>1019.9000000000009</v>
      </c>
      <c r="D85" s="522">
        <f t="shared" si="6"/>
        <v>1696.5999999999981</v>
      </c>
      <c r="E85" s="521">
        <f t="shared" si="7"/>
        <v>1495.8999999999996</v>
      </c>
      <c r="F85" s="478"/>
    </row>
    <row r="86" spans="1:6" ht="18" customHeight="1">
      <c r="A86" s="409">
        <v>81</v>
      </c>
      <c r="B86" s="521">
        <f t="shared" si="4"/>
        <v>1067.9999999999998</v>
      </c>
      <c r="C86" s="521">
        <f t="shared" si="5"/>
        <v>1031.5000000000009</v>
      </c>
      <c r="D86" s="522">
        <f t="shared" si="6"/>
        <v>1715.899999999998</v>
      </c>
      <c r="E86" s="521">
        <f t="shared" si="7"/>
        <v>1512.8999999999996</v>
      </c>
      <c r="F86" s="478"/>
    </row>
    <row r="87" spans="1:6" ht="18" customHeight="1">
      <c r="A87" s="409">
        <v>82</v>
      </c>
      <c r="B87" s="521">
        <f t="shared" si="4"/>
        <v>1079.9999999999998</v>
      </c>
      <c r="C87" s="521">
        <f t="shared" si="5"/>
        <v>1043.1000000000008</v>
      </c>
      <c r="D87" s="522">
        <f t="shared" si="6"/>
        <v>1735.199999999998</v>
      </c>
      <c r="E87" s="521">
        <f t="shared" si="7"/>
        <v>1529.8999999999996</v>
      </c>
      <c r="F87" s="478"/>
    </row>
    <row r="88" spans="1:6" ht="18" customHeight="1">
      <c r="A88" s="409">
        <v>83</v>
      </c>
      <c r="B88" s="521">
        <f t="shared" si="4"/>
        <v>1091.9999999999998</v>
      </c>
      <c r="C88" s="521">
        <f t="shared" si="5"/>
        <v>1054.7000000000007</v>
      </c>
      <c r="D88" s="522">
        <f t="shared" si="6"/>
        <v>1754.499999999998</v>
      </c>
      <c r="E88" s="521">
        <f t="shared" si="7"/>
        <v>1546.8999999999996</v>
      </c>
      <c r="F88" s="478"/>
    </row>
    <row r="89" spans="1:6" ht="18" customHeight="1">
      <c r="A89" s="409">
        <v>84</v>
      </c>
      <c r="B89" s="521">
        <f t="shared" si="4"/>
        <v>1103.9999999999998</v>
      </c>
      <c r="C89" s="521">
        <f t="shared" si="5"/>
        <v>1066.3000000000006</v>
      </c>
      <c r="D89" s="522">
        <f t="shared" si="6"/>
        <v>1773.7999999999979</v>
      </c>
      <c r="E89" s="521">
        <f t="shared" si="7"/>
        <v>1563.8999999999996</v>
      </c>
      <c r="F89" s="478"/>
    </row>
    <row r="90" spans="1:6" ht="18" customHeight="1">
      <c r="A90" s="409">
        <v>85</v>
      </c>
      <c r="B90" s="521">
        <f t="shared" si="4"/>
        <v>1115.9999999999998</v>
      </c>
      <c r="C90" s="521">
        <f t="shared" si="5"/>
        <v>1077.9000000000005</v>
      </c>
      <c r="D90" s="522">
        <f t="shared" si="6"/>
        <v>1793.0999999999979</v>
      </c>
      <c r="E90" s="521">
        <f t="shared" si="7"/>
        <v>1580.8999999999996</v>
      </c>
      <c r="F90" s="478"/>
    </row>
    <row r="91" spans="1:6" ht="18" customHeight="1">
      <c r="A91" s="409">
        <v>86</v>
      </c>
      <c r="B91" s="521">
        <f t="shared" si="4"/>
        <v>1127.9999999999998</v>
      </c>
      <c r="C91" s="521">
        <f t="shared" si="5"/>
        <v>1089.5000000000005</v>
      </c>
      <c r="D91" s="522">
        <f t="shared" si="6"/>
        <v>1812.3999999999978</v>
      </c>
      <c r="E91" s="521">
        <f t="shared" si="7"/>
        <v>1597.8999999999996</v>
      </c>
      <c r="F91" s="478"/>
    </row>
    <row r="92" spans="1:6" ht="18" customHeight="1">
      <c r="A92" s="409">
        <v>87</v>
      </c>
      <c r="B92" s="521">
        <f t="shared" si="4"/>
        <v>1139.9999999999998</v>
      </c>
      <c r="C92" s="521">
        <f t="shared" si="5"/>
        <v>1101.1000000000004</v>
      </c>
      <c r="D92" s="522">
        <f t="shared" si="6"/>
        <v>1831.6999999999978</v>
      </c>
      <c r="E92" s="521">
        <f t="shared" si="7"/>
        <v>1614.8999999999996</v>
      </c>
      <c r="F92" s="478"/>
    </row>
    <row r="93" spans="1:6" ht="18" customHeight="1">
      <c r="A93" s="409">
        <v>88</v>
      </c>
      <c r="B93" s="521">
        <f t="shared" si="4"/>
        <v>1151.9999999999998</v>
      </c>
      <c r="C93" s="521">
        <f t="shared" si="5"/>
        <v>1112.7000000000003</v>
      </c>
      <c r="D93" s="522">
        <f t="shared" si="6"/>
        <v>1850.9999999999977</v>
      </c>
      <c r="E93" s="521">
        <f t="shared" si="7"/>
        <v>1631.8999999999996</v>
      </c>
      <c r="F93" s="478"/>
    </row>
    <row r="94" spans="1:6" ht="18" customHeight="1">
      <c r="A94" s="409">
        <v>89</v>
      </c>
      <c r="B94" s="521">
        <f t="shared" si="4"/>
        <v>1163.9999999999998</v>
      </c>
      <c r="C94" s="521">
        <f t="shared" si="5"/>
        <v>1124.3000000000002</v>
      </c>
      <c r="D94" s="522">
        <f t="shared" si="6"/>
        <v>1870.2999999999977</v>
      </c>
      <c r="E94" s="521">
        <f t="shared" si="7"/>
        <v>1648.8999999999996</v>
      </c>
      <c r="F94" s="478"/>
    </row>
    <row r="95" spans="1:6" ht="18" customHeight="1">
      <c r="A95" s="409">
        <v>90</v>
      </c>
      <c r="B95" s="521">
        <f t="shared" si="4"/>
        <v>1175.9999999999998</v>
      </c>
      <c r="C95" s="521">
        <f t="shared" si="5"/>
        <v>1135.9000000000001</v>
      </c>
      <c r="D95" s="522">
        <f t="shared" si="6"/>
        <v>1889.5999999999976</v>
      </c>
      <c r="E95" s="521">
        <f t="shared" si="7"/>
        <v>1665.8999999999996</v>
      </c>
      <c r="F95" s="478"/>
    </row>
    <row r="96" spans="1:6" ht="18" customHeight="1">
      <c r="A96" s="409">
        <v>91</v>
      </c>
      <c r="B96" s="521">
        <f t="shared" si="4"/>
        <v>1187.9999999999998</v>
      </c>
      <c r="C96" s="521">
        <f t="shared" si="5"/>
        <v>1147.5</v>
      </c>
      <c r="D96" s="522">
        <f t="shared" si="6"/>
        <v>1908.8999999999976</v>
      </c>
      <c r="E96" s="521">
        <f t="shared" si="7"/>
        <v>1682.8999999999996</v>
      </c>
      <c r="F96" s="478"/>
    </row>
    <row r="97" spans="1:6" ht="18" customHeight="1">
      <c r="A97" s="409">
        <v>92</v>
      </c>
      <c r="B97" s="521">
        <f t="shared" si="4"/>
        <v>1199.9999999999998</v>
      </c>
      <c r="C97" s="521">
        <f t="shared" si="5"/>
        <v>1159.0999999999999</v>
      </c>
      <c r="D97" s="522">
        <f t="shared" si="6"/>
        <v>1928.1999999999975</v>
      </c>
      <c r="E97" s="521">
        <f t="shared" si="7"/>
        <v>1699.8999999999996</v>
      </c>
      <c r="F97" s="478"/>
    </row>
    <row r="98" spans="1:6" ht="18" customHeight="1">
      <c r="A98" s="409">
        <v>93</v>
      </c>
      <c r="B98" s="521">
        <f t="shared" si="4"/>
        <v>1211.9999999999998</v>
      </c>
      <c r="C98" s="521">
        <f t="shared" si="5"/>
        <v>1170.6999999999998</v>
      </c>
      <c r="D98" s="522">
        <f t="shared" si="6"/>
        <v>1947.4999999999975</v>
      </c>
      <c r="E98" s="521">
        <f t="shared" si="7"/>
        <v>1716.8999999999996</v>
      </c>
      <c r="F98" s="478"/>
    </row>
    <row r="99" spans="1:6" ht="18" customHeight="1">
      <c r="A99" s="409">
        <v>94</v>
      </c>
      <c r="B99" s="521">
        <f t="shared" si="4"/>
        <v>1223.9999999999998</v>
      </c>
      <c r="C99" s="521">
        <f t="shared" si="5"/>
        <v>1182.2999999999997</v>
      </c>
      <c r="D99" s="522">
        <f t="shared" si="6"/>
        <v>1966.7999999999975</v>
      </c>
      <c r="E99" s="521">
        <f t="shared" si="7"/>
        <v>1733.8999999999996</v>
      </c>
      <c r="F99" s="478"/>
    </row>
    <row r="100" spans="1:6" ht="18" customHeight="1">
      <c r="A100" s="409">
        <v>95</v>
      </c>
      <c r="B100" s="521">
        <f t="shared" si="4"/>
        <v>1235.9999999999998</v>
      </c>
      <c r="C100" s="521">
        <f t="shared" si="5"/>
        <v>1193.8999999999996</v>
      </c>
      <c r="D100" s="522">
        <f t="shared" si="6"/>
        <v>1986.0999999999974</v>
      </c>
      <c r="E100" s="521">
        <f t="shared" si="7"/>
        <v>1750.8999999999996</v>
      </c>
      <c r="F100" s="478"/>
    </row>
    <row r="101" spans="1:6" ht="18" customHeight="1">
      <c r="A101" s="409">
        <v>96</v>
      </c>
      <c r="B101" s="521">
        <f t="shared" ref="B101:B164" si="8">B100+12</f>
        <v>1247.9999999999998</v>
      </c>
      <c r="C101" s="521">
        <f t="shared" ref="C101:C164" si="9">C100+11.6</f>
        <v>1205.4999999999995</v>
      </c>
      <c r="D101" s="522">
        <f t="shared" ref="D101:D164" si="10">D100+19.3</f>
        <v>2005.3999999999974</v>
      </c>
      <c r="E101" s="521">
        <f t="shared" ref="E101:E164" si="11">E100+17</f>
        <v>1767.8999999999996</v>
      </c>
      <c r="F101" s="478"/>
    </row>
    <row r="102" spans="1:6" ht="18" customHeight="1">
      <c r="A102" s="409">
        <v>97</v>
      </c>
      <c r="B102" s="521">
        <f t="shared" si="8"/>
        <v>1259.9999999999998</v>
      </c>
      <c r="C102" s="521">
        <f t="shared" si="9"/>
        <v>1217.0999999999995</v>
      </c>
      <c r="D102" s="522">
        <f t="shared" si="10"/>
        <v>2024.6999999999973</v>
      </c>
      <c r="E102" s="521">
        <f t="shared" si="11"/>
        <v>1784.8999999999996</v>
      </c>
      <c r="F102" s="478"/>
    </row>
    <row r="103" spans="1:6" ht="18" customHeight="1">
      <c r="A103" s="409">
        <v>98</v>
      </c>
      <c r="B103" s="521">
        <f t="shared" si="8"/>
        <v>1271.9999999999998</v>
      </c>
      <c r="C103" s="521">
        <f t="shared" si="9"/>
        <v>1228.6999999999994</v>
      </c>
      <c r="D103" s="522">
        <f t="shared" si="10"/>
        <v>2043.9999999999973</v>
      </c>
      <c r="E103" s="521">
        <f t="shared" si="11"/>
        <v>1801.8999999999996</v>
      </c>
      <c r="F103" s="478"/>
    </row>
    <row r="104" spans="1:6" ht="18" customHeight="1">
      <c r="A104" s="409">
        <v>99</v>
      </c>
      <c r="B104" s="521">
        <f t="shared" si="8"/>
        <v>1283.9999999999998</v>
      </c>
      <c r="C104" s="521">
        <f t="shared" si="9"/>
        <v>1240.2999999999993</v>
      </c>
      <c r="D104" s="522">
        <f t="shared" si="10"/>
        <v>2063.2999999999975</v>
      </c>
      <c r="E104" s="521">
        <f t="shared" si="11"/>
        <v>1818.8999999999996</v>
      </c>
      <c r="F104" s="478"/>
    </row>
    <row r="105" spans="1:6" ht="18" customHeight="1">
      <c r="A105" s="409">
        <v>100</v>
      </c>
      <c r="B105" s="521">
        <f t="shared" si="8"/>
        <v>1295.9999999999998</v>
      </c>
      <c r="C105" s="521">
        <f t="shared" si="9"/>
        <v>1251.8999999999992</v>
      </c>
      <c r="D105" s="522">
        <f t="shared" si="10"/>
        <v>2082.5999999999976</v>
      </c>
      <c r="E105" s="521">
        <f t="shared" si="11"/>
        <v>1835.8999999999996</v>
      </c>
      <c r="F105" s="478"/>
    </row>
    <row r="106" spans="1:6" ht="18" customHeight="1">
      <c r="A106" s="409">
        <v>101</v>
      </c>
      <c r="B106" s="521">
        <f t="shared" si="8"/>
        <v>1307.9999999999998</v>
      </c>
      <c r="C106" s="521">
        <f t="shared" si="9"/>
        <v>1263.4999999999991</v>
      </c>
      <c r="D106" s="522">
        <f t="shared" si="10"/>
        <v>2101.8999999999978</v>
      </c>
      <c r="E106" s="521">
        <f t="shared" si="11"/>
        <v>1852.8999999999996</v>
      </c>
      <c r="F106" s="478"/>
    </row>
    <row r="107" spans="1:6" ht="18" customHeight="1">
      <c r="A107" s="409">
        <v>102</v>
      </c>
      <c r="B107" s="521">
        <f t="shared" si="8"/>
        <v>1319.9999999999998</v>
      </c>
      <c r="C107" s="521">
        <f t="shared" si="9"/>
        <v>1275.099999999999</v>
      </c>
      <c r="D107" s="522">
        <f t="shared" si="10"/>
        <v>2121.199999999998</v>
      </c>
      <c r="E107" s="521">
        <f t="shared" si="11"/>
        <v>1869.8999999999996</v>
      </c>
      <c r="F107" s="478"/>
    </row>
    <row r="108" spans="1:6" ht="18" customHeight="1">
      <c r="A108" s="409">
        <v>103</v>
      </c>
      <c r="B108" s="521">
        <f t="shared" si="8"/>
        <v>1331.9999999999998</v>
      </c>
      <c r="C108" s="521">
        <f t="shared" si="9"/>
        <v>1286.6999999999989</v>
      </c>
      <c r="D108" s="522">
        <f t="shared" si="10"/>
        <v>2140.4999999999982</v>
      </c>
      <c r="E108" s="521">
        <f t="shared" si="11"/>
        <v>1886.8999999999996</v>
      </c>
      <c r="F108" s="478"/>
    </row>
    <row r="109" spans="1:6" ht="18" customHeight="1">
      <c r="A109" s="409">
        <v>104</v>
      </c>
      <c r="B109" s="521">
        <f t="shared" si="8"/>
        <v>1343.9999999999998</v>
      </c>
      <c r="C109" s="521">
        <f t="shared" si="9"/>
        <v>1298.2999999999988</v>
      </c>
      <c r="D109" s="522">
        <f t="shared" si="10"/>
        <v>2159.7999999999984</v>
      </c>
      <c r="E109" s="521">
        <f t="shared" si="11"/>
        <v>1903.8999999999996</v>
      </c>
      <c r="F109" s="478"/>
    </row>
    <row r="110" spans="1:6" ht="18" customHeight="1">
      <c r="A110" s="409">
        <v>105</v>
      </c>
      <c r="B110" s="521">
        <f t="shared" si="8"/>
        <v>1355.9999999999998</v>
      </c>
      <c r="C110" s="521">
        <f t="shared" si="9"/>
        <v>1309.8999999999987</v>
      </c>
      <c r="D110" s="522">
        <f t="shared" si="10"/>
        <v>2179.0999999999985</v>
      </c>
      <c r="E110" s="521">
        <f t="shared" si="11"/>
        <v>1920.8999999999996</v>
      </c>
      <c r="F110" s="478"/>
    </row>
    <row r="111" spans="1:6" ht="18" customHeight="1">
      <c r="A111" s="409">
        <v>106</v>
      </c>
      <c r="B111" s="521">
        <f t="shared" si="8"/>
        <v>1367.9999999999998</v>
      </c>
      <c r="C111" s="521">
        <f t="shared" si="9"/>
        <v>1321.4999999999986</v>
      </c>
      <c r="D111" s="522">
        <f t="shared" si="10"/>
        <v>2198.3999999999987</v>
      </c>
      <c r="E111" s="521">
        <f t="shared" si="11"/>
        <v>1937.8999999999996</v>
      </c>
      <c r="F111" s="478"/>
    </row>
    <row r="112" spans="1:6" ht="18" customHeight="1">
      <c r="A112" s="409">
        <v>107</v>
      </c>
      <c r="B112" s="521">
        <f t="shared" si="8"/>
        <v>1379.9999999999998</v>
      </c>
      <c r="C112" s="521">
        <f t="shared" si="9"/>
        <v>1333.0999999999985</v>
      </c>
      <c r="D112" s="522">
        <f t="shared" si="10"/>
        <v>2217.6999999999989</v>
      </c>
      <c r="E112" s="521">
        <f t="shared" si="11"/>
        <v>1954.8999999999996</v>
      </c>
      <c r="F112" s="478"/>
    </row>
    <row r="113" spans="1:6" ht="18" customHeight="1">
      <c r="A113" s="409">
        <v>108</v>
      </c>
      <c r="B113" s="521">
        <f t="shared" si="8"/>
        <v>1391.9999999999998</v>
      </c>
      <c r="C113" s="521">
        <f t="shared" si="9"/>
        <v>1344.6999999999985</v>
      </c>
      <c r="D113" s="522">
        <f t="shared" si="10"/>
        <v>2236.9999999999991</v>
      </c>
      <c r="E113" s="521">
        <f t="shared" si="11"/>
        <v>1971.8999999999996</v>
      </c>
      <c r="F113" s="478"/>
    </row>
    <row r="114" spans="1:6" ht="18" customHeight="1">
      <c r="A114" s="409">
        <v>109</v>
      </c>
      <c r="B114" s="521">
        <f t="shared" si="8"/>
        <v>1403.9999999999998</v>
      </c>
      <c r="C114" s="521">
        <f t="shared" si="9"/>
        <v>1356.2999999999984</v>
      </c>
      <c r="D114" s="522">
        <f t="shared" si="10"/>
        <v>2256.2999999999993</v>
      </c>
      <c r="E114" s="521">
        <f t="shared" si="11"/>
        <v>1988.8999999999996</v>
      </c>
      <c r="F114" s="478"/>
    </row>
    <row r="115" spans="1:6" ht="18" customHeight="1">
      <c r="A115" s="409">
        <v>110</v>
      </c>
      <c r="B115" s="521">
        <f t="shared" si="8"/>
        <v>1415.9999999999998</v>
      </c>
      <c r="C115" s="521">
        <f t="shared" si="9"/>
        <v>1367.8999999999983</v>
      </c>
      <c r="D115" s="522">
        <f t="shared" si="10"/>
        <v>2275.5999999999995</v>
      </c>
      <c r="E115" s="521">
        <f t="shared" si="11"/>
        <v>2005.8999999999996</v>
      </c>
      <c r="F115" s="478"/>
    </row>
    <row r="116" spans="1:6" ht="18" customHeight="1">
      <c r="A116" s="409">
        <v>111</v>
      </c>
      <c r="B116" s="521">
        <f t="shared" si="8"/>
        <v>1427.9999999999998</v>
      </c>
      <c r="C116" s="521">
        <f t="shared" si="9"/>
        <v>1379.4999999999982</v>
      </c>
      <c r="D116" s="522">
        <f t="shared" si="10"/>
        <v>2294.8999999999996</v>
      </c>
      <c r="E116" s="521">
        <f t="shared" si="11"/>
        <v>2022.8999999999996</v>
      </c>
      <c r="F116" s="478"/>
    </row>
    <row r="117" spans="1:6" ht="18" customHeight="1">
      <c r="A117" s="409">
        <v>112</v>
      </c>
      <c r="B117" s="521">
        <f t="shared" si="8"/>
        <v>1439.9999999999998</v>
      </c>
      <c r="C117" s="521">
        <f t="shared" si="9"/>
        <v>1391.0999999999981</v>
      </c>
      <c r="D117" s="522">
        <f t="shared" si="10"/>
        <v>2314.1999999999998</v>
      </c>
      <c r="E117" s="521">
        <f t="shared" si="11"/>
        <v>2039.8999999999996</v>
      </c>
      <c r="F117" s="478"/>
    </row>
    <row r="118" spans="1:6" ht="18" customHeight="1">
      <c r="A118" s="409">
        <v>113</v>
      </c>
      <c r="B118" s="521">
        <f t="shared" si="8"/>
        <v>1451.9999999999998</v>
      </c>
      <c r="C118" s="521">
        <f t="shared" si="9"/>
        <v>1402.699999999998</v>
      </c>
      <c r="D118" s="522">
        <f t="shared" si="10"/>
        <v>2333.5</v>
      </c>
      <c r="E118" s="521">
        <f t="shared" si="11"/>
        <v>2056.8999999999996</v>
      </c>
      <c r="F118" s="478"/>
    </row>
    <row r="119" spans="1:6" ht="18" customHeight="1">
      <c r="A119" s="409">
        <v>114</v>
      </c>
      <c r="B119" s="521">
        <f t="shared" si="8"/>
        <v>1463.9999999999998</v>
      </c>
      <c r="C119" s="521">
        <f t="shared" si="9"/>
        <v>1414.2999999999979</v>
      </c>
      <c r="D119" s="522">
        <f t="shared" si="10"/>
        <v>2352.8000000000002</v>
      </c>
      <c r="E119" s="521">
        <f t="shared" si="11"/>
        <v>2073.8999999999996</v>
      </c>
      <c r="F119" s="478"/>
    </row>
    <row r="120" spans="1:6" ht="18" customHeight="1">
      <c r="A120" s="409">
        <v>115</v>
      </c>
      <c r="B120" s="521">
        <f t="shared" si="8"/>
        <v>1475.9999999999998</v>
      </c>
      <c r="C120" s="521">
        <f t="shared" si="9"/>
        <v>1425.8999999999978</v>
      </c>
      <c r="D120" s="522">
        <f t="shared" si="10"/>
        <v>2372.1000000000004</v>
      </c>
      <c r="E120" s="521">
        <f t="shared" si="11"/>
        <v>2090.8999999999996</v>
      </c>
      <c r="F120" s="478"/>
    </row>
    <row r="121" spans="1:6" ht="18" customHeight="1">
      <c r="A121" s="409">
        <v>116</v>
      </c>
      <c r="B121" s="521">
        <f t="shared" si="8"/>
        <v>1487.9999999999998</v>
      </c>
      <c r="C121" s="521">
        <f t="shared" si="9"/>
        <v>1437.4999999999977</v>
      </c>
      <c r="D121" s="522">
        <f t="shared" si="10"/>
        <v>2391.4000000000005</v>
      </c>
      <c r="E121" s="521">
        <f t="shared" si="11"/>
        <v>2107.8999999999996</v>
      </c>
      <c r="F121" s="478"/>
    </row>
    <row r="122" spans="1:6" ht="18" customHeight="1">
      <c r="A122" s="409">
        <v>117</v>
      </c>
      <c r="B122" s="521">
        <f t="shared" si="8"/>
        <v>1499.9999999999998</v>
      </c>
      <c r="C122" s="521">
        <f t="shared" si="9"/>
        <v>1449.0999999999976</v>
      </c>
      <c r="D122" s="522">
        <f t="shared" si="10"/>
        <v>2410.7000000000007</v>
      </c>
      <c r="E122" s="521">
        <f t="shared" si="11"/>
        <v>2124.8999999999996</v>
      </c>
      <c r="F122" s="478"/>
    </row>
    <row r="123" spans="1:6" ht="18" customHeight="1">
      <c r="A123" s="409">
        <v>118</v>
      </c>
      <c r="B123" s="521">
        <f t="shared" si="8"/>
        <v>1511.9999999999998</v>
      </c>
      <c r="C123" s="521">
        <f t="shared" si="9"/>
        <v>1460.6999999999975</v>
      </c>
      <c r="D123" s="522">
        <f t="shared" si="10"/>
        <v>2430.0000000000009</v>
      </c>
      <c r="E123" s="521">
        <f t="shared" si="11"/>
        <v>2141.8999999999996</v>
      </c>
      <c r="F123" s="478"/>
    </row>
    <row r="124" spans="1:6" ht="18" customHeight="1">
      <c r="A124" s="409">
        <v>119</v>
      </c>
      <c r="B124" s="521">
        <f t="shared" si="8"/>
        <v>1523.9999999999998</v>
      </c>
      <c r="C124" s="521">
        <f t="shared" si="9"/>
        <v>1472.2999999999975</v>
      </c>
      <c r="D124" s="522">
        <f t="shared" si="10"/>
        <v>2449.3000000000011</v>
      </c>
      <c r="E124" s="521">
        <f t="shared" si="11"/>
        <v>2158.8999999999996</v>
      </c>
      <c r="F124" s="478"/>
    </row>
    <row r="125" spans="1:6" ht="18" customHeight="1">
      <c r="A125" s="409">
        <v>120</v>
      </c>
      <c r="B125" s="521">
        <f t="shared" si="8"/>
        <v>1535.9999999999998</v>
      </c>
      <c r="C125" s="521">
        <f t="shared" si="9"/>
        <v>1483.8999999999974</v>
      </c>
      <c r="D125" s="522">
        <f t="shared" si="10"/>
        <v>2468.6000000000013</v>
      </c>
      <c r="E125" s="521">
        <f t="shared" si="11"/>
        <v>2175.8999999999996</v>
      </c>
      <c r="F125" s="478"/>
    </row>
    <row r="126" spans="1:6" ht="18" customHeight="1">
      <c r="A126" s="409">
        <v>121</v>
      </c>
      <c r="B126" s="521">
        <f t="shared" si="8"/>
        <v>1547.9999999999998</v>
      </c>
      <c r="C126" s="521">
        <f t="shared" si="9"/>
        <v>1495.4999999999973</v>
      </c>
      <c r="D126" s="522">
        <f t="shared" si="10"/>
        <v>2487.9000000000015</v>
      </c>
      <c r="E126" s="521">
        <f t="shared" si="11"/>
        <v>2192.8999999999996</v>
      </c>
      <c r="F126" s="478"/>
    </row>
    <row r="127" spans="1:6" ht="18" customHeight="1">
      <c r="A127" s="409">
        <v>122</v>
      </c>
      <c r="B127" s="521">
        <f t="shared" si="8"/>
        <v>1559.9999999999998</v>
      </c>
      <c r="C127" s="521">
        <f t="shared" si="9"/>
        <v>1507.0999999999972</v>
      </c>
      <c r="D127" s="522">
        <f t="shared" si="10"/>
        <v>2507.2000000000016</v>
      </c>
      <c r="E127" s="521">
        <f t="shared" si="11"/>
        <v>2209.8999999999996</v>
      </c>
      <c r="F127" s="478"/>
    </row>
    <row r="128" spans="1:6" ht="18" customHeight="1">
      <c r="A128" s="409">
        <v>123</v>
      </c>
      <c r="B128" s="521">
        <f t="shared" si="8"/>
        <v>1571.9999999999998</v>
      </c>
      <c r="C128" s="521">
        <f t="shared" si="9"/>
        <v>1518.6999999999971</v>
      </c>
      <c r="D128" s="522">
        <f t="shared" si="10"/>
        <v>2526.5000000000018</v>
      </c>
      <c r="E128" s="521">
        <f t="shared" si="11"/>
        <v>2226.8999999999996</v>
      </c>
      <c r="F128" s="478"/>
    </row>
    <row r="129" spans="1:6" ht="18" customHeight="1">
      <c r="A129" s="409">
        <v>124</v>
      </c>
      <c r="B129" s="521">
        <f t="shared" si="8"/>
        <v>1583.9999999999998</v>
      </c>
      <c r="C129" s="521">
        <f t="shared" si="9"/>
        <v>1530.299999999997</v>
      </c>
      <c r="D129" s="522">
        <f t="shared" si="10"/>
        <v>2545.800000000002</v>
      </c>
      <c r="E129" s="521">
        <f t="shared" si="11"/>
        <v>2243.8999999999996</v>
      </c>
      <c r="F129" s="478"/>
    </row>
    <row r="130" spans="1:6" ht="18" customHeight="1">
      <c r="A130" s="409">
        <v>125</v>
      </c>
      <c r="B130" s="521">
        <f t="shared" si="8"/>
        <v>1595.9999999999998</v>
      </c>
      <c r="C130" s="521">
        <f t="shared" si="9"/>
        <v>1541.8999999999969</v>
      </c>
      <c r="D130" s="522">
        <f t="shared" si="10"/>
        <v>2565.1000000000022</v>
      </c>
      <c r="E130" s="521">
        <f t="shared" si="11"/>
        <v>2260.8999999999996</v>
      </c>
      <c r="F130" s="478"/>
    </row>
    <row r="131" spans="1:6" ht="18" customHeight="1">
      <c r="A131" s="409">
        <v>126</v>
      </c>
      <c r="B131" s="521">
        <f t="shared" si="8"/>
        <v>1607.9999999999998</v>
      </c>
      <c r="C131" s="521">
        <f t="shared" si="9"/>
        <v>1553.4999999999968</v>
      </c>
      <c r="D131" s="522">
        <f t="shared" si="10"/>
        <v>2584.4000000000024</v>
      </c>
      <c r="E131" s="521">
        <f t="shared" si="11"/>
        <v>2277.8999999999996</v>
      </c>
      <c r="F131" s="478"/>
    </row>
    <row r="132" spans="1:6" ht="18" customHeight="1">
      <c r="A132" s="409">
        <v>127</v>
      </c>
      <c r="B132" s="521">
        <f t="shared" si="8"/>
        <v>1619.9999999999998</v>
      </c>
      <c r="C132" s="521">
        <f t="shared" si="9"/>
        <v>1565.0999999999967</v>
      </c>
      <c r="D132" s="522">
        <f t="shared" si="10"/>
        <v>2603.7000000000025</v>
      </c>
      <c r="E132" s="521">
        <f t="shared" si="11"/>
        <v>2294.8999999999996</v>
      </c>
      <c r="F132" s="478"/>
    </row>
    <row r="133" spans="1:6" ht="18" customHeight="1">
      <c r="A133" s="409">
        <v>128</v>
      </c>
      <c r="B133" s="521">
        <f t="shared" si="8"/>
        <v>1631.9999999999998</v>
      </c>
      <c r="C133" s="521">
        <f t="shared" si="9"/>
        <v>1576.6999999999966</v>
      </c>
      <c r="D133" s="522">
        <f t="shared" si="10"/>
        <v>2623.0000000000027</v>
      </c>
      <c r="E133" s="521">
        <f t="shared" si="11"/>
        <v>2311.8999999999996</v>
      </c>
      <c r="F133" s="478"/>
    </row>
    <row r="134" spans="1:6" ht="18" customHeight="1">
      <c r="A134" s="409">
        <v>129</v>
      </c>
      <c r="B134" s="521">
        <f t="shared" si="8"/>
        <v>1643.9999999999998</v>
      </c>
      <c r="C134" s="521">
        <f t="shared" si="9"/>
        <v>1588.2999999999965</v>
      </c>
      <c r="D134" s="522">
        <f t="shared" si="10"/>
        <v>2642.3000000000029</v>
      </c>
      <c r="E134" s="521">
        <f t="shared" si="11"/>
        <v>2328.8999999999996</v>
      </c>
      <c r="F134" s="478"/>
    </row>
    <row r="135" spans="1:6" ht="18" customHeight="1">
      <c r="A135" s="409">
        <v>130</v>
      </c>
      <c r="B135" s="521">
        <f t="shared" si="8"/>
        <v>1655.9999999999998</v>
      </c>
      <c r="C135" s="521">
        <f t="shared" si="9"/>
        <v>1599.8999999999965</v>
      </c>
      <c r="D135" s="522">
        <f t="shared" si="10"/>
        <v>2661.6000000000031</v>
      </c>
      <c r="E135" s="521">
        <f t="shared" si="11"/>
        <v>2345.8999999999996</v>
      </c>
      <c r="F135" s="478"/>
    </row>
    <row r="136" spans="1:6" ht="18" customHeight="1">
      <c r="A136" s="409">
        <v>131</v>
      </c>
      <c r="B136" s="521">
        <f t="shared" si="8"/>
        <v>1667.9999999999998</v>
      </c>
      <c r="C136" s="521">
        <f t="shared" si="9"/>
        <v>1611.4999999999964</v>
      </c>
      <c r="D136" s="522">
        <f t="shared" si="10"/>
        <v>2680.9000000000033</v>
      </c>
      <c r="E136" s="521">
        <f t="shared" si="11"/>
        <v>2362.8999999999996</v>
      </c>
      <c r="F136" s="478"/>
    </row>
    <row r="137" spans="1:6" ht="18" customHeight="1">
      <c r="A137" s="409">
        <v>132</v>
      </c>
      <c r="B137" s="521">
        <f t="shared" si="8"/>
        <v>1679.9999999999998</v>
      </c>
      <c r="C137" s="521">
        <f t="shared" si="9"/>
        <v>1623.0999999999963</v>
      </c>
      <c r="D137" s="522">
        <f t="shared" si="10"/>
        <v>2700.2000000000035</v>
      </c>
      <c r="E137" s="521">
        <f t="shared" si="11"/>
        <v>2379.8999999999996</v>
      </c>
      <c r="F137" s="478"/>
    </row>
    <row r="138" spans="1:6" ht="18" customHeight="1">
      <c r="A138" s="409">
        <v>133</v>
      </c>
      <c r="B138" s="521">
        <f t="shared" si="8"/>
        <v>1691.9999999999998</v>
      </c>
      <c r="C138" s="521">
        <f t="shared" si="9"/>
        <v>1634.6999999999962</v>
      </c>
      <c r="D138" s="522">
        <f t="shared" si="10"/>
        <v>2719.5000000000036</v>
      </c>
      <c r="E138" s="521">
        <f t="shared" si="11"/>
        <v>2396.8999999999996</v>
      </c>
      <c r="F138" s="478"/>
    </row>
    <row r="139" spans="1:6" ht="18" customHeight="1">
      <c r="A139" s="409">
        <v>134</v>
      </c>
      <c r="B139" s="521">
        <f t="shared" si="8"/>
        <v>1703.9999999999998</v>
      </c>
      <c r="C139" s="521">
        <f t="shared" si="9"/>
        <v>1646.2999999999961</v>
      </c>
      <c r="D139" s="522">
        <f t="shared" si="10"/>
        <v>2738.8000000000038</v>
      </c>
      <c r="E139" s="521">
        <f t="shared" si="11"/>
        <v>2413.8999999999996</v>
      </c>
      <c r="F139" s="478"/>
    </row>
    <row r="140" spans="1:6" ht="18" customHeight="1">
      <c r="A140" s="414">
        <v>135</v>
      </c>
      <c r="B140" s="521">
        <f t="shared" si="8"/>
        <v>1715.9999999999998</v>
      </c>
      <c r="C140" s="521">
        <f t="shared" si="9"/>
        <v>1657.899999999996</v>
      </c>
      <c r="D140" s="522">
        <f t="shared" si="10"/>
        <v>2758.100000000004</v>
      </c>
      <c r="E140" s="521">
        <f t="shared" si="11"/>
        <v>2430.8999999999996</v>
      </c>
      <c r="F140" s="478"/>
    </row>
    <row r="141" spans="1:6" ht="18" customHeight="1">
      <c r="A141" s="409">
        <v>136</v>
      </c>
      <c r="B141" s="521">
        <f t="shared" si="8"/>
        <v>1727.9999999999998</v>
      </c>
      <c r="C141" s="521">
        <f t="shared" si="9"/>
        <v>1669.4999999999959</v>
      </c>
      <c r="D141" s="522">
        <f t="shared" si="10"/>
        <v>2777.4000000000042</v>
      </c>
      <c r="E141" s="521">
        <f t="shared" si="11"/>
        <v>2447.8999999999996</v>
      </c>
      <c r="F141" s="478"/>
    </row>
    <row r="142" spans="1:6" ht="18" customHeight="1">
      <c r="A142" s="409">
        <v>137</v>
      </c>
      <c r="B142" s="521">
        <f t="shared" si="8"/>
        <v>1739.9999999999998</v>
      </c>
      <c r="C142" s="521">
        <f t="shared" si="9"/>
        <v>1681.0999999999958</v>
      </c>
      <c r="D142" s="522">
        <f t="shared" si="10"/>
        <v>2796.7000000000044</v>
      </c>
      <c r="E142" s="521">
        <f t="shared" si="11"/>
        <v>2464.8999999999996</v>
      </c>
      <c r="F142" s="478"/>
    </row>
    <row r="143" spans="1:6" ht="18" customHeight="1">
      <c r="A143" s="409">
        <v>138</v>
      </c>
      <c r="B143" s="521">
        <f t="shared" si="8"/>
        <v>1751.9999999999998</v>
      </c>
      <c r="C143" s="521">
        <f t="shared" si="9"/>
        <v>1692.6999999999957</v>
      </c>
      <c r="D143" s="522">
        <f t="shared" si="10"/>
        <v>2816.0000000000045</v>
      </c>
      <c r="E143" s="521">
        <f t="shared" si="11"/>
        <v>2481.8999999999996</v>
      </c>
      <c r="F143" s="478"/>
    </row>
    <row r="144" spans="1:6" ht="18" customHeight="1">
      <c r="A144" s="409">
        <v>139</v>
      </c>
      <c r="B144" s="521">
        <f t="shared" si="8"/>
        <v>1763.9999999999998</v>
      </c>
      <c r="C144" s="521">
        <f t="shared" si="9"/>
        <v>1704.2999999999956</v>
      </c>
      <c r="D144" s="522">
        <f t="shared" si="10"/>
        <v>2835.3000000000047</v>
      </c>
      <c r="E144" s="521">
        <f t="shared" si="11"/>
        <v>2498.8999999999996</v>
      </c>
      <c r="F144" s="478"/>
    </row>
    <row r="145" spans="1:6" ht="18" customHeight="1">
      <c r="A145" s="409">
        <v>140</v>
      </c>
      <c r="B145" s="521">
        <f t="shared" si="8"/>
        <v>1775.9999999999998</v>
      </c>
      <c r="C145" s="521">
        <f t="shared" si="9"/>
        <v>1715.8999999999955</v>
      </c>
      <c r="D145" s="522">
        <f t="shared" si="10"/>
        <v>2854.6000000000049</v>
      </c>
      <c r="E145" s="521">
        <f t="shared" si="11"/>
        <v>2515.8999999999996</v>
      </c>
      <c r="F145" s="478"/>
    </row>
    <row r="146" spans="1:6" ht="18" customHeight="1">
      <c r="A146" s="409">
        <v>141</v>
      </c>
      <c r="B146" s="521">
        <f t="shared" si="8"/>
        <v>1787.9999999999998</v>
      </c>
      <c r="C146" s="521">
        <f t="shared" si="9"/>
        <v>1727.4999999999955</v>
      </c>
      <c r="D146" s="522">
        <f t="shared" si="10"/>
        <v>2873.9000000000051</v>
      </c>
      <c r="E146" s="521">
        <f t="shared" si="11"/>
        <v>2532.8999999999996</v>
      </c>
      <c r="F146" s="478"/>
    </row>
    <row r="147" spans="1:6" ht="18" customHeight="1">
      <c r="A147" s="409">
        <v>142</v>
      </c>
      <c r="B147" s="521">
        <f t="shared" si="8"/>
        <v>1799.9999999999998</v>
      </c>
      <c r="C147" s="521">
        <f t="shared" si="9"/>
        <v>1739.0999999999954</v>
      </c>
      <c r="D147" s="522">
        <f t="shared" si="10"/>
        <v>2893.2000000000053</v>
      </c>
      <c r="E147" s="521">
        <f t="shared" si="11"/>
        <v>2549.8999999999996</v>
      </c>
      <c r="F147" s="478"/>
    </row>
    <row r="148" spans="1:6" ht="18" customHeight="1">
      <c r="A148" s="409">
        <v>143</v>
      </c>
      <c r="B148" s="521">
        <f t="shared" si="8"/>
        <v>1811.9999999999998</v>
      </c>
      <c r="C148" s="521">
        <f t="shared" si="9"/>
        <v>1750.6999999999953</v>
      </c>
      <c r="D148" s="522">
        <f t="shared" si="10"/>
        <v>2912.5000000000055</v>
      </c>
      <c r="E148" s="521">
        <f t="shared" si="11"/>
        <v>2566.8999999999996</v>
      </c>
      <c r="F148" s="478"/>
    </row>
    <row r="149" spans="1:6" ht="18" customHeight="1">
      <c r="A149" s="409">
        <v>144</v>
      </c>
      <c r="B149" s="521">
        <f t="shared" si="8"/>
        <v>1823.9999999999998</v>
      </c>
      <c r="C149" s="521">
        <f t="shared" si="9"/>
        <v>1762.2999999999952</v>
      </c>
      <c r="D149" s="522">
        <f t="shared" si="10"/>
        <v>2931.8000000000056</v>
      </c>
      <c r="E149" s="521">
        <f t="shared" si="11"/>
        <v>2583.8999999999996</v>
      </c>
      <c r="F149" s="478"/>
    </row>
    <row r="150" spans="1:6" ht="18" customHeight="1">
      <c r="A150" s="409">
        <v>145</v>
      </c>
      <c r="B150" s="521">
        <f t="shared" si="8"/>
        <v>1835.9999999999998</v>
      </c>
      <c r="C150" s="521">
        <f t="shared" si="9"/>
        <v>1773.8999999999951</v>
      </c>
      <c r="D150" s="522">
        <f t="shared" si="10"/>
        <v>2951.1000000000058</v>
      </c>
      <c r="E150" s="521">
        <f t="shared" si="11"/>
        <v>2600.8999999999996</v>
      </c>
      <c r="F150" s="478"/>
    </row>
    <row r="151" spans="1:6" ht="18" customHeight="1">
      <c r="A151" s="409">
        <v>146</v>
      </c>
      <c r="B151" s="521">
        <f t="shared" si="8"/>
        <v>1847.9999999999998</v>
      </c>
      <c r="C151" s="521">
        <f t="shared" si="9"/>
        <v>1785.499999999995</v>
      </c>
      <c r="D151" s="522">
        <f t="shared" si="10"/>
        <v>2970.400000000006</v>
      </c>
      <c r="E151" s="521">
        <f t="shared" si="11"/>
        <v>2617.8999999999996</v>
      </c>
      <c r="F151" s="478"/>
    </row>
    <row r="152" spans="1:6" ht="18" customHeight="1">
      <c r="A152" s="409">
        <v>147</v>
      </c>
      <c r="B152" s="521">
        <f t="shared" si="8"/>
        <v>1859.9999999999998</v>
      </c>
      <c r="C152" s="521">
        <f t="shared" si="9"/>
        <v>1797.0999999999949</v>
      </c>
      <c r="D152" s="522">
        <f t="shared" si="10"/>
        <v>2989.7000000000062</v>
      </c>
      <c r="E152" s="521">
        <f t="shared" si="11"/>
        <v>2634.8999999999996</v>
      </c>
      <c r="F152" s="478"/>
    </row>
    <row r="153" spans="1:6" ht="18" customHeight="1">
      <c r="A153" s="409">
        <v>148</v>
      </c>
      <c r="B153" s="521">
        <f t="shared" si="8"/>
        <v>1871.9999999999998</v>
      </c>
      <c r="C153" s="521">
        <f t="shared" si="9"/>
        <v>1808.6999999999948</v>
      </c>
      <c r="D153" s="522">
        <f t="shared" si="10"/>
        <v>3009.0000000000064</v>
      </c>
      <c r="E153" s="521">
        <f t="shared" si="11"/>
        <v>2651.8999999999996</v>
      </c>
      <c r="F153" s="478"/>
    </row>
    <row r="154" spans="1:6" ht="18" customHeight="1">
      <c r="A154" s="409">
        <v>149</v>
      </c>
      <c r="B154" s="521">
        <f t="shared" si="8"/>
        <v>1883.9999999999998</v>
      </c>
      <c r="C154" s="521">
        <f t="shared" si="9"/>
        <v>1820.2999999999947</v>
      </c>
      <c r="D154" s="522">
        <f t="shared" si="10"/>
        <v>3028.3000000000065</v>
      </c>
      <c r="E154" s="521">
        <f t="shared" si="11"/>
        <v>2668.8999999999996</v>
      </c>
      <c r="F154" s="478"/>
    </row>
    <row r="155" spans="1:6" ht="18" customHeight="1">
      <c r="A155" s="409">
        <v>150</v>
      </c>
      <c r="B155" s="521">
        <f t="shared" si="8"/>
        <v>1895.9999999999998</v>
      </c>
      <c r="C155" s="521">
        <f t="shared" si="9"/>
        <v>1831.8999999999946</v>
      </c>
      <c r="D155" s="522">
        <f t="shared" si="10"/>
        <v>3047.6000000000067</v>
      </c>
      <c r="E155" s="521">
        <f t="shared" si="11"/>
        <v>2685.8999999999996</v>
      </c>
      <c r="F155" s="478"/>
    </row>
    <row r="156" spans="1:6" ht="18" customHeight="1">
      <c r="A156" s="409">
        <v>151</v>
      </c>
      <c r="B156" s="521">
        <f t="shared" si="8"/>
        <v>1907.9999999999998</v>
      </c>
      <c r="C156" s="521">
        <f t="shared" si="9"/>
        <v>1843.4999999999945</v>
      </c>
      <c r="D156" s="522">
        <f t="shared" si="10"/>
        <v>3066.9000000000069</v>
      </c>
      <c r="E156" s="521">
        <f t="shared" si="11"/>
        <v>2702.8999999999996</v>
      </c>
      <c r="F156" s="478"/>
    </row>
    <row r="157" spans="1:6" ht="18" customHeight="1">
      <c r="A157" s="409">
        <v>152</v>
      </c>
      <c r="B157" s="521">
        <f t="shared" si="8"/>
        <v>1919.9999999999998</v>
      </c>
      <c r="C157" s="521">
        <f t="shared" si="9"/>
        <v>1855.0999999999945</v>
      </c>
      <c r="D157" s="522">
        <f t="shared" si="10"/>
        <v>3086.2000000000071</v>
      </c>
      <c r="E157" s="521">
        <f t="shared" si="11"/>
        <v>2719.8999999999996</v>
      </c>
      <c r="F157" s="478"/>
    </row>
    <row r="158" spans="1:6" ht="18" customHeight="1">
      <c r="A158" s="409">
        <v>153</v>
      </c>
      <c r="B158" s="521">
        <f t="shared" si="8"/>
        <v>1931.9999999999998</v>
      </c>
      <c r="C158" s="521">
        <f t="shared" si="9"/>
        <v>1866.6999999999944</v>
      </c>
      <c r="D158" s="522">
        <f t="shared" si="10"/>
        <v>3105.5000000000073</v>
      </c>
      <c r="E158" s="521">
        <f t="shared" si="11"/>
        <v>2736.8999999999996</v>
      </c>
      <c r="F158" s="478"/>
    </row>
    <row r="159" spans="1:6" ht="18" customHeight="1">
      <c r="A159" s="409">
        <v>154</v>
      </c>
      <c r="B159" s="521">
        <f t="shared" si="8"/>
        <v>1943.9999999999998</v>
      </c>
      <c r="C159" s="521">
        <f t="shared" si="9"/>
        <v>1878.2999999999943</v>
      </c>
      <c r="D159" s="522">
        <f t="shared" si="10"/>
        <v>3124.8000000000075</v>
      </c>
      <c r="E159" s="521">
        <f t="shared" si="11"/>
        <v>2753.8999999999996</v>
      </c>
      <c r="F159" s="478"/>
    </row>
    <row r="160" spans="1:6" ht="18" customHeight="1">
      <c r="A160" s="409">
        <v>155</v>
      </c>
      <c r="B160" s="521">
        <f t="shared" si="8"/>
        <v>1955.9999999999998</v>
      </c>
      <c r="C160" s="521">
        <f t="shared" si="9"/>
        <v>1889.8999999999942</v>
      </c>
      <c r="D160" s="522">
        <f t="shared" si="10"/>
        <v>3144.1000000000076</v>
      </c>
      <c r="E160" s="521">
        <f t="shared" si="11"/>
        <v>2770.8999999999996</v>
      </c>
      <c r="F160" s="478"/>
    </row>
    <row r="161" spans="1:6" ht="18" customHeight="1">
      <c r="A161" s="409">
        <v>156</v>
      </c>
      <c r="B161" s="521">
        <f t="shared" si="8"/>
        <v>1967.9999999999998</v>
      </c>
      <c r="C161" s="521">
        <f t="shared" si="9"/>
        <v>1901.4999999999941</v>
      </c>
      <c r="D161" s="522">
        <f t="shared" si="10"/>
        <v>3163.4000000000078</v>
      </c>
      <c r="E161" s="521">
        <f t="shared" si="11"/>
        <v>2787.8999999999996</v>
      </c>
      <c r="F161" s="478"/>
    </row>
    <row r="162" spans="1:6" ht="18" customHeight="1">
      <c r="A162" s="409">
        <v>157</v>
      </c>
      <c r="B162" s="521">
        <f t="shared" si="8"/>
        <v>1979.9999999999998</v>
      </c>
      <c r="C162" s="521">
        <f t="shared" si="9"/>
        <v>1913.099999999994</v>
      </c>
      <c r="D162" s="522">
        <f t="shared" si="10"/>
        <v>3182.700000000008</v>
      </c>
      <c r="E162" s="521">
        <f t="shared" si="11"/>
        <v>2804.8999999999996</v>
      </c>
      <c r="F162" s="478"/>
    </row>
    <row r="163" spans="1:6" ht="18" customHeight="1">
      <c r="A163" s="409">
        <v>158</v>
      </c>
      <c r="B163" s="521">
        <f t="shared" si="8"/>
        <v>1991.9999999999998</v>
      </c>
      <c r="C163" s="521">
        <f t="shared" si="9"/>
        <v>1924.6999999999939</v>
      </c>
      <c r="D163" s="522">
        <f t="shared" si="10"/>
        <v>3202.0000000000082</v>
      </c>
      <c r="E163" s="521">
        <f t="shared" si="11"/>
        <v>2821.8999999999996</v>
      </c>
      <c r="F163" s="478"/>
    </row>
    <row r="164" spans="1:6" ht="18" customHeight="1">
      <c r="A164" s="409">
        <v>159</v>
      </c>
      <c r="B164" s="521">
        <f t="shared" si="8"/>
        <v>2003.9999999999998</v>
      </c>
      <c r="C164" s="521">
        <f t="shared" si="9"/>
        <v>1936.2999999999938</v>
      </c>
      <c r="D164" s="522">
        <f t="shared" si="10"/>
        <v>3221.3000000000084</v>
      </c>
      <c r="E164" s="521">
        <f t="shared" si="11"/>
        <v>2838.8999999999996</v>
      </c>
      <c r="F164" s="478"/>
    </row>
    <row r="165" spans="1:6" ht="18" customHeight="1">
      <c r="A165" s="409">
        <v>160</v>
      </c>
      <c r="B165" s="521">
        <f t="shared" ref="B165:B228" si="12">B164+12</f>
        <v>2015.9999999999998</v>
      </c>
      <c r="C165" s="521">
        <f t="shared" ref="C165:C228" si="13">C164+11.6</f>
        <v>1947.8999999999937</v>
      </c>
      <c r="D165" s="522">
        <f t="shared" ref="D165:D228" si="14">D164+19.3</f>
        <v>3240.6000000000085</v>
      </c>
      <c r="E165" s="521">
        <f t="shared" ref="E165:E228" si="15">E164+17</f>
        <v>2855.8999999999996</v>
      </c>
      <c r="F165" s="478"/>
    </row>
    <row r="166" spans="1:6" ht="18" customHeight="1">
      <c r="A166" s="409">
        <v>161</v>
      </c>
      <c r="B166" s="521">
        <f t="shared" si="12"/>
        <v>2027.9999999999998</v>
      </c>
      <c r="C166" s="521">
        <f t="shared" si="13"/>
        <v>1959.4999999999936</v>
      </c>
      <c r="D166" s="522">
        <f t="shared" si="14"/>
        <v>3259.9000000000087</v>
      </c>
      <c r="E166" s="521">
        <f t="shared" si="15"/>
        <v>2872.8999999999996</v>
      </c>
      <c r="F166" s="478"/>
    </row>
    <row r="167" spans="1:6" ht="18" customHeight="1">
      <c r="A167" s="409">
        <v>162</v>
      </c>
      <c r="B167" s="521">
        <f t="shared" si="12"/>
        <v>2039.9999999999998</v>
      </c>
      <c r="C167" s="521">
        <f t="shared" si="13"/>
        <v>1971.0999999999935</v>
      </c>
      <c r="D167" s="522">
        <f t="shared" si="14"/>
        <v>3279.2000000000089</v>
      </c>
      <c r="E167" s="521">
        <f t="shared" si="15"/>
        <v>2889.8999999999996</v>
      </c>
      <c r="F167" s="478"/>
    </row>
    <row r="168" spans="1:6" ht="18" customHeight="1">
      <c r="A168" s="409">
        <v>163</v>
      </c>
      <c r="B168" s="521">
        <f t="shared" si="12"/>
        <v>2052</v>
      </c>
      <c r="C168" s="521">
        <f t="shared" si="13"/>
        <v>1982.6999999999935</v>
      </c>
      <c r="D168" s="522">
        <f t="shared" si="14"/>
        <v>3298.5000000000091</v>
      </c>
      <c r="E168" s="521">
        <f t="shared" si="15"/>
        <v>2906.8999999999996</v>
      </c>
      <c r="F168" s="478"/>
    </row>
    <row r="169" spans="1:6" ht="18" customHeight="1">
      <c r="A169" s="409">
        <v>164</v>
      </c>
      <c r="B169" s="521">
        <f t="shared" si="12"/>
        <v>2064</v>
      </c>
      <c r="C169" s="521">
        <f t="shared" si="13"/>
        <v>1994.2999999999934</v>
      </c>
      <c r="D169" s="522">
        <f t="shared" si="14"/>
        <v>3317.8000000000093</v>
      </c>
      <c r="E169" s="521">
        <f t="shared" si="15"/>
        <v>2923.8999999999996</v>
      </c>
      <c r="F169" s="478"/>
    </row>
    <row r="170" spans="1:6" ht="18" customHeight="1">
      <c r="A170" s="409">
        <v>165</v>
      </c>
      <c r="B170" s="521">
        <f t="shared" si="12"/>
        <v>2076</v>
      </c>
      <c r="C170" s="521">
        <f t="shared" si="13"/>
        <v>2005.8999999999933</v>
      </c>
      <c r="D170" s="522">
        <f t="shared" si="14"/>
        <v>3337.1000000000095</v>
      </c>
      <c r="E170" s="521">
        <f t="shared" si="15"/>
        <v>2940.8999999999996</v>
      </c>
      <c r="F170" s="478"/>
    </row>
    <row r="171" spans="1:6" ht="18" customHeight="1">
      <c r="A171" s="409">
        <v>166</v>
      </c>
      <c r="B171" s="521">
        <f t="shared" si="12"/>
        <v>2088</v>
      </c>
      <c r="C171" s="521">
        <f t="shared" si="13"/>
        <v>2017.4999999999932</v>
      </c>
      <c r="D171" s="522">
        <f t="shared" si="14"/>
        <v>3356.4000000000096</v>
      </c>
      <c r="E171" s="521">
        <f t="shared" si="15"/>
        <v>2957.8999999999996</v>
      </c>
      <c r="F171" s="478"/>
    </row>
    <row r="172" spans="1:6" ht="18" customHeight="1">
      <c r="A172" s="409">
        <v>167</v>
      </c>
      <c r="B172" s="521">
        <f t="shared" si="12"/>
        <v>2100</v>
      </c>
      <c r="C172" s="521">
        <f t="shared" si="13"/>
        <v>2029.0999999999931</v>
      </c>
      <c r="D172" s="522">
        <f t="shared" si="14"/>
        <v>3375.7000000000098</v>
      </c>
      <c r="E172" s="521">
        <f t="shared" si="15"/>
        <v>2974.8999999999996</v>
      </c>
      <c r="F172" s="478"/>
    </row>
    <row r="173" spans="1:6" ht="18" customHeight="1">
      <c r="A173" s="409">
        <v>168</v>
      </c>
      <c r="B173" s="521">
        <f t="shared" si="12"/>
        <v>2112</v>
      </c>
      <c r="C173" s="521">
        <f t="shared" si="13"/>
        <v>2040.699999999993</v>
      </c>
      <c r="D173" s="522">
        <f t="shared" si="14"/>
        <v>3395.00000000001</v>
      </c>
      <c r="E173" s="521">
        <f t="shared" si="15"/>
        <v>2991.8999999999996</v>
      </c>
      <c r="F173" s="478"/>
    </row>
    <row r="174" spans="1:6" ht="18" customHeight="1">
      <c r="A174" s="409">
        <v>169</v>
      </c>
      <c r="B174" s="521">
        <f t="shared" si="12"/>
        <v>2124</v>
      </c>
      <c r="C174" s="521">
        <f t="shared" si="13"/>
        <v>2052.2999999999929</v>
      </c>
      <c r="D174" s="522">
        <f t="shared" si="14"/>
        <v>3414.3000000000102</v>
      </c>
      <c r="E174" s="521">
        <f t="shared" si="15"/>
        <v>3008.8999999999996</v>
      </c>
      <c r="F174" s="478"/>
    </row>
    <row r="175" spans="1:6" ht="18" customHeight="1">
      <c r="A175" s="409">
        <v>170</v>
      </c>
      <c r="B175" s="521">
        <f t="shared" si="12"/>
        <v>2136</v>
      </c>
      <c r="C175" s="521">
        <f t="shared" si="13"/>
        <v>2063.8999999999928</v>
      </c>
      <c r="D175" s="522">
        <f t="shared" si="14"/>
        <v>3433.6000000000104</v>
      </c>
      <c r="E175" s="521">
        <f t="shared" si="15"/>
        <v>3025.8999999999996</v>
      </c>
      <c r="F175" s="478"/>
    </row>
    <row r="176" spans="1:6" ht="18" customHeight="1">
      <c r="A176" s="409">
        <v>171</v>
      </c>
      <c r="B176" s="521">
        <f t="shared" si="12"/>
        <v>2148</v>
      </c>
      <c r="C176" s="521">
        <f t="shared" si="13"/>
        <v>2075.4999999999927</v>
      </c>
      <c r="D176" s="522">
        <f t="shared" si="14"/>
        <v>3452.9000000000106</v>
      </c>
      <c r="E176" s="521">
        <f t="shared" si="15"/>
        <v>3042.8999999999996</v>
      </c>
      <c r="F176" s="478"/>
    </row>
    <row r="177" spans="1:6" ht="18" customHeight="1">
      <c r="A177" s="409">
        <v>172</v>
      </c>
      <c r="B177" s="521">
        <f t="shared" si="12"/>
        <v>2160</v>
      </c>
      <c r="C177" s="521">
        <f t="shared" si="13"/>
        <v>2087.0999999999926</v>
      </c>
      <c r="D177" s="522">
        <f t="shared" si="14"/>
        <v>3472.2000000000107</v>
      </c>
      <c r="E177" s="521">
        <f t="shared" si="15"/>
        <v>3059.8999999999996</v>
      </c>
      <c r="F177" s="478"/>
    </row>
    <row r="178" spans="1:6" ht="18" customHeight="1">
      <c r="A178" s="409">
        <v>173</v>
      </c>
      <c r="B178" s="521">
        <f t="shared" si="12"/>
        <v>2172</v>
      </c>
      <c r="C178" s="521">
        <f t="shared" si="13"/>
        <v>2098.6999999999925</v>
      </c>
      <c r="D178" s="522">
        <f t="shared" si="14"/>
        <v>3491.5000000000109</v>
      </c>
      <c r="E178" s="521">
        <f t="shared" si="15"/>
        <v>3076.8999999999996</v>
      </c>
      <c r="F178" s="478"/>
    </row>
    <row r="179" spans="1:6" ht="18" customHeight="1">
      <c r="A179" s="409">
        <v>174</v>
      </c>
      <c r="B179" s="521">
        <f t="shared" si="12"/>
        <v>2184</v>
      </c>
      <c r="C179" s="521">
        <f t="shared" si="13"/>
        <v>2110.2999999999925</v>
      </c>
      <c r="D179" s="522">
        <f t="shared" si="14"/>
        <v>3510.8000000000111</v>
      </c>
      <c r="E179" s="521">
        <f t="shared" si="15"/>
        <v>3093.8999999999996</v>
      </c>
      <c r="F179" s="478"/>
    </row>
    <row r="180" spans="1:6" ht="18" customHeight="1">
      <c r="A180" s="409">
        <v>175</v>
      </c>
      <c r="B180" s="521">
        <f t="shared" si="12"/>
        <v>2196</v>
      </c>
      <c r="C180" s="521">
        <f t="shared" si="13"/>
        <v>2121.8999999999924</v>
      </c>
      <c r="D180" s="522">
        <f t="shared" si="14"/>
        <v>3530.1000000000113</v>
      </c>
      <c r="E180" s="521">
        <f t="shared" si="15"/>
        <v>3110.8999999999996</v>
      </c>
      <c r="F180" s="478"/>
    </row>
    <row r="181" spans="1:6" ht="18" customHeight="1">
      <c r="A181" s="409">
        <v>176</v>
      </c>
      <c r="B181" s="521">
        <f t="shared" si="12"/>
        <v>2208</v>
      </c>
      <c r="C181" s="521">
        <f t="shared" si="13"/>
        <v>2133.4999999999923</v>
      </c>
      <c r="D181" s="522">
        <f t="shared" si="14"/>
        <v>3549.4000000000115</v>
      </c>
      <c r="E181" s="521">
        <f t="shared" si="15"/>
        <v>3127.8999999999996</v>
      </c>
      <c r="F181" s="478"/>
    </row>
    <row r="182" spans="1:6" ht="18" customHeight="1">
      <c r="A182" s="409">
        <v>177</v>
      </c>
      <c r="B182" s="521">
        <f t="shared" si="12"/>
        <v>2220</v>
      </c>
      <c r="C182" s="521">
        <f t="shared" si="13"/>
        <v>2145.0999999999922</v>
      </c>
      <c r="D182" s="522">
        <f t="shared" si="14"/>
        <v>3568.7000000000116</v>
      </c>
      <c r="E182" s="521">
        <f t="shared" si="15"/>
        <v>3144.8999999999996</v>
      </c>
      <c r="F182" s="478"/>
    </row>
    <row r="183" spans="1:6" ht="18" customHeight="1">
      <c r="A183" s="409">
        <v>178</v>
      </c>
      <c r="B183" s="521">
        <f t="shared" si="12"/>
        <v>2232</v>
      </c>
      <c r="C183" s="521">
        <f t="shared" si="13"/>
        <v>2156.6999999999921</v>
      </c>
      <c r="D183" s="522">
        <f t="shared" si="14"/>
        <v>3588.0000000000118</v>
      </c>
      <c r="E183" s="521">
        <f t="shared" si="15"/>
        <v>3161.8999999999996</v>
      </c>
      <c r="F183" s="478"/>
    </row>
    <row r="184" spans="1:6" ht="18" customHeight="1">
      <c r="A184" s="409">
        <v>179</v>
      </c>
      <c r="B184" s="521">
        <f t="shared" si="12"/>
        <v>2244</v>
      </c>
      <c r="C184" s="521">
        <f t="shared" si="13"/>
        <v>2168.299999999992</v>
      </c>
      <c r="D184" s="522">
        <f t="shared" si="14"/>
        <v>3607.300000000012</v>
      </c>
      <c r="E184" s="521">
        <f t="shared" si="15"/>
        <v>3178.8999999999996</v>
      </c>
      <c r="F184" s="478"/>
    </row>
    <row r="185" spans="1:6" ht="18" customHeight="1">
      <c r="A185" s="409">
        <v>180</v>
      </c>
      <c r="B185" s="521">
        <f t="shared" si="12"/>
        <v>2256</v>
      </c>
      <c r="C185" s="521">
        <f t="shared" si="13"/>
        <v>2179.8999999999919</v>
      </c>
      <c r="D185" s="522">
        <f t="shared" si="14"/>
        <v>3626.6000000000122</v>
      </c>
      <c r="E185" s="521">
        <f t="shared" si="15"/>
        <v>3195.8999999999996</v>
      </c>
      <c r="F185" s="478"/>
    </row>
    <row r="186" spans="1:6" ht="18" customHeight="1">
      <c r="A186" s="409">
        <v>181</v>
      </c>
      <c r="B186" s="521">
        <f t="shared" si="12"/>
        <v>2268</v>
      </c>
      <c r="C186" s="521">
        <f t="shared" si="13"/>
        <v>2191.4999999999918</v>
      </c>
      <c r="D186" s="522">
        <f t="shared" si="14"/>
        <v>3645.9000000000124</v>
      </c>
      <c r="E186" s="521">
        <f t="shared" si="15"/>
        <v>3212.8999999999996</v>
      </c>
      <c r="F186" s="478"/>
    </row>
    <row r="187" spans="1:6" ht="18" customHeight="1">
      <c r="A187" s="409">
        <v>182</v>
      </c>
      <c r="B187" s="521">
        <f t="shared" si="12"/>
        <v>2280</v>
      </c>
      <c r="C187" s="521">
        <f t="shared" si="13"/>
        <v>2203.0999999999917</v>
      </c>
      <c r="D187" s="522">
        <f t="shared" si="14"/>
        <v>3665.2000000000126</v>
      </c>
      <c r="E187" s="521">
        <f t="shared" si="15"/>
        <v>3229.8999999999996</v>
      </c>
      <c r="F187" s="478"/>
    </row>
    <row r="188" spans="1:6" ht="18" customHeight="1">
      <c r="A188" s="409">
        <v>183</v>
      </c>
      <c r="B188" s="521">
        <f t="shared" si="12"/>
        <v>2292</v>
      </c>
      <c r="C188" s="521">
        <f t="shared" si="13"/>
        <v>2214.6999999999916</v>
      </c>
      <c r="D188" s="522">
        <f t="shared" si="14"/>
        <v>3684.5000000000127</v>
      </c>
      <c r="E188" s="521">
        <f t="shared" si="15"/>
        <v>3246.8999999999996</v>
      </c>
      <c r="F188" s="478"/>
    </row>
    <row r="189" spans="1:6" ht="18" customHeight="1">
      <c r="A189" s="409">
        <v>184</v>
      </c>
      <c r="B189" s="521">
        <f t="shared" si="12"/>
        <v>2304</v>
      </c>
      <c r="C189" s="521">
        <f t="shared" si="13"/>
        <v>2226.2999999999915</v>
      </c>
      <c r="D189" s="522">
        <f t="shared" si="14"/>
        <v>3703.8000000000129</v>
      </c>
      <c r="E189" s="521">
        <f t="shared" si="15"/>
        <v>3263.8999999999996</v>
      </c>
      <c r="F189" s="478"/>
    </row>
    <row r="190" spans="1:6" ht="18" customHeight="1">
      <c r="A190" s="409">
        <v>185</v>
      </c>
      <c r="B190" s="521">
        <f t="shared" si="12"/>
        <v>2316</v>
      </c>
      <c r="C190" s="521">
        <f t="shared" si="13"/>
        <v>2237.8999999999915</v>
      </c>
      <c r="D190" s="522">
        <f t="shared" si="14"/>
        <v>3723.1000000000131</v>
      </c>
      <c r="E190" s="521">
        <f t="shared" si="15"/>
        <v>3280.8999999999996</v>
      </c>
      <c r="F190" s="478"/>
    </row>
    <row r="191" spans="1:6" ht="18" customHeight="1">
      <c r="A191" s="409">
        <v>186</v>
      </c>
      <c r="B191" s="521">
        <f t="shared" si="12"/>
        <v>2328</v>
      </c>
      <c r="C191" s="521">
        <f t="shared" si="13"/>
        <v>2249.4999999999914</v>
      </c>
      <c r="D191" s="522">
        <f t="shared" si="14"/>
        <v>3742.4000000000133</v>
      </c>
      <c r="E191" s="521">
        <f t="shared" si="15"/>
        <v>3297.8999999999996</v>
      </c>
      <c r="F191" s="478"/>
    </row>
    <row r="192" spans="1:6" ht="18" customHeight="1">
      <c r="A192" s="409">
        <v>187</v>
      </c>
      <c r="B192" s="521">
        <f t="shared" si="12"/>
        <v>2340</v>
      </c>
      <c r="C192" s="521">
        <f t="shared" si="13"/>
        <v>2261.0999999999913</v>
      </c>
      <c r="D192" s="522">
        <f t="shared" si="14"/>
        <v>3761.7000000000135</v>
      </c>
      <c r="E192" s="521">
        <f t="shared" si="15"/>
        <v>3314.8999999999996</v>
      </c>
      <c r="F192" s="478"/>
    </row>
    <row r="193" spans="1:6" ht="18" customHeight="1">
      <c r="A193" s="409">
        <v>188</v>
      </c>
      <c r="B193" s="521">
        <f t="shared" si="12"/>
        <v>2352</v>
      </c>
      <c r="C193" s="521">
        <f t="shared" si="13"/>
        <v>2272.6999999999912</v>
      </c>
      <c r="D193" s="522">
        <f t="shared" si="14"/>
        <v>3781.0000000000136</v>
      </c>
      <c r="E193" s="521">
        <f t="shared" si="15"/>
        <v>3331.8999999999996</v>
      </c>
      <c r="F193" s="478"/>
    </row>
    <row r="194" spans="1:6" ht="18" customHeight="1">
      <c r="A194" s="409">
        <v>189</v>
      </c>
      <c r="B194" s="521">
        <f t="shared" si="12"/>
        <v>2364</v>
      </c>
      <c r="C194" s="521">
        <f t="shared" si="13"/>
        <v>2284.2999999999911</v>
      </c>
      <c r="D194" s="522">
        <f t="shared" si="14"/>
        <v>3800.3000000000138</v>
      </c>
      <c r="E194" s="521">
        <f t="shared" si="15"/>
        <v>3348.8999999999996</v>
      </c>
      <c r="F194" s="478"/>
    </row>
    <row r="195" spans="1:6" ht="18" customHeight="1">
      <c r="A195" s="409">
        <v>190</v>
      </c>
      <c r="B195" s="521">
        <f t="shared" si="12"/>
        <v>2376</v>
      </c>
      <c r="C195" s="521">
        <f t="shared" si="13"/>
        <v>2295.899999999991</v>
      </c>
      <c r="D195" s="522">
        <f t="shared" si="14"/>
        <v>3819.600000000014</v>
      </c>
      <c r="E195" s="521">
        <f t="shared" si="15"/>
        <v>3365.8999999999996</v>
      </c>
      <c r="F195" s="478"/>
    </row>
    <row r="196" spans="1:6" ht="18" customHeight="1">
      <c r="A196" s="409">
        <v>191</v>
      </c>
      <c r="B196" s="521">
        <f t="shared" si="12"/>
        <v>2388</v>
      </c>
      <c r="C196" s="521">
        <f t="shared" si="13"/>
        <v>2307.4999999999909</v>
      </c>
      <c r="D196" s="522">
        <f t="shared" si="14"/>
        <v>3838.9000000000142</v>
      </c>
      <c r="E196" s="521">
        <f t="shared" si="15"/>
        <v>3382.8999999999996</v>
      </c>
      <c r="F196" s="478"/>
    </row>
    <row r="197" spans="1:6" ht="18" customHeight="1">
      <c r="A197" s="409">
        <v>192</v>
      </c>
      <c r="B197" s="521">
        <f t="shared" si="12"/>
        <v>2400</v>
      </c>
      <c r="C197" s="521">
        <f t="shared" si="13"/>
        <v>2319.0999999999908</v>
      </c>
      <c r="D197" s="522">
        <f t="shared" si="14"/>
        <v>3858.2000000000144</v>
      </c>
      <c r="E197" s="521">
        <f t="shared" si="15"/>
        <v>3399.8999999999996</v>
      </c>
      <c r="F197" s="478"/>
    </row>
    <row r="198" spans="1:6" ht="18" customHeight="1">
      <c r="A198" s="409">
        <v>193</v>
      </c>
      <c r="B198" s="521">
        <f t="shared" si="12"/>
        <v>2412</v>
      </c>
      <c r="C198" s="521">
        <f t="shared" si="13"/>
        <v>2330.6999999999907</v>
      </c>
      <c r="D198" s="522">
        <f t="shared" si="14"/>
        <v>3877.5000000000146</v>
      </c>
      <c r="E198" s="521">
        <f t="shared" si="15"/>
        <v>3416.8999999999996</v>
      </c>
      <c r="F198" s="478"/>
    </row>
    <row r="199" spans="1:6" ht="18" customHeight="1">
      <c r="A199" s="409">
        <v>194</v>
      </c>
      <c r="B199" s="521">
        <f t="shared" si="12"/>
        <v>2424</v>
      </c>
      <c r="C199" s="521">
        <f t="shared" si="13"/>
        <v>2342.2999999999906</v>
      </c>
      <c r="D199" s="522">
        <f t="shared" si="14"/>
        <v>3896.8000000000147</v>
      </c>
      <c r="E199" s="521">
        <f t="shared" si="15"/>
        <v>3433.8999999999996</v>
      </c>
      <c r="F199" s="478"/>
    </row>
    <row r="200" spans="1:6" ht="18" customHeight="1">
      <c r="A200" s="409">
        <v>195</v>
      </c>
      <c r="B200" s="521">
        <f t="shared" si="12"/>
        <v>2436</v>
      </c>
      <c r="C200" s="521">
        <f t="shared" si="13"/>
        <v>2353.8999999999905</v>
      </c>
      <c r="D200" s="522">
        <f t="shared" si="14"/>
        <v>3916.1000000000149</v>
      </c>
      <c r="E200" s="521">
        <f t="shared" si="15"/>
        <v>3450.8999999999996</v>
      </c>
      <c r="F200" s="478"/>
    </row>
    <row r="201" spans="1:6" ht="18" customHeight="1">
      <c r="A201" s="409">
        <v>196</v>
      </c>
      <c r="B201" s="521">
        <f t="shared" si="12"/>
        <v>2448</v>
      </c>
      <c r="C201" s="521">
        <f t="shared" si="13"/>
        <v>2365.4999999999905</v>
      </c>
      <c r="D201" s="522">
        <f t="shared" si="14"/>
        <v>3935.4000000000151</v>
      </c>
      <c r="E201" s="521">
        <f t="shared" si="15"/>
        <v>3467.8999999999996</v>
      </c>
      <c r="F201" s="478"/>
    </row>
    <row r="202" spans="1:6" ht="18" customHeight="1">
      <c r="A202" s="409">
        <v>197</v>
      </c>
      <c r="B202" s="521">
        <f t="shared" si="12"/>
        <v>2460</v>
      </c>
      <c r="C202" s="521">
        <f t="shared" si="13"/>
        <v>2377.0999999999904</v>
      </c>
      <c r="D202" s="522">
        <f t="shared" si="14"/>
        <v>3954.7000000000153</v>
      </c>
      <c r="E202" s="521">
        <f t="shared" si="15"/>
        <v>3484.8999999999996</v>
      </c>
      <c r="F202" s="478"/>
    </row>
    <row r="203" spans="1:6" ht="18" customHeight="1">
      <c r="A203" s="409">
        <v>198</v>
      </c>
      <c r="B203" s="521">
        <f t="shared" si="12"/>
        <v>2472</v>
      </c>
      <c r="C203" s="521">
        <f t="shared" si="13"/>
        <v>2388.6999999999903</v>
      </c>
      <c r="D203" s="522">
        <f t="shared" si="14"/>
        <v>3974.0000000000155</v>
      </c>
      <c r="E203" s="521">
        <f t="shared" si="15"/>
        <v>3501.8999999999996</v>
      </c>
      <c r="F203" s="478"/>
    </row>
    <row r="204" spans="1:6" ht="18" customHeight="1">
      <c r="A204" s="409">
        <v>199</v>
      </c>
      <c r="B204" s="521">
        <f t="shared" si="12"/>
        <v>2484</v>
      </c>
      <c r="C204" s="521">
        <f t="shared" si="13"/>
        <v>2400.2999999999902</v>
      </c>
      <c r="D204" s="522">
        <f t="shared" si="14"/>
        <v>3993.3000000000156</v>
      </c>
      <c r="E204" s="521">
        <f t="shared" si="15"/>
        <v>3518.8999999999996</v>
      </c>
      <c r="F204" s="478"/>
    </row>
    <row r="205" spans="1:6" ht="18" customHeight="1">
      <c r="A205" s="409">
        <v>200</v>
      </c>
      <c r="B205" s="521">
        <f t="shared" si="12"/>
        <v>2496</v>
      </c>
      <c r="C205" s="521">
        <f t="shared" si="13"/>
        <v>2411.8999999999901</v>
      </c>
      <c r="D205" s="522">
        <f t="shared" si="14"/>
        <v>4012.6000000000158</v>
      </c>
      <c r="E205" s="521">
        <f t="shared" si="15"/>
        <v>3535.8999999999996</v>
      </c>
      <c r="F205" s="478"/>
    </row>
    <row r="206" spans="1:6">
      <c r="A206" s="409">
        <v>201</v>
      </c>
      <c r="B206" s="521">
        <f t="shared" si="12"/>
        <v>2508</v>
      </c>
      <c r="C206" s="521">
        <f t="shared" si="13"/>
        <v>2423.49999999999</v>
      </c>
      <c r="D206" s="522">
        <f t="shared" si="14"/>
        <v>4031.900000000016</v>
      </c>
      <c r="E206" s="521">
        <f t="shared" si="15"/>
        <v>3552.8999999999996</v>
      </c>
      <c r="F206" s="478"/>
    </row>
    <row r="207" spans="1:6">
      <c r="A207" s="409">
        <v>202</v>
      </c>
      <c r="B207" s="521">
        <f t="shared" si="12"/>
        <v>2520</v>
      </c>
      <c r="C207" s="521">
        <f t="shared" si="13"/>
        <v>2435.0999999999899</v>
      </c>
      <c r="D207" s="522">
        <f t="shared" si="14"/>
        <v>4051.2000000000162</v>
      </c>
      <c r="E207" s="521">
        <f t="shared" si="15"/>
        <v>3569.8999999999996</v>
      </c>
      <c r="F207" s="478"/>
    </row>
    <row r="208" spans="1:6">
      <c r="A208" s="409">
        <v>203</v>
      </c>
      <c r="B208" s="521">
        <f t="shared" si="12"/>
        <v>2532</v>
      </c>
      <c r="C208" s="521">
        <f t="shared" si="13"/>
        <v>2446.6999999999898</v>
      </c>
      <c r="D208" s="522">
        <f t="shared" si="14"/>
        <v>4070.5000000000164</v>
      </c>
      <c r="E208" s="521">
        <f t="shared" si="15"/>
        <v>3586.8999999999996</v>
      </c>
      <c r="F208" s="478"/>
    </row>
    <row r="209" spans="1:6">
      <c r="A209" s="409">
        <v>204</v>
      </c>
      <c r="B209" s="521">
        <f t="shared" si="12"/>
        <v>2544</v>
      </c>
      <c r="C209" s="521">
        <f t="shared" si="13"/>
        <v>2458.2999999999897</v>
      </c>
      <c r="D209" s="522">
        <f t="shared" si="14"/>
        <v>4089.8000000000166</v>
      </c>
      <c r="E209" s="521">
        <f t="shared" si="15"/>
        <v>3603.8999999999996</v>
      </c>
      <c r="F209" s="478"/>
    </row>
    <row r="210" spans="1:6">
      <c r="A210" s="409">
        <v>205</v>
      </c>
      <c r="B210" s="521">
        <f t="shared" si="12"/>
        <v>2556</v>
      </c>
      <c r="C210" s="521">
        <f t="shared" si="13"/>
        <v>2469.8999999999896</v>
      </c>
      <c r="D210" s="522">
        <f t="shared" si="14"/>
        <v>4109.1000000000167</v>
      </c>
      <c r="E210" s="521">
        <f t="shared" si="15"/>
        <v>3620.8999999999996</v>
      </c>
      <c r="F210" s="478"/>
    </row>
    <row r="211" spans="1:6">
      <c r="A211" s="409">
        <v>206</v>
      </c>
      <c r="B211" s="521">
        <f t="shared" si="12"/>
        <v>2568</v>
      </c>
      <c r="C211" s="521">
        <f t="shared" si="13"/>
        <v>2481.4999999999895</v>
      </c>
      <c r="D211" s="522">
        <f t="shared" si="14"/>
        <v>4128.4000000000169</v>
      </c>
      <c r="E211" s="521">
        <f t="shared" si="15"/>
        <v>3637.8999999999996</v>
      </c>
      <c r="F211" s="478"/>
    </row>
    <row r="212" spans="1:6">
      <c r="A212" s="409">
        <v>207</v>
      </c>
      <c r="B212" s="521">
        <f t="shared" si="12"/>
        <v>2580</v>
      </c>
      <c r="C212" s="521">
        <f t="shared" si="13"/>
        <v>2493.0999999999894</v>
      </c>
      <c r="D212" s="522">
        <f t="shared" si="14"/>
        <v>4147.7000000000171</v>
      </c>
      <c r="E212" s="521">
        <f t="shared" si="15"/>
        <v>3654.8999999999996</v>
      </c>
      <c r="F212" s="478"/>
    </row>
    <row r="213" spans="1:6">
      <c r="A213" s="409">
        <v>208</v>
      </c>
      <c r="B213" s="521">
        <f t="shared" si="12"/>
        <v>2592</v>
      </c>
      <c r="C213" s="521">
        <f t="shared" si="13"/>
        <v>2504.6999999999894</v>
      </c>
      <c r="D213" s="522">
        <f t="shared" si="14"/>
        <v>4167.0000000000173</v>
      </c>
      <c r="E213" s="521">
        <f t="shared" si="15"/>
        <v>3671.8999999999996</v>
      </c>
      <c r="F213" s="478"/>
    </row>
    <row r="214" spans="1:6">
      <c r="A214" s="409">
        <v>209</v>
      </c>
      <c r="B214" s="521">
        <f t="shared" si="12"/>
        <v>2604</v>
      </c>
      <c r="C214" s="521">
        <f t="shared" si="13"/>
        <v>2516.2999999999893</v>
      </c>
      <c r="D214" s="522">
        <f t="shared" si="14"/>
        <v>4186.3000000000175</v>
      </c>
      <c r="E214" s="521">
        <f t="shared" si="15"/>
        <v>3688.8999999999996</v>
      </c>
      <c r="F214" s="478"/>
    </row>
    <row r="215" spans="1:6">
      <c r="A215" s="409">
        <v>210</v>
      </c>
      <c r="B215" s="521">
        <f t="shared" si="12"/>
        <v>2616</v>
      </c>
      <c r="C215" s="521">
        <f t="shared" si="13"/>
        <v>2527.8999999999892</v>
      </c>
      <c r="D215" s="522">
        <f t="shared" si="14"/>
        <v>4205.6000000000176</v>
      </c>
      <c r="E215" s="521">
        <f t="shared" si="15"/>
        <v>3705.8999999999996</v>
      </c>
      <c r="F215" s="478"/>
    </row>
    <row r="216" spans="1:6">
      <c r="A216" s="409">
        <v>211</v>
      </c>
      <c r="B216" s="521">
        <f t="shared" si="12"/>
        <v>2628</v>
      </c>
      <c r="C216" s="521">
        <f t="shared" si="13"/>
        <v>2539.4999999999891</v>
      </c>
      <c r="D216" s="522">
        <f t="shared" si="14"/>
        <v>4224.9000000000178</v>
      </c>
      <c r="E216" s="521">
        <f t="shared" si="15"/>
        <v>3722.8999999999996</v>
      </c>
      <c r="F216" s="478"/>
    </row>
    <row r="217" spans="1:6">
      <c r="A217" s="409">
        <v>212</v>
      </c>
      <c r="B217" s="521">
        <f t="shared" si="12"/>
        <v>2640</v>
      </c>
      <c r="C217" s="521">
        <f t="shared" si="13"/>
        <v>2551.099999999989</v>
      </c>
      <c r="D217" s="522">
        <f t="shared" si="14"/>
        <v>4244.200000000018</v>
      </c>
      <c r="E217" s="521">
        <f t="shared" si="15"/>
        <v>3739.8999999999996</v>
      </c>
      <c r="F217" s="478"/>
    </row>
    <row r="218" spans="1:6">
      <c r="A218" s="409">
        <v>213</v>
      </c>
      <c r="B218" s="521">
        <f t="shared" si="12"/>
        <v>2652</v>
      </c>
      <c r="C218" s="521">
        <f t="shared" si="13"/>
        <v>2562.6999999999889</v>
      </c>
      <c r="D218" s="522">
        <f t="shared" si="14"/>
        <v>4263.5000000000182</v>
      </c>
      <c r="E218" s="521">
        <f t="shared" si="15"/>
        <v>3756.8999999999996</v>
      </c>
      <c r="F218" s="478"/>
    </row>
    <row r="219" spans="1:6">
      <c r="A219" s="409">
        <v>214</v>
      </c>
      <c r="B219" s="521">
        <f t="shared" si="12"/>
        <v>2664</v>
      </c>
      <c r="C219" s="521">
        <f t="shared" si="13"/>
        <v>2574.2999999999888</v>
      </c>
      <c r="D219" s="522">
        <f t="shared" si="14"/>
        <v>4282.8000000000184</v>
      </c>
      <c r="E219" s="521">
        <f t="shared" si="15"/>
        <v>3773.8999999999996</v>
      </c>
      <c r="F219" s="478"/>
    </row>
    <row r="220" spans="1:6">
      <c r="A220" s="409">
        <v>215</v>
      </c>
      <c r="B220" s="521">
        <f t="shared" si="12"/>
        <v>2676</v>
      </c>
      <c r="C220" s="521">
        <f t="shared" si="13"/>
        <v>2585.8999999999887</v>
      </c>
      <c r="D220" s="522">
        <f t="shared" si="14"/>
        <v>4302.1000000000186</v>
      </c>
      <c r="E220" s="521">
        <f t="shared" si="15"/>
        <v>3790.8999999999996</v>
      </c>
      <c r="F220" s="478"/>
    </row>
    <row r="221" spans="1:6">
      <c r="A221" s="409">
        <v>216</v>
      </c>
      <c r="B221" s="521">
        <f t="shared" si="12"/>
        <v>2688</v>
      </c>
      <c r="C221" s="521">
        <f t="shared" si="13"/>
        <v>2597.4999999999886</v>
      </c>
      <c r="D221" s="522">
        <f t="shared" si="14"/>
        <v>4321.4000000000187</v>
      </c>
      <c r="E221" s="521">
        <f t="shared" si="15"/>
        <v>3807.8999999999996</v>
      </c>
    </row>
    <row r="222" spans="1:6">
      <c r="A222" s="409">
        <v>217</v>
      </c>
      <c r="B222" s="521">
        <f t="shared" si="12"/>
        <v>2700</v>
      </c>
      <c r="C222" s="521">
        <f t="shared" si="13"/>
        <v>2609.0999999999885</v>
      </c>
      <c r="D222" s="522">
        <f t="shared" si="14"/>
        <v>4340.7000000000189</v>
      </c>
      <c r="E222" s="521">
        <f t="shared" si="15"/>
        <v>3824.8999999999996</v>
      </c>
    </row>
    <row r="223" spans="1:6">
      <c r="A223" s="409">
        <v>218</v>
      </c>
      <c r="B223" s="521">
        <f t="shared" si="12"/>
        <v>2712</v>
      </c>
      <c r="C223" s="521">
        <f t="shared" si="13"/>
        <v>2620.6999999999884</v>
      </c>
      <c r="D223" s="522">
        <f t="shared" si="14"/>
        <v>4360.0000000000191</v>
      </c>
      <c r="E223" s="521">
        <f t="shared" si="15"/>
        <v>3841.8999999999996</v>
      </c>
    </row>
    <row r="224" spans="1:6">
      <c r="A224" s="409">
        <v>219</v>
      </c>
      <c r="B224" s="521">
        <f t="shared" si="12"/>
        <v>2724</v>
      </c>
      <c r="C224" s="521">
        <f t="shared" si="13"/>
        <v>2632.2999999999884</v>
      </c>
      <c r="D224" s="522">
        <f t="shared" si="14"/>
        <v>4379.3000000000193</v>
      </c>
      <c r="E224" s="521">
        <f t="shared" si="15"/>
        <v>3858.8999999999996</v>
      </c>
    </row>
    <row r="225" spans="1:5">
      <c r="A225" s="409">
        <v>220</v>
      </c>
      <c r="B225" s="521">
        <f t="shared" si="12"/>
        <v>2736</v>
      </c>
      <c r="C225" s="521">
        <f t="shared" si="13"/>
        <v>2643.8999999999883</v>
      </c>
      <c r="D225" s="522">
        <f t="shared" si="14"/>
        <v>4398.6000000000195</v>
      </c>
      <c r="E225" s="521">
        <f t="shared" si="15"/>
        <v>3875.8999999999996</v>
      </c>
    </row>
    <row r="226" spans="1:5">
      <c r="A226" s="409">
        <v>221</v>
      </c>
      <c r="B226" s="521">
        <f t="shared" si="12"/>
        <v>2748</v>
      </c>
      <c r="C226" s="521">
        <f t="shared" si="13"/>
        <v>2655.4999999999882</v>
      </c>
      <c r="D226" s="522">
        <f t="shared" si="14"/>
        <v>4417.9000000000196</v>
      </c>
      <c r="E226" s="521">
        <f t="shared" si="15"/>
        <v>3892.8999999999996</v>
      </c>
    </row>
    <row r="227" spans="1:5">
      <c r="A227" s="409">
        <v>222</v>
      </c>
      <c r="B227" s="521">
        <f t="shared" si="12"/>
        <v>2760</v>
      </c>
      <c r="C227" s="521">
        <f t="shared" si="13"/>
        <v>2667.0999999999881</v>
      </c>
      <c r="D227" s="522">
        <f t="shared" si="14"/>
        <v>4437.2000000000198</v>
      </c>
      <c r="E227" s="521">
        <f t="shared" si="15"/>
        <v>3909.8999999999996</v>
      </c>
    </row>
    <row r="228" spans="1:5">
      <c r="A228" s="409">
        <v>223</v>
      </c>
      <c r="B228" s="521">
        <f t="shared" si="12"/>
        <v>2772</v>
      </c>
      <c r="C228" s="521">
        <f t="shared" si="13"/>
        <v>2678.699999999988</v>
      </c>
      <c r="D228" s="522">
        <f t="shared" si="14"/>
        <v>4456.50000000002</v>
      </c>
      <c r="E228" s="521">
        <f t="shared" si="15"/>
        <v>3926.8999999999996</v>
      </c>
    </row>
    <row r="229" spans="1:5">
      <c r="A229" s="409">
        <v>224</v>
      </c>
      <c r="B229" s="521">
        <f t="shared" ref="B229:B292" si="16">B228+12</f>
        <v>2784</v>
      </c>
      <c r="C229" s="521">
        <f t="shared" ref="C229:C292" si="17">C228+11.6</f>
        <v>2690.2999999999879</v>
      </c>
      <c r="D229" s="522">
        <f t="shared" ref="D229:D292" si="18">D228+19.3</f>
        <v>4475.8000000000202</v>
      </c>
      <c r="E229" s="521">
        <f t="shared" ref="E229:E292" si="19">E228+17</f>
        <v>3943.8999999999996</v>
      </c>
    </row>
    <row r="230" spans="1:5">
      <c r="A230" s="409">
        <v>225</v>
      </c>
      <c r="B230" s="521">
        <f t="shared" si="16"/>
        <v>2796</v>
      </c>
      <c r="C230" s="521">
        <f t="shared" si="17"/>
        <v>2701.8999999999878</v>
      </c>
      <c r="D230" s="522">
        <f t="shared" si="18"/>
        <v>4495.1000000000204</v>
      </c>
      <c r="E230" s="521">
        <f t="shared" si="19"/>
        <v>3960.8999999999996</v>
      </c>
    </row>
    <row r="231" spans="1:5">
      <c r="A231" s="409">
        <v>226</v>
      </c>
      <c r="B231" s="521">
        <f t="shared" si="16"/>
        <v>2808</v>
      </c>
      <c r="C231" s="521">
        <f t="shared" si="17"/>
        <v>2713.4999999999877</v>
      </c>
      <c r="D231" s="522">
        <f t="shared" si="18"/>
        <v>4514.4000000000206</v>
      </c>
      <c r="E231" s="521">
        <f t="shared" si="19"/>
        <v>3977.8999999999996</v>
      </c>
    </row>
    <row r="232" spans="1:5">
      <c r="A232" s="409">
        <v>227</v>
      </c>
      <c r="B232" s="521">
        <f t="shared" si="16"/>
        <v>2820</v>
      </c>
      <c r="C232" s="521">
        <f t="shared" si="17"/>
        <v>2725.0999999999876</v>
      </c>
      <c r="D232" s="522">
        <f t="shared" si="18"/>
        <v>4533.7000000000207</v>
      </c>
      <c r="E232" s="521">
        <f t="shared" si="19"/>
        <v>3994.8999999999996</v>
      </c>
    </row>
    <row r="233" spans="1:5">
      <c r="A233" s="409">
        <v>228</v>
      </c>
      <c r="B233" s="521">
        <f t="shared" si="16"/>
        <v>2832</v>
      </c>
      <c r="C233" s="521">
        <f t="shared" si="17"/>
        <v>2736.6999999999875</v>
      </c>
      <c r="D233" s="522">
        <f t="shared" si="18"/>
        <v>4553.0000000000209</v>
      </c>
      <c r="E233" s="521">
        <f t="shared" si="19"/>
        <v>4011.8999999999996</v>
      </c>
    </row>
    <row r="234" spans="1:5">
      <c r="A234" s="409">
        <v>229</v>
      </c>
      <c r="B234" s="521">
        <f t="shared" si="16"/>
        <v>2844</v>
      </c>
      <c r="C234" s="521">
        <f t="shared" si="17"/>
        <v>2748.2999999999874</v>
      </c>
      <c r="D234" s="522">
        <f t="shared" si="18"/>
        <v>4572.3000000000211</v>
      </c>
      <c r="E234" s="521">
        <f t="shared" si="19"/>
        <v>4028.8999999999996</v>
      </c>
    </row>
    <row r="235" spans="1:5">
      <c r="A235" s="409">
        <v>230</v>
      </c>
      <c r="B235" s="521">
        <f t="shared" si="16"/>
        <v>2856</v>
      </c>
      <c r="C235" s="521">
        <f t="shared" si="17"/>
        <v>2759.8999999999874</v>
      </c>
      <c r="D235" s="522">
        <f t="shared" si="18"/>
        <v>4591.6000000000213</v>
      </c>
      <c r="E235" s="521">
        <f t="shared" si="19"/>
        <v>4045.8999999999996</v>
      </c>
    </row>
    <row r="236" spans="1:5">
      <c r="A236" s="409">
        <v>231</v>
      </c>
      <c r="B236" s="521">
        <f t="shared" si="16"/>
        <v>2868</v>
      </c>
      <c r="C236" s="521">
        <f t="shared" si="17"/>
        <v>2771.4999999999873</v>
      </c>
      <c r="D236" s="522">
        <f t="shared" si="18"/>
        <v>4610.9000000000215</v>
      </c>
      <c r="E236" s="521">
        <f t="shared" si="19"/>
        <v>4062.8999999999996</v>
      </c>
    </row>
    <row r="237" spans="1:5">
      <c r="A237" s="409">
        <v>232</v>
      </c>
      <c r="B237" s="521">
        <f t="shared" si="16"/>
        <v>2880</v>
      </c>
      <c r="C237" s="521">
        <f t="shared" si="17"/>
        <v>2783.0999999999872</v>
      </c>
      <c r="D237" s="522">
        <f t="shared" si="18"/>
        <v>4630.2000000000216</v>
      </c>
      <c r="E237" s="521">
        <f t="shared" si="19"/>
        <v>4079.8999999999996</v>
      </c>
    </row>
    <row r="238" spans="1:5">
      <c r="A238" s="409">
        <v>233</v>
      </c>
      <c r="B238" s="521">
        <f t="shared" si="16"/>
        <v>2892</v>
      </c>
      <c r="C238" s="521">
        <f t="shared" si="17"/>
        <v>2794.6999999999871</v>
      </c>
      <c r="D238" s="522">
        <f t="shared" si="18"/>
        <v>4649.5000000000218</v>
      </c>
      <c r="E238" s="521">
        <f t="shared" si="19"/>
        <v>4096.8999999999996</v>
      </c>
    </row>
    <row r="239" spans="1:5">
      <c r="A239" s="409">
        <v>234</v>
      </c>
      <c r="B239" s="521">
        <f t="shared" si="16"/>
        <v>2904</v>
      </c>
      <c r="C239" s="521">
        <f t="shared" si="17"/>
        <v>2806.299999999987</v>
      </c>
      <c r="D239" s="522">
        <f t="shared" si="18"/>
        <v>4668.800000000022</v>
      </c>
      <c r="E239" s="521">
        <f t="shared" si="19"/>
        <v>4113.8999999999996</v>
      </c>
    </row>
    <row r="240" spans="1:5">
      <c r="A240" s="409">
        <v>235</v>
      </c>
      <c r="B240" s="521">
        <f t="shared" si="16"/>
        <v>2916</v>
      </c>
      <c r="C240" s="521">
        <f t="shared" si="17"/>
        <v>2817.8999999999869</v>
      </c>
      <c r="D240" s="522">
        <f t="shared" si="18"/>
        <v>4688.1000000000222</v>
      </c>
      <c r="E240" s="521">
        <f t="shared" si="19"/>
        <v>4130.8999999999996</v>
      </c>
    </row>
    <row r="241" spans="1:5">
      <c r="A241" s="409">
        <v>236</v>
      </c>
      <c r="B241" s="521">
        <f t="shared" si="16"/>
        <v>2928</v>
      </c>
      <c r="C241" s="521">
        <f t="shared" si="17"/>
        <v>2829.4999999999868</v>
      </c>
      <c r="D241" s="522">
        <f t="shared" si="18"/>
        <v>4707.4000000000224</v>
      </c>
      <c r="E241" s="521">
        <f t="shared" si="19"/>
        <v>4147.8999999999996</v>
      </c>
    </row>
    <row r="242" spans="1:5">
      <c r="A242" s="409">
        <v>237</v>
      </c>
      <c r="B242" s="521">
        <f t="shared" si="16"/>
        <v>2940</v>
      </c>
      <c r="C242" s="521">
        <f t="shared" si="17"/>
        <v>2841.0999999999867</v>
      </c>
      <c r="D242" s="522">
        <f t="shared" si="18"/>
        <v>4726.7000000000226</v>
      </c>
      <c r="E242" s="521">
        <f t="shared" si="19"/>
        <v>4164.8999999999996</v>
      </c>
    </row>
    <row r="243" spans="1:5">
      <c r="A243" s="409">
        <v>238</v>
      </c>
      <c r="B243" s="521">
        <f t="shared" si="16"/>
        <v>2952</v>
      </c>
      <c r="C243" s="521">
        <f t="shared" si="17"/>
        <v>2852.6999999999866</v>
      </c>
      <c r="D243" s="522">
        <f t="shared" si="18"/>
        <v>4746.0000000000227</v>
      </c>
      <c r="E243" s="521">
        <f t="shared" si="19"/>
        <v>4181.8999999999996</v>
      </c>
    </row>
    <row r="244" spans="1:5">
      <c r="A244" s="409">
        <v>239</v>
      </c>
      <c r="B244" s="521">
        <f t="shared" si="16"/>
        <v>2964</v>
      </c>
      <c r="C244" s="521">
        <f t="shared" si="17"/>
        <v>2864.2999999999865</v>
      </c>
      <c r="D244" s="522">
        <f t="shared" si="18"/>
        <v>4765.3000000000229</v>
      </c>
      <c r="E244" s="521">
        <f t="shared" si="19"/>
        <v>4198.8999999999996</v>
      </c>
    </row>
    <row r="245" spans="1:5">
      <c r="A245" s="409">
        <v>240</v>
      </c>
      <c r="B245" s="521">
        <f t="shared" si="16"/>
        <v>2976</v>
      </c>
      <c r="C245" s="521">
        <f t="shared" si="17"/>
        <v>2875.8999999999864</v>
      </c>
      <c r="D245" s="522">
        <f t="shared" si="18"/>
        <v>4784.6000000000231</v>
      </c>
      <c r="E245" s="521">
        <f t="shared" si="19"/>
        <v>4215.8999999999996</v>
      </c>
    </row>
    <row r="246" spans="1:5">
      <c r="A246" s="409">
        <v>241</v>
      </c>
      <c r="B246" s="521">
        <f t="shared" si="16"/>
        <v>2988</v>
      </c>
      <c r="C246" s="521">
        <f t="shared" si="17"/>
        <v>2887.4999999999864</v>
      </c>
      <c r="D246" s="522">
        <f t="shared" si="18"/>
        <v>4803.9000000000233</v>
      </c>
      <c r="E246" s="521">
        <f t="shared" si="19"/>
        <v>4232.8999999999996</v>
      </c>
    </row>
    <row r="247" spans="1:5">
      <c r="A247" s="409">
        <v>242</v>
      </c>
      <c r="B247" s="521">
        <f t="shared" si="16"/>
        <v>3000</v>
      </c>
      <c r="C247" s="521">
        <f t="shared" si="17"/>
        <v>2899.0999999999863</v>
      </c>
      <c r="D247" s="522">
        <f t="shared" si="18"/>
        <v>4823.2000000000235</v>
      </c>
      <c r="E247" s="521">
        <f t="shared" si="19"/>
        <v>4249.8999999999996</v>
      </c>
    </row>
    <row r="248" spans="1:5">
      <c r="A248" s="409">
        <v>243</v>
      </c>
      <c r="B248" s="521">
        <f t="shared" si="16"/>
        <v>3012</v>
      </c>
      <c r="C248" s="521">
        <f t="shared" si="17"/>
        <v>2910.6999999999862</v>
      </c>
      <c r="D248" s="522">
        <f t="shared" si="18"/>
        <v>4842.5000000000236</v>
      </c>
      <c r="E248" s="521">
        <f t="shared" si="19"/>
        <v>4266.8999999999996</v>
      </c>
    </row>
    <row r="249" spans="1:5">
      <c r="A249" s="409">
        <v>244</v>
      </c>
      <c r="B249" s="521">
        <f t="shared" si="16"/>
        <v>3024</v>
      </c>
      <c r="C249" s="521">
        <f t="shared" si="17"/>
        <v>2922.2999999999861</v>
      </c>
      <c r="D249" s="522">
        <f t="shared" si="18"/>
        <v>4861.8000000000238</v>
      </c>
      <c r="E249" s="521">
        <f t="shared" si="19"/>
        <v>4283.8999999999996</v>
      </c>
    </row>
    <row r="250" spans="1:5">
      <c r="A250" s="409">
        <v>245</v>
      </c>
      <c r="B250" s="521">
        <f t="shared" si="16"/>
        <v>3036</v>
      </c>
      <c r="C250" s="521">
        <f t="shared" si="17"/>
        <v>2933.899999999986</v>
      </c>
      <c r="D250" s="522">
        <f t="shared" si="18"/>
        <v>4881.100000000024</v>
      </c>
      <c r="E250" s="521">
        <f t="shared" si="19"/>
        <v>4300.8999999999996</v>
      </c>
    </row>
    <row r="251" spans="1:5">
      <c r="A251" s="409">
        <v>246</v>
      </c>
      <c r="B251" s="521">
        <f t="shared" si="16"/>
        <v>3048</v>
      </c>
      <c r="C251" s="521">
        <f t="shared" si="17"/>
        <v>2945.4999999999859</v>
      </c>
      <c r="D251" s="522">
        <f t="shared" si="18"/>
        <v>4900.4000000000242</v>
      </c>
      <c r="E251" s="521">
        <f t="shared" si="19"/>
        <v>4317.8999999999996</v>
      </c>
    </row>
    <row r="252" spans="1:5">
      <c r="A252" s="409">
        <v>247</v>
      </c>
      <c r="B252" s="521">
        <f t="shared" si="16"/>
        <v>3060</v>
      </c>
      <c r="C252" s="521">
        <f t="shared" si="17"/>
        <v>2957.0999999999858</v>
      </c>
      <c r="D252" s="522">
        <f t="shared" si="18"/>
        <v>4919.7000000000244</v>
      </c>
      <c r="E252" s="521">
        <f t="shared" si="19"/>
        <v>4334.8999999999996</v>
      </c>
    </row>
    <row r="253" spans="1:5">
      <c r="A253" s="409">
        <v>248</v>
      </c>
      <c r="B253" s="521">
        <f t="shared" si="16"/>
        <v>3072</v>
      </c>
      <c r="C253" s="521">
        <f t="shared" si="17"/>
        <v>2968.6999999999857</v>
      </c>
      <c r="D253" s="522">
        <f t="shared" si="18"/>
        <v>4939.0000000000246</v>
      </c>
      <c r="E253" s="521">
        <f t="shared" si="19"/>
        <v>4351.8999999999996</v>
      </c>
    </row>
    <row r="254" spans="1:5">
      <c r="A254" s="409">
        <v>249</v>
      </c>
      <c r="B254" s="521">
        <f t="shared" si="16"/>
        <v>3084</v>
      </c>
      <c r="C254" s="521">
        <f t="shared" si="17"/>
        <v>2980.2999999999856</v>
      </c>
      <c r="D254" s="522">
        <f t="shared" si="18"/>
        <v>4958.3000000000247</v>
      </c>
      <c r="E254" s="521">
        <f t="shared" si="19"/>
        <v>4368.8999999999996</v>
      </c>
    </row>
    <row r="255" spans="1:5">
      <c r="A255" s="409">
        <v>250</v>
      </c>
      <c r="B255" s="521">
        <f t="shared" si="16"/>
        <v>3096</v>
      </c>
      <c r="C255" s="521">
        <f t="shared" si="17"/>
        <v>2991.8999999999855</v>
      </c>
      <c r="D255" s="522">
        <f t="shared" si="18"/>
        <v>4977.6000000000249</v>
      </c>
      <c r="E255" s="521">
        <f t="shared" si="19"/>
        <v>4385.8999999999996</v>
      </c>
    </row>
    <row r="256" spans="1:5">
      <c r="A256" s="409">
        <v>251</v>
      </c>
      <c r="B256" s="521">
        <f t="shared" si="16"/>
        <v>3108</v>
      </c>
      <c r="C256" s="521">
        <f t="shared" si="17"/>
        <v>3003.4999999999854</v>
      </c>
      <c r="D256" s="522">
        <f t="shared" si="18"/>
        <v>4996.9000000000251</v>
      </c>
      <c r="E256" s="521">
        <f t="shared" si="19"/>
        <v>4402.8999999999996</v>
      </c>
    </row>
    <row r="257" spans="1:5">
      <c r="A257" s="409">
        <v>252</v>
      </c>
      <c r="B257" s="521">
        <f t="shared" si="16"/>
        <v>3120</v>
      </c>
      <c r="C257" s="521">
        <f t="shared" si="17"/>
        <v>3015.0999999999854</v>
      </c>
      <c r="D257" s="522">
        <f t="shared" si="18"/>
        <v>5016.2000000000253</v>
      </c>
      <c r="E257" s="521">
        <f t="shared" si="19"/>
        <v>4419.8999999999996</v>
      </c>
    </row>
    <row r="258" spans="1:5">
      <c r="A258" s="409">
        <v>253</v>
      </c>
      <c r="B258" s="521">
        <f t="shared" si="16"/>
        <v>3132</v>
      </c>
      <c r="C258" s="521">
        <f t="shared" si="17"/>
        <v>3026.6999999999853</v>
      </c>
      <c r="D258" s="522">
        <f t="shared" si="18"/>
        <v>5035.5000000000255</v>
      </c>
      <c r="E258" s="521">
        <f t="shared" si="19"/>
        <v>4436.8999999999996</v>
      </c>
    </row>
    <row r="259" spans="1:5">
      <c r="A259" s="409">
        <v>254</v>
      </c>
      <c r="B259" s="521">
        <f t="shared" si="16"/>
        <v>3144</v>
      </c>
      <c r="C259" s="521">
        <f t="shared" si="17"/>
        <v>3038.2999999999852</v>
      </c>
      <c r="D259" s="522">
        <f t="shared" si="18"/>
        <v>5054.8000000000256</v>
      </c>
      <c r="E259" s="521">
        <f t="shared" si="19"/>
        <v>4453.8999999999996</v>
      </c>
    </row>
    <row r="260" spans="1:5">
      <c r="A260" s="409">
        <v>255</v>
      </c>
      <c r="B260" s="521">
        <f t="shared" si="16"/>
        <v>3156</v>
      </c>
      <c r="C260" s="521">
        <f t="shared" si="17"/>
        <v>3049.8999999999851</v>
      </c>
      <c r="D260" s="522">
        <f t="shared" si="18"/>
        <v>5074.1000000000258</v>
      </c>
      <c r="E260" s="521">
        <f t="shared" si="19"/>
        <v>4470.8999999999996</v>
      </c>
    </row>
    <row r="261" spans="1:5">
      <c r="A261" s="409">
        <v>256</v>
      </c>
      <c r="B261" s="521">
        <f t="shared" si="16"/>
        <v>3168</v>
      </c>
      <c r="C261" s="521">
        <f t="shared" si="17"/>
        <v>3061.499999999985</v>
      </c>
      <c r="D261" s="522">
        <f t="shared" si="18"/>
        <v>5093.400000000026</v>
      </c>
      <c r="E261" s="521">
        <f t="shared" si="19"/>
        <v>4487.8999999999996</v>
      </c>
    </row>
    <row r="262" spans="1:5">
      <c r="A262" s="409">
        <v>257</v>
      </c>
      <c r="B262" s="521">
        <f t="shared" si="16"/>
        <v>3180</v>
      </c>
      <c r="C262" s="521">
        <f t="shared" si="17"/>
        <v>3073.0999999999849</v>
      </c>
      <c r="D262" s="522">
        <f t="shared" si="18"/>
        <v>5112.7000000000262</v>
      </c>
      <c r="E262" s="521">
        <f t="shared" si="19"/>
        <v>4504.8999999999996</v>
      </c>
    </row>
    <row r="263" spans="1:5">
      <c r="A263" s="409">
        <v>258</v>
      </c>
      <c r="B263" s="521">
        <f t="shared" si="16"/>
        <v>3192</v>
      </c>
      <c r="C263" s="521">
        <f t="shared" si="17"/>
        <v>3084.6999999999848</v>
      </c>
      <c r="D263" s="522">
        <f t="shared" si="18"/>
        <v>5132.0000000000264</v>
      </c>
      <c r="E263" s="521">
        <f t="shared" si="19"/>
        <v>4521.8999999999996</v>
      </c>
    </row>
    <row r="264" spans="1:5">
      <c r="A264" s="409">
        <v>259</v>
      </c>
      <c r="B264" s="521">
        <f t="shared" si="16"/>
        <v>3204</v>
      </c>
      <c r="C264" s="521">
        <f t="shared" si="17"/>
        <v>3096.2999999999847</v>
      </c>
      <c r="D264" s="522">
        <f t="shared" si="18"/>
        <v>5151.3000000000266</v>
      </c>
      <c r="E264" s="521">
        <f t="shared" si="19"/>
        <v>4538.8999999999996</v>
      </c>
    </row>
    <row r="265" spans="1:5">
      <c r="A265" s="409">
        <v>260</v>
      </c>
      <c r="B265" s="521">
        <f t="shared" si="16"/>
        <v>3216</v>
      </c>
      <c r="C265" s="521">
        <f t="shared" si="17"/>
        <v>3107.8999999999846</v>
      </c>
      <c r="D265" s="522">
        <f t="shared" si="18"/>
        <v>5170.6000000000267</v>
      </c>
      <c r="E265" s="521">
        <f t="shared" si="19"/>
        <v>4555.8999999999996</v>
      </c>
    </row>
    <row r="266" spans="1:5">
      <c r="A266" s="409">
        <v>261</v>
      </c>
      <c r="B266" s="521">
        <f t="shared" si="16"/>
        <v>3228</v>
      </c>
      <c r="C266" s="521">
        <f t="shared" si="17"/>
        <v>3119.4999999999845</v>
      </c>
      <c r="D266" s="522">
        <f t="shared" si="18"/>
        <v>5189.9000000000269</v>
      </c>
      <c r="E266" s="521">
        <f t="shared" si="19"/>
        <v>4572.8999999999996</v>
      </c>
    </row>
    <row r="267" spans="1:5">
      <c r="A267" s="409">
        <v>262</v>
      </c>
      <c r="B267" s="521">
        <f t="shared" si="16"/>
        <v>3240</v>
      </c>
      <c r="C267" s="521">
        <f t="shared" si="17"/>
        <v>3131.0999999999844</v>
      </c>
      <c r="D267" s="522">
        <f t="shared" si="18"/>
        <v>5209.2000000000271</v>
      </c>
      <c r="E267" s="521">
        <f t="shared" si="19"/>
        <v>4589.8999999999996</v>
      </c>
    </row>
    <row r="268" spans="1:5">
      <c r="A268" s="409">
        <v>263</v>
      </c>
      <c r="B268" s="521">
        <f t="shared" si="16"/>
        <v>3252</v>
      </c>
      <c r="C268" s="521">
        <f t="shared" si="17"/>
        <v>3142.6999999999844</v>
      </c>
      <c r="D268" s="522">
        <f t="shared" si="18"/>
        <v>5228.5000000000273</v>
      </c>
      <c r="E268" s="521">
        <f t="shared" si="19"/>
        <v>4606.8999999999996</v>
      </c>
    </row>
    <row r="269" spans="1:5">
      <c r="A269" s="409">
        <v>264</v>
      </c>
      <c r="B269" s="521">
        <f t="shared" si="16"/>
        <v>3264</v>
      </c>
      <c r="C269" s="521">
        <f t="shared" si="17"/>
        <v>3154.2999999999843</v>
      </c>
      <c r="D269" s="522">
        <f t="shared" si="18"/>
        <v>5247.8000000000275</v>
      </c>
      <c r="E269" s="521">
        <f t="shared" si="19"/>
        <v>4623.8999999999996</v>
      </c>
    </row>
    <row r="270" spans="1:5">
      <c r="A270" s="409">
        <v>265</v>
      </c>
      <c r="B270" s="521">
        <f t="shared" si="16"/>
        <v>3276</v>
      </c>
      <c r="C270" s="521">
        <f t="shared" si="17"/>
        <v>3165.8999999999842</v>
      </c>
      <c r="D270" s="522">
        <f t="shared" si="18"/>
        <v>5267.1000000000276</v>
      </c>
      <c r="E270" s="521">
        <f t="shared" si="19"/>
        <v>4640.8999999999996</v>
      </c>
    </row>
    <row r="271" spans="1:5">
      <c r="A271" s="409">
        <v>266</v>
      </c>
      <c r="B271" s="521">
        <f t="shared" si="16"/>
        <v>3288</v>
      </c>
      <c r="C271" s="521">
        <f t="shared" si="17"/>
        <v>3177.4999999999841</v>
      </c>
      <c r="D271" s="522">
        <f t="shared" si="18"/>
        <v>5286.4000000000278</v>
      </c>
      <c r="E271" s="521">
        <f t="shared" si="19"/>
        <v>4657.8999999999996</v>
      </c>
    </row>
    <row r="272" spans="1:5">
      <c r="A272" s="409">
        <v>267</v>
      </c>
      <c r="B272" s="521">
        <f t="shared" si="16"/>
        <v>3300</v>
      </c>
      <c r="C272" s="521">
        <f t="shared" si="17"/>
        <v>3189.099999999984</v>
      </c>
      <c r="D272" s="522">
        <f t="shared" si="18"/>
        <v>5305.700000000028</v>
      </c>
      <c r="E272" s="521">
        <f t="shared" si="19"/>
        <v>4674.8999999999996</v>
      </c>
    </row>
    <row r="273" spans="1:5">
      <c r="A273" s="409">
        <v>268</v>
      </c>
      <c r="B273" s="521">
        <f t="shared" si="16"/>
        <v>3312</v>
      </c>
      <c r="C273" s="521">
        <f t="shared" si="17"/>
        <v>3200.6999999999839</v>
      </c>
      <c r="D273" s="522">
        <f t="shared" si="18"/>
        <v>5325.0000000000282</v>
      </c>
      <c r="E273" s="521">
        <f t="shared" si="19"/>
        <v>4691.8999999999996</v>
      </c>
    </row>
    <row r="274" spans="1:5">
      <c r="A274" s="409">
        <v>269</v>
      </c>
      <c r="B274" s="521">
        <f t="shared" si="16"/>
        <v>3324</v>
      </c>
      <c r="C274" s="521">
        <f t="shared" si="17"/>
        <v>3212.2999999999838</v>
      </c>
      <c r="D274" s="522">
        <f t="shared" si="18"/>
        <v>5344.3000000000284</v>
      </c>
      <c r="E274" s="521">
        <f t="shared" si="19"/>
        <v>4708.8999999999996</v>
      </c>
    </row>
    <row r="275" spans="1:5">
      <c r="A275" s="409">
        <v>270</v>
      </c>
      <c r="B275" s="521">
        <f t="shared" si="16"/>
        <v>3336</v>
      </c>
      <c r="C275" s="521">
        <f t="shared" si="17"/>
        <v>3223.8999999999837</v>
      </c>
      <c r="D275" s="522">
        <f t="shared" si="18"/>
        <v>5363.6000000000286</v>
      </c>
      <c r="E275" s="521">
        <f t="shared" si="19"/>
        <v>4725.8999999999996</v>
      </c>
    </row>
    <row r="276" spans="1:5">
      <c r="A276" s="409">
        <v>271</v>
      </c>
      <c r="B276" s="521">
        <f t="shared" si="16"/>
        <v>3348</v>
      </c>
      <c r="C276" s="521">
        <f t="shared" si="17"/>
        <v>3235.4999999999836</v>
      </c>
      <c r="D276" s="522">
        <f t="shared" si="18"/>
        <v>5382.9000000000287</v>
      </c>
      <c r="E276" s="521">
        <f t="shared" si="19"/>
        <v>4742.8999999999996</v>
      </c>
    </row>
    <row r="277" spans="1:5">
      <c r="A277" s="409">
        <v>272</v>
      </c>
      <c r="B277" s="521">
        <f t="shared" si="16"/>
        <v>3360</v>
      </c>
      <c r="C277" s="521">
        <f t="shared" si="17"/>
        <v>3247.0999999999835</v>
      </c>
      <c r="D277" s="522">
        <f t="shared" si="18"/>
        <v>5402.2000000000289</v>
      </c>
      <c r="E277" s="521">
        <f t="shared" si="19"/>
        <v>4759.8999999999996</v>
      </c>
    </row>
    <row r="278" spans="1:5">
      <c r="A278" s="409">
        <v>273</v>
      </c>
      <c r="B278" s="521">
        <f t="shared" si="16"/>
        <v>3372</v>
      </c>
      <c r="C278" s="521">
        <f t="shared" si="17"/>
        <v>3258.6999999999834</v>
      </c>
      <c r="D278" s="522">
        <f t="shared" si="18"/>
        <v>5421.5000000000291</v>
      </c>
      <c r="E278" s="521">
        <f t="shared" si="19"/>
        <v>4776.8999999999996</v>
      </c>
    </row>
    <row r="279" spans="1:5">
      <c r="A279" s="409">
        <v>274</v>
      </c>
      <c r="B279" s="521">
        <f t="shared" si="16"/>
        <v>3384</v>
      </c>
      <c r="C279" s="521">
        <f t="shared" si="17"/>
        <v>3270.2999999999834</v>
      </c>
      <c r="D279" s="522">
        <f t="shared" si="18"/>
        <v>5440.8000000000293</v>
      </c>
      <c r="E279" s="521">
        <f t="shared" si="19"/>
        <v>4793.8999999999996</v>
      </c>
    </row>
    <row r="280" spans="1:5">
      <c r="A280" s="409">
        <v>275</v>
      </c>
      <c r="B280" s="521">
        <f t="shared" si="16"/>
        <v>3396</v>
      </c>
      <c r="C280" s="521">
        <f t="shared" si="17"/>
        <v>3281.8999999999833</v>
      </c>
      <c r="D280" s="522">
        <f t="shared" si="18"/>
        <v>5460.1000000000295</v>
      </c>
      <c r="E280" s="521">
        <f t="shared" si="19"/>
        <v>4810.8999999999996</v>
      </c>
    </row>
    <row r="281" spans="1:5">
      <c r="A281" s="409">
        <v>276</v>
      </c>
      <c r="B281" s="521">
        <f t="shared" si="16"/>
        <v>3408</v>
      </c>
      <c r="C281" s="521">
        <f t="shared" si="17"/>
        <v>3293.4999999999832</v>
      </c>
      <c r="D281" s="522">
        <f t="shared" si="18"/>
        <v>5479.4000000000296</v>
      </c>
      <c r="E281" s="521">
        <f t="shared" si="19"/>
        <v>4827.8999999999996</v>
      </c>
    </row>
    <row r="282" spans="1:5">
      <c r="A282" s="409">
        <v>277</v>
      </c>
      <c r="B282" s="521">
        <f t="shared" si="16"/>
        <v>3420</v>
      </c>
      <c r="C282" s="521">
        <f t="shared" si="17"/>
        <v>3305.0999999999831</v>
      </c>
      <c r="D282" s="522">
        <f t="shared" si="18"/>
        <v>5498.7000000000298</v>
      </c>
      <c r="E282" s="521">
        <f t="shared" si="19"/>
        <v>4844.8999999999996</v>
      </c>
    </row>
    <row r="283" spans="1:5">
      <c r="A283" s="409">
        <v>278</v>
      </c>
      <c r="B283" s="521">
        <f t="shared" si="16"/>
        <v>3432</v>
      </c>
      <c r="C283" s="521">
        <f t="shared" si="17"/>
        <v>3316.699999999983</v>
      </c>
      <c r="D283" s="522">
        <f t="shared" si="18"/>
        <v>5518.00000000003</v>
      </c>
      <c r="E283" s="521">
        <f t="shared" si="19"/>
        <v>4861.8999999999996</v>
      </c>
    </row>
    <row r="284" spans="1:5">
      <c r="A284" s="409">
        <v>279</v>
      </c>
      <c r="B284" s="521">
        <f t="shared" si="16"/>
        <v>3444</v>
      </c>
      <c r="C284" s="521">
        <f t="shared" si="17"/>
        <v>3328.2999999999829</v>
      </c>
      <c r="D284" s="522">
        <f t="shared" si="18"/>
        <v>5537.3000000000302</v>
      </c>
      <c r="E284" s="521">
        <f t="shared" si="19"/>
        <v>4878.8999999999996</v>
      </c>
    </row>
    <row r="285" spans="1:5">
      <c r="A285" s="409">
        <v>280</v>
      </c>
      <c r="B285" s="521">
        <f t="shared" si="16"/>
        <v>3456</v>
      </c>
      <c r="C285" s="521">
        <f t="shared" si="17"/>
        <v>3339.8999999999828</v>
      </c>
      <c r="D285" s="522">
        <f t="shared" si="18"/>
        <v>5556.6000000000304</v>
      </c>
      <c r="E285" s="521">
        <f t="shared" si="19"/>
        <v>4895.8999999999996</v>
      </c>
    </row>
    <row r="286" spans="1:5">
      <c r="A286" s="409">
        <v>281</v>
      </c>
      <c r="B286" s="521">
        <f t="shared" si="16"/>
        <v>3468</v>
      </c>
      <c r="C286" s="521">
        <f t="shared" si="17"/>
        <v>3351.4999999999827</v>
      </c>
      <c r="D286" s="522">
        <f t="shared" si="18"/>
        <v>5575.9000000000306</v>
      </c>
      <c r="E286" s="521">
        <f t="shared" si="19"/>
        <v>4912.8999999999996</v>
      </c>
    </row>
    <row r="287" spans="1:5">
      <c r="A287" s="409">
        <v>282</v>
      </c>
      <c r="B287" s="521">
        <f t="shared" si="16"/>
        <v>3480</v>
      </c>
      <c r="C287" s="521">
        <f t="shared" si="17"/>
        <v>3363.0999999999826</v>
      </c>
      <c r="D287" s="522">
        <f t="shared" si="18"/>
        <v>5595.2000000000307</v>
      </c>
      <c r="E287" s="521">
        <f t="shared" si="19"/>
        <v>4929.8999999999996</v>
      </c>
    </row>
    <row r="288" spans="1:5">
      <c r="A288" s="409">
        <v>283</v>
      </c>
      <c r="B288" s="521">
        <f t="shared" si="16"/>
        <v>3492</v>
      </c>
      <c r="C288" s="521">
        <f t="shared" si="17"/>
        <v>3374.6999999999825</v>
      </c>
      <c r="D288" s="522">
        <f t="shared" si="18"/>
        <v>5614.5000000000309</v>
      </c>
      <c r="E288" s="521">
        <f t="shared" si="19"/>
        <v>4946.8999999999996</v>
      </c>
    </row>
    <row r="289" spans="1:5">
      <c r="A289" s="409">
        <v>284</v>
      </c>
      <c r="B289" s="521">
        <f t="shared" si="16"/>
        <v>3504</v>
      </c>
      <c r="C289" s="521">
        <f t="shared" si="17"/>
        <v>3386.2999999999824</v>
      </c>
      <c r="D289" s="522">
        <f t="shared" si="18"/>
        <v>5633.8000000000311</v>
      </c>
      <c r="E289" s="521">
        <f t="shared" si="19"/>
        <v>4963.8999999999996</v>
      </c>
    </row>
    <row r="290" spans="1:5">
      <c r="A290" s="409">
        <v>285</v>
      </c>
      <c r="B290" s="521">
        <f t="shared" si="16"/>
        <v>3516</v>
      </c>
      <c r="C290" s="521">
        <f t="shared" si="17"/>
        <v>3397.8999999999824</v>
      </c>
      <c r="D290" s="522">
        <f t="shared" si="18"/>
        <v>5653.1000000000313</v>
      </c>
      <c r="E290" s="521">
        <f t="shared" si="19"/>
        <v>4980.8999999999996</v>
      </c>
    </row>
    <row r="291" spans="1:5">
      <c r="A291" s="409">
        <v>286</v>
      </c>
      <c r="B291" s="521">
        <f t="shared" si="16"/>
        <v>3528</v>
      </c>
      <c r="C291" s="521">
        <f t="shared" si="17"/>
        <v>3409.4999999999823</v>
      </c>
      <c r="D291" s="522">
        <f t="shared" si="18"/>
        <v>5672.4000000000315</v>
      </c>
      <c r="E291" s="521">
        <f t="shared" si="19"/>
        <v>4997.8999999999996</v>
      </c>
    </row>
    <row r="292" spans="1:5">
      <c r="A292" s="409">
        <v>287</v>
      </c>
      <c r="B292" s="521">
        <f t="shared" si="16"/>
        <v>3540</v>
      </c>
      <c r="C292" s="521">
        <f t="shared" si="17"/>
        <v>3421.0999999999822</v>
      </c>
      <c r="D292" s="522">
        <f t="shared" si="18"/>
        <v>5691.7000000000317</v>
      </c>
      <c r="E292" s="521">
        <f t="shared" si="19"/>
        <v>5014.8999999999996</v>
      </c>
    </row>
    <row r="293" spans="1:5">
      <c r="A293" s="409">
        <v>288</v>
      </c>
      <c r="B293" s="521">
        <f t="shared" ref="B293:B305" si="20">B292+12</f>
        <v>3552</v>
      </c>
      <c r="C293" s="521">
        <f t="shared" ref="C293:C305" si="21">C292+11.6</f>
        <v>3432.6999999999821</v>
      </c>
      <c r="D293" s="522">
        <f t="shared" ref="D293:D305" si="22">D292+19.3</f>
        <v>5711.0000000000318</v>
      </c>
      <c r="E293" s="521">
        <f t="shared" ref="E293:E305" si="23">E292+17</f>
        <v>5031.8999999999996</v>
      </c>
    </row>
    <row r="294" spans="1:5">
      <c r="A294" s="409">
        <v>289</v>
      </c>
      <c r="B294" s="521">
        <f t="shared" si="20"/>
        <v>3564</v>
      </c>
      <c r="C294" s="521">
        <f t="shared" si="21"/>
        <v>3444.299999999982</v>
      </c>
      <c r="D294" s="522">
        <f t="shared" si="22"/>
        <v>5730.300000000032</v>
      </c>
      <c r="E294" s="521">
        <f t="shared" si="23"/>
        <v>5048.8999999999996</v>
      </c>
    </row>
    <row r="295" spans="1:5">
      <c r="A295" s="409">
        <v>290</v>
      </c>
      <c r="B295" s="521">
        <f t="shared" si="20"/>
        <v>3576</v>
      </c>
      <c r="C295" s="521">
        <f t="shared" si="21"/>
        <v>3455.8999999999819</v>
      </c>
      <c r="D295" s="522">
        <f t="shared" si="22"/>
        <v>5749.6000000000322</v>
      </c>
      <c r="E295" s="521">
        <f t="shared" si="23"/>
        <v>5065.8999999999996</v>
      </c>
    </row>
    <row r="296" spans="1:5">
      <c r="A296" s="409">
        <v>291</v>
      </c>
      <c r="B296" s="521">
        <f t="shared" si="20"/>
        <v>3588</v>
      </c>
      <c r="C296" s="521">
        <f t="shared" si="21"/>
        <v>3467.4999999999818</v>
      </c>
      <c r="D296" s="522">
        <f t="shared" si="22"/>
        <v>5768.9000000000324</v>
      </c>
      <c r="E296" s="521">
        <f t="shared" si="23"/>
        <v>5082.8999999999996</v>
      </c>
    </row>
    <row r="297" spans="1:5">
      <c r="A297" s="409">
        <v>292</v>
      </c>
      <c r="B297" s="521">
        <f t="shared" si="20"/>
        <v>3600</v>
      </c>
      <c r="C297" s="521">
        <f t="shared" si="21"/>
        <v>3479.0999999999817</v>
      </c>
      <c r="D297" s="522">
        <f t="shared" si="22"/>
        <v>5788.2000000000326</v>
      </c>
      <c r="E297" s="521">
        <f t="shared" si="23"/>
        <v>5099.8999999999996</v>
      </c>
    </row>
    <row r="298" spans="1:5">
      <c r="A298" s="409">
        <v>293</v>
      </c>
      <c r="B298" s="521">
        <f t="shared" si="20"/>
        <v>3612</v>
      </c>
      <c r="C298" s="521">
        <f t="shared" si="21"/>
        <v>3490.6999999999816</v>
      </c>
      <c r="D298" s="522">
        <f t="shared" si="22"/>
        <v>5807.5000000000327</v>
      </c>
      <c r="E298" s="521">
        <f t="shared" si="23"/>
        <v>5116.8999999999996</v>
      </c>
    </row>
    <row r="299" spans="1:5">
      <c r="A299" s="409">
        <v>294</v>
      </c>
      <c r="B299" s="521">
        <f t="shared" si="20"/>
        <v>3624</v>
      </c>
      <c r="C299" s="521">
        <f t="shared" si="21"/>
        <v>3502.2999999999815</v>
      </c>
      <c r="D299" s="522">
        <f t="shared" si="22"/>
        <v>5826.8000000000329</v>
      </c>
      <c r="E299" s="521">
        <f t="shared" si="23"/>
        <v>5133.8999999999996</v>
      </c>
    </row>
    <row r="300" spans="1:5">
      <c r="A300" s="409">
        <v>295</v>
      </c>
      <c r="B300" s="521">
        <f t="shared" si="20"/>
        <v>3636</v>
      </c>
      <c r="C300" s="521">
        <f t="shared" si="21"/>
        <v>3513.8999999999814</v>
      </c>
      <c r="D300" s="522">
        <f t="shared" si="22"/>
        <v>5846.1000000000331</v>
      </c>
      <c r="E300" s="521">
        <f t="shared" si="23"/>
        <v>5150.8999999999996</v>
      </c>
    </row>
    <row r="301" spans="1:5">
      <c r="A301" s="409">
        <v>296</v>
      </c>
      <c r="B301" s="521">
        <f t="shared" si="20"/>
        <v>3648</v>
      </c>
      <c r="C301" s="521">
        <f t="shared" si="21"/>
        <v>3525.4999999999814</v>
      </c>
      <c r="D301" s="522">
        <f t="shared" si="22"/>
        <v>5865.4000000000333</v>
      </c>
      <c r="E301" s="521">
        <f t="shared" si="23"/>
        <v>5167.8999999999996</v>
      </c>
    </row>
    <row r="302" spans="1:5">
      <c r="A302" s="409">
        <v>297</v>
      </c>
      <c r="B302" s="521">
        <f t="shared" si="20"/>
        <v>3660</v>
      </c>
      <c r="C302" s="521">
        <f t="shared" si="21"/>
        <v>3537.0999999999813</v>
      </c>
      <c r="D302" s="522">
        <f t="shared" si="22"/>
        <v>5884.7000000000335</v>
      </c>
      <c r="E302" s="521">
        <f t="shared" si="23"/>
        <v>5184.8999999999996</v>
      </c>
    </row>
    <row r="303" spans="1:5">
      <c r="A303" s="409">
        <v>298</v>
      </c>
      <c r="B303" s="521">
        <f t="shared" si="20"/>
        <v>3672</v>
      </c>
      <c r="C303" s="521">
        <f t="shared" si="21"/>
        <v>3548.6999999999812</v>
      </c>
      <c r="D303" s="522">
        <f t="shared" si="22"/>
        <v>5904.0000000000337</v>
      </c>
      <c r="E303" s="521">
        <f t="shared" si="23"/>
        <v>5201.8999999999996</v>
      </c>
    </row>
    <row r="304" spans="1:5">
      <c r="A304" s="409">
        <v>299</v>
      </c>
      <c r="B304" s="521">
        <f t="shared" si="20"/>
        <v>3684</v>
      </c>
      <c r="C304" s="521">
        <f t="shared" si="21"/>
        <v>3560.2999999999811</v>
      </c>
      <c r="D304" s="522">
        <f t="shared" si="22"/>
        <v>5923.3000000000338</v>
      </c>
      <c r="E304" s="521">
        <f t="shared" si="23"/>
        <v>5218.8999999999996</v>
      </c>
    </row>
    <row r="305" spans="1:5">
      <c r="A305" s="409">
        <v>300</v>
      </c>
      <c r="B305" s="521">
        <f t="shared" si="20"/>
        <v>3696</v>
      </c>
      <c r="C305" s="521">
        <f t="shared" si="21"/>
        <v>3571.899999999981</v>
      </c>
      <c r="D305" s="522">
        <f t="shared" si="22"/>
        <v>5942.600000000034</v>
      </c>
      <c r="E305" s="521">
        <f t="shared" si="23"/>
        <v>5235.8999999999996</v>
      </c>
    </row>
    <row r="306" spans="1:5">
      <c r="A306" s="474">
        <v>301</v>
      </c>
    </row>
    <row r="307" spans="1:5">
      <c r="A307" s="474">
        <v>302</v>
      </c>
    </row>
    <row r="308" spans="1:5">
      <c r="A308" s="474">
        <v>303</v>
      </c>
    </row>
    <row r="309" spans="1:5">
      <c r="A309" s="474">
        <v>304</v>
      </c>
    </row>
    <row r="310" spans="1:5">
      <c r="A310" s="474">
        <v>305</v>
      </c>
    </row>
    <row r="311" spans="1:5">
      <c r="A311" s="474">
        <v>306</v>
      </c>
    </row>
    <row r="312" spans="1:5">
      <c r="A312" s="474">
        <v>307</v>
      </c>
    </row>
    <row r="313" spans="1:5">
      <c r="A313" s="474">
        <v>308</v>
      </c>
    </row>
  </sheetData>
  <mergeCells count="3">
    <mergeCell ref="A1:F1"/>
    <mergeCell ref="B2:D2"/>
    <mergeCell ref="A3:A4"/>
  </mergeCells>
  <pageMargins left="1.04" right="0.7" top="0.32" bottom="0.4" header="0.3" footer="0.3"/>
  <pageSetup paperSize="9" orientation="portrait" verticalDpi="0" r:id="rId1"/>
</worksheet>
</file>

<file path=xl/worksheets/sheet57.xml><?xml version="1.0" encoding="utf-8"?>
<worksheet xmlns="http://schemas.openxmlformats.org/spreadsheetml/2006/main" xmlns:r="http://schemas.openxmlformats.org/officeDocument/2006/relationships">
  <sheetPr>
    <tabColor rgb="FF7030A0"/>
  </sheetPr>
  <dimension ref="A1:F313"/>
  <sheetViews>
    <sheetView workbookViewId="0">
      <selection activeCell="C31" sqref="C31:E31"/>
    </sheetView>
  </sheetViews>
  <sheetFormatPr defaultColWidth="9.140625" defaultRowHeight="15"/>
  <cols>
    <col min="1" max="1" width="9.140625" style="463"/>
    <col min="2" max="5" width="14.42578125" style="463" customWidth="1"/>
    <col min="6" max="6" width="11.7109375" style="463" customWidth="1"/>
    <col min="7" max="16384" width="9.140625" style="463"/>
  </cols>
  <sheetData>
    <row r="1" spans="1:6" ht="23.25">
      <c r="A1" s="1948" t="s">
        <v>2315</v>
      </c>
      <c r="B1" s="1948"/>
      <c r="C1" s="1948"/>
      <c r="D1" s="1948"/>
      <c r="E1" s="1948"/>
      <c r="F1" s="1948"/>
    </row>
    <row r="2" spans="1:6" ht="18">
      <c r="A2" s="464"/>
      <c r="B2" s="1949" t="s">
        <v>1642</v>
      </c>
      <c r="C2" s="1949"/>
      <c r="D2" s="1949"/>
      <c r="E2" s="464"/>
      <c r="F2" s="464"/>
    </row>
    <row r="3" spans="1:6" ht="15" customHeight="1">
      <c r="A3" s="1950" t="s">
        <v>253</v>
      </c>
      <c r="B3" s="465" t="s">
        <v>1643</v>
      </c>
      <c r="C3" s="465" t="s">
        <v>139</v>
      </c>
      <c r="D3" s="466" t="s">
        <v>1644</v>
      </c>
      <c r="E3" s="467" t="s">
        <v>1645</v>
      </c>
      <c r="F3" s="468"/>
    </row>
    <row r="4" spans="1:6" ht="42" customHeight="1">
      <c r="A4" s="1950"/>
      <c r="B4" s="469" t="s">
        <v>1646</v>
      </c>
      <c r="C4" s="469" t="s">
        <v>1646</v>
      </c>
      <c r="D4" s="469" t="s">
        <v>1646</v>
      </c>
      <c r="E4" s="470" t="s">
        <v>1647</v>
      </c>
      <c r="F4" s="471" t="s">
        <v>1648</v>
      </c>
    </row>
    <row r="5" spans="1:6">
      <c r="A5" s="472">
        <v>1</v>
      </c>
      <c r="B5" s="473">
        <v>2</v>
      </c>
      <c r="C5" s="472">
        <v>3</v>
      </c>
      <c r="D5" s="473">
        <v>4</v>
      </c>
      <c r="E5" s="472">
        <v>5</v>
      </c>
      <c r="F5" s="473">
        <v>6</v>
      </c>
    </row>
    <row r="6" spans="1:6" ht="18" customHeight="1">
      <c r="A6" s="409">
        <v>1</v>
      </c>
      <c r="B6" s="521">
        <v>36</v>
      </c>
      <c r="C6" s="521">
        <v>34.700000000000003</v>
      </c>
      <c r="D6" s="522">
        <v>57.8</v>
      </c>
      <c r="E6" s="521">
        <v>51</v>
      </c>
      <c r="F6" s="478"/>
    </row>
    <row r="7" spans="1:6" ht="18" customHeight="1">
      <c r="A7" s="409">
        <v>2</v>
      </c>
      <c r="B7" s="521">
        <v>50.4</v>
      </c>
      <c r="C7" s="521">
        <v>48.5</v>
      </c>
      <c r="D7" s="522">
        <v>80.900000000000006</v>
      </c>
      <c r="E7" s="521">
        <v>71.400000000000006</v>
      </c>
      <c r="F7" s="478"/>
    </row>
    <row r="8" spans="1:6" ht="18" customHeight="1">
      <c r="A8" s="409">
        <v>3</v>
      </c>
      <c r="B8" s="521">
        <v>67.2</v>
      </c>
      <c r="C8" s="521">
        <v>64.7</v>
      </c>
      <c r="D8" s="522">
        <v>107.8</v>
      </c>
      <c r="E8" s="521">
        <v>95.2</v>
      </c>
      <c r="F8" s="478"/>
    </row>
    <row r="9" spans="1:6" ht="18" customHeight="1">
      <c r="A9" s="409">
        <v>4</v>
      </c>
      <c r="B9" s="521">
        <v>81.599999999999994</v>
      </c>
      <c r="C9" s="521">
        <v>78.599999999999994</v>
      </c>
      <c r="D9" s="522">
        <v>131</v>
      </c>
      <c r="E9" s="521">
        <v>115.6</v>
      </c>
      <c r="F9" s="478"/>
    </row>
    <row r="10" spans="1:6" ht="18" customHeight="1">
      <c r="A10" s="412">
        <v>5</v>
      </c>
      <c r="B10" s="523">
        <v>96</v>
      </c>
      <c r="C10" s="523">
        <v>92.4</v>
      </c>
      <c r="D10" s="524">
        <v>154.1</v>
      </c>
      <c r="E10" s="523">
        <v>135.9</v>
      </c>
      <c r="F10" s="478"/>
    </row>
    <row r="11" spans="1:6" ht="18" customHeight="1">
      <c r="A11" s="409">
        <v>6</v>
      </c>
      <c r="B11" s="521">
        <f>B10+14.4</f>
        <v>110.4</v>
      </c>
      <c r="C11" s="521">
        <f>C10+13.9</f>
        <v>106.30000000000001</v>
      </c>
      <c r="D11" s="522">
        <f>D10+23.1</f>
        <v>177.2</v>
      </c>
      <c r="E11" s="521">
        <f>E10+20.4</f>
        <v>156.30000000000001</v>
      </c>
      <c r="F11" s="478"/>
    </row>
    <row r="12" spans="1:6" ht="18" customHeight="1">
      <c r="A12" s="409">
        <v>7</v>
      </c>
      <c r="B12" s="521">
        <f t="shared" ref="B12:B35" si="0">B11+14.4</f>
        <v>124.80000000000001</v>
      </c>
      <c r="C12" s="521">
        <f t="shared" ref="C12:C35" si="1">C11+13.9</f>
        <v>120.20000000000002</v>
      </c>
      <c r="D12" s="522">
        <f t="shared" ref="D12:D35" si="2">D11+23.1</f>
        <v>200.29999999999998</v>
      </c>
      <c r="E12" s="521">
        <f t="shared" ref="E12:E35" si="3">E11+20.4</f>
        <v>176.70000000000002</v>
      </c>
      <c r="F12" s="478"/>
    </row>
    <row r="13" spans="1:6" ht="18" customHeight="1">
      <c r="A13" s="409">
        <v>8</v>
      </c>
      <c r="B13" s="521">
        <f t="shared" si="0"/>
        <v>139.20000000000002</v>
      </c>
      <c r="C13" s="521">
        <f t="shared" si="1"/>
        <v>134.10000000000002</v>
      </c>
      <c r="D13" s="522">
        <f t="shared" si="2"/>
        <v>223.39999999999998</v>
      </c>
      <c r="E13" s="521">
        <f t="shared" si="3"/>
        <v>197.10000000000002</v>
      </c>
      <c r="F13" s="478"/>
    </row>
    <row r="14" spans="1:6" ht="18" customHeight="1">
      <c r="A14" s="409">
        <v>9</v>
      </c>
      <c r="B14" s="521">
        <f t="shared" si="0"/>
        <v>153.60000000000002</v>
      </c>
      <c r="C14" s="521">
        <f t="shared" si="1"/>
        <v>148.00000000000003</v>
      </c>
      <c r="D14" s="522">
        <f t="shared" si="2"/>
        <v>246.49999999999997</v>
      </c>
      <c r="E14" s="521">
        <f t="shared" si="3"/>
        <v>217.50000000000003</v>
      </c>
      <c r="F14" s="478"/>
    </row>
    <row r="15" spans="1:6" ht="18" customHeight="1">
      <c r="A15" s="409">
        <v>10</v>
      </c>
      <c r="B15" s="521">
        <f t="shared" si="0"/>
        <v>168.00000000000003</v>
      </c>
      <c r="C15" s="521">
        <f t="shared" si="1"/>
        <v>161.90000000000003</v>
      </c>
      <c r="D15" s="522">
        <f t="shared" si="2"/>
        <v>269.59999999999997</v>
      </c>
      <c r="E15" s="521">
        <f t="shared" si="3"/>
        <v>237.90000000000003</v>
      </c>
      <c r="F15" s="478"/>
    </row>
    <row r="16" spans="1:6" ht="18" customHeight="1">
      <c r="A16" s="409">
        <v>11</v>
      </c>
      <c r="B16" s="521">
        <f t="shared" si="0"/>
        <v>182.40000000000003</v>
      </c>
      <c r="C16" s="521">
        <f t="shared" si="1"/>
        <v>175.80000000000004</v>
      </c>
      <c r="D16" s="522">
        <f t="shared" si="2"/>
        <v>292.7</v>
      </c>
      <c r="E16" s="521">
        <f t="shared" si="3"/>
        <v>258.3</v>
      </c>
      <c r="F16" s="478"/>
    </row>
    <row r="17" spans="1:6" ht="18" customHeight="1">
      <c r="A17" s="409">
        <v>12</v>
      </c>
      <c r="B17" s="521">
        <f t="shared" si="0"/>
        <v>196.80000000000004</v>
      </c>
      <c r="C17" s="521">
        <f t="shared" si="1"/>
        <v>189.70000000000005</v>
      </c>
      <c r="D17" s="522">
        <f t="shared" si="2"/>
        <v>315.8</v>
      </c>
      <c r="E17" s="521">
        <f t="shared" si="3"/>
        <v>278.7</v>
      </c>
      <c r="F17" s="478"/>
    </row>
    <row r="18" spans="1:6" ht="18" customHeight="1">
      <c r="A18" s="409">
        <v>13</v>
      </c>
      <c r="B18" s="521">
        <f t="shared" si="0"/>
        <v>211.20000000000005</v>
      </c>
      <c r="C18" s="521">
        <f t="shared" si="1"/>
        <v>203.60000000000005</v>
      </c>
      <c r="D18" s="522">
        <f t="shared" si="2"/>
        <v>338.90000000000003</v>
      </c>
      <c r="E18" s="521">
        <f t="shared" si="3"/>
        <v>299.09999999999997</v>
      </c>
      <c r="F18" s="478"/>
    </row>
    <row r="19" spans="1:6" ht="18" customHeight="1">
      <c r="A19" s="409">
        <v>14</v>
      </c>
      <c r="B19" s="521">
        <f t="shared" si="0"/>
        <v>225.60000000000005</v>
      </c>
      <c r="C19" s="521">
        <f t="shared" si="1"/>
        <v>217.50000000000006</v>
      </c>
      <c r="D19" s="522">
        <f t="shared" si="2"/>
        <v>362.00000000000006</v>
      </c>
      <c r="E19" s="521">
        <f t="shared" si="3"/>
        <v>319.49999999999994</v>
      </c>
      <c r="F19" s="478"/>
    </row>
    <row r="20" spans="1:6" ht="18" customHeight="1">
      <c r="A20" s="409">
        <v>15</v>
      </c>
      <c r="B20" s="521">
        <f t="shared" si="0"/>
        <v>240.00000000000006</v>
      </c>
      <c r="C20" s="521">
        <f t="shared" si="1"/>
        <v>231.40000000000006</v>
      </c>
      <c r="D20" s="522">
        <f t="shared" si="2"/>
        <v>385.10000000000008</v>
      </c>
      <c r="E20" s="521">
        <f t="shared" si="3"/>
        <v>339.89999999999992</v>
      </c>
      <c r="F20" s="478"/>
    </row>
    <row r="21" spans="1:6" ht="18" customHeight="1">
      <c r="A21" s="409">
        <v>16</v>
      </c>
      <c r="B21" s="521">
        <f t="shared" si="0"/>
        <v>254.40000000000006</v>
      </c>
      <c r="C21" s="521">
        <f t="shared" si="1"/>
        <v>245.30000000000007</v>
      </c>
      <c r="D21" s="522">
        <f t="shared" si="2"/>
        <v>408.2000000000001</v>
      </c>
      <c r="E21" s="521">
        <f t="shared" si="3"/>
        <v>360.2999999999999</v>
      </c>
      <c r="F21" s="478"/>
    </row>
    <row r="22" spans="1:6" ht="18" customHeight="1">
      <c r="A22" s="409">
        <v>17</v>
      </c>
      <c r="B22" s="521">
        <f t="shared" si="0"/>
        <v>268.80000000000007</v>
      </c>
      <c r="C22" s="521">
        <f t="shared" si="1"/>
        <v>259.20000000000005</v>
      </c>
      <c r="D22" s="522">
        <f t="shared" si="2"/>
        <v>431.30000000000013</v>
      </c>
      <c r="E22" s="521">
        <f t="shared" si="3"/>
        <v>380.69999999999987</v>
      </c>
      <c r="F22" s="478"/>
    </row>
    <row r="23" spans="1:6" ht="18" customHeight="1">
      <c r="A23" s="409">
        <v>18</v>
      </c>
      <c r="B23" s="521">
        <f t="shared" si="0"/>
        <v>283.20000000000005</v>
      </c>
      <c r="C23" s="521">
        <f t="shared" si="1"/>
        <v>273.10000000000002</v>
      </c>
      <c r="D23" s="522">
        <f t="shared" si="2"/>
        <v>454.40000000000015</v>
      </c>
      <c r="E23" s="521">
        <f t="shared" si="3"/>
        <v>401.09999999999985</v>
      </c>
      <c r="F23" s="478"/>
    </row>
    <row r="24" spans="1:6" ht="18" customHeight="1">
      <c r="A24" s="409">
        <v>19</v>
      </c>
      <c r="B24" s="521">
        <f t="shared" si="0"/>
        <v>297.60000000000002</v>
      </c>
      <c r="C24" s="521">
        <f t="shared" si="1"/>
        <v>287</v>
      </c>
      <c r="D24" s="522">
        <f t="shared" si="2"/>
        <v>477.50000000000017</v>
      </c>
      <c r="E24" s="521">
        <f t="shared" si="3"/>
        <v>421.49999999999983</v>
      </c>
      <c r="F24" s="478"/>
    </row>
    <row r="25" spans="1:6" ht="18" customHeight="1">
      <c r="A25" s="409">
        <v>20</v>
      </c>
      <c r="B25" s="521">
        <f t="shared" si="0"/>
        <v>312</v>
      </c>
      <c r="C25" s="521">
        <f t="shared" si="1"/>
        <v>300.89999999999998</v>
      </c>
      <c r="D25" s="522">
        <f t="shared" si="2"/>
        <v>500.60000000000019</v>
      </c>
      <c r="E25" s="521">
        <f t="shared" si="3"/>
        <v>441.89999999999981</v>
      </c>
      <c r="F25" s="478"/>
    </row>
    <row r="26" spans="1:6" ht="18" customHeight="1">
      <c r="A26" s="409">
        <v>21</v>
      </c>
      <c r="B26" s="521">
        <f t="shared" si="0"/>
        <v>326.39999999999998</v>
      </c>
      <c r="C26" s="521">
        <f t="shared" si="1"/>
        <v>314.79999999999995</v>
      </c>
      <c r="D26" s="522">
        <f t="shared" si="2"/>
        <v>523.70000000000016</v>
      </c>
      <c r="E26" s="521">
        <f t="shared" si="3"/>
        <v>462.29999999999978</v>
      </c>
      <c r="F26" s="478"/>
    </row>
    <row r="27" spans="1:6" ht="18" customHeight="1">
      <c r="A27" s="409">
        <v>22</v>
      </c>
      <c r="B27" s="521">
        <f t="shared" si="0"/>
        <v>340.79999999999995</v>
      </c>
      <c r="C27" s="521">
        <f t="shared" si="1"/>
        <v>328.69999999999993</v>
      </c>
      <c r="D27" s="522">
        <f t="shared" si="2"/>
        <v>546.80000000000018</v>
      </c>
      <c r="E27" s="521">
        <f t="shared" si="3"/>
        <v>482.69999999999976</v>
      </c>
      <c r="F27" s="478"/>
    </row>
    <row r="28" spans="1:6" ht="18" customHeight="1">
      <c r="A28" s="409">
        <v>23</v>
      </c>
      <c r="B28" s="521">
        <f t="shared" si="0"/>
        <v>355.19999999999993</v>
      </c>
      <c r="C28" s="521">
        <f t="shared" si="1"/>
        <v>342.59999999999991</v>
      </c>
      <c r="D28" s="522">
        <f t="shared" si="2"/>
        <v>569.9000000000002</v>
      </c>
      <c r="E28" s="521">
        <f t="shared" si="3"/>
        <v>503.09999999999974</v>
      </c>
      <c r="F28" s="478"/>
    </row>
    <row r="29" spans="1:6" ht="18" customHeight="1">
      <c r="A29" s="409">
        <v>24</v>
      </c>
      <c r="B29" s="521">
        <f t="shared" si="0"/>
        <v>369.59999999999991</v>
      </c>
      <c r="C29" s="521">
        <f t="shared" si="1"/>
        <v>356.49999999999989</v>
      </c>
      <c r="D29" s="522">
        <f t="shared" si="2"/>
        <v>593.00000000000023</v>
      </c>
      <c r="E29" s="521">
        <f t="shared" si="3"/>
        <v>523.49999999999977</v>
      </c>
      <c r="F29" s="478"/>
    </row>
    <row r="30" spans="1:6" ht="18" customHeight="1">
      <c r="A30" s="409">
        <v>25</v>
      </c>
      <c r="B30" s="521">
        <f t="shared" si="0"/>
        <v>383.99999999999989</v>
      </c>
      <c r="C30" s="521">
        <f t="shared" si="1"/>
        <v>370.39999999999986</v>
      </c>
      <c r="D30" s="522">
        <f t="shared" si="2"/>
        <v>616.10000000000025</v>
      </c>
      <c r="E30" s="521">
        <f t="shared" si="3"/>
        <v>543.89999999999975</v>
      </c>
      <c r="F30" s="478"/>
    </row>
    <row r="31" spans="1:6" ht="18" customHeight="1">
      <c r="A31" s="409">
        <v>26</v>
      </c>
      <c r="B31" s="521">
        <f t="shared" si="0"/>
        <v>398.39999999999986</v>
      </c>
      <c r="C31" s="521">
        <f t="shared" si="1"/>
        <v>384.29999999999984</v>
      </c>
      <c r="D31" s="522">
        <f t="shared" si="2"/>
        <v>639.20000000000027</v>
      </c>
      <c r="E31" s="521">
        <f t="shared" si="3"/>
        <v>564.29999999999973</v>
      </c>
      <c r="F31" s="478"/>
    </row>
    <row r="32" spans="1:6" ht="18" customHeight="1">
      <c r="A32" s="409">
        <v>27</v>
      </c>
      <c r="B32" s="521">
        <f t="shared" si="0"/>
        <v>412.79999999999984</v>
      </c>
      <c r="C32" s="521">
        <f t="shared" si="1"/>
        <v>398.19999999999982</v>
      </c>
      <c r="D32" s="522">
        <f t="shared" si="2"/>
        <v>662.3000000000003</v>
      </c>
      <c r="E32" s="521">
        <f t="shared" si="3"/>
        <v>584.6999999999997</v>
      </c>
      <c r="F32" s="478"/>
    </row>
    <row r="33" spans="1:6" ht="18" customHeight="1">
      <c r="A33" s="409">
        <v>28</v>
      </c>
      <c r="B33" s="521">
        <f t="shared" si="0"/>
        <v>427.19999999999982</v>
      </c>
      <c r="C33" s="521">
        <f t="shared" si="1"/>
        <v>412.0999999999998</v>
      </c>
      <c r="D33" s="522">
        <f t="shared" si="2"/>
        <v>685.40000000000032</v>
      </c>
      <c r="E33" s="521">
        <f t="shared" si="3"/>
        <v>605.09999999999968</v>
      </c>
      <c r="F33" s="478"/>
    </row>
    <row r="34" spans="1:6" ht="18" customHeight="1">
      <c r="A34" s="409">
        <v>29</v>
      </c>
      <c r="B34" s="521">
        <f t="shared" si="0"/>
        <v>441.5999999999998</v>
      </c>
      <c r="C34" s="521">
        <f t="shared" si="1"/>
        <v>425.99999999999977</v>
      </c>
      <c r="D34" s="522">
        <f t="shared" si="2"/>
        <v>708.50000000000034</v>
      </c>
      <c r="E34" s="521">
        <f t="shared" si="3"/>
        <v>625.49999999999966</v>
      </c>
      <c r="F34" s="478"/>
    </row>
    <row r="35" spans="1:6" ht="18" customHeight="1">
      <c r="A35" s="409">
        <v>30</v>
      </c>
      <c r="B35" s="521">
        <f t="shared" si="0"/>
        <v>455.99999999999977</v>
      </c>
      <c r="C35" s="521">
        <f t="shared" si="1"/>
        <v>439.89999999999975</v>
      </c>
      <c r="D35" s="522">
        <f t="shared" si="2"/>
        <v>731.60000000000036</v>
      </c>
      <c r="E35" s="521">
        <f t="shared" si="3"/>
        <v>645.89999999999964</v>
      </c>
      <c r="F35" s="478"/>
    </row>
    <row r="36" spans="1:6" ht="18" customHeight="1">
      <c r="A36" s="409">
        <v>31</v>
      </c>
      <c r="B36" s="521">
        <f>B35+12</f>
        <v>467.99999999999977</v>
      </c>
      <c r="C36" s="521">
        <f>C35+11.6</f>
        <v>451.49999999999977</v>
      </c>
      <c r="D36" s="522">
        <f>D35+19.3</f>
        <v>750.90000000000032</v>
      </c>
      <c r="E36" s="521">
        <f>E35+17</f>
        <v>662.89999999999964</v>
      </c>
      <c r="F36" s="478"/>
    </row>
    <row r="37" spans="1:6" ht="18" customHeight="1">
      <c r="A37" s="409">
        <v>32</v>
      </c>
      <c r="B37" s="521">
        <f t="shared" ref="B37:B100" si="4">B36+12</f>
        <v>479.99999999999977</v>
      </c>
      <c r="C37" s="521">
        <f t="shared" ref="C37:C100" si="5">C36+11.6</f>
        <v>463.0999999999998</v>
      </c>
      <c r="D37" s="522">
        <f t="shared" ref="D37:D100" si="6">D36+19.3</f>
        <v>770.20000000000027</v>
      </c>
      <c r="E37" s="521">
        <f t="shared" ref="E37:E100" si="7">E36+17</f>
        <v>679.89999999999964</v>
      </c>
      <c r="F37" s="478"/>
    </row>
    <row r="38" spans="1:6" ht="18" customHeight="1">
      <c r="A38" s="409">
        <v>33</v>
      </c>
      <c r="B38" s="521">
        <f t="shared" si="4"/>
        <v>491.99999999999977</v>
      </c>
      <c r="C38" s="521">
        <f t="shared" si="5"/>
        <v>474.69999999999982</v>
      </c>
      <c r="D38" s="522">
        <f t="shared" si="6"/>
        <v>789.50000000000023</v>
      </c>
      <c r="E38" s="521">
        <f t="shared" si="7"/>
        <v>696.89999999999964</v>
      </c>
      <c r="F38" s="478"/>
    </row>
    <row r="39" spans="1:6" ht="18" customHeight="1">
      <c r="A39" s="409">
        <v>34</v>
      </c>
      <c r="B39" s="521">
        <f t="shared" si="4"/>
        <v>503.99999999999977</v>
      </c>
      <c r="C39" s="521">
        <f t="shared" si="5"/>
        <v>486.29999999999984</v>
      </c>
      <c r="D39" s="522">
        <f t="shared" si="6"/>
        <v>808.80000000000018</v>
      </c>
      <c r="E39" s="521">
        <f t="shared" si="7"/>
        <v>713.89999999999964</v>
      </c>
      <c r="F39" s="478"/>
    </row>
    <row r="40" spans="1:6" ht="18" customHeight="1">
      <c r="A40" s="409">
        <v>35</v>
      </c>
      <c r="B40" s="521">
        <f t="shared" si="4"/>
        <v>515.99999999999977</v>
      </c>
      <c r="C40" s="521">
        <f t="shared" si="5"/>
        <v>497.89999999999986</v>
      </c>
      <c r="D40" s="522">
        <f t="shared" si="6"/>
        <v>828.10000000000014</v>
      </c>
      <c r="E40" s="521">
        <f t="shared" si="7"/>
        <v>730.89999999999964</v>
      </c>
      <c r="F40" s="478"/>
    </row>
    <row r="41" spans="1:6" ht="18" customHeight="1">
      <c r="A41" s="409">
        <v>36</v>
      </c>
      <c r="B41" s="521">
        <f t="shared" si="4"/>
        <v>527.99999999999977</v>
      </c>
      <c r="C41" s="521">
        <f t="shared" si="5"/>
        <v>509.49999999999989</v>
      </c>
      <c r="D41" s="522">
        <f t="shared" si="6"/>
        <v>847.40000000000009</v>
      </c>
      <c r="E41" s="521">
        <f t="shared" si="7"/>
        <v>747.89999999999964</v>
      </c>
      <c r="F41" s="478"/>
    </row>
    <row r="42" spans="1:6" ht="18" customHeight="1">
      <c r="A42" s="409">
        <v>37</v>
      </c>
      <c r="B42" s="521">
        <f t="shared" si="4"/>
        <v>539.99999999999977</v>
      </c>
      <c r="C42" s="521">
        <f t="shared" si="5"/>
        <v>521.09999999999991</v>
      </c>
      <c r="D42" s="522">
        <f t="shared" si="6"/>
        <v>866.7</v>
      </c>
      <c r="E42" s="521">
        <f t="shared" si="7"/>
        <v>764.89999999999964</v>
      </c>
      <c r="F42" s="478"/>
    </row>
    <row r="43" spans="1:6" ht="18" customHeight="1">
      <c r="A43" s="409">
        <v>38</v>
      </c>
      <c r="B43" s="521">
        <f t="shared" si="4"/>
        <v>551.99999999999977</v>
      </c>
      <c r="C43" s="521">
        <f t="shared" si="5"/>
        <v>532.69999999999993</v>
      </c>
      <c r="D43" s="522">
        <f t="shared" si="6"/>
        <v>886</v>
      </c>
      <c r="E43" s="521">
        <f t="shared" si="7"/>
        <v>781.89999999999964</v>
      </c>
      <c r="F43" s="478"/>
    </row>
    <row r="44" spans="1:6" ht="18" customHeight="1">
      <c r="A44" s="409">
        <v>39</v>
      </c>
      <c r="B44" s="521">
        <f t="shared" si="4"/>
        <v>563.99999999999977</v>
      </c>
      <c r="C44" s="521">
        <f t="shared" si="5"/>
        <v>544.29999999999995</v>
      </c>
      <c r="D44" s="522">
        <f t="shared" si="6"/>
        <v>905.3</v>
      </c>
      <c r="E44" s="521">
        <f t="shared" si="7"/>
        <v>798.89999999999964</v>
      </c>
      <c r="F44" s="478"/>
    </row>
    <row r="45" spans="1:6" ht="18" customHeight="1">
      <c r="A45" s="409">
        <v>40</v>
      </c>
      <c r="B45" s="521">
        <f t="shared" si="4"/>
        <v>575.99999999999977</v>
      </c>
      <c r="C45" s="521">
        <f t="shared" si="5"/>
        <v>555.9</v>
      </c>
      <c r="D45" s="522">
        <f t="shared" si="6"/>
        <v>924.59999999999991</v>
      </c>
      <c r="E45" s="521">
        <f t="shared" si="7"/>
        <v>815.89999999999964</v>
      </c>
      <c r="F45" s="478"/>
    </row>
    <row r="46" spans="1:6" ht="18" customHeight="1">
      <c r="A46" s="409">
        <v>41</v>
      </c>
      <c r="B46" s="521">
        <f t="shared" si="4"/>
        <v>587.99999999999977</v>
      </c>
      <c r="C46" s="521">
        <f t="shared" si="5"/>
        <v>567.5</v>
      </c>
      <c r="D46" s="522">
        <f t="shared" si="6"/>
        <v>943.89999999999986</v>
      </c>
      <c r="E46" s="521">
        <f t="shared" si="7"/>
        <v>832.89999999999964</v>
      </c>
      <c r="F46" s="478"/>
    </row>
    <row r="47" spans="1:6" ht="18" customHeight="1">
      <c r="A47" s="409">
        <v>42</v>
      </c>
      <c r="B47" s="521">
        <f t="shared" si="4"/>
        <v>599.99999999999977</v>
      </c>
      <c r="C47" s="521">
        <f t="shared" si="5"/>
        <v>579.1</v>
      </c>
      <c r="D47" s="522">
        <f t="shared" si="6"/>
        <v>963.19999999999982</v>
      </c>
      <c r="E47" s="521">
        <f t="shared" si="7"/>
        <v>849.89999999999964</v>
      </c>
      <c r="F47" s="478"/>
    </row>
    <row r="48" spans="1:6" ht="18" customHeight="1">
      <c r="A48" s="409">
        <v>43</v>
      </c>
      <c r="B48" s="521">
        <f t="shared" si="4"/>
        <v>611.99999999999977</v>
      </c>
      <c r="C48" s="521">
        <f t="shared" si="5"/>
        <v>590.70000000000005</v>
      </c>
      <c r="D48" s="522">
        <f t="shared" si="6"/>
        <v>982.49999999999977</v>
      </c>
      <c r="E48" s="521">
        <f t="shared" si="7"/>
        <v>866.89999999999964</v>
      </c>
      <c r="F48" s="478"/>
    </row>
    <row r="49" spans="1:6" ht="18" customHeight="1">
      <c r="A49" s="409">
        <v>44</v>
      </c>
      <c r="B49" s="521">
        <f t="shared" si="4"/>
        <v>623.99999999999977</v>
      </c>
      <c r="C49" s="521">
        <f t="shared" si="5"/>
        <v>602.30000000000007</v>
      </c>
      <c r="D49" s="522">
        <f t="shared" si="6"/>
        <v>1001.7999999999997</v>
      </c>
      <c r="E49" s="521">
        <f t="shared" si="7"/>
        <v>883.89999999999964</v>
      </c>
      <c r="F49" s="478"/>
    </row>
    <row r="50" spans="1:6" ht="18" customHeight="1">
      <c r="A50" s="409">
        <v>45</v>
      </c>
      <c r="B50" s="521">
        <f t="shared" si="4"/>
        <v>635.99999999999977</v>
      </c>
      <c r="C50" s="521">
        <f t="shared" si="5"/>
        <v>613.90000000000009</v>
      </c>
      <c r="D50" s="522">
        <f t="shared" si="6"/>
        <v>1021.0999999999997</v>
      </c>
      <c r="E50" s="521">
        <f t="shared" si="7"/>
        <v>900.89999999999964</v>
      </c>
      <c r="F50" s="478"/>
    </row>
    <row r="51" spans="1:6" ht="18" customHeight="1">
      <c r="A51" s="409">
        <v>46</v>
      </c>
      <c r="B51" s="521">
        <f t="shared" si="4"/>
        <v>647.99999999999977</v>
      </c>
      <c r="C51" s="521">
        <f t="shared" si="5"/>
        <v>625.50000000000011</v>
      </c>
      <c r="D51" s="522">
        <f t="shared" si="6"/>
        <v>1040.3999999999996</v>
      </c>
      <c r="E51" s="521">
        <f t="shared" si="7"/>
        <v>917.89999999999964</v>
      </c>
      <c r="F51" s="478"/>
    </row>
    <row r="52" spans="1:6" ht="18" customHeight="1">
      <c r="A52" s="409">
        <v>47</v>
      </c>
      <c r="B52" s="521">
        <f t="shared" si="4"/>
        <v>659.99999999999977</v>
      </c>
      <c r="C52" s="521">
        <f t="shared" si="5"/>
        <v>637.10000000000014</v>
      </c>
      <c r="D52" s="522">
        <f t="shared" si="6"/>
        <v>1059.6999999999996</v>
      </c>
      <c r="E52" s="521">
        <f t="shared" si="7"/>
        <v>934.89999999999964</v>
      </c>
      <c r="F52" s="478"/>
    </row>
    <row r="53" spans="1:6" ht="18" customHeight="1">
      <c r="A53" s="409">
        <v>48</v>
      </c>
      <c r="B53" s="521">
        <f t="shared" si="4"/>
        <v>671.99999999999977</v>
      </c>
      <c r="C53" s="521">
        <f t="shared" si="5"/>
        <v>648.70000000000016</v>
      </c>
      <c r="D53" s="522">
        <f t="shared" si="6"/>
        <v>1078.9999999999995</v>
      </c>
      <c r="E53" s="521">
        <f t="shared" si="7"/>
        <v>951.89999999999964</v>
      </c>
      <c r="F53" s="478"/>
    </row>
    <row r="54" spans="1:6" ht="18" customHeight="1">
      <c r="A54" s="409">
        <v>49</v>
      </c>
      <c r="B54" s="521">
        <f t="shared" si="4"/>
        <v>683.99999999999977</v>
      </c>
      <c r="C54" s="521">
        <f t="shared" si="5"/>
        <v>660.30000000000018</v>
      </c>
      <c r="D54" s="522">
        <f t="shared" si="6"/>
        <v>1098.2999999999995</v>
      </c>
      <c r="E54" s="521">
        <f t="shared" si="7"/>
        <v>968.89999999999964</v>
      </c>
      <c r="F54" s="478"/>
    </row>
    <row r="55" spans="1:6" ht="18" customHeight="1">
      <c r="A55" s="413">
        <v>50</v>
      </c>
      <c r="B55" s="521">
        <f t="shared" si="4"/>
        <v>695.99999999999977</v>
      </c>
      <c r="C55" s="521">
        <f t="shared" si="5"/>
        <v>671.9000000000002</v>
      </c>
      <c r="D55" s="522">
        <f t="shared" si="6"/>
        <v>1117.5999999999995</v>
      </c>
      <c r="E55" s="521">
        <f t="shared" si="7"/>
        <v>985.89999999999964</v>
      </c>
      <c r="F55" s="478"/>
    </row>
    <row r="56" spans="1:6" ht="18" customHeight="1">
      <c r="A56" s="414">
        <v>51</v>
      </c>
      <c r="B56" s="521">
        <f t="shared" si="4"/>
        <v>707.99999999999977</v>
      </c>
      <c r="C56" s="521">
        <f t="shared" si="5"/>
        <v>683.50000000000023</v>
      </c>
      <c r="D56" s="522">
        <f t="shared" si="6"/>
        <v>1136.8999999999994</v>
      </c>
      <c r="E56" s="521">
        <f t="shared" si="7"/>
        <v>1002.8999999999996</v>
      </c>
      <c r="F56" s="478"/>
    </row>
    <row r="57" spans="1:6" ht="18" customHeight="1">
      <c r="A57" s="409">
        <v>52</v>
      </c>
      <c r="B57" s="521">
        <f t="shared" si="4"/>
        <v>719.99999999999977</v>
      </c>
      <c r="C57" s="521">
        <f t="shared" si="5"/>
        <v>695.10000000000025</v>
      </c>
      <c r="D57" s="522">
        <f t="shared" si="6"/>
        <v>1156.1999999999994</v>
      </c>
      <c r="E57" s="521">
        <f t="shared" si="7"/>
        <v>1019.8999999999996</v>
      </c>
      <c r="F57" s="478"/>
    </row>
    <row r="58" spans="1:6" ht="18" customHeight="1">
      <c r="A58" s="409">
        <v>53</v>
      </c>
      <c r="B58" s="521">
        <f t="shared" si="4"/>
        <v>731.99999999999977</v>
      </c>
      <c r="C58" s="521">
        <f t="shared" si="5"/>
        <v>706.70000000000027</v>
      </c>
      <c r="D58" s="522">
        <f t="shared" si="6"/>
        <v>1175.4999999999993</v>
      </c>
      <c r="E58" s="521">
        <f t="shared" si="7"/>
        <v>1036.8999999999996</v>
      </c>
      <c r="F58" s="478"/>
    </row>
    <row r="59" spans="1:6" ht="18" customHeight="1">
      <c r="A59" s="409">
        <v>54</v>
      </c>
      <c r="B59" s="521">
        <f t="shared" si="4"/>
        <v>743.99999999999977</v>
      </c>
      <c r="C59" s="521">
        <f t="shared" si="5"/>
        <v>718.3000000000003</v>
      </c>
      <c r="D59" s="522">
        <f t="shared" si="6"/>
        <v>1194.7999999999993</v>
      </c>
      <c r="E59" s="521">
        <f t="shared" si="7"/>
        <v>1053.8999999999996</v>
      </c>
      <c r="F59" s="478"/>
    </row>
    <row r="60" spans="1:6" ht="18" customHeight="1">
      <c r="A60" s="409">
        <v>55</v>
      </c>
      <c r="B60" s="521">
        <f t="shared" si="4"/>
        <v>755.99999999999977</v>
      </c>
      <c r="C60" s="521">
        <f t="shared" si="5"/>
        <v>729.90000000000032</v>
      </c>
      <c r="D60" s="522">
        <f t="shared" si="6"/>
        <v>1214.0999999999992</v>
      </c>
      <c r="E60" s="521">
        <f t="shared" si="7"/>
        <v>1070.8999999999996</v>
      </c>
      <c r="F60" s="478"/>
    </row>
    <row r="61" spans="1:6" ht="18" customHeight="1">
      <c r="A61" s="409">
        <v>56</v>
      </c>
      <c r="B61" s="521">
        <f t="shared" si="4"/>
        <v>767.99999999999977</v>
      </c>
      <c r="C61" s="521">
        <f t="shared" si="5"/>
        <v>741.50000000000034</v>
      </c>
      <c r="D61" s="522">
        <f t="shared" si="6"/>
        <v>1233.3999999999992</v>
      </c>
      <c r="E61" s="521">
        <f t="shared" si="7"/>
        <v>1087.8999999999996</v>
      </c>
      <c r="F61" s="478"/>
    </row>
    <row r="62" spans="1:6" ht="18" customHeight="1">
      <c r="A62" s="409">
        <v>57</v>
      </c>
      <c r="B62" s="521">
        <f t="shared" si="4"/>
        <v>779.99999999999977</v>
      </c>
      <c r="C62" s="521">
        <f t="shared" si="5"/>
        <v>753.10000000000036</v>
      </c>
      <c r="D62" s="522">
        <f t="shared" si="6"/>
        <v>1252.6999999999991</v>
      </c>
      <c r="E62" s="521">
        <f t="shared" si="7"/>
        <v>1104.8999999999996</v>
      </c>
      <c r="F62" s="478"/>
    </row>
    <row r="63" spans="1:6" ht="18" customHeight="1">
      <c r="A63" s="409">
        <v>58</v>
      </c>
      <c r="B63" s="521">
        <f t="shared" si="4"/>
        <v>791.99999999999977</v>
      </c>
      <c r="C63" s="521">
        <f t="shared" si="5"/>
        <v>764.70000000000039</v>
      </c>
      <c r="D63" s="522">
        <f t="shared" si="6"/>
        <v>1271.9999999999991</v>
      </c>
      <c r="E63" s="521">
        <f t="shared" si="7"/>
        <v>1121.8999999999996</v>
      </c>
      <c r="F63" s="478"/>
    </row>
    <row r="64" spans="1:6" ht="18" customHeight="1">
      <c r="A64" s="409">
        <v>59</v>
      </c>
      <c r="B64" s="521">
        <f t="shared" si="4"/>
        <v>803.99999999999977</v>
      </c>
      <c r="C64" s="521">
        <f t="shared" si="5"/>
        <v>776.30000000000041</v>
      </c>
      <c r="D64" s="522">
        <f t="shared" si="6"/>
        <v>1291.299999999999</v>
      </c>
      <c r="E64" s="521">
        <f t="shared" si="7"/>
        <v>1138.8999999999996</v>
      </c>
      <c r="F64" s="478"/>
    </row>
    <row r="65" spans="1:6" ht="18" customHeight="1">
      <c r="A65" s="409">
        <v>60</v>
      </c>
      <c r="B65" s="521">
        <f t="shared" si="4"/>
        <v>815.99999999999977</v>
      </c>
      <c r="C65" s="521">
        <f t="shared" si="5"/>
        <v>787.90000000000043</v>
      </c>
      <c r="D65" s="522">
        <f t="shared" si="6"/>
        <v>1310.599999999999</v>
      </c>
      <c r="E65" s="521">
        <f t="shared" si="7"/>
        <v>1155.8999999999996</v>
      </c>
      <c r="F65" s="478"/>
    </row>
    <row r="66" spans="1:6" ht="18" customHeight="1">
      <c r="A66" s="409">
        <v>61</v>
      </c>
      <c r="B66" s="521">
        <f t="shared" si="4"/>
        <v>827.99999999999977</v>
      </c>
      <c r="C66" s="521">
        <f t="shared" si="5"/>
        <v>799.50000000000045</v>
      </c>
      <c r="D66" s="522">
        <f t="shared" si="6"/>
        <v>1329.899999999999</v>
      </c>
      <c r="E66" s="521">
        <f t="shared" si="7"/>
        <v>1172.8999999999996</v>
      </c>
      <c r="F66" s="478"/>
    </row>
    <row r="67" spans="1:6" ht="18" customHeight="1">
      <c r="A67" s="409">
        <v>62</v>
      </c>
      <c r="B67" s="521">
        <f t="shared" si="4"/>
        <v>839.99999999999977</v>
      </c>
      <c r="C67" s="521">
        <f t="shared" si="5"/>
        <v>811.10000000000048</v>
      </c>
      <c r="D67" s="522">
        <f t="shared" si="6"/>
        <v>1349.1999999999989</v>
      </c>
      <c r="E67" s="521">
        <f t="shared" si="7"/>
        <v>1189.8999999999996</v>
      </c>
      <c r="F67" s="478"/>
    </row>
    <row r="68" spans="1:6" ht="18" customHeight="1">
      <c r="A68" s="409">
        <v>63</v>
      </c>
      <c r="B68" s="521">
        <f t="shared" si="4"/>
        <v>851.99999999999977</v>
      </c>
      <c r="C68" s="521">
        <f t="shared" si="5"/>
        <v>822.7000000000005</v>
      </c>
      <c r="D68" s="522">
        <f t="shared" si="6"/>
        <v>1368.4999999999989</v>
      </c>
      <c r="E68" s="521">
        <f t="shared" si="7"/>
        <v>1206.8999999999996</v>
      </c>
      <c r="F68" s="478"/>
    </row>
    <row r="69" spans="1:6" ht="18" customHeight="1">
      <c r="A69" s="409">
        <v>64</v>
      </c>
      <c r="B69" s="521">
        <f t="shared" si="4"/>
        <v>863.99999999999977</v>
      </c>
      <c r="C69" s="521">
        <f t="shared" si="5"/>
        <v>834.30000000000052</v>
      </c>
      <c r="D69" s="522">
        <f t="shared" si="6"/>
        <v>1387.7999999999988</v>
      </c>
      <c r="E69" s="521">
        <f t="shared" si="7"/>
        <v>1223.8999999999996</v>
      </c>
      <c r="F69" s="478"/>
    </row>
    <row r="70" spans="1:6" ht="18" customHeight="1">
      <c r="A70" s="409">
        <v>65</v>
      </c>
      <c r="B70" s="521">
        <f t="shared" si="4"/>
        <v>875.99999999999977</v>
      </c>
      <c r="C70" s="521">
        <f t="shared" si="5"/>
        <v>845.90000000000055</v>
      </c>
      <c r="D70" s="522">
        <f t="shared" si="6"/>
        <v>1407.0999999999988</v>
      </c>
      <c r="E70" s="521">
        <f t="shared" si="7"/>
        <v>1240.8999999999996</v>
      </c>
      <c r="F70" s="478"/>
    </row>
    <row r="71" spans="1:6" ht="18" customHeight="1">
      <c r="A71" s="409">
        <v>66</v>
      </c>
      <c r="B71" s="521">
        <f t="shared" si="4"/>
        <v>887.99999999999977</v>
      </c>
      <c r="C71" s="521">
        <f t="shared" si="5"/>
        <v>857.50000000000057</v>
      </c>
      <c r="D71" s="522">
        <f t="shared" si="6"/>
        <v>1426.3999999999987</v>
      </c>
      <c r="E71" s="521">
        <f t="shared" si="7"/>
        <v>1257.8999999999996</v>
      </c>
      <c r="F71" s="478"/>
    </row>
    <row r="72" spans="1:6" ht="18" customHeight="1">
      <c r="A72" s="409">
        <v>67</v>
      </c>
      <c r="B72" s="521">
        <f t="shared" si="4"/>
        <v>899.99999999999977</v>
      </c>
      <c r="C72" s="521">
        <f t="shared" si="5"/>
        <v>869.10000000000059</v>
      </c>
      <c r="D72" s="522">
        <f t="shared" si="6"/>
        <v>1445.6999999999987</v>
      </c>
      <c r="E72" s="521">
        <f t="shared" si="7"/>
        <v>1274.8999999999996</v>
      </c>
      <c r="F72" s="478"/>
    </row>
    <row r="73" spans="1:6" ht="18" customHeight="1">
      <c r="A73" s="409">
        <v>68</v>
      </c>
      <c r="B73" s="521">
        <f t="shared" si="4"/>
        <v>911.99999999999977</v>
      </c>
      <c r="C73" s="521">
        <f t="shared" si="5"/>
        <v>880.70000000000061</v>
      </c>
      <c r="D73" s="522">
        <f t="shared" si="6"/>
        <v>1464.9999999999986</v>
      </c>
      <c r="E73" s="521">
        <f t="shared" si="7"/>
        <v>1291.8999999999996</v>
      </c>
      <c r="F73" s="478"/>
    </row>
    <row r="74" spans="1:6" ht="18" customHeight="1">
      <c r="A74" s="409">
        <v>69</v>
      </c>
      <c r="B74" s="521">
        <f t="shared" si="4"/>
        <v>923.99999999999977</v>
      </c>
      <c r="C74" s="521">
        <f t="shared" si="5"/>
        <v>892.30000000000064</v>
      </c>
      <c r="D74" s="522">
        <f t="shared" si="6"/>
        <v>1484.2999999999986</v>
      </c>
      <c r="E74" s="521">
        <f t="shared" si="7"/>
        <v>1308.8999999999996</v>
      </c>
      <c r="F74" s="478"/>
    </row>
    <row r="75" spans="1:6" ht="18" customHeight="1">
      <c r="A75" s="409">
        <v>70</v>
      </c>
      <c r="B75" s="521">
        <f t="shared" si="4"/>
        <v>935.99999999999977</v>
      </c>
      <c r="C75" s="521">
        <f t="shared" si="5"/>
        <v>903.90000000000066</v>
      </c>
      <c r="D75" s="522">
        <f t="shared" si="6"/>
        <v>1503.5999999999985</v>
      </c>
      <c r="E75" s="521">
        <f t="shared" si="7"/>
        <v>1325.8999999999996</v>
      </c>
      <c r="F75" s="478"/>
    </row>
    <row r="76" spans="1:6" ht="18" customHeight="1">
      <c r="A76" s="409">
        <v>71</v>
      </c>
      <c r="B76" s="521">
        <f t="shared" si="4"/>
        <v>947.99999999999977</v>
      </c>
      <c r="C76" s="521">
        <f t="shared" si="5"/>
        <v>915.50000000000068</v>
      </c>
      <c r="D76" s="522">
        <f t="shared" si="6"/>
        <v>1522.8999999999985</v>
      </c>
      <c r="E76" s="521">
        <f t="shared" si="7"/>
        <v>1342.8999999999996</v>
      </c>
      <c r="F76" s="478"/>
    </row>
    <row r="77" spans="1:6" ht="18" customHeight="1">
      <c r="A77" s="409">
        <v>72</v>
      </c>
      <c r="B77" s="521">
        <f t="shared" si="4"/>
        <v>959.99999999999977</v>
      </c>
      <c r="C77" s="521">
        <f t="shared" si="5"/>
        <v>927.1000000000007</v>
      </c>
      <c r="D77" s="522">
        <f t="shared" si="6"/>
        <v>1542.1999999999985</v>
      </c>
      <c r="E77" s="521">
        <f t="shared" si="7"/>
        <v>1359.8999999999996</v>
      </c>
      <c r="F77" s="478"/>
    </row>
    <row r="78" spans="1:6" ht="18" customHeight="1">
      <c r="A78" s="409">
        <v>73</v>
      </c>
      <c r="B78" s="521">
        <f t="shared" si="4"/>
        <v>971.99999999999977</v>
      </c>
      <c r="C78" s="521">
        <f t="shared" si="5"/>
        <v>938.70000000000073</v>
      </c>
      <c r="D78" s="522">
        <f t="shared" si="6"/>
        <v>1561.4999999999984</v>
      </c>
      <c r="E78" s="521">
        <f t="shared" si="7"/>
        <v>1376.8999999999996</v>
      </c>
      <c r="F78" s="478"/>
    </row>
    <row r="79" spans="1:6" ht="18" customHeight="1">
      <c r="A79" s="409">
        <v>74</v>
      </c>
      <c r="B79" s="521">
        <f t="shared" si="4"/>
        <v>983.99999999999977</v>
      </c>
      <c r="C79" s="521">
        <f t="shared" si="5"/>
        <v>950.30000000000075</v>
      </c>
      <c r="D79" s="522">
        <f t="shared" si="6"/>
        <v>1580.7999999999984</v>
      </c>
      <c r="E79" s="521">
        <f t="shared" si="7"/>
        <v>1393.8999999999996</v>
      </c>
      <c r="F79" s="478"/>
    </row>
    <row r="80" spans="1:6" ht="18" customHeight="1">
      <c r="A80" s="409">
        <v>75</v>
      </c>
      <c r="B80" s="521">
        <f t="shared" si="4"/>
        <v>995.99999999999977</v>
      </c>
      <c r="C80" s="521">
        <f t="shared" si="5"/>
        <v>961.90000000000077</v>
      </c>
      <c r="D80" s="522">
        <f t="shared" si="6"/>
        <v>1600.0999999999983</v>
      </c>
      <c r="E80" s="521">
        <f t="shared" si="7"/>
        <v>1410.8999999999996</v>
      </c>
      <c r="F80" s="478"/>
    </row>
    <row r="81" spans="1:6" ht="18" customHeight="1">
      <c r="A81" s="409">
        <v>76</v>
      </c>
      <c r="B81" s="521">
        <f t="shared" si="4"/>
        <v>1007.9999999999998</v>
      </c>
      <c r="C81" s="521">
        <f t="shared" si="5"/>
        <v>973.5000000000008</v>
      </c>
      <c r="D81" s="522">
        <f t="shared" si="6"/>
        <v>1619.3999999999983</v>
      </c>
      <c r="E81" s="521">
        <f t="shared" si="7"/>
        <v>1427.8999999999996</v>
      </c>
      <c r="F81" s="478"/>
    </row>
    <row r="82" spans="1:6" ht="18" customHeight="1">
      <c r="A82" s="409">
        <v>77</v>
      </c>
      <c r="B82" s="521">
        <f t="shared" si="4"/>
        <v>1019.9999999999998</v>
      </c>
      <c r="C82" s="521">
        <f t="shared" si="5"/>
        <v>985.10000000000082</v>
      </c>
      <c r="D82" s="522">
        <f t="shared" si="6"/>
        <v>1638.6999999999982</v>
      </c>
      <c r="E82" s="521">
        <f t="shared" si="7"/>
        <v>1444.8999999999996</v>
      </c>
      <c r="F82" s="478"/>
    </row>
    <row r="83" spans="1:6" ht="18" customHeight="1">
      <c r="A83" s="409">
        <v>78</v>
      </c>
      <c r="B83" s="521">
        <f t="shared" si="4"/>
        <v>1031.9999999999998</v>
      </c>
      <c r="C83" s="521">
        <f t="shared" si="5"/>
        <v>996.70000000000084</v>
      </c>
      <c r="D83" s="522">
        <f t="shared" si="6"/>
        <v>1657.9999999999982</v>
      </c>
      <c r="E83" s="521">
        <f t="shared" si="7"/>
        <v>1461.8999999999996</v>
      </c>
      <c r="F83" s="478"/>
    </row>
    <row r="84" spans="1:6" ht="18" customHeight="1">
      <c r="A84" s="409">
        <v>79</v>
      </c>
      <c r="B84" s="521">
        <f t="shared" si="4"/>
        <v>1043.9999999999998</v>
      </c>
      <c r="C84" s="521">
        <f t="shared" si="5"/>
        <v>1008.3000000000009</v>
      </c>
      <c r="D84" s="522">
        <f t="shared" si="6"/>
        <v>1677.2999999999981</v>
      </c>
      <c r="E84" s="521">
        <f t="shared" si="7"/>
        <v>1478.8999999999996</v>
      </c>
      <c r="F84" s="478"/>
    </row>
    <row r="85" spans="1:6" ht="18" customHeight="1">
      <c r="A85" s="409">
        <v>80</v>
      </c>
      <c r="B85" s="521">
        <f t="shared" si="4"/>
        <v>1055.9999999999998</v>
      </c>
      <c r="C85" s="521">
        <f t="shared" si="5"/>
        <v>1019.9000000000009</v>
      </c>
      <c r="D85" s="522">
        <f t="shared" si="6"/>
        <v>1696.5999999999981</v>
      </c>
      <c r="E85" s="521">
        <f t="shared" si="7"/>
        <v>1495.8999999999996</v>
      </c>
      <c r="F85" s="478"/>
    </row>
    <row r="86" spans="1:6" ht="18" customHeight="1">
      <c r="A86" s="409">
        <v>81</v>
      </c>
      <c r="B86" s="521">
        <f t="shared" si="4"/>
        <v>1067.9999999999998</v>
      </c>
      <c r="C86" s="521">
        <f t="shared" si="5"/>
        <v>1031.5000000000009</v>
      </c>
      <c r="D86" s="522">
        <f t="shared" si="6"/>
        <v>1715.899999999998</v>
      </c>
      <c r="E86" s="521">
        <f t="shared" si="7"/>
        <v>1512.8999999999996</v>
      </c>
      <c r="F86" s="478"/>
    </row>
    <row r="87" spans="1:6" ht="18" customHeight="1">
      <c r="A87" s="409">
        <v>82</v>
      </c>
      <c r="B87" s="521">
        <f t="shared" si="4"/>
        <v>1079.9999999999998</v>
      </c>
      <c r="C87" s="521">
        <f t="shared" si="5"/>
        <v>1043.1000000000008</v>
      </c>
      <c r="D87" s="522">
        <f t="shared" si="6"/>
        <v>1735.199999999998</v>
      </c>
      <c r="E87" s="521">
        <f t="shared" si="7"/>
        <v>1529.8999999999996</v>
      </c>
      <c r="F87" s="478"/>
    </row>
    <row r="88" spans="1:6" ht="18" customHeight="1">
      <c r="A88" s="409">
        <v>83</v>
      </c>
      <c r="B88" s="521">
        <f t="shared" si="4"/>
        <v>1091.9999999999998</v>
      </c>
      <c r="C88" s="521">
        <f t="shared" si="5"/>
        <v>1054.7000000000007</v>
      </c>
      <c r="D88" s="522">
        <f t="shared" si="6"/>
        <v>1754.499999999998</v>
      </c>
      <c r="E88" s="521">
        <f t="shared" si="7"/>
        <v>1546.8999999999996</v>
      </c>
      <c r="F88" s="478"/>
    </row>
    <row r="89" spans="1:6" ht="18" customHeight="1">
      <c r="A89" s="409">
        <v>84</v>
      </c>
      <c r="B89" s="521">
        <f t="shared" si="4"/>
        <v>1103.9999999999998</v>
      </c>
      <c r="C89" s="521">
        <f t="shared" si="5"/>
        <v>1066.3000000000006</v>
      </c>
      <c r="D89" s="522">
        <f t="shared" si="6"/>
        <v>1773.7999999999979</v>
      </c>
      <c r="E89" s="521">
        <f t="shared" si="7"/>
        <v>1563.8999999999996</v>
      </c>
      <c r="F89" s="478"/>
    </row>
    <row r="90" spans="1:6" ht="18" customHeight="1">
      <c r="A90" s="409">
        <v>85</v>
      </c>
      <c r="B90" s="521">
        <f t="shared" si="4"/>
        <v>1115.9999999999998</v>
      </c>
      <c r="C90" s="521">
        <f t="shared" si="5"/>
        <v>1077.9000000000005</v>
      </c>
      <c r="D90" s="522">
        <f t="shared" si="6"/>
        <v>1793.0999999999979</v>
      </c>
      <c r="E90" s="521">
        <f t="shared" si="7"/>
        <v>1580.8999999999996</v>
      </c>
      <c r="F90" s="478"/>
    </row>
    <row r="91" spans="1:6" ht="18" customHeight="1">
      <c r="A91" s="409">
        <v>86</v>
      </c>
      <c r="B91" s="521">
        <f t="shared" si="4"/>
        <v>1127.9999999999998</v>
      </c>
      <c r="C91" s="521">
        <f t="shared" si="5"/>
        <v>1089.5000000000005</v>
      </c>
      <c r="D91" s="522">
        <f t="shared" si="6"/>
        <v>1812.3999999999978</v>
      </c>
      <c r="E91" s="521">
        <f t="shared" si="7"/>
        <v>1597.8999999999996</v>
      </c>
      <c r="F91" s="478"/>
    </row>
    <row r="92" spans="1:6" ht="18" customHeight="1">
      <c r="A92" s="409">
        <v>87</v>
      </c>
      <c r="B92" s="521">
        <f t="shared" si="4"/>
        <v>1139.9999999999998</v>
      </c>
      <c r="C92" s="521">
        <f t="shared" si="5"/>
        <v>1101.1000000000004</v>
      </c>
      <c r="D92" s="522">
        <f t="shared" si="6"/>
        <v>1831.6999999999978</v>
      </c>
      <c r="E92" s="521">
        <f t="shared" si="7"/>
        <v>1614.8999999999996</v>
      </c>
      <c r="F92" s="478"/>
    </row>
    <row r="93" spans="1:6" ht="18" customHeight="1">
      <c r="A93" s="409">
        <v>88</v>
      </c>
      <c r="B93" s="521">
        <f t="shared" si="4"/>
        <v>1151.9999999999998</v>
      </c>
      <c r="C93" s="521">
        <f t="shared" si="5"/>
        <v>1112.7000000000003</v>
      </c>
      <c r="D93" s="522">
        <f t="shared" si="6"/>
        <v>1850.9999999999977</v>
      </c>
      <c r="E93" s="521">
        <f t="shared" si="7"/>
        <v>1631.8999999999996</v>
      </c>
      <c r="F93" s="478"/>
    </row>
    <row r="94" spans="1:6" ht="18" customHeight="1">
      <c r="A94" s="409">
        <v>89</v>
      </c>
      <c r="B94" s="521">
        <f t="shared" si="4"/>
        <v>1163.9999999999998</v>
      </c>
      <c r="C94" s="521">
        <f t="shared" si="5"/>
        <v>1124.3000000000002</v>
      </c>
      <c r="D94" s="522">
        <f t="shared" si="6"/>
        <v>1870.2999999999977</v>
      </c>
      <c r="E94" s="521">
        <f t="shared" si="7"/>
        <v>1648.8999999999996</v>
      </c>
      <c r="F94" s="478"/>
    </row>
    <row r="95" spans="1:6" ht="18" customHeight="1">
      <c r="A95" s="409">
        <v>90</v>
      </c>
      <c r="B95" s="521">
        <f t="shared" si="4"/>
        <v>1175.9999999999998</v>
      </c>
      <c r="C95" s="521">
        <f t="shared" si="5"/>
        <v>1135.9000000000001</v>
      </c>
      <c r="D95" s="522">
        <f t="shared" si="6"/>
        <v>1889.5999999999976</v>
      </c>
      <c r="E95" s="521">
        <f t="shared" si="7"/>
        <v>1665.8999999999996</v>
      </c>
      <c r="F95" s="478"/>
    </row>
    <row r="96" spans="1:6" ht="18" customHeight="1">
      <c r="A96" s="409">
        <v>91</v>
      </c>
      <c r="B96" s="521">
        <f t="shared" si="4"/>
        <v>1187.9999999999998</v>
      </c>
      <c r="C96" s="521">
        <f t="shared" si="5"/>
        <v>1147.5</v>
      </c>
      <c r="D96" s="522">
        <f t="shared" si="6"/>
        <v>1908.8999999999976</v>
      </c>
      <c r="E96" s="521">
        <f t="shared" si="7"/>
        <v>1682.8999999999996</v>
      </c>
      <c r="F96" s="478"/>
    </row>
    <row r="97" spans="1:6" ht="18" customHeight="1">
      <c r="A97" s="409">
        <v>92</v>
      </c>
      <c r="B97" s="521">
        <f t="shared" si="4"/>
        <v>1199.9999999999998</v>
      </c>
      <c r="C97" s="521">
        <f t="shared" si="5"/>
        <v>1159.0999999999999</v>
      </c>
      <c r="D97" s="522">
        <f t="shared" si="6"/>
        <v>1928.1999999999975</v>
      </c>
      <c r="E97" s="521">
        <f t="shared" si="7"/>
        <v>1699.8999999999996</v>
      </c>
      <c r="F97" s="478"/>
    </row>
    <row r="98" spans="1:6" ht="18" customHeight="1">
      <c r="A98" s="409">
        <v>93</v>
      </c>
      <c r="B98" s="521">
        <f t="shared" si="4"/>
        <v>1211.9999999999998</v>
      </c>
      <c r="C98" s="521">
        <f t="shared" si="5"/>
        <v>1170.6999999999998</v>
      </c>
      <c r="D98" s="522">
        <f t="shared" si="6"/>
        <v>1947.4999999999975</v>
      </c>
      <c r="E98" s="521">
        <f t="shared" si="7"/>
        <v>1716.8999999999996</v>
      </c>
      <c r="F98" s="478"/>
    </row>
    <row r="99" spans="1:6" ht="18" customHeight="1">
      <c r="A99" s="409">
        <v>94</v>
      </c>
      <c r="B99" s="521">
        <f t="shared" si="4"/>
        <v>1223.9999999999998</v>
      </c>
      <c r="C99" s="521">
        <f t="shared" si="5"/>
        <v>1182.2999999999997</v>
      </c>
      <c r="D99" s="522">
        <f t="shared" si="6"/>
        <v>1966.7999999999975</v>
      </c>
      <c r="E99" s="521">
        <f t="shared" si="7"/>
        <v>1733.8999999999996</v>
      </c>
      <c r="F99" s="478"/>
    </row>
    <row r="100" spans="1:6" ht="18" customHeight="1">
      <c r="A100" s="409">
        <v>95</v>
      </c>
      <c r="B100" s="521">
        <f t="shared" si="4"/>
        <v>1235.9999999999998</v>
      </c>
      <c r="C100" s="521">
        <f t="shared" si="5"/>
        <v>1193.8999999999996</v>
      </c>
      <c r="D100" s="522">
        <f t="shared" si="6"/>
        <v>1986.0999999999974</v>
      </c>
      <c r="E100" s="521">
        <f t="shared" si="7"/>
        <v>1750.8999999999996</v>
      </c>
      <c r="F100" s="478"/>
    </row>
    <row r="101" spans="1:6" ht="18" customHeight="1">
      <c r="A101" s="409">
        <v>96</v>
      </c>
      <c r="B101" s="521">
        <f t="shared" ref="B101:B164" si="8">B100+12</f>
        <v>1247.9999999999998</v>
      </c>
      <c r="C101" s="521">
        <f t="shared" ref="C101:C164" si="9">C100+11.6</f>
        <v>1205.4999999999995</v>
      </c>
      <c r="D101" s="522">
        <f t="shared" ref="D101:D164" si="10">D100+19.3</f>
        <v>2005.3999999999974</v>
      </c>
      <c r="E101" s="521">
        <f t="shared" ref="E101:E164" si="11">E100+17</f>
        <v>1767.8999999999996</v>
      </c>
      <c r="F101" s="478"/>
    </row>
    <row r="102" spans="1:6" ht="18" customHeight="1">
      <c r="A102" s="409">
        <v>97</v>
      </c>
      <c r="B102" s="521">
        <f t="shared" si="8"/>
        <v>1259.9999999999998</v>
      </c>
      <c r="C102" s="521">
        <f t="shared" si="9"/>
        <v>1217.0999999999995</v>
      </c>
      <c r="D102" s="522">
        <f t="shared" si="10"/>
        <v>2024.6999999999973</v>
      </c>
      <c r="E102" s="521">
        <f t="shared" si="11"/>
        <v>1784.8999999999996</v>
      </c>
      <c r="F102" s="478"/>
    </row>
    <row r="103" spans="1:6" ht="18" customHeight="1">
      <c r="A103" s="409">
        <v>98</v>
      </c>
      <c r="B103" s="521">
        <f t="shared" si="8"/>
        <v>1271.9999999999998</v>
      </c>
      <c r="C103" s="521">
        <f t="shared" si="9"/>
        <v>1228.6999999999994</v>
      </c>
      <c r="D103" s="522">
        <f t="shared" si="10"/>
        <v>2043.9999999999973</v>
      </c>
      <c r="E103" s="521">
        <f t="shared" si="11"/>
        <v>1801.8999999999996</v>
      </c>
      <c r="F103" s="478"/>
    </row>
    <row r="104" spans="1:6" ht="18" customHeight="1">
      <c r="A104" s="409">
        <v>99</v>
      </c>
      <c r="B104" s="521">
        <f t="shared" si="8"/>
        <v>1283.9999999999998</v>
      </c>
      <c r="C104" s="521">
        <f t="shared" si="9"/>
        <v>1240.2999999999993</v>
      </c>
      <c r="D104" s="522">
        <f t="shared" si="10"/>
        <v>2063.2999999999975</v>
      </c>
      <c r="E104" s="521">
        <f t="shared" si="11"/>
        <v>1818.8999999999996</v>
      </c>
      <c r="F104" s="478"/>
    </row>
    <row r="105" spans="1:6" ht="18" customHeight="1">
      <c r="A105" s="409">
        <v>100</v>
      </c>
      <c r="B105" s="521">
        <f t="shared" si="8"/>
        <v>1295.9999999999998</v>
      </c>
      <c r="C105" s="521">
        <f t="shared" si="9"/>
        <v>1251.8999999999992</v>
      </c>
      <c r="D105" s="522">
        <f t="shared" si="10"/>
        <v>2082.5999999999976</v>
      </c>
      <c r="E105" s="521">
        <f t="shared" si="11"/>
        <v>1835.8999999999996</v>
      </c>
      <c r="F105" s="478"/>
    </row>
    <row r="106" spans="1:6" ht="18" customHeight="1">
      <c r="A106" s="409">
        <v>101</v>
      </c>
      <c r="B106" s="521">
        <f t="shared" si="8"/>
        <v>1307.9999999999998</v>
      </c>
      <c r="C106" s="521">
        <f t="shared" si="9"/>
        <v>1263.4999999999991</v>
      </c>
      <c r="D106" s="522">
        <f t="shared" si="10"/>
        <v>2101.8999999999978</v>
      </c>
      <c r="E106" s="521">
        <f t="shared" si="11"/>
        <v>1852.8999999999996</v>
      </c>
      <c r="F106" s="478"/>
    </row>
    <row r="107" spans="1:6" ht="18" customHeight="1">
      <c r="A107" s="409">
        <v>102</v>
      </c>
      <c r="B107" s="521">
        <f t="shared" si="8"/>
        <v>1319.9999999999998</v>
      </c>
      <c r="C107" s="521">
        <f t="shared" si="9"/>
        <v>1275.099999999999</v>
      </c>
      <c r="D107" s="522">
        <f t="shared" si="10"/>
        <v>2121.199999999998</v>
      </c>
      <c r="E107" s="521">
        <f t="shared" si="11"/>
        <v>1869.8999999999996</v>
      </c>
      <c r="F107" s="478"/>
    </row>
    <row r="108" spans="1:6" ht="18" customHeight="1">
      <c r="A108" s="409">
        <v>103</v>
      </c>
      <c r="B108" s="521">
        <f t="shared" si="8"/>
        <v>1331.9999999999998</v>
      </c>
      <c r="C108" s="521">
        <f t="shared" si="9"/>
        <v>1286.6999999999989</v>
      </c>
      <c r="D108" s="522">
        <f t="shared" si="10"/>
        <v>2140.4999999999982</v>
      </c>
      <c r="E108" s="521">
        <f t="shared" si="11"/>
        <v>1886.8999999999996</v>
      </c>
      <c r="F108" s="478"/>
    </row>
    <row r="109" spans="1:6" ht="18" customHeight="1">
      <c r="A109" s="409">
        <v>104</v>
      </c>
      <c r="B109" s="521">
        <f t="shared" si="8"/>
        <v>1343.9999999999998</v>
      </c>
      <c r="C109" s="521">
        <f t="shared" si="9"/>
        <v>1298.2999999999988</v>
      </c>
      <c r="D109" s="522">
        <f t="shared" si="10"/>
        <v>2159.7999999999984</v>
      </c>
      <c r="E109" s="521">
        <f t="shared" si="11"/>
        <v>1903.8999999999996</v>
      </c>
      <c r="F109" s="478"/>
    </row>
    <row r="110" spans="1:6" ht="18" customHeight="1">
      <c r="A110" s="409">
        <v>105</v>
      </c>
      <c r="B110" s="521">
        <f t="shared" si="8"/>
        <v>1355.9999999999998</v>
      </c>
      <c r="C110" s="521">
        <f t="shared" si="9"/>
        <v>1309.8999999999987</v>
      </c>
      <c r="D110" s="522">
        <f t="shared" si="10"/>
        <v>2179.0999999999985</v>
      </c>
      <c r="E110" s="521">
        <f t="shared" si="11"/>
        <v>1920.8999999999996</v>
      </c>
      <c r="F110" s="478"/>
    </row>
    <row r="111" spans="1:6" ht="18" customHeight="1">
      <c r="A111" s="409">
        <v>106</v>
      </c>
      <c r="B111" s="521">
        <f t="shared" si="8"/>
        <v>1367.9999999999998</v>
      </c>
      <c r="C111" s="521">
        <f t="shared" si="9"/>
        <v>1321.4999999999986</v>
      </c>
      <c r="D111" s="522">
        <f t="shared" si="10"/>
        <v>2198.3999999999987</v>
      </c>
      <c r="E111" s="521">
        <f t="shared" si="11"/>
        <v>1937.8999999999996</v>
      </c>
      <c r="F111" s="478"/>
    </row>
    <row r="112" spans="1:6" ht="18" customHeight="1">
      <c r="A112" s="409">
        <v>107</v>
      </c>
      <c r="B112" s="521">
        <f t="shared" si="8"/>
        <v>1379.9999999999998</v>
      </c>
      <c r="C112" s="521">
        <f t="shared" si="9"/>
        <v>1333.0999999999985</v>
      </c>
      <c r="D112" s="522">
        <f t="shared" si="10"/>
        <v>2217.6999999999989</v>
      </c>
      <c r="E112" s="521">
        <f t="shared" si="11"/>
        <v>1954.8999999999996</v>
      </c>
      <c r="F112" s="478"/>
    </row>
    <row r="113" spans="1:6" ht="18" customHeight="1">
      <c r="A113" s="409">
        <v>108</v>
      </c>
      <c r="B113" s="521">
        <f t="shared" si="8"/>
        <v>1391.9999999999998</v>
      </c>
      <c r="C113" s="521">
        <f t="shared" si="9"/>
        <v>1344.6999999999985</v>
      </c>
      <c r="D113" s="522">
        <f t="shared" si="10"/>
        <v>2236.9999999999991</v>
      </c>
      <c r="E113" s="521">
        <f t="shared" si="11"/>
        <v>1971.8999999999996</v>
      </c>
      <c r="F113" s="478"/>
    </row>
    <row r="114" spans="1:6" ht="18" customHeight="1">
      <c r="A114" s="409">
        <v>109</v>
      </c>
      <c r="B114" s="521">
        <f t="shared" si="8"/>
        <v>1403.9999999999998</v>
      </c>
      <c r="C114" s="521">
        <f t="shared" si="9"/>
        <v>1356.2999999999984</v>
      </c>
      <c r="D114" s="522">
        <f t="shared" si="10"/>
        <v>2256.2999999999993</v>
      </c>
      <c r="E114" s="521">
        <f t="shared" si="11"/>
        <v>1988.8999999999996</v>
      </c>
      <c r="F114" s="478"/>
    </row>
    <row r="115" spans="1:6" ht="18" customHeight="1">
      <c r="A115" s="409">
        <v>110</v>
      </c>
      <c r="B115" s="521">
        <f t="shared" si="8"/>
        <v>1415.9999999999998</v>
      </c>
      <c r="C115" s="521">
        <f t="shared" si="9"/>
        <v>1367.8999999999983</v>
      </c>
      <c r="D115" s="522">
        <f t="shared" si="10"/>
        <v>2275.5999999999995</v>
      </c>
      <c r="E115" s="521">
        <f t="shared" si="11"/>
        <v>2005.8999999999996</v>
      </c>
      <c r="F115" s="478"/>
    </row>
    <row r="116" spans="1:6" ht="18" customHeight="1">
      <c r="A116" s="409">
        <v>111</v>
      </c>
      <c r="B116" s="521">
        <f t="shared" si="8"/>
        <v>1427.9999999999998</v>
      </c>
      <c r="C116" s="521">
        <f t="shared" si="9"/>
        <v>1379.4999999999982</v>
      </c>
      <c r="D116" s="522">
        <f t="shared" si="10"/>
        <v>2294.8999999999996</v>
      </c>
      <c r="E116" s="521">
        <f t="shared" si="11"/>
        <v>2022.8999999999996</v>
      </c>
      <c r="F116" s="478"/>
    </row>
    <row r="117" spans="1:6" ht="18" customHeight="1">
      <c r="A117" s="409">
        <v>112</v>
      </c>
      <c r="B117" s="521">
        <f t="shared" si="8"/>
        <v>1439.9999999999998</v>
      </c>
      <c r="C117" s="521">
        <f t="shared" si="9"/>
        <v>1391.0999999999981</v>
      </c>
      <c r="D117" s="522">
        <f t="shared" si="10"/>
        <v>2314.1999999999998</v>
      </c>
      <c r="E117" s="521">
        <f t="shared" si="11"/>
        <v>2039.8999999999996</v>
      </c>
      <c r="F117" s="478"/>
    </row>
    <row r="118" spans="1:6" ht="18" customHeight="1">
      <c r="A118" s="409">
        <v>113</v>
      </c>
      <c r="B118" s="521">
        <f t="shared" si="8"/>
        <v>1451.9999999999998</v>
      </c>
      <c r="C118" s="521">
        <f t="shared" si="9"/>
        <v>1402.699999999998</v>
      </c>
      <c r="D118" s="522">
        <f t="shared" si="10"/>
        <v>2333.5</v>
      </c>
      <c r="E118" s="521">
        <f t="shared" si="11"/>
        <v>2056.8999999999996</v>
      </c>
      <c r="F118" s="478"/>
    </row>
    <row r="119" spans="1:6" ht="18" customHeight="1">
      <c r="A119" s="409">
        <v>114</v>
      </c>
      <c r="B119" s="521">
        <f t="shared" si="8"/>
        <v>1463.9999999999998</v>
      </c>
      <c r="C119" s="521">
        <f t="shared" si="9"/>
        <v>1414.2999999999979</v>
      </c>
      <c r="D119" s="522">
        <f t="shared" si="10"/>
        <v>2352.8000000000002</v>
      </c>
      <c r="E119" s="521">
        <f t="shared" si="11"/>
        <v>2073.8999999999996</v>
      </c>
      <c r="F119" s="478"/>
    </row>
    <row r="120" spans="1:6" ht="18" customHeight="1">
      <c r="A120" s="409">
        <v>115</v>
      </c>
      <c r="B120" s="521">
        <f t="shared" si="8"/>
        <v>1475.9999999999998</v>
      </c>
      <c r="C120" s="521">
        <f t="shared" si="9"/>
        <v>1425.8999999999978</v>
      </c>
      <c r="D120" s="522">
        <f t="shared" si="10"/>
        <v>2372.1000000000004</v>
      </c>
      <c r="E120" s="521">
        <f t="shared" si="11"/>
        <v>2090.8999999999996</v>
      </c>
      <c r="F120" s="478"/>
    </row>
    <row r="121" spans="1:6" ht="18" customHeight="1">
      <c r="A121" s="409">
        <v>116</v>
      </c>
      <c r="B121" s="521">
        <f t="shared" si="8"/>
        <v>1487.9999999999998</v>
      </c>
      <c r="C121" s="521">
        <f t="shared" si="9"/>
        <v>1437.4999999999977</v>
      </c>
      <c r="D121" s="522">
        <f t="shared" si="10"/>
        <v>2391.4000000000005</v>
      </c>
      <c r="E121" s="521">
        <f t="shared" si="11"/>
        <v>2107.8999999999996</v>
      </c>
      <c r="F121" s="478"/>
    </row>
    <row r="122" spans="1:6" ht="18" customHeight="1">
      <c r="A122" s="409">
        <v>117</v>
      </c>
      <c r="B122" s="521">
        <f t="shared" si="8"/>
        <v>1499.9999999999998</v>
      </c>
      <c r="C122" s="521">
        <f t="shared" si="9"/>
        <v>1449.0999999999976</v>
      </c>
      <c r="D122" s="522">
        <f t="shared" si="10"/>
        <v>2410.7000000000007</v>
      </c>
      <c r="E122" s="521">
        <f t="shared" si="11"/>
        <v>2124.8999999999996</v>
      </c>
      <c r="F122" s="478"/>
    </row>
    <row r="123" spans="1:6" ht="18" customHeight="1">
      <c r="A123" s="409">
        <v>118</v>
      </c>
      <c r="B123" s="521">
        <f t="shared" si="8"/>
        <v>1511.9999999999998</v>
      </c>
      <c r="C123" s="521">
        <f t="shared" si="9"/>
        <v>1460.6999999999975</v>
      </c>
      <c r="D123" s="522">
        <f t="shared" si="10"/>
        <v>2430.0000000000009</v>
      </c>
      <c r="E123" s="521">
        <f t="shared" si="11"/>
        <v>2141.8999999999996</v>
      </c>
      <c r="F123" s="478"/>
    </row>
    <row r="124" spans="1:6" ht="18" customHeight="1">
      <c r="A124" s="409">
        <v>119</v>
      </c>
      <c r="B124" s="521">
        <f t="shared" si="8"/>
        <v>1523.9999999999998</v>
      </c>
      <c r="C124" s="521">
        <f t="shared" si="9"/>
        <v>1472.2999999999975</v>
      </c>
      <c r="D124" s="522">
        <f t="shared" si="10"/>
        <v>2449.3000000000011</v>
      </c>
      <c r="E124" s="521">
        <f t="shared" si="11"/>
        <v>2158.8999999999996</v>
      </c>
      <c r="F124" s="478"/>
    </row>
    <row r="125" spans="1:6" ht="18" customHeight="1">
      <c r="A125" s="409">
        <v>120</v>
      </c>
      <c r="B125" s="521">
        <f t="shared" si="8"/>
        <v>1535.9999999999998</v>
      </c>
      <c r="C125" s="521">
        <f t="shared" si="9"/>
        <v>1483.8999999999974</v>
      </c>
      <c r="D125" s="522">
        <f t="shared" si="10"/>
        <v>2468.6000000000013</v>
      </c>
      <c r="E125" s="521">
        <f t="shared" si="11"/>
        <v>2175.8999999999996</v>
      </c>
      <c r="F125" s="478"/>
    </row>
    <row r="126" spans="1:6" ht="18" customHeight="1">
      <c r="A126" s="409">
        <v>121</v>
      </c>
      <c r="B126" s="521">
        <f t="shared" si="8"/>
        <v>1547.9999999999998</v>
      </c>
      <c r="C126" s="521">
        <f t="shared" si="9"/>
        <v>1495.4999999999973</v>
      </c>
      <c r="D126" s="522">
        <f t="shared" si="10"/>
        <v>2487.9000000000015</v>
      </c>
      <c r="E126" s="521">
        <f t="shared" si="11"/>
        <v>2192.8999999999996</v>
      </c>
      <c r="F126" s="478"/>
    </row>
    <row r="127" spans="1:6" ht="18" customHeight="1">
      <c r="A127" s="409">
        <v>122</v>
      </c>
      <c r="B127" s="521">
        <f t="shared" si="8"/>
        <v>1559.9999999999998</v>
      </c>
      <c r="C127" s="521">
        <f t="shared" si="9"/>
        <v>1507.0999999999972</v>
      </c>
      <c r="D127" s="522">
        <f t="shared" si="10"/>
        <v>2507.2000000000016</v>
      </c>
      <c r="E127" s="521">
        <f t="shared" si="11"/>
        <v>2209.8999999999996</v>
      </c>
      <c r="F127" s="478"/>
    </row>
    <row r="128" spans="1:6" ht="18" customHeight="1">
      <c r="A128" s="409">
        <v>123</v>
      </c>
      <c r="B128" s="521">
        <f t="shared" si="8"/>
        <v>1571.9999999999998</v>
      </c>
      <c r="C128" s="521">
        <f t="shared" si="9"/>
        <v>1518.6999999999971</v>
      </c>
      <c r="D128" s="522">
        <f t="shared" si="10"/>
        <v>2526.5000000000018</v>
      </c>
      <c r="E128" s="521">
        <f t="shared" si="11"/>
        <v>2226.8999999999996</v>
      </c>
      <c r="F128" s="478"/>
    </row>
    <row r="129" spans="1:6" ht="18" customHeight="1">
      <c r="A129" s="409">
        <v>124</v>
      </c>
      <c r="B129" s="521">
        <f t="shared" si="8"/>
        <v>1583.9999999999998</v>
      </c>
      <c r="C129" s="521">
        <f t="shared" si="9"/>
        <v>1530.299999999997</v>
      </c>
      <c r="D129" s="522">
        <f t="shared" si="10"/>
        <v>2545.800000000002</v>
      </c>
      <c r="E129" s="521">
        <f t="shared" si="11"/>
        <v>2243.8999999999996</v>
      </c>
      <c r="F129" s="478"/>
    </row>
    <row r="130" spans="1:6" ht="18" customHeight="1">
      <c r="A130" s="409">
        <v>125</v>
      </c>
      <c r="B130" s="521">
        <f t="shared" si="8"/>
        <v>1595.9999999999998</v>
      </c>
      <c r="C130" s="521">
        <f t="shared" si="9"/>
        <v>1541.8999999999969</v>
      </c>
      <c r="D130" s="522">
        <f t="shared" si="10"/>
        <v>2565.1000000000022</v>
      </c>
      <c r="E130" s="521">
        <f t="shared" si="11"/>
        <v>2260.8999999999996</v>
      </c>
      <c r="F130" s="478"/>
    </row>
    <row r="131" spans="1:6" ht="18" customHeight="1">
      <c r="A131" s="409">
        <v>126</v>
      </c>
      <c r="B131" s="521">
        <f t="shared" si="8"/>
        <v>1607.9999999999998</v>
      </c>
      <c r="C131" s="521">
        <f t="shared" si="9"/>
        <v>1553.4999999999968</v>
      </c>
      <c r="D131" s="522">
        <f t="shared" si="10"/>
        <v>2584.4000000000024</v>
      </c>
      <c r="E131" s="521">
        <f t="shared" si="11"/>
        <v>2277.8999999999996</v>
      </c>
      <c r="F131" s="478"/>
    </row>
    <row r="132" spans="1:6" ht="18" customHeight="1">
      <c r="A132" s="409">
        <v>127</v>
      </c>
      <c r="B132" s="521">
        <f t="shared" si="8"/>
        <v>1619.9999999999998</v>
      </c>
      <c r="C132" s="521">
        <f t="shared" si="9"/>
        <v>1565.0999999999967</v>
      </c>
      <c r="D132" s="522">
        <f t="shared" si="10"/>
        <v>2603.7000000000025</v>
      </c>
      <c r="E132" s="521">
        <f t="shared" si="11"/>
        <v>2294.8999999999996</v>
      </c>
      <c r="F132" s="478"/>
    </row>
    <row r="133" spans="1:6" ht="18" customHeight="1">
      <c r="A133" s="409">
        <v>128</v>
      </c>
      <c r="B133" s="521">
        <f t="shared" si="8"/>
        <v>1631.9999999999998</v>
      </c>
      <c r="C133" s="521">
        <f t="shared" si="9"/>
        <v>1576.6999999999966</v>
      </c>
      <c r="D133" s="522">
        <f t="shared" si="10"/>
        <v>2623.0000000000027</v>
      </c>
      <c r="E133" s="521">
        <f t="shared" si="11"/>
        <v>2311.8999999999996</v>
      </c>
      <c r="F133" s="478"/>
    </row>
    <row r="134" spans="1:6" ht="18" customHeight="1">
      <c r="A134" s="409">
        <v>129</v>
      </c>
      <c r="B134" s="521">
        <f t="shared" si="8"/>
        <v>1643.9999999999998</v>
      </c>
      <c r="C134" s="521">
        <f t="shared" si="9"/>
        <v>1588.2999999999965</v>
      </c>
      <c r="D134" s="522">
        <f t="shared" si="10"/>
        <v>2642.3000000000029</v>
      </c>
      <c r="E134" s="521">
        <f t="shared" si="11"/>
        <v>2328.8999999999996</v>
      </c>
      <c r="F134" s="478"/>
    </row>
    <row r="135" spans="1:6" ht="18" customHeight="1">
      <c r="A135" s="409">
        <v>130</v>
      </c>
      <c r="B135" s="521">
        <f t="shared" si="8"/>
        <v>1655.9999999999998</v>
      </c>
      <c r="C135" s="521">
        <f t="shared" si="9"/>
        <v>1599.8999999999965</v>
      </c>
      <c r="D135" s="522">
        <f t="shared" si="10"/>
        <v>2661.6000000000031</v>
      </c>
      <c r="E135" s="521">
        <f t="shared" si="11"/>
        <v>2345.8999999999996</v>
      </c>
      <c r="F135" s="478"/>
    </row>
    <row r="136" spans="1:6" ht="18" customHeight="1">
      <c r="A136" s="409">
        <v>131</v>
      </c>
      <c r="B136" s="521">
        <f t="shared" si="8"/>
        <v>1667.9999999999998</v>
      </c>
      <c r="C136" s="521">
        <f t="shared" si="9"/>
        <v>1611.4999999999964</v>
      </c>
      <c r="D136" s="522">
        <f t="shared" si="10"/>
        <v>2680.9000000000033</v>
      </c>
      <c r="E136" s="521">
        <f t="shared" si="11"/>
        <v>2362.8999999999996</v>
      </c>
      <c r="F136" s="478"/>
    </row>
    <row r="137" spans="1:6" ht="18" customHeight="1">
      <c r="A137" s="409">
        <v>132</v>
      </c>
      <c r="B137" s="521">
        <f t="shared" si="8"/>
        <v>1679.9999999999998</v>
      </c>
      <c r="C137" s="521">
        <f t="shared" si="9"/>
        <v>1623.0999999999963</v>
      </c>
      <c r="D137" s="522">
        <f t="shared" si="10"/>
        <v>2700.2000000000035</v>
      </c>
      <c r="E137" s="521">
        <f t="shared" si="11"/>
        <v>2379.8999999999996</v>
      </c>
      <c r="F137" s="478"/>
    </row>
    <row r="138" spans="1:6" ht="18" customHeight="1">
      <c r="A138" s="409">
        <v>133</v>
      </c>
      <c r="B138" s="521">
        <f t="shared" si="8"/>
        <v>1691.9999999999998</v>
      </c>
      <c r="C138" s="521">
        <f t="shared" si="9"/>
        <v>1634.6999999999962</v>
      </c>
      <c r="D138" s="522">
        <f t="shared" si="10"/>
        <v>2719.5000000000036</v>
      </c>
      <c r="E138" s="521">
        <f t="shared" si="11"/>
        <v>2396.8999999999996</v>
      </c>
      <c r="F138" s="478"/>
    </row>
    <row r="139" spans="1:6" ht="18" customHeight="1">
      <c r="A139" s="409">
        <v>134</v>
      </c>
      <c r="B139" s="521">
        <f t="shared" si="8"/>
        <v>1703.9999999999998</v>
      </c>
      <c r="C139" s="521">
        <f t="shared" si="9"/>
        <v>1646.2999999999961</v>
      </c>
      <c r="D139" s="522">
        <f t="shared" si="10"/>
        <v>2738.8000000000038</v>
      </c>
      <c r="E139" s="521">
        <f t="shared" si="11"/>
        <v>2413.8999999999996</v>
      </c>
      <c r="F139" s="478"/>
    </row>
    <row r="140" spans="1:6" ht="18" customHeight="1">
      <c r="A140" s="414">
        <v>135</v>
      </c>
      <c r="B140" s="521">
        <f t="shared" si="8"/>
        <v>1715.9999999999998</v>
      </c>
      <c r="C140" s="521">
        <f t="shared" si="9"/>
        <v>1657.899999999996</v>
      </c>
      <c r="D140" s="522">
        <f t="shared" si="10"/>
        <v>2758.100000000004</v>
      </c>
      <c r="E140" s="521">
        <f t="shared" si="11"/>
        <v>2430.8999999999996</v>
      </c>
      <c r="F140" s="478"/>
    </row>
    <row r="141" spans="1:6" ht="18" customHeight="1">
      <c r="A141" s="409">
        <v>136</v>
      </c>
      <c r="B141" s="521">
        <f t="shared" si="8"/>
        <v>1727.9999999999998</v>
      </c>
      <c r="C141" s="521">
        <f t="shared" si="9"/>
        <v>1669.4999999999959</v>
      </c>
      <c r="D141" s="522">
        <f t="shared" si="10"/>
        <v>2777.4000000000042</v>
      </c>
      <c r="E141" s="521">
        <f t="shared" si="11"/>
        <v>2447.8999999999996</v>
      </c>
      <c r="F141" s="478"/>
    </row>
    <row r="142" spans="1:6" ht="18" customHeight="1">
      <c r="A142" s="409">
        <v>137</v>
      </c>
      <c r="B142" s="521">
        <f t="shared" si="8"/>
        <v>1739.9999999999998</v>
      </c>
      <c r="C142" s="521">
        <f t="shared" si="9"/>
        <v>1681.0999999999958</v>
      </c>
      <c r="D142" s="522">
        <f t="shared" si="10"/>
        <v>2796.7000000000044</v>
      </c>
      <c r="E142" s="521">
        <f t="shared" si="11"/>
        <v>2464.8999999999996</v>
      </c>
      <c r="F142" s="478"/>
    </row>
    <row r="143" spans="1:6" ht="18" customHeight="1">
      <c r="A143" s="409">
        <v>138</v>
      </c>
      <c r="B143" s="521">
        <f t="shared" si="8"/>
        <v>1751.9999999999998</v>
      </c>
      <c r="C143" s="521">
        <f t="shared" si="9"/>
        <v>1692.6999999999957</v>
      </c>
      <c r="D143" s="522">
        <f t="shared" si="10"/>
        <v>2816.0000000000045</v>
      </c>
      <c r="E143" s="521">
        <f t="shared" si="11"/>
        <v>2481.8999999999996</v>
      </c>
      <c r="F143" s="478"/>
    </row>
    <row r="144" spans="1:6" ht="18" customHeight="1">
      <c r="A144" s="409">
        <v>139</v>
      </c>
      <c r="B144" s="521">
        <f t="shared" si="8"/>
        <v>1763.9999999999998</v>
      </c>
      <c r="C144" s="521">
        <f t="shared" si="9"/>
        <v>1704.2999999999956</v>
      </c>
      <c r="D144" s="522">
        <f t="shared" si="10"/>
        <v>2835.3000000000047</v>
      </c>
      <c r="E144" s="521">
        <f t="shared" si="11"/>
        <v>2498.8999999999996</v>
      </c>
      <c r="F144" s="478"/>
    </row>
    <row r="145" spans="1:6" ht="18" customHeight="1">
      <c r="A145" s="409">
        <v>140</v>
      </c>
      <c r="B145" s="521">
        <f t="shared" si="8"/>
        <v>1775.9999999999998</v>
      </c>
      <c r="C145" s="521">
        <f t="shared" si="9"/>
        <v>1715.8999999999955</v>
      </c>
      <c r="D145" s="522">
        <f t="shared" si="10"/>
        <v>2854.6000000000049</v>
      </c>
      <c r="E145" s="521">
        <f t="shared" si="11"/>
        <v>2515.8999999999996</v>
      </c>
      <c r="F145" s="478"/>
    </row>
    <row r="146" spans="1:6" ht="18" customHeight="1">
      <c r="A146" s="409">
        <v>141</v>
      </c>
      <c r="B146" s="521">
        <f t="shared" si="8"/>
        <v>1787.9999999999998</v>
      </c>
      <c r="C146" s="521">
        <f t="shared" si="9"/>
        <v>1727.4999999999955</v>
      </c>
      <c r="D146" s="522">
        <f t="shared" si="10"/>
        <v>2873.9000000000051</v>
      </c>
      <c r="E146" s="521">
        <f t="shared" si="11"/>
        <v>2532.8999999999996</v>
      </c>
      <c r="F146" s="478"/>
    </row>
    <row r="147" spans="1:6" ht="18" customHeight="1">
      <c r="A147" s="409">
        <v>142</v>
      </c>
      <c r="B147" s="521">
        <f t="shared" si="8"/>
        <v>1799.9999999999998</v>
      </c>
      <c r="C147" s="521">
        <f t="shared" si="9"/>
        <v>1739.0999999999954</v>
      </c>
      <c r="D147" s="522">
        <f t="shared" si="10"/>
        <v>2893.2000000000053</v>
      </c>
      <c r="E147" s="521">
        <f t="shared" si="11"/>
        <v>2549.8999999999996</v>
      </c>
      <c r="F147" s="478"/>
    </row>
    <row r="148" spans="1:6" ht="18" customHeight="1">
      <c r="A148" s="409">
        <v>143</v>
      </c>
      <c r="B148" s="521">
        <f t="shared" si="8"/>
        <v>1811.9999999999998</v>
      </c>
      <c r="C148" s="521">
        <f t="shared" si="9"/>
        <v>1750.6999999999953</v>
      </c>
      <c r="D148" s="522">
        <f t="shared" si="10"/>
        <v>2912.5000000000055</v>
      </c>
      <c r="E148" s="521">
        <f t="shared" si="11"/>
        <v>2566.8999999999996</v>
      </c>
      <c r="F148" s="478"/>
    </row>
    <row r="149" spans="1:6" ht="18" customHeight="1">
      <c r="A149" s="409">
        <v>144</v>
      </c>
      <c r="B149" s="521">
        <f t="shared" si="8"/>
        <v>1823.9999999999998</v>
      </c>
      <c r="C149" s="521">
        <f t="shared" si="9"/>
        <v>1762.2999999999952</v>
      </c>
      <c r="D149" s="522">
        <f t="shared" si="10"/>
        <v>2931.8000000000056</v>
      </c>
      <c r="E149" s="521">
        <f t="shared" si="11"/>
        <v>2583.8999999999996</v>
      </c>
      <c r="F149" s="478"/>
    </row>
    <row r="150" spans="1:6" ht="18" customHeight="1">
      <c r="A150" s="409">
        <v>145</v>
      </c>
      <c r="B150" s="521">
        <f t="shared" si="8"/>
        <v>1835.9999999999998</v>
      </c>
      <c r="C150" s="521">
        <f t="shared" si="9"/>
        <v>1773.8999999999951</v>
      </c>
      <c r="D150" s="522">
        <f t="shared" si="10"/>
        <v>2951.1000000000058</v>
      </c>
      <c r="E150" s="521">
        <f t="shared" si="11"/>
        <v>2600.8999999999996</v>
      </c>
      <c r="F150" s="478"/>
    </row>
    <row r="151" spans="1:6" ht="18" customHeight="1">
      <c r="A151" s="409">
        <v>146</v>
      </c>
      <c r="B151" s="521">
        <f t="shared" si="8"/>
        <v>1847.9999999999998</v>
      </c>
      <c r="C151" s="521">
        <f t="shared" si="9"/>
        <v>1785.499999999995</v>
      </c>
      <c r="D151" s="522">
        <f t="shared" si="10"/>
        <v>2970.400000000006</v>
      </c>
      <c r="E151" s="521">
        <f t="shared" si="11"/>
        <v>2617.8999999999996</v>
      </c>
      <c r="F151" s="478"/>
    </row>
    <row r="152" spans="1:6" ht="18" customHeight="1">
      <c r="A152" s="409">
        <v>147</v>
      </c>
      <c r="B152" s="521">
        <f t="shared" si="8"/>
        <v>1859.9999999999998</v>
      </c>
      <c r="C152" s="521">
        <f t="shared" si="9"/>
        <v>1797.0999999999949</v>
      </c>
      <c r="D152" s="522">
        <f t="shared" si="10"/>
        <v>2989.7000000000062</v>
      </c>
      <c r="E152" s="521">
        <f t="shared" si="11"/>
        <v>2634.8999999999996</v>
      </c>
      <c r="F152" s="478"/>
    </row>
    <row r="153" spans="1:6" ht="18" customHeight="1">
      <c r="A153" s="409">
        <v>148</v>
      </c>
      <c r="B153" s="521">
        <f t="shared" si="8"/>
        <v>1871.9999999999998</v>
      </c>
      <c r="C153" s="521">
        <f t="shared" si="9"/>
        <v>1808.6999999999948</v>
      </c>
      <c r="D153" s="522">
        <f t="shared" si="10"/>
        <v>3009.0000000000064</v>
      </c>
      <c r="E153" s="521">
        <f t="shared" si="11"/>
        <v>2651.8999999999996</v>
      </c>
      <c r="F153" s="478"/>
    </row>
    <row r="154" spans="1:6" ht="18" customHeight="1">
      <c r="A154" s="409">
        <v>149</v>
      </c>
      <c r="B154" s="521">
        <f t="shared" si="8"/>
        <v>1883.9999999999998</v>
      </c>
      <c r="C154" s="521">
        <f t="shared" si="9"/>
        <v>1820.2999999999947</v>
      </c>
      <c r="D154" s="522">
        <f t="shared" si="10"/>
        <v>3028.3000000000065</v>
      </c>
      <c r="E154" s="521">
        <f t="shared" si="11"/>
        <v>2668.8999999999996</v>
      </c>
      <c r="F154" s="478"/>
    </row>
    <row r="155" spans="1:6" ht="18" customHeight="1">
      <c r="A155" s="409">
        <v>150</v>
      </c>
      <c r="B155" s="521">
        <f t="shared" si="8"/>
        <v>1895.9999999999998</v>
      </c>
      <c r="C155" s="521">
        <f t="shared" si="9"/>
        <v>1831.8999999999946</v>
      </c>
      <c r="D155" s="522">
        <f t="shared" si="10"/>
        <v>3047.6000000000067</v>
      </c>
      <c r="E155" s="521">
        <f t="shared" si="11"/>
        <v>2685.8999999999996</v>
      </c>
      <c r="F155" s="478"/>
    </row>
    <row r="156" spans="1:6" ht="18" customHeight="1">
      <c r="A156" s="409">
        <v>151</v>
      </c>
      <c r="B156" s="521">
        <f t="shared" si="8"/>
        <v>1907.9999999999998</v>
      </c>
      <c r="C156" s="521">
        <f t="shared" si="9"/>
        <v>1843.4999999999945</v>
      </c>
      <c r="D156" s="522">
        <f t="shared" si="10"/>
        <v>3066.9000000000069</v>
      </c>
      <c r="E156" s="521">
        <f t="shared" si="11"/>
        <v>2702.8999999999996</v>
      </c>
      <c r="F156" s="478"/>
    </row>
    <row r="157" spans="1:6" ht="18" customHeight="1">
      <c r="A157" s="409">
        <v>152</v>
      </c>
      <c r="B157" s="521">
        <f t="shared" si="8"/>
        <v>1919.9999999999998</v>
      </c>
      <c r="C157" s="521">
        <f t="shared" si="9"/>
        <v>1855.0999999999945</v>
      </c>
      <c r="D157" s="522">
        <f t="shared" si="10"/>
        <v>3086.2000000000071</v>
      </c>
      <c r="E157" s="521">
        <f t="shared" si="11"/>
        <v>2719.8999999999996</v>
      </c>
      <c r="F157" s="478"/>
    </row>
    <row r="158" spans="1:6" ht="18" customHeight="1">
      <c r="A158" s="409">
        <v>153</v>
      </c>
      <c r="B158" s="521">
        <f t="shared" si="8"/>
        <v>1931.9999999999998</v>
      </c>
      <c r="C158" s="521">
        <f t="shared" si="9"/>
        <v>1866.6999999999944</v>
      </c>
      <c r="D158" s="522">
        <f t="shared" si="10"/>
        <v>3105.5000000000073</v>
      </c>
      <c r="E158" s="521">
        <f t="shared" si="11"/>
        <v>2736.8999999999996</v>
      </c>
      <c r="F158" s="478"/>
    </row>
    <row r="159" spans="1:6" ht="18" customHeight="1">
      <c r="A159" s="409">
        <v>154</v>
      </c>
      <c r="B159" s="521">
        <f t="shared" si="8"/>
        <v>1943.9999999999998</v>
      </c>
      <c r="C159" s="521">
        <f t="shared" si="9"/>
        <v>1878.2999999999943</v>
      </c>
      <c r="D159" s="522">
        <f t="shared" si="10"/>
        <v>3124.8000000000075</v>
      </c>
      <c r="E159" s="521">
        <f t="shared" si="11"/>
        <v>2753.8999999999996</v>
      </c>
      <c r="F159" s="478"/>
    </row>
    <row r="160" spans="1:6" ht="18" customHeight="1">
      <c r="A160" s="409">
        <v>155</v>
      </c>
      <c r="B160" s="521">
        <f t="shared" si="8"/>
        <v>1955.9999999999998</v>
      </c>
      <c r="C160" s="521">
        <f t="shared" si="9"/>
        <v>1889.8999999999942</v>
      </c>
      <c r="D160" s="522">
        <f t="shared" si="10"/>
        <v>3144.1000000000076</v>
      </c>
      <c r="E160" s="521">
        <f t="shared" si="11"/>
        <v>2770.8999999999996</v>
      </c>
      <c r="F160" s="478"/>
    </row>
    <row r="161" spans="1:6" ht="18" customHeight="1">
      <c r="A161" s="409">
        <v>156</v>
      </c>
      <c r="B161" s="521">
        <f t="shared" si="8"/>
        <v>1967.9999999999998</v>
      </c>
      <c r="C161" s="521">
        <f t="shared" si="9"/>
        <v>1901.4999999999941</v>
      </c>
      <c r="D161" s="522">
        <f t="shared" si="10"/>
        <v>3163.4000000000078</v>
      </c>
      <c r="E161" s="521">
        <f t="shared" si="11"/>
        <v>2787.8999999999996</v>
      </c>
      <c r="F161" s="478"/>
    </row>
    <row r="162" spans="1:6" ht="18" customHeight="1">
      <c r="A162" s="409">
        <v>157</v>
      </c>
      <c r="B162" s="521">
        <f t="shared" si="8"/>
        <v>1979.9999999999998</v>
      </c>
      <c r="C162" s="521">
        <f t="shared" si="9"/>
        <v>1913.099999999994</v>
      </c>
      <c r="D162" s="522">
        <f t="shared" si="10"/>
        <v>3182.700000000008</v>
      </c>
      <c r="E162" s="521">
        <f t="shared" si="11"/>
        <v>2804.8999999999996</v>
      </c>
      <c r="F162" s="478"/>
    </row>
    <row r="163" spans="1:6" ht="18" customHeight="1">
      <c r="A163" s="409">
        <v>158</v>
      </c>
      <c r="B163" s="521">
        <f t="shared" si="8"/>
        <v>1991.9999999999998</v>
      </c>
      <c r="C163" s="521">
        <f t="shared" si="9"/>
        <v>1924.6999999999939</v>
      </c>
      <c r="D163" s="522">
        <f t="shared" si="10"/>
        <v>3202.0000000000082</v>
      </c>
      <c r="E163" s="521">
        <f t="shared" si="11"/>
        <v>2821.8999999999996</v>
      </c>
      <c r="F163" s="478"/>
    </row>
    <row r="164" spans="1:6" ht="18" customHeight="1">
      <c r="A164" s="409">
        <v>159</v>
      </c>
      <c r="B164" s="521">
        <f t="shared" si="8"/>
        <v>2003.9999999999998</v>
      </c>
      <c r="C164" s="521">
        <f t="shared" si="9"/>
        <v>1936.2999999999938</v>
      </c>
      <c r="D164" s="522">
        <f t="shared" si="10"/>
        <v>3221.3000000000084</v>
      </c>
      <c r="E164" s="521">
        <f t="shared" si="11"/>
        <v>2838.8999999999996</v>
      </c>
      <c r="F164" s="478"/>
    </row>
    <row r="165" spans="1:6" ht="18" customHeight="1">
      <c r="A165" s="409">
        <v>160</v>
      </c>
      <c r="B165" s="521">
        <f t="shared" ref="B165:B228" si="12">B164+12</f>
        <v>2015.9999999999998</v>
      </c>
      <c r="C165" s="521">
        <f t="shared" ref="C165:C228" si="13">C164+11.6</f>
        <v>1947.8999999999937</v>
      </c>
      <c r="D165" s="522">
        <f t="shared" ref="D165:D228" si="14">D164+19.3</f>
        <v>3240.6000000000085</v>
      </c>
      <c r="E165" s="521">
        <f t="shared" ref="E165:E228" si="15">E164+17</f>
        <v>2855.8999999999996</v>
      </c>
      <c r="F165" s="478"/>
    </row>
    <row r="166" spans="1:6" ht="18" customHeight="1">
      <c r="A166" s="409">
        <v>161</v>
      </c>
      <c r="B166" s="521">
        <f t="shared" si="12"/>
        <v>2027.9999999999998</v>
      </c>
      <c r="C166" s="521">
        <f t="shared" si="13"/>
        <v>1959.4999999999936</v>
      </c>
      <c r="D166" s="522">
        <f t="shared" si="14"/>
        <v>3259.9000000000087</v>
      </c>
      <c r="E166" s="521">
        <f t="shared" si="15"/>
        <v>2872.8999999999996</v>
      </c>
      <c r="F166" s="478"/>
    </row>
    <row r="167" spans="1:6" ht="18" customHeight="1">
      <c r="A167" s="409">
        <v>162</v>
      </c>
      <c r="B167" s="521">
        <f t="shared" si="12"/>
        <v>2039.9999999999998</v>
      </c>
      <c r="C167" s="521">
        <f t="shared" si="13"/>
        <v>1971.0999999999935</v>
      </c>
      <c r="D167" s="522">
        <f t="shared" si="14"/>
        <v>3279.2000000000089</v>
      </c>
      <c r="E167" s="521">
        <f t="shared" si="15"/>
        <v>2889.8999999999996</v>
      </c>
      <c r="F167" s="478"/>
    </row>
    <row r="168" spans="1:6" ht="18" customHeight="1">
      <c r="A168" s="409">
        <v>163</v>
      </c>
      <c r="B168" s="521">
        <f t="shared" si="12"/>
        <v>2052</v>
      </c>
      <c r="C168" s="521">
        <f t="shared" si="13"/>
        <v>1982.6999999999935</v>
      </c>
      <c r="D168" s="522">
        <f t="shared" si="14"/>
        <v>3298.5000000000091</v>
      </c>
      <c r="E168" s="521">
        <f t="shared" si="15"/>
        <v>2906.8999999999996</v>
      </c>
      <c r="F168" s="478"/>
    </row>
    <row r="169" spans="1:6" ht="18" customHeight="1">
      <c r="A169" s="409">
        <v>164</v>
      </c>
      <c r="B169" s="521">
        <f t="shared" si="12"/>
        <v>2064</v>
      </c>
      <c r="C169" s="521">
        <f t="shared" si="13"/>
        <v>1994.2999999999934</v>
      </c>
      <c r="D169" s="522">
        <f t="shared" si="14"/>
        <v>3317.8000000000093</v>
      </c>
      <c r="E169" s="521">
        <f t="shared" si="15"/>
        <v>2923.8999999999996</v>
      </c>
      <c r="F169" s="478"/>
    </row>
    <row r="170" spans="1:6" ht="18" customHeight="1">
      <c r="A170" s="409">
        <v>165</v>
      </c>
      <c r="B170" s="521">
        <f t="shared" si="12"/>
        <v>2076</v>
      </c>
      <c r="C170" s="521">
        <f t="shared" si="13"/>
        <v>2005.8999999999933</v>
      </c>
      <c r="D170" s="522">
        <f t="shared" si="14"/>
        <v>3337.1000000000095</v>
      </c>
      <c r="E170" s="521">
        <f t="shared" si="15"/>
        <v>2940.8999999999996</v>
      </c>
      <c r="F170" s="478"/>
    </row>
    <row r="171" spans="1:6" ht="18" customHeight="1">
      <c r="A171" s="409">
        <v>166</v>
      </c>
      <c r="B171" s="521">
        <f t="shared" si="12"/>
        <v>2088</v>
      </c>
      <c r="C171" s="521">
        <f t="shared" si="13"/>
        <v>2017.4999999999932</v>
      </c>
      <c r="D171" s="522">
        <f t="shared" si="14"/>
        <v>3356.4000000000096</v>
      </c>
      <c r="E171" s="521">
        <f t="shared" si="15"/>
        <v>2957.8999999999996</v>
      </c>
      <c r="F171" s="478"/>
    </row>
    <row r="172" spans="1:6" ht="18" customHeight="1">
      <c r="A172" s="409">
        <v>167</v>
      </c>
      <c r="B172" s="521">
        <f t="shared" si="12"/>
        <v>2100</v>
      </c>
      <c r="C172" s="521">
        <f t="shared" si="13"/>
        <v>2029.0999999999931</v>
      </c>
      <c r="D172" s="522">
        <f t="shared" si="14"/>
        <v>3375.7000000000098</v>
      </c>
      <c r="E172" s="521">
        <f t="shared" si="15"/>
        <v>2974.8999999999996</v>
      </c>
      <c r="F172" s="478"/>
    </row>
    <row r="173" spans="1:6" ht="18" customHeight="1">
      <c r="A173" s="409">
        <v>168</v>
      </c>
      <c r="B173" s="521">
        <f t="shared" si="12"/>
        <v>2112</v>
      </c>
      <c r="C173" s="521">
        <f t="shared" si="13"/>
        <v>2040.699999999993</v>
      </c>
      <c r="D173" s="522">
        <f t="shared" si="14"/>
        <v>3395.00000000001</v>
      </c>
      <c r="E173" s="521">
        <f t="shared" si="15"/>
        <v>2991.8999999999996</v>
      </c>
      <c r="F173" s="478"/>
    </row>
    <row r="174" spans="1:6" ht="18" customHeight="1">
      <c r="A174" s="409">
        <v>169</v>
      </c>
      <c r="B174" s="521">
        <f t="shared" si="12"/>
        <v>2124</v>
      </c>
      <c r="C174" s="521">
        <f t="shared" si="13"/>
        <v>2052.2999999999929</v>
      </c>
      <c r="D174" s="522">
        <f t="shared" si="14"/>
        <v>3414.3000000000102</v>
      </c>
      <c r="E174" s="521">
        <f t="shared" si="15"/>
        <v>3008.8999999999996</v>
      </c>
      <c r="F174" s="478"/>
    </row>
    <row r="175" spans="1:6" ht="18" customHeight="1">
      <c r="A175" s="409">
        <v>170</v>
      </c>
      <c r="B175" s="521">
        <f t="shared" si="12"/>
        <v>2136</v>
      </c>
      <c r="C175" s="521">
        <f t="shared" si="13"/>
        <v>2063.8999999999928</v>
      </c>
      <c r="D175" s="522">
        <f t="shared" si="14"/>
        <v>3433.6000000000104</v>
      </c>
      <c r="E175" s="521">
        <f t="shared" si="15"/>
        <v>3025.8999999999996</v>
      </c>
      <c r="F175" s="478"/>
    </row>
    <row r="176" spans="1:6" ht="18" customHeight="1">
      <c r="A176" s="409">
        <v>171</v>
      </c>
      <c r="B176" s="521">
        <f t="shared" si="12"/>
        <v>2148</v>
      </c>
      <c r="C176" s="521">
        <f t="shared" si="13"/>
        <v>2075.4999999999927</v>
      </c>
      <c r="D176" s="522">
        <f t="shared" si="14"/>
        <v>3452.9000000000106</v>
      </c>
      <c r="E176" s="521">
        <f t="shared" si="15"/>
        <v>3042.8999999999996</v>
      </c>
      <c r="F176" s="478"/>
    </row>
    <row r="177" spans="1:6" ht="18" customHeight="1">
      <c r="A177" s="409">
        <v>172</v>
      </c>
      <c r="B177" s="521">
        <f t="shared" si="12"/>
        <v>2160</v>
      </c>
      <c r="C177" s="521">
        <f t="shared" si="13"/>
        <v>2087.0999999999926</v>
      </c>
      <c r="D177" s="522">
        <f t="shared" si="14"/>
        <v>3472.2000000000107</v>
      </c>
      <c r="E177" s="521">
        <f t="shared" si="15"/>
        <v>3059.8999999999996</v>
      </c>
      <c r="F177" s="478"/>
    </row>
    <row r="178" spans="1:6" ht="18" customHeight="1">
      <c r="A178" s="409">
        <v>173</v>
      </c>
      <c r="B178" s="521">
        <f t="shared" si="12"/>
        <v>2172</v>
      </c>
      <c r="C178" s="521">
        <f t="shared" si="13"/>
        <v>2098.6999999999925</v>
      </c>
      <c r="D178" s="522">
        <f t="shared" si="14"/>
        <v>3491.5000000000109</v>
      </c>
      <c r="E178" s="521">
        <f t="shared" si="15"/>
        <v>3076.8999999999996</v>
      </c>
      <c r="F178" s="478"/>
    </row>
    <row r="179" spans="1:6" ht="18" customHeight="1">
      <c r="A179" s="409">
        <v>174</v>
      </c>
      <c r="B179" s="521">
        <f t="shared" si="12"/>
        <v>2184</v>
      </c>
      <c r="C179" s="521">
        <f t="shared" si="13"/>
        <v>2110.2999999999925</v>
      </c>
      <c r="D179" s="522">
        <f t="shared" si="14"/>
        <v>3510.8000000000111</v>
      </c>
      <c r="E179" s="521">
        <f t="shared" si="15"/>
        <v>3093.8999999999996</v>
      </c>
      <c r="F179" s="478"/>
    </row>
    <row r="180" spans="1:6" ht="18" customHeight="1">
      <c r="A180" s="409">
        <v>175</v>
      </c>
      <c r="B180" s="521">
        <f t="shared" si="12"/>
        <v>2196</v>
      </c>
      <c r="C180" s="521">
        <f t="shared" si="13"/>
        <v>2121.8999999999924</v>
      </c>
      <c r="D180" s="522">
        <f t="shared" si="14"/>
        <v>3530.1000000000113</v>
      </c>
      <c r="E180" s="521">
        <f t="shared" si="15"/>
        <v>3110.8999999999996</v>
      </c>
      <c r="F180" s="478"/>
    </row>
    <row r="181" spans="1:6" ht="18" customHeight="1">
      <c r="A181" s="409">
        <v>176</v>
      </c>
      <c r="B181" s="521">
        <f t="shared" si="12"/>
        <v>2208</v>
      </c>
      <c r="C181" s="521">
        <f t="shared" si="13"/>
        <v>2133.4999999999923</v>
      </c>
      <c r="D181" s="522">
        <f t="shared" si="14"/>
        <v>3549.4000000000115</v>
      </c>
      <c r="E181" s="521">
        <f t="shared" si="15"/>
        <v>3127.8999999999996</v>
      </c>
      <c r="F181" s="478"/>
    </row>
    <row r="182" spans="1:6" ht="18" customHeight="1">
      <c r="A182" s="409">
        <v>177</v>
      </c>
      <c r="B182" s="521">
        <f t="shared" si="12"/>
        <v>2220</v>
      </c>
      <c r="C182" s="521">
        <f t="shared" si="13"/>
        <v>2145.0999999999922</v>
      </c>
      <c r="D182" s="522">
        <f t="shared" si="14"/>
        <v>3568.7000000000116</v>
      </c>
      <c r="E182" s="521">
        <f t="shared" si="15"/>
        <v>3144.8999999999996</v>
      </c>
      <c r="F182" s="478"/>
    </row>
    <row r="183" spans="1:6" ht="18" customHeight="1">
      <c r="A183" s="409">
        <v>178</v>
      </c>
      <c r="B183" s="521">
        <f t="shared" si="12"/>
        <v>2232</v>
      </c>
      <c r="C183" s="521">
        <f t="shared" si="13"/>
        <v>2156.6999999999921</v>
      </c>
      <c r="D183" s="522">
        <f t="shared" si="14"/>
        <v>3588.0000000000118</v>
      </c>
      <c r="E183" s="521">
        <f t="shared" si="15"/>
        <v>3161.8999999999996</v>
      </c>
      <c r="F183" s="478"/>
    </row>
    <row r="184" spans="1:6" ht="18" customHeight="1">
      <c r="A184" s="409">
        <v>179</v>
      </c>
      <c r="B184" s="521">
        <f t="shared" si="12"/>
        <v>2244</v>
      </c>
      <c r="C184" s="521">
        <f t="shared" si="13"/>
        <v>2168.299999999992</v>
      </c>
      <c r="D184" s="522">
        <f t="shared" si="14"/>
        <v>3607.300000000012</v>
      </c>
      <c r="E184" s="521">
        <f t="shared" si="15"/>
        <v>3178.8999999999996</v>
      </c>
      <c r="F184" s="478"/>
    </row>
    <row r="185" spans="1:6" ht="18" customHeight="1">
      <c r="A185" s="409">
        <v>180</v>
      </c>
      <c r="B185" s="521">
        <f t="shared" si="12"/>
        <v>2256</v>
      </c>
      <c r="C185" s="521">
        <f t="shared" si="13"/>
        <v>2179.8999999999919</v>
      </c>
      <c r="D185" s="522">
        <f t="shared" si="14"/>
        <v>3626.6000000000122</v>
      </c>
      <c r="E185" s="521">
        <f t="shared" si="15"/>
        <v>3195.8999999999996</v>
      </c>
      <c r="F185" s="478"/>
    </row>
    <row r="186" spans="1:6" ht="18" customHeight="1">
      <c r="A186" s="409">
        <v>181</v>
      </c>
      <c r="B186" s="521">
        <f t="shared" si="12"/>
        <v>2268</v>
      </c>
      <c r="C186" s="521">
        <f t="shared" si="13"/>
        <v>2191.4999999999918</v>
      </c>
      <c r="D186" s="522">
        <f t="shared" si="14"/>
        <v>3645.9000000000124</v>
      </c>
      <c r="E186" s="521">
        <f t="shared" si="15"/>
        <v>3212.8999999999996</v>
      </c>
      <c r="F186" s="478"/>
    </row>
    <row r="187" spans="1:6" ht="18" customHeight="1">
      <c r="A187" s="409">
        <v>182</v>
      </c>
      <c r="B187" s="521">
        <f t="shared" si="12"/>
        <v>2280</v>
      </c>
      <c r="C187" s="521">
        <f t="shared" si="13"/>
        <v>2203.0999999999917</v>
      </c>
      <c r="D187" s="522">
        <f t="shared" si="14"/>
        <v>3665.2000000000126</v>
      </c>
      <c r="E187" s="521">
        <f t="shared" si="15"/>
        <v>3229.8999999999996</v>
      </c>
      <c r="F187" s="478"/>
    </row>
    <row r="188" spans="1:6" ht="18" customHeight="1">
      <c r="A188" s="409">
        <v>183</v>
      </c>
      <c r="B188" s="521">
        <f t="shared" si="12"/>
        <v>2292</v>
      </c>
      <c r="C188" s="521">
        <f t="shared" si="13"/>
        <v>2214.6999999999916</v>
      </c>
      <c r="D188" s="522">
        <f t="shared" si="14"/>
        <v>3684.5000000000127</v>
      </c>
      <c r="E188" s="521">
        <f t="shared" si="15"/>
        <v>3246.8999999999996</v>
      </c>
      <c r="F188" s="478"/>
    </row>
    <row r="189" spans="1:6" ht="18" customHeight="1">
      <c r="A189" s="409">
        <v>184</v>
      </c>
      <c r="B189" s="521">
        <f t="shared" si="12"/>
        <v>2304</v>
      </c>
      <c r="C189" s="521">
        <f t="shared" si="13"/>
        <v>2226.2999999999915</v>
      </c>
      <c r="D189" s="522">
        <f t="shared" si="14"/>
        <v>3703.8000000000129</v>
      </c>
      <c r="E189" s="521">
        <f t="shared" si="15"/>
        <v>3263.8999999999996</v>
      </c>
      <c r="F189" s="478"/>
    </row>
    <row r="190" spans="1:6" ht="18" customHeight="1">
      <c r="A190" s="409">
        <v>185</v>
      </c>
      <c r="B190" s="521">
        <f t="shared" si="12"/>
        <v>2316</v>
      </c>
      <c r="C190" s="521">
        <f t="shared" si="13"/>
        <v>2237.8999999999915</v>
      </c>
      <c r="D190" s="522">
        <f t="shared" si="14"/>
        <v>3723.1000000000131</v>
      </c>
      <c r="E190" s="521">
        <f t="shared" si="15"/>
        <v>3280.8999999999996</v>
      </c>
      <c r="F190" s="478"/>
    </row>
    <row r="191" spans="1:6" ht="18" customHeight="1">
      <c r="A191" s="409">
        <v>186</v>
      </c>
      <c r="B191" s="521">
        <f t="shared" si="12"/>
        <v>2328</v>
      </c>
      <c r="C191" s="521">
        <f t="shared" si="13"/>
        <v>2249.4999999999914</v>
      </c>
      <c r="D191" s="522">
        <f t="shared" si="14"/>
        <v>3742.4000000000133</v>
      </c>
      <c r="E191" s="521">
        <f t="shared" si="15"/>
        <v>3297.8999999999996</v>
      </c>
      <c r="F191" s="478"/>
    </row>
    <row r="192" spans="1:6" ht="18" customHeight="1">
      <c r="A192" s="409">
        <v>187</v>
      </c>
      <c r="B192" s="521">
        <f t="shared" si="12"/>
        <v>2340</v>
      </c>
      <c r="C192" s="521">
        <f t="shared" si="13"/>
        <v>2261.0999999999913</v>
      </c>
      <c r="D192" s="522">
        <f t="shared" si="14"/>
        <v>3761.7000000000135</v>
      </c>
      <c r="E192" s="521">
        <f t="shared" si="15"/>
        <v>3314.8999999999996</v>
      </c>
      <c r="F192" s="478"/>
    </row>
    <row r="193" spans="1:6" ht="18" customHeight="1">
      <c r="A193" s="409">
        <v>188</v>
      </c>
      <c r="B193" s="521">
        <f t="shared" si="12"/>
        <v>2352</v>
      </c>
      <c r="C193" s="521">
        <f t="shared" si="13"/>
        <v>2272.6999999999912</v>
      </c>
      <c r="D193" s="522">
        <f t="shared" si="14"/>
        <v>3781.0000000000136</v>
      </c>
      <c r="E193" s="521">
        <f t="shared" si="15"/>
        <v>3331.8999999999996</v>
      </c>
      <c r="F193" s="478"/>
    </row>
    <row r="194" spans="1:6" ht="18" customHeight="1">
      <c r="A194" s="409">
        <v>189</v>
      </c>
      <c r="B194" s="521">
        <f t="shared" si="12"/>
        <v>2364</v>
      </c>
      <c r="C194" s="521">
        <f t="shared" si="13"/>
        <v>2284.2999999999911</v>
      </c>
      <c r="D194" s="522">
        <f t="shared" si="14"/>
        <v>3800.3000000000138</v>
      </c>
      <c r="E194" s="521">
        <f t="shared" si="15"/>
        <v>3348.8999999999996</v>
      </c>
      <c r="F194" s="478"/>
    </row>
    <row r="195" spans="1:6" ht="18" customHeight="1">
      <c r="A195" s="409">
        <v>190</v>
      </c>
      <c r="B195" s="521">
        <f t="shared" si="12"/>
        <v>2376</v>
      </c>
      <c r="C195" s="521">
        <f t="shared" si="13"/>
        <v>2295.899999999991</v>
      </c>
      <c r="D195" s="522">
        <f t="shared" si="14"/>
        <v>3819.600000000014</v>
      </c>
      <c r="E195" s="521">
        <f t="shared" si="15"/>
        <v>3365.8999999999996</v>
      </c>
      <c r="F195" s="478"/>
    </row>
    <row r="196" spans="1:6" ht="18" customHeight="1">
      <c r="A196" s="409">
        <v>191</v>
      </c>
      <c r="B196" s="521">
        <f t="shared" si="12"/>
        <v>2388</v>
      </c>
      <c r="C196" s="521">
        <f t="shared" si="13"/>
        <v>2307.4999999999909</v>
      </c>
      <c r="D196" s="522">
        <f t="shared" si="14"/>
        <v>3838.9000000000142</v>
      </c>
      <c r="E196" s="521">
        <f t="shared" si="15"/>
        <v>3382.8999999999996</v>
      </c>
      <c r="F196" s="478"/>
    </row>
    <row r="197" spans="1:6" ht="18" customHeight="1">
      <c r="A197" s="409">
        <v>192</v>
      </c>
      <c r="B197" s="521">
        <f t="shared" si="12"/>
        <v>2400</v>
      </c>
      <c r="C197" s="521">
        <f t="shared" si="13"/>
        <v>2319.0999999999908</v>
      </c>
      <c r="D197" s="522">
        <f t="shared" si="14"/>
        <v>3858.2000000000144</v>
      </c>
      <c r="E197" s="521">
        <f t="shared" si="15"/>
        <v>3399.8999999999996</v>
      </c>
      <c r="F197" s="478"/>
    </row>
    <row r="198" spans="1:6" ht="18" customHeight="1">
      <c r="A198" s="409">
        <v>193</v>
      </c>
      <c r="B198" s="521">
        <f t="shared" si="12"/>
        <v>2412</v>
      </c>
      <c r="C198" s="521">
        <f t="shared" si="13"/>
        <v>2330.6999999999907</v>
      </c>
      <c r="D198" s="522">
        <f t="shared" si="14"/>
        <v>3877.5000000000146</v>
      </c>
      <c r="E198" s="521">
        <f t="shared" si="15"/>
        <v>3416.8999999999996</v>
      </c>
      <c r="F198" s="478"/>
    </row>
    <row r="199" spans="1:6" ht="18" customHeight="1">
      <c r="A199" s="409">
        <v>194</v>
      </c>
      <c r="B199" s="521">
        <f t="shared" si="12"/>
        <v>2424</v>
      </c>
      <c r="C199" s="521">
        <f t="shared" si="13"/>
        <v>2342.2999999999906</v>
      </c>
      <c r="D199" s="522">
        <f t="shared" si="14"/>
        <v>3896.8000000000147</v>
      </c>
      <c r="E199" s="521">
        <f t="shared" si="15"/>
        <v>3433.8999999999996</v>
      </c>
      <c r="F199" s="478"/>
    </row>
    <row r="200" spans="1:6" ht="18" customHeight="1">
      <c r="A200" s="409">
        <v>195</v>
      </c>
      <c r="B200" s="521">
        <f t="shared" si="12"/>
        <v>2436</v>
      </c>
      <c r="C200" s="521">
        <f t="shared" si="13"/>
        <v>2353.8999999999905</v>
      </c>
      <c r="D200" s="522">
        <f t="shared" si="14"/>
        <v>3916.1000000000149</v>
      </c>
      <c r="E200" s="521">
        <f t="shared" si="15"/>
        <v>3450.8999999999996</v>
      </c>
      <c r="F200" s="478"/>
    </row>
    <row r="201" spans="1:6" ht="18" customHeight="1">
      <c r="A201" s="409">
        <v>196</v>
      </c>
      <c r="B201" s="521">
        <f t="shared" si="12"/>
        <v>2448</v>
      </c>
      <c r="C201" s="521">
        <f t="shared" si="13"/>
        <v>2365.4999999999905</v>
      </c>
      <c r="D201" s="522">
        <f t="shared" si="14"/>
        <v>3935.4000000000151</v>
      </c>
      <c r="E201" s="521">
        <f t="shared" si="15"/>
        <v>3467.8999999999996</v>
      </c>
      <c r="F201" s="478"/>
    </row>
    <row r="202" spans="1:6" ht="18" customHeight="1">
      <c r="A202" s="409">
        <v>197</v>
      </c>
      <c r="B202" s="521">
        <f t="shared" si="12"/>
        <v>2460</v>
      </c>
      <c r="C202" s="521">
        <f t="shared" si="13"/>
        <v>2377.0999999999904</v>
      </c>
      <c r="D202" s="522">
        <f t="shared" si="14"/>
        <v>3954.7000000000153</v>
      </c>
      <c r="E202" s="521">
        <f t="shared" si="15"/>
        <v>3484.8999999999996</v>
      </c>
      <c r="F202" s="478"/>
    </row>
    <row r="203" spans="1:6" ht="18" customHeight="1">
      <c r="A203" s="409">
        <v>198</v>
      </c>
      <c r="B203" s="521">
        <f t="shared" si="12"/>
        <v>2472</v>
      </c>
      <c r="C203" s="521">
        <f t="shared" si="13"/>
        <v>2388.6999999999903</v>
      </c>
      <c r="D203" s="522">
        <f t="shared" si="14"/>
        <v>3974.0000000000155</v>
      </c>
      <c r="E203" s="521">
        <f t="shared" si="15"/>
        <v>3501.8999999999996</v>
      </c>
      <c r="F203" s="478"/>
    </row>
    <row r="204" spans="1:6" ht="18" customHeight="1">
      <c r="A204" s="409">
        <v>199</v>
      </c>
      <c r="B204" s="521">
        <f t="shared" si="12"/>
        <v>2484</v>
      </c>
      <c r="C204" s="521">
        <f t="shared" si="13"/>
        <v>2400.2999999999902</v>
      </c>
      <c r="D204" s="522">
        <f t="shared" si="14"/>
        <v>3993.3000000000156</v>
      </c>
      <c r="E204" s="521">
        <f t="shared" si="15"/>
        <v>3518.8999999999996</v>
      </c>
      <c r="F204" s="478"/>
    </row>
    <row r="205" spans="1:6" ht="18" customHeight="1">
      <c r="A205" s="409">
        <v>200</v>
      </c>
      <c r="B205" s="521">
        <f t="shared" si="12"/>
        <v>2496</v>
      </c>
      <c r="C205" s="521">
        <f t="shared" si="13"/>
        <v>2411.8999999999901</v>
      </c>
      <c r="D205" s="522">
        <f t="shared" si="14"/>
        <v>4012.6000000000158</v>
      </c>
      <c r="E205" s="521">
        <f t="shared" si="15"/>
        <v>3535.8999999999996</v>
      </c>
      <c r="F205" s="478"/>
    </row>
    <row r="206" spans="1:6">
      <c r="A206" s="409">
        <v>201</v>
      </c>
      <c r="B206" s="521">
        <f t="shared" si="12"/>
        <v>2508</v>
      </c>
      <c r="C206" s="521">
        <f t="shared" si="13"/>
        <v>2423.49999999999</v>
      </c>
      <c r="D206" s="522">
        <f t="shared" si="14"/>
        <v>4031.900000000016</v>
      </c>
      <c r="E206" s="521">
        <f t="shared" si="15"/>
        <v>3552.8999999999996</v>
      </c>
      <c r="F206" s="478"/>
    </row>
    <row r="207" spans="1:6">
      <c r="A207" s="409">
        <v>202</v>
      </c>
      <c r="B207" s="521">
        <f t="shared" si="12"/>
        <v>2520</v>
      </c>
      <c r="C207" s="521">
        <f t="shared" si="13"/>
        <v>2435.0999999999899</v>
      </c>
      <c r="D207" s="522">
        <f t="shared" si="14"/>
        <v>4051.2000000000162</v>
      </c>
      <c r="E207" s="521">
        <f t="shared" si="15"/>
        <v>3569.8999999999996</v>
      </c>
      <c r="F207" s="478"/>
    </row>
    <row r="208" spans="1:6">
      <c r="A208" s="409">
        <v>203</v>
      </c>
      <c r="B208" s="521">
        <f t="shared" si="12"/>
        <v>2532</v>
      </c>
      <c r="C208" s="521">
        <f t="shared" si="13"/>
        <v>2446.6999999999898</v>
      </c>
      <c r="D208" s="522">
        <f t="shared" si="14"/>
        <v>4070.5000000000164</v>
      </c>
      <c r="E208" s="521">
        <f t="shared" si="15"/>
        <v>3586.8999999999996</v>
      </c>
      <c r="F208" s="478"/>
    </row>
    <row r="209" spans="1:6">
      <c r="A209" s="409">
        <v>204</v>
      </c>
      <c r="B209" s="521">
        <f t="shared" si="12"/>
        <v>2544</v>
      </c>
      <c r="C209" s="521">
        <f t="shared" si="13"/>
        <v>2458.2999999999897</v>
      </c>
      <c r="D209" s="522">
        <f t="shared" si="14"/>
        <v>4089.8000000000166</v>
      </c>
      <c r="E209" s="521">
        <f t="shared" si="15"/>
        <v>3603.8999999999996</v>
      </c>
      <c r="F209" s="478"/>
    </row>
    <row r="210" spans="1:6">
      <c r="A210" s="409">
        <v>205</v>
      </c>
      <c r="B210" s="521">
        <f t="shared" si="12"/>
        <v>2556</v>
      </c>
      <c r="C210" s="521">
        <f t="shared" si="13"/>
        <v>2469.8999999999896</v>
      </c>
      <c r="D210" s="522">
        <f t="shared" si="14"/>
        <v>4109.1000000000167</v>
      </c>
      <c r="E210" s="521">
        <f t="shared" si="15"/>
        <v>3620.8999999999996</v>
      </c>
      <c r="F210" s="478"/>
    </row>
    <row r="211" spans="1:6">
      <c r="A211" s="409">
        <v>206</v>
      </c>
      <c r="B211" s="521">
        <f t="shared" si="12"/>
        <v>2568</v>
      </c>
      <c r="C211" s="521">
        <f t="shared" si="13"/>
        <v>2481.4999999999895</v>
      </c>
      <c r="D211" s="522">
        <f t="shared" si="14"/>
        <v>4128.4000000000169</v>
      </c>
      <c r="E211" s="521">
        <f t="shared" si="15"/>
        <v>3637.8999999999996</v>
      </c>
      <c r="F211" s="478"/>
    </row>
    <row r="212" spans="1:6">
      <c r="A212" s="409">
        <v>207</v>
      </c>
      <c r="B212" s="521">
        <f t="shared" si="12"/>
        <v>2580</v>
      </c>
      <c r="C212" s="521">
        <f t="shared" si="13"/>
        <v>2493.0999999999894</v>
      </c>
      <c r="D212" s="522">
        <f t="shared" si="14"/>
        <v>4147.7000000000171</v>
      </c>
      <c r="E212" s="521">
        <f t="shared" si="15"/>
        <v>3654.8999999999996</v>
      </c>
      <c r="F212" s="478"/>
    </row>
    <row r="213" spans="1:6">
      <c r="A213" s="409">
        <v>208</v>
      </c>
      <c r="B213" s="521">
        <f t="shared" si="12"/>
        <v>2592</v>
      </c>
      <c r="C213" s="521">
        <f t="shared" si="13"/>
        <v>2504.6999999999894</v>
      </c>
      <c r="D213" s="522">
        <f t="shared" si="14"/>
        <v>4167.0000000000173</v>
      </c>
      <c r="E213" s="521">
        <f t="shared" si="15"/>
        <v>3671.8999999999996</v>
      </c>
      <c r="F213" s="478"/>
    </row>
    <row r="214" spans="1:6">
      <c r="A214" s="409">
        <v>209</v>
      </c>
      <c r="B214" s="521">
        <f t="shared" si="12"/>
        <v>2604</v>
      </c>
      <c r="C214" s="521">
        <f t="shared" si="13"/>
        <v>2516.2999999999893</v>
      </c>
      <c r="D214" s="522">
        <f t="shared" si="14"/>
        <v>4186.3000000000175</v>
      </c>
      <c r="E214" s="521">
        <f t="shared" si="15"/>
        <v>3688.8999999999996</v>
      </c>
      <c r="F214" s="478"/>
    </row>
    <row r="215" spans="1:6">
      <c r="A215" s="409">
        <v>210</v>
      </c>
      <c r="B215" s="521">
        <f t="shared" si="12"/>
        <v>2616</v>
      </c>
      <c r="C215" s="521">
        <f t="shared" si="13"/>
        <v>2527.8999999999892</v>
      </c>
      <c r="D215" s="522">
        <f t="shared" si="14"/>
        <v>4205.6000000000176</v>
      </c>
      <c r="E215" s="521">
        <f t="shared" si="15"/>
        <v>3705.8999999999996</v>
      </c>
      <c r="F215" s="478"/>
    </row>
    <row r="216" spans="1:6">
      <c r="A216" s="409">
        <v>211</v>
      </c>
      <c r="B216" s="521">
        <f t="shared" si="12"/>
        <v>2628</v>
      </c>
      <c r="C216" s="521">
        <f t="shared" si="13"/>
        <v>2539.4999999999891</v>
      </c>
      <c r="D216" s="522">
        <f t="shared" si="14"/>
        <v>4224.9000000000178</v>
      </c>
      <c r="E216" s="521">
        <f t="shared" si="15"/>
        <v>3722.8999999999996</v>
      </c>
      <c r="F216" s="478"/>
    </row>
    <row r="217" spans="1:6">
      <c r="A217" s="409">
        <v>212</v>
      </c>
      <c r="B217" s="521">
        <f t="shared" si="12"/>
        <v>2640</v>
      </c>
      <c r="C217" s="521">
        <f t="shared" si="13"/>
        <v>2551.099999999989</v>
      </c>
      <c r="D217" s="522">
        <f t="shared" si="14"/>
        <v>4244.200000000018</v>
      </c>
      <c r="E217" s="521">
        <f t="shared" si="15"/>
        <v>3739.8999999999996</v>
      </c>
      <c r="F217" s="478"/>
    </row>
    <row r="218" spans="1:6">
      <c r="A218" s="409">
        <v>213</v>
      </c>
      <c r="B218" s="521">
        <f t="shared" si="12"/>
        <v>2652</v>
      </c>
      <c r="C218" s="521">
        <f t="shared" si="13"/>
        <v>2562.6999999999889</v>
      </c>
      <c r="D218" s="522">
        <f t="shared" si="14"/>
        <v>4263.5000000000182</v>
      </c>
      <c r="E218" s="521">
        <f t="shared" si="15"/>
        <v>3756.8999999999996</v>
      </c>
      <c r="F218" s="478"/>
    </row>
    <row r="219" spans="1:6">
      <c r="A219" s="409">
        <v>214</v>
      </c>
      <c r="B219" s="521">
        <f t="shared" si="12"/>
        <v>2664</v>
      </c>
      <c r="C219" s="521">
        <f t="shared" si="13"/>
        <v>2574.2999999999888</v>
      </c>
      <c r="D219" s="522">
        <f t="shared" si="14"/>
        <v>4282.8000000000184</v>
      </c>
      <c r="E219" s="521">
        <f t="shared" si="15"/>
        <v>3773.8999999999996</v>
      </c>
      <c r="F219" s="478"/>
    </row>
    <row r="220" spans="1:6">
      <c r="A220" s="409">
        <v>215</v>
      </c>
      <c r="B220" s="521">
        <f t="shared" si="12"/>
        <v>2676</v>
      </c>
      <c r="C220" s="521">
        <f t="shared" si="13"/>
        <v>2585.8999999999887</v>
      </c>
      <c r="D220" s="522">
        <f t="shared" si="14"/>
        <v>4302.1000000000186</v>
      </c>
      <c r="E220" s="521">
        <f t="shared" si="15"/>
        <v>3790.8999999999996</v>
      </c>
      <c r="F220" s="478"/>
    </row>
    <row r="221" spans="1:6">
      <c r="A221" s="409">
        <v>216</v>
      </c>
      <c r="B221" s="521">
        <f t="shared" si="12"/>
        <v>2688</v>
      </c>
      <c r="C221" s="521">
        <f t="shared" si="13"/>
        <v>2597.4999999999886</v>
      </c>
      <c r="D221" s="522">
        <f t="shared" si="14"/>
        <v>4321.4000000000187</v>
      </c>
      <c r="E221" s="521">
        <f t="shared" si="15"/>
        <v>3807.8999999999996</v>
      </c>
    </row>
    <row r="222" spans="1:6">
      <c r="A222" s="409">
        <v>217</v>
      </c>
      <c r="B222" s="521">
        <f t="shared" si="12"/>
        <v>2700</v>
      </c>
      <c r="C222" s="521">
        <f t="shared" si="13"/>
        <v>2609.0999999999885</v>
      </c>
      <c r="D222" s="522">
        <f t="shared" si="14"/>
        <v>4340.7000000000189</v>
      </c>
      <c r="E222" s="521">
        <f t="shared" si="15"/>
        <v>3824.8999999999996</v>
      </c>
    </row>
    <row r="223" spans="1:6">
      <c r="A223" s="409">
        <v>218</v>
      </c>
      <c r="B223" s="521">
        <f t="shared" si="12"/>
        <v>2712</v>
      </c>
      <c r="C223" s="521">
        <f t="shared" si="13"/>
        <v>2620.6999999999884</v>
      </c>
      <c r="D223" s="522">
        <f t="shared" si="14"/>
        <v>4360.0000000000191</v>
      </c>
      <c r="E223" s="521">
        <f t="shared" si="15"/>
        <v>3841.8999999999996</v>
      </c>
    </row>
    <row r="224" spans="1:6">
      <c r="A224" s="409">
        <v>219</v>
      </c>
      <c r="B224" s="521">
        <f t="shared" si="12"/>
        <v>2724</v>
      </c>
      <c r="C224" s="521">
        <f t="shared" si="13"/>
        <v>2632.2999999999884</v>
      </c>
      <c r="D224" s="522">
        <f t="shared" si="14"/>
        <v>4379.3000000000193</v>
      </c>
      <c r="E224" s="521">
        <f t="shared" si="15"/>
        <v>3858.8999999999996</v>
      </c>
    </row>
    <row r="225" spans="1:5">
      <c r="A225" s="409">
        <v>220</v>
      </c>
      <c r="B225" s="521">
        <f t="shared" si="12"/>
        <v>2736</v>
      </c>
      <c r="C225" s="521">
        <f t="shared" si="13"/>
        <v>2643.8999999999883</v>
      </c>
      <c r="D225" s="522">
        <f t="shared" si="14"/>
        <v>4398.6000000000195</v>
      </c>
      <c r="E225" s="521">
        <f t="shared" si="15"/>
        <v>3875.8999999999996</v>
      </c>
    </row>
    <row r="226" spans="1:5">
      <c r="A226" s="409">
        <v>221</v>
      </c>
      <c r="B226" s="521">
        <f t="shared" si="12"/>
        <v>2748</v>
      </c>
      <c r="C226" s="521">
        <f t="shared" si="13"/>
        <v>2655.4999999999882</v>
      </c>
      <c r="D226" s="522">
        <f t="shared" si="14"/>
        <v>4417.9000000000196</v>
      </c>
      <c r="E226" s="521">
        <f t="shared" si="15"/>
        <v>3892.8999999999996</v>
      </c>
    </row>
    <row r="227" spans="1:5">
      <c r="A227" s="409">
        <v>222</v>
      </c>
      <c r="B227" s="521">
        <f t="shared" si="12"/>
        <v>2760</v>
      </c>
      <c r="C227" s="521">
        <f t="shared" si="13"/>
        <v>2667.0999999999881</v>
      </c>
      <c r="D227" s="522">
        <f t="shared" si="14"/>
        <v>4437.2000000000198</v>
      </c>
      <c r="E227" s="521">
        <f t="shared" si="15"/>
        <v>3909.8999999999996</v>
      </c>
    </row>
    <row r="228" spans="1:5">
      <c r="A228" s="409">
        <v>223</v>
      </c>
      <c r="B228" s="521">
        <f t="shared" si="12"/>
        <v>2772</v>
      </c>
      <c r="C228" s="521">
        <f t="shared" si="13"/>
        <v>2678.699999999988</v>
      </c>
      <c r="D228" s="522">
        <f t="shared" si="14"/>
        <v>4456.50000000002</v>
      </c>
      <c r="E228" s="521">
        <f t="shared" si="15"/>
        <v>3926.8999999999996</v>
      </c>
    </row>
    <row r="229" spans="1:5">
      <c r="A229" s="409">
        <v>224</v>
      </c>
      <c r="B229" s="521">
        <f t="shared" ref="B229:B292" si="16">B228+12</f>
        <v>2784</v>
      </c>
      <c r="C229" s="521">
        <f t="shared" ref="C229:C292" si="17">C228+11.6</f>
        <v>2690.2999999999879</v>
      </c>
      <c r="D229" s="522">
        <f t="shared" ref="D229:D292" si="18">D228+19.3</f>
        <v>4475.8000000000202</v>
      </c>
      <c r="E229" s="521">
        <f t="shared" ref="E229:E292" si="19">E228+17</f>
        <v>3943.8999999999996</v>
      </c>
    </row>
    <row r="230" spans="1:5">
      <c r="A230" s="409">
        <v>225</v>
      </c>
      <c r="B230" s="521">
        <f t="shared" si="16"/>
        <v>2796</v>
      </c>
      <c r="C230" s="521">
        <f t="shared" si="17"/>
        <v>2701.8999999999878</v>
      </c>
      <c r="D230" s="522">
        <f t="shared" si="18"/>
        <v>4495.1000000000204</v>
      </c>
      <c r="E230" s="521">
        <f t="shared" si="19"/>
        <v>3960.8999999999996</v>
      </c>
    </row>
    <row r="231" spans="1:5">
      <c r="A231" s="409">
        <v>226</v>
      </c>
      <c r="B231" s="521">
        <f t="shared" si="16"/>
        <v>2808</v>
      </c>
      <c r="C231" s="521">
        <f t="shared" si="17"/>
        <v>2713.4999999999877</v>
      </c>
      <c r="D231" s="522">
        <f t="shared" si="18"/>
        <v>4514.4000000000206</v>
      </c>
      <c r="E231" s="521">
        <f t="shared" si="19"/>
        <v>3977.8999999999996</v>
      </c>
    </row>
    <row r="232" spans="1:5">
      <c r="A232" s="409">
        <v>227</v>
      </c>
      <c r="B232" s="521">
        <f t="shared" si="16"/>
        <v>2820</v>
      </c>
      <c r="C232" s="521">
        <f t="shared" si="17"/>
        <v>2725.0999999999876</v>
      </c>
      <c r="D232" s="522">
        <f t="shared" si="18"/>
        <v>4533.7000000000207</v>
      </c>
      <c r="E232" s="521">
        <f t="shared" si="19"/>
        <v>3994.8999999999996</v>
      </c>
    </row>
    <row r="233" spans="1:5">
      <c r="A233" s="409">
        <v>228</v>
      </c>
      <c r="B233" s="521">
        <f t="shared" si="16"/>
        <v>2832</v>
      </c>
      <c r="C233" s="521">
        <f t="shared" si="17"/>
        <v>2736.6999999999875</v>
      </c>
      <c r="D233" s="522">
        <f t="shared" si="18"/>
        <v>4553.0000000000209</v>
      </c>
      <c r="E233" s="521">
        <f t="shared" si="19"/>
        <v>4011.8999999999996</v>
      </c>
    </row>
    <row r="234" spans="1:5">
      <c r="A234" s="409">
        <v>229</v>
      </c>
      <c r="B234" s="521">
        <f t="shared" si="16"/>
        <v>2844</v>
      </c>
      <c r="C234" s="521">
        <f t="shared" si="17"/>
        <v>2748.2999999999874</v>
      </c>
      <c r="D234" s="522">
        <f t="shared" si="18"/>
        <v>4572.3000000000211</v>
      </c>
      <c r="E234" s="521">
        <f t="shared" si="19"/>
        <v>4028.8999999999996</v>
      </c>
    </row>
    <row r="235" spans="1:5">
      <c r="A235" s="409">
        <v>230</v>
      </c>
      <c r="B235" s="521">
        <f t="shared" si="16"/>
        <v>2856</v>
      </c>
      <c r="C235" s="521">
        <f t="shared" si="17"/>
        <v>2759.8999999999874</v>
      </c>
      <c r="D235" s="522">
        <f t="shared" si="18"/>
        <v>4591.6000000000213</v>
      </c>
      <c r="E235" s="521">
        <f t="shared" si="19"/>
        <v>4045.8999999999996</v>
      </c>
    </row>
    <row r="236" spans="1:5">
      <c r="A236" s="409">
        <v>231</v>
      </c>
      <c r="B236" s="521">
        <f t="shared" si="16"/>
        <v>2868</v>
      </c>
      <c r="C236" s="521">
        <f t="shared" si="17"/>
        <v>2771.4999999999873</v>
      </c>
      <c r="D236" s="522">
        <f t="shared" si="18"/>
        <v>4610.9000000000215</v>
      </c>
      <c r="E236" s="521">
        <f t="shared" si="19"/>
        <v>4062.8999999999996</v>
      </c>
    </row>
    <row r="237" spans="1:5">
      <c r="A237" s="409">
        <v>232</v>
      </c>
      <c r="B237" s="521">
        <f t="shared" si="16"/>
        <v>2880</v>
      </c>
      <c r="C237" s="521">
        <f t="shared" si="17"/>
        <v>2783.0999999999872</v>
      </c>
      <c r="D237" s="522">
        <f t="shared" si="18"/>
        <v>4630.2000000000216</v>
      </c>
      <c r="E237" s="521">
        <f t="shared" si="19"/>
        <v>4079.8999999999996</v>
      </c>
    </row>
    <row r="238" spans="1:5">
      <c r="A238" s="409">
        <v>233</v>
      </c>
      <c r="B238" s="521">
        <f t="shared" si="16"/>
        <v>2892</v>
      </c>
      <c r="C238" s="521">
        <f t="shared" si="17"/>
        <v>2794.6999999999871</v>
      </c>
      <c r="D238" s="522">
        <f t="shared" si="18"/>
        <v>4649.5000000000218</v>
      </c>
      <c r="E238" s="521">
        <f t="shared" si="19"/>
        <v>4096.8999999999996</v>
      </c>
    </row>
    <row r="239" spans="1:5">
      <c r="A239" s="409">
        <v>234</v>
      </c>
      <c r="B239" s="521">
        <f t="shared" si="16"/>
        <v>2904</v>
      </c>
      <c r="C239" s="521">
        <f t="shared" si="17"/>
        <v>2806.299999999987</v>
      </c>
      <c r="D239" s="522">
        <f t="shared" si="18"/>
        <v>4668.800000000022</v>
      </c>
      <c r="E239" s="521">
        <f t="shared" si="19"/>
        <v>4113.8999999999996</v>
      </c>
    </row>
    <row r="240" spans="1:5">
      <c r="A240" s="409">
        <v>235</v>
      </c>
      <c r="B240" s="521">
        <f t="shared" si="16"/>
        <v>2916</v>
      </c>
      <c r="C240" s="521">
        <f t="shared" si="17"/>
        <v>2817.8999999999869</v>
      </c>
      <c r="D240" s="522">
        <f t="shared" si="18"/>
        <v>4688.1000000000222</v>
      </c>
      <c r="E240" s="521">
        <f t="shared" si="19"/>
        <v>4130.8999999999996</v>
      </c>
    </row>
    <row r="241" spans="1:5">
      <c r="A241" s="409">
        <v>236</v>
      </c>
      <c r="B241" s="521">
        <f t="shared" si="16"/>
        <v>2928</v>
      </c>
      <c r="C241" s="521">
        <f t="shared" si="17"/>
        <v>2829.4999999999868</v>
      </c>
      <c r="D241" s="522">
        <f t="shared" si="18"/>
        <v>4707.4000000000224</v>
      </c>
      <c r="E241" s="521">
        <f t="shared" si="19"/>
        <v>4147.8999999999996</v>
      </c>
    </row>
    <row r="242" spans="1:5">
      <c r="A242" s="409">
        <v>237</v>
      </c>
      <c r="B242" s="521">
        <f t="shared" si="16"/>
        <v>2940</v>
      </c>
      <c r="C242" s="521">
        <f t="shared" si="17"/>
        <v>2841.0999999999867</v>
      </c>
      <c r="D242" s="522">
        <f t="shared" si="18"/>
        <v>4726.7000000000226</v>
      </c>
      <c r="E242" s="521">
        <f t="shared" si="19"/>
        <v>4164.8999999999996</v>
      </c>
    </row>
    <row r="243" spans="1:5">
      <c r="A243" s="409">
        <v>238</v>
      </c>
      <c r="B243" s="521">
        <f t="shared" si="16"/>
        <v>2952</v>
      </c>
      <c r="C243" s="521">
        <f t="shared" si="17"/>
        <v>2852.6999999999866</v>
      </c>
      <c r="D243" s="522">
        <f t="shared" si="18"/>
        <v>4746.0000000000227</v>
      </c>
      <c r="E243" s="521">
        <f t="shared" si="19"/>
        <v>4181.8999999999996</v>
      </c>
    </row>
    <row r="244" spans="1:5">
      <c r="A244" s="409">
        <v>239</v>
      </c>
      <c r="B244" s="521">
        <f t="shared" si="16"/>
        <v>2964</v>
      </c>
      <c r="C244" s="521">
        <f t="shared" si="17"/>
        <v>2864.2999999999865</v>
      </c>
      <c r="D244" s="522">
        <f t="shared" si="18"/>
        <v>4765.3000000000229</v>
      </c>
      <c r="E244" s="521">
        <f t="shared" si="19"/>
        <v>4198.8999999999996</v>
      </c>
    </row>
    <row r="245" spans="1:5">
      <c r="A245" s="409">
        <v>240</v>
      </c>
      <c r="B245" s="521">
        <f t="shared" si="16"/>
        <v>2976</v>
      </c>
      <c r="C245" s="521">
        <f t="shared" si="17"/>
        <v>2875.8999999999864</v>
      </c>
      <c r="D245" s="522">
        <f t="shared" si="18"/>
        <v>4784.6000000000231</v>
      </c>
      <c r="E245" s="521">
        <f t="shared" si="19"/>
        <v>4215.8999999999996</v>
      </c>
    </row>
    <row r="246" spans="1:5">
      <c r="A246" s="409">
        <v>241</v>
      </c>
      <c r="B246" s="521">
        <f t="shared" si="16"/>
        <v>2988</v>
      </c>
      <c r="C246" s="521">
        <f t="shared" si="17"/>
        <v>2887.4999999999864</v>
      </c>
      <c r="D246" s="522">
        <f t="shared" si="18"/>
        <v>4803.9000000000233</v>
      </c>
      <c r="E246" s="521">
        <f t="shared" si="19"/>
        <v>4232.8999999999996</v>
      </c>
    </row>
    <row r="247" spans="1:5">
      <c r="A247" s="409">
        <v>242</v>
      </c>
      <c r="B247" s="521">
        <f t="shared" si="16"/>
        <v>3000</v>
      </c>
      <c r="C247" s="521">
        <f t="shared" si="17"/>
        <v>2899.0999999999863</v>
      </c>
      <c r="D247" s="522">
        <f t="shared" si="18"/>
        <v>4823.2000000000235</v>
      </c>
      <c r="E247" s="521">
        <f t="shared" si="19"/>
        <v>4249.8999999999996</v>
      </c>
    </row>
    <row r="248" spans="1:5">
      <c r="A248" s="409">
        <v>243</v>
      </c>
      <c r="B248" s="521">
        <f t="shared" si="16"/>
        <v>3012</v>
      </c>
      <c r="C248" s="521">
        <f t="shared" si="17"/>
        <v>2910.6999999999862</v>
      </c>
      <c r="D248" s="522">
        <f t="shared" si="18"/>
        <v>4842.5000000000236</v>
      </c>
      <c r="E248" s="521">
        <f t="shared" si="19"/>
        <v>4266.8999999999996</v>
      </c>
    </row>
    <row r="249" spans="1:5">
      <c r="A249" s="409">
        <v>244</v>
      </c>
      <c r="B249" s="521">
        <f t="shared" si="16"/>
        <v>3024</v>
      </c>
      <c r="C249" s="521">
        <f t="shared" si="17"/>
        <v>2922.2999999999861</v>
      </c>
      <c r="D249" s="522">
        <f t="shared" si="18"/>
        <v>4861.8000000000238</v>
      </c>
      <c r="E249" s="521">
        <f t="shared" si="19"/>
        <v>4283.8999999999996</v>
      </c>
    </row>
    <row r="250" spans="1:5">
      <c r="A250" s="409">
        <v>245</v>
      </c>
      <c r="B250" s="521">
        <f t="shared" si="16"/>
        <v>3036</v>
      </c>
      <c r="C250" s="521">
        <f t="shared" si="17"/>
        <v>2933.899999999986</v>
      </c>
      <c r="D250" s="522">
        <f t="shared" si="18"/>
        <v>4881.100000000024</v>
      </c>
      <c r="E250" s="521">
        <f t="shared" si="19"/>
        <v>4300.8999999999996</v>
      </c>
    </row>
    <row r="251" spans="1:5">
      <c r="A251" s="409">
        <v>246</v>
      </c>
      <c r="B251" s="521">
        <f t="shared" si="16"/>
        <v>3048</v>
      </c>
      <c r="C251" s="521">
        <f t="shared" si="17"/>
        <v>2945.4999999999859</v>
      </c>
      <c r="D251" s="522">
        <f t="shared" si="18"/>
        <v>4900.4000000000242</v>
      </c>
      <c r="E251" s="521">
        <f t="shared" si="19"/>
        <v>4317.8999999999996</v>
      </c>
    </row>
    <row r="252" spans="1:5">
      <c r="A252" s="409">
        <v>247</v>
      </c>
      <c r="B252" s="521">
        <f t="shared" si="16"/>
        <v>3060</v>
      </c>
      <c r="C252" s="521">
        <f t="shared" si="17"/>
        <v>2957.0999999999858</v>
      </c>
      <c r="D252" s="522">
        <f t="shared" si="18"/>
        <v>4919.7000000000244</v>
      </c>
      <c r="E252" s="521">
        <f t="shared" si="19"/>
        <v>4334.8999999999996</v>
      </c>
    </row>
    <row r="253" spans="1:5">
      <c r="A253" s="409">
        <v>248</v>
      </c>
      <c r="B253" s="521">
        <f t="shared" si="16"/>
        <v>3072</v>
      </c>
      <c r="C253" s="521">
        <f t="shared" si="17"/>
        <v>2968.6999999999857</v>
      </c>
      <c r="D253" s="522">
        <f t="shared" si="18"/>
        <v>4939.0000000000246</v>
      </c>
      <c r="E253" s="521">
        <f t="shared" si="19"/>
        <v>4351.8999999999996</v>
      </c>
    </row>
    <row r="254" spans="1:5">
      <c r="A254" s="409">
        <v>249</v>
      </c>
      <c r="B254" s="521">
        <f t="shared" si="16"/>
        <v>3084</v>
      </c>
      <c r="C254" s="521">
        <f t="shared" si="17"/>
        <v>2980.2999999999856</v>
      </c>
      <c r="D254" s="522">
        <f t="shared" si="18"/>
        <v>4958.3000000000247</v>
      </c>
      <c r="E254" s="521">
        <f t="shared" si="19"/>
        <v>4368.8999999999996</v>
      </c>
    </row>
    <row r="255" spans="1:5">
      <c r="A255" s="409">
        <v>250</v>
      </c>
      <c r="B255" s="521">
        <f t="shared" si="16"/>
        <v>3096</v>
      </c>
      <c r="C255" s="521">
        <f t="shared" si="17"/>
        <v>2991.8999999999855</v>
      </c>
      <c r="D255" s="522">
        <f t="shared" si="18"/>
        <v>4977.6000000000249</v>
      </c>
      <c r="E255" s="521">
        <f t="shared" si="19"/>
        <v>4385.8999999999996</v>
      </c>
    </row>
    <row r="256" spans="1:5">
      <c r="A256" s="409">
        <v>251</v>
      </c>
      <c r="B256" s="521">
        <f t="shared" si="16"/>
        <v>3108</v>
      </c>
      <c r="C256" s="521">
        <f t="shared" si="17"/>
        <v>3003.4999999999854</v>
      </c>
      <c r="D256" s="522">
        <f t="shared" si="18"/>
        <v>4996.9000000000251</v>
      </c>
      <c r="E256" s="521">
        <f t="shared" si="19"/>
        <v>4402.8999999999996</v>
      </c>
    </row>
    <row r="257" spans="1:5">
      <c r="A257" s="409">
        <v>252</v>
      </c>
      <c r="B257" s="521">
        <f t="shared" si="16"/>
        <v>3120</v>
      </c>
      <c r="C257" s="521">
        <f t="shared" si="17"/>
        <v>3015.0999999999854</v>
      </c>
      <c r="D257" s="522">
        <f t="shared" si="18"/>
        <v>5016.2000000000253</v>
      </c>
      <c r="E257" s="521">
        <f t="shared" si="19"/>
        <v>4419.8999999999996</v>
      </c>
    </row>
    <row r="258" spans="1:5">
      <c r="A258" s="409">
        <v>253</v>
      </c>
      <c r="B258" s="521">
        <f t="shared" si="16"/>
        <v>3132</v>
      </c>
      <c r="C258" s="521">
        <f t="shared" si="17"/>
        <v>3026.6999999999853</v>
      </c>
      <c r="D258" s="522">
        <f t="shared" si="18"/>
        <v>5035.5000000000255</v>
      </c>
      <c r="E258" s="521">
        <f t="shared" si="19"/>
        <v>4436.8999999999996</v>
      </c>
    </row>
    <row r="259" spans="1:5">
      <c r="A259" s="409">
        <v>254</v>
      </c>
      <c r="B259" s="521">
        <f t="shared" si="16"/>
        <v>3144</v>
      </c>
      <c r="C259" s="521">
        <f t="shared" si="17"/>
        <v>3038.2999999999852</v>
      </c>
      <c r="D259" s="522">
        <f t="shared" si="18"/>
        <v>5054.8000000000256</v>
      </c>
      <c r="E259" s="521">
        <f t="shared" si="19"/>
        <v>4453.8999999999996</v>
      </c>
    </row>
    <row r="260" spans="1:5">
      <c r="A260" s="409">
        <v>255</v>
      </c>
      <c r="B260" s="521">
        <f t="shared" si="16"/>
        <v>3156</v>
      </c>
      <c r="C260" s="521">
        <f t="shared" si="17"/>
        <v>3049.8999999999851</v>
      </c>
      <c r="D260" s="522">
        <f t="shared" si="18"/>
        <v>5074.1000000000258</v>
      </c>
      <c r="E260" s="521">
        <f t="shared" si="19"/>
        <v>4470.8999999999996</v>
      </c>
    </row>
    <row r="261" spans="1:5">
      <c r="A261" s="409">
        <v>256</v>
      </c>
      <c r="B261" s="521">
        <f t="shared" si="16"/>
        <v>3168</v>
      </c>
      <c r="C261" s="521">
        <f t="shared" si="17"/>
        <v>3061.499999999985</v>
      </c>
      <c r="D261" s="522">
        <f t="shared" si="18"/>
        <v>5093.400000000026</v>
      </c>
      <c r="E261" s="521">
        <f t="shared" si="19"/>
        <v>4487.8999999999996</v>
      </c>
    </row>
    <row r="262" spans="1:5">
      <c r="A262" s="409">
        <v>257</v>
      </c>
      <c r="B262" s="521">
        <f t="shared" si="16"/>
        <v>3180</v>
      </c>
      <c r="C262" s="521">
        <f t="shared" si="17"/>
        <v>3073.0999999999849</v>
      </c>
      <c r="D262" s="522">
        <f t="shared" si="18"/>
        <v>5112.7000000000262</v>
      </c>
      <c r="E262" s="521">
        <f t="shared" si="19"/>
        <v>4504.8999999999996</v>
      </c>
    </row>
    <row r="263" spans="1:5">
      <c r="A263" s="409">
        <v>258</v>
      </c>
      <c r="B263" s="521">
        <f t="shared" si="16"/>
        <v>3192</v>
      </c>
      <c r="C263" s="521">
        <f t="shared" si="17"/>
        <v>3084.6999999999848</v>
      </c>
      <c r="D263" s="522">
        <f t="shared" si="18"/>
        <v>5132.0000000000264</v>
      </c>
      <c r="E263" s="521">
        <f t="shared" si="19"/>
        <v>4521.8999999999996</v>
      </c>
    </row>
    <row r="264" spans="1:5">
      <c r="A264" s="409">
        <v>259</v>
      </c>
      <c r="B264" s="521">
        <f t="shared" si="16"/>
        <v>3204</v>
      </c>
      <c r="C264" s="521">
        <f t="shared" si="17"/>
        <v>3096.2999999999847</v>
      </c>
      <c r="D264" s="522">
        <f t="shared" si="18"/>
        <v>5151.3000000000266</v>
      </c>
      <c r="E264" s="521">
        <f t="shared" si="19"/>
        <v>4538.8999999999996</v>
      </c>
    </row>
    <row r="265" spans="1:5">
      <c r="A265" s="409">
        <v>260</v>
      </c>
      <c r="B265" s="521">
        <f t="shared" si="16"/>
        <v>3216</v>
      </c>
      <c r="C265" s="521">
        <f t="shared" si="17"/>
        <v>3107.8999999999846</v>
      </c>
      <c r="D265" s="522">
        <f t="shared" si="18"/>
        <v>5170.6000000000267</v>
      </c>
      <c r="E265" s="521">
        <f t="shared" si="19"/>
        <v>4555.8999999999996</v>
      </c>
    </row>
    <row r="266" spans="1:5">
      <c r="A266" s="409">
        <v>261</v>
      </c>
      <c r="B266" s="521">
        <f t="shared" si="16"/>
        <v>3228</v>
      </c>
      <c r="C266" s="521">
        <f t="shared" si="17"/>
        <v>3119.4999999999845</v>
      </c>
      <c r="D266" s="522">
        <f t="shared" si="18"/>
        <v>5189.9000000000269</v>
      </c>
      <c r="E266" s="521">
        <f t="shared" si="19"/>
        <v>4572.8999999999996</v>
      </c>
    </row>
    <row r="267" spans="1:5">
      <c r="A267" s="409">
        <v>262</v>
      </c>
      <c r="B267" s="521">
        <f t="shared" si="16"/>
        <v>3240</v>
      </c>
      <c r="C267" s="521">
        <f t="shared" si="17"/>
        <v>3131.0999999999844</v>
      </c>
      <c r="D267" s="522">
        <f t="shared" si="18"/>
        <v>5209.2000000000271</v>
      </c>
      <c r="E267" s="521">
        <f t="shared" si="19"/>
        <v>4589.8999999999996</v>
      </c>
    </row>
    <row r="268" spans="1:5">
      <c r="A268" s="409">
        <v>263</v>
      </c>
      <c r="B268" s="521">
        <f t="shared" si="16"/>
        <v>3252</v>
      </c>
      <c r="C268" s="521">
        <f t="shared" si="17"/>
        <v>3142.6999999999844</v>
      </c>
      <c r="D268" s="522">
        <f t="shared" si="18"/>
        <v>5228.5000000000273</v>
      </c>
      <c r="E268" s="521">
        <f t="shared" si="19"/>
        <v>4606.8999999999996</v>
      </c>
    </row>
    <row r="269" spans="1:5">
      <c r="A269" s="409">
        <v>264</v>
      </c>
      <c r="B269" s="521">
        <f t="shared" si="16"/>
        <v>3264</v>
      </c>
      <c r="C269" s="521">
        <f t="shared" si="17"/>
        <v>3154.2999999999843</v>
      </c>
      <c r="D269" s="522">
        <f t="shared" si="18"/>
        <v>5247.8000000000275</v>
      </c>
      <c r="E269" s="521">
        <f t="shared" si="19"/>
        <v>4623.8999999999996</v>
      </c>
    </row>
    <row r="270" spans="1:5">
      <c r="A270" s="409">
        <v>265</v>
      </c>
      <c r="B270" s="521">
        <f t="shared" si="16"/>
        <v>3276</v>
      </c>
      <c r="C270" s="521">
        <f t="shared" si="17"/>
        <v>3165.8999999999842</v>
      </c>
      <c r="D270" s="522">
        <f t="shared" si="18"/>
        <v>5267.1000000000276</v>
      </c>
      <c r="E270" s="521">
        <f t="shared" si="19"/>
        <v>4640.8999999999996</v>
      </c>
    </row>
    <row r="271" spans="1:5">
      <c r="A271" s="409">
        <v>266</v>
      </c>
      <c r="B271" s="521">
        <f t="shared" si="16"/>
        <v>3288</v>
      </c>
      <c r="C271" s="521">
        <f t="shared" si="17"/>
        <v>3177.4999999999841</v>
      </c>
      <c r="D271" s="522">
        <f t="shared" si="18"/>
        <v>5286.4000000000278</v>
      </c>
      <c r="E271" s="521">
        <f t="shared" si="19"/>
        <v>4657.8999999999996</v>
      </c>
    </row>
    <row r="272" spans="1:5">
      <c r="A272" s="409">
        <v>267</v>
      </c>
      <c r="B272" s="521">
        <f t="shared" si="16"/>
        <v>3300</v>
      </c>
      <c r="C272" s="521">
        <f t="shared" si="17"/>
        <v>3189.099999999984</v>
      </c>
      <c r="D272" s="522">
        <f t="shared" si="18"/>
        <v>5305.700000000028</v>
      </c>
      <c r="E272" s="521">
        <f t="shared" si="19"/>
        <v>4674.8999999999996</v>
      </c>
    </row>
    <row r="273" spans="1:5">
      <c r="A273" s="409">
        <v>268</v>
      </c>
      <c r="B273" s="521">
        <f t="shared" si="16"/>
        <v>3312</v>
      </c>
      <c r="C273" s="521">
        <f t="shared" si="17"/>
        <v>3200.6999999999839</v>
      </c>
      <c r="D273" s="522">
        <f t="shared" si="18"/>
        <v>5325.0000000000282</v>
      </c>
      <c r="E273" s="521">
        <f t="shared" si="19"/>
        <v>4691.8999999999996</v>
      </c>
    </row>
    <row r="274" spans="1:5">
      <c r="A274" s="409">
        <v>269</v>
      </c>
      <c r="B274" s="521">
        <f t="shared" si="16"/>
        <v>3324</v>
      </c>
      <c r="C274" s="521">
        <f t="shared" si="17"/>
        <v>3212.2999999999838</v>
      </c>
      <c r="D274" s="522">
        <f t="shared" si="18"/>
        <v>5344.3000000000284</v>
      </c>
      <c r="E274" s="521">
        <f t="shared" si="19"/>
        <v>4708.8999999999996</v>
      </c>
    </row>
    <row r="275" spans="1:5">
      <c r="A275" s="409">
        <v>270</v>
      </c>
      <c r="B275" s="521">
        <f t="shared" si="16"/>
        <v>3336</v>
      </c>
      <c r="C275" s="521">
        <f t="shared" si="17"/>
        <v>3223.8999999999837</v>
      </c>
      <c r="D275" s="522">
        <f t="shared" si="18"/>
        <v>5363.6000000000286</v>
      </c>
      <c r="E275" s="521">
        <f t="shared" si="19"/>
        <v>4725.8999999999996</v>
      </c>
    </row>
    <row r="276" spans="1:5">
      <c r="A276" s="409">
        <v>271</v>
      </c>
      <c r="B276" s="521">
        <f t="shared" si="16"/>
        <v>3348</v>
      </c>
      <c r="C276" s="521">
        <f t="shared" si="17"/>
        <v>3235.4999999999836</v>
      </c>
      <c r="D276" s="522">
        <f t="shared" si="18"/>
        <v>5382.9000000000287</v>
      </c>
      <c r="E276" s="521">
        <f t="shared" si="19"/>
        <v>4742.8999999999996</v>
      </c>
    </row>
    <row r="277" spans="1:5">
      <c r="A277" s="409">
        <v>272</v>
      </c>
      <c r="B277" s="521">
        <f t="shared" si="16"/>
        <v>3360</v>
      </c>
      <c r="C277" s="521">
        <f t="shared" si="17"/>
        <v>3247.0999999999835</v>
      </c>
      <c r="D277" s="522">
        <f t="shared" si="18"/>
        <v>5402.2000000000289</v>
      </c>
      <c r="E277" s="521">
        <f t="shared" si="19"/>
        <v>4759.8999999999996</v>
      </c>
    </row>
    <row r="278" spans="1:5">
      <c r="A278" s="409">
        <v>273</v>
      </c>
      <c r="B278" s="521">
        <f t="shared" si="16"/>
        <v>3372</v>
      </c>
      <c r="C278" s="521">
        <f t="shared" si="17"/>
        <v>3258.6999999999834</v>
      </c>
      <c r="D278" s="522">
        <f t="shared" si="18"/>
        <v>5421.5000000000291</v>
      </c>
      <c r="E278" s="521">
        <f t="shared" si="19"/>
        <v>4776.8999999999996</v>
      </c>
    </row>
    <row r="279" spans="1:5">
      <c r="A279" s="409">
        <v>274</v>
      </c>
      <c r="B279" s="521">
        <f t="shared" si="16"/>
        <v>3384</v>
      </c>
      <c r="C279" s="521">
        <f t="shared" si="17"/>
        <v>3270.2999999999834</v>
      </c>
      <c r="D279" s="522">
        <f t="shared" si="18"/>
        <v>5440.8000000000293</v>
      </c>
      <c r="E279" s="521">
        <f t="shared" si="19"/>
        <v>4793.8999999999996</v>
      </c>
    </row>
    <row r="280" spans="1:5">
      <c r="A280" s="409">
        <v>275</v>
      </c>
      <c r="B280" s="521">
        <f t="shared" si="16"/>
        <v>3396</v>
      </c>
      <c r="C280" s="521">
        <f t="shared" si="17"/>
        <v>3281.8999999999833</v>
      </c>
      <c r="D280" s="522">
        <f t="shared" si="18"/>
        <v>5460.1000000000295</v>
      </c>
      <c r="E280" s="521">
        <f t="shared" si="19"/>
        <v>4810.8999999999996</v>
      </c>
    </row>
    <row r="281" spans="1:5">
      <c r="A281" s="409">
        <v>276</v>
      </c>
      <c r="B281" s="521">
        <f t="shared" si="16"/>
        <v>3408</v>
      </c>
      <c r="C281" s="521">
        <f t="shared" si="17"/>
        <v>3293.4999999999832</v>
      </c>
      <c r="D281" s="522">
        <f t="shared" si="18"/>
        <v>5479.4000000000296</v>
      </c>
      <c r="E281" s="521">
        <f t="shared" si="19"/>
        <v>4827.8999999999996</v>
      </c>
    </row>
    <row r="282" spans="1:5">
      <c r="A282" s="409">
        <v>277</v>
      </c>
      <c r="B282" s="521">
        <f t="shared" si="16"/>
        <v>3420</v>
      </c>
      <c r="C282" s="521">
        <f t="shared" si="17"/>
        <v>3305.0999999999831</v>
      </c>
      <c r="D282" s="522">
        <f t="shared" si="18"/>
        <v>5498.7000000000298</v>
      </c>
      <c r="E282" s="521">
        <f t="shared" si="19"/>
        <v>4844.8999999999996</v>
      </c>
    </row>
    <row r="283" spans="1:5">
      <c r="A283" s="409">
        <v>278</v>
      </c>
      <c r="B283" s="521">
        <f t="shared" si="16"/>
        <v>3432</v>
      </c>
      <c r="C283" s="521">
        <f t="shared" si="17"/>
        <v>3316.699999999983</v>
      </c>
      <c r="D283" s="522">
        <f t="shared" si="18"/>
        <v>5518.00000000003</v>
      </c>
      <c r="E283" s="521">
        <f t="shared" si="19"/>
        <v>4861.8999999999996</v>
      </c>
    </row>
    <row r="284" spans="1:5">
      <c r="A284" s="409">
        <v>279</v>
      </c>
      <c r="B284" s="521">
        <f t="shared" si="16"/>
        <v>3444</v>
      </c>
      <c r="C284" s="521">
        <f t="shared" si="17"/>
        <v>3328.2999999999829</v>
      </c>
      <c r="D284" s="522">
        <f t="shared" si="18"/>
        <v>5537.3000000000302</v>
      </c>
      <c r="E284" s="521">
        <f t="shared" si="19"/>
        <v>4878.8999999999996</v>
      </c>
    </row>
    <row r="285" spans="1:5">
      <c r="A285" s="409">
        <v>280</v>
      </c>
      <c r="B285" s="521">
        <f t="shared" si="16"/>
        <v>3456</v>
      </c>
      <c r="C285" s="521">
        <f t="shared" si="17"/>
        <v>3339.8999999999828</v>
      </c>
      <c r="D285" s="522">
        <f t="shared" si="18"/>
        <v>5556.6000000000304</v>
      </c>
      <c r="E285" s="521">
        <f t="shared" si="19"/>
        <v>4895.8999999999996</v>
      </c>
    </row>
    <row r="286" spans="1:5">
      <c r="A286" s="409">
        <v>281</v>
      </c>
      <c r="B286" s="521">
        <f t="shared" si="16"/>
        <v>3468</v>
      </c>
      <c r="C286" s="521">
        <f t="shared" si="17"/>
        <v>3351.4999999999827</v>
      </c>
      <c r="D286" s="522">
        <f t="shared" si="18"/>
        <v>5575.9000000000306</v>
      </c>
      <c r="E286" s="521">
        <f t="shared" si="19"/>
        <v>4912.8999999999996</v>
      </c>
    </row>
    <row r="287" spans="1:5">
      <c r="A287" s="409">
        <v>282</v>
      </c>
      <c r="B287" s="521">
        <f t="shared" si="16"/>
        <v>3480</v>
      </c>
      <c r="C287" s="521">
        <f t="shared" si="17"/>
        <v>3363.0999999999826</v>
      </c>
      <c r="D287" s="522">
        <f t="shared" si="18"/>
        <v>5595.2000000000307</v>
      </c>
      <c r="E287" s="521">
        <f t="shared" si="19"/>
        <v>4929.8999999999996</v>
      </c>
    </row>
    <row r="288" spans="1:5">
      <c r="A288" s="409">
        <v>283</v>
      </c>
      <c r="B288" s="521">
        <f t="shared" si="16"/>
        <v>3492</v>
      </c>
      <c r="C288" s="521">
        <f t="shared" si="17"/>
        <v>3374.6999999999825</v>
      </c>
      <c r="D288" s="522">
        <f t="shared" si="18"/>
        <v>5614.5000000000309</v>
      </c>
      <c r="E288" s="521">
        <f t="shared" si="19"/>
        <v>4946.8999999999996</v>
      </c>
    </row>
    <row r="289" spans="1:5">
      <c r="A289" s="409">
        <v>284</v>
      </c>
      <c r="B289" s="521">
        <f t="shared" si="16"/>
        <v>3504</v>
      </c>
      <c r="C289" s="521">
        <f t="shared" si="17"/>
        <v>3386.2999999999824</v>
      </c>
      <c r="D289" s="522">
        <f t="shared" si="18"/>
        <v>5633.8000000000311</v>
      </c>
      <c r="E289" s="521">
        <f t="shared" si="19"/>
        <v>4963.8999999999996</v>
      </c>
    </row>
    <row r="290" spans="1:5">
      <c r="A290" s="409">
        <v>285</v>
      </c>
      <c r="B290" s="521">
        <f t="shared" si="16"/>
        <v>3516</v>
      </c>
      <c r="C290" s="521">
        <f t="shared" si="17"/>
        <v>3397.8999999999824</v>
      </c>
      <c r="D290" s="522">
        <f t="shared" si="18"/>
        <v>5653.1000000000313</v>
      </c>
      <c r="E290" s="521">
        <f t="shared" si="19"/>
        <v>4980.8999999999996</v>
      </c>
    </row>
    <row r="291" spans="1:5">
      <c r="A291" s="409">
        <v>286</v>
      </c>
      <c r="B291" s="521">
        <f t="shared" si="16"/>
        <v>3528</v>
      </c>
      <c r="C291" s="521">
        <f t="shared" si="17"/>
        <v>3409.4999999999823</v>
      </c>
      <c r="D291" s="522">
        <f t="shared" si="18"/>
        <v>5672.4000000000315</v>
      </c>
      <c r="E291" s="521">
        <f t="shared" si="19"/>
        <v>4997.8999999999996</v>
      </c>
    </row>
    <row r="292" spans="1:5">
      <c r="A292" s="409">
        <v>287</v>
      </c>
      <c r="B292" s="521">
        <f t="shared" si="16"/>
        <v>3540</v>
      </c>
      <c r="C292" s="521">
        <f t="shared" si="17"/>
        <v>3421.0999999999822</v>
      </c>
      <c r="D292" s="522">
        <f t="shared" si="18"/>
        <v>5691.7000000000317</v>
      </c>
      <c r="E292" s="521">
        <f t="shared" si="19"/>
        <v>5014.8999999999996</v>
      </c>
    </row>
    <row r="293" spans="1:5">
      <c r="A293" s="409">
        <v>288</v>
      </c>
      <c r="B293" s="521">
        <f t="shared" ref="B293:B305" si="20">B292+12</f>
        <v>3552</v>
      </c>
      <c r="C293" s="521">
        <f t="shared" ref="C293:C305" si="21">C292+11.6</f>
        <v>3432.6999999999821</v>
      </c>
      <c r="D293" s="522">
        <f t="shared" ref="D293:D305" si="22">D292+19.3</f>
        <v>5711.0000000000318</v>
      </c>
      <c r="E293" s="521">
        <f t="shared" ref="E293:E305" si="23">E292+17</f>
        <v>5031.8999999999996</v>
      </c>
    </row>
    <row r="294" spans="1:5">
      <c r="A294" s="409">
        <v>289</v>
      </c>
      <c r="B294" s="521">
        <f t="shared" si="20"/>
        <v>3564</v>
      </c>
      <c r="C294" s="521">
        <f t="shared" si="21"/>
        <v>3444.299999999982</v>
      </c>
      <c r="D294" s="522">
        <f t="shared" si="22"/>
        <v>5730.300000000032</v>
      </c>
      <c r="E294" s="521">
        <f t="shared" si="23"/>
        <v>5048.8999999999996</v>
      </c>
    </row>
    <row r="295" spans="1:5">
      <c r="A295" s="409">
        <v>290</v>
      </c>
      <c r="B295" s="521">
        <f t="shared" si="20"/>
        <v>3576</v>
      </c>
      <c r="C295" s="521">
        <f t="shared" si="21"/>
        <v>3455.8999999999819</v>
      </c>
      <c r="D295" s="522">
        <f t="shared" si="22"/>
        <v>5749.6000000000322</v>
      </c>
      <c r="E295" s="521">
        <f t="shared" si="23"/>
        <v>5065.8999999999996</v>
      </c>
    </row>
    <row r="296" spans="1:5">
      <c r="A296" s="409">
        <v>291</v>
      </c>
      <c r="B296" s="521">
        <f t="shared" si="20"/>
        <v>3588</v>
      </c>
      <c r="C296" s="521">
        <f t="shared" si="21"/>
        <v>3467.4999999999818</v>
      </c>
      <c r="D296" s="522">
        <f t="shared" si="22"/>
        <v>5768.9000000000324</v>
      </c>
      <c r="E296" s="521">
        <f t="shared" si="23"/>
        <v>5082.8999999999996</v>
      </c>
    </row>
    <row r="297" spans="1:5">
      <c r="A297" s="409">
        <v>292</v>
      </c>
      <c r="B297" s="521">
        <f t="shared" si="20"/>
        <v>3600</v>
      </c>
      <c r="C297" s="521">
        <f t="shared" si="21"/>
        <v>3479.0999999999817</v>
      </c>
      <c r="D297" s="522">
        <f t="shared" si="22"/>
        <v>5788.2000000000326</v>
      </c>
      <c r="E297" s="521">
        <f t="shared" si="23"/>
        <v>5099.8999999999996</v>
      </c>
    </row>
    <row r="298" spans="1:5">
      <c r="A298" s="409">
        <v>293</v>
      </c>
      <c r="B298" s="521">
        <f t="shared" si="20"/>
        <v>3612</v>
      </c>
      <c r="C298" s="521">
        <f t="shared" si="21"/>
        <v>3490.6999999999816</v>
      </c>
      <c r="D298" s="522">
        <f t="shared" si="22"/>
        <v>5807.5000000000327</v>
      </c>
      <c r="E298" s="521">
        <f t="shared" si="23"/>
        <v>5116.8999999999996</v>
      </c>
    </row>
    <row r="299" spans="1:5">
      <c r="A299" s="409">
        <v>294</v>
      </c>
      <c r="B299" s="521">
        <f t="shared" si="20"/>
        <v>3624</v>
      </c>
      <c r="C299" s="521">
        <f t="shared" si="21"/>
        <v>3502.2999999999815</v>
      </c>
      <c r="D299" s="522">
        <f t="shared" si="22"/>
        <v>5826.8000000000329</v>
      </c>
      <c r="E299" s="521">
        <f t="shared" si="23"/>
        <v>5133.8999999999996</v>
      </c>
    </row>
    <row r="300" spans="1:5">
      <c r="A300" s="409">
        <v>295</v>
      </c>
      <c r="B300" s="521">
        <f t="shared" si="20"/>
        <v>3636</v>
      </c>
      <c r="C300" s="521">
        <f t="shared" si="21"/>
        <v>3513.8999999999814</v>
      </c>
      <c r="D300" s="522">
        <f t="shared" si="22"/>
        <v>5846.1000000000331</v>
      </c>
      <c r="E300" s="521">
        <f t="shared" si="23"/>
        <v>5150.8999999999996</v>
      </c>
    </row>
    <row r="301" spans="1:5">
      <c r="A301" s="409">
        <v>296</v>
      </c>
      <c r="B301" s="521">
        <f t="shared" si="20"/>
        <v>3648</v>
      </c>
      <c r="C301" s="521">
        <f t="shared" si="21"/>
        <v>3525.4999999999814</v>
      </c>
      <c r="D301" s="522">
        <f t="shared" si="22"/>
        <v>5865.4000000000333</v>
      </c>
      <c r="E301" s="521">
        <f t="shared" si="23"/>
        <v>5167.8999999999996</v>
      </c>
    </row>
    <row r="302" spans="1:5">
      <c r="A302" s="409">
        <v>297</v>
      </c>
      <c r="B302" s="521">
        <f t="shared" si="20"/>
        <v>3660</v>
      </c>
      <c r="C302" s="521">
        <f t="shared" si="21"/>
        <v>3537.0999999999813</v>
      </c>
      <c r="D302" s="522">
        <f t="shared" si="22"/>
        <v>5884.7000000000335</v>
      </c>
      <c r="E302" s="521">
        <f t="shared" si="23"/>
        <v>5184.8999999999996</v>
      </c>
    </row>
    <row r="303" spans="1:5">
      <c r="A303" s="409">
        <v>298</v>
      </c>
      <c r="B303" s="521">
        <f t="shared" si="20"/>
        <v>3672</v>
      </c>
      <c r="C303" s="521">
        <f t="shared" si="21"/>
        <v>3548.6999999999812</v>
      </c>
      <c r="D303" s="522">
        <f t="shared" si="22"/>
        <v>5904.0000000000337</v>
      </c>
      <c r="E303" s="521">
        <f t="shared" si="23"/>
        <v>5201.8999999999996</v>
      </c>
    </row>
    <row r="304" spans="1:5">
      <c r="A304" s="409">
        <v>299</v>
      </c>
      <c r="B304" s="521">
        <f t="shared" si="20"/>
        <v>3684</v>
      </c>
      <c r="C304" s="521">
        <f t="shared" si="21"/>
        <v>3560.2999999999811</v>
      </c>
      <c r="D304" s="522">
        <f t="shared" si="22"/>
        <v>5923.3000000000338</v>
      </c>
      <c r="E304" s="521">
        <f t="shared" si="23"/>
        <v>5218.8999999999996</v>
      </c>
    </row>
    <row r="305" spans="1:5">
      <c r="A305" s="409">
        <v>300</v>
      </c>
      <c r="B305" s="521">
        <f t="shared" si="20"/>
        <v>3696</v>
      </c>
      <c r="C305" s="521">
        <f t="shared" si="21"/>
        <v>3571.899999999981</v>
      </c>
      <c r="D305" s="522">
        <f t="shared" si="22"/>
        <v>5942.600000000034</v>
      </c>
      <c r="E305" s="521">
        <f t="shared" si="23"/>
        <v>5235.8999999999996</v>
      </c>
    </row>
    <row r="306" spans="1:5">
      <c r="A306" s="474">
        <v>301</v>
      </c>
    </row>
    <row r="307" spans="1:5">
      <c r="A307" s="474">
        <v>302</v>
      </c>
    </row>
    <row r="308" spans="1:5">
      <c r="A308" s="474">
        <v>303</v>
      </c>
    </row>
    <row r="309" spans="1:5">
      <c r="A309" s="474">
        <v>304</v>
      </c>
    </row>
    <row r="310" spans="1:5">
      <c r="A310" s="474">
        <v>305</v>
      </c>
    </row>
    <row r="311" spans="1:5">
      <c r="A311" s="474">
        <v>306</v>
      </c>
    </row>
    <row r="312" spans="1:5">
      <c r="A312" s="474">
        <v>307</v>
      </c>
    </row>
    <row r="313" spans="1:5">
      <c r="A313" s="474">
        <v>308</v>
      </c>
    </row>
  </sheetData>
  <mergeCells count="3">
    <mergeCell ref="A1:F1"/>
    <mergeCell ref="B2:D2"/>
    <mergeCell ref="A3:A4"/>
  </mergeCells>
  <pageMargins left="1.04" right="0.7" top="0.32" bottom="0.4" header="0.3" footer="0.3"/>
  <pageSetup paperSize="9" orientation="portrait" verticalDpi="0" r:id="rId1"/>
</worksheet>
</file>

<file path=xl/worksheets/sheet58.xml><?xml version="1.0" encoding="utf-8"?>
<worksheet xmlns="http://schemas.openxmlformats.org/spreadsheetml/2006/main" xmlns:r="http://schemas.openxmlformats.org/officeDocument/2006/relationships">
  <sheetPr>
    <tabColor rgb="FF7030A0"/>
  </sheetPr>
  <dimension ref="A1:H156"/>
  <sheetViews>
    <sheetView view="pageBreakPreview" topLeftCell="A31" zoomScale="115" zoomScaleNormal="115" zoomScaleSheetLayoutView="115" workbookViewId="0">
      <selection activeCell="C44" sqref="C44"/>
    </sheetView>
  </sheetViews>
  <sheetFormatPr defaultColWidth="9.140625" defaultRowHeight="12.75"/>
  <cols>
    <col min="1" max="1" width="22.28515625" style="512" customWidth="1"/>
    <col min="2" max="2" width="11.5703125" style="516" customWidth="1"/>
    <col min="3" max="3" width="10.42578125" style="516" bestFit="1" customWidth="1"/>
    <col min="4" max="4" width="10.7109375" style="516" customWidth="1"/>
    <col min="5" max="5" width="11.85546875" style="517" customWidth="1"/>
    <col min="6" max="6" width="17.42578125" style="512" customWidth="1"/>
    <col min="7" max="7" width="10.140625" style="516" customWidth="1"/>
    <col min="8" max="8" width="9.28515625" style="518" bestFit="1" customWidth="1"/>
    <col min="9" max="16384" width="9.140625" style="512"/>
  </cols>
  <sheetData>
    <row r="1" spans="1:8" ht="18.75">
      <c r="A1" s="1901" t="s">
        <v>2316</v>
      </c>
      <c r="B1" s="1901"/>
      <c r="C1" s="1901"/>
      <c r="D1" s="1901"/>
      <c r="E1" s="1901"/>
      <c r="F1" s="1901"/>
      <c r="G1" s="1901"/>
      <c r="H1" s="1901"/>
    </row>
    <row r="2" spans="1:8">
      <c r="A2" s="513"/>
      <c r="B2" s="419"/>
      <c r="C2" s="419"/>
      <c r="D2" s="419"/>
      <c r="E2" s="420"/>
      <c r="F2" s="513" t="s">
        <v>1698</v>
      </c>
      <c r="G2" s="419" t="s">
        <v>1699</v>
      </c>
      <c r="H2" s="416" t="s">
        <v>8</v>
      </c>
    </row>
    <row r="3" spans="1:8">
      <c r="A3" s="513"/>
      <c r="B3" s="419" t="s">
        <v>1700</v>
      </c>
      <c r="C3" s="419" t="s">
        <v>8</v>
      </c>
      <c r="D3" s="419"/>
      <c r="E3" s="420"/>
      <c r="F3" s="513" t="s">
        <v>1701</v>
      </c>
      <c r="G3" s="419" t="s">
        <v>1702</v>
      </c>
      <c r="H3" s="659">
        <v>630</v>
      </c>
    </row>
    <row r="4" spans="1:8">
      <c r="A4" s="415" t="s">
        <v>847</v>
      </c>
      <c r="B4" s="419" t="s">
        <v>1703</v>
      </c>
      <c r="C4" s="416">
        <v>4700</v>
      </c>
      <c r="D4" s="419"/>
      <c r="E4" s="420"/>
      <c r="F4" s="513" t="s">
        <v>1704</v>
      </c>
      <c r="G4" s="419" t="s">
        <v>1705</v>
      </c>
      <c r="H4" s="659">
        <v>565</v>
      </c>
    </row>
    <row r="5" spans="1:8">
      <c r="A5" s="389" t="s">
        <v>1706</v>
      </c>
      <c r="B5" s="419"/>
      <c r="C5" s="659">
        <v>64500</v>
      </c>
      <c r="D5" s="419" t="s">
        <v>2485</v>
      </c>
      <c r="E5" s="420"/>
      <c r="F5" s="513" t="s">
        <v>1707</v>
      </c>
      <c r="G5" s="419" t="s">
        <v>1708</v>
      </c>
      <c r="H5" s="659">
        <v>525</v>
      </c>
    </row>
    <row r="6" spans="1:8">
      <c r="A6" s="389" t="s">
        <v>1709</v>
      </c>
      <c r="B6" s="419"/>
      <c r="C6" s="659">
        <v>61000</v>
      </c>
      <c r="D6" s="419" t="s">
        <v>2485</v>
      </c>
      <c r="E6" s="420"/>
      <c r="F6" s="513" t="s">
        <v>1710</v>
      </c>
      <c r="G6" s="419" t="s">
        <v>1711</v>
      </c>
      <c r="H6" s="659">
        <v>750</v>
      </c>
    </row>
    <row r="7" spans="1:8">
      <c r="A7" s="389" t="s">
        <v>848</v>
      </c>
      <c r="B7" s="419"/>
      <c r="C7" s="659">
        <v>61500</v>
      </c>
      <c r="D7" s="419" t="s">
        <v>2485</v>
      </c>
      <c r="E7" s="420"/>
      <c r="F7" s="513"/>
      <c r="G7" s="419"/>
      <c r="H7" s="416"/>
    </row>
    <row r="8" spans="1:8">
      <c r="A8" s="389" t="s">
        <v>849</v>
      </c>
      <c r="B8" s="419"/>
      <c r="C8" s="659">
        <v>61500</v>
      </c>
      <c r="D8" s="419" t="s">
        <v>2485</v>
      </c>
      <c r="E8" s="420"/>
      <c r="F8" s="513" t="s">
        <v>1712</v>
      </c>
      <c r="G8" s="419" t="s">
        <v>1713</v>
      </c>
      <c r="H8" s="659">
        <v>705</v>
      </c>
    </row>
    <row r="9" spans="1:8" ht="25.5">
      <c r="A9" s="389" t="s">
        <v>850</v>
      </c>
      <c r="B9" s="419" t="s">
        <v>1714</v>
      </c>
      <c r="C9" s="848">
        <v>700</v>
      </c>
      <c r="D9" s="419"/>
      <c r="E9" s="420"/>
      <c r="F9" s="513" t="s">
        <v>1715</v>
      </c>
      <c r="G9" s="419" t="s">
        <v>1716</v>
      </c>
      <c r="H9" s="659">
        <v>565</v>
      </c>
    </row>
    <row r="10" spans="1:8">
      <c r="A10" s="389" t="s">
        <v>851</v>
      </c>
      <c r="B10" s="419" t="s">
        <v>1717</v>
      </c>
      <c r="C10" s="848">
        <v>605</v>
      </c>
      <c r="D10" s="419"/>
      <c r="E10" s="420"/>
      <c r="F10" s="513" t="s">
        <v>1339</v>
      </c>
      <c r="G10" s="419" t="s">
        <v>1718</v>
      </c>
      <c r="H10" s="659">
        <v>615</v>
      </c>
    </row>
    <row r="11" spans="1:8">
      <c r="A11" s="389" t="s">
        <v>768</v>
      </c>
      <c r="B11" s="419" t="s">
        <v>1719</v>
      </c>
      <c r="C11" s="848">
        <v>460</v>
      </c>
      <c r="D11" s="419" t="s">
        <v>861</v>
      </c>
      <c r="E11" s="420" t="s">
        <v>862</v>
      </c>
      <c r="F11" s="513" t="s">
        <v>1340</v>
      </c>
      <c r="G11" s="419" t="s">
        <v>1720</v>
      </c>
      <c r="H11" s="659">
        <v>590</v>
      </c>
    </row>
    <row r="12" spans="1:8">
      <c r="A12" s="389" t="s">
        <v>1721</v>
      </c>
      <c r="B12" s="419" t="s">
        <v>1722</v>
      </c>
      <c r="C12" s="848">
        <v>7500</v>
      </c>
      <c r="D12" s="419">
        <v>68.5</v>
      </c>
      <c r="E12" s="420">
        <v>68.5</v>
      </c>
      <c r="F12" s="513"/>
      <c r="G12" s="419"/>
      <c r="H12" s="416"/>
    </row>
    <row r="13" spans="1:8">
      <c r="A13" s="389" t="s">
        <v>853</v>
      </c>
      <c r="B13" s="419" t="s">
        <v>1723</v>
      </c>
      <c r="C13" s="848">
        <v>716</v>
      </c>
      <c r="D13" s="419"/>
      <c r="E13" s="420"/>
      <c r="F13" s="513" t="s">
        <v>1724</v>
      </c>
      <c r="G13" s="419" t="s">
        <v>1725</v>
      </c>
      <c r="H13" s="659">
        <v>705</v>
      </c>
    </row>
    <row r="14" spans="1:8" ht="25.5">
      <c r="A14" s="389" t="s">
        <v>854</v>
      </c>
      <c r="B14" s="419" t="s">
        <v>1726</v>
      </c>
      <c r="C14" s="848">
        <v>1196</v>
      </c>
      <c r="D14" s="419"/>
      <c r="E14" s="420"/>
      <c r="F14" s="513" t="s">
        <v>1727</v>
      </c>
      <c r="G14" s="419"/>
      <c r="H14" s="659">
        <v>565</v>
      </c>
    </row>
    <row r="15" spans="1:8">
      <c r="A15" s="389" t="s">
        <v>1728</v>
      </c>
      <c r="B15" s="419" t="s">
        <v>1729</v>
      </c>
      <c r="C15" s="848">
        <v>952</v>
      </c>
      <c r="D15" s="419"/>
      <c r="E15" s="420"/>
      <c r="F15" s="513"/>
      <c r="G15" s="419"/>
      <c r="H15" s="416"/>
    </row>
    <row r="16" spans="1:8">
      <c r="A16" s="389" t="s">
        <v>1730</v>
      </c>
      <c r="B16" s="419" t="s">
        <v>1731</v>
      </c>
      <c r="C16" s="848">
        <v>800</v>
      </c>
      <c r="D16" s="419"/>
      <c r="E16" s="420"/>
      <c r="F16" s="513" t="s">
        <v>156</v>
      </c>
      <c r="G16" s="419" t="s">
        <v>1732</v>
      </c>
      <c r="H16" s="456">
        <v>700</v>
      </c>
    </row>
    <row r="17" spans="1:8" ht="25.5">
      <c r="A17" s="389" t="s">
        <v>1733</v>
      </c>
      <c r="B17" s="419" t="s">
        <v>1734</v>
      </c>
      <c r="C17" s="848">
        <v>636</v>
      </c>
      <c r="D17" s="419"/>
      <c r="E17" s="420"/>
      <c r="F17" s="513" t="s">
        <v>1501</v>
      </c>
      <c r="G17" s="419" t="s">
        <v>1735</v>
      </c>
      <c r="H17" s="456">
        <v>570</v>
      </c>
    </row>
    <row r="18" spans="1:8">
      <c r="A18" s="389" t="s">
        <v>1194</v>
      </c>
      <c r="B18" s="419" t="s">
        <v>1736</v>
      </c>
      <c r="C18" s="659">
        <v>298</v>
      </c>
      <c r="D18" s="419"/>
      <c r="E18" s="420"/>
      <c r="F18" s="513" t="s">
        <v>3241</v>
      </c>
      <c r="G18" s="419" t="s">
        <v>1708</v>
      </c>
      <c r="H18" s="456">
        <v>505</v>
      </c>
    </row>
    <row r="19" spans="1:8">
      <c r="A19" s="393" t="s">
        <v>1737</v>
      </c>
      <c r="B19" s="419" t="s">
        <v>1738</v>
      </c>
      <c r="C19" s="848">
        <v>2100</v>
      </c>
      <c r="D19" s="419"/>
      <c r="E19" s="420"/>
      <c r="F19" s="513"/>
      <c r="G19" s="419"/>
      <c r="H19" s="416"/>
    </row>
    <row r="20" spans="1:8">
      <c r="A20" s="393" t="s">
        <v>1739</v>
      </c>
      <c r="B20" s="419" t="s">
        <v>1740</v>
      </c>
      <c r="C20" s="848">
        <v>315</v>
      </c>
      <c r="D20" s="419"/>
      <c r="E20" s="420"/>
      <c r="F20" s="513"/>
      <c r="G20" s="419"/>
      <c r="H20" s="416"/>
    </row>
    <row r="21" spans="1:8">
      <c r="A21" s="393" t="s">
        <v>1741</v>
      </c>
      <c r="B21" s="419" t="s">
        <v>1742</v>
      </c>
      <c r="C21" s="848">
        <v>612</v>
      </c>
      <c r="D21" s="419"/>
      <c r="E21" s="420"/>
      <c r="F21" s="513"/>
      <c r="G21" s="419"/>
      <c r="H21" s="416"/>
    </row>
    <row r="22" spans="1:8">
      <c r="A22" s="393" t="s">
        <v>1743</v>
      </c>
      <c r="B22" s="419" t="s">
        <v>1744</v>
      </c>
      <c r="C22" s="848">
        <v>370</v>
      </c>
      <c r="D22" s="419"/>
      <c r="E22" s="420"/>
      <c r="F22" s="513"/>
      <c r="G22" s="419"/>
      <c r="H22" s="416"/>
    </row>
    <row r="23" spans="1:8">
      <c r="A23" s="393" t="s">
        <v>1745</v>
      </c>
      <c r="B23" s="419" t="s">
        <v>1746</v>
      </c>
      <c r="C23" s="848">
        <v>330</v>
      </c>
      <c r="D23" s="419"/>
      <c r="E23" s="420"/>
      <c r="F23" s="513"/>
      <c r="G23" s="419"/>
      <c r="H23" s="416"/>
    </row>
    <row r="24" spans="1:8">
      <c r="A24" s="389" t="s">
        <v>1209</v>
      </c>
      <c r="B24" s="419" t="s">
        <v>1747</v>
      </c>
      <c r="C24" s="659">
        <v>18000</v>
      </c>
      <c r="D24" s="419"/>
      <c r="E24" s="420"/>
      <c r="F24" s="513" t="s">
        <v>1748</v>
      </c>
      <c r="G24" s="419"/>
      <c r="H24" s="416"/>
    </row>
    <row r="25" spans="1:8">
      <c r="A25" s="389" t="s">
        <v>860</v>
      </c>
      <c r="B25" s="419" t="s">
        <v>1749</v>
      </c>
      <c r="C25" s="416">
        <v>93</v>
      </c>
      <c r="D25" s="419"/>
      <c r="E25" s="420"/>
      <c r="F25" s="513" t="s">
        <v>1430</v>
      </c>
      <c r="G25" s="419"/>
      <c r="H25" s="659">
        <v>6.06</v>
      </c>
    </row>
    <row r="26" spans="1:8">
      <c r="A26" s="389" t="s">
        <v>664</v>
      </c>
      <c r="B26" s="419" t="s">
        <v>1750</v>
      </c>
      <c r="C26" s="659">
        <v>149</v>
      </c>
      <c r="D26" s="419"/>
      <c r="E26" s="420"/>
      <c r="F26" s="513" t="s">
        <v>1432</v>
      </c>
      <c r="G26" s="419"/>
      <c r="H26" s="659">
        <v>144.26</v>
      </c>
    </row>
    <row r="27" spans="1:8">
      <c r="A27" s="389" t="s">
        <v>1751</v>
      </c>
      <c r="B27" s="419" t="s">
        <v>1752</v>
      </c>
      <c r="C27" s="659">
        <v>30</v>
      </c>
      <c r="D27" s="419"/>
      <c r="E27" s="420"/>
      <c r="F27" s="513"/>
      <c r="G27" s="419"/>
      <c r="H27" s="416"/>
    </row>
    <row r="28" spans="1:8">
      <c r="A28" s="513"/>
      <c r="B28" s="419"/>
      <c r="C28" s="419"/>
      <c r="D28" s="419"/>
      <c r="E28" s="1902" t="s">
        <v>1753</v>
      </c>
      <c r="F28" s="1902"/>
      <c r="G28" s="1902"/>
      <c r="H28" s="1902"/>
    </row>
    <row r="29" spans="1:8">
      <c r="A29" s="389" t="s">
        <v>1754</v>
      </c>
      <c r="B29" s="419" t="s">
        <v>1755</v>
      </c>
      <c r="C29" s="659">
        <v>95</v>
      </c>
      <c r="D29" s="419"/>
      <c r="E29" s="515" t="s">
        <v>1756</v>
      </c>
      <c r="F29" s="417" t="s">
        <v>1757</v>
      </c>
      <c r="G29" s="418" t="s">
        <v>1758</v>
      </c>
      <c r="H29" s="418" t="s">
        <v>1759</v>
      </c>
    </row>
    <row r="30" spans="1:8">
      <c r="A30" s="389" t="s">
        <v>1760</v>
      </c>
      <c r="B30" s="419" t="s">
        <v>1761</v>
      </c>
      <c r="C30" s="659">
        <v>667.5</v>
      </c>
      <c r="D30" s="419"/>
      <c r="E30" s="855">
        <v>10.78</v>
      </c>
      <c r="F30" s="650">
        <v>84.62</v>
      </c>
      <c r="G30" s="650">
        <v>121.18</v>
      </c>
      <c r="H30" s="660">
        <v>157.72</v>
      </c>
    </row>
    <row r="31" spans="1:8" ht="25.5">
      <c r="A31" s="389" t="s">
        <v>1762</v>
      </c>
      <c r="B31" s="419" t="s">
        <v>1763</v>
      </c>
      <c r="C31" s="659">
        <v>259.10000000000002</v>
      </c>
      <c r="D31" s="419"/>
      <c r="E31" s="1902" t="s">
        <v>1764</v>
      </c>
      <c r="F31" s="1902"/>
      <c r="G31" s="1902"/>
      <c r="H31" s="1902"/>
    </row>
    <row r="32" spans="1:8">
      <c r="A32" s="389" t="s">
        <v>38</v>
      </c>
      <c r="B32" s="419" t="s">
        <v>1765</v>
      </c>
      <c r="C32" s="659">
        <v>70</v>
      </c>
      <c r="D32" s="419"/>
      <c r="E32" s="515" t="s">
        <v>1756</v>
      </c>
      <c r="F32" s="417" t="s">
        <v>1757</v>
      </c>
      <c r="G32" s="418" t="s">
        <v>1758</v>
      </c>
      <c r="H32" s="418" t="s">
        <v>1759</v>
      </c>
    </row>
    <row r="33" spans="1:8">
      <c r="A33" s="389" t="s">
        <v>1766</v>
      </c>
      <c r="B33" s="419" t="s">
        <v>1767</v>
      </c>
      <c r="C33" s="659">
        <v>16</v>
      </c>
      <c r="D33" s="419"/>
      <c r="E33" s="855">
        <v>2.57</v>
      </c>
      <c r="F33" s="650">
        <v>16.940000000000001</v>
      </c>
      <c r="G33" s="650">
        <v>24.04</v>
      </c>
      <c r="H33" s="660">
        <v>31.13</v>
      </c>
    </row>
    <row r="34" spans="1:8" ht="25.5">
      <c r="A34" s="389" t="s">
        <v>1768</v>
      </c>
      <c r="B34" s="419" t="s">
        <v>1769</v>
      </c>
      <c r="C34" s="659">
        <v>117.7</v>
      </c>
      <c r="D34" s="419"/>
      <c r="E34" s="1902" t="s">
        <v>1770</v>
      </c>
      <c r="F34" s="1902"/>
      <c r="G34" s="1902"/>
      <c r="H34" s="1902"/>
    </row>
    <row r="35" spans="1:8">
      <c r="A35" s="389" t="s">
        <v>1771</v>
      </c>
      <c r="B35" s="419" t="s">
        <v>1772</v>
      </c>
      <c r="C35" s="659">
        <v>30</v>
      </c>
      <c r="D35" s="419"/>
      <c r="E35" s="515" t="s">
        <v>1756</v>
      </c>
      <c r="F35" s="417" t="s">
        <v>1757</v>
      </c>
      <c r="G35" s="418" t="s">
        <v>1758</v>
      </c>
      <c r="H35" s="418" t="s">
        <v>1759</v>
      </c>
    </row>
    <row r="36" spans="1:8">
      <c r="A36" s="389" t="s">
        <v>1773</v>
      </c>
      <c r="B36" s="419" t="s">
        <v>1774</v>
      </c>
      <c r="C36" s="659">
        <v>6</v>
      </c>
      <c r="D36" s="419"/>
      <c r="E36" s="855">
        <v>1.08</v>
      </c>
      <c r="F36" s="650">
        <v>8.4700000000000006</v>
      </c>
      <c r="G36" s="650">
        <v>12.12</v>
      </c>
      <c r="H36" s="660">
        <v>15.77</v>
      </c>
    </row>
    <row r="37" spans="1:8">
      <c r="A37" s="389" t="s">
        <v>1775</v>
      </c>
      <c r="B37" s="419" t="s">
        <v>1776</v>
      </c>
      <c r="C37" s="659">
        <v>76</v>
      </c>
      <c r="D37" s="419"/>
      <c r="E37" s="420"/>
      <c r="F37" s="419"/>
      <c r="G37" s="419"/>
      <c r="H37" s="416"/>
    </row>
    <row r="38" spans="1:8">
      <c r="A38" s="389" t="s">
        <v>1777</v>
      </c>
      <c r="B38" s="419" t="s">
        <v>1778</v>
      </c>
      <c r="C38" s="659">
        <v>26</v>
      </c>
      <c r="D38" s="419"/>
      <c r="E38" s="420"/>
      <c r="F38" s="419"/>
      <c r="G38" s="419"/>
      <c r="H38" s="416"/>
    </row>
    <row r="39" spans="1:8">
      <c r="A39" s="389" t="s">
        <v>1779</v>
      </c>
      <c r="B39" s="419" t="s">
        <v>1780</v>
      </c>
      <c r="C39" s="659">
        <v>23</v>
      </c>
      <c r="D39" s="419"/>
      <c r="E39" s="420"/>
      <c r="F39" s="513"/>
      <c r="G39" s="419"/>
      <c r="H39" s="416"/>
    </row>
    <row r="40" spans="1:8">
      <c r="A40" s="389" t="s">
        <v>1570</v>
      </c>
      <c r="B40" s="419" t="s">
        <v>1781</v>
      </c>
      <c r="C40" s="659">
        <v>414</v>
      </c>
      <c r="D40" s="419"/>
      <c r="E40" s="389" t="s">
        <v>1782</v>
      </c>
      <c r="F40" s="419" t="s">
        <v>1783</v>
      </c>
      <c r="G40" s="659">
        <v>600</v>
      </c>
      <c r="H40" s="416"/>
    </row>
    <row r="41" spans="1:8" ht="25.5">
      <c r="A41" s="389" t="s">
        <v>1784</v>
      </c>
      <c r="B41" s="419" t="s">
        <v>1785</v>
      </c>
      <c r="C41" s="659">
        <v>144</v>
      </c>
      <c r="D41" s="419"/>
      <c r="E41" s="420" t="s">
        <v>1786</v>
      </c>
      <c r="F41" s="419" t="s">
        <v>1787</v>
      </c>
      <c r="G41" s="659">
        <v>160</v>
      </c>
      <c r="H41" s="416"/>
    </row>
    <row r="42" spans="1:8" ht="25.5">
      <c r="A42" s="389" t="s">
        <v>1788</v>
      </c>
      <c r="B42" s="419" t="s">
        <v>1789</v>
      </c>
      <c r="C42" s="659">
        <v>220</v>
      </c>
      <c r="D42" s="419"/>
      <c r="E42" s="420" t="s">
        <v>1786</v>
      </c>
      <c r="F42" s="419" t="s">
        <v>1790</v>
      </c>
      <c r="G42" s="659">
        <v>200</v>
      </c>
      <c r="H42" s="416"/>
    </row>
    <row r="43" spans="1:8" ht="38.25">
      <c r="A43" s="389" t="s">
        <v>1791</v>
      </c>
      <c r="B43" s="419" t="s">
        <v>1792</v>
      </c>
      <c r="C43" s="659">
        <v>21</v>
      </c>
      <c r="D43" s="419"/>
      <c r="E43" s="420" t="s">
        <v>1372</v>
      </c>
      <c r="F43" s="419" t="s">
        <v>1793</v>
      </c>
      <c r="G43" s="659">
        <v>190</v>
      </c>
      <c r="H43" s="416"/>
    </row>
    <row r="44" spans="1:8" ht="38.25">
      <c r="A44" s="389" t="s">
        <v>1794</v>
      </c>
      <c r="B44" s="419" t="s">
        <v>3459</v>
      </c>
      <c r="C44" s="659">
        <v>85</v>
      </c>
      <c r="D44" s="419"/>
      <c r="E44" s="420" t="s">
        <v>1372</v>
      </c>
      <c r="F44" s="419" t="s">
        <v>1795</v>
      </c>
      <c r="G44" s="659">
        <v>210</v>
      </c>
      <c r="H44" s="416"/>
    </row>
    <row r="45" spans="1:8">
      <c r="A45" s="389" t="s">
        <v>670</v>
      </c>
      <c r="B45" s="419" t="s">
        <v>1796</v>
      </c>
      <c r="C45" s="659">
        <v>27.95</v>
      </c>
      <c r="D45" s="419"/>
      <c r="E45" s="420" t="s">
        <v>1797</v>
      </c>
      <c r="F45" s="419" t="s">
        <v>1798</v>
      </c>
      <c r="G45" s="659">
        <v>160</v>
      </c>
      <c r="H45" s="416"/>
    </row>
    <row r="46" spans="1:8">
      <c r="A46" s="389" t="s">
        <v>1799</v>
      </c>
      <c r="B46" s="419" t="s">
        <v>1800</v>
      </c>
      <c r="C46" s="659">
        <v>453</v>
      </c>
      <c r="D46" s="419"/>
      <c r="E46" s="420" t="s">
        <v>1801</v>
      </c>
      <c r="F46" s="419" t="s">
        <v>1802</v>
      </c>
      <c r="G46" s="659">
        <v>270</v>
      </c>
      <c r="H46" s="416"/>
    </row>
    <row r="47" spans="1:8" ht="38.25">
      <c r="A47" s="513" t="s">
        <v>1803</v>
      </c>
      <c r="B47" s="419" t="s">
        <v>1373</v>
      </c>
      <c r="C47" s="673">
        <v>4025</v>
      </c>
      <c r="D47" s="419"/>
      <c r="E47" s="420" t="s">
        <v>1804</v>
      </c>
      <c r="F47" s="419" t="s">
        <v>1805</v>
      </c>
      <c r="G47" s="659">
        <v>843</v>
      </c>
      <c r="H47" s="416"/>
    </row>
    <row r="48" spans="1:8" ht="38.25">
      <c r="A48" s="389" t="s">
        <v>1806</v>
      </c>
      <c r="B48" s="419" t="s">
        <v>1427</v>
      </c>
      <c r="C48" s="659">
        <v>303</v>
      </c>
      <c r="D48" s="419"/>
      <c r="E48" s="420" t="s">
        <v>1425</v>
      </c>
      <c r="F48" s="419" t="s">
        <v>1424</v>
      </c>
      <c r="G48" s="659">
        <v>254</v>
      </c>
      <c r="H48" s="416"/>
    </row>
    <row r="49" spans="1:8">
      <c r="A49" s="389" t="s">
        <v>1807</v>
      </c>
      <c r="B49" s="419" t="s">
        <v>1429</v>
      </c>
      <c r="C49" s="659">
        <v>157</v>
      </c>
      <c r="D49" s="419"/>
      <c r="E49" s="420"/>
      <c r="F49" s="513"/>
      <c r="G49" s="419"/>
      <c r="H49" s="416"/>
    </row>
    <row r="50" spans="1:8">
      <c r="A50" s="389"/>
      <c r="B50" s="419"/>
      <c r="C50" s="416"/>
      <c r="D50" s="419"/>
      <c r="E50" s="420"/>
      <c r="F50" s="513"/>
      <c r="G50" s="419"/>
      <c r="H50" s="416"/>
    </row>
    <row r="51" spans="1:8">
      <c r="A51" s="513"/>
      <c r="B51" s="419"/>
      <c r="C51" s="419" t="s">
        <v>1756</v>
      </c>
      <c r="D51" s="419" t="s">
        <v>1808</v>
      </c>
      <c r="E51" s="420"/>
      <c r="F51" s="513"/>
      <c r="G51" s="419"/>
      <c r="H51" s="416"/>
    </row>
    <row r="52" spans="1:8">
      <c r="A52" s="389" t="s">
        <v>152</v>
      </c>
      <c r="B52" s="419"/>
      <c r="C52" s="673">
        <v>301</v>
      </c>
      <c r="D52" s="673">
        <v>672</v>
      </c>
      <c r="E52" s="856"/>
      <c r="F52" s="691"/>
      <c r="G52" s="419"/>
      <c r="H52" s="416"/>
    </row>
    <row r="53" spans="1:8">
      <c r="A53" s="389" t="s">
        <v>1809</v>
      </c>
      <c r="B53" s="419"/>
      <c r="C53" s="673">
        <v>67</v>
      </c>
      <c r="D53" s="673">
        <v>363</v>
      </c>
      <c r="E53" s="856"/>
      <c r="F53" s="691"/>
      <c r="G53" s="419"/>
      <c r="H53" s="416"/>
    </row>
    <row r="54" spans="1:8">
      <c r="A54" s="389" t="s">
        <v>1810</v>
      </c>
      <c r="B54" s="419"/>
      <c r="C54" s="673">
        <v>343</v>
      </c>
      <c r="D54" s="673">
        <v>1069</v>
      </c>
      <c r="E54" s="856"/>
      <c r="F54" s="691"/>
      <c r="G54" s="419"/>
      <c r="H54" s="416"/>
    </row>
    <row r="55" spans="1:8">
      <c r="A55" s="389" t="s">
        <v>1436</v>
      </c>
      <c r="B55" s="419"/>
      <c r="C55" s="673">
        <v>1453</v>
      </c>
      <c r="D55" s="673">
        <v>1620</v>
      </c>
      <c r="E55" s="856"/>
      <c r="F55" s="691"/>
      <c r="G55" s="419"/>
      <c r="H55" s="416"/>
    </row>
    <row r="56" spans="1:8">
      <c r="A56" s="513"/>
      <c r="B56" s="419"/>
      <c r="C56" s="673"/>
      <c r="D56" s="673" t="s">
        <v>161</v>
      </c>
      <c r="E56" s="673" t="s">
        <v>162</v>
      </c>
      <c r="F56" s="673" t="s">
        <v>163</v>
      </c>
      <c r="G56" s="419"/>
      <c r="H56" s="416"/>
    </row>
    <row r="57" spans="1:8">
      <c r="A57" s="389" t="s">
        <v>1435</v>
      </c>
      <c r="B57" s="419"/>
      <c r="C57" s="673">
        <v>371</v>
      </c>
      <c r="D57" s="673">
        <v>2415</v>
      </c>
      <c r="E57" s="673">
        <v>2657</v>
      </c>
      <c r="F57" s="673">
        <v>2898</v>
      </c>
      <c r="G57" s="419"/>
      <c r="H57" s="416"/>
    </row>
    <row r="58" spans="1:8">
      <c r="A58" s="389" t="s">
        <v>866</v>
      </c>
      <c r="B58" s="419"/>
      <c r="C58" s="673">
        <v>1233</v>
      </c>
      <c r="D58" s="673">
        <v>1720</v>
      </c>
      <c r="E58" s="673">
        <v>1892</v>
      </c>
      <c r="F58" s="673">
        <v>2064</v>
      </c>
      <c r="G58" s="419"/>
      <c r="H58" s="416"/>
    </row>
    <row r="59" spans="1:8">
      <c r="A59" s="389" t="s">
        <v>1542</v>
      </c>
      <c r="B59" s="419"/>
      <c r="C59" s="673">
        <v>243</v>
      </c>
      <c r="D59" s="673">
        <v>264</v>
      </c>
      <c r="E59" s="673">
        <v>290</v>
      </c>
      <c r="F59" s="673">
        <v>317</v>
      </c>
      <c r="G59" s="419"/>
      <c r="H59" s="416"/>
    </row>
    <row r="60" spans="1:8">
      <c r="A60" s="389" t="s">
        <v>1811</v>
      </c>
      <c r="B60" s="419"/>
      <c r="C60" s="673">
        <v>2179</v>
      </c>
      <c r="D60" s="673">
        <v>2027</v>
      </c>
      <c r="E60" s="673">
        <v>2230</v>
      </c>
      <c r="F60" s="673">
        <v>2432</v>
      </c>
      <c r="G60" s="419"/>
      <c r="H60" s="416"/>
    </row>
    <row r="61" spans="1:8">
      <c r="A61" s="389" t="s">
        <v>1812</v>
      </c>
      <c r="B61" s="419"/>
      <c r="C61" s="673">
        <v>247</v>
      </c>
      <c r="D61" s="673">
        <v>241</v>
      </c>
      <c r="E61" s="673">
        <v>265</v>
      </c>
      <c r="F61" s="673">
        <v>289</v>
      </c>
      <c r="G61" s="419"/>
      <c r="H61" s="416"/>
    </row>
    <row r="62" spans="1:8">
      <c r="A62" s="389" t="s">
        <v>1813</v>
      </c>
      <c r="B62" s="419"/>
      <c r="C62" s="673">
        <v>254</v>
      </c>
      <c r="D62" s="673">
        <v>248</v>
      </c>
      <c r="E62" s="673">
        <v>273</v>
      </c>
      <c r="F62" s="673">
        <v>298</v>
      </c>
      <c r="G62" s="419"/>
      <c r="H62" s="416"/>
    </row>
    <row r="63" spans="1:8">
      <c r="A63" s="513"/>
      <c r="B63" s="419"/>
      <c r="C63" s="419"/>
      <c r="D63" s="419"/>
      <c r="E63" s="420"/>
      <c r="F63" s="419"/>
      <c r="G63" s="419"/>
      <c r="H63" s="416"/>
    </row>
    <row r="64" spans="1:8">
      <c r="A64" s="513"/>
      <c r="B64" s="419"/>
      <c r="C64" s="419"/>
      <c r="D64" s="419"/>
      <c r="E64" s="420"/>
      <c r="F64" s="419"/>
      <c r="G64" s="419"/>
      <c r="H64" s="416"/>
    </row>
    <row r="65" spans="1:8">
      <c r="A65" s="513"/>
      <c r="B65" s="419"/>
      <c r="C65" s="419"/>
      <c r="D65" s="419"/>
      <c r="E65" s="420"/>
      <c r="F65" s="513"/>
      <c r="G65" s="419"/>
      <c r="H65" s="416"/>
    </row>
    <row r="66" spans="1:8" ht="24">
      <c r="A66" s="421" t="s">
        <v>1814</v>
      </c>
      <c r="B66" s="419" t="s">
        <v>1815</v>
      </c>
      <c r="C66" s="659">
        <v>1979</v>
      </c>
      <c r="D66" s="419"/>
      <c r="E66" s="420"/>
      <c r="F66" s="513" t="s">
        <v>1816</v>
      </c>
      <c r="G66" s="419" t="s">
        <v>1817</v>
      </c>
      <c r="H66" s="659">
        <v>8.5</v>
      </c>
    </row>
    <row r="67" spans="1:8" ht="24">
      <c r="A67" s="421" t="s">
        <v>1818</v>
      </c>
      <c r="B67" s="419" t="s">
        <v>1819</v>
      </c>
      <c r="C67" s="659">
        <v>2468</v>
      </c>
      <c r="D67" s="419"/>
      <c r="E67" s="420"/>
      <c r="F67" s="513" t="s">
        <v>1820</v>
      </c>
      <c r="G67" s="419" t="s">
        <v>1821</v>
      </c>
      <c r="H67" s="659">
        <v>1</v>
      </c>
    </row>
    <row r="68" spans="1:8">
      <c r="A68" s="421" t="s">
        <v>1822</v>
      </c>
      <c r="B68" s="419" t="s">
        <v>1823</v>
      </c>
      <c r="C68" s="659">
        <v>850</v>
      </c>
      <c r="D68" s="419"/>
      <c r="E68" s="420"/>
      <c r="F68" s="421" t="s">
        <v>1824</v>
      </c>
      <c r="G68" s="419" t="s">
        <v>1825</v>
      </c>
      <c r="H68" s="659">
        <v>59</v>
      </c>
    </row>
    <row r="69" spans="1:8">
      <c r="A69" s="513" t="s">
        <v>1826</v>
      </c>
      <c r="B69" s="419" t="s">
        <v>1827</v>
      </c>
      <c r="C69" s="659">
        <v>1036</v>
      </c>
      <c r="D69" s="419"/>
      <c r="E69" s="420"/>
      <c r="F69" s="421" t="s">
        <v>1828</v>
      </c>
      <c r="G69" s="419" t="s">
        <v>1829</v>
      </c>
      <c r="H69" s="659">
        <v>94</v>
      </c>
    </row>
    <row r="70" spans="1:8">
      <c r="A70" s="513" t="s">
        <v>1830</v>
      </c>
      <c r="B70" s="419" t="s">
        <v>1831</v>
      </c>
      <c r="C70" s="659">
        <v>2644</v>
      </c>
      <c r="D70" s="419"/>
      <c r="E70" s="420"/>
      <c r="F70" s="421" t="s">
        <v>1832</v>
      </c>
      <c r="G70" s="419" t="s">
        <v>1833</v>
      </c>
      <c r="H70" s="659">
        <v>136</v>
      </c>
    </row>
    <row r="71" spans="1:8">
      <c r="A71" s="513" t="s">
        <v>1834</v>
      </c>
      <c r="B71" s="419" t="s">
        <v>1835</v>
      </c>
      <c r="C71" s="659">
        <v>1519</v>
      </c>
      <c r="D71" s="419"/>
      <c r="E71" s="420"/>
      <c r="F71" s="421" t="s">
        <v>1836</v>
      </c>
      <c r="G71" s="419" t="s">
        <v>1837</v>
      </c>
      <c r="H71" s="659">
        <v>214</v>
      </c>
    </row>
    <row r="72" spans="1:8">
      <c r="A72" s="513" t="s">
        <v>1838</v>
      </c>
      <c r="B72" s="419" t="s">
        <v>1839</v>
      </c>
      <c r="C72" s="659">
        <v>387</v>
      </c>
      <c r="D72" s="419"/>
      <c r="E72" s="420"/>
      <c r="F72" s="421" t="s">
        <v>1840</v>
      </c>
      <c r="G72" s="419" t="s">
        <v>1841</v>
      </c>
      <c r="H72" s="659">
        <v>35</v>
      </c>
    </row>
    <row r="73" spans="1:8">
      <c r="A73" s="513" t="s">
        <v>1842</v>
      </c>
      <c r="B73" s="419" t="s">
        <v>1843</v>
      </c>
      <c r="C73" s="659">
        <v>95</v>
      </c>
      <c r="D73" s="419"/>
      <c r="E73" s="420"/>
      <c r="F73" s="513" t="s">
        <v>1844</v>
      </c>
      <c r="G73" s="419" t="s">
        <v>1845</v>
      </c>
      <c r="H73" s="659">
        <v>33</v>
      </c>
    </row>
    <row r="74" spans="1:8">
      <c r="A74" s="513" t="s">
        <v>1846</v>
      </c>
      <c r="B74" s="419" t="s">
        <v>1847</v>
      </c>
      <c r="C74" s="659">
        <v>24</v>
      </c>
      <c r="D74" s="419"/>
      <c r="E74" s="420"/>
      <c r="F74" s="513" t="s">
        <v>1848</v>
      </c>
      <c r="G74" s="419" t="s">
        <v>1849</v>
      </c>
      <c r="H74" s="659">
        <v>1165</v>
      </c>
    </row>
    <row r="75" spans="1:8">
      <c r="A75" s="513" t="s">
        <v>1446</v>
      </c>
      <c r="B75" s="419" t="s">
        <v>1850</v>
      </c>
      <c r="C75" s="659">
        <v>93</v>
      </c>
      <c r="D75" s="419"/>
      <c r="E75" s="420"/>
      <c r="F75" s="513" t="s">
        <v>1851</v>
      </c>
      <c r="G75" s="419" t="s">
        <v>1852</v>
      </c>
      <c r="H75" s="659">
        <v>77</v>
      </c>
    </row>
    <row r="76" spans="1:8" ht="25.5">
      <c r="A76" s="513" t="s">
        <v>1853</v>
      </c>
      <c r="B76" s="419" t="s">
        <v>1854</v>
      </c>
      <c r="C76" s="659">
        <v>32</v>
      </c>
      <c r="D76" s="419"/>
      <c r="E76" s="420"/>
      <c r="F76" s="513" t="s">
        <v>1855</v>
      </c>
      <c r="G76" s="419" t="s">
        <v>1856</v>
      </c>
      <c r="H76" s="659">
        <v>17</v>
      </c>
    </row>
    <row r="77" spans="1:8" ht="25.5">
      <c r="A77" s="513" t="s">
        <v>1857</v>
      </c>
      <c r="B77" s="419" t="s">
        <v>1858</v>
      </c>
      <c r="C77" s="659">
        <v>128</v>
      </c>
      <c r="D77" s="419"/>
      <c r="E77" s="420"/>
      <c r="F77" s="513"/>
      <c r="G77" s="419"/>
      <c r="H77" s="416"/>
    </row>
    <row r="78" spans="1:8">
      <c r="A78" s="513" t="s">
        <v>1443</v>
      </c>
      <c r="B78" s="419" t="s">
        <v>1859</v>
      </c>
      <c r="C78" s="659">
        <v>447</v>
      </c>
      <c r="D78" s="419"/>
      <c r="E78" s="420"/>
      <c r="F78" s="513"/>
      <c r="G78" s="419"/>
      <c r="H78" s="416"/>
    </row>
    <row r="79" spans="1:8" ht="25.5">
      <c r="A79" s="513" t="s">
        <v>1444</v>
      </c>
      <c r="B79" s="419" t="s">
        <v>1860</v>
      </c>
      <c r="C79" s="659">
        <v>425</v>
      </c>
      <c r="D79" s="419"/>
      <c r="E79" s="420"/>
      <c r="F79" s="513" t="s">
        <v>2265</v>
      </c>
      <c r="G79" s="419" t="s">
        <v>2266</v>
      </c>
      <c r="H79" s="416">
        <v>390</v>
      </c>
    </row>
    <row r="80" spans="1:8">
      <c r="A80" s="513" t="s">
        <v>1445</v>
      </c>
      <c r="B80" s="419" t="s">
        <v>1861</v>
      </c>
      <c r="C80" s="659">
        <v>267</v>
      </c>
      <c r="D80" s="419"/>
      <c r="E80" s="420"/>
      <c r="F80" s="513" t="s">
        <v>2267</v>
      </c>
      <c r="G80" s="419" t="s">
        <v>2268</v>
      </c>
      <c r="H80" s="416">
        <v>220</v>
      </c>
    </row>
    <row r="81" spans="1:8">
      <c r="A81" s="513" t="s">
        <v>1862</v>
      </c>
      <c r="B81" s="419" t="s">
        <v>1863</v>
      </c>
      <c r="C81" s="659">
        <v>79</v>
      </c>
      <c r="D81" s="419"/>
      <c r="E81" s="420"/>
      <c r="F81" s="513"/>
      <c r="G81" s="419"/>
      <c r="H81" s="416"/>
    </row>
    <row r="82" spans="1:8">
      <c r="A82" s="513" t="s">
        <v>1864</v>
      </c>
      <c r="B82" s="419" t="s">
        <v>1865</v>
      </c>
      <c r="C82" s="659">
        <v>1644</v>
      </c>
      <c r="D82" s="419"/>
      <c r="E82" s="420"/>
      <c r="F82" s="513"/>
      <c r="G82" s="419"/>
      <c r="H82" s="416"/>
    </row>
    <row r="83" spans="1:8">
      <c r="A83" s="513" t="s">
        <v>1866</v>
      </c>
      <c r="B83" s="419" t="s">
        <v>1867</v>
      </c>
      <c r="C83" s="659">
        <v>4166</v>
      </c>
      <c r="D83" s="419"/>
      <c r="E83" s="420"/>
      <c r="F83" s="513"/>
      <c r="G83" s="419"/>
      <c r="H83" s="416"/>
    </row>
    <row r="84" spans="1:8">
      <c r="A84" s="513"/>
      <c r="B84" s="419"/>
      <c r="C84" s="419"/>
      <c r="D84" s="419"/>
      <c r="E84" s="420"/>
      <c r="F84" s="513"/>
      <c r="G84" s="419"/>
      <c r="H84" s="416"/>
    </row>
    <row r="85" spans="1:8">
      <c r="A85" s="513"/>
      <c r="B85" s="419"/>
      <c r="C85" s="419"/>
      <c r="D85" s="419"/>
      <c r="E85" s="420"/>
      <c r="F85" s="513"/>
      <c r="G85" s="419"/>
      <c r="H85" s="416"/>
    </row>
    <row r="86" spans="1:8">
      <c r="A86" s="513" t="s">
        <v>1868</v>
      </c>
      <c r="B86" s="419" t="s">
        <v>1869</v>
      </c>
      <c r="C86" s="659">
        <v>446.4</v>
      </c>
      <c r="D86" s="419"/>
      <c r="E86" s="420"/>
      <c r="F86" s="513"/>
      <c r="G86" s="419"/>
      <c r="H86" s="416"/>
    </row>
    <row r="87" spans="1:8">
      <c r="A87" s="513" t="s">
        <v>1870</v>
      </c>
      <c r="B87" s="419"/>
      <c r="C87" s="659">
        <v>477.6</v>
      </c>
      <c r="D87" s="419"/>
      <c r="E87" s="420"/>
      <c r="F87" s="513"/>
      <c r="G87" s="419"/>
      <c r="H87" s="416"/>
    </row>
    <row r="88" spans="1:8">
      <c r="A88" s="513" t="s">
        <v>1871</v>
      </c>
      <c r="B88" s="419"/>
      <c r="C88" s="659">
        <v>535.70000000000005</v>
      </c>
      <c r="D88" s="419"/>
      <c r="E88" s="420"/>
      <c r="F88" s="513"/>
      <c r="G88" s="419"/>
      <c r="H88" s="416"/>
    </row>
    <row r="89" spans="1:8">
      <c r="A89" s="513" t="s">
        <v>1872</v>
      </c>
      <c r="B89" s="419" t="s">
        <v>1873</v>
      </c>
      <c r="C89" s="659">
        <v>26730</v>
      </c>
      <c r="D89" s="419"/>
      <c r="E89" s="420"/>
      <c r="F89" s="513"/>
      <c r="G89" s="419"/>
      <c r="H89" s="416"/>
    </row>
    <row r="90" spans="1:8">
      <c r="A90" s="513" t="s">
        <v>1872</v>
      </c>
      <c r="B90" s="419" t="s">
        <v>1874</v>
      </c>
      <c r="C90" s="659">
        <v>18370</v>
      </c>
      <c r="D90" s="419"/>
      <c r="E90" s="420"/>
      <c r="F90" s="513"/>
      <c r="G90" s="419"/>
      <c r="H90" s="416"/>
    </row>
    <row r="91" spans="1:8">
      <c r="A91" s="513" t="s">
        <v>1875</v>
      </c>
      <c r="B91" s="419" t="s">
        <v>1876</v>
      </c>
      <c r="C91" s="659">
        <v>325</v>
      </c>
      <c r="D91" s="419"/>
      <c r="E91" s="420"/>
      <c r="F91" s="513"/>
      <c r="G91" s="419"/>
      <c r="H91" s="416"/>
    </row>
    <row r="92" spans="1:8">
      <c r="A92" s="513" t="s">
        <v>1877</v>
      </c>
      <c r="B92" s="419" t="s">
        <v>1878</v>
      </c>
      <c r="C92" s="659">
        <v>85</v>
      </c>
      <c r="D92" s="419"/>
      <c r="E92" s="420"/>
      <c r="F92" s="513"/>
      <c r="G92" s="419"/>
      <c r="H92" s="416"/>
    </row>
    <row r="93" spans="1:8">
      <c r="A93" s="513" t="s">
        <v>1879</v>
      </c>
      <c r="B93" s="419" t="s">
        <v>1880</v>
      </c>
      <c r="C93" s="659">
        <v>194</v>
      </c>
      <c r="D93" s="419"/>
      <c r="E93" s="420"/>
      <c r="F93" s="513"/>
      <c r="G93" s="419"/>
      <c r="H93" s="416"/>
    </row>
    <row r="94" spans="1:8">
      <c r="A94" s="513" t="s">
        <v>1447</v>
      </c>
      <c r="B94" s="419" t="s">
        <v>1876</v>
      </c>
      <c r="C94" s="659">
        <v>300</v>
      </c>
      <c r="D94" s="419"/>
      <c r="E94" s="420"/>
      <c r="F94" s="513"/>
      <c r="G94" s="419"/>
      <c r="H94" s="416"/>
    </row>
    <row r="95" spans="1:8">
      <c r="A95" s="513" t="s">
        <v>1881</v>
      </c>
      <c r="B95" s="419" t="s">
        <v>1876</v>
      </c>
      <c r="C95" s="659">
        <v>400</v>
      </c>
      <c r="D95" s="419"/>
      <c r="E95" s="420"/>
      <c r="F95" s="513"/>
      <c r="G95" s="419"/>
      <c r="H95" s="416"/>
    </row>
    <row r="96" spans="1:8">
      <c r="A96" s="513" t="s">
        <v>1882</v>
      </c>
      <c r="B96" s="419" t="s">
        <v>1883</v>
      </c>
      <c r="C96" s="659">
        <v>77</v>
      </c>
      <c r="D96" s="419"/>
      <c r="E96" s="420"/>
      <c r="F96" s="513"/>
      <c r="G96" s="419"/>
      <c r="H96" s="416"/>
    </row>
    <row r="97" spans="1:8">
      <c r="A97" s="513" t="s">
        <v>1884</v>
      </c>
      <c r="B97" s="419" t="s">
        <v>1885</v>
      </c>
      <c r="C97" s="659">
        <v>105</v>
      </c>
      <c r="D97" s="419"/>
      <c r="E97" s="420"/>
      <c r="F97" s="513"/>
      <c r="G97" s="419"/>
      <c r="H97" s="416"/>
    </row>
    <row r="98" spans="1:8">
      <c r="A98" s="513" t="s">
        <v>1886</v>
      </c>
      <c r="B98" s="419" t="s">
        <v>1887</v>
      </c>
      <c r="C98" s="659">
        <v>5445</v>
      </c>
      <c r="D98" s="419"/>
      <c r="E98" s="420"/>
      <c r="F98" s="513"/>
      <c r="G98" s="419"/>
      <c r="H98" s="416"/>
    </row>
    <row r="99" spans="1:8" ht="22.5">
      <c r="A99" s="422" t="s">
        <v>1499</v>
      </c>
      <c r="B99" s="423" t="s">
        <v>3245</v>
      </c>
      <c r="C99" s="416">
        <v>78</v>
      </c>
      <c r="D99" s="419"/>
      <c r="E99" s="420"/>
      <c r="F99" s="513"/>
      <c r="G99" s="419"/>
      <c r="H99" s="416"/>
    </row>
    <row r="100" spans="1:8" ht="22.5">
      <c r="A100" s="422" t="s">
        <v>1499</v>
      </c>
      <c r="B100" s="423" t="s">
        <v>1503</v>
      </c>
      <c r="C100" s="659">
        <v>26</v>
      </c>
      <c r="D100" s="419"/>
      <c r="E100" s="420"/>
      <c r="F100" s="513"/>
      <c r="G100" s="419"/>
      <c r="H100" s="416"/>
    </row>
    <row r="101" spans="1:8">
      <c r="A101" s="422" t="s">
        <v>1500</v>
      </c>
      <c r="B101" s="423" t="s">
        <v>1504</v>
      </c>
      <c r="C101" s="659">
        <v>11</v>
      </c>
      <c r="D101" s="419"/>
      <c r="E101" s="420"/>
      <c r="F101" s="513"/>
      <c r="G101" s="419"/>
      <c r="H101" s="416"/>
    </row>
    <row r="102" spans="1:8" ht="22.5">
      <c r="A102" s="422" t="s">
        <v>1509</v>
      </c>
      <c r="B102" s="423" t="s">
        <v>1505</v>
      </c>
      <c r="C102" s="659">
        <v>34</v>
      </c>
      <c r="D102" s="419"/>
      <c r="E102" s="420"/>
      <c r="F102" s="513"/>
      <c r="G102" s="419"/>
      <c r="H102" s="416"/>
    </row>
    <row r="103" spans="1:8">
      <c r="A103" s="424" t="s">
        <v>1507</v>
      </c>
      <c r="B103" s="423" t="s">
        <v>1511</v>
      </c>
      <c r="C103" s="659">
        <v>36</v>
      </c>
      <c r="D103" s="419"/>
      <c r="E103" s="420"/>
      <c r="F103" s="513"/>
      <c r="G103" s="419"/>
      <c r="H103" s="416"/>
    </row>
    <row r="104" spans="1:8">
      <c r="A104" s="513" t="s">
        <v>1888</v>
      </c>
      <c r="B104" s="419" t="s">
        <v>1889</v>
      </c>
      <c r="C104" s="659">
        <v>64</v>
      </c>
      <c r="D104" s="419"/>
      <c r="E104" s="420"/>
      <c r="F104" s="513"/>
      <c r="G104" s="419"/>
      <c r="H104" s="416"/>
    </row>
    <row r="105" spans="1:8">
      <c r="A105" s="513"/>
      <c r="B105" s="419"/>
      <c r="C105" s="419" t="s">
        <v>1890</v>
      </c>
      <c r="D105" s="513"/>
      <c r="E105" s="419" t="s">
        <v>1891</v>
      </c>
      <c r="F105" s="513"/>
      <c r="G105" s="419"/>
      <c r="H105" s="416"/>
    </row>
    <row r="106" spans="1:8">
      <c r="A106" s="513" t="s">
        <v>1448</v>
      </c>
      <c r="B106" s="419" t="s">
        <v>1892</v>
      </c>
      <c r="C106" s="659">
        <v>245</v>
      </c>
      <c r="D106" s="673" t="s">
        <v>1893</v>
      </c>
      <c r="E106" s="659">
        <v>209</v>
      </c>
      <c r="F106" s="513"/>
      <c r="G106" s="419"/>
      <c r="H106" s="416"/>
    </row>
    <row r="107" spans="1:8">
      <c r="A107" s="513" t="s">
        <v>1449</v>
      </c>
      <c r="B107" s="419" t="s">
        <v>1894</v>
      </c>
      <c r="C107" s="659">
        <v>203</v>
      </c>
      <c r="D107" s="673" t="s">
        <v>1895</v>
      </c>
      <c r="E107" s="659">
        <v>171</v>
      </c>
      <c r="F107" s="513"/>
      <c r="G107" s="419"/>
      <c r="H107" s="416"/>
    </row>
    <row r="108" spans="1:8">
      <c r="A108" s="513" t="s">
        <v>1450</v>
      </c>
      <c r="B108" s="419" t="s">
        <v>1896</v>
      </c>
      <c r="C108" s="659">
        <v>155</v>
      </c>
      <c r="D108" s="673" t="s">
        <v>1897</v>
      </c>
      <c r="E108" s="659">
        <v>132</v>
      </c>
      <c r="F108" s="513"/>
      <c r="G108" s="419"/>
      <c r="H108" s="416"/>
    </row>
    <row r="109" spans="1:8">
      <c r="A109" s="513" t="s">
        <v>1452</v>
      </c>
      <c r="B109" s="419" t="s">
        <v>1898</v>
      </c>
      <c r="C109" s="659">
        <v>114</v>
      </c>
      <c r="D109" s="673" t="s">
        <v>1899</v>
      </c>
      <c r="E109" s="659">
        <v>88</v>
      </c>
      <c r="F109" s="513"/>
      <c r="G109" s="419"/>
      <c r="H109" s="416"/>
    </row>
    <row r="110" spans="1:8">
      <c r="A110" s="513" t="s">
        <v>1900</v>
      </c>
      <c r="B110" s="419"/>
      <c r="C110" s="659">
        <f>C106+C108</f>
        <v>400</v>
      </c>
      <c r="D110" s="673"/>
      <c r="E110" s="659">
        <f>E106+E108</f>
        <v>341</v>
      </c>
      <c r="F110" s="513"/>
      <c r="G110" s="419"/>
      <c r="H110" s="416"/>
    </row>
    <row r="111" spans="1:8">
      <c r="A111" s="513" t="s">
        <v>1901</v>
      </c>
      <c r="B111" s="419"/>
      <c r="C111" s="659">
        <f>C106+C109</f>
        <v>359</v>
      </c>
      <c r="D111" s="673"/>
      <c r="E111" s="659">
        <f>E106+E109</f>
        <v>297</v>
      </c>
      <c r="F111" s="513"/>
      <c r="G111" s="419"/>
      <c r="H111" s="416"/>
    </row>
    <row r="112" spans="1:8">
      <c r="A112" s="513" t="s">
        <v>1902</v>
      </c>
      <c r="B112" s="419" t="s">
        <v>1903</v>
      </c>
      <c r="C112" s="659">
        <v>68</v>
      </c>
      <c r="D112" s="673" t="s">
        <v>1904</v>
      </c>
      <c r="E112" s="659">
        <v>66</v>
      </c>
      <c r="F112" s="513"/>
      <c r="G112" s="419"/>
      <c r="H112" s="416"/>
    </row>
    <row r="113" spans="1:8">
      <c r="A113" s="513"/>
      <c r="B113" s="419"/>
      <c r="C113" s="419"/>
      <c r="D113" s="419"/>
      <c r="E113" s="420"/>
      <c r="F113" s="513"/>
      <c r="G113" s="419"/>
      <c r="H113" s="416"/>
    </row>
    <row r="114" spans="1:8" ht="25.5">
      <c r="A114" s="513" t="s">
        <v>1905</v>
      </c>
      <c r="B114" s="419" t="s">
        <v>1906</v>
      </c>
      <c r="C114" s="659">
        <v>21</v>
      </c>
      <c r="D114" s="419"/>
      <c r="E114" s="420" t="s">
        <v>1907</v>
      </c>
      <c r="F114" s="513" t="s">
        <v>1908</v>
      </c>
      <c r="G114" s="659">
        <v>21</v>
      </c>
      <c r="H114" s="416"/>
    </row>
    <row r="115" spans="1:8" ht="25.5">
      <c r="A115" s="513" t="s">
        <v>1455</v>
      </c>
      <c r="B115" s="419" t="s">
        <v>1909</v>
      </c>
      <c r="C115" s="659">
        <v>1634</v>
      </c>
      <c r="D115" s="419"/>
      <c r="E115" s="420" t="s">
        <v>1910</v>
      </c>
      <c r="F115" s="513" t="s">
        <v>1911</v>
      </c>
      <c r="G115" s="659">
        <v>46</v>
      </c>
      <c r="H115" s="416"/>
    </row>
    <row r="116" spans="1:8" ht="25.5">
      <c r="A116" s="513" t="s">
        <v>1912</v>
      </c>
      <c r="B116" s="419" t="s">
        <v>1913</v>
      </c>
      <c r="C116" s="659">
        <v>18</v>
      </c>
      <c r="D116" s="419"/>
      <c r="E116" s="420" t="s">
        <v>1914</v>
      </c>
      <c r="F116" s="513" t="s">
        <v>1915</v>
      </c>
      <c r="G116" s="659">
        <v>1244</v>
      </c>
      <c r="H116" s="416"/>
    </row>
    <row r="117" spans="1:8" ht="25.5">
      <c r="A117" s="513" t="s">
        <v>1916</v>
      </c>
      <c r="B117" s="419" t="s">
        <v>1917</v>
      </c>
      <c r="C117" s="659">
        <v>21</v>
      </c>
      <c r="D117" s="419"/>
      <c r="E117" s="420" t="s">
        <v>1918</v>
      </c>
      <c r="F117" s="513" t="s">
        <v>1919</v>
      </c>
      <c r="G117" s="659">
        <v>208</v>
      </c>
      <c r="H117" s="416"/>
    </row>
    <row r="118" spans="1:8">
      <c r="A118" s="513" t="s">
        <v>1920</v>
      </c>
      <c r="B118" s="419" t="s">
        <v>1921</v>
      </c>
      <c r="C118" s="659">
        <v>27</v>
      </c>
      <c r="D118" s="419"/>
      <c r="E118" s="420" t="s">
        <v>1922</v>
      </c>
      <c r="F118" s="513" t="s">
        <v>1923</v>
      </c>
      <c r="G118" s="659">
        <v>2912</v>
      </c>
      <c r="H118" s="416"/>
    </row>
    <row r="119" spans="1:8" ht="38.25">
      <c r="A119" s="513" t="s">
        <v>1924</v>
      </c>
      <c r="B119" s="419" t="s">
        <v>1925</v>
      </c>
      <c r="C119" s="659">
        <v>1375</v>
      </c>
      <c r="D119" s="419"/>
      <c r="E119" s="420" t="s">
        <v>1926</v>
      </c>
      <c r="F119" s="513" t="s">
        <v>1927</v>
      </c>
      <c r="G119" s="659">
        <v>111</v>
      </c>
      <c r="H119" s="416"/>
    </row>
    <row r="120" spans="1:8">
      <c r="A120" s="513" t="s">
        <v>1928</v>
      </c>
      <c r="B120" s="419" t="s">
        <v>1929</v>
      </c>
      <c r="C120" s="659">
        <v>22</v>
      </c>
      <c r="D120" s="419"/>
      <c r="E120" s="420" t="s">
        <v>1576</v>
      </c>
      <c r="F120" s="513" t="s">
        <v>1930</v>
      </c>
      <c r="G120" s="659">
        <v>39</v>
      </c>
      <c r="H120" s="416"/>
    </row>
    <row r="121" spans="1:8" ht="51">
      <c r="A121" s="513" t="s">
        <v>1931</v>
      </c>
      <c r="B121" s="419" t="s">
        <v>1932</v>
      </c>
      <c r="C121" s="659">
        <v>48</v>
      </c>
      <c r="D121" s="419"/>
      <c r="E121" s="420" t="s">
        <v>1933</v>
      </c>
      <c r="F121" s="513" t="s">
        <v>1934</v>
      </c>
      <c r="G121" s="659">
        <v>267</v>
      </c>
      <c r="H121" s="416"/>
    </row>
    <row r="122" spans="1:8" ht="22.5">
      <c r="A122" s="513" t="s">
        <v>1935</v>
      </c>
      <c r="B122" s="419" t="s">
        <v>1936</v>
      </c>
      <c r="C122" s="659">
        <v>127</v>
      </c>
      <c r="D122" s="419"/>
      <c r="E122" s="422" t="s">
        <v>1937</v>
      </c>
      <c r="F122" s="513" t="s">
        <v>1938</v>
      </c>
      <c r="G122" s="659">
        <v>1107</v>
      </c>
      <c r="H122" s="416"/>
    </row>
    <row r="123" spans="1:8" ht="38.25">
      <c r="A123" s="513" t="s">
        <v>1939</v>
      </c>
      <c r="B123" s="419" t="s">
        <v>1940</v>
      </c>
      <c r="C123" s="659">
        <v>127</v>
      </c>
      <c r="D123" s="419"/>
      <c r="E123" s="425" t="s">
        <v>1941</v>
      </c>
      <c r="F123" s="513" t="s">
        <v>1942</v>
      </c>
      <c r="G123" s="659">
        <v>455</v>
      </c>
      <c r="H123" s="416"/>
    </row>
    <row r="124" spans="1:8" ht="25.5">
      <c r="A124" s="513" t="s">
        <v>1943</v>
      </c>
      <c r="B124" s="419" t="s">
        <v>1944</v>
      </c>
      <c r="C124" s="659">
        <v>94</v>
      </c>
      <c r="D124" s="419"/>
      <c r="E124" s="425" t="s">
        <v>1945</v>
      </c>
      <c r="F124" s="513" t="s">
        <v>1946</v>
      </c>
      <c r="G124" s="659">
        <v>240</v>
      </c>
      <c r="H124" s="416"/>
    </row>
    <row r="125" spans="1:8" ht="45">
      <c r="A125" s="513" t="s">
        <v>1947</v>
      </c>
      <c r="B125" s="419" t="s">
        <v>1948</v>
      </c>
      <c r="C125" s="659">
        <v>143</v>
      </c>
      <c r="D125" s="419"/>
      <c r="E125" s="422" t="s">
        <v>1949</v>
      </c>
      <c r="F125" s="513" t="s">
        <v>1950</v>
      </c>
      <c r="G125" s="659">
        <v>119</v>
      </c>
      <c r="H125" s="416"/>
    </row>
    <row r="126" spans="1:8" ht="56.25">
      <c r="A126" s="513" t="s">
        <v>1663</v>
      </c>
      <c r="B126" s="419" t="s">
        <v>1951</v>
      </c>
      <c r="C126" s="659">
        <v>95</v>
      </c>
      <c r="D126" s="419"/>
      <c r="E126" s="425" t="s">
        <v>1952</v>
      </c>
      <c r="F126" s="513" t="s">
        <v>1953</v>
      </c>
      <c r="G126" s="659">
        <v>6674</v>
      </c>
      <c r="H126" s="416"/>
    </row>
    <row r="127" spans="1:8" ht="25.5">
      <c r="A127" s="513" t="s">
        <v>1954</v>
      </c>
      <c r="B127" s="419" t="s">
        <v>1955</v>
      </c>
      <c r="C127" s="659">
        <v>77</v>
      </c>
      <c r="D127" s="419"/>
      <c r="E127" s="425" t="s">
        <v>1956</v>
      </c>
      <c r="F127" s="513" t="s">
        <v>1957</v>
      </c>
      <c r="G127" s="659">
        <v>230</v>
      </c>
      <c r="H127" s="416"/>
    </row>
    <row r="128" spans="1:8" ht="33.75">
      <c r="A128" s="513" t="s">
        <v>1958</v>
      </c>
      <c r="B128" s="419" t="s">
        <v>2092</v>
      </c>
      <c r="C128" s="659">
        <v>1977</v>
      </c>
      <c r="D128" s="419"/>
      <c r="E128" s="426" t="s">
        <v>1959</v>
      </c>
      <c r="F128" s="513" t="s">
        <v>1960</v>
      </c>
      <c r="G128" s="659">
        <v>425</v>
      </c>
      <c r="H128" s="416"/>
    </row>
    <row r="129" spans="1:8" ht="25.5">
      <c r="A129" s="513" t="s">
        <v>1961</v>
      </c>
      <c r="B129" s="419" t="s">
        <v>1962</v>
      </c>
      <c r="C129" s="659">
        <v>3193</v>
      </c>
      <c r="D129" s="419"/>
      <c r="E129" s="422" t="s">
        <v>1963</v>
      </c>
      <c r="F129" s="513" t="s">
        <v>1964</v>
      </c>
      <c r="G129" s="659">
        <v>79</v>
      </c>
      <c r="H129" s="416"/>
    </row>
    <row r="130" spans="1:8" ht="25.5">
      <c r="A130" s="513" t="s">
        <v>1965</v>
      </c>
      <c r="B130" s="419" t="s">
        <v>1966</v>
      </c>
      <c r="C130" s="659">
        <v>4875</v>
      </c>
      <c r="D130" s="419"/>
      <c r="E130" s="422" t="s">
        <v>1967</v>
      </c>
      <c r="F130" s="513" t="s">
        <v>1968</v>
      </c>
      <c r="G130" s="659">
        <v>79</v>
      </c>
      <c r="H130" s="416"/>
    </row>
    <row r="131" spans="1:8" ht="45">
      <c r="A131" s="513" t="s">
        <v>1969</v>
      </c>
      <c r="B131" s="419" t="s">
        <v>1970</v>
      </c>
      <c r="C131" s="659">
        <v>1816</v>
      </c>
      <c r="D131" s="419"/>
      <c r="E131" s="426" t="s">
        <v>1971</v>
      </c>
      <c r="F131" s="513" t="s">
        <v>1972</v>
      </c>
      <c r="G131" s="659">
        <v>8</v>
      </c>
      <c r="H131" s="416"/>
    </row>
    <row r="132" spans="1:8" ht="33.75">
      <c r="A132" s="513" t="s">
        <v>1973</v>
      </c>
      <c r="B132" s="419" t="s">
        <v>1974</v>
      </c>
      <c r="C132" s="659">
        <v>79</v>
      </c>
      <c r="D132" s="419"/>
      <c r="E132" s="426" t="s">
        <v>1975</v>
      </c>
      <c r="F132" s="513" t="s">
        <v>1976</v>
      </c>
      <c r="G132" s="659">
        <v>14</v>
      </c>
      <c r="H132" s="416"/>
    </row>
    <row r="133" spans="1:8" ht="22.5">
      <c r="A133" s="513" t="s">
        <v>1977</v>
      </c>
      <c r="B133" s="419" t="s">
        <v>1978</v>
      </c>
      <c r="C133" s="659">
        <v>520</v>
      </c>
      <c r="D133" s="419"/>
      <c r="E133" s="426" t="s">
        <v>1979</v>
      </c>
      <c r="F133" s="513" t="s">
        <v>1427</v>
      </c>
      <c r="G133" s="659">
        <v>303</v>
      </c>
      <c r="H133" s="416"/>
    </row>
    <row r="134" spans="1:8" ht="45">
      <c r="A134" s="513" t="s">
        <v>2090</v>
      </c>
      <c r="B134" s="419" t="s">
        <v>2091</v>
      </c>
      <c r="C134" s="659">
        <v>1375</v>
      </c>
      <c r="D134" s="419"/>
      <c r="E134" s="426" t="s">
        <v>1980</v>
      </c>
      <c r="F134" s="513" t="s">
        <v>1429</v>
      </c>
      <c r="G134" s="659">
        <v>157</v>
      </c>
      <c r="H134" s="416"/>
    </row>
    <row r="135" spans="1:8">
      <c r="A135" s="513"/>
      <c r="B135" s="419"/>
      <c r="C135" s="419"/>
      <c r="D135" s="419"/>
      <c r="E135" s="426" t="s">
        <v>1981</v>
      </c>
      <c r="F135" s="513" t="s">
        <v>1982</v>
      </c>
      <c r="G135" s="659">
        <v>24</v>
      </c>
      <c r="H135" s="416"/>
    </row>
    <row r="136" spans="1:8">
      <c r="A136" s="513"/>
      <c r="B136" s="419"/>
      <c r="C136" s="419"/>
      <c r="D136" s="419"/>
      <c r="E136" s="426" t="s">
        <v>1983</v>
      </c>
      <c r="F136" s="513" t="s">
        <v>1984</v>
      </c>
      <c r="G136" s="659">
        <v>19</v>
      </c>
      <c r="H136" s="416"/>
    </row>
    <row r="137" spans="1:8" ht="22.5">
      <c r="A137" s="513"/>
      <c r="B137" s="419"/>
      <c r="C137" s="419"/>
      <c r="D137" s="419"/>
      <c r="E137" s="422" t="s">
        <v>1985</v>
      </c>
      <c r="F137" s="513" t="s">
        <v>1986</v>
      </c>
      <c r="G137" s="659">
        <v>303</v>
      </c>
      <c r="H137" s="416"/>
    </row>
    <row r="138" spans="1:8" ht="22.5">
      <c r="A138" s="513"/>
      <c r="B138" s="419"/>
      <c r="C138" s="419"/>
      <c r="D138" s="419"/>
      <c r="E138" s="422" t="s">
        <v>1985</v>
      </c>
      <c r="F138" s="513" t="s">
        <v>1986</v>
      </c>
      <c r="G138" s="659">
        <v>303</v>
      </c>
      <c r="H138" s="416"/>
    </row>
    <row r="139" spans="1:8">
      <c r="A139" s="513"/>
      <c r="B139" s="419"/>
      <c r="C139" s="419"/>
      <c r="D139" s="419"/>
      <c r="E139" s="420" t="s">
        <v>1569</v>
      </c>
      <c r="F139" s="513" t="s">
        <v>2095</v>
      </c>
      <c r="G139" s="416">
        <v>1822</v>
      </c>
      <c r="H139" s="416"/>
    </row>
    <row r="140" spans="1:8">
      <c r="A140" s="513"/>
      <c r="B140" s="419"/>
      <c r="C140" s="419"/>
      <c r="D140" s="419"/>
      <c r="E140" s="420" t="s">
        <v>1569</v>
      </c>
      <c r="F140" s="513" t="s">
        <v>2270</v>
      </c>
      <c r="G140" s="416">
        <v>5428</v>
      </c>
      <c r="H140" s="416"/>
    </row>
    <row r="141" spans="1:8">
      <c r="A141" s="513"/>
      <c r="B141" s="419"/>
      <c r="C141" s="419"/>
      <c r="D141" s="419"/>
      <c r="E141" s="420"/>
      <c r="F141" s="513"/>
      <c r="G141" s="419"/>
      <c r="H141" s="416"/>
    </row>
    <row r="142" spans="1:8" ht="25.5">
      <c r="A142" s="427" t="s">
        <v>1987</v>
      </c>
      <c r="B142" s="418" t="s">
        <v>1375</v>
      </c>
      <c r="C142" s="673">
        <v>81950</v>
      </c>
      <c r="D142" s="419"/>
      <c r="E142" s="427" t="s">
        <v>1378</v>
      </c>
      <c r="F142" s="418" t="s">
        <v>1379</v>
      </c>
      <c r="G142" s="673">
        <v>255</v>
      </c>
      <c r="H142" s="416"/>
    </row>
    <row r="143" spans="1:8" ht="38.25">
      <c r="A143" s="427" t="s">
        <v>1988</v>
      </c>
      <c r="B143" s="418" t="s">
        <v>1377</v>
      </c>
      <c r="C143" s="673">
        <v>160920</v>
      </c>
      <c r="D143" s="419"/>
      <c r="E143" s="427" t="s">
        <v>1395</v>
      </c>
      <c r="F143" s="419" t="s">
        <v>1396</v>
      </c>
      <c r="G143" s="673">
        <v>86.5</v>
      </c>
      <c r="H143" s="416"/>
    </row>
    <row r="144" spans="1:8" ht="38.25">
      <c r="A144" s="427" t="s">
        <v>1989</v>
      </c>
      <c r="B144" s="418" t="s">
        <v>1687</v>
      </c>
      <c r="C144" s="673">
        <v>51000</v>
      </c>
      <c r="D144" s="419"/>
      <c r="E144" s="420" t="s">
        <v>1414</v>
      </c>
      <c r="F144" s="419" t="s">
        <v>1415</v>
      </c>
      <c r="G144" s="673">
        <v>108</v>
      </c>
      <c r="H144" s="416"/>
    </row>
    <row r="145" spans="1:8" ht="38.25">
      <c r="A145" s="427" t="s">
        <v>1990</v>
      </c>
      <c r="B145" s="418" t="s">
        <v>1689</v>
      </c>
      <c r="C145" s="673">
        <v>63950</v>
      </c>
      <c r="D145" s="419"/>
      <c r="E145" s="427" t="s">
        <v>1380</v>
      </c>
      <c r="F145" s="418" t="s">
        <v>1381</v>
      </c>
      <c r="G145" s="673">
        <v>273</v>
      </c>
      <c r="H145" s="416"/>
    </row>
    <row r="146" spans="1:8" ht="38.25">
      <c r="A146" s="513" t="s">
        <v>1392</v>
      </c>
      <c r="B146" s="419" t="s">
        <v>1393</v>
      </c>
      <c r="C146" s="673">
        <v>3394</v>
      </c>
      <c r="D146" s="419"/>
      <c r="E146" s="427" t="s">
        <v>1397</v>
      </c>
      <c r="F146" s="419" t="s">
        <v>1398</v>
      </c>
      <c r="G146" s="673">
        <v>129</v>
      </c>
      <c r="H146" s="416"/>
    </row>
    <row r="147" spans="1:8" ht="38.25">
      <c r="A147" s="513" t="s">
        <v>1991</v>
      </c>
      <c r="B147" s="419" t="s">
        <v>1410</v>
      </c>
      <c r="C147" s="673">
        <v>920</v>
      </c>
      <c r="D147" s="419"/>
      <c r="E147" s="427" t="s">
        <v>1382</v>
      </c>
      <c r="F147" s="418" t="s">
        <v>1383</v>
      </c>
      <c r="G147" s="673">
        <v>114</v>
      </c>
      <c r="H147" s="416"/>
    </row>
    <row r="148" spans="1:8" ht="25.5">
      <c r="A148" s="513" t="s">
        <v>2289</v>
      </c>
      <c r="B148" s="419" t="s">
        <v>2099</v>
      </c>
      <c r="C148" s="419">
        <v>2000</v>
      </c>
      <c r="D148" s="419"/>
      <c r="E148" s="427" t="s">
        <v>1384</v>
      </c>
      <c r="F148" s="418" t="s">
        <v>1385</v>
      </c>
      <c r="G148" s="673">
        <v>1195</v>
      </c>
      <c r="H148" s="416"/>
    </row>
    <row r="149" spans="1:8" ht="38.25">
      <c r="A149" s="513" t="s">
        <v>1992</v>
      </c>
      <c r="B149" s="419" t="s">
        <v>1391</v>
      </c>
      <c r="C149" s="673">
        <v>1727</v>
      </c>
      <c r="D149" s="419"/>
      <c r="E149" s="427" t="s">
        <v>1399</v>
      </c>
      <c r="F149" s="419" t="s">
        <v>1400</v>
      </c>
      <c r="G149" s="673">
        <v>338</v>
      </c>
      <c r="H149" s="416"/>
    </row>
    <row r="150" spans="1:8" ht="25.5">
      <c r="A150" s="513" t="s">
        <v>1993</v>
      </c>
      <c r="B150" s="419" t="s">
        <v>1695</v>
      </c>
      <c r="C150" s="673">
        <v>1701</v>
      </c>
      <c r="D150" s="419"/>
      <c r="E150" s="427" t="s">
        <v>1386</v>
      </c>
      <c r="F150" s="418" t="s">
        <v>1387</v>
      </c>
      <c r="G150" s="673">
        <v>185</v>
      </c>
      <c r="H150" s="416"/>
    </row>
    <row r="151" spans="1:8" ht="38.25">
      <c r="A151" s="513" t="s">
        <v>2290</v>
      </c>
      <c r="B151" s="419" t="s">
        <v>1394</v>
      </c>
      <c r="C151" s="419">
        <v>1036</v>
      </c>
      <c r="D151" s="419"/>
      <c r="E151" s="427" t="s">
        <v>1401</v>
      </c>
      <c r="F151" s="419" t="s">
        <v>1402</v>
      </c>
      <c r="G151" s="673">
        <v>45</v>
      </c>
      <c r="H151" s="416"/>
    </row>
    <row r="152" spans="1:8" ht="38.25">
      <c r="A152" s="513" t="s">
        <v>1995</v>
      </c>
      <c r="B152" s="419" t="s">
        <v>1996</v>
      </c>
      <c r="C152" s="673">
        <v>8622</v>
      </c>
      <c r="D152" s="419"/>
      <c r="E152" s="427" t="s">
        <v>1388</v>
      </c>
      <c r="F152" s="418" t="s">
        <v>1389</v>
      </c>
      <c r="G152" s="673">
        <v>39</v>
      </c>
      <c r="H152" s="416"/>
    </row>
    <row r="153" spans="1:8">
      <c r="A153" s="513" t="s">
        <v>1997</v>
      </c>
      <c r="B153" s="419" t="s">
        <v>1417</v>
      </c>
      <c r="C153" s="673">
        <v>6460</v>
      </c>
      <c r="D153" s="419"/>
      <c r="E153" s="420" t="s">
        <v>1998</v>
      </c>
      <c r="F153" s="419" t="s">
        <v>1407</v>
      </c>
      <c r="G153" s="673">
        <v>486</v>
      </c>
      <c r="H153" s="416"/>
    </row>
    <row r="154" spans="1:8" ht="38.25">
      <c r="A154" s="513" t="s">
        <v>1999</v>
      </c>
      <c r="B154" s="419" t="s">
        <v>1420</v>
      </c>
      <c r="C154" s="673">
        <v>6238</v>
      </c>
      <c r="D154" s="419"/>
      <c r="E154" s="420" t="s">
        <v>2000</v>
      </c>
      <c r="F154" s="419" t="s">
        <v>1408</v>
      </c>
      <c r="G154" s="673">
        <v>388</v>
      </c>
      <c r="H154" s="416"/>
    </row>
    <row r="155" spans="1:8" ht="25.5">
      <c r="A155" s="513" t="s">
        <v>1994</v>
      </c>
      <c r="B155" s="419" t="s">
        <v>2101</v>
      </c>
      <c r="C155" s="419">
        <v>421</v>
      </c>
      <c r="D155" s="419"/>
      <c r="E155" s="427" t="s">
        <v>2001</v>
      </c>
      <c r="F155" s="419" t="s">
        <v>1693</v>
      </c>
      <c r="G155" s="673">
        <v>58</v>
      </c>
      <c r="H155" s="416"/>
    </row>
    <row r="156" spans="1:8">
      <c r="A156" s="512" t="s">
        <v>2292</v>
      </c>
      <c r="B156" s="516" t="s">
        <v>2291</v>
      </c>
      <c r="C156" s="516">
        <v>4062</v>
      </c>
    </row>
  </sheetData>
  <mergeCells count="4">
    <mergeCell ref="A1:H1"/>
    <mergeCell ref="E28:H28"/>
    <mergeCell ref="E31:H31"/>
    <mergeCell ref="E34:H34"/>
  </mergeCells>
  <pageMargins left="0.41" right="0.22" top="0.48" bottom="0.31" header="0.3" footer="0.3"/>
  <pageSetup paperSize="9" scale="95" orientation="portrait" r:id="rId1"/>
  <rowBreaks count="2" manualBreakCount="2">
    <brk id="50" max="16383" man="1"/>
    <brk id="9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57</vt:i4>
      </vt:variant>
      <vt:variant>
        <vt:lpstr>Named Ranges</vt:lpstr>
      </vt:variant>
      <vt:variant>
        <vt:i4>74</vt:i4>
      </vt:variant>
    </vt:vector>
  </HeadingPairs>
  <TitlesOfParts>
    <vt:vector size="131" baseType="lpstr">
      <vt:lpstr>COVER</vt:lpstr>
      <vt:lpstr>SPE</vt:lpstr>
      <vt:lpstr>Genetic</vt:lpstr>
      <vt:lpstr>NIC</vt:lpstr>
      <vt:lpstr>INPUT</vt:lpstr>
      <vt:lpstr>abstract</vt:lpstr>
      <vt:lpstr>WORK</vt:lpstr>
      <vt:lpstr>FF</vt:lpstr>
      <vt:lpstr>SF</vt:lpstr>
      <vt:lpstr>Water &amp; Electrical</vt:lpstr>
      <vt:lpstr>3.60 lakhs</vt:lpstr>
      <vt:lpstr>SEIG P-B</vt:lpstr>
      <vt:lpstr>steel cal</vt:lpstr>
      <vt:lpstr>SEIG P-A </vt:lpstr>
      <vt:lpstr>Differ- Material</vt:lpstr>
      <vt:lpstr>lead 19-20</vt:lpstr>
      <vt:lpstr>lead 20-21</vt:lpstr>
      <vt:lpstr>lead 21-22</vt:lpstr>
      <vt:lpstr>lead 22-23</vt:lpstr>
      <vt:lpstr>data</vt:lpstr>
      <vt:lpstr>D&amp;W data</vt:lpstr>
      <vt:lpstr>SANITATION DTA</vt:lpstr>
      <vt:lpstr>Ele Data</vt:lpstr>
      <vt:lpstr>con 2019-20</vt:lpstr>
      <vt:lpstr>MINI SSR 19-20</vt:lpstr>
      <vt:lpstr>lead 22-23 P-B</vt:lpstr>
      <vt:lpstr>data 2022-23</vt:lpstr>
      <vt:lpstr>SANI 2022-23</vt:lpstr>
      <vt:lpstr>Ele 2022-23</vt:lpstr>
      <vt:lpstr>door 2022-23</vt:lpstr>
      <vt:lpstr>MINI SSR 2020-21</vt:lpstr>
      <vt:lpstr>MINI SSR 21-22</vt:lpstr>
      <vt:lpstr>MINI SSR 2022-23</vt:lpstr>
      <vt:lpstr>CS</vt:lpstr>
      <vt:lpstr>CR</vt:lpstr>
      <vt:lpstr>R-1</vt:lpstr>
      <vt:lpstr>con 2020-21</vt:lpstr>
      <vt:lpstr>R-2</vt:lpstr>
      <vt:lpstr>C-1</vt:lpstr>
      <vt:lpstr>CC f -2</vt:lpstr>
      <vt:lpstr>ccbc </vt:lpstr>
      <vt:lpstr>SEIG P-A  (2)</vt:lpstr>
      <vt:lpstr>CERTI </vt:lpstr>
      <vt:lpstr>RE-DE</vt:lpstr>
      <vt:lpstr>Proforma-I</vt:lpstr>
      <vt:lpstr>voucer part (2)</vt:lpstr>
      <vt:lpstr>1 (2)</vt:lpstr>
      <vt:lpstr>2 (2)</vt:lpstr>
      <vt:lpstr>3 (2)</vt:lpstr>
      <vt:lpstr>4 (2)</vt:lpstr>
      <vt:lpstr>5 (2)</vt:lpstr>
      <vt:lpstr>M-1 (2)</vt:lpstr>
      <vt:lpstr>M-3 (2)</vt:lpstr>
      <vt:lpstr>con 2021-22</vt:lpstr>
      <vt:lpstr>con 2022-23</vt:lpstr>
      <vt:lpstr>con 2022-23 (2)</vt:lpstr>
      <vt:lpstr>MINI SSR 2022-23 (2)</vt:lpstr>
      <vt:lpstr>'1 (2)'!Print_Area</vt:lpstr>
      <vt:lpstr>'2 (2)'!Print_Area</vt:lpstr>
      <vt:lpstr>'3 (2)'!Print_Area</vt:lpstr>
      <vt:lpstr>'3.60 lakhs'!Print_Area</vt:lpstr>
      <vt:lpstr>'4 (2)'!Print_Area</vt:lpstr>
      <vt:lpstr>'5 (2)'!Print_Area</vt:lpstr>
      <vt:lpstr>abstract!Print_Area</vt:lpstr>
      <vt:lpstr>'C-1'!Print_Area</vt:lpstr>
      <vt:lpstr>'CC f -2'!Print_Area</vt:lpstr>
      <vt:lpstr>CR!Print_Area</vt:lpstr>
      <vt:lpstr>CS!Print_Area</vt:lpstr>
      <vt:lpstr>'D&amp;W data'!Print_Area</vt:lpstr>
      <vt:lpstr>data!Print_Area</vt:lpstr>
      <vt:lpstr>'data 2022-23'!Print_Area</vt:lpstr>
      <vt:lpstr>'Differ- Material'!Print_Area</vt:lpstr>
      <vt:lpstr>'door 2022-23'!Print_Area</vt:lpstr>
      <vt:lpstr>'Ele 2022-23'!Print_Area</vt:lpstr>
      <vt:lpstr>'Ele Data'!Print_Area</vt:lpstr>
      <vt:lpstr>FF!Print_Area</vt:lpstr>
      <vt:lpstr>Genetic!Print_Area</vt:lpstr>
      <vt:lpstr>INPUT!Print_Area</vt:lpstr>
      <vt:lpstr>'lead 19-20'!Print_Area</vt:lpstr>
      <vt:lpstr>'lead 20-21'!Print_Area</vt:lpstr>
      <vt:lpstr>'lead 21-22'!Print_Area</vt:lpstr>
      <vt:lpstr>'lead 22-23'!Print_Area</vt:lpstr>
      <vt:lpstr>'lead 22-23 P-B'!Print_Area</vt:lpstr>
      <vt:lpstr>NIC!Print_Area</vt:lpstr>
      <vt:lpstr>'R-1'!Print_Area</vt:lpstr>
      <vt:lpstr>'R-2'!Print_Area</vt:lpstr>
      <vt:lpstr>'SANI 2022-23'!Print_Area</vt:lpstr>
      <vt:lpstr>'SANITATION DTA'!Print_Area</vt:lpstr>
      <vt:lpstr>'SEIG P-A '!Print_Area</vt:lpstr>
      <vt:lpstr>'SEIG P-A  (2)'!Print_Area</vt:lpstr>
      <vt:lpstr>'SEIG P-B'!Print_Area</vt:lpstr>
      <vt:lpstr>SF!Print_Area</vt:lpstr>
      <vt:lpstr>SPE!Print_Area</vt:lpstr>
      <vt:lpstr>'voucer part (2)'!Print_Area</vt:lpstr>
      <vt:lpstr>'Water &amp; Electrical'!Print_Area</vt:lpstr>
      <vt:lpstr>WORK!Print_Area</vt:lpstr>
      <vt:lpstr>'3.60 lakhs'!Print_Titles</vt:lpstr>
      <vt:lpstr>abstract!Print_Titles</vt:lpstr>
      <vt:lpstr>'con 2019-20'!Print_Titles</vt:lpstr>
      <vt:lpstr>'con 2020-21'!Print_Titles</vt:lpstr>
      <vt:lpstr>'con 2021-22'!Print_Titles</vt:lpstr>
      <vt:lpstr>'con 2022-23'!Print_Titles</vt:lpstr>
      <vt:lpstr>'con 2022-23 (2)'!Print_Titles</vt:lpstr>
      <vt:lpstr>CR!Print_Titles</vt:lpstr>
      <vt:lpstr>CS!Print_Titles</vt:lpstr>
      <vt:lpstr>'D&amp;W data'!Print_Titles</vt:lpstr>
      <vt:lpstr>data!Print_Titles</vt:lpstr>
      <vt:lpstr>'data 2022-23'!Print_Titles</vt:lpstr>
      <vt:lpstr>'Differ- Material'!Print_Titles</vt:lpstr>
      <vt:lpstr>'door 2022-23'!Print_Titles</vt:lpstr>
      <vt:lpstr>'Ele 2022-23'!Print_Titles</vt:lpstr>
      <vt:lpstr>'Ele Data'!Print_Titles</vt:lpstr>
      <vt:lpstr>FF!Print_Titles</vt:lpstr>
      <vt:lpstr>INPUT!Print_Titles</vt:lpstr>
      <vt:lpstr>'lead 19-20'!Print_Titles</vt:lpstr>
      <vt:lpstr>'lead 20-21'!Print_Titles</vt:lpstr>
      <vt:lpstr>'lead 21-22'!Print_Titles</vt:lpstr>
      <vt:lpstr>'lead 22-23'!Print_Titles</vt:lpstr>
      <vt:lpstr>'lead 22-23 P-B'!Print_Titles</vt:lpstr>
      <vt:lpstr>NIC!Print_Titles</vt:lpstr>
      <vt:lpstr>'Proforma-I'!Print_Titles</vt:lpstr>
      <vt:lpstr>'R-1'!Print_Titles</vt:lpstr>
      <vt:lpstr>'R-2'!Print_Titles</vt:lpstr>
      <vt:lpstr>'SANI 2022-23'!Print_Titles</vt:lpstr>
      <vt:lpstr>'SANITATION DTA'!Print_Titles</vt:lpstr>
      <vt:lpstr>'SEIG P-A '!Print_Titles</vt:lpstr>
      <vt:lpstr>'SEIG P-A  (2)'!Print_Titles</vt:lpstr>
      <vt:lpstr>'SEIG P-B'!Print_Titles</vt:lpstr>
      <vt:lpstr>SF!Print_Titles</vt:lpstr>
      <vt:lpstr>'Water &amp; Electrical'!Print_Titles</vt:lpstr>
      <vt:lpstr>WORK!Print_Titles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UNIQUE</dc:creator>
  <cp:lastModifiedBy>welcome</cp:lastModifiedBy>
  <cp:lastPrinted>2024-06-15T08:23:02Z</cp:lastPrinted>
  <dcterms:created xsi:type="dcterms:W3CDTF">1996-10-14T23:33:28Z</dcterms:created>
  <dcterms:modified xsi:type="dcterms:W3CDTF">2024-06-15T08:23:07Z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VID3C5B19EF">
    <vt:lpwstr/>
  </property>
  <property fmtid="{D5CDD505-2E9C-101B-9397-08002B2CF9AE}" pid="3" name="IVID3E1216F6">
    <vt:lpwstr/>
  </property>
  <property fmtid="{D5CDD505-2E9C-101B-9397-08002B2CF9AE}" pid="4" name="IVID302816EE">
    <vt:lpwstr/>
  </property>
  <property fmtid="{D5CDD505-2E9C-101B-9397-08002B2CF9AE}" pid="5" name="IVID2B3716DF">
    <vt:lpwstr/>
  </property>
  <property fmtid="{D5CDD505-2E9C-101B-9397-08002B2CF9AE}" pid="6" name="IVIDF5E17EB">
    <vt:lpwstr/>
  </property>
  <property fmtid="{D5CDD505-2E9C-101B-9397-08002B2CF9AE}" pid="7" name="IVID275CAB41">
    <vt:lpwstr/>
  </property>
  <property fmtid="{D5CDD505-2E9C-101B-9397-08002B2CF9AE}" pid="8" name="IVID1F3B11E2">
    <vt:lpwstr/>
  </property>
  <property fmtid="{D5CDD505-2E9C-101B-9397-08002B2CF9AE}" pid="9" name="IVID115B1EDE">
    <vt:lpwstr/>
  </property>
  <property fmtid="{D5CDD505-2E9C-101B-9397-08002B2CF9AE}" pid="10" name="IVID6A3C8A73">
    <vt:lpwstr/>
  </property>
  <property fmtid="{D5CDD505-2E9C-101B-9397-08002B2CF9AE}" pid="11" name="IVID286514FE">
    <vt:lpwstr/>
  </property>
  <property fmtid="{D5CDD505-2E9C-101B-9397-08002B2CF9AE}" pid="12" name="IVID38E35B7D">
    <vt:lpwstr/>
  </property>
  <property fmtid="{D5CDD505-2E9C-101B-9397-08002B2CF9AE}" pid="13" name="IVID305D14E1">
    <vt:lpwstr/>
  </property>
  <property fmtid="{D5CDD505-2E9C-101B-9397-08002B2CF9AE}" pid="14" name="IVID1D4A16E0">
    <vt:lpwstr/>
  </property>
  <property fmtid="{D5CDD505-2E9C-101B-9397-08002B2CF9AE}" pid="15" name="IVID344C1504">
    <vt:lpwstr/>
  </property>
  <property fmtid="{D5CDD505-2E9C-101B-9397-08002B2CF9AE}" pid="16" name="IVID38E958C0">
    <vt:lpwstr/>
  </property>
  <property fmtid="{D5CDD505-2E9C-101B-9397-08002B2CF9AE}" pid="17" name="IVID392816EE">
    <vt:lpwstr/>
  </property>
  <property fmtid="{D5CDD505-2E9C-101B-9397-08002B2CF9AE}" pid="18" name="IVID8A57BBF5">
    <vt:lpwstr/>
  </property>
  <property fmtid="{D5CDD505-2E9C-101B-9397-08002B2CF9AE}" pid="19" name="IVID307E17E9">
    <vt:lpwstr/>
  </property>
  <property fmtid="{D5CDD505-2E9C-101B-9397-08002B2CF9AE}" pid="20" name="IVID380DE5ED">
    <vt:lpwstr/>
  </property>
  <property fmtid="{D5CDD505-2E9C-101B-9397-08002B2CF9AE}" pid="21" name="IVID8A614DBE">
    <vt:lpwstr/>
  </property>
  <property fmtid="{D5CDD505-2E9C-101B-9397-08002B2CF9AE}" pid="22" name="IVID36161401">
    <vt:lpwstr/>
  </property>
  <property fmtid="{D5CDD505-2E9C-101B-9397-08002B2CF9AE}" pid="23" name="IVIDE663952B">
    <vt:lpwstr/>
  </property>
  <property fmtid="{D5CDD505-2E9C-101B-9397-08002B2CF9AE}" pid="24" name="IVID1F5816E2">
    <vt:lpwstr/>
  </property>
  <property fmtid="{D5CDD505-2E9C-101B-9397-08002B2CF9AE}" pid="25" name="IVID11EC0E58">
    <vt:lpwstr/>
  </property>
  <property fmtid="{D5CDD505-2E9C-101B-9397-08002B2CF9AE}" pid="26" name="IVIDC571CDF">
    <vt:lpwstr/>
  </property>
  <property fmtid="{D5CDD505-2E9C-101B-9397-08002B2CF9AE}" pid="27" name="IVID1A4D13F6">
    <vt:lpwstr/>
  </property>
  <property fmtid="{D5CDD505-2E9C-101B-9397-08002B2CF9AE}" pid="28" name="IVID293417FE">
    <vt:lpwstr/>
  </property>
  <property fmtid="{D5CDD505-2E9C-101B-9397-08002B2CF9AE}" pid="29" name="IVID15FF2D5A">
    <vt:lpwstr/>
  </property>
  <property fmtid="{D5CDD505-2E9C-101B-9397-08002B2CF9AE}" pid="30" name="IVID353513D9">
    <vt:lpwstr/>
  </property>
  <property fmtid="{D5CDD505-2E9C-101B-9397-08002B2CF9AE}" pid="31" name="IVID134E14D3">
    <vt:lpwstr/>
  </property>
  <property fmtid="{D5CDD505-2E9C-101B-9397-08002B2CF9AE}" pid="32" name="IVID326812F5">
    <vt:lpwstr/>
  </property>
  <property fmtid="{D5CDD505-2E9C-101B-9397-08002B2CF9AE}" pid="33" name="IVID381A7C7E">
    <vt:lpwstr/>
  </property>
  <property fmtid="{D5CDD505-2E9C-101B-9397-08002B2CF9AE}" pid="34" name="IVID197012F1">
    <vt:lpwstr/>
  </property>
  <property fmtid="{D5CDD505-2E9C-101B-9397-08002B2CF9AE}" pid="35" name="IVID2F1E1603">
    <vt:lpwstr/>
  </property>
  <property fmtid="{D5CDD505-2E9C-101B-9397-08002B2CF9AE}" pid="36" name="IVIDC">
    <vt:lpwstr/>
  </property>
  <property fmtid="{D5CDD505-2E9C-101B-9397-08002B2CF9AE}" pid="37" name="IVID362F13E8">
    <vt:lpwstr/>
  </property>
  <property fmtid="{D5CDD505-2E9C-101B-9397-08002B2CF9AE}" pid="38" name="IVID3A3618F1">
    <vt:lpwstr/>
  </property>
  <property fmtid="{D5CDD505-2E9C-101B-9397-08002B2CF9AE}" pid="39" name="IVID15E41318">
    <vt:lpwstr/>
  </property>
  <property fmtid="{D5CDD505-2E9C-101B-9397-08002B2CF9AE}" pid="40" name="IVID181914D9">
    <vt:lpwstr/>
  </property>
  <property fmtid="{D5CDD505-2E9C-101B-9397-08002B2CF9AE}" pid="41" name="IVID155815FB">
    <vt:lpwstr/>
  </property>
  <property fmtid="{D5CDD505-2E9C-101B-9397-08002B2CF9AE}" pid="42" name="IVIDD091BF0">
    <vt:lpwstr/>
  </property>
  <property fmtid="{D5CDD505-2E9C-101B-9397-08002B2CF9AE}" pid="43" name="IVID344CCFFC">
    <vt:lpwstr/>
  </property>
  <property fmtid="{D5CDD505-2E9C-101B-9397-08002B2CF9AE}" pid="44" name="IVID1A7D12ED">
    <vt:lpwstr/>
  </property>
  <property fmtid="{D5CDD505-2E9C-101B-9397-08002B2CF9AE}" pid="45" name="IVID1B2115FE">
    <vt:lpwstr/>
  </property>
  <property fmtid="{D5CDD505-2E9C-101B-9397-08002B2CF9AE}" pid="46" name="IVID35431BD0">
    <vt:lpwstr/>
  </property>
  <property fmtid="{D5CDD505-2E9C-101B-9397-08002B2CF9AE}" pid="47" name="IVID4637A884">
    <vt:lpwstr/>
  </property>
  <property fmtid="{D5CDD505-2E9C-101B-9397-08002B2CF9AE}" pid="48" name="IVID127C14F5">
    <vt:lpwstr/>
  </property>
  <property fmtid="{D5CDD505-2E9C-101B-9397-08002B2CF9AE}" pid="49" name="IVID1834F0DD">
    <vt:lpwstr/>
  </property>
  <property fmtid="{D5CDD505-2E9C-101B-9397-08002B2CF9AE}" pid="50" name="IVID312119E0">
    <vt:lpwstr/>
  </property>
  <property fmtid="{D5CDD505-2E9C-101B-9397-08002B2CF9AE}" pid="51" name="IVID1C5812DA">
    <vt:lpwstr/>
  </property>
  <property fmtid="{D5CDD505-2E9C-101B-9397-08002B2CF9AE}" pid="52" name="IVID173907ED">
    <vt:lpwstr/>
  </property>
  <property fmtid="{D5CDD505-2E9C-101B-9397-08002B2CF9AE}" pid="53" name="IVID274B1CF5">
    <vt:lpwstr/>
  </property>
  <property fmtid="{D5CDD505-2E9C-101B-9397-08002B2CF9AE}" pid="54" name="IVID2B4E17FA">
    <vt:lpwstr/>
  </property>
  <property fmtid="{D5CDD505-2E9C-101B-9397-08002B2CF9AE}" pid="55" name="IVID204114FA">
    <vt:lpwstr/>
  </property>
  <property fmtid="{D5CDD505-2E9C-101B-9397-08002B2CF9AE}" pid="56" name="IVID2A7117D7">
    <vt:lpwstr/>
  </property>
  <property fmtid="{D5CDD505-2E9C-101B-9397-08002B2CF9AE}" pid="57" name="IVIDE331703">
    <vt:lpwstr/>
  </property>
  <property fmtid="{D5CDD505-2E9C-101B-9397-08002B2CF9AE}" pid="58" name="IVID416E11FD">
    <vt:lpwstr/>
  </property>
  <property fmtid="{D5CDD505-2E9C-101B-9397-08002B2CF9AE}" pid="59" name="IVID52D0E06">
    <vt:lpwstr/>
  </property>
  <property fmtid="{D5CDD505-2E9C-101B-9397-08002B2CF9AE}" pid="60" name="IVID365C19D4">
    <vt:lpwstr/>
  </property>
  <property fmtid="{D5CDD505-2E9C-101B-9397-08002B2CF9AE}" pid="61" name="IVID253D11EF">
    <vt:lpwstr/>
  </property>
  <property fmtid="{D5CDD505-2E9C-101B-9397-08002B2CF9AE}" pid="62" name="IVID173E1206">
    <vt:lpwstr/>
  </property>
  <property fmtid="{D5CDD505-2E9C-101B-9397-08002B2CF9AE}" pid="63" name="IVID232310EC">
    <vt:lpwstr/>
  </property>
  <property fmtid="{D5CDD505-2E9C-101B-9397-08002B2CF9AE}" pid="64" name="IVID133D1AE5">
    <vt:lpwstr/>
  </property>
  <property fmtid="{D5CDD505-2E9C-101B-9397-08002B2CF9AE}" pid="65" name="IVIDF6113D9">
    <vt:lpwstr/>
  </property>
  <property fmtid="{D5CDD505-2E9C-101B-9397-08002B2CF9AE}" pid="66" name="IVID307414D1">
    <vt:lpwstr/>
  </property>
  <property fmtid="{D5CDD505-2E9C-101B-9397-08002B2CF9AE}" pid="67" name="IVID344B1400">
    <vt:lpwstr/>
  </property>
  <property fmtid="{D5CDD505-2E9C-101B-9397-08002B2CF9AE}" pid="68" name="IVID135B1DF5">
    <vt:lpwstr/>
  </property>
  <property fmtid="{D5CDD505-2E9C-101B-9397-08002B2CF9AE}" pid="69" name="IVID1A3716D3">
    <vt:lpwstr/>
  </property>
  <property fmtid="{D5CDD505-2E9C-101B-9397-08002B2CF9AE}" pid="70" name="IVIDD1916DB">
    <vt:lpwstr/>
  </property>
  <property fmtid="{D5CDD505-2E9C-101B-9397-08002B2CF9AE}" pid="71" name="IVID11431AF1">
    <vt:lpwstr/>
  </property>
  <property fmtid="{D5CDD505-2E9C-101B-9397-08002B2CF9AE}" pid="72" name="IVID1B2C19F3">
    <vt:lpwstr/>
  </property>
  <property fmtid="{D5CDD505-2E9C-101B-9397-08002B2CF9AE}" pid="73" name="IVIDD5E0FE6">
    <vt:lpwstr/>
  </property>
  <property fmtid="{D5CDD505-2E9C-101B-9397-08002B2CF9AE}" pid="74" name="IVID162D1605">
    <vt:lpwstr/>
  </property>
  <property fmtid="{D5CDD505-2E9C-101B-9397-08002B2CF9AE}" pid="75" name="IVIDA3E11E9">
    <vt:lpwstr/>
  </property>
  <property fmtid="{D5CDD505-2E9C-101B-9397-08002B2CF9AE}" pid="76" name="IVID1A3517F4">
    <vt:lpwstr/>
  </property>
  <property fmtid="{D5CDD505-2E9C-101B-9397-08002B2CF9AE}" pid="77" name="IVID375215CF">
    <vt:lpwstr/>
  </property>
  <property fmtid="{D5CDD505-2E9C-101B-9397-08002B2CF9AE}" pid="78" name="IVID1D401702">
    <vt:lpwstr/>
  </property>
  <property fmtid="{D5CDD505-2E9C-101B-9397-08002B2CF9AE}" pid="79" name="IVID382E16DB">
    <vt:lpwstr/>
  </property>
  <property fmtid="{D5CDD505-2E9C-101B-9397-08002B2CF9AE}" pid="80" name="IVID30321805">
    <vt:lpwstr/>
  </property>
  <property fmtid="{D5CDD505-2E9C-101B-9397-08002B2CF9AE}" pid="81" name="IVIDF3415DD">
    <vt:lpwstr/>
  </property>
  <property fmtid="{D5CDD505-2E9C-101B-9397-08002B2CF9AE}" pid="82" name="IVID112118DE">
    <vt:lpwstr/>
  </property>
  <property fmtid="{D5CDD505-2E9C-101B-9397-08002B2CF9AE}" pid="83" name="IVID2C0E11E8">
    <vt:lpwstr/>
  </property>
  <property fmtid="{D5CDD505-2E9C-101B-9397-08002B2CF9AE}" pid="84" name="IVID233A10E1">
    <vt:lpwstr/>
  </property>
  <property fmtid="{D5CDD505-2E9C-101B-9397-08002B2CF9AE}" pid="85" name="IVID3E3919D4">
    <vt:lpwstr/>
  </property>
  <property fmtid="{D5CDD505-2E9C-101B-9397-08002B2CF9AE}" pid="86" name="IVID113E1ADD">
    <vt:lpwstr/>
  </property>
  <property fmtid="{D5CDD505-2E9C-101B-9397-08002B2CF9AE}" pid="87" name="IVID113D14F9">
    <vt:lpwstr/>
  </property>
  <property fmtid="{D5CDD505-2E9C-101B-9397-08002B2CF9AE}" pid="88" name="IVID1D3F17E2">
    <vt:lpwstr/>
  </property>
  <property fmtid="{D5CDD505-2E9C-101B-9397-08002B2CF9AE}" pid="89" name="IVID13451200">
    <vt:lpwstr/>
  </property>
  <property fmtid="{D5CDD505-2E9C-101B-9397-08002B2CF9AE}" pid="90" name="IVID121617DE">
    <vt:lpwstr/>
  </property>
  <property fmtid="{D5CDD505-2E9C-101B-9397-08002B2CF9AE}" pid="91" name="IVID13691AF2">
    <vt:lpwstr/>
  </property>
  <property fmtid="{D5CDD505-2E9C-101B-9397-08002B2CF9AE}" pid="92" name="IVID265C1905">
    <vt:lpwstr/>
  </property>
  <property fmtid="{D5CDD505-2E9C-101B-9397-08002B2CF9AE}" pid="93" name="IVID32281CED">
    <vt:lpwstr/>
  </property>
  <property fmtid="{D5CDD505-2E9C-101B-9397-08002B2CF9AE}" pid="94" name="IVID102124BA">
    <vt:lpwstr/>
  </property>
  <property fmtid="{D5CDD505-2E9C-101B-9397-08002B2CF9AE}" pid="95" name="IVID3D1509D0">
    <vt:lpwstr/>
  </property>
  <property fmtid="{D5CDD505-2E9C-101B-9397-08002B2CF9AE}" pid="96" name="IVID35641901">
    <vt:lpwstr/>
  </property>
  <property fmtid="{D5CDD505-2E9C-101B-9397-08002B2CF9AE}" pid="97" name="IVID45E1ED9">
    <vt:lpwstr/>
  </property>
  <property fmtid="{D5CDD505-2E9C-101B-9397-08002B2CF9AE}" pid="98" name="IVID324113D1">
    <vt:lpwstr/>
  </property>
  <property fmtid="{D5CDD505-2E9C-101B-9397-08002B2CF9AE}" pid="99" name="IVID1A2D1903">
    <vt:lpwstr/>
  </property>
  <property fmtid="{D5CDD505-2E9C-101B-9397-08002B2CF9AE}" pid="100" name="IVID370C1506">
    <vt:lpwstr/>
  </property>
  <property fmtid="{D5CDD505-2E9C-101B-9397-08002B2CF9AE}" pid="101" name="IVID12581504">
    <vt:lpwstr/>
  </property>
  <property fmtid="{D5CDD505-2E9C-101B-9397-08002B2CF9AE}" pid="102" name="IVID366A14F0">
    <vt:lpwstr/>
  </property>
  <property fmtid="{D5CDD505-2E9C-101B-9397-08002B2CF9AE}" pid="103" name="IVID10761BDE">
    <vt:lpwstr/>
  </property>
  <property fmtid="{D5CDD505-2E9C-101B-9397-08002B2CF9AE}" pid="104" name="IVID355E0AD7">
    <vt:lpwstr/>
  </property>
  <property fmtid="{D5CDD505-2E9C-101B-9397-08002B2CF9AE}" pid="105" name="IVID242419FF">
    <vt:lpwstr/>
  </property>
  <property fmtid="{D5CDD505-2E9C-101B-9397-08002B2CF9AE}" pid="106" name="IVID17690D05">
    <vt:lpwstr/>
  </property>
  <property fmtid="{D5CDD505-2E9C-101B-9397-08002B2CF9AE}" pid="107" name="IVID1A3B0AF0">
    <vt:lpwstr/>
  </property>
  <property fmtid="{D5CDD505-2E9C-101B-9397-08002B2CF9AE}" pid="108" name="IVID294416DA">
    <vt:lpwstr/>
  </property>
  <property fmtid="{D5CDD505-2E9C-101B-9397-08002B2CF9AE}" pid="109" name="IVID224A1AD0">
    <vt:lpwstr/>
  </property>
  <property fmtid="{D5CDD505-2E9C-101B-9397-08002B2CF9AE}" pid="110" name="IVID331F11E2">
    <vt:lpwstr/>
  </property>
  <property fmtid="{D5CDD505-2E9C-101B-9397-08002B2CF9AE}" pid="111" name="IVID1306391F">
    <vt:lpwstr/>
  </property>
  <property fmtid="{D5CDD505-2E9C-101B-9397-08002B2CF9AE}" pid="112" name="IVID3A281BD0">
    <vt:lpwstr/>
  </property>
  <property fmtid="{D5CDD505-2E9C-101B-9397-08002B2CF9AE}" pid="113" name="IVID2A2E1805">
    <vt:lpwstr/>
  </property>
  <property fmtid="{D5CDD505-2E9C-101B-9397-08002B2CF9AE}" pid="114" name="IVID3C5018D1">
    <vt:lpwstr/>
  </property>
  <property fmtid="{D5CDD505-2E9C-101B-9397-08002B2CF9AE}" pid="115" name="IVID3B3616E1">
    <vt:lpwstr/>
  </property>
  <property fmtid="{D5CDD505-2E9C-101B-9397-08002B2CF9AE}" pid="116" name="IVID291114D3">
    <vt:lpwstr/>
  </property>
  <property fmtid="{D5CDD505-2E9C-101B-9397-08002B2CF9AE}" pid="117" name="IVID402F12D9">
    <vt:lpwstr/>
  </property>
  <property fmtid="{D5CDD505-2E9C-101B-9397-08002B2CF9AE}" pid="118" name="IVID352F10D9">
    <vt:lpwstr/>
  </property>
  <property fmtid="{D5CDD505-2E9C-101B-9397-08002B2CF9AE}" pid="119" name="IVID383A16E2">
    <vt:lpwstr/>
  </property>
  <property fmtid="{D5CDD505-2E9C-101B-9397-08002B2CF9AE}" pid="120" name="IVID281911E9">
    <vt:lpwstr/>
  </property>
  <property fmtid="{D5CDD505-2E9C-101B-9397-08002B2CF9AE}" pid="121" name="IVID89EFF3FC">
    <vt:lpwstr/>
  </property>
  <property fmtid="{D5CDD505-2E9C-101B-9397-08002B2CF9AE}" pid="122" name="IVIDA3B1CD3">
    <vt:lpwstr/>
  </property>
  <property fmtid="{D5CDD505-2E9C-101B-9397-08002B2CF9AE}" pid="123" name="IVID24428E10">
    <vt:lpwstr/>
  </property>
  <property fmtid="{D5CDD505-2E9C-101B-9397-08002B2CF9AE}" pid="124" name="IVID296C11F7">
    <vt:lpwstr/>
  </property>
  <property fmtid="{D5CDD505-2E9C-101B-9397-08002B2CF9AE}" pid="125" name="IVID1E3210E2">
    <vt:lpwstr/>
  </property>
  <property fmtid="{D5CDD505-2E9C-101B-9397-08002B2CF9AE}" pid="126" name="IVIDD3911FD">
    <vt:lpwstr/>
  </property>
  <property fmtid="{D5CDD505-2E9C-101B-9397-08002B2CF9AE}" pid="127" name="IVID362611EA">
    <vt:lpwstr/>
  </property>
  <property fmtid="{D5CDD505-2E9C-101B-9397-08002B2CF9AE}" pid="128" name="IVID250607C8">
    <vt:lpwstr/>
  </property>
  <property fmtid="{D5CDD505-2E9C-101B-9397-08002B2CF9AE}" pid="129" name="IVID89475BC5">
    <vt:lpwstr/>
  </property>
  <property fmtid="{D5CDD505-2E9C-101B-9397-08002B2CF9AE}" pid="130" name="IVID2A5F13D5">
    <vt:lpwstr/>
  </property>
  <property fmtid="{D5CDD505-2E9C-101B-9397-08002B2CF9AE}" pid="131" name="IVID1A4D17E3">
    <vt:lpwstr/>
  </property>
  <property fmtid="{D5CDD505-2E9C-101B-9397-08002B2CF9AE}" pid="132" name="IVID285E1306">
    <vt:lpwstr/>
  </property>
  <property fmtid="{D5CDD505-2E9C-101B-9397-08002B2CF9AE}" pid="133" name="IVID24551DE1">
    <vt:lpwstr/>
  </property>
  <property fmtid="{D5CDD505-2E9C-101B-9397-08002B2CF9AE}" pid="134" name="IVID154C1709">
    <vt:lpwstr/>
  </property>
  <property fmtid="{D5CDD505-2E9C-101B-9397-08002B2CF9AE}" pid="135" name="IVID14A8E3B7">
    <vt:lpwstr/>
  </property>
  <property fmtid="{D5CDD505-2E9C-101B-9397-08002B2CF9AE}" pid="136" name="IVIDB81AB6AE">
    <vt:lpwstr/>
  </property>
  <property fmtid="{D5CDD505-2E9C-101B-9397-08002B2CF9AE}" pid="137" name="IVID380A8D9C">
    <vt:lpwstr/>
  </property>
  <property fmtid="{D5CDD505-2E9C-101B-9397-08002B2CF9AE}" pid="138" name="IVIDE4A8B685">
    <vt:lpwstr/>
  </property>
  <property fmtid="{D5CDD505-2E9C-101B-9397-08002B2CF9AE}" pid="139" name="IVIDECBFC9AA">
    <vt:lpwstr/>
  </property>
  <property fmtid="{D5CDD505-2E9C-101B-9397-08002B2CF9AE}" pid="140" name="IVID8A77A1EA">
    <vt:lpwstr/>
  </property>
  <property fmtid="{D5CDD505-2E9C-101B-9397-08002B2CF9AE}" pid="141" name="IVIDA0D53319">
    <vt:lpwstr/>
  </property>
  <property fmtid="{D5CDD505-2E9C-101B-9397-08002B2CF9AE}" pid="142" name="IVID384F12E1">
    <vt:lpwstr/>
  </property>
  <property fmtid="{D5CDD505-2E9C-101B-9397-08002B2CF9AE}" pid="143" name="IVID8A75AB65">
    <vt:lpwstr/>
  </property>
  <property fmtid="{D5CDD505-2E9C-101B-9397-08002B2CF9AE}" pid="144" name="IVID224B15D4">
    <vt:lpwstr/>
  </property>
  <property fmtid="{D5CDD505-2E9C-101B-9397-08002B2CF9AE}" pid="145" name="IVIDE7513D4">
    <vt:lpwstr/>
  </property>
</Properties>
</file>